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slicers/slicer3.xml" ContentType="application/vnd.ms-excel.slicer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ml.chartshapes+xml"/>
  <Override PartName="/xl/pivotTables/pivotTable4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4.xml" ContentType="application/vnd.openxmlformats-officedocument.spreadsheetml.comments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3.xml" ContentType="application/vnd.openxmlformats-officedocument.drawing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\\192.168.170.200\обмен\НеезжаловаАВ\"/>
    </mc:Choice>
  </mc:AlternateContent>
  <xr:revisionPtr revIDLastSave="0" documentId="13_ncr:1_{BDB5ABF5-AF87-45A0-A35B-8BBF9835E4D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ОТЧЕТ 2026" sheetId="80" r:id="rId1"/>
    <sheet name="Свод 2026" sheetId="84" r:id="rId2"/>
    <sheet name="Структура 2026 " sheetId="85" state="hidden" r:id="rId3"/>
    <sheet name="Подробности1" sheetId="93" state="hidden" r:id="rId4"/>
    <sheet name="Подробности2" sheetId="94" state="hidden" r:id="rId5"/>
    <sheet name="Уборка по полям 2026" sheetId="87" r:id="rId6"/>
    <sheet name="Данные 2026" sheetId="82" state="hidden" r:id="rId7"/>
    <sheet name="ОТЧЕТ 2025" sheetId="1" state="hidden" r:id="rId8"/>
    <sheet name="ОТЧЕТ 2024" sheetId="71" state="hidden" r:id="rId9"/>
    <sheet name="Данные 2025" sheetId="2" state="hidden" r:id="rId10"/>
    <sheet name="СВОД по полям" sheetId="3" state="hidden" r:id="rId11"/>
    <sheet name="Поступление на завод " sheetId="65" state="hidden" r:id="rId12"/>
    <sheet name="Поступление на завод по дням" sheetId="66" state="hidden" r:id="rId13"/>
    <sheet name="по дням" sheetId="67" state="hidden" r:id="rId14"/>
    <sheet name="Сев 2026" sheetId="89" state="hidden" r:id="rId15"/>
    <sheet name="Показатели по полям 2026" sheetId="91" r:id="rId16"/>
    <sheet name="Откл АВК и Отчета" sheetId="92" state="hidden" r:id="rId17"/>
    <sheet name="Реестр уборки 2026" sheetId="7" state="hidden" r:id="rId18"/>
    <sheet name="Реестр уборки 2025" sheetId="81" state="hidden" r:id="rId19"/>
    <sheet name="Основные показ 2023-2025" sheetId="68" state="hidden" r:id="rId20"/>
    <sheet name="Поступление дни 2023-2025" sheetId="76" state="hidden" r:id="rId21"/>
    <sheet name="Средний вал 2023-2025" sheetId="77" state="hidden" r:id="rId22"/>
    <sheet name="Уборка 2023-2025" sheetId="79" state="hidden" r:id="rId23"/>
    <sheet name="Вх конт 2023-2026" sheetId="75" state="hidden" r:id="rId24"/>
    <sheet name="Хар-ка качества 2023-2025" sheetId="69" state="hidden" r:id="rId25"/>
    <sheet name="Хар-ка сорта 2024" sheetId="73" state="hidden" r:id="rId26"/>
    <sheet name="Хар-ка сорта 2025" sheetId="72" state="hidden" r:id="rId27"/>
    <sheet name="Реестр 2024" sheetId="74" state="hidden" r:id="rId28"/>
    <sheet name="Степень зрелости 2026" sheetId="83" state="hidden" r:id="rId29"/>
    <sheet name="Степень зрелости 2025" sheetId="23" state="hidden" r:id="rId30"/>
    <sheet name="Вх контроль" sheetId="62" state="hidden" r:id="rId31"/>
    <sheet name="Реестр по входному контролю" sheetId="14" state="hidden" r:id="rId32"/>
  </sheets>
  <definedNames>
    <definedName name="_xlnm._FilterDatabase" localSheetId="17" hidden="1">'Реестр уборки 2026'!$AJ$1:$BF$691</definedName>
    <definedName name="_xlnm._FilterDatabase" localSheetId="14" hidden="1">'Сев 2026'!$B$1:$F$113</definedName>
    <definedName name="_xlnm._FilterDatabase" localSheetId="29" hidden="1">'Степень зрелости 2025'!$H$12:$I$583</definedName>
    <definedName name="_xlnm._FilterDatabase" localSheetId="28" hidden="1">'Степень зрелости 2026'!$H$11:$I$582</definedName>
    <definedName name="_xlnm._FilterDatabase" localSheetId="5" hidden="1">'Уборка по полям 2026'!$C$1:$F$52</definedName>
    <definedName name="Срез_Контрагент">#N/A</definedName>
    <definedName name="Срез_Культура">#N/A</definedName>
    <definedName name="Срез_Культура1">#N/A</definedName>
    <definedName name="Срез_Орошение">#N/A</definedName>
    <definedName name="Срез_Орошение1">#N/A</definedName>
    <definedName name="Срез_Полив">#N/A</definedName>
  </definedNames>
  <calcPr calcId="191029" calcMode="manual"/>
  <pivotCaches>
    <pivotCache cacheId="0" r:id="rId33"/>
    <pivotCache cacheId="1" r:id="rId34"/>
    <pivotCache cacheId="2" r:id="rId35"/>
    <pivotCache cacheId="3" r:id="rId36"/>
    <pivotCache cacheId="4" r:id="rId37"/>
    <pivotCache cacheId="5" r:id="rId38"/>
    <pivotCache cacheId="6" r:id="rId39"/>
  </pivotCaches>
  <extLst>
    <ext xmlns:x14="http://schemas.microsoft.com/office/spreadsheetml/2009/9/main" uri="{876F7934-8845-4945-9796-88D515C7AA90}">
      <x14:pivotCaches>
        <pivotCache cacheId="7" r:id="rId40"/>
      </x14:pivotCaches>
    </ext>
    <ext xmlns:x14="http://schemas.microsoft.com/office/spreadsheetml/2009/9/main" uri="{BBE1A952-AA13-448e-AADC-164F8A28A991}">
      <x14:slicerCaches>
        <x14:slicerCache r:id="rId41"/>
        <x14:slicerCache r:id="rId4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3"/>
        <x14:slicerCache r:id="rId44"/>
        <x14:slicerCache r:id="rId45"/>
        <x14:slicerCache r:id="rId46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58" i="7" l="1"/>
  <c r="V624" i="7"/>
  <c r="V622" i="7"/>
  <c r="V621" i="7"/>
  <c r="V573" i="7"/>
  <c r="V570" i="7"/>
  <c r="V567" i="7"/>
  <c r="V565" i="7"/>
  <c r="V563" i="7"/>
  <c r="V560" i="7"/>
  <c r="V558" i="7"/>
  <c r="V331" i="7"/>
  <c r="V330" i="7"/>
  <c r="V470" i="7"/>
  <c r="V469" i="7"/>
  <c r="V472" i="7"/>
  <c r="V475" i="7"/>
  <c r="V476" i="7"/>
  <c r="J42" i="82"/>
  <c r="J43" i="82" s="1"/>
  <c r="J44" i="82" s="1"/>
  <c r="J45" i="82" s="1"/>
  <c r="J46" i="82" s="1"/>
  <c r="J47" i="82" s="1"/>
  <c r="J48" i="82" s="1"/>
  <c r="Z662" i="7"/>
  <c r="Z661" i="7"/>
  <c r="Z660" i="7"/>
  <c r="Z659" i="7"/>
  <c r="Z658" i="7"/>
  <c r="Z657" i="7"/>
  <c r="Z656" i="7"/>
  <c r="Z618" i="7"/>
  <c r="Z655" i="7"/>
  <c r="Z654" i="7"/>
  <c r="Z653" i="7"/>
  <c r="Z652" i="7"/>
  <c r="Z651" i="7"/>
  <c r="Z650" i="7"/>
  <c r="Z649" i="7"/>
  <c r="Z648" i="7"/>
  <c r="Z647" i="7"/>
  <c r="Z646" i="7"/>
  <c r="Z645" i="7"/>
  <c r="Z644" i="7"/>
  <c r="Z643" i="7"/>
  <c r="Z642" i="7"/>
  <c r="Z641" i="7"/>
  <c r="Z640" i="7"/>
  <c r="Z639" i="7"/>
  <c r="Z638" i="7"/>
  <c r="Z637" i="7"/>
  <c r="Z636" i="7"/>
  <c r="Z635" i="7"/>
  <c r="Z634" i="7"/>
  <c r="Z633" i="7"/>
  <c r="Z632" i="7"/>
  <c r="Z631" i="7"/>
  <c r="Z630" i="7"/>
  <c r="Z629" i="7"/>
  <c r="Z628" i="7"/>
  <c r="Z627" i="7"/>
  <c r="Z626" i="7"/>
  <c r="Z625" i="7"/>
  <c r="Z624" i="7"/>
  <c r="Z623" i="7"/>
  <c r="Z622" i="7"/>
  <c r="Z621" i="7"/>
  <c r="Z620" i="7"/>
  <c r="AH2" i="7"/>
  <c r="AH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19" i="7"/>
  <c r="AH120" i="7"/>
  <c r="AH121" i="7"/>
  <c r="AH122" i="7"/>
  <c r="AH123" i="7"/>
  <c r="AH124" i="7"/>
  <c r="AH125" i="7"/>
  <c r="AH126" i="7"/>
  <c r="AH127" i="7"/>
  <c r="AH128" i="7"/>
  <c r="AH129" i="7"/>
  <c r="AH130" i="7"/>
  <c r="AH131" i="7"/>
  <c r="AH132" i="7"/>
  <c r="AH133" i="7"/>
  <c r="AH134" i="7"/>
  <c r="AH135" i="7"/>
  <c r="AH136" i="7"/>
  <c r="AH137" i="7"/>
  <c r="AH138" i="7"/>
  <c r="AH139" i="7"/>
  <c r="AH140" i="7"/>
  <c r="AH141" i="7"/>
  <c r="AH142" i="7"/>
  <c r="AH143" i="7"/>
  <c r="AH144" i="7"/>
  <c r="AH145" i="7"/>
  <c r="AH146" i="7"/>
  <c r="AH147" i="7"/>
  <c r="AH148" i="7"/>
  <c r="AH149" i="7"/>
  <c r="AH150" i="7"/>
  <c r="AH151" i="7"/>
  <c r="AH152" i="7"/>
  <c r="AH153" i="7"/>
  <c r="AH154" i="7"/>
  <c r="AH155" i="7"/>
  <c r="AH156" i="7"/>
  <c r="AH157" i="7"/>
  <c r="AH158" i="7"/>
  <c r="AH159" i="7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H176" i="7"/>
  <c r="AH177" i="7"/>
  <c r="AH178" i="7"/>
  <c r="AH179" i="7"/>
  <c r="AH180" i="7"/>
  <c r="AH182" i="7"/>
  <c r="AH183" i="7"/>
  <c r="AH184" i="7"/>
  <c r="AH185" i="7"/>
  <c r="AH186" i="7"/>
  <c r="AH187" i="7"/>
  <c r="AH188" i="7"/>
  <c r="AH190" i="7"/>
  <c r="AH191" i="7"/>
  <c r="AH192" i="7"/>
  <c r="AH193" i="7"/>
  <c r="AH194" i="7"/>
  <c r="AH195" i="7"/>
  <c r="AH196" i="7"/>
  <c r="AH197" i="7"/>
  <c r="AH198" i="7"/>
  <c r="AH199" i="7"/>
  <c r="AH200" i="7"/>
  <c r="AH201" i="7"/>
  <c r="AH202" i="7"/>
  <c r="AH203" i="7"/>
  <c r="AH204" i="7"/>
  <c r="AH205" i="7"/>
  <c r="AH206" i="7"/>
  <c r="AH207" i="7"/>
  <c r="AH208" i="7"/>
  <c r="AH209" i="7"/>
  <c r="AH210" i="7"/>
  <c r="AH211" i="7"/>
  <c r="AH212" i="7"/>
  <c r="AH213" i="7"/>
  <c r="AH214" i="7"/>
  <c r="AH215" i="7"/>
  <c r="AH216" i="7"/>
  <c r="AH217" i="7"/>
  <c r="AH218" i="7"/>
  <c r="AH219" i="7"/>
  <c r="AH220" i="7"/>
  <c r="AH221" i="7"/>
  <c r="AH222" i="7"/>
  <c r="AH223" i="7"/>
  <c r="AH224" i="7"/>
  <c r="AH225" i="7"/>
  <c r="AH226" i="7"/>
  <c r="AH227" i="7"/>
  <c r="AH228" i="7"/>
  <c r="AH229" i="7"/>
  <c r="AH230" i="7"/>
  <c r="AH231" i="7"/>
  <c r="AH232" i="7"/>
  <c r="AH233" i="7"/>
  <c r="AH234" i="7"/>
  <c r="AH235" i="7"/>
  <c r="AH236" i="7"/>
  <c r="AH237" i="7"/>
  <c r="AH238" i="7"/>
  <c r="AH239" i="7"/>
  <c r="AH240" i="7"/>
  <c r="AH241" i="7"/>
  <c r="AH242" i="7"/>
  <c r="AH243" i="7"/>
  <c r="AH244" i="7"/>
  <c r="AH245" i="7"/>
  <c r="AH246" i="7"/>
  <c r="AH247" i="7"/>
  <c r="AH248" i="7"/>
  <c r="AH249" i="7"/>
  <c r="AH250" i="7"/>
  <c r="AH251" i="7"/>
  <c r="AH252" i="7"/>
  <c r="AH253" i="7"/>
  <c r="AH254" i="7"/>
  <c r="AH255" i="7"/>
  <c r="AH256" i="7"/>
  <c r="AH257" i="7"/>
  <c r="AH258" i="7"/>
  <c r="AH259" i="7"/>
  <c r="AH260" i="7"/>
  <c r="AH261" i="7"/>
  <c r="AH262" i="7"/>
  <c r="AH263" i="7"/>
  <c r="AH264" i="7"/>
  <c r="AH265" i="7"/>
  <c r="AH266" i="7"/>
  <c r="AH267" i="7"/>
  <c r="AH268" i="7"/>
  <c r="AH269" i="7"/>
  <c r="AH270" i="7"/>
  <c r="AH271" i="7"/>
  <c r="AH272" i="7"/>
  <c r="AH273" i="7"/>
  <c r="AH274" i="7"/>
  <c r="AH275" i="7"/>
  <c r="AH276" i="7"/>
  <c r="AH277" i="7"/>
  <c r="AH278" i="7"/>
  <c r="AH279" i="7"/>
  <c r="AH280" i="7"/>
  <c r="AH281" i="7"/>
  <c r="AH282" i="7"/>
  <c r="AH283" i="7"/>
  <c r="AH284" i="7"/>
  <c r="AH285" i="7"/>
  <c r="AH286" i="7"/>
  <c r="AH287" i="7"/>
  <c r="AH288" i="7"/>
  <c r="AH289" i="7"/>
  <c r="AH290" i="7"/>
  <c r="AH291" i="7"/>
  <c r="AH292" i="7"/>
  <c r="AH293" i="7"/>
  <c r="AH294" i="7"/>
  <c r="AH295" i="7"/>
  <c r="AH296" i="7"/>
  <c r="AH297" i="7"/>
  <c r="AH298" i="7"/>
  <c r="AH299" i="7"/>
  <c r="AH300" i="7"/>
  <c r="AH301" i="7"/>
  <c r="AH302" i="7"/>
  <c r="AH303" i="7"/>
  <c r="AH304" i="7"/>
  <c r="AH305" i="7"/>
  <c r="AH306" i="7"/>
  <c r="AH307" i="7"/>
  <c r="AH308" i="7"/>
  <c r="AH309" i="7"/>
  <c r="AH310" i="7"/>
  <c r="AH311" i="7"/>
  <c r="AH312" i="7"/>
  <c r="AH313" i="7"/>
  <c r="AH314" i="7"/>
  <c r="AH315" i="7"/>
  <c r="AH316" i="7"/>
  <c r="AH317" i="7"/>
  <c r="AH318" i="7"/>
  <c r="AH319" i="7"/>
  <c r="AH320" i="7"/>
  <c r="AH321" i="7"/>
  <c r="AH322" i="7"/>
  <c r="AH323" i="7"/>
  <c r="AH324" i="7"/>
  <c r="AH325" i="7"/>
  <c r="AH326" i="7"/>
  <c r="AH327" i="7"/>
  <c r="AH328" i="7"/>
  <c r="AH329" i="7"/>
  <c r="AH330" i="7"/>
  <c r="AH331" i="7"/>
  <c r="AH332" i="7"/>
  <c r="AH333" i="7"/>
  <c r="AH334" i="7"/>
  <c r="AH335" i="7"/>
  <c r="AH336" i="7"/>
  <c r="AH337" i="7"/>
  <c r="AH338" i="7"/>
  <c r="AH339" i="7"/>
  <c r="AH340" i="7"/>
  <c r="AH341" i="7"/>
  <c r="AH342" i="7"/>
  <c r="AH343" i="7"/>
  <c r="AH344" i="7"/>
  <c r="AH345" i="7"/>
  <c r="AH346" i="7"/>
  <c r="AH347" i="7"/>
  <c r="AH348" i="7"/>
  <c r="AH349" i="7"/>
  <c r="AH350" i="7"/>
  <c r="AH351" i="7"/>
  <c r="AH352" i="7"/>
  <c r="AH353" i="7"/>
  <c r="AH354" i="7"/>
  <c r="AH355" i="7"/>
  <c r="AH356" i="7"/>
  <c r="AH357" i="7"/>
  <c r="AH358" i="7"/>
  <c r="AH359" i="7"/>
  <c r="AH360" i="7"/>
  <c r="AH361" i="7"/>
  <c r="AH362" i="7"/>
  <c r="AH363" i="7"/>
  <c r="AH364" i="7"/>
  <c r="AH365" i="7"/>
  <c r="AH366" i="7"/>
  <c r="AH367" i="7"/>
  <c r="AH368" i="7"/>
  <c r="AH369" i="7"/>
  <c r="AH370" i="7"/>
  <c r="AH371" i="7"/>
  <c r="AH372" i="7"/>
  <c r="AH373" i="7"/>
  <c r="AH374" i="7"/>
  <c r="AH375" i="7"/>
  <c r="AH376" i="7"/>
  <c r="AH377" i="7"/>
  <c r="AH378" i="7"/>
  <c r="AH379" i="7"/>
  <c r="AH380" i="7"/>
  <c r="AH381" i="7"/>
  <c r="AH382" i="7"/>
  <c r="AH383" i="7"/>
  <c r="AH384" i="7"/>
  <c r="AH385" i="7"/>
  <c r="AH386" i="7"/>
  <c r="AH387" i="7"/>
  <c r="AH388" i="7"/>
  <c r="AH389" i="7"/>
  <c r="AH390" i="7"/>
  <c r="AH391" i="7"/>
  <c r="AH392" i="7"/>
  <c r="AH393" i="7"/>
  <c r="AH394" i="7"/>
  <c r="AH395" i="7"/>
  <c r="AH396" i="7"/>
  <c r="AH397" i="7"/>
  <c r="AH398" i="7"/>
  <c r="AH399" i="7"/>
  <c r="AH400" i="7"/>
  <c r="AH401" i="7"/>
  <c r="AH402" i="7"/>
  <c r="AH403" i="7"/>
  <c r="AH404" i="7"/>
  <c r="AH405" i="7"/>
  <c r="AH406" i="7"/>
  <c r="AH407" i="7"/>
  <c r="AH408" i="7"/>
  <c r="AH409" i="7"/>
  <c r="AH410" i="7"/>
  <c r="AH411" i="7"/>
  <c r="AH412" i="7"/>
  <c r="AH413" i="7"/>
  <c r="AH414" i="7"/>
  <c r="AH415" i="7"/>
  <c r="AH416" i="7"/>
  <c r="AH417" i="7"/>
  <c r="AH418" i="7"/>
  <c r="AH419" i="7"/>
  <c r="AH420" i="7"/>
  <c r="AH421" i="7"/>
  <c r="AH422" i="7"/>
  <c r="AH423" i="7"/>
  <c r="AH424" i="7"/>
  <c r="AH425" i="7"/>
  <c r="AH426" i="7"/>
  <c r="AH427" i="7"/>
  <c r="AH428" i="7"/>
  <c r="AH429" i="7"/>
  <c r="AH430" i="7"/>
  <c r="AH431" i="7"/>
  <c r="AH432" i="7"/>
  <c r="AH433" i="7"/>
  <c r="AH434" i="7"/>
  <c r="AH435" i="7"/>
  <c r="AH436" i="7"/>
  <c r="AH437" i="7"/>
  <c r="AH438" i="7"/>
  <c r="AH439" i="7"/>
  <c r="AH440" i="7"/>
  <c r="AH441" i="7"/>
  <c r="AH442" i="7"/>
  <c r="AH443" i="7"/>
  <c r="AH444" i="7"/>
  <c r="AH445" i="7"/>
  <c r="AH446" i="7"/>
  <c r="AH447" i="7"/>
  <c r="AH448" i="7"/>
  <c r="AH449" i="7"/>
  <c r="AH450" i="7"/>
  <c r="AH451" i="7"/>
  <c r="AH452" i="7"/>
  <c r="AH453" i="7"/>
  <c r="AH454" i="7"/>
  <c r="AH455" i="7"/>
  <c r="AH456" i="7"/>
  <c r="AH457" i="7"/>
  <c r="AH458" i="7"/>
  <c r="AH459" i="7"/>
  <c r="AH460" i="7"/>
  <c r="AH461" i="7"/>
  <c r="AH462" i="7"/>
  <c r="AH463" i="7"/>
  <c r="AH464" i="7"/>
  <c r="AH465" i="7"/>
  <c r="AH466" i="7"/>
  <c r="AH467" i="7"/>
  <c r="AH468" i="7"/>
  <c r="AH469" i="7"/>
  <c r="AH470" i="7"/>
  <c r="AH471" i="7"/>
  <c r="AH472" i="7"/>
  <c r="AH473" i="7"/>
  <c r="AH474" i="7"/>
  <c r="AH475" i="7"/>
  <c r="AH476" i="7"/>
  <c r="AH477" i="7"/>
  <c r="AH478" i="7"/>
  <c r="AH479" i="7"/>
  <c r="AH480" i="7"/>
  <c r="AH481" i="7"/>
  <c r="AH482" i="7"/>
  <c r="AH483" i="7"/>
  <c r="AH484" i="7"/>
  <c r="AH485" i="7"/>
  <c r="AH486" i="7"/>
  <c r="AH487" i="7"/>
  <c r="AH488" i="7"/>
  <c r="AH489" i="7"/>
  <c r="AH490" i="7"/>
  <c r="AH491" i="7"/>
  <c r="AH492" i="7"/>
  <c r="AH493" i="7"/>
  <c r="AH494" i="7"/>
  <c r="AH495" i="7"/>
  <c r="AH496" i="7"/>
  <c r="AH497" i="7"/>
  <c r="AH498" i="7"/>
  <c r="AH499" i="7"/>
  <c r="AH500" i="7"/>
  <c r="AH501" i="7"/>
  <c r="AH502" i="7"/>
  <c r="AH503" i="7"/>
  <c r="AH504" i="7"/>
  <c r="AH505" i="7"/>
  <c r="AH506" i="7"/>
  <c r="AH507" i="7"/>
  <c r="AH508" i="7"/>
  <c r="AH509" i="7"/>
  <c r="AH510" i="7"/>
  <c r="AH511" i="7"/>
  <c r="AH512" i="7"/>
  <c r="AH513" i="7"/>
  <c r="AH514" i="7"/>
  <c r="AH515" i="7"/>
  <c r="AH516" i="7"/>
  <c r="AH517" i="7"/>
  <c r="AH518" i="7"/>
  <c r="AH519" i="7"/>
  <c r="AH520" i="7"/>
  <c r="AH521" i="7"/>
  <c r="AH522" i="7"/>
  <c r="AH523" i="7"/>
  <c r="AH524" i="7"/>
  <c r="AH525" i="7"/>
  <c r="AH526" i="7"/>
  <c r="AH527" i="7"/>
  <c r="AH528" i="7"/>
  <c r="AH529" i="7"/>
  <c r="AH530" i="7"/>
  <c r="AH531" i="7"/>
  <c r="AH532" i="7"/>
  <c r="AH533" i="7"/>
  <c r="AH534" i="7"/>
  <c r="AH535" i="7"/>
  <c r="AH536" i="7"/>
  <c r="AH537" i="7"/>
  <c r="AH538" i="7"/>
  <c r="AH539" i="7"/>
  <c r="AH540" i="7"/>
  <c r="AH541" i="7"/>
  <c r="AH542" i="7"/>
  <c r="AH543" i="7"/>
  <c r="AH544" i="7"/>
  <c r="AH545" i="7"/>
  <c r="AH546" i="7"/>
  <c r="AH547" i="7"/>
  <c r="AH548" i="7"/>
  <c r="AH549" i="7"/>
  <c r="AH550" i="7"/>
  <c r="AH551" i="7"/>
  <c r="AH552" i="7"/>
  <c r="AH553" i="7"/>
  <c r="AH554" i="7"/>
  <c r="AH555" i="7"/>
  <c r="AH556" i="7"/>
  <c r="AH557" i="7"/>
  <c r="AH558" i="7"/>
  <c r="AH559" i="7"/>
  <c r="AH560" i="7"/>
  <c r="AH561" i="7"/>
  <c r="AH562" i="7"/>
  <c r="AH563" i="7"/>
  <c r="AH564" i="7"/>
  <c r="AH565" i="7"/>
  <c r="AH566" i="7"/>
  <c r="AH567" i="7"/>
  <c r="AH568" i="7"/>
  <c r="AH569" i="7"/>
  <c r="AH570" i="7"/>
  <c r="AH571" i="7"/>
  <c r="AH572" i="7"/>
  <c r="AH573" i="7"/>
  <c r="AH574" i="7"/>
  <c r="AH575" i="7"/>
  <c r="AH576" i="7"/>
  <c r="AH577" i="7"/>
  <c r="AH578" i="7"/>
  <c r="AH579" i="7"/>
  <c r="AH580" i="7"/>
  <c r="AH581" i="7"/>
  <c r="AH582" i="7"/>
  <c r="AH583" i="7"/>
  <c r="AH584" i="7"/>
  <c r="AH585" i="7"/>
  <c r="AH586" i="7"/>
  <c r="AH587" i="7"/>
  <c r="AH588" i="7"/>
  <c r="AH589" i="7"/>
  <c r="AH590" i="7"/>
  <c r="AH591" i="7"/>
  <c r="AH592" i="7"/>
  <c r="AH593" i="7"/>
  <c r="AH594" i="7"/>
  <c r="AH595" i="7"/>
  <c r="AH596" i="7"/>
  <c r="AH597" i="7"/>
  <c r="AH598" i="7"/>
  <c r="AH599" i="7"/>
  <c r="AH600" i="7"/>
  <c r="AH601" i="7"/>
  <c r="AH602" i="7"/>
  <c r="AH603" i="7"/>
  <c r="AH604" i="7"/>
  <c r="AH605" i="7"/>
  <c r="AH606" i="7"/>
  <c r="AH607" i="7"/>
  <c r="AH608" i="7"/>
  <c r="AH609" i="7"/>
  <c r="AH610" i="7"/>
  <c r="AH611" i="7"/>
  <c r="AH612" i="7"/>
  <c r="AH613" i="7"/>
  <c r="AH614" i="7"/>
  <c r="AH615" i="7"/>
  <c r="AH616" i="7"/>
  <c r="AH617" i="7"/>
  <c r="AH618" i="7"/>
  <c r="AH619" i="7"/>
  <c r="AH620" i="7"/>
  <c r="AH621" i="7"/>
  <c r="AH622" i="7"/>
  <c r="AH623" i="7"/>
  <c r="AH624" i="7"/>
  <c r="AH625" i="7"/>
  <c r="AH627" i="7"/>
  <c r="AH628" i="7"/>
  <c r="AH629" i="7"/>
  <c r="AH630" i="7"/>
  <c r="AH631" i="7"/>
  <c r="AH632" i="7"/>
  <c r="AH633" i="7"/>
  <c r="AH635" i="7"/>
  <c r="AH636" i="7"/>
  <c r="AH637" i="7"/>
  <c r="AH638" i="7"/>
  <c r="AH639" i="7"/>
  <c r="AH640" i="7"/>
  <c r="AH641" i="7"/>
  <c r="AH642" i="7"/>
  <c r="AH643" i="7"/>
  <c r="AH644" i="7"/>
  <c r="AH645" i="7"/>
  <c r="AH646" i="7"/>
  <c r="AH647" i="7"/>
  <c r="AH648" i="7"/>
  <c r="AH649" i="7"/>
  <c r="AH650" i="7"/>
  <c r="AH651" i="7"/>
  <c r="AH652" i="7"/>
  <c r="AH653" i="7"/>
  <c r="AH654" i="7"/>
  <c r="AH655" i="7"/>
  <c r="AH656" i="7"/>
  <c r="AH657" i="7"/>
  <c r="AH658" i="7"/>
  <c r="AH659" i="7"/>
  <c r="AH660" i="7"/>
  <c r="AH661" i="7"/>
  <c r="AH662" i="7"/>
  <c r="AH663" i="7"/>
  <c r="AH664" i="7"/>
  <c r="AH665" i="7"/>
  <c r="AH666" i="7"/>
  <c r="AH667" i="7"/>
  <c r="AH668" i="7"/>
  <c r="AH669" i="7"/>
  <c r="AH670" i="7"/>
  <c r="AH671" i="7"/>
  <c r="AH672" i="7"/>
  <c r="AH673" i="7"/>
  <c r="AH674" i="7"/>
  <c r="AH675" i="7"/>
  <c r="AH676" i="7"/>
  <c r="AH677" i="7"/>
  <c r="AH678" i="7"/>
  <c r="AH680" i="7"/>
  <c r="AH681" i="7"/>
  <c r="AH682" i="7"/>
  <c r="AH683" i="7"/>
  <c r="AH684" i="7"/>
  <c r="AH685" i="7"/>
  <c r="AH686" i="7"/>
  <c r="AH687" i="7"/>
  <c r="AH688" i="7"/>
  <c r="AH689" i="7"/>
  <c r="AH690" i="7"/>
  <c r="AH691" i="7"/>
  <c r="AH692" i="7"/>
  <c r="AH693" i="7"/>
  <c r="AH694" i="7"/>
  <c r="AH696" i="7"/>
  <c r="AH697" i="7"/>
  <c r="AH698" i="7"/>
  <c r="AH699" i="7"/>
  <c r="AH700" i="7"/>
  <c r="AH701" i="7"/>
  <c r="AH702" i="7"/>
  <c r="AH703" i="7"/>
  <c r="AH704" i="7"/>
  <c r="AH705" i="7"/>
  <c r="C705" i="7" s="1"/>
  <c r="AH706" i="7"/>
  <c r="AH707" i="7"/>
  <c r="C707" i="7" s="1"/>
  <c r="AH708" i="7"/>
  <c r="I13" i="83"/>
  <c r="I14" i="83"/>
  <c r="I15" i="83"/>
  <c r="I16" i="83"/>
  <c r="I17" i="83"/>
  <c r="I18" i="83"/>
  <c r="I19" i="83"/>
  <c r="I20" i="83"/>
  <c r="I21" i="83"/>
  <c r="I22" i="83"/>
  <c r="I23" i="83"/>
  <c r="I24" i="83"/>
  <c r="I25" i="83"/>
  <c r="I26" i="83"/>
  <c r="I27" i="83"/>
  <c r="I28" i="83"/>
  <c r="I29" i="83"/>
  <c r="I30" i="83"/>
  <c r="I31" i="83"/>
  <c r="I32" i="83"/>
  <c r="I33" i="83"/>
  <c r="I34" i="83"/>
  <c r="I35" i="83"/>
  <c r="I36" i="83"/>
  <c r="I37" i="83"/>
  <c r="I38" i="83"/>
  <c r="I39" i="83"/>
  <c r="I40" i="83"/>
  <c r="I41" i="83"/>
  <c r="I42" i="83"/>
  <c r="I43" i="83"/>
  <c r="I44" i="83"/>
  <c r="I45" i="83"/>
  <c r="I46" i="83"/>
  <c r="I47" i="83"/>
  <c r="I48" i="83"/>
  <c r="I49" i="83"/>
  <c r="I50" i="83"/>
  <c r="I51" i="83"/>
  <c r="I52" i="83"/>
  <c r="I53" i="83"/>
  <c r="I54" i="83"/>
  <c r="I55" i="83"/>
  <c r="I56" i="83"/>
  <c r="I57" i="83"/>
  <c r="I58" i="83"/>
  <c r="I59" i="83"/>
  <c r="I60" i="83"/>
  <c r="I61" i="83"/>
  <c r="I62" i="83"/>
  <c r="I63" i="83"/>
  <c r="I64" i="83"/>
  <c r="I65" i="83"/>
  <c r="I66" i="83"/>
  <c r="I67" i="83"/>
  <c r="I68" i="83"/>
  <c r="I69" i="83"/>
  <c r="I70" i="83"/>
  <c r="I71" i="83"/>
  <c r="I72" i="83"/>
  <c r="I73" i="83"/>
  <c r="I74" i="83"/>
  <c r="I75" i="83"/>
  <c r="I76" i="83"/>
  <c r="I77" i="83"/>
  <c r="I78" i="83"/>
  <c r="I79" i="83"/>
  <c r="I80" i="83"/>
  <c r="I81" i="83"/>
  <c r="I82" i="83"/>
  <c r="I83" i="83"/>
  <c r="I84" i="83"/>
  <c r="I85" i="83"/>
  <c r="I86" i="83"/>
  <c r="I87" i="83"/>
  <c r="I88" i="83"/>
  <c r="I89" i="83"/>
  <c r="I90" i="83"/>
  <c r="I91" i="83"/>
  <c r="I92" i="83"/>
  <c r="I93" i="83"/>
  <c r="I94" i="83"/>
  <c r="I95" i="83"/>
  <c r="I96" i="83"/>
  <c r="I97" i="83"/>
  <c r="I98" i="83"/>
  <c r="I99" i="83"/>
  <c r="I100" i="83"/>
  <c r="I101" i="83"/>
  <c r="I102" i="83"/>
  <c r="I103" i="83"/>
  <c r="I104" i="83"/>
  <c r="I105" i="83"/>
  <c r="I106" i="83"/>
  <c r="I107" i="83"/>
  <c r="I108" i="83"/>
  <c r="I109" i="83"/>
  <c r="I110" i="83"/>
  <c r="I111" i="83"/>
  <c r="I112" i="83"/>
  <c r="I113" i="83"/>
  <c r="I114" i="83"/>
  <c r="I115" i="83"/>
  <c r="I116" i="83"/>
  <c r="I117" i="83"/>
  <c r="I118" i="83"/>
  <c r="I119" i="83"/>
  <c r="I120" i="83"/>
  <c r="I121" i="83"/>
  <c r="I122" i="83"/>
  <c r="I123" i="83"/>
  <c r="I124" i="83"/>
  <c r="I125" i="83"/>
  <c r="I126" i="83"/>
  <c r="I127" i="83"/>
  <c r="I128" i="83"/>
  <c r="I129" i="83"/>
  <c r="I130" i="83"/>
  <c r="I131" i="83"/>
  <c r="I132" i="83"/>
  <c r="I133" i="83"/>
  <c r="I134" i="83"/>
  <c r="I135" i="83"/>
  <c r="I136" i="83"/>
  <c r="I137" i="83"/>
  <c r="I138" i="83"/>
  <c r="I139" i="83"/>
  <c r="I140" i="83"/>
  <c r="I141" i="83"/>
  <c r="I142" i="83"/>
  <c r="I143" i="83"/>
  <c r="I144" i="83"/>
  <c r="I145" i="83"/>
  <c r="I146" i="83"/>
  <c r="I147" i="83"/>
  <c r="I148" i="83"/>
  <c r="I149" i="83"/>
  <c r="I150" i="83"/>
  <c r="I151" i="83"/>
  <c r="I152" i="83"/>
  <c r="I153" i="83"/>
  <c r="I154" i="83"/>
  <c r="I155" i="83"/>
  <c r="I156" i="83"/>
  <c r="I157" i="83"/>
  <c r="I158" i="83"/>
  <c r="I159" i="83"/>
  <c r="I160" i="83"/>
  <c r="I161" i="83"/>
  <c r="I162" i="83"/>
  <c r="I163" i="83"/>
  <c r="I164" i="83"/>
  <c r="I165" i="83"/>
  <c r="I166" i="83"/>
  <c r="I167" i="83"/>
  <c r="I168" i="83"/>
  <c r="I169" i="83"/>
  <c r="I170" i="83"/>
  <c r="I171" i="83"/>
  <c r="I172" i="83"/>
  <c r="I173" i="83"/>
  <c r="I174" i="83"/>
  <c r="I175" i="83"/>
  <c r="I176" i="83"/>
  <c r="I177" i="83"/>
  <c r="I178" i="83"/>
  <c r="I179" i="83"/>
  <c r="I180" i="83"/>
  <c r="I181" i="83"/>
  <c r="I182" i="83"/>
  <c r="I183" i="83"/>
  <c r="I184" i="83"/>
  <c r="I185" i="83"/>
  <c r="I186" i="83"/>
  <c r="I187" i="83"/>
  <c r="I188" i="83"/>
  <c r="I189" i="83"/>
  <c r="I190" i="83"/>
  <c r="I191" i="83"/>
  <c r="I192" i="83"/>
  <c r="I193" i="83"/>
  <c r="I194" i="83"/>
  <c r="I195" i="83"/>
  <c r="I196" i="83"/>
  <c r="I197" i="83"/>
  <c r="I198" i="83"/>
  <c r="I199" i="83"/>
  <c r="I200" i="83"/>
  <c r="I201" i="83"/>
  <c r="I202" i="83"/>
  <c r="I203" i="83"/>
  <c r="I204" i="83"/>
  <c r="I205" i="83"/>
  <c r="I206" i="83"/>
  <c r="I207" i="83"/>
  <c r="I208" i="83"/>
  <c r="I209" i="83"/>
  <c r="I210" i="83"/>
  <c r="I211" i="83"/>
  <c r="I212" i="83"/>
  <c r="I213" i="83"/>
  <c r="I214" i="83"/>
  <c r="I215" i="83"/>
  <c r="I216" i="83"/>
  <c r="I217" i="83"/>
  <c r="I218" i="83"/>
  <c r="I219" i="83"/>
  <c r="I220" i="83"/>
  <c r="I221" i="83"/>
  <c r="I222" i="83"/>
  <c r="I223" i="83"/>
  <c r="I224" i="83"/>
  <c r="I225" i="83"/>
  <c r="I226" i="83"/>
  <c r="I227" i="83"/>
  <c r="I228" i="83"/>
  <c r="I229" i="83"/>
  <c r="I230" i="83"/>
  <c r="I231" i="83"/>
  <c r="I232" i="83"/>
  <c r="I233" i="83"/>
  <c r="I234" i="83"/>
  <c r="I235" i="83"/>
  <c r="I236" i="83"/>
  <c r="I237" i="83"/>
  <c r="I238" i="83"/>
  <c r="I239" i="83"/>
  <c r="I240" i="83"/>
  <c r="I241" i="83"/>
  <c r="I242" i="83"/>
  <c r="I243" i="83"/>
  <c r="I244" i="83"/>
  <c r="I245" i="83"/>
  <c r="I246" i="83"/>
  <c r="I247" i="83"/>
  <c r="I248" i="83"/>
  <c r="I249" i="83"/>
  <c r="I250" i="83"/>
  <c r="I251" i="83"/>
  <c r="I252" i="83"/>
  <c r="I253" i="83"/>
  <c r="I254" i="83"/>
  <c r="I255" i="83"/>
  <c r="I256" i="83"/>
  <c r="I257" i="83"/>
  <c r="I258" i="83"/>
  <c r="I259" i="83"/>
  <c r="I260" i="83"/>
  <c r="I261" i="83"/>
  <c r="I262" i="83"/>
  <c r="I263" i="83"/>
  <c r="I264" i="83"/>
  <c r="I265" i="83"/>
  <c r="I266" i="83"/>
  <c r="I267" i="83"/>
  <c r="I268" i="83"/>
  <c r="I269" i="83"/>
  <c r="I270" i="83"/>
  <c r="I271" i="83"/>
  <c r="I272" i="83"/>
  <c r="I273" i="83"/>
  <c r="I274" i="83"/>
  <c r="I275" i="83"/>
  <c r="I276" i="83"/>
  <c r="I277" i="83"/>
  <c r="I278" i="83"/>
  <c r="I279" i="83"/>
  <c r="I280" i="83"/>
  <c r="I281" i="83"/>
  <c r="I282" i="83"/>
  <c r="I283" i="83"/>
  <c r="I284" i="83"/>
  <c r="I285" i="83"/>
  <c r="I286" i="83"/>
  <c r="I287" i="83"/>
  <c r="I288" i="83"/>
  <c r="I289" i="83"/>
  <c r="I290" i="83"/>
  <c r="I291" i="83"/>
  <c r="I292" i="83"/>
  <c r="I293" i="83"/>
  <c r="I294" i="83"/>
  <c r="I295" i="83"/>
  <c r="I296" i="83"/>
  <c r="I297" i="83"/>
  <c r="I300" i="83"/>
  <c r="I301" i="83"/>
  <c r="I302" i="83"/>
  <c r="I303" i="83"/>
  <c r="I304" i="83"/>
  <c r="I305" i="83"/>
  <c r="I306" i="83"/>
  <c r="I307" i="83"/>
  <c r="I308" i="83"/>
  <c r="I309" i="83"/>
  <c r="I310" i="83"/>
  <c r="I311" i="83"/>
  <c r="I312" i="83"/>
  <c r="I313" i="83"/>
  <c r="I314" i="83"/>
  <c r="I315" i="83"/>
  <c r="I316" i="83"/>
  <c r="I317" i="83"/>
  <c r="I318" i="83"/>
  <c r="I319" i="83"/>
  <c r="I320" i="83"/>
  <c r="I321" i="83"/>
  <c r="I322" i="83"/>
  <c r="I323" i="83"/>
  <c r="I324" i="83"/>
  <c r="I325" i="83"/>
  <c r="I326" i="83"/>
  <c r="I327" i="83"/>
  <c r="I328" i="83"/>
  <c r="I329" i="83"/>
  <c r="I330" i="83"/>
  <c r="I331" i="83"/>
  <c r="I332" i="83"/>
  <c r="I333" i="83"/>
  <c r="I334" i="83"/>
  <c r="I335" i="83"/>
  <c r="I336" i="83"/>
  <c r="I337" i="83"/>
  <c r="I338" i="83"/>
  <c r="I339" i="83"/>
  <c r="I340" i="83"/>
  <c r="I341" i="83"/>
  <c r="I342" i="83"/>
  <c r="I343" i="83"/>
  <c r="I344" i="83"/>
  <c r="I345" i="83"/>
  <c r="I346" i="83"/>
  <c r="I347" i="83"/>
  <c r="I348" i="83"/>
  <c r="I349" i="83"/>
  <c r="I350" i="83"/>
  <c r="I351" i="83"/>
  <c r="I352" i="83"/>
  <c r="I353" i="83"/>
  <c r="I354" i="83"/>
  <c r="I355" i="83"/>
  <c r="I358" i="83"/>
  <c r="I362" i="83"/>
  <c r="I363" i="83"/>
  <c r="I364" i="83"/>
  <c r="I365" i="83"/>
  <c r="I366" i="83"/>
  <c r="I367" i="83"/>
  <c r="I368" i="83"/>
  <c r="I371" i="83"/>
  <c r="I372" i="83"/>
  <c r="I373" i="83"/>
  <c r="I374" i="83"/>
  <c r="I375" i="83"/>
  <c r="I376" i="83"/>
  <c r="I377" i="83"/>
  <c r="I378" i="83"/>
  <c r="I379" i="83"/>
  <c r="I380" i="83"/>
  <c r="I381" i="83"/>
  <c r="I382" i="83"/>
  <c r="I383" i="83"/>
  <c r="I384" i="83"/>
  <c r="I385" i="83"/>
  <c r="I386" i="83"/>
  <c r="I387" i="83"/>
  <c r="I388" i="83"/>
  <c r="I389" i="83"/>
  <c r="I390" i="83"/>
  <c r="I391" i="83"/>
  <c r="I392" i="83"/>
  <c r="I393" i="83"/>
  <c r="I394" i="83"/>
  <c r="I395" i="83"/>
  <c r="I396" i="83"/>
  <c r="I397" i="83"/>
  <c r="I398" i="83"/>
  <c r="I399" i="83"/>
  <c r="I400" i="83"/>
  <c r="I401" i="83"/>
  <c r="I402" i="83"/>
  <c r="I403" i="83"/>
  <c r="I404" i="83"/>
  <c r="I405" i="83"/>
  <c r="I406" i="83"/>
  <c r="I407" i="83"/>
  <c r="I408" i="83"/>
  <c r="I409" i="83"/>
  <c r="I410" i="83"/>
  <c r="I411" i="83"/>
  <c r="I412" i="83"/>
  <c r="I413" i="83"/>
  <c r="I414" i="83"/>
  <c r="I415" i="83"/>
  <c r="I416" i="83"/>
  <c r="I417" i="83"/>
  <c r="I418" i="83"/>
  <c r="I419" i="83"/>
  <c r="I420" i="83"/>
  <c r="I421" i="83"/>
  <c r="I422" i="83"/>
  <c r="I423" i="83"/>
  <c r="I424" i="83"/>
  <c r="I425" i="83"/>
  <c r="I426" i="83"/>
  <c r="I427" i="83"/>
  <c r="I428" i="83"/>
  <c r="I429" i="83"/>
  <c r="I430" i="83"/>
  <c r="I431" i="83"/>
  <c r="I432" i="83"/>
  <c r="I433" i="83"/>
  <c r="I434" i="83"/>
  <c r="I435" i="83"/>
  <c r="I436" i="83"/>
  <c r="I437" i="83"/>
  <c r="I438" i="83"/>
  <c r="I439" i="83"/>
  <c r="I440" i="83"/>
  <c r="I441" i="83"/>
  <c r="I442" i="83"/>
  <c r="I443" i="83"/>
  <c r="I444" i="83"/>
  <c r="I445" i="83"/>
  <c r="I446" i="83"/>
  <c r="I447" i="83"/>
  <c r="I448" i="83"/>
  <c r="I449" i="83"/>
  <c r="I450" i="83"/>
  <c r="I451" i="83"/>
  <c r="I452" i="83"/>
  <c r="I453" i="83"/>
  <c r="I454" i="83"/>
  <c r="I455" i="83"/>
  <c r="I456" i="83"/>
  <c r="I457" i="83"/>
  <c r="I458" i="83"/>
  <c r="I459" i="83"/>
  <c r="I460" i="83"/>
  <c r="I461" i="83"/>
  <c r="I462" i="83"/>
  <c r="I463" i="83"/>
  <c r="I464" i="83"/>
  <c r="I465" i="83"/>
  <c r="I466" i="83"/>
  <c r="I467" i="83"/>
  <c r="I468" i="83"/>
  <c r="I469" i="83"/>
  <c r="I470" i="83"/>
  <c r="I471" i="83"/>
  <c r="I472" i="83"/>
  <c r="I473" i="83"/>
  <c r="I476" i="83"/>
  <c r="I477" i="83"/>
  <c r="I478" i="83"/>
  <c r="I479" i="83"/>
  <c r="I480" i="83"/>
  <c r="I481" i="83"/>
  <c r="I482" i="83"/>
  <c r="I483" i="83"/>
  <c r="I484" i="83"/>
  <c r="I485" i="83"/>
  <c r="I486" i="83"/>
  <c r="I487" i="83"/>
  <c r="I488" i="83"/>
  <c r="I489" i="83"/>
  <c r="I490" i="83"/>
  <c r="I491" i="83"/>
  <c r="I492" i="83"/>
  <c r="I493" i="83"/>
  <c r="I497" i="83"/>
  <c r="I498" i="83"/>
  <c r="I499" i="83"/>
  <c r="I500" i="83"/>
  <c r="I501" i="83"/>
  <c r="I502" i="83"/>
  <c r="I503" i="83"/>
  <c r="I504" i="83"/>
  <c r="I505" i="83"/>
  <c r="I506" i="83"/>
  <c r="I507" i="83"/>
  <c r="I508" i="83"/>
  <c r="I509" i="83"/>
  <c r="I510" i="83"/>
  <c r="I511" i="83"/>
  <c r="I512" i="83"/>
  <c r="I513" i="83"/>
  <c r="I514" i="83"/>
  <c r="I515" i="83"/>
  <c r="I516" i="83"/>
  <c r="I517" i="83"/>
  <c r="I518" i="83"/>
  <c r="I519" i="83"/>
  <c r="I520" i="83"/>
  <c r="I521" i="83"/>
  <c r="I522" i="83"/>
  <c r="I523" i="83"/>
  <c r="I524" i="83"/>
  <c r="I525" i="83"/>
  <c r="I526" i="83"/>
  <c r="I527" i="83"/>
  <c r="I528" i="83"/>
  <c r="I529" i="83"/>
  <c r="I530" i="83"/>
  <c r="I531" i="83"/>
  <c r="I534" i="83"/>
  <c r="I535" i="83"/>
  <c r="I536" i="83"/>
  <c r="I537" i="83"/>
  <c r="I538" i="83"/>
  <c r="I539" i="83"/>
  <c r="I540" i="83"/>
  <c r="I541" i="83"/>
  <c r="I542" i="83"/>
  <c r="I543" i="83"/>
  <c r="I544" i="83"/>
  <c r="I545" i="83"/>
  <c r="I546" i="83"/>
  <c r="I547" i="83"/>
  <c r="I548" i="83"/>
  <c r="I549" i="83"/>
  <c r="I550" i="83"/>
  <c r="I551" i="83"/>
  <c r="I552" i="83"/>
  <c r="I553" i="83"/>
  <c r="I554" i="83"/>
  <c r="I555" i="83"/>
  <c r="I556" i="83"/>
  <c r="I557" i="83"/>
  <c r="I558" i="83"/>
  <c r="I559" i="83"/>
  <c r="I560" i="83"/>
  <c r="I561" i="83"/>
  <c r="I562" i="83"/>
  <c r="I563" i="83"/>
  <c r="I564" i="83"/>
  <c r="I565" i="83"/>
  <c r="I566" i="83"/>
  <c r="I567" i="83"/>
  <c r="I568" i="83"/>
  <c r="I569" i="83"/>
  <c r="I570" i="83"/>
  <c r="I571" i="83"/>
  <c r="I572" i="83"/>
  <c r="I573" i="83"/>
  <c r="I574" i="83"/>
  <c r="I575" i="83"/>
  <c r="I576" i="83"/>
  <c r="I577" i="83"/>
  <c r="I578" i="83"/>
  <c r="I579" i="83"/>
  <c r="I580" i="83"/>
  <c r="I581" i="83"/>
  <c r="I582" i="83"/>
  <c r="I583" i="83"/>
  <c r="I584" i="83"/>
  <c r="I585" i="83"/>
  <c r="I586" i="83"/>
  <c r="I587" i="83"/>
  <c r="I588" i="83"/>
  <c r="I589" i="83"/>
  <c r="I590" i="83"/>
  <c r="I591" i="83"/>
  <c r="I592" i="83"/>
  <c r="I593" i="83"/>
  <c r="I594" i="83"/>
  <c r="I595" i="83"/>
  <c r="I596" i="83"/>
  <c r="I597" i="83"/>
  <c r="I598" i="83"/>
  <c r="I599" i="83"/>
  <c r="I600" i="83"/>
  <c r="I603" i="83"/>
  <c r="I604" i="83"/>
  <c r="I605" i="83"/>
  <c r="I606" i="83"/>
  <c r="I607" i="83"/>
  <c r="I608" i="83"/>
  <c r="I612" i="83"/>
  <c r="I613" i="83"/>
  <c r="I614" i="83"/>
  <c r="I615" i="83"/>
  <c r="I616" i="83"/>
  <c r="I617" i="83"/>
  <c r="I618" i="83"/>
  <c r="I619" i="83"/>
  <c r="I620" i="83"/>
  <c r="I621" i="83"/>
  <c r="I622" i="83"/>
  <c r="I623" i="83"/>
  <c r="I624" i="83"/>
  <c r="I625" i="83"/>
  <c r="I626" i="83"/>
  <c r="I627" i="83"/>
  <c r="I628" i="83"/>
  <c r="I629" i="83"/>
  <c r="I630" i="83"/>
  <c r="I631" i="83"/>
  <c r="I632" i="83"/>
  <c r="I633" i="83"/>
  <c r="I634" i="83"/>
  <c r="I635" i="83"/>
  <c r="I636" i="83"/>
  <c r="I637" i="83"/>
  <c r="I638" i="83"/>
  <c r="I639" i="83"/>
  <c r="I640" i="83"/>
  <c r="I641" i="83"/>
  <c r="I642" i="83"/>
  <c r="I643" i="83"/>
  <c r="I644" i="83"/>
  <c r="I645" i="83"/>
  <c r="I646" i="83"/>
  <c r="I647" i="83"/>
  <c r="I648" i="83"/>
  <c r="I649" i="83"/>
  <c r="I650" i="83"/>
  <c r="I651" i="83"/>
  <c r="I652" i="83"/>
  <c r="I653" i="83"/>
  <c r="I654" i="83"/>
  <c r="I655" i="83"/>
  <c r="I656" i="83"/>
  <c r="I657" i="83"/>
  <c r="I658" i="83"/>
  <c r="I659" i="83"/>
  <c r="I660" i="83"/>
  <c r="I661" i="83"/>
  <c r="I662" i="83"/>
  <c r="I663" i="83"/>
  <c r="I664" i="83"/>
  <c r="I665" i="83"/>
  <c r="I666" i="83"/>
  <c r="I667" i="83"/>
  <c r="I668" i="83"/>
  <c r="I669" i="83"/>
  <c r="I670" i="83"/>
  <c r="I671" i="83"/>
  <c r="I672" i="83"/>
  <c r="I673" i="83"/>
  <c r="I674" i="83"/>
  <c r="I675" i="83"/>
  <c r="I676" i="83"/>
  <c r="I677" i="83"/>
  <c r="I678" i="83"/>
  <c r="I679" i="83"/>
  <c r="I680" i="83"/>
  <c r="I681" i="83"/>
  <c r="I682" i="83"/>
  <c r="I683" i="83"/>
  <c r="I684" i="83"/>
  <c r="I685" i="83"/>
  <c r="I686" i="83"/>
  <c r="I687" i="83"/>
  <c r="I688" i="83"/>
  <c r="I689" i="83"/>
  <c r="I690" i="83"/>
  <c r="I691" i="83"/>
  <c r="I692" i="83"/>
  <c r="I693" i="83"/>
  <c r="I694" i="83"/>
  <c r="I695" i="83"/>
  <c r="I696" i="83"/>
  <c r="I697" i="83"/>
  <c r="I698" i="83"/>
  <c r="I699" i="83"/>
  <c r="I700" i="83"/>
  <c r="I701" i="83"/>
  <c r="I702" i="83"/>
  <c r="I703" i="83"/>
  <c r="I706" i="83"/>
  <c r="I707" i="83"/>
  <c r="I708" i="83"/>
  <c r="I709" i="83"/>
  <c r="I710" i="83"/>
  <c r="I711" i="83"/>
  <c r="I712" i="83"/>
  <c r="I713" i="83"/>
  <c r="I714" i="83"/>
  <c r="I715" i="83"/>
  <c r="I716" i="83"/>
  <c r="I717" i="83"/>
  <c r="I718" i="83"/>
  <c r="I719" i="83"/>
  <c r="I720" i="83"/>
  <c r="I721" i="83"/>
  <c r="I722" i="83"/>
  <c r="I723" i="83"/>
  <c r="I724" i="83"/>
  <c r="I725" i="83"/>
  <c r="I726" i="83"/>
  <c r="I727" i="83"/>
  <c r="I728" i="83"/>
  <c r="I729" i="83"/>
  <c r="I730" i="83"/>
  <c r="I731" i="83"/>
  <c r="I732" i="83"/>
  <c r="I733" i="83"/>
  <c r="I734" i="83"/>
  <c r="I735" i="83"/>
  <c r="I736" i="83"/>
  <c r="I737" i="83"/>
  <c r="I738" i="83"/>
  <c r="I739" i="83"/>
  <c r="I740" i="83"/>
  <c r="I741" i="83"/>
  <c r="I744" i="83"/>
  <c r="AA706" i="7"/>
  <c r="AA707" i="7"/>
  <c r="AA708" i="7"/>
  <c r="AA705" i="7"/>
  <c r="AA449" i="7"/>
  <c r="AA447" i="7"/>
  <c r="AA205" i="7"/>
  <c r="AA201" i="7"/>
  <c r="AA196" i="7"/>
  <c r="AA189" i="7"/>
  <c r="AA181" i="7"/>
  <c r="AA176" i="7"/>
  <c r="AA156" i="7"/>
  <c r="AA147" i="7"/>
  <c r="AA140" i="7"/>
  <c r="AA138" i="7"/>
  <c r="AA137" i="7"/>
  <c r="AA136" i="7"/>
  <c r="AA132" i="7"/>
  <c r="AA130" i="7"/>
  <c r="AA128" i="7"/>
  <c r="AA125" i="7"/>
  <c r="AA121" i="7"/>
  <c r="AA120" i="7"/>
  <c r="AA106" i="7"/>
  <c r="AA105" i="7"/>
  <c r="AA96" i="7"/>
  <c r="AA679" i="7"/>
  <c r="AA680" i="7"/>
  <c r="AA681" i="7"/>
  <c r="AA682" i="7"/>
  <c r="AA683" i="7"/>
  <c r="AA684" i="7"/>
  <c r="AA685" i="7"/>
  <c r="AA686" i="7"/>
  <c r="AA687" i="7"/>
  <c r="AA688" i="7"/>
  <c r="AA689" i="7"/>
  <c r="AA690" i="7"/>
  <c r="AA691" i="7"/>
  <c r="AA692" i="7"/>
  <c r="AA693" i="7"/>
  <c r="AA694" i="7"/>
  <c r="AA695" i="7"/>
  <c r="AA696" i="7"/>
  <c r="AA697" i="7"/>
  <c r="AA698" i="7"/>
  <c r="AA699" i="7"/>
  <c r="AA700" i="7"/>
  <c r="AA701" i="7"/>
  <c r="AA702" i="7"/>
  <c r="AA703" i="7"/>
  <c r="AA704" i="7"/>
  <c r="AA678" i="7"/>
  <c r="V677" i="7"/>
  <c r="V643" i="7"/>
  <c r="V640" i="7"/>
  <c r="V638" i="7"/>
  <c r="V637" i="7"/>
  <c r="V635" i="7"/>
  <c r="V633" i="7"/>
  <c r="V588" i="7"/>
  <c r="V587" i="7"/>
  <c r="V583" i="7"/>
  <c r="V582" i="7"/>
  <c r="V580" i="7"/>
  <c r="V578" i="7"/>
  <c r="V543" i="7"/>
  <c r="V462" i="7"/>
  <c r="V603" i="7"/>
  <c r="V316" i="7"/>
  <c r="V157" i="7"/>
  <c r="V155" i="7"/>
  <c r="V154" i="7"/>
  <c r="V153" i="7"/>
  <c r="V152" i="7"/>
  <c r="V151" i="7"/>
  <c r="V150" i="7"/>
  <c r="V149" i="7"/>
  <c r="V148" i="7"/>
  <c r="V147" i="7"/>
  <c r="V146" i="7"/>
  <c r="V442" i="7"/>
  <c r="V636" i="7"/>
  <c r="V539" i="7"/>
  <c r="V532" i="7"/>
  <c r="V531" i="7"/>
  <c r="V530" i="7"/>
  <c r="V529" i="7"/>
  <c r="V528" i="7"/>
  <c r="V527" i="7"/>
  <c r="V526" i="7"/>
  <c r="V525" i="7"/>
  <c r="V524" i="7"/>
  <c r="V523" i="7"/>
  <c r="V542" i="7"/>
  <c r="V544" i="7"/>
  <c r="V540" i="7"/>
  <c r="V522" i="7"/>
  <c r="V521" i="7"/>
  <c r="V520" i="7"/>
  <c r="V519" i="7"/>
  <c r="V518" i="7"/>
  <c r="V506" i="7"/>
  <c r="V505" i="7"/>
  <c r="V504" i="7"/>
  <c r="V503" i="7"/>
  <c r="V502" i="7"/>
  <c r="V501" i="7"/>
  <c r="V500" i="7"/>
  <c r="V499" i="7"/>
  <c r="V498" i="7"/>
  <c r="V497" i="7"/>
  <c r="V674" i="7"/>
  <c r="V673" i="7"/>
  <c r="V669" i="7"/>
  <c r="V665" i="7"/>
  <c r="V663" i="7"/>
  <c r="V619" i="7"/>
  <c r="V617" i="7"/>
  <c r="W614" i="7"/>
  <c r="V676" i="7"/>
  <c r="V675" i="7"/>
  <c r="V672" i="7"/>
  <c r="V671" i="7"/>
  <c r="V670" i="7"/>
  <c r="V668" i="7"/>
  <c r="V667" i="7"/>
  <c r="V666" i="7"/>
  <c r="V664" i="7"/>
  <c r="V661" i="7"/>
  <c r="V660" i="7"/>
  <c r="V657" i="7"/>
  <c r="V655" i="7"/>
  <c r="V654" i="7"/>
  <c r="V652" i="7"/>
  <c r="V647" i="7"/>
  <c r="V618" i="7"/>
  <c r="V616" i="7"/>
  <c r="V615" i="7"/>
  <c r="V612" i="7"/>
  <c r="V610" i="7"/>
  <c r="V608" i="7"/>
  <c r="V607" i="7"/>
  <c r="V598" i="7"/>
  <c r="V593" i="7"/>
  <c r="V551" i="7"/>
  <c r="V549" i="7"/>
  <c r="V547" i="7"/>
  <c r="V545" i="7"/>
  <c r="X2098" i="75"/>
  <c r="T2098" i="75"/>
  <c r="U2098" i="75" s="1"/>
  <c r="T2099" i="75"/>
  <c r="U2099" i="75" s="1"/>
  <c r="V2098" i="75"/>
  <c r="V2099" i="75"/>
  <c r="X2099" i="75" s="1"/>
  <c r="Z2098" i="75"/>
  <c r="Z2099" i="75"/>
  <c r="T2100" i="75"/>
  <c r="U2100" i="75" s="1"/>
  <c r="V2100" i="75"/>
  <c r="X2100" i="75" s="1"/>
  <c r="Z2100" i="75"/>
  <c r="T2101" i="75"/>
  <c r="U2101" i="75" s="1"/>
  <c r="V2101" i="75"/>
  <c r="X2101" i="75" s="1"/>
  <c r="Z2101" i="75"/>
  <c r="O2102" i="75"/>
  <c r="P2102" i="75"/>
  <c r="C706" i="7"/>
  <c r="C708" i="7"/>
  <c r="AB2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310" i="7"/>
  <c r="AB311" i="7"/>
  <c r="AB312" i="7"/>
  <c r="AB313" i="7"/>
  <c r="AB314" i="7"/>
  <c r="AB315" i="7"/>
  <c r="AB316" i="7"/>
  <c r="AB317" i="7"/>
  <c r="AB318" i="7"/>
  <c r="AB319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40" i="7"/>
  <c r="AB341" i="7"/>
  <c r="AB342" i="7"/>
  <c r="AB343" i="7"/>
  <c r="AB344" i="7"/>
  <c r="AB345" i="7"/>
  <c r="AB346" i="7"/>
  <c r="AB347" i="7"/>
  <c r="AB348" i="7"/>
  <c r="AB349" i="7"/>
  <c r="AB350" i="7"/>
  <c r="AB351" i="7"/>
  <c r="AB352" i="7"/>
  <c r="AB353" i="7"/>
  <c r="AB354" i="7"/>
  <c r="AB355" i="7"/>
  <c r="AB356" i="7"/>
  <c r="AB357" i="7"/>
  <c r="AB358" i="7"/>
  <c r="AB359" i="7"/>
  <c r="AB360" i="7"/>
  <c r="AB361" i="7"/>
  <c r="AB362" i="7"/>
  <c r="AB363" i="7"/>
  <c r="AB364" i="7"/>
  <c r="AB365" i="7"/>
  <c r="AB366" i="7"/>
  <c r="AB367" i="7"/>
  <c r="AB368" i="7"/>
  <c r="AB369" i="7"/>
  <c r="AB370" i="7"/>
  <c r="AB371" i="7"/>
  <c r="AB372" i="7"/>
  <c r="AB373" i="7"/>
  <c r="AB374" i="7"/>
  <c r="AB375" i="7"/>
  <c r="AB376" i="7"/>
  <c r="AB377" i="7"/>
  <c r="AB378" i="7"/>
  <c r="AB379" i="7"/>
  <c r="AB380" i="7"/>
  <c r="AB381" i="7"/>
  <c r="AB382" i="7"/>
  <c r="AB383" i="7"/>
  <c r="AB384" i="7"/>
  <c r="AB385" i="7"/>
  <c r="AB386" i="7"/>
  <c r="AB387" i="7"/>
  <c r="AB388" i="7"/>
  <c r="AB389" i="7"/>
  <c r="AB390" i="7"/>
  <c r="AB391" i="7"/>
  <c r="AB392" i="7"/>
  <c r="AB393" i="7"/>
  <c r="AB394" i="7"/>
  <c r="AB395" i="7"/>
  <c r="AB396" i="7"/>
  <c r="AB397" i="7"/>
  <c r="AB398" i="7"/>
  <c r="AB399" i="7"/>
  <c r="AB400" i="7"/>
  <c r="AB401" i="7"/>
  <c r="AB402" i="7"/>
  <c r="AB403" i="7"/>
  <c r="AB404" i="7"/>
  <c r="AB405" i="7"/>
  <c r="AB406" i="7"/>
  <c r="AB407" i="7"/>
  <c r="AB408" i="7"/>
  <c r="AB409" i="7"/>
  <c r="AB410" i="7"/>
  <c r="AB411" i="7"/>
  <c r="AB412" i="7"/>
  <c r="AB413" i="7"/>
  <c r="AB414" i="7"/>
  <c r="AB415" i="7"/>
  <c r="AB416" i="7"/>
  <c r="AB417" i="7"/>
  <c r="AB418" i="7"/>
  <c r="AB419" i="7"/>
  <c r="AB420" i="7"/>
  <c r="AB421" i="7"/>
  <c r="AB422" i="7"/>
  <c r="AB423" i="7"/>
  <c r="AB424" i="7"/>
  <c r="AB425" i="7"/>
  <c r="AB426" i="7"/>
  <c r="AB427" i="7"/>
  <c r="AB428" i="7"/>
  <c r="AB429" i="7"/>
  <c r="AB430" i="7"/>
  <c r="AB431" i="7"/>
  <c r="AB432" i="7"/>
  <c r="AB433" i="7"/>
  <c r="AB434" i="7"/>
  <c r="AB435" i="7"/>
  <c r="AB436" i="7"/>
  <c r="AB437" i="7"/>
  <c r="AB438" i="7"/>
  <c r="AB439" i="7"/>
  <c r="AB440" i="7"/>
  <c r="AB441" i="7"/>
  <c r="AB442" i="7"/>
  <c r="AB443" i="7"/>
  <c r="AB444" i="7"/>
  <c r="AB445" i="7"/>
  <c r="AB446" i="7"/>
  <c r="AB447" i="7"/>
  <c r="AB448" i="7"/>
  <c r="AB449" i="7"/>
  <c r="AB450" i="7"/>
  <c r="AB451" i="7"/>
  <c r="AB452" i="7"/>
  <c r="AB453" i="7"/>
  <c r="AB454" i="7"/>
  <c r="AB455" i="7"/>
  <c r="AB456" i="7"/>
  <c r="AB457" i="7"/>
  <c r="AB458" i="7"/>
  <c r="AB459" i="7"/>
  <c r="AB460" i="7"/>
  <c r="AB461" i="7"/>
  <c r="AB462" i="7"/>
  <c r="AB463" i="7"/>
  <c r="AB464" i="7"/>
  <c r="AB465" i="7"/>
  <c r="AB466" i="7"/>
  <c r="AB467" i="7"/>
  <c r="AB468" i="7"/>
  <c r="AB469" i="7"/>
  <c r="AB470" i="7"/>
  <c r="AB471" i="7"/>
  <c r="AB472" i="7"/>
  <c r="AB473" i="7"/>
  <c r="AB474" i="7"/>
  <c r="AB475" i="7"/>
  <c r="AB476" i="7"/>
  <c r="AB477" i="7"/>
  <c r="AB478" i="7"/>
  <c r="AB479" i="7"/>
  <c r="AB480" i="7"/>
  <c r="AB481" i="7"/>
  <c r="AB482" i="7"/>
  <c r="AB483" i="7"/>
  <c r="AB484" i="7"/>
  <c r="AB485" i="7"/>
  <c r="AB486" i="7"/>
  <c r="AB487" i="7"/>
  <c r="AB488" i="7"/>
  <c r="AB489" i="7"/>
  <c r="AB490" i="7"/>
  <c r="AB491" i="7"/>
  <c r="AB492" i="7"/>
  <c r="AB493" i="7"/>
  <c r="AB494" i="7"/>
  <c r="AB495" i="7"/>
  <c r="AB496" i="7"/>
  <c r="AB497" i="7"/>
  <c r="AB498" i="7"/>
  <c r="AB499" i="7"/>
  <c r="AB500" i="7"/>
  <c r="AB501" i="7"/>
  <c r="AB502" i="7"/>
  <c r="AB503" i="7"/>
  <c r="AB504" i="7"/>
  <c r="AB505" i="7"/>
  <c r="AB506" i="7"/>
  <c r="AB507" i="7"/>
  <c r="AB508" i="7"/>
  <c r="AB509" i="7"/>
  <c r="AB510" i="7"/>
  <c r="AB511" i="7"/>
  <c r="AB512" i="7"/>
  <c r="AB513" i="7"/>
  <c r="AB514" i="7"/>
  <c r="AB515" i="7"/>
  <c r="AB516" i="7"/>
  <c r="AB517" i="7"/>
  <c r="AB518" i="7"/>
  <c r="AB519" i="7"/>
  <c r="AB520" i="7"/>
  <c r="AB521" i="7"/>
  <c r="AB522" i="7"/>
  <c r="AB523" i="7"/>
  <c r="AB524" i="7"/>
  <c r="AB525" i="7"/>
  <c r="AB526" i="7"/>
  <c r="AB527" i="7"/>
  <c r="AB528" i="7"/>
  <c r="AB529" i="7"/>
  <c r="AB530" i="7"/>
  <c r="AB531" i="7"/>
  <c r="AB532" i="7"/>
  <c r="AB533" i="7"/>
  <c r="AB534" i="7"/>
  <c r="AB535" i="7"/>
  <c r="AB536" i="7"/>
  <c r="AB537" i="7"/>
  <c r="AB538" i="7"/>
  <c r="AB539" i="7"/>
  <c r="AB540" i="7"/>
  <c r="AB541" i="7"/>
  <c r="AB542" i="7"/>
  <c r="AB543" i="7"/>
  <c r="AB544" i="7"/>
  <c r="AB545" i="7"/>
  <c r="AB546" i="7"/>
  <c r="AB547" i="7"/>
  <c r="AB548" i="7"/>
  <c r="AB549" i="7"/>
  <c r="AB550" i="7"/>
  <c r="AB551" i="7"/>
  <c r="AB552" i="7"/>
  <c r="AB553" i="7"/>
  <c r="AB554" i="7"/>
  <c r="AB555" i="7"/>
  <c r="AB556" i="7"/>
  <c r="AB557" i="7"/>
  <c r="AB558" i="7"/>
  <c r="AB559" i="7"/>
  <c r="AB560" i="7"/>
  <c r="AB561" i="7"/>
  <c r="AB562" i="7"/>
  <c r="AB563" i="7"/>
  <c r="AB564" i="7"/>
  <c r="AB565" i="7"/>
  <c r="AB566" i="7"/>
  <c r="AB567" i="7"/>
  <c r="AB568" i="7"/>
  <c r="AB569" i="7"/>
  <c r="AB570" i="7"/>
  <c r="AB571" i="7"/>
  <c r="AB572" i="7"/>
  <c r="AB573" i="7"/>
  <c r="AB574" i="7"/>
  <c r="AB575" i="7"/>
  <c r="AB576" i="7"/>
  <c r="AB577" i="7"/>
  <c r="AB578" i="7"/>
  <c r="AB579" i="7"/>
  <c r="AB580" i="7"/>
  <c r="AB581" i="7"/>
  <c r="AB582" i="7"/>
  <c r="AB583" i="7"/>
  <c r="AB584" i="7"/>
  <c r="AB585" i="7"/>
  <c r="AB586" i="7"/>
  <c r="AB587" i="7"/>
  <c r="AB588" i="7"/>
  <c r="AB589" i="7"/>
  <c r="AB590" i="7"/>
  <c r="AB591" i="7"/>
  <c r="AB592" i="7"/>
  <c r="AB593" i="7"/>
  <c r="AB594" i="7"/>
  <c r="AB595" i="7"/>
  <c r="AB596" i="7"/>
  <c r="AB597" i="7"/>
  <c r="AB598" i="7"/>
  <c r="AB599" i="7"/>
  <c r="AB600" i="7"/>
  <c r="AB601" i="7"/>
  <c r="AB602" i="7"/>
  <c r="AB603" i="7"/>
  <c r="AB604" i="7"/>
  <c r="AB605" i="7"/>
  <c r="AB606" i="7"/>
  <c r="AB607" i="7"/>
  <c r="AB608" i="7"/>
  <c r="AB609" i="7"/>
  <c r="AB610" i="7"/>
  <c r="AB611" i="7"/>
  <c r="AB612" i="7"/>
  <c r="AB613" i="7"/>
  <c r="AB614" i="7"/>
  <c r="AB615" i="7"/>
  <c r="AB616" i="7"/>
  <c r="AB678" i="7"/>
  <c r="AB679" i="7"/>
  <c r="AB680" i="7"/>
  <c r="AB681" i="7"/>
  <c r="AB682" i="7"/>
  <c r="AB683" i="7"/>
  <c r="AB684" i="7"/>
  <c r="AB685" i="7"/>
  <c r="AB686" i="7"/>
  <c r="AB687" i="7"/>
  <c r="AB688" i="7"/>
  <c r="AB689" i="7"/>
  <c r="AB690" i="7"/>
  <c r="AB691" i="7"/>
  <c r="AB692" i="7"/>
  <c r="AB693" i="7"/>
  <c r="AB694" i="7"/>
  <c r="AB695" i="7"/>
  <c r="AB696" i="7"/>
  <c r="AB697" i="7"/>
  <c r="AB698" i="7"/>
  <c r="AB699" i="7"/>
  <c r="AB700" i="7"/>
  <c r="AB701" i="7"/>
  <c r="AB702" i="7"/>
  <c r="AB703" i="7"/>
  <c r="AB704" i="7"/>
  <c r="AC705" i="7" l="1"/>
  <c r="AC706" i="7"/>
  <c r="AC707" i="7"/>
  <c r="AC708" i="7"/>
  <c r="C630" i="7"/>
  <c r="C634" i="7"/>
  <c r="C638" i="7"/>
  <c r="C641" i="7"/>
  <c r="C642" i="7"/>
  <c r="C646" i="7"/>
  <c r="C654" i="7"/>
  <c r="AC656" i="7"/>
  <c r="C658" i="7"/>
  <c r="C663" i="7"/>
  <c r="C665" i="7"/>
  <c r="C666" i="7"/>
  <c r="C668" i="7"/>
  <c r="C670" i="7"/>
  <c r="C674" i="7"/>
  <c r="C676" i="7"/>
  <c r="C686" i="7"/>
  <c r="C690" i="7"/>
  <c r="C694" i="7"/>
  <c r="C698" i="7"/>
  <c r="AA95" i="7"/>
  <c r="Z2" i="7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Z130" i="7"/>
  <c r="Z131" i="7"/>
  <c r="Z132" i="7"/>
  <c r="Z133" i="7"/>
  <c r="Z134" i="7"/>
  <c r="Z135" i="7"/>
  <c r="Z136" i="7"/>
  <c r="Z137" i="7"/>
  <c r="Z138" i="7"/>
  <c r="Z139" i="7"/>
  <c r="Z140" i="7"/>
  <c r="Z141" i="7"/>
  <c r="Z142" i="7"/>
  <c r="Z143" i="7"/>
  <c r="Z144" i="7"/>
  <c r="Z145" i="7"/>
  <c r="Z146" i="7"/>
  <c r="Z147" i="7"/>
  <c r="Z148" i="7"/>
  <c r="Z149" i="7"/>
  <c r="Z150" i="7"/>
  <c r="Z151" i="7"/>
  <c r="Z152" i="7"/>
  <c r="Z153" i="7"/>
  <c r="Z154" i="7"/>
  <c r="Z155" i="7"/>
  <c r="Z156" i="7"/>
  <c r="Z157" i="7"/>
  <c r="Z158" i="7"/>
  <c r="Z159" i="7"/>
  <c r="Z160" i="7"/>
  <c r="Z161" i="7"/>
  <c r="Z162" i="7"/>
  <c r="Z163" i="7"/>
  <c r="Z164" i="7"/>
  <c r="Z165" i="7"/>
  <c r="Z166" i="7"/>
  <c r="Z167" i="7"/>
  <c r="Z168" i="7"/>
  <c r="Z169" i="7"/>
  <c r="Z170" i="7"/>
  <c r="Z171" i="7"/>
  <c r="Z172" i="7"/>
  <c r="Z173" i="7"/>
  <c r="Z174" i="7"/>
  <c r="Z175" i="7"/>
  <c r="Z176" i="7"/>
  <c r="Z177" i="7"/>
  <c r="Z178" i="7"/>
  <c r="Z179" i="7"/>
  <c r="Z180" i="7"/>
  <c r="Z181" i="7"/>
  <c r="Z182" i="7"/>
  <c r="Z183" i="7"/>
  <c r="Z184" i="7"/>
  <c r="Z185" i="7"/>
  <c r="Z186" i="7"/>
  <c r="Z187" i="7"/>
  <c r="Z188" i="7"/>
  <c r="Z189" i="7"/>
  <c r="Z190" i="7"/>
  <c r="Z191" i="7"/>
  <c r="Z192" i="7"/>
  <c r="Z193" i="7"/>
  <c r="Z194" i="7"/>
  <c r="Z195" i="7"/>
  <c r="Z196" i="7"/>
  <c r="Z197" i="7"/>
  <c r="Z198" i="7"/>
  <c r="Z199" i="7"/>
  <c r="Z200" i="7"/>
  <c r="Z201" i="7"/>
  <c r="Z202" i="7"/>
  <c r="Z203" i="7"/>
  <c r="Z204" i="7"/>
  <c r="Z205" i="7"/>
  <c r="Z206" i="7"/>
  <c r="Z207" i="7"/>
  <c r="Z208" i="7"/>
  <c r="Z209" i="7"/>
  <c r="Z210" i="7"/>
  <c r="Z211" i="7"/>
  <c r="Z212" i="7"/>
  <c r="Z213" i="7"/>
  <c r="Z214" i="7"/>
  <c r="Z215" i="7"/>
  <c r="Z216" i="7"/>
  <c r="Z217" i="7"/>
  <c r="Z218" i="7"/>
  <c r="Z219" i="7"/>
  <c r="Z220" i="7"/>
  <c r="Z221" i="7"/>
  <c r="Z222" i="7"/>
  <c r="Z223" i="7"/>
  <c r="Z224" i="7"/>
  <c r="Z225" i="7"/>
  <c r="Z226" i="7"/>
  <c r="Z227" i="7"/>
  <c r="Z228" i="7"/>
  <c r="Z229" i="7"/>
  <c r="Z230" i="7"/>
  <c r="Z231" i="7"/>
  <c r="Z232" i="7"/>
  <c r="Z233" i="7"/>
  <c r="Z234" i="7"/>
  <c r="Z235" i="7"/>
  <c r="Z236" i="7"/>
  <c r="Z237" i="7"/>
  <c r="Z238" i="7"/>
  <c r="Z239" i="7"/>
  <c r="Z240" i="7"/>
  <c r="Z241" i="7"/>
  <c r="Z242" i="7"/>
  <c r="Z243" i="7"/>
  <c r="Z244" i="7"/>
  <c r="Z245" i="7"/>
  <c r="Z246" i="7"/>
  <c r="Z247" i="7"/>
  <c r="Z248" i="7"/>
  <c r="Z249" i="7"/>
  <c r="Z250" i="7"/>
  <c r="Z251" i="7"/>
  <c r="Z252" i="7"/>
  <c r="Z253" i="7"/>
  <c r="Z254" i="7"/>
  <c r="Z255" i="7"/>
  <c r="Z256" i="7"/>
  <c r="Z257" i="7"/>
  <c r="Z258" i="7"/>
  <c r="Z259" i="7"/>
  <c r="Z260" i="7"/>
  <c r="Z261" i="7"/>
  <c r="Z262" i="7"/>
  <c r="Z263" i="7"/>
  <c r="Z264" i="7"/>
  <c r="Z265" i="7"/>
  <c r="Z266" i="7"/>
  <c r="Z267" i="7"/>
  <c r="Z268" i="7"/>
  <c r="Z269" i="7"/>
  <c r="Z270" i="7"/>
  <c r="Z271" i="7"/>
  <c r="Z272" i="7"/>
  <c r="Z273" i="7"/>
  <c r="Z274" i="7"/>
  <c r="Z275" i="7"/>
  <c r="Z276" i="7"/>
  <c r="Z277" i="7"/>
  <c r="Z278" i="7"/>
  <c r="Z279" i="7"/>
  <c r="Z280" i="7"/>
  <c r="Z281" i="7"/>
  <c r="Z282" i="7"/>
  <c r="Z283" i="7"/>
  <c r="Z284" i="7"/>
  <c r="Z285" i="7"/>
  <c r="Z286" i="7"/>
  <c r="Z287" i="7"/>
  <c r="Z288" i="7"/>
  <c r="Z289" i="7"/>
  <c r="Z290" i="7"/>
  <c r="Z291" i="7"/>
  <c r="Z292" i="7"/>
  <c r="Z293" i="7"/>
  <c r="Z294" i="7"/>
  <c r="Z295" i="7"/>
  <c r="Z296" i="7"/>
  <c r="Z297" i="7"/>
  <c r="Z298" i="7"/>
  <c r="Z299" i="7"/>
  <c r="Z300" i="7"/>
  <c r="Z301" i="7"/>
  <c r="Z302" i="7"/>
  <c r="Z303" i="7"/>
  <c r="Z304" i="7"/>
  <c r="Z305" i="7"/>
  <c r="Z306" i="7"/>
  <c r="Z307" i="7"/>
  <c r="Z308" i="7"/>
  <c r="Z309" i="7"/>
  <c r="Z310" i="7"/>
  <c r="Z311" i="7"/>
  <c r="Z312" i="7"/>
  <c r="Z313" i="7"/>
  <c r="Z314" i="7"/>
  <c r="Z315" i="7"/>
  <c r="Z316" i="7"/>
  <c r="Z317" i="7"/>
  <c r="Z318" i="7"/>
  <c r="Z319" i="7"/>
  <c r="Z320" i="7"/>
  <c r="Z321" i="7"/>
  <c r="Z322" i="7"/>
  <c r="Z323" i="7"/>
  <c r="Z324" i="7"/>
  <c r="Z325" i="7"/>
  <c r="Z326" i="7"/>
  <c r="Z327" i="7"/>
  <c r="Z328" i="7"/>
  <c r="Z329" i="7"/>
  <c r="Z330" i="7"/>
  <c r="Z331" i="7"/>
  <c r="Z332" i="7"/>
  <c r="Z333" i="7"/>
  <c r="Z334" i="7"/>
  <c r="Z335" i="7"/>
  <c r="Z336" i="7"/>
  <c r="Z337" i="7"/>
  <c r="Z338" i="7"/>
  <c r="Z339" i="7"/>
  <c r="Z340" i="7"/>
  <c r="Z341" i="7"/>
  <c r="Z342" i="7"/>
  <c r="Z343" i="7"/>
  <c r="Z344" i="7"/>
  <c r="Z345" i="7"/>
  <c r="Z346" i="7"/>
  <c r="Z347" i="7"/>
  <c r="Z348" i="7"/>
  <c r="Z349" i="7"/>
  <c r="Z350" i="7"/>
  <c r="Z351" i="7"/>
  <c r="Z352" i="7"/>
  <c r="Z353" i="7"/>
  <c r="Z354" i="7"/>
  <c r="Z355" i="7"/>
  <c r="Z356" i="7"/>
  <c r="Z357" i="7"/>
  <c r="Z358" i="7"/>
  <c r="Z359" i="7"/>
  <c r="Z360" i="7"/>
  <c r="Z361" i="7"/>
  <c r="Z362" i="7"/>
  <c r="Z363" i="7"/>
  <c r="Z364" i="7"/>
  <c r="Z365" i="7"/>
  <c r="Z366" i="7"/>
  <c r="Z367" i="7"/>
  <c r="Z368" i="7"/>
  <c r="Z369" i="7"/>
  <c r="Z370" i="7"/>
  <c r="Z371" i="7"/>
  <c r="Z372" i="7"/>
  <c r="Z373" i="7"/>
  <c r="Z374" i="7"/>
  <c r="Z375" i="7"/>
  <c r="Z376" i="7"/>
  <c r="Z377" i="7"/>
  <c r="Z378" i="7"/>
  <c r="Z379" i="7"/>
  <c r="Z380" i="7"/>
  <c r="Z381" i="7"/>
  <c r="Z382" i="7"/>
  <c r="Z383" i="7"/>
  <c r="Z384" i="7"/>
  <c r="Z385" i="7"/>
  <c r="Z386" i="7"/>
  <c r="Z387" i="7"/>
  <c r="Z388" i="7"/>
  <c r="Z389" i="7"/>
  <c r="Z390" i="7"/>
  <c r="Z391" i="7"/>
  <c r="Z392" i="7"/>
  <c r="Z393" i="7"/>
  <c r="Z394" i="7"/>
  <c r="Z395" i="7"/>
  <c r="Z396" i="7"/>
  <c r="Z397" i="7"/>
  <c r="Z398" i="7"/>
  <c r="Z399" i="7"/>
  <c r="Z400" i="7"/>
  <c r="Z401" i="7"/>
  <c r="Z402" i="7"/>
  <c r="Z403" i="7"/>
  <c r="Z404" i="7"/>
  <c r="Z405" i="7"/>
  <c r="Z406" i="7"/>
  <c r="Z407" i="7"/>
  <c r="Z408" i="7"/>
  <c r="Z409" i="7"/>
  <c r="Z410" i="7"/>
  <c r="Z411" i="7"/>
  <c r="Z412" i="7"/>
  <c r="Z413" i="7"/>
  <c r="Z414" i="7"/>
  <c r="Z415" i="7"/>
  <c r="Z416" i="7"/>
  <c r="Z417" i="7"/>
  <c r="Z418" i="7"/>
  <c r="Z419" i="7"/>
  <c r="Z420" i="7"/>
  <c r="Z421" i="7"/>
  <c r="Z422" i="7"/>
  <c r="Z423" i="7"/>
  <c r="Z424" i="7"/>
  <c r="Z425" i="7"/>
  <c r="Z426" i="7"/>
  <c r="Z427" i="7"/>
  <c r="Z428" i="7"/>
  <c r="Z429" i="7"/>
  <c r="Z430" i="7"/>
  <c r="Z431" i="7"/>
  <c r="Z432" i="7"/>
  <c r="Z433" i="7"/>
  <c r="Z434" i="7"/>
  <c r="Z435" i="7"/>
  <c r="Z436" i="7"/>
  <c r="Z437" i="7"/>
  <c r="Z438" i="7"/>
  <c r="Z439" i="7"/>
  <c r="Z440" i="7"/>
  <c r="Z441" i="7"/>
  <c r="Z442" i="7"/>
  <c r="Z443" i="7"/>
  <c r="Z444" i="7"/>
  <c r="Z445" i="7"/>
  <c r="Z446" i="7"/>
  <c r="Z447" i="7"/>
  <c r="Z448" i="7"/>
  <c r="Z449" i="7"/>
  <c r="Z450" i="7"/>
  <c r="Z451" i="7"/>
  <c r="Z452" i="7"/>
  <c r="Z453" i="7"/>
  <c r="Z454" i="7"/>
  <c r="Z455" i="7"/>
  <c r="Z456" i="7"/>
  <c r="Z457" i="7"/>
  <c r="Z458" i="7"/>
  <c r="Z459" i="7"/>
  <c r="Z460" i="7"/>
  <c r="Z461" i="7"/>
  <c r="Z462" i="7"/>
  <c r="Z463" i="7"/>
  <c r="Z464" i="7"/>
  <c r="Z465" i="7"/>
  <c r="Z466" i="7"/>
  <c r="Z467" i="7"/>
  <c r="Z468" i="7"/>
  <c r="Z469" i="7"/>
  <c r="Z470" i="7"/>
  <c r="Z471" i="7"/>
  <c r="Z472" i="7"/>
  <c r="Z473" i="7"/>
  <c r="Z474" i="7"/>
  <c r="Z475" i="7"/>
  <c r="Z476" i="7"/>
  <c r="Z477" i="7"/>
  <c r="Z478" i="7"/>
  <c r="Z479" i="7"/>
  <c r="Z480" i="7"/>
  <c r="Z481" i="7"/>
  <c r="Z482" i="7"/>
  <c r="Z483" i="7"/>
  <c r="Z484" i="7"/>
  <c r="Z485" i="7"/>
  <c r="Z486" i="7"/>
  <c r="Z487" i="7"/>
  <c r="Z488" i="7"/>
  <c r="Z489" i="7"/>
  <c r="Z490" i="7"/>
  <c r="Z491" i="7"/>
  <c r="Z492" i="7"/>
  <c r="Z493" i="7"/>
  <c r="Z494" i="7"/>
  <c r="Z495" i="7"/>
  <c r="Z496" i="7"/>
  <c r="Z497" i="7"/>
  <c r="Z498" i="7"/>
  <c r="Z499" i="7"/>
  <c r="Z500" i="7"/>
  <c r="Z501" i="7"/>
  <c r="Z502" i="7"/>
  <c r="Z503" i="7"/>
  <c r="Z504" i="7"/>
  <c r="Z505" i="7"/>
  <c r="Z506" i="7"/>
  <c r="Z507" i="7"/>
  <c r="Z508" i="7"/>
  <c r="Z509" i="7"/>
  <c r="Z510" i="7"/>
  <c r="Z511" i="7"/>
  <c r="Z512" i="7"/>
  <c r="Z513" i="7"/>
  <c r="Z514" i="7"/>
  <c r="Z515" i="7"/>
  <c r="Z516" i="7"/>
  <c r="Z517" i="7"/>
  <c r="Z518" i="7"/>
  <c r="Z519" i="7"/>
  <c r="Z520" i="7"/>
  <c r="Z521" i="7"/>
  <c r="Z522" i="7"/>
  <c r="Z523" i="7"/>
  <c r="Z524" i="7"/>
  <c r="Z525" i="7"/>
  <c r="Z526" i="7"/>
  <c r="Z527" i="7"/>
  <c r="Z528" i="7"/>
  <c r="Z529" i="7"/>
  <c r="Z530" i="7"/>
  <c r="Z531" i="7"/>
  <c r="Z532" i="7"/>
  <c r="Z533" i="7"/>
  <c r="Z534" i="7"/>
  <c r="Z535" i="7"/>
  <c r="Z536" i="7"/>
  <c r="Z537" i="7"/>
  <c r="Z538" i="7"/>
  <c r="Z539" i="7"/>
  <c r="Z540" i="7"/>
  <c r="Z541" i="7"/>
  <c r="Z542" i="7"/>
  <c r="Z543" i="7"/>
  <c r="Z544" i="7"/>
  <c r="Z545" i="7"/>
  <c r="Z546" i="7"/>
  <c r="Z547" i="7"/>
  <c r="Z548" i="7"/>
  <c r="Z549" i="7"/>
  <c r="Z550" i="7"/>
  <c r="Z551" i="7"/>
  <c r="Z552" i="7"/>
  <c r="Z553" i="7"/>
  <c r="Z554" i="7"/>
  <c r="Z555" i="7"/>
  <c r="Z556" i="7"/>
  <c r="Z557" i="7"/>
  <c r="Z558" i="7"/>
  <c r="Z559" i="7"/>
  <c r="Z560" i="7"/>
  <c r="Z561" i="7"/>
  <c r="Z562" i="7"/>
  <c r="Z563" i="7"/>
  <c r="Z564" i="7"/>
  <c r="Z565" i="7"/>
  <c r="Z566" i="7"/>
  <c r="Z567" i="7"/>
  <c r="Z568" i="7"/>
  <c r="Z569" i="7"/>
  <c r="Z570" i="7"/>
  <c r="Z571" i="7"/>
  <c r="Z572" i="7"/>
  <c r="Z573" i="7"/>
  <c r="Z574" i="7"/>
  <c r="Z575" i="7"/>
  <c r="Z576" i="7"/>
  <c r="Z577" i="7"/>
  <c r="Z578" i="7"/>
  <c r="Z579" i="7"/>
  <c r="Z580" i="7"/>
  <c r="Z581" i="7"/>
  <c r="Z582" i="7"/>
  <c r="Z583" i="7"/>
  <c r="Z584" i="7"/>
  <c r="Z585" i="7"/>
  <c r="Z586" i="7"/>
  <c r="Z587" i="7"/>
  <c r="Z588" i="7"/>
  <c r="Z589" i="7"/>
  <c r="Z590" i="7"/>
  <c r="Z591" i="7"/>
  <c r="Z592" i="7"/>
  <c r="Z593" i="7"/>
  <c r="Z594" i="7"/>
  <c r="Z595" i="7"/>
  <c r="Z596" i="7"/>
  <c r="Z597" i="7"/>
  <c r="Z598" i="7"/>
  <c r="Z599" i="7"/>
  <c r="Z600" i="7"/>
  <c r="Z601" i="7"/>
  <c r="Z602" i="7"/>
  <c r="Z603" i="7"/>
  <c r="Z604" i="7"/>
  <c r="Z605" i="7"/>
  <c r="Z606" i="7"/>
  <c r="Z607" i="7"/>
  <c r="Z608" i="7"/>
  <c r="Z609" i="7"/>
  <c r="Z610" i="7"/>
  <c r="Z611" i="7"/>
  <c r="Z612" i="7"/>
  <c r="Z613" i="7"/>
  <c r="Z614" i="7"/>
  <c r="Z615" i="7"/>
  <c r="Z616" i="7"/>
  <c r="Z678" i="7"/>
  <c r="Z679" i="7"/>
  <c r="Z680" i="7"/>
  <c r="Z681" i="7"/>
  <c r="Z682" i="7"/>
  <c r="Z683" i="7"/>
  <c r="Z684" i="7"/>
  <c r="Z685" i="7"/>
  <c r="Z686" i="7"/>
  <c r="Z687" i="7"/>
  <c r="Z688" i="7"/>
  <c r="Z689" i="7"/>
  <c r="Z690" i="7"/>
  <c r="Z691" i="7"/>
  <c r="Z692" i="7"/>
  <c r="Z693" i="7"/>
  <c r="Z694" i="7"/>
  <c r="Z695" i="7"/>
  <c r="Z696" i="7"/>
  <c r="Z697" i="7"/>
  <c r="Z698" i="7"/>
  <c r="Z699" i="7"/>
  <c r="Z700" i="7"/>
  <c r="Z701" i="7"/>
  <c r="Z702" i="7"/>
  <c r="Z703" i="7"/>
  <c r="Z704" i="7"/>
  <c r="Y2" i="7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Y178" i="7"/>
  <c r="Y179" i="7"/>
  <c r="Y180" i="7"/>
  <c r="Y181" i="7"/>
  <c r="Y182" i="7"/>
  <c r="Y183" i="7"/>
  <c r="Y184" i="7"/>
  <c r="Y185" i="7"/>
  <c r="Y186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203" i="7"/>
  <c r="Y204" i="7"/>
  <c r="Y205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34" i="7"/>
  <c r="Y235" i="7"/>
  <c r="Y236" i="7"/>
  <c r="Y237" i="7"/>
  <c r="Y238" i="7"/>
  <c r="Y239" i="7"/>
  <c r="Y240" i="7"/>
  <c r="Y241" i="7"/>
  <c r="Y242" i="7"/>
  <c r="Y243" i="7"/>
  <c r="Y244" i="7"/>
  <c r="Y245" i="7"/>
  <c r="Y246" i="7"/>
  <c r="Y247" i="7"/>
  <c r="Y248" i="7"/>
  <c r="Y249" i="7"/>
  <c r="Y250" i="7"/>
  <c r="Y251" i="7"/>
  <c r="Y252" i="7"/>
  <c r="Y253" i="7"/>
  <c r="Y254" i="7"/>
  <c r="Y255" i="7"/>
  <c r="Y256" i="7"/>
  <c r="Y257" i="7"/>
  <c r="Y258" i="7"/>
  <c r="Y259" i="7"/>
  <c r="Y260" i="7"/>
  <c r="Y261" i="7"/>
  <c r="Y262" i="7"/>
  <c r="Y263" i="7"/>
  <c r="Y264" i="7"/>
  <c r="Y265" i="7"/>
  <c r="Y266" i="7"/>
  <c r="Y267" i="7"/>
  <c r="Y268" i="7"/>
  <c r="Y269" i="7"/>
  <c r="Y270" i="7"/>
  <c r="Y271" i="7"/>
  <c r="Y272" i="7"/>
  <c r="Y273" i="7"/>
  <c r="Y274" i="7"/>
  <c r="Y275" i="7"/>
  <c r="Y276" i="7"/>
  <c r="Y277" i="7"/>
  <c r="Y278" i="7"/>
  <c r="Y279" i="7"/>
  <c r="Y280" i="7"/>
  <c r="Y281" i="7"/>
  <c r="Y282" i="7"/>
  <c r="Y283" i="7"/>
  <c r="Y284" i="7"/>
  <c r="Y285" i="7"/>
  <c r="Y286" i="7"/>
  <c r="Y287" i="7"/>
  <c r="Y288" i="7"/>
  <c r="Y289" i="7"/>
  <c r="Y290" i="7"/>
  <c r="Y291" i="7"/>
  <c r="Y292" i="7"/>
  <c r="Y293" i="7"/>
  <c r="Y294" i="7"/>
  <c r="Y295" i="7"/>
  <c r="Y296" i="7"/>
  <c r="Y297" i="7"/>
  <c r="Y298" i="7"/>
  <c r="Y299" i="7"/>
  <c r="Y300" i="7"/>
  <c r="Y301" i="7"/>
  <c r="Y302" i="7"/>
  <c r="Y303" i="7"/>
  <c r="Y304" i="7"/>
  <c r="Y305" i="7"/>
  <c r="Y306" i="7"/>
  <c r="Y307" i="7"/>
  <c r="Y308" i="7"/>
  <c r="Y309" i="7"/>
  <c r="Y310" i="7"/>
  <c r="Y311" i="7"/>
  <c r="Y312" i="7"/>
  <c r="Y313" i="7"/>
  <c r="Y314" i="7"/>
  <c r="Y315" i="7"/>
  <c r="Y316" i="7"/>
  <c r="Y317" i="7"/>
  <c r="Y318" i="7"/>
  <c r="Y319" i="7"/>
  <c r="Y320" i="7"/>
  <c r="Y321" i="7"/>
  <c r="Y322" i="7"/>
  <c r="Y323" i="7"/>
  <c r="Y324" i="7"/>
  <c r="Y325" i="7"/>
  <c r="Y326" i="7"/>
  <c r="Y327" i="7"/>
  <c r="Y328" i="7"/>
  <c r="Y329" i="7"/>
  <c r="Y330" i="7"/>
  <c r="Y331" i="7"/>
  <c r="Y332" i="7"/>
  <c r="Y333" i="7"/>
  <c r="Y334" i="7"/>
  <c r="Y335" i="7"/>
  <c r="Y336" i="7"/>
  <c r="Y337" i="7"/>
  <c r="Y338" i="7"/>
  <c r="Y339" i="7"/>
  <c r="Y340" i="7"/>
  <c r="Y341" i="7"/>
  <c r="Y342" i="7"/>
  <c r="Y343" i="7"/>
  <c r="Y344" i="7"/>
  <c r="Y345" i="7"/>
  <c r="Y346" i="7"/>
  <c r="Y347" i="7"/>
  <c r="Y348" i="7"/>
  <c r="Y349" i="7"/>
  <c r="Y350" i="7"/>
  <c r="Y351" i="7"/>
  <c r="Y352" i="7"/>
  <c r="Y353" i="7"/>
  <c r="Y354" i="7"/>
  <c r="Y355" i="7"/>
  <c r="Y356" i="7"/>
  <c r="Y357" i="7"/>
  <c r="Y358" i="7"/>
  <c r="Y359" i="7"/>
  <c r="Y360" i="7"/>
  <c r="Y361" i="7"/>
  <c r="Y362" i="7"/>
  <c r="Y363" i="7"/>
  <c r="Y364" i="7"/>
  <c r="Y365" i="7"/>
  <c r="Y366" i="7"/>
  <c r="Y367" i="7"/>
  <c r="Y368" i="7"/>
  <c r="Y369" i="7"/>
  <c r="Y370" i="7"/>
  <c r="Y371" i="7"/>
  <c r="Y372" i="7"/>
  <c r="Y373" i="7"/>
  <c r="Y374" i="7"/>
  <c r="Y375" i="7"/>
  <c r="Y376" i="7"/>
  <c r="Y377" i="7"/>
  <c r="Y378" i="7"/>
  <c r="Y379" i="7"/>
  <c r="Y380" i="7"/>
  <c r="Y381" i="7"/>
  <c r="Y382" i="7"/>
  <c r="Y383" i="7"/>
  <c r="Y384" i="7"/>
  <c r="Y385" i="7"/>
  <c r="Y386" i="7"/>
  <c r="Y387" i="7"/>
  <c r="Y388" i="7"/>
  <c r="Y389" i="7"/>
  <c r="Y390" i="7"/>
  <c r="Y391" i="7"/>
  <c r="Y392" i="7"/>
  <c r="Y393" i="7"/>
  <c r="Y394" i="7"/>
  <c r="Y395" i="7"/>
  <c r="Y396" i="7"/>
  <c r="Y397" i="7"/>
  <c r="Y398" i="7"/>
  <c r="Y399" i="7"/>
  <c r="Y400" i="7"/>
  <c r="Y401" i="7"/>
  <c r="Y402" i="7"/>
  <c r="Y403" i="7"/>
  <c r="Y404" i="7"/>
  <c r="Y405" i="7"/>
  <c r="Y406" i="7"/>
  <c r="Y407" i="7"/>
  <c r="Y408" i="7"/>
  <c r="Y409" i="7"/>
  <c r="Y410" i="7"/>
  <c r="Y411" i="7"/>
  <c r="Y412" i="7"/>
  <c r="Y413" i="7"/>
  <c r="Y414" i="7"/>
  <c r="Y415" i="7"/>
  <c r="Y416" i="7"/>
  <c r="Y417" i="7"/>
  <c r="Y418" i="7"/>
  <c r="Y419" i="7"/>
  <c r="Y420" i="7"/>
  <c r="Y421" i="7"/>
  <c r="Y422" i="7"/>
  <c r="Y423" i="7"/>
  <c r="Y424" i="7"/>
  <c r="Y425" i="7"/>
  <c r="Y426" i="7"/>
  <c r="Y427" i="7"/>
  <c r="Y428" i="7"/>
  <c r="Y429" i="7"/>
  <c r="Y430" i="7"/>
  <c r="Y431" i="7"/>
  <c r="Y432" i="7"/>
  <c r="Y433" i="7"/>
  <c r="Y434" i="7"/>
  <c r="Y435" i="7"/>
  <c r="Y436" i="7"/>
  <c r="Y437" i="7"/>
  <c r="Y438" i="7"/>
  <c r="Y439" i="7"/>
  <c r="Y440" i="7"/>
  <c r="Y441" i="7"/>
  <c r="Y442" i="7"/>
  <c r="Y443" i="7"/>
  <c r="Y444" i="7"/>
  <c r="Y445" i="7"/>
  <c r="Y446" i="7"/>
  <c r="Y447" i="7"/>
  <c r="Y448" i="7"/>
  <c r="Y449" i="7"/>
  <c r="Y450" i="7"/>
  <c r="Y451" i="7"/>
  <c r="Y452" i="7"/>
  <c r="Y453" i="7"/>
  <c r="Y454" i="7"/>
  <c r="Y455" i="7"/>
  <c r="Y456" i="7"/>
  <c r="Y457" i="7"/>
  <c r="Y458" i="7"/>
  <c r="Y459" i="7"/>
  <c r="Y460" i="7"/>
  <c r="Y461" i="7"/>
  <c r="Y462" i="7"/>
  <c r="Y463" i="7"/>
  <c r="Y464" i="7"/>
  <c r="Y465" i="7"/>
  <c r="Y466" i="7"/>
  <c r="Y467" i="7"/>
  <c r="Y468" i="7"/>
  <c r="Y469" i="7"/>
  <c r="Y470" i="7"/>
  <c r="Y471" i="7"/>
  <c r="Y472" i="7"/>
  <c r="Y473" i="7"/>
  <c r="Y474" i="7"/>
  <c r="Y475" i="7"/>
  <c r="Y476" i="7"/>
  <c r="Y477" i="7"/>
  <c r="Y478" i="7"/>
  <c r="Y479" i="7"/>
  <c r="Y480" i="7"/>
  <c r="Y481" i="7"/>
  <c r="Y482" i="7"/>
  <c r="Y483" i="7"/>
  <c r="Y484" i="7"/>
  <c r="Y485" i="7"/>
  <c r="Y486" i="7"/>
  <c r="Y487" i="7"/>
  <c r="Y488" i="7"/>
  <c r="Y489" i="7"/>
  <c r="Y490" i="7"/>
  <c r="Y491" i="7"/>
  <c r="Y492" i="7"/>
  <c r="Y493" i="7"/>
  <c r="Y494" i="7"/>
  <c r="Y495" i="7"/>
  <c r="Y496" i="7"/>
  <c r="Y497" i="7"/>
  <c r="Y498" i="7"/>
  <c r="Y499" i="7"/>
  <c r="Y500" i="7"/>
  <c r="Y501" i="7"/>
  <c r="Y502" i="7"/>
  <c r="Y503" i="7"/>
  <c r="Y504" i="7"/>
  <c r="Y505" i="7"/>
  <c r="Y506" i="7"/>
  <c r="Y507" i="7"/>
  <c r="Y508" i="7"/>
  <c r="Y509" i="7"/>
  <c r="Y510" i="7"/>
  <c r="Y511" i="7"/>
  <c r="Y512" i="7"/>
  <c r="Y513" i="7"/>
  <c r="Y514" i="7"/>
  <c r="Y515" i="7"/>
  <c r="Y516" i="7"/>
  <c r="Y517" i="7"/>
  <c r="Y518" i="7"/>
  <c r="Y519" i="7"/>
  <c r="Y520" i="7"/>
  <c r="Y521" i="7"/>
  <c r="Y522" i="7"/>
  <c r="Y523" i="7"/>
  <c r="Y524" i="7"/>
  <c r="Y525" i="7"/>
  <c r="Y526" i="7"/>
  <c r="Y527" i="7"/>
  <c r="Y528" i="7"/>
  <c r="Y529" i="7"/>
  <c r="Y530" i="7"/>
  <c r="Y531" i="7"/>
  <c r="Y532" i="7"/>
  <c r="Y533" i="7"/>
  <c r="Y534" i="7"/>
  <c r="Y535" i="7"/>
  <c r="Y536" i="7"/>
  <c r="Y537" i="7"/>
  <c r="Y538" i="7"/>
  <c r="Y539" i="7"/>
  <c r="Y540" i="7"/>
  <c r="Y541" i="7"/>
  <c r="Y542" i="7"/>
  <c r="Y543" i="7"/>
  <c r="Y544" i="7"/>
  <c r="Y545" i="7"/>
  <c r="Y546" i="7"/>
  <c r="Y547" i="7"/>
  <c r="Y548" i="7"/>
  <c r="Y549" i="7"/>
  <c r="Y550" i="7"/>
  <c r="Y551" i="7"/>
  <c r="Y552" i="7"/>
  <c r="Y553" i="7"/>
  <c r="Y554" i="7"/>
  <c r="Y555" i="7"/>
  <c r="Y556" i="7"/>
  <c r="Y557" i="7"/>
  <c r="Y558" i="7"/>
  <c r="Y559" i="7"/>
  <c r="Y560" i="7"/>
  <c r="Y561" i="7"/>
  <c r="Y562" i="7"/>
  <c r="Y563" i="7"/>
  <c r="Y564" i="7"/>
  <c r="Y565" i="7"/>
  <c r="Y566" i="7"/>
  <c r="Y567" i="7"/>
  <c r="Y568" i="7"/>
  <c r="Y569" i="7"/>
  <c r="Y570" i="7"/>
  <c r="Y571" i="7"/>
  <c r="Y572" i="7"/>
  <c r="Y573" i="7"/>
  <c r="Y574" i="7"/>
  <c r="Y575" i="7"/>
  <c r="Y576" i="7"/>
  <c r="Y577" i="7"/>
  <c r="Y578" i="7"/>
  <c r="Y579" i="7"/>
  <c r="Y580" i="7"/>
  <c r="Y581" i="7"/>
  <c r="Y582" i="7"/>
  <c r="Y583" i="7"/>
  <c r="Y584" i="7"/>
  <c r="Y585" i="7"/>
  <c r="Y586" i="7"/>
  <c r="Y587" i="7"/>
  <c r="Y588" i="7"/>
  <c r="Y589" i="7"/>
  <c r="Y590" i="7"/>
  <c r="Y591" i="7"/>
  <c r="Y592" i="7"/>
  <c r="Y593" i="7"/>
  <c r="Y594" i="7"/>
  <c r="Y595" i="7"/>
  <c r="Y596" i="7"/>
  <c r="Y597" i="7"/>
  <c r="Y598" i="7"/>
  <c r="Y599" i="7"/>
  <c r="Y600" i="7"/>
  <c r="Y601" i="7"/>
  <c r="Y602" i="7"/>
  <c r="Y603" i="7"/>
  <c r="Y604" i="7"/>
  <c r="Y605" i="7"/>
  <c r="Y606" i="7"/>
  <c r="Y607" i="7"/>
  <c r="Y608" i="7"/>
  <c r="Y609" i="7"/>
  <c r="Y610" i="7"/>
  <c r="Y611" i="7"/>
  <c r="Y612" i="7"/>
  <c r="Y613" i="7"/>
  <c r="Y614" i="7"/>
  <c r="Y615" i="7"/>
  <c r="Y616" i="7"/>
  <c r="Y618" i="7"/>
  <c r="Y620" i="7"/>
  <c r="Y621" i="7"/>
  <c r="Y622" i="7"/>
  <c r="Y623" i="7"/>
  <c r="Y624" i="7"/>
  <c r="Y625" i="7"/>
  <c r="Y626" i="7"/>
  <c r="Y627" i="7"/>
  <c r="Y628" i="7"/>
  <c r="Y629" i="7"/>
  <c r="Y630" i="7"/>
  <c r="Y631" i="7"/>
  <c r="Y632" i="7"/>
  <c r="Y633" i="7"/>
  <c r="Y634" i="7"/>
  <c r="Y635" i="7"/>
  <c r="Y636" i="7"/>
  <c r="Y637" i="7"/>
  <c r="Y638" i="7"/>
  <c r="Y639" i="7"/>
  <c r="Y640" i="7"/>
  <c r="Y641" i="7"/>
  <c r="Y642" i="7"/>
  <c r="Y643" i="7"/>
  <c r="Y644" i="7"/>
  <c r="Y645" i="7"/>
  <c r="Y646" i="7"/>
  <c r="Y647" i="7"/>
  <c r="Y648" i="7"/>
  <c r="Y649" i="7"/>
  <c r="Y650" i="7"/>
  <c r="Y651" i="7"/>
  <c r="Y652" i="7"/>
  <c r="Y653" i="7"/>
  <c r="Y654" i="7"/>
  <c r="Y655" i="7"/>
  <c r="Y656" i="7"/>
  <c r="Y657" i="7"/>
  <c r="Y658" i="7"/>
  <c r="Y659" i="7"/>
  <c r="Y660" i="7"/>
  <c r="Y661" i="7"/>
  <c r="Y662" i="7"/>
  <c r="Y678" i="7"/>
  <c r="Y679" i="7"/>
  <c r="Y680" i="7"/>
  <c r="Y681" i="7"/>
  <c r="Y682" i="7"/>
  <c r="Y683" i="7"/>
  <c r="Y684" i="7"/>
  <c r="Y685" i="7"/>
  <c r="Y686" i="7"/>
  <c r="Y687" i="7"/>
  <c r="Y688" i="7"/>
  <c r="Y689" i="7"/>
  <c r="Y690" i="7"/>
  <c r="Y691" i="7"/>
  <c r="Y692" i="7"/>
  <c r="Y693" i="7"/>
  <c r="Y694" i="7"/>
  <c r="Y695" i="7"/>
  <c r="Y696" i="7"/>
  <c r="Y697" i="7"/>
  <c r="Y698" i="7"/>
  <c r="Y699" i="7"/>
  <c r="Y700" i="7"/>
  <c r="Y701" i="7"/>
  <c r="Y702" i="7"/>
  <c r="Y703" i="7"/>
  <c r="Y704" i="7"/>
  <c r="X2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X178" i="7"/>
  <c r="X179" i="7"/>
  <c r="X180" i="7"/>
  <c r="X181" i="7"/>
  <c r="X182" i="7"/>
  <c r="X183" i="7"/>
  <c r="X184" i="7"/>
  <c r="X185" i="7"/>
  <c r="X186" i="7"/>
  <c r="X187" i="7"/>
  <c r="X188" i="7"/>
  <c r="X189" i="7"/>
  <c r="X190" i="7"/>
  <c r="X191" i="7"/>
  <c r="X192" i="7"/>
  <c r="X193" i="7"/>
  <c r="X194" i="7"/>
  <c r="X195" i="7"/>
  <c r="X196" i="7"/>
  <c r="X197" i="7"/>
  <c r="X198" i="7"/>
  <c r="X199" i="7"/>
  <c r="X200" i="7"/>
  <c r="X201" i="7"/>
  <c r="X202" i="7"/>
  <c r="X203" i="7"/>
  <c r="X204" i="7"/>
  <c r="X205" i="7"/>
  <c r="X206" i="7"/>
  <c r="X207" i="7"/>
  <c r="X208" i="7"/>
  <c r="X209" i="7"/>
  <c r="X210" i="7"/>
  <c r="X211" i="7"/>
  <c r="X212" i="7"/>
  <c r="X213" i="7"/>
  <c r="X214" i="7"/>
  <c r="X215" i="7"/>
  <c r="X216" i="7"/>
  <c r="X217" i="7"/>
  <c r="X218" i="7"/>
  <c r="X219" i="7"/>
  <c r="X220" i="7"/>
  <c r="X221" i="7"/>
  <c r="X222" i="7"/>
  <c r="X223" i="7"/>
  <c r="X224" i="7"/>
  <c r="X225" i="7"/>
  <c r="X226" i="7"/>
  <c r="X227" i="7"/>
  <c r="X228" i="7"/>
  <c r="X229" i="7"/>
  <c r="X230" i="7"/>
  <c r="X231" i="7"/>
  <c r="X232" i="7"/>
  <c r="X233" i="7"/>
  <c r="X234" i="7"/>
  <c r="X235" i="7"/>
  <c r="X236" i="7"/>
  <c r="X237" i="7"/>
  <c r="X238" i="7"/>
  <c r="X239" i="7"/>
  <c r="X240" i="7"/>
  <c r="X241" i="7"/>
  <c r="X242" i="7"/>
  <c r="X243" i="7"/>
  <c r="X244" i="7"/>
  <c r="X245" i="7"/>
  <c r="X246" i="7"/>
  <c r="X247" i="7"/>
  <c r="X248" i="7"/>
  <c r="X249" i="7"/>
  <c r="X250" i="7"/>
  <c r="X251" i="7"/>
  <c r="X252" i="7"/>
  <c r="X253" i="7"/>
  <c r="X254" i="7"/>
  <c r="X255" i="7"/>
  <c r="X256" i="7"/>
  <c r="X257" i="7"/>
  <c r="X258" i="7"/>
  <c r="X259" i="7"/>
  <c r="X260" i="7"/>
  <c r="X261" i="7"/>
  <c r="X262" i="7"/>
  <c r="X263" i="7"/>
  <c r="X264" i="7"/>
  <c r="X265" i="7"/>
  <c r="X266" i="7"/>
  <c r="X267" i="7"/>
  <c r="X268" i="7"/>
  <c r="X269" i="7"/>
  <c r="X270" i="7"/>
  <c r="X271" i="7"/>
  <c r="X272" i="7"/>
  <c r="X273" i="7"/>
  <c r="X274" i="7"/>
  <c r="X275" i="7"/>
  <c r="X276" i="7"/>
  <c r="X277" i="7"/>
  <c r="X278" i="7"/>
  <c r="X279" i="7"/>
  <c r="X280" i="7"/>
  <c r="X281" i="7"/>
  <c r="X282" i="7"/>
  <c r="X283" i="7"/>
  <c r="X284" i="7"/>
  <c r="X285" i="7"/>
  <c r="X286" i="7"/>
  <c r="X287" i="7"/>
  <c r="X288" i="7"/>
  <c r="X289" i="7"/>
  <c r="X290" i="7"/>
  <c r="X291" i="7"/>
  <c r="X292" i="7"/>
  <c r="X293" i="7"/>
  <c r="X294" i="7"/>
  <c r="X295" i="7"/>
  <c r="X296" i="7"/>
  <c r="X297" i="7"/>
  <c r="X298" i="7"/>
  <c r="X299" i="7"/>
  <c r="X300" i="7"/>
  <c r="X301" i="7"/>
  <c r="X302" i="7"/>
  <c r="X303" i="7"/>
  <c r="X304" i="7"/>
  <c r="X305" i="7"/>
  <c r="X306" i="7"/>
  <c r="X307" i="7"/>
  <c r="X308" i="7"/>
  <c r="X309" i="7"/>
  <c r="X310" i="7"/>
  <c r="X311" i="7"/>
  <c r="X312" i="7"/>
  <c r="X313" i="7"/>
  <c r="X314" i="7"/>
  <c r="X315" i="7"/>
  <c r="X316" i="7"/>
  <c r="X317" i="7"/>
  <c r="X318" i="7"/>
  <c r="X319" i="7"/>
  <c r="X320" i="7"/>
  <c r="X321" i="7"/>
  <c r="X322" i="7"/>
  <c r="X323" i="7"/>
  <c r="X324" i="7"/>
  <c r="X325" i="7"/>
  <c r="X326" i="7"/>
  <c r="X327" i="7"/>
  <c r="X328" i="7"/>
  <c r="X329" i="7"/>
  <c r="X330" i="7"/>
  <c r="X331" i="7"/>
  <c r="X332" i="7"/>
  <c r="X333" i="7"/>
  <c r="X334" i="7"/>
  <c r="X335" i="7"/>
  <c r="X336" i="7"/>
  <c r="X337" i="7"/>
  <c r="X338" i="7"/>
  <c r="X339" i="7"/>
  <c r="X340" i="7"/>
  <c r="X341" i="7"/>
  <c r="X342" i="7"/>
  <c r="X343" i="7"/>
  <c r="X344" i="7"/>
  <c r="X345" i="7"/>
  <c r="X346" i="7"/>
  <c r="X347" i="7"/>
  <c r="X348" i="7"/>
  <c r="X349" i="7"/>
  <c r="X350" i="7"/>
  <c r="X351" i="7"/>
  <c r="X352" i="7"/>
  <c r="X353" i="7"/>
  <c r="X354" i="7"/>
  <c r="X355" i="7"/>
  <c r="X356" i="7"/>
  <c r="X357" i="7"/>
  <c r="X358" i="7"/>
  <c r="X359" i="7"/>
  <c r="X360" i="7"/>
  <c r="X361" i="7"/>
  <c r="X362" i="7"/>
  <c r="X363" i="7"/>
  <c r="X364" i="7"/>
  <c r="X365" i="7"/>
  <c r="X366" i="7"/>
  <c r="X367" i="7"/>
  <c r="X368" i="7"/>
  <c r="X369" i="7"/>
  <c r="X370" i="7"/>
  <c r="X371" i="7"/>
  <c r="X372" i="7"/>
  <c r="X373" i="7"/>
  <c r="X374" i="7"/>
  <c r="X375" i="7"/>
  <c r="X376" i="7"/>
  <c r="X377" i="7"/>
  <c r="X378" i="7"/>
  <c r="X379" i="7"/>
  <c r="X380" i="7"/>
  <c r="X381" i="7"/>
  <c r="X382" i="7"/>
  <c r="X383" i="7"/>
  <c r="X384" i="7"/>
  <c r="X385" i="7"/>
  <c r="X386" i="7"/>
  <c r="X387" i="7"/>
  <c r="X388" i="7"/>
  <c r="X389" i="7"/>
  <c r="X390" i="7"/>
  <c r="X391" i="7"/>
  <c r="X392" i="7"/>
  <c r="X393" i="7"/>
  <c r="X394" i="7"/>
  <c r="X395" i="7"/>
  <c r="X396" i="7"/>
  <c r="X397" i="7"/>
  <c r="X398" i="7"/>
  <c r="X399" i="7"/>
  <c r="X400" i="7"/>
  <c r="X401" i="7"/>
  <c r="X402" i="7"/>
  <c r="X403" i="7"/>
  <c r="X404" i="7"/>
  <c r="X405" i="7"/>
  <c r="X406" i="7"/>
  <c r="X407" i="7"/>
  <c r="X408" i="7"/>
  <c r="X409" i="7"/>
  <c r="X410" i="7"/>
  <c r="X411" i="7"/>
  <c r="X412" i="7"/>
  <c r="X413" i="7"/>
  <c r="X414" i="7"/>
  <c r="X415" i="7"/>
  <c r="X416" i="7"/>
  <c r="X417" i="7"/>
  <c r="X418" i="7"/>
  <c r="X419" i="7"/>
  <c r="X420" i="7"/>
  <c r="X421" i="7"/>
  <c r="X422" i="7"/>
  <c r="X423" i="7"/>
  <c r="X424" i="7"/>
  <c r="X425" i="7"/>
  <c r="X426" i="7"/>
  <c r="X427" i="7"/>
  <c r="X428" i="7"/>
  <c r="X429" i="7"/>
  <c r="X430" i="7"/>
  <c r="X431" i="7"/>
  <c r="X432" i="7"/>
  <c r="X433" i="7"/>
  <c r="X434" i="7"/>
  <c r="X435" i="7"/>
  <c r="X436" i="7"/>
  <c r="X437" i="7"/>
  <c r="X438" i="7"/>
  <c r="X439" i="7"/>
  <c r="X440" i="7"/>
  <c r="X441" i="7"/>
  <c r="X442" i="7"/>
  <c r="X443" i="7"/>
  <c r="X444" i="7"/>
  <c r="X445" i="7"/>
  <c r="X446" i="7"/>
  <c r="X447" i="7"/>
  <c r="X448" i="7"/>
  <c r="X449" i="7"/>
  <c r="X450" i="7"/>
  <c r="X451" i="7"/>
  <c r="X452" i="7"/>
  <c r="X453" i="7"/>
  <c r="X454" i="7"/>
  <c r="X455" i="7"/>
  <c r="X456" i="7"/>
  <c r="X457" i="7"/>
  <c r="X458" i="7"/>
  <c r="X459" i="7"/>
  <c r="X460" i="7"/>
  <c r="X461" i="7"/>
  <c r="X462" i="7"/>
  <c r="X463" i="7"/>
  <c r="X464" i="7"/>
  <c r="X465" i="7"/>
  <c r="X466" i="7"/>
  <c r="X467" i="7"/>
  <c r="X468" i="7"/>
  <c r="X469" i="7"/>
  <c r="X470" i="7"/>
  <c r="X471" i="7"/>
  <c r="X472" i="7"/>
  <c r="X473" i="7"/>
  <c r="X474" i="7"/>
  <c r="X475" i="7"/>
  <c r="X476" i="7"/>
  <c r="X477" i="7"/>
  <c r="X478" i="7"/>
  <c r="X479" i="7"/>
  <c r="X480" i="7"/>
  <c r="X481" i="7"/>
  <c r="X482" i="7"/>
  <c r="X483" i="7"/>
  <c r="X484" i="7"/>
  <c r="X485" i="7"/>
  <c r="X486" i="7"/>
  <c r="X487" i="7"/>
  <c r="X488" i="7"/>
  <c r="X489" i="7"/>
  <c r="X490" i="7"/>
  <c r="X491" i="7"/>
  <c r="X492" i="7"/>
  <c r="X493" i="7"/>
  <c r="X494" i="7"/>
  <c r="X495" i="7"/>
  <c r="X496" i="7"/>
  <c r="X497" i="7"/>
  <c r="X498" i="7"/>
  <c r="X499" i="7"/>
  <c r="X500" i="7"/>
  <c r="X501" i="7"/>
  <c r="X502" i="7"/>
  <c r="X503" i="7"/>
  <c r="X504" i="7"/>
  <c r="X505" i="7"/>
  <c r="X506" i="7"/>
  <c r="X507" i="7"/>
  <c r="X508" i="7"/>
  <c r="X509" i="7"/>
  <c r="X510" i="7"/>
  <c r="X511" i="7"/>
  <c r="X512" i="7"/>
  <c r="X513" i="7"/>
  <c r="X514" i="7"/>
  <c r="X515" i="7"/>
  <c r="X516" i="7"/>
  <c r="X517" i="7"/>
  <c r="X518" i="7"/>
  <c r="X519" i="7"/>
  <c r="X520" i="7"/>
  <c r="X521" i="7"/>
  <c r="X522" i="7"/>
  <c r="X523" i="7"/>
  <c r="X524" i="7"/>
  <c r="X525" i="7"/>
  <c r="X526" i="7"/>
  <c r="X527" i="7"/>
  <c r="X528" i="7"/>
  <c r="X529" i="7"/>
  <c r="X530" i="7"/>
  <c r="X531" i="7"/>
  <c r="X532" i="7"/>
  <c r="X533" i="7"/>
  <c r="X534" i="7"/>
  <c r="X535" i="7"/>
  <c r="X536" i="7"/>
  <c r="X537" i="7"/>
  <c r="X538" i="7"/>
  <c r="X539" i="7"/>
  <c r="X540" i="7"/>
  <c r="X541" i="7"/>
  <c r="X542" i="7"/>
  <c r="X543" i="7"/>
  <c r="X544" i="7"/>
  <c r="X545" i="7"/>
  <c r="X546" i="7"/>
  <c r="X547" i="7"/>
  <c r="X548" i="7"/>
  <c r="X549" i="7"/>
  <c r="X550" i="7"/>
  <c r="X551" i="7"/>
  <c r="X552" i="7"/>
  <c r="X553" i="7"/>
  <c r="X554" i="7"/>
  <c r="X555" i="7"/>
  <c r="X556" i="7"/>
  <c r="X557" i="7"/>
  <c r="X558" i="7"/>
  <c r="X559" i="7"/>
  <c r="X560" i="7"/>
  <c r="X561" i="7"/>
  <c r="X562" i="7"/>
  <c r="X563" i="7"/>
  <c r="X564" i="7"/>
  <c r="X565" i="7"/>
  <c r="X566" i="7"/>
  <c r="X567" i="7"/>
  <c r="X568" i="7"/>
  <c r="X569" i="7"/>
  <c r="X570" i="7"/>
  <c r="X571" i="7"/>
  <c r="X572" i="7"/>
  <c r="X573" i="7"/>
  <c r="X574" i="7"/>
  <c r="X575" i="7"/>
  <c r="X576" i="7"/>
  <c r="X577" i="7"/>
  <c r="X578" i="7"/>
  <c r="X579" i="7"/>
  <c r="X580" i="7"/>
  <c r="X581" i="7"/>
  <c r="X582" i="7"/>
  <c r="X583" i="7"/>
  <c r="X584" i="7"/>
  <c r="X585" i="7"/>
  <c r="X586" i="7"/>
  <c r="X587" i="7"/>
  <c r="X588" i="7"/>
  <c r="X589" i="7"/>
  <c r="X590" i="7"/>
  <c r="X591" i="7"/>
  <c r="X592" i="7"/>
  <c r="X593" i="7"/>
  <c r="X594" i="7"/>
  <c r="X595" i="7"/>
  <c r="X596" i="7"/>
  <c r="X597" i="7"/>
  <c r="X598" i="7"/>
  <c r="X599" i="7"/>
  <c r="X600" i="7"/>
  <c r="X601" i="7"/>
  <c r="X602" i="7"/>
  <c r="X603" i="7"/>
  <c r="X604" i="7"/>
  <c r="X605" i="7"/>
  <c r="X606" i="7"/>
  <c r="X607" i="7"/>
  <c r="X608" i="7"/>
  <c r="X609" i="7"/>
  <c r="X610" i="7"/>
  <c r="X611" i="7"/>
  <c r="X612" i="7"/>
  <c r="X613" i="7"/>
  <c r="X614" i="7"/>
  <c r="X615" i="7"/>
  <c r="X616" i="7"/>
  <c r="X678" i="7"/>
  <c r="X679" i="7"/>
  <c r="X680" i="7"/>
  <c r="X681" i="7"/>
  <c r="X682" i="7"/>
  <c r="X683" i="7"/>
  <c r="X684" i="7"/>
  <c r="X685" i="7"/>
  <c r="X686" i="7"/>
  <c r="X687" i="7"/>
  <c r="X688" i="7"/>
  <c r="X689" i="7"/>
  <c r="X690" i="7"/>
  <c r="X691" i="7"/>
  <c r="X692" i="7"/>
  <c r="X693" i="7"/>
  <c r="X694" i="7"/>
  <c r="X695" i="7"/>
  <c r="X696" i="7"/>
  <c r="X697" i="7"/>
  <c r="X698" i="7"/>
  <c r="X699" i="7"/>
  <c r="X700" i="7"/>
  <c r="X701" i="7"/>
  <c r="X702" i="7"/>
  <c r="X703" i="7"/>
  <c r="X704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5" i="7"/>
  <c r="W616" i="7"/>
  <c r="W618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2" i="7"/>
  <c r="V2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56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3" i="7"/>
  <c r="V464" i="7"/>
  <c r="V465" i="7"/>
  <c r="V466" i="7"/>
  <c r="V467" i="7"/>
  <c r="V468" i="7"/>
  <c r="V471" i="7"/>
  <c r="V473" i="7"/>
  <c r="V474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507" i="7"/>
  <c r="V508" i="7"/>
  <c r="V509" i="7"/>
  <c r="V510" i="7"/>
  <c r="V511" i="7"/>
  <c r="V512" i="7"/>
  <c r="V513" i="7"/>
  <c r="V514" i="7"/>
  <c r="V515" i="7"/>
  <c r="V516" i="7"/>
  <c r="V517" i="7"/>
  <c r="V533" i="7"/>
  <c r="V534" i="7"/>
  <c r="V535" i="7"/>
  <c r="V536" i="7"/>
  <c r="V537" i="7"/>
  <c r="V538" i="7"/>
  <c r="V541" i="7"/>
  <c r="V546" i="7"/>
  <c r="V548" i="7"/>
  <c r="V550" i="7"/>
  <c r="V552" i="7"/>
  <c r="V553" i="7"/>
  <c r="V554" i="7"/>
  <c r="V555" i="7"/>
  <c r="V556" i="7"/>
  <c r="V557" i="7"/>
  <c r="V559" i="7"/>
  <c r="V561" i="7"/>
  <c r="V562" i="7"/>
  <c r="V564" i="7"/>
  <c r="V566" i="7"/>
  <c r="V568" i="7"/>
  <c r="V569" i="7"/>
  <c r="V571" i="7"/>
  <c r="V572" i="7"/>
  <c r="V574" i="7"/>
  <c r="V575" i="7"/>
  <c r="V576" i="7"/>
  <c r="V577" i="7"/>
  <c r="V579" i="7"/>
  <c r="V581" i="7"/>
  <c r="V584" i="7"/>
  <c r="V585" i="7"/>
  <c r="V586" i="7"/>
  <c r="V589" i="7"/>
  <c r="V590" i="7"/>
  <c r="V591" i="7"/>
  <c r="V592" i="7"/>
  <c r="V594" i="7"/>
  <c r="V595" i="7"/>
  <c r="V596" i="7"/>
  <c r="V597" i="7"/>
  <c r="V599" i="7"/>
  <c r="V600" i="7"/>
  <c r="V601" i="7"/>
  <c r="V602" i="7"/>
  <c r="V604" i="7"/>
  <c r="V605" i="7"/>
  <c r="V606" i="7"/>
  <c r="V609" i="7"/>
  <c r="V611" i="7"/>
  <c r="V613" i="7"/>
  <c r="V614" i="7"/>
  <c r="V620" i="7"/>
  <c r="V623" i="7"/>
  <c r="V625" i="7"/>
  <c r="V626" i="7"/>
  <c r="V627" i="7"/>
  <c r="V628" i="7"/>
  <c r="V629" i="7"/>
  <c r="V630" i="7"/>
  <c r="V631" i="7"/>
  <c r="V632" i="7"/>
  <c r="V634" i="7"/>
  <c r="V639" i="7"/>
  <c r="V641" i="7"/>
  <c r="V642" i="7"/>
  <c r="V644" i="7"/>
  <c r="V645" i="7"/>
  <c r="V646" i="7"/>
  <c r="V648" i="7"/>
  <c r="V649" i="7"/>
  <c r="V650" i="7"/>
  <c r="V651" i="7"/>
  <c r="V653" i="7"/>
  <c r="V656" i="7"/>
  <c r="V658" i="7"/>
  <c r="V659" i="7"/>
  <c r="V662" i="7"/>
  <c r="V678" i="7"/>
  <c r="V679" i="7"/>
  <c r="V680" i="7"/>
  <c r="V681" i="7"/>
  <c r="V682" i="7"/>
  <c r="V683" i="7"/>
  <c r="V684" i="7"/>
  <c r="V685" i="7"/>
  <c r="V686" i="7"/>
  <c r="V687" i="7"/>
  <c r="V688" i="7"/>
  <c r="V689" i="7"/>
  <c r="V690" i="7"/>
  <c r="V691" i="7"/>
  <c r="V692" i="7"/>
  <c r="V693" i="7"/>
  <c r="V694" i="7"/>
  <c r="V695" i="7"/>
  <c r="V696" i="7"/>
  <c r="V697" i="7"/>
  <c r="V698" i="7"/>
  <c r="V699" i="7"/>
  <c r="V700" i="7"/>
  <c r="V701" i="7"/>
  <c r="V702" i="7"/>
  <c r="V703" i="7"/>
  <c r="V704" i="7"/>
  <c r="U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1" i="7"/>
  <c r="U532" i="7"/>
  <c r="U533" i="7"/>
  <c r="U534" i="7"/>
  <c r="U535" i="7"/>
  <c r="U536" i="7"/>
  <c r="U537" i="7"/>
  <c r="U538" i="7"/>
  <c r="U539" i="7"/>
  <c r="U540" i="7"/>
  <c r="U541" i="7"/>
  <c r="U542" i="7"/>
  <c r="U543" i="7"/>
  <c r="U544" i="7"/>
  <c r="U545" i="7"/>
  <c r="U546" i="7"/>
  <c r="U547" i="7"/>
  <c r="U548" i="7"/>
  <c r="U549" i="7"/>
  <c r="U550" i="7"/>
  <c r="U551" i="7"/>
  <c r="U552" i="7"/>
  <c r="U553" i="7"/>
  <c r="U554" i="7"/>
  <c r="U555" i="7"/>
  <c r="U556" i="7"/>
  <c r="U557" i="7"/>
  <c r="U559" i="7"/>
  <c r="U560" i="7"/>
  <c r="U561" i="7"/>
  <c r="U562" i="7"/>
  <c r="U563" i="7"/>
  <c r="U564" i="7"/>
  <c r="U565" i="7"/>
  <c r="U566" i="7"/>
  <c r="U567" i="7"/>
  <c r="U568" i="7"/>
  <c r="U569" i="7"/>
  <c r="U570" i="7"/>
  <c r="U571" i="7"/>
  <c r="U572" i="7"/>
  <c r="U573" i="7"/>
  <c r="U574" i="7"/>
  <c r="U575" i="7"/>
  <c r="U576" i="7"/>
  <c r="U577" i="7"/>
  <c r="U578" i="7"/>
  <c r="U579" i="7"/>
  <c r="U580" i="7"/>
  <c r="U581" i="7"/>
  <c r="U582" i="7"/>
  <c r="U583" i="7"/>
  <c r="U584" i="7"/>
  <c r="U585" i="7"/>
  <c r="U586" i="7"/>
  <c r="U587" i="7"/>
  <c r="U588" i="7"/>
  <c r="U589" i="7"/>
  <c r="U590" i="7"/>
  <c r="U591" i="7"/>
  <c r="U592" i="7"/>
  <c r="U593" i="7"/>
  <c r="U594" i="7"/>
  <c r="U595" i="7"/>
  <c r="U596" i="7"/>
  <c r="U597" i="7"/>
  <c r="U598" i="7"/>
  <c r="U599" i="7"/>
  <c r="U600" i="7"/>
  <c r="U601" i="7"/>
  <c r="U602" i="7"/>
  <c r="U603" i="7"/>
  <c r="U604" i="7"/>
  <c r="U605" i="7"/>
  <c r="U606" i="7"/>
  <c r="U607" i="7"/>
  <c r="U608" i="7"/>
  <c r="U609" i="7"/>
  <c r="U610" i="7"/>
  <c r="U611" i="7"/>
  <c r="U612" i="7"/>
  <c r="U613" i="7"/>
  <c r="U614" i="7"/>
  <c r="U615" i="7"/>
  <c r="U616" i="7"/>
  <c r="U618" i="7"/>
  <c r="U620" i="7"/>
  <c r="U621" i="7"/>
  <c r="U622" i="7"/>
  <c r="U623" i="7"/>
  <c r="U624" i="7"/>
  <c r="U625" i="7"/>
  <c r="U626" i="7"/>
  <c r="U627" i="7"/>
  <c r="U628" i="7"/>
  <c r="U629" i="7"/>
  <c r="U630" i="7"/>
  <c r="U631" i="7"/>
  <c r="U632" i="7"/>
  <c r="U633" i="7"/>
  <c r="U634" i="7"/>
  <c r="U635" i="7"/>
  <c r="U636" i="7"/>
  <c r="U637" i="7"/>
  <c r="U638" i="7"/>
  <c r="U639" i="7"/>
  <c r="U640" i="7"/>
  <c r="U641" i="7"/>
  <c r="U642" i="7"/>
  <c r="U643" i="7"/>
  <c r="U644" i="7"/>
  <c r="U645" i="7"/>
  <c r="U646" i="7"/>
  <c r="U647" i="7"/>
  <c r="U648" i="7"/>
  <c r="U649" i="7"/>
  <c r="U650" i="7"/>
  <c r="U651" i="7"/>
  <c r="U652" i="7"/>
  <c r="U653" i="7"/>
  <c r="U654" i="7"/>
  <c r="U655" i="7"/>
  <c r="U656" i="7"/>
  <c r="U657" i="7"/>
  <c r="U658" i="7"/>
  <c r="U659" i="7"/>
  <c r="U660" i="7"/>
  <c r="U661" i="7"/>
  <c r="U662" i="7"/>
  <c r="U678" i="7"/>
  <c r="U679" i="7"/>
  <c r="U680" i="7"/>
  <c r="U681" i="7"/>
  <c r="U682" i="7"/>
  <c r="U683" i="7"/>
  <c r="U684" i="7"/>
  <c r="U685" i="7"/>
  <c r="U686" i="7"/>
  <c r="U687" i="7"/>
  <c r="U688" i="7"/>
  <c r="U689" i="7"/>
  <c r="U690" i="7"/>
  <c r="U691" i="7"/>
  <c r="U692" i="7"/>
  <c r="U693" i="7"/>
  <c r="U694" i="7"/>
  <c r="U695" i="7"/>
  <c r="U696" i="7"/>
  <c r="U697" i="7"/>
  <c r="U698" i="7"/>
  <c r="U699" i="7"/>
  <c r="U700" i="7"/>
  <c r="U701" i="7"/>
  <c r="U702" i="7"/>
  <c r="U703" i="7"/>
  <c r="U704" i="7"/>
  <c r="T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8" i="7"/>
  <c r="T550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4" i="7"/>
  <c r="T595" i="7"/>
  <c r="T596" i="7"/>
  <c r="T597" i="7"/>
  <c r="T599" i="7"/>
  <c r="T600" i="7"/>
  <c r="T601" i="7"/>
  <c r="T602" i="7"/>
  <c r="T603" i="7"/>
  <c r="T604" i="7"/>
  <c r="T605" i="7"/>
  <c r="T606" i="7"/>
  <c r="T609" i="7"/>
  <c r="T611" i="7"/>
  <c r="T613" i="7"/>
  <c r="T614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8" i="7"/>
  <c r="T649" i="7"/>
  <c r="T650" i="7"/>
  <c r="T651" i="7"/>
  <c r="T653" i="7"/>
  <c r="T656" i="7"/>
  <c r="T658" i="7"/>
  <c r="T659" i="7"/>
  <c r="T662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I1396" i="75"/>
  <c r="I1397" i="75"/>
  <c r="I1398" i="75"/>
  <c r="I1399" i="75"/>
  <c r="I1400" i="75"/>
  <c r="I1401" i="75"/>
  <c r="I1402" i="75"/>
  <c r="I1403" i="75"/>
  <c r="I1404" i="75"/>
  <c r="I1405" i="75"/>
  <c r="I1406" i="75"/>
  <c r="I1407" i="75"/>
  <c r="I1408" i="75"/>
  <c r="I1409" i="75"/>
  <c r="I1410" i="75"/>
  <c r="I1411" i="75"/>
  <c r="I1412" i="75"/>
  <c r="I1413" i="75"/>
  <c r="I1414" i="75"/>
  <c r="I1415" i="75"/>
  <c r="I1416" i="75"/>
  <c r="I1417" i="75"/>
  <c r="I1418" i="75"/>
  <c r="I1419" i="75"/>
  <c r="I1420" i="75"/>
  <c r="I1421" i="75"/>
  <c r="I1422" i="75"/>
  <c r="I1423" i="75"/>
  <c r="I1424" i="75"/>
  <c r="I1425" i="75"/>
  <c r="I1426" i="75"/>
  <c r="I1427" i="75"/>
  <c r="I1428" i="75"/>
  <c r="I1429" i="75"/>
  <c r="I1430" i="75"/>
  <c r="I1431" i="75"/>
  <c r="I1432" i="75"/>
  <c r="I1433" i="75"/>
  <c r="I1434" i="75"/>
  <c r="I1435" i="75"/>
  <c r="I1436" i="75"/>
  <c r="I1437" i="75"/>
  <c r="I1438" i="75"/>
  <c r="I1439" i="75"/>
  <c r="I1440" i="75"/>
  <c r="I1441" i="75"/>
  <c r="I1442" i="75"/>
  <c r="I1443" i="75"/>
  <c r="I1444" i="75"/>
  <c r="I1445" i="75"/>
  <c r="I1446" i="75"/>
  <c r="I1447" i="75"/>
  <c r="I1448" i="75"/>
  <c r="I1449" i="75"/>
  <c r="I1450" i="75"/>
  <c r="I1451" i="75"/>
  <c r="I1452" i="75"/>
  <c r="I1453" i="75"/>
  <c r="I1454" i="75"/>
  <c r="I1455" i="75"/>
  <c r="I1456" i="75"/>
  <c r="I1457" i="75"/>
  <c r="I1458" i="75"/>
  <c r="I1459" i="75"/>
  <c r="I1460" i="75"/>
  <c r="I1461" i="75"/>
  <c r="I1462" i="75"/>
  <c r="I1463" i="75"/>
  <c r="I1464" i="75"/>
  <c r="I1465" i="75"/>
  <c r="I1466" i="75"/>
  <c r="I1467" i="75"/>
  <c r="I1468" i="75"/>
  <c r="I1469" i="75"/>
  <c r="I1470" i="75"/>
  <c r="I1471" i="75"/>
  <c r="I1472" i="75"/>
  <c r="I1473" i="75"/>
  <c r="I1474" i="75"/>
  <c r="I1475" i="75"/>
  <c r="I1476" i="75"/>
  <c r="I1477" i="75"/>
  <c r="I1478" i="75"/>
  <c r="I1479" i="75"/>
  <c r="I1480" i="75"/>
  <c r="I1481" i="75"/>
  <c r="I1482" i="75"/>
  <c r="I1483" i="75"/>
  <c r="I1484" i="75"/>
  <c r="I1485" i="75"/>
  <c r="I1486" i="75"/>
  <c r="I1487" i="75"/>
  <c r="I1488" i="75"/>
  <c r="I1489" i="75"/>
  <c r="I1490" i="75"/>
  <c r="I1491" i="75"/>
  <c r="I1492" i="75"/>
  <c r="I1493" i="75"/>
  <c r="I1494" i="75"/>
  <c r="I1495" i="75"/>
  <c r="I1496" i="75"/>
  <c r="I1497" i="75"/>
  <c r="I1498" i="75"/>
  <c r="I1499" i="75"/>
  <c r="I1500" i="75"/>
  <c r="I1501" i="75"/>
  <c r="I1502" i="75"/>
  <c r="I1503" i="75"/>
  <c r="I1504" i="75"/>
  <c r="I1505" i="75"/>
  <c r="I1506" i="75"/>
  <c r="I1507" i="75"/>
  <c r="I1508" i="75"/>
  <c r="I1509" i="75"/>
  <c r="I1510" i="75"/>
  <c r="I1511" i="75"/>
  <c r="I1512" i="75"/>
  <c r="I1513" i="75"/>
  <c r="I1514" i="75"/>
  <c r="I1515" i="75"/>
  <c r="I1516" i="75"/>
  <c r="I1517" i="75"/>
  <c r="I1518" i="75"/>
  <c r="I1519" i="75"/>
  <c r="I1520" i="75"/>
  <c r="I1521" i="75"/>
  <c r="I1522" i="75"/>
  <c r="I1523" i="75"/>
  <c r="I1524" i="75"/>
  <c r="I1525" i="75"/>
  <c r="I1526" i="75"/>
  <c r="I1527" i="75"/>
  <c r="I1528" i="75"/>
  <c r="I1529" i="75"/>
  <c r="I1530" i="75"/>
  <c r="I1531" i="75"/>
  <c r="I1532" i="75"/>
  <c r="I1533" i="75"/>
  <c r="I1534" i="75"/>
  <c r="I1535" i="75"/>
  <c r="I1536" i="75"/>
  <c r="I1537" i="75"/>
  <c r="I1538" i="75"/>
  <c r="I1539" i="75"/>
  <c r="I1540" i="75"/>
  <c r="I1541" i="75"/>
  <c r="I1542" i="75"/>
  <c r="I1543" i="75"/>
  <c r="I1544" i="75"/>
  <c r="I1545" i="75"/>
  <c r="I1546" i="75"/>
  <c r="I1547" i="75"/>
  <c r="I1548" i="75"/>
  <c r="I1549" i="75"/>
  <c r="I1550" i="75"/>
  <c r="I1551" i="75"/>
  <c r="I1552" i="75"/>
  <c r="I1553" i="75"/>
  <c r="I1554" i="75"/>
  <c r="I1555" i="75"/>
  <c r="I1556" i="75"/>
  <c r="I1557" i="75"/>
  <c r="I1558" i="75"/>
  <c r="I1559" i="75"/>
  <c r="I1560" i="75"/>
  <c r="I1561" i="75"/>
  <c r="I1562" i="75"/>
  <c r="I1563" i="75"/>
  <c r="I1564" i="75"/>
  <c r="I1565" i="75"/>
  <c r="I1566" i="75"/>
  <c r="I1567" i="75"/>
  <c r="I1568" i="75"/>
  <c r="I1569" i="75"/>
  <c r="I1570" i="75"/>
  <c r="I1571" i="75"/>
  <c r="I1572" i="75"/>
  <c r="I1573" i="75"/>
  <c r="I1574" i="75"/>
  <c r="I1575" i="75"/>
  <c r="I1576" i="75"/>
  <c r="I1577" i="75"/>
  <c r="I1578" i="75"/>
  <c r="I1579" i="75"/>
  <c r="I1580" i="75"/>
  <c r="I1581" i="75"/>
  <c r="I1582" i="75"/>
  <c r="I1583" i="75"/>
  <c r="I1584" i="75"/>
  <c r="I1585" i="75"/>
  <c r="I1586" i="75"/>
  <c r="I1587" i="75"/>
  <c r="I1588" i="75"/>
  <c r="I1589" i="75"/>
  <c r="I1590" i="75"/>
  <c r="I1591" i="75"/>
  <c r="I1592" i="75"/>
  <c r="I1593" i="75"/>
  <c r="I1594" i="75"/>
  <c r="I1595" i="75"/>
  <c r="I1596" i="75"/>
  <c r="I1597" i="75"/>
  <c r="I1598" i="75"/>
  <c r="I1599" i="75"/>
  <c r="I1600" i="75"/>
  <c r="I1601" i="75"/>
  <c r="I1602" i="75"/>
  <c r="I1603" i="75"/>
  <c r="I1604" i="75"/>
  <c r="I1605" i="75"/>
  <c r="I1606" i="75"/>
  <c r="I1607" i="75"/>
  <c r="I1608" i="75"/>
  <c r="I1609" i="75"/>
  <c r="I1610" i="75"/>
  <c r="I1611" i="75"/>
  <c r="I1612" i="75"/>
  <c r="I1613" i="75"/>
  <c r="I1614" i="75"/>
  <c r="I1615" i="75"/>
  <c r="I1616" i="75"/>
  <c r="I1617" i="75"/>
  <c r="I1618" i="75"/>
  <c r="I1619" i="75"/>
  <c r="I1620" i="75"/>
  <c r="I1621" i="75"/>
  <c r="I1622" i="75"/>
  <c r="I1623" i="75"/>
  <c r="I1624" i="75"/>
  <c r="I1625" i="75"/>
  <c r="I1626" i="75"/>
  <c r="I1627" i="75"/>
  <c r="I1628" i="75"/>
  <c r="I1629" i="75"/>
  <c r="I1630" i="75"/>
  <c r="I1631" i="75"/>
  <c r="I1632" i="75"/>
  <c r="I1633" i="75"/>
  <c r="I1634" i="75"/>
  <c r="I1635" i="75"/>
  <c r="I1636" i="75"/>
  <c r="I1637" i="75"/>
  <c r="I1638" i="75"/>
  <c r="I1639" i="75"/>
  <c r="I1640" i="75"/>
  <c r="I1641" i="75"/>
  <c r="I1642" i="75"/>
  <c r="I1643" i="75"/>
  <c r="I1644" i="75"/>
  <c r="I1645" i="75"/>
  <c r="I1646" i="75"/>
  <c r="I1647" i="75"/>
  <c r="I1648" i="75"/>
  <c r="I1649" i="75"/>
  <c r="I1650" i="75"/>
  <c r="I1651" i="75"/>
  <c r="I1652" i="75"/>
  <c r="I1653" i="75"/>
  <c r="I1654" i="75"/>
  <c r="I1655" i="75"/>
  <c r="I1656" i="75"/>
  <c r="I1657" i="75"/>
  <c r="I1658" i="75"/>
  <c r="I1659" i="75"/>
  <c r="I1660" i="75"/>
  <c r="I1661" i="75"/>
  <c r="I1662" i="75"/>
  <c r="I1663" i="75"/>
  <c r="I1664" i="75"/>
  <c r="I1665" i="75"/>
  <c r="I1666" i="75"/>
  <c r="I1667" i="75"/>
  <c r="I1668" i="75"/>
  <c r="I1669" i="75"/>
  <c r="I1670" i="75"/>
  <c r="I1671" i="75"/>
  <c r="I1672" i="75"/>
  <c r="I1673" i="75"/>
  <c r="I1674" i="75"/>
  <c r="I1675" i="75"/>
  <c r="I1676" i="75"/>
  <c r="I1677" i="75"/>
  <c r="I1678" i="75"/>
  <c r="I1679" i="75"/>
  <c r="I1680" i="75"/>
  <c r="I1681" i="75"/>
  <c r="I1682" i="75"/>
  <c r="I1683" i="75"/>
  <c r="I1684" i="75"/>
  <c r="I1685" i="75"/>
  <c r="I1686" i="75"/>
  <c r="I1687" i="75"/>
  <c r="I1688" i="75"/>
  <c r="I1689" i="75"/>
  <c r="I1690" i="75"/>
  <c r="I1691" i="75"/>
  <c r="I1692" i="75"/>
  <c r="I1693" i="75"/>
  <c r="I1694" i="75"/>
  <c r="I1695" i="75"/>
  <c r="I1696" i="75"/>
  <c r="I1697" i="75"/>
  <c r="I1698" i="75"/>
  <c r="I1699" i="75"/>
  <c r="I1700" i="75"/>
  <c r="I1701" i="75"/>
  <c r="I1702" i="75"/>
  <c r="I1703" i="75"/>
  <c r="I1704" i="75"/>
  <c r="I1705" i="75"/>
  <c r="I1706" i="75"/>
  <c r="I1707" i="75"/>
  <c r="I1708" i="75"/>
  <c r="I1709" i="75"/>
  <c r="I1710" i="75"/>
  <c r="I1711" i="75"/>
  <c r="I1712" i="75"/>
  <c r="I1713" i="75"/>
  <c r="I1714" i="75"/>
  <c r="I1715" i="75"/>
  <c r="I1716" i="75"/>
  <c r="I1717" i="75"/>
  <c r="I1718" i="75"/>
  <c r="I1719" i="75"/>
  <c r="I1720" i="75"/>
  <c r="I1721" i="75"/>
  <c r="I1722" i="75"/>
  <c r="I1723" i="75"/>
  <c r="I1724" i="75"/>
  <c r="I1725" i="75"/>
  <c r="I1726" i="75"/>
  <c r="I1727" i="75"/>
  <c r="I1728" i="75"/>
  <c r="I1729" i="75"/>
  <c r="I1730" i="75"/>
  <c r="I1731" i="75"/>
  <c r="I1732" i="75"/>
  <c r="I1733" i="75"/>
  <c r="I1734" i="75"/>
  <c r="I1735" i="75"/>
  <c r="I1736" i="75"/>
  <c r="I1737" i="75"/>
  <c r="I1738" i="75"/>
  <c r="I1739" i="75"/>
  <c r="I1740" i="75"/>
  <c r="I1741" i="75"/>
  <c r="I1742" i="75"/>
  <c r="I1743" i="75"/>
  <c r="I1744" i="75"/>
  <c r="I1745" i="75"/>
  <c r="I1746" i="75"/>
  <c r="I1747" i="75"/>
  <c r="I1748" i="75"/>
  <c r="I1749" i="75"/>
  <c r="I1750" i="75"/>
  <c r="I1751" i="75"/>
  <c r="I1752" i="75"/>
  <c r="I1753" i="75"/>
  <c r="I1754" i="75"/>
  <c r="I1755" i="75"/>
  <c r="I1756" i="75"/>
  <c r="I1757" i="75"/>
  <c r="I1758" i="75"/>
  <c r="I1759" i="75"/>
  <c r="I1760" i="75"/>
  <c r="I1761" i="75"/>
  <c r="I1762" i="75"/>
  <c r="I1763" i="75"/>
  <c r="I1764" i="75"/>
  <c r="I1765" i="75"/>
  <c r="I1766" i="75"/>
  <c r="I1767" i="75"/>
  <c r="I1768" i="75"/>
  <c r="I1769" i="75"/>
  <c r="I1770" i="75"/>
  <c r="I1771" i="75"/>
  <c r="I1772" i="75"/>
  <c r="I1773" i="75"/>
  <c r="I1774" i="75"/>
  <c r="I1775" i="75"/>
  <c r="I1776" i="75"/>
  <c r="I1777" i="75"/>
  <c r="I1778" i="75"/>
  <c r="I1779" i="75"/>
  <c r="I1780" i="75"/>
  <c r="I1781" i="75"/>
  <c r="I1782" i="75"/>
  <c r="I1783" i="75"/>
  <c r="I1784" i="75"/>
  <c r="I1785" i="75"/>
  <c r="I1786" i="75"/>
  <c r="I1787" i="75"/>
  <c r="I1788" i="75"/>
  <c r="I1789" i="75"/>
  <c r="I1790" i="75"/>
  <c r="I1791" i="75"/>
  <c r="I1792" i="75"/>
  <c r="I1793" i="75"/>
  <c r="I1794" i="75"/>
  <c r="I1795" i="75"/>
  <c r="I1796" i="75"/>
  <c r="I1797" i="75"/>
  <c r="I1798" i="75"/>
  <c r="I1799" i="75"/>
  <c r="I1800" i="75"/>
  <c r="I1801" i="75"/>
  <c r="I1802" i="75"/>
  <c r="I1803" i="75"/>
  <c r="I1804" i="75"/>
  <c r="I1805" i="75"/>
  <c r="I1806" i="75"/>
  <c r="I1807" i="75"/>
  <c r="I1808" i="75"/>
  <c r="I1809" i="75"/>
  <c r="I1810" i="75"/>
  <c r="I1811" i="75"/>
  <c r="I1812" i="75"/>
  <c r="I1813" i="75"/>
  <c r="I1814" i="75"/>
  <c r="I1815" i="75"/>
  <c r="I1816" i="75"/>
  <c r="I1817" i="75"/>
  <c r="I1818" i="75"/>
  <c r="I1819" i="75"/>
  <c r="I1820" i="75"/>
  <c r="I1821" i="75"/>
  <c r="I1822" i="75"/>
  <c r="I1823" i="75"/>
  <c r="I1824" i="75"/>
  <c r="I1825" i="75"/>
  <c r="I1826" i="75"/>
  <c r="I1827" i="75"/>
  <c r="I1828" i="75"/>
  <c r="I1829" i="75"/>
  <c r="I1830" i="75"/>
  <c r="I1831" i="75"/>
  <c r="I1832" i="75"/>
  <c r="I1833" i="75"/>
  <c r="I1834" i="75"/>
  <c r="I1835" i="75"/>
  <c r="I1836" i="75"/>
  <c r="I1837" i="75"/>
  <c r="I1838" i="75"/>
  <c r="I1839" i="75"/>
  <c r="I1840" i="75"/>
  <c r="I1841" i="75"/>
  <c r="I1842" i="75"/>
  <c r="I1843" i="75"/>
  <c r="I1844" i="75"/>
  <c r="I1845" i="75"/>
  <c r="I1846" i="75"/>
  <c r="I1847" i="75"/>
  <c r="I1848" i="75"/>
  <c r="I1849" i="75"/>
  <c r="I1850" i="75"/>
  <c r="I1851" i="75"/>
  <c r="I1852" i="75"/>
  <c r="I1853" i="75"/>
  <c r="I1854" i="75"/>
  <c r="I1855" i="75"/>
  <c r="I1856" i="75"/>
  <c r="I1857" i="75"/>
  <c r="I1858" i="75"/>
  <c r="I1859" i="75"/>
  <c r="I1860" i="75"/>
  <c r="I1861" i="75"/>
  <c r="I1862" i="75"/>
  <c r="I1863" i="75"/>
  <c r="I1864" i="75"/>
  <c r="I1865" i="75"/>
  <c r="I1866" i="75"/>
  <c r="I1867" i="75"/>
  <c r="I1868" i="75"/>
  <c r="I1869" i="75"/>
  <c r="I1870" i="75"/>
  <c r="I1871" i="75"/>
  <c r="I1872" i="75"/>
  <c r="I1873" i="75"/>
  <c r="I1874" i="75"/>
  <c r="I1875" i="75"/>
  <c r="I1876" i="75"/>
  <c r="I1877" i="75"/>
  <c r="I1878" i="75"/>
  <c r="I1879" i="75"/>
  <c r="I1880" i="75"/>
  <c r="I1881" i="75"/>
  <c r="I1882" i="75"/>
  <c r="I1883" i="75"/>
  <c r="I1884" i="75"/>
  <c r="I1885" i="75"/>
  <c r="I1886" i="75"/>
  <c r="I1887" i="75"/>
  <c r="I1888" i="75"/>
  <c r="I1889" i="75"/>
  <c r="I1890" i="75"/>
  <c r="I1891" i="75"/>
  <c r="I1892" i="75"/>
  <c r="I1893" i="75"/>
  <c r="I1894" i="75"/>
  <c r="I1895" i="75"/>
  <c r="I1896" i="75"/>
  <c r="I1897" i="75"/>
  <c r="I1898" i="75"/>
  <c r="I1899" i="75"/>
  <c r="I1900" i="75"/>
  <c r="I1901" i="75"/>
  <c r="I1902" i="75"/>
  <c r="I1903" i="75"/>
  <c r="I1904" i="75"/>
  <c r="I1905" i="75"/>
  <c r="I1906" i="75"/>
  <c r="I1907" i="75"/>
  <c r="I1908" i="75"/>
  <c r="I1909" i="75"/>
  <c r="I1910" i="75"/>
  <c r="I1911" i="75"/>
  <c r="I1912" i="75"/>
  <c r="I1913" i="75"/>
  <c r="I1914" i="75"/>
  <c r="I1915" i="75"/>
  <c r="I1916" i="75"/>
  <c r="I1917" i="75"/>
  <c r="I1918" i="75"/>
  <c r="I1919" i="75"/>
  <c r="I1920" i="75"/>
  <c r="I1921" i="75"/>
  <c r="I1922" i="75"/>
  <c r="I1923" i="75"/>
  <c r="I1924" i="75"/>
  <c r="I1925" i="75"/>
  <c r="I1926" i="75"/>
  <c r="I1927" i="75"/>
  <c r="I1928" i="75"/>
  <c r="I1929" i="75"/>
  <c r="I1930" i="75"/>
  <c r="I1931" i="75"/>
  <c r="I1932" i="75"/>
  <c r="I1933" i="75"/>
  <c r="I1934" i="75"/>
  <c r="I1935" i="75"/>
  <c r="I1936" i="75"/>
  <c r="I1937" i="75"/>
  <c r="I1938" i="75"/>
  <c r="I1939" i="75"/>
  <c r="I1940" i="75"/>
  <c r="I1941" i="75"/>
  <c r="I1942" i="75"/>
  <c r="I1943" i="75"/>
  <c r="I1944" i="75"/>
  <c r="I1945" i="75"/>
  <c r="I1946" i="75"/>
  <c r="I1947" i="75"/>
  <c r="I1948" i="75"/>
  <c r="I1949" i="75"/>
  <c r="I1950" i="75"/>
  <c r="I1951" i="75"/>
  <c r="I1952" i="75"/>
  <c r="I1953" i="75"/>
  <c r="I1954" i="75"/>
  <c r="I1955" i="75"/>
  <c r="I1956" i="75"/>
  <c r="I1957" i="75"/>
  <c r="I1958" i="75"/>
  <c r="I1959" i="75"/>
  <c r="I1960" i="75"/>
  <c r="I1961" i="75"/>
  <c r="I1962" i="75"/>
  <c r="I1963" i="75"/>
  <c r="I1964" i="75"/>
  <c r="I1965" i="75"/>
  <c r="I1966" i="75"/>
  <c r="I1967" i="75"/>
  <c r="I1968" i="75"/>
  <c r="I1969" i="75"/>
  <c r="I1970" i="75"/>
  <c r="I1971" i="75"/>
  <c r="I1972" i="75"/>
  <c r="I1973" i="75"/>
  <c r="I1974" i="75"/>
  <c r="I1975" i="75"/>
  <c r="I1976" i="75"/>
  <c r="I1977" i="75"/>
  <c r="I1978" i="75"/>
  <c r="I1979" i="75"/>
  <c r="I1980" i="75"/>
  <c r="I1981" i="75"/>
  <c r="I1982" i="75"/>
  <c r="I1983" i="75"/>
  <c r="I1984" i="75"/>
  <c r="I1985" i="75"/>
  <c r="I1986" i="75"/>
  <c r="I1987" i="75"/>
  <c r="I1988" i="75"/>
  <c r="I1989" i="75"/>
  <c r="I1990" i="75"/>
  <c r="I1991" i="75"/>
  <c r="I1992" i="75"/>
  <c r="I1993" i="75"/>
  <c r="I1994" i="75"/>
  <c r="I1995" i="75"/>
  <c r="I1996" i="75"/>
  <c r="I1997" i="75"/>
  <c r="I1998" i="75"/>
  <c r="I1999" i="75"/>
  <c r="I2000" i="75"/>
  <c r="I2001" i="75"/>
  <c r="I2002" i="75"/>
  <c r="I2003" i="75"/>
  <c r="I2004" i="75"/>
  <c r="I2005" i="75"/>
  <c r="I2006" i="75"/>
  <c r="I2007" i="75"/>
  <c r="I2008" i="75"/>
  <c r="I2009" i="75"/>
  <c r="I2010" i="75"/>
  <c r="I2011" i="75"/>
  <c r="I2012" i="75"/>
  <c r="I2013" i="75"/>
  <c r="I2014" i="75"/>
  <c r="I2015" i="75"/>
  <c r="I2016" i="75"/>
  <c r="I2017" i="75"/>
  <c r="I2018" i="75"/>
  <c r="I2019" i="75"/>
  <c r="I2020" i="75"/>
  <c r="I2021" i="75"/>
  <c r="I2022" i="75"/>
  <c r="I2023" i="75"/>
  <c r="I2024" i="75"/>
  <c r="I2025" i="75"/>
  <c r="I2026" i="75"/>
  <c r="I2027" i="75"/>
  <c r="I2028" i="75"/>
  <c r="I2029" i="75"/>
  <c r="I2030" i="75"/>
  <c r="I2031" i="75"/>
  <c r="I2032" i="75"/>
  <c r="I2033" i="75"/>
  <c r="I2034" i="75"/>
  <c r="I2035" i="75"/>
  <c r="I2036" i="75"/>
  <c r="I2037" i="75"/>
  <c r="I2038" i="75"/>
  <c r="I2039" i="75"/>
  <c r="I2040" i="75"/>
  <c r="I2041" i="75"/>
  <c r="I2042" i="75"/>
  <c r="I2043" i="75"/>
  <c r="I2044" i="75"/>
  <c r="I2045" i="75"/>
  <c r="I2046" i="75"/>
  <c r="I2047" i="75"/>
  <c r="I2048" i="75"/>
  <c r="I2049" i="75"/>
  <c r="I2050" i="75"/>
  <c r="I2051" i="75"/>
  <c r="I2052" i="75"/>
  <c r="I2053" i="75"/>
  <c r="I2054" i="75"/>
  <c r="I2055" i="75"/>
  <c r="I2056" i="75"/>
  <c r="I2057" i="75"/>
  <c r="I2058" i="75"/>
  <c r="I2059" i="75"/>
  <c r="I2060" i="75"/>
  <c r="I2061" i="75"/>
  <c r="I2062" i="75"/>
  <c r="I2063" i="75"/>
  <c r="I2064" i="75"/>
  <c r="I2065" i="75"/>
  <c r="I2066" i="75"/>
  <c r="I2067" i="75"/>
  <c r="I2068" i="75"/>
  <c r="I2069" i="75"/>
  <c r="I2070" i="75"/>
  <c r="I2071" i="75"/>
  <c r="I2072" i="75"/>
  <c r="I2073" i="75"/>
  <c r="I2074" i="75"/>
  <c r="I2075" i="75"/>
  <c r="I2076" i="75"/>
  <c r="I2077" i="75"/>
  <c r="I2078" i="75"/>
  <c r="I2079" i="75"/>
  <c r="I2080" i="75"/>
  <c r="I2081" i="75"/>
  <c r="I2082" i="75"/>
  <c r="I2083" i="75"/>
  <c r="I2084" i="75"/>
  <c r="I2085" i="75"/>
  <c r="I2086" i="75"/>
  <c r="I2087" i="75"/>
  <c r="I2088" i="75"/>
  <c r="I2089" i="75"/>
  <c r="I2090" i="75"/>
  <c r="I2091" i="75"/>
  <c r="I2092" i="75"/>
  <c r="I2093" i="75"/>
  <c r="I2094" i="75"/>
  <c r="I2095" i="75"/>
  <c r="I2096" i="75"/>
  <c r="I2097" i="75"/>
  <c r="I1395" i="75"/>
  <c r="Z1396" i="75"/>
  <c r="Z1397" i="75"/>
  <c r="Z1398" i="75"/>
  <c r="Z1399" i="75"/>
  <c r="Z1400" i="75"/>
  <c r="Z1401" i="75"/>
  <c r="Z1402" i="75"/>
  <c r="Z1403" i="75"/>
  <c r="Z1404" i="75"/>
  <c r="Z1405" i="75"/>
  <c r="Z1406" i="75"/>
  <c r="Z1407" i="75"/>
  <c r="Z1408" i="75"/>
  <c r="Z1409" i="75"/>
  <c r="Z1410" i="75"/>
  <c r="Z1411" i="75"/>
  <c r="Z1412" i="75"/>
  <c r="Z1413" i="75"/>
  <c r="Z1414" i="75"/>
  <c r="Z1415" i="75"/>
  <c r="Z1416" i="75"/>
  <c r="Z1417" i="75"/>
  <c r="Z1418" i="75"/>
  <c r="Z1419" i="75"/>
  <c r="Z1420" i="75"/>
  <c r="Z1421" i="75"/>
  <c r="Z1422" i="75"/>
  <c r="Z1423" i="75"/>
  <c r="Z1424" i="75"/>
  <c r="Z1425" i="75"/>
  <c r="Z1426" i="75"/>
  <c r="Z1427" i="75"/>
  <c r="Z1428" i="75"/>
  <c r="Z1429" i="75"/>
  <c r="Z1430" i="75"/>
  <c r="Z1431" i="75"/>
  <c r="Z1432" i="75"/>
  <c r="Z1433" i="75"/>
  <c r="Z1434" i="75"/>
  <c r="Z1435" i="75"/>
  <c r="Z1436" i="75"/>
  <c r="Z1437" i="75"/>
  <c r="Z1438" i="75"/>
  <c r="Z1439" i="75"/>
  <c r="Z1440" i="75"/>
  <c r="Z1441" i="75"/>
  <c r="Z1442" i="75"/>
  <c r="Z1443" i="75"/>
  <c r="Z1444" i="75"/>
  <c r="Z1445" i="75"/>
  <c r="Z1446" i="75"/>
  <c r="Z1447" i="75"/>
  <c r="Z1448" i="75"/>
  <c r="Z1449" i="75"/>
  <c r="Z1450" i="75"/>
  <c r="Z1451" i="75"/>
  <c r="Z1452" i="75"/>
  <c r="Z1453" i="75"/>
  <c r="Z1454" i="75"/>
  <c r="Z1455" i="75"/>
  <c r="Z1456" i="75"/>
  <c r="Z1457" i="75"/>
  <c r="Z1458" i="75"/>
  <c r="Z1459" i="75"/>
  <c r="Z1460" i="75"/>
  <c r="Z1461" i="75"/>
  <c r="Z1462" i="75"/>
  <c r="Z1463" i="75"/>
  <c r="Z1464" i="75"/>
  <c r="Z1465" i="75"/>
  <c r="Z1466" i="75"/>
  <c r="Z1467" i="75"/>
  <c r="Z1468" i="75"/>
  <c r="Z1469" i="75"/>
  <c r="Z1470" i="75"/>
  <c r="Z1471" i="75"/>
  <c r="Z1472" i="75"/>
  <c r="Z1473" i="75"/>
  <c r="Z1474" i="75"/>
  <c r="Z1475" i="75"/>
  <c r="Z1476" i="75"/>
  <c r="Z1477" i="75"/>
  <c r="Z1478" i="75"/>
  <c r="Z1479" i="75"/>
  <c r="Z1480" i="75"/>
  <c r="Z1481" i="75"/>
  <c r="Z1482" i="75"/>
  <c r="Z1483" i="75"/>
  <c r="Z1484" i="75"/>
  <c r="Z1485" i="75"/>
  <c r="Z1486" i="75"/>
  <c r="Z1487" i="75"/>
  <c r="Z1488" i="75"/>
  <c r="Z1489" i="75"/>
  <c r="Z1490" i="75"/>
  <c r="Z1491" i="75"/>
  <c r="Z1492" i="75"/>
  <c r="Z1493" i="75"/>
  <c r="Z1494" i="75"/>
  <c r="Z1495" i="75"/>
  <c r="Z1496" i="75"/>
  <c r="Z1497" i="75"/>
  <c r="Z1498" i="75"/>
  <c r="Z1499" i="75"/>
  <c r="Z1500" i="75"/>
  <c r="Z1501" i="75"/>
  <c r="Z1502" i="75"/>
  <c r="Z1503" i="75"/>
  <c r="Z1504" i="75"/>
  <c r="Z1505" i="75"/>
  <c r="Z1506" i="75"/>
  <c r="Z1507" i="75"/>
  <c r="Z1508" i="75"/>
  <c r="Z1509" i="75"/>
  <c r="Z1510" i="75"/>
  <c r="Z1511" i="75"/>
  <c r="Z1512" i="75"/>
  <c r="Z1513" i="75"/>
  <c r="Z1514" i="75"/>
  <c r="Z1515" i="75"/>
  <c r="Z1516" i="75"/>
  <c r="Z1517" i="75"/>
  <c r="Z1518" i="75"/>
  <c r="Z1519" i="75"/>
  <c r="Z1520" i="75"/>
  <c r="Z1521" i="75"/>
  <c r="Z1522" i="75"/>
  <c r="Z1523" i="75"/>
  <c r="Z1524" i="75"/>
  <c r="Z1525" i="75"/>
  <c r="Z1526" i="75"/>
  <c r="Z1527" i="75"/>
  <c r="Z1528" i="75"/>
  <c r="Z1529" i="75"/>
  <c r="Z1530" i="75"/>
  <c r="Z1531" i="75"/>
  <c r="Z1532" i="75"/>
  <c r="Z1533" i="75"/>
  <c r="Z1534" i="75"/>
  <c r="Z1535" i="75"/>
  <c r="Z1536" i="75"/>
  <c r="Z1537" i="75"/>
  <c r="Z1538" i="75"/>
  <c r="Z1539" i="75"/>
  <c r="Z1540" i="75"/>
  <c r="Z1541" i="75"/>
  <c r="Z1542" i="75"/>
  <c r="Z1543" i="75"/>
  <c r="Z1544" i="75"/>
  <c r="Z1545" i="75"/>
  <c r="Z1546" i="75"/>
  <c r="Z1547" i="75"/>
  <c r="Z1548" i="75"/>
  <c r="Z1549" i="75"/>
  <c r="Z1550" i="75"/>
  <c r="Z1551" i="75"/>
  <c r="Z1552" i="75"/>
  <c r="Z1553" i="75"/>
  <c r="Z1554" i="75"/>
  <c r="Z1555" i="75"/>
  <c r="Z1556" i="75"/>
  <c r="Z1557" i="75"/>
  <c r="Z1558" i="75"/>
  <c r="Z1559" i="75"/>
  <c r="Z1560" i="75"/>
  <c r="Z1561" i="75"/>
  <c r="Z1562" i="75"/>
  <c r="Z1563" i="75"/>
  <c r="Z1564" i="75"/>
  <c r="Z1565" i="75"/>
  <c r="Z1566" i="75"/>
  <c r="Z1567" i="75"/>
  <c r="Z1568" i="75"/>
  <c r="Z1569" i="75"/>
  <c r="Z1570" i="75"/>
  <c r="Z1571" i="75"/>
  <c r="Z1572" i="75"/>
  <c r="Z1573" i="75"/>
  <c r="Z1574" i="75"/>
  <c r="Z1575" i="75"/>
  <c r="Z1576" i="75"/>
  <c r="Z1577" i="75"/>
  <c r="Z1578" i="75"/>
  <c r="Z1579" i="75"/>
  <c r="Z1580" i="75"/>
  <c r="Z1581" i="75"/>
  <c r="Z1582" i="75"/>
  <c r="Z1583" i="75"/>
  <c r="Z1584" i="75"/>
  <c r="Z1585" i="75"/>
  <c r="Z1586" i="75"/>
  <c r="Z1587" i="75"/>
  <c r="Z1588" i="75"/>
  <c r="Z1589" i="75"/>
  <c r="Z1590" i="75"/>
  <c r="Z1591" i="75"/>
  <c r="Z1592" i="75"/>
  <c r="Z1593" i="75"/>
  <c r="Z1594" i="75"/>
  <c r="Z1595" i="75"/>
  <c r="Z1596" i="75"/>
  <c r="Z1597" i="75"/>
  <c r="Z1598" i="75"/>
  <c r="Z1599" i="75"/>
  <c r="Z1600" i="75"/>
  <c r="Z1601" i="75"/>
  <c r="Z1602" i="75"/>
  <c r="Z1603" i="75"/>
  <c r="Z1604" i="75"/>
  <c r="Z1605" i="75"/>
  <c r="Z1606" i="75"/>
  <c r="Z1607" i="75"/>
  <c r="Z1608" i="75"/>
  <c r="Z1609" i="75"/>
  <c r="Z1610" i="75"/>
  <c r="Z1611" i="75"/>
  <c r="Z1612" i="75"/>
  <c r="Z1613" i="75"/>
  <c r="Z1614" i="75"/>
  <c r="Z1615" i="75"/>
  <c r="Z1616" i="75"/>
  <c r="Z1617" i="75"/>
  <c r="Z1618" i="75"/>
  <c r="Z1619" i="75"/>
  <c r="Z1620" i="75"/>
  <c r="Z1621" i="75"/>
  <c r="Z1622" i="75"/>
  <c r="Z1623" i="75"/>
  <c r="Z1624" i="75"/>
  <c r="Z1625" i="75"/>
  <c r="Z1626" i="75"/>
  <c r="Z1627" i="75"/>
  <c r="Z1628" i="75"/>
  <c r="Z1629" i="75"/>
  <c r="Z1630" i="75"/>
  <c r="Z1631" i="75"/>
  <c r="Z1632" i="75"/>
  <c r="Z1633" i="75"/>
  <c r="Z1634" i="75"/>
  <c r="Z1635" i="75"/>
  <c r="Z1636" i="75"/>
  <c r="Z1637" i="75"/>
  <c r="Z1638" i="75"/>
  <c r="Z1639" i="75"/>
  <c r="Z1640" i="75"/>
  <c r="Z1641" i="75"/>
  <c r="Z1642" i="75"/>
  <c r="Z1643" i="75"/>
  <c r="Z1644" i="75"/>
  <c r="Z1645" i="75"/>
  <c r="Z1646" i="75"/>
  <c r="Z1647" i="75"/>
  <c r="Z1648" i="75"/>
  <c r="Z1649" i="75"/>
  <c r="Z1650" i="75"/>
  <c r="Z1651" i="75"/>
  <c r="Z1652" i="75"/>
  <c r="Z1653" i="75"/>
  <c r="Z1654" i="75"/>
  <c r="Z1655" i="75"/>
  <c r="Z1656" i="75"/>
  <c r="Z1657" i="75"/>
  <c r="Z1658" i="75"/>
  <c r="Z1659" i="75"/>
  <c r="Z1660" i="75"/>
  <c r="Z1661" i="75"/>
  <c r="Z1662" i="75"/>
  <c r="Z1663" i="75"/>
  <c r="Z1664" i="75"/>
  <c r="Z1665" i="75"/>
  <c r="Z1666" i="75"/>
  <c r="Z1667" i="75"/>
  <c r="Z1668" i="75"/>
  <c r="Z1669" i="75"/>
  <c r="Z1670" i="75"/>
  <c r="Z1671" i="75"/>
  <c r="Z1672" i="75"/>
  <c r="Z1673" i="75"/>
  <c r="Z1674" i="75"/>
  <c r="Z1675" i="75"/>
  <c r="Z1676" i="75"/>
  <c r="Z1677" i="75"/>
  <c r="Z1678" i="75"/>
  <c r="Z1679" i="75"/>
  <c r="Z1680" i="75"/>
  <c r="Z1681" i="75"/>
  <c r="Z1682" i="75"/>
  <c r="Z1683" i="75"/>
  <c r="Z1684" i="75"/>
  <c r="Z1685" i="75"/>
  <c r="Z1686" i="75"/>
  <c r="Z1687" i="75"/>
  <c r="Z1688" i="75"/>
  <c r="Z1689" i="75"/>
  <c r="Z1690" i="75"/>
  <c r="Z1691" i="75"/>
  <c r="Z1692" i="75"/>
  <c r="Z1693" i="75"/>
  <c r="Z1694" i="75"/>
  <c r="Z1695" i="75"/>
  <c r="Z1696" i="75"/>
  <c r="Z1697" i="75"/>
  <c r="Z1698" i="75"/>
  <c r="Z1699" i="75"/>
  <c r="Z1700" i="75"/>
  <c r="Z1701" i="75"/>
  <c r="Z1702" i="75"/>
  <c r="Z1703" i="75"/>
  <c r="Z1704" i="75"/>
  <c r="Z1705" i="75"/>
  <c r="Z1706" i="75"/>
  <c r="Z1707" i="75"/>
  <c r="Z1708" i="75"/>
  <c r="Z1709" i="75"/>
  <c r="Z1710" i="75"/>
  <c r="Z1711" i="75"/>
  <c r="Z1712" i="75"/>
  <c r="Z1713" i="75"/>
  <c r="Z1714" i="75"/>
  <c r="Z1715" i="75"/>
  <c r="Z1716" i="75"/>
  <c r="Z1717" i="75"/>
  <c r="Z1718" i="75"/>
  <c r="Z1719" i="75"/>
  <c r="Z1720" i="75"/>
  <c r="Z1721" i="75"/>
  <c r="Z1722" i="75"/>
  <c r="Z1723" i="75"/>
  <c r="Z1724" i="75"/>
  <c r="Z1725" i="75"/>
  <c r="Z1726" i="75"/>
  <c r="Z1727" i="75"/>
  <c r="Z1728" i="75"/>
  <c r="Z1729" i="75"/>
  <c r="Z1730" i="75"/>
  <c r="Z1731" i="75"/>
  <c r="Z1732" i="75"/>
  <c r="Z1733" i="75"/>
  <c r="Z1734" i="75"/>
  <c r="Z1735" i="75"/>
  <c r="Z1736" i="75"/>
  <c r="Z1737" i="75"/>
  <c r="Z1738" i="75"/>
  <c r="Z1739" i="75"/>
  <c r="Z1740" i="75"/>
  <c r="Z1741" i="75"/>
  <c r="Z1742" i="75"/>
  <c r="Z1743" i="75"/>
  <c r="Z1744" i="75"/>
  <c r="Z1745" i="75"/>
  <c r="Z1746" i="75"/>
  <c r="Z1747" i="75"/>
  <c r="Z1748" i="75"/>
  <c r="Z1749" i="75"/>
  <c r="Z1750" i="75"/>
  <c r="Z1751" i="75"/>
  <c r="Z1752" i="75"/>
  <c r="Z1753" i="75"/>
  <c r="Z1754" i="75"/>
  <c r="Z1755" i="75"/>
  <c r="Z1756" i="75"/>
  <c r="Z1757" i="75"/>
  <c r="Z1758" i="75"/>
  <c r="Z1759" i="75"/>
  <c r="Z1760" i="75"/>
  <c r="Z1761" i="75"/>
  <c r="Z1762" i="75"/>
  <c r="Z1763" i="75"/>
  <c r="Z1764" i="75"/>
  <c r="Z1765" i="75"/>
  <c r="Z1766" i="75"/>
  <c r="Z1767" i="75"/>
  <c r="Z1768" i="75"/>
  <c r="Z1769" i="75"/>
  <c r="Z1770" i="75"/>
  <c r="Z1771" i="75"/>
  <c r="Z1772" i="75"/>
  <c r="Z1773" i="75"/>
  <c r="Z1774" i="75"/>
  <c r="Z1775" i="75"/>
  <c r="Z1776" i="75"/>
  <c r="Z1777" i="75"/>
  <c r="Z1778" i="75"/>
  <c r="Z1779" i="75"/>
  <c r="Z1780" i="75"/>
  <c r="Z1781" i="75"/>
  <c r="Z1782" i="75"/>
  <c r="Z1783" i="75"/>
  <c r="Z1784" i="75"/>
  <c r="Z1785" i="75"/>
  <c r="Z1786" i="75"/>
  <c r="Z1787" i="75"/>
  <c r="Z1788" i="75"/>
  <c r="Z1789" i="75"/>
  <c r="Z1790" i="75"/>
  <c r="Z1791" i="75"/>
  <c r="Z1792" i="75"/>
  <c r="Z1793" i="75"/>
  <c r="Z1794" i="75"/>
  <c r="Z1795" i="75"/>
  <c r="Z1796" i="75"/>
  <c r="Z1797" i="75"/>
  <c r="Z1798" i="75"/>
  <c r="Z1799" i="75"/>
  <c r="Z1800" i="75"/>
  <c r="Z1801" i="75"/>
  <c r="Z1802" i="75"/>
  <c r="Z1803" i="75"/>
  <c r="Z1804" i="75"/>
  <c r="Z1805" i="75"/>
  <c r="Z1806" i="75"/>
  <c r="Z1807" i="75"/>
  <c r="Z1808" i="75"/>
  <c r="Z1809" i="75"/>
  <c r="Z1810" i="75"/>
  <c r="Z1811" i="75"/>
  <c r="Z1812" i="75"/>
  <c r="Z1813" i="75"/>
  <c r="Z1814" i="75"/>
  <c r="Z1815" i="75"/>
  <c r="Z1816" i="75"/>
  <c r="Z1817" i="75"/>
  <c r="Z1818" i="75"/>
  <c r="Z1819" i="75"/>
  <c r="Z1820" i="75"/>
  <c r="Z1821" i="75"/>
  <c r="Z1822" i="75"/>
  <c r="Z1823" i="75"/>
  <c r="Z1824" i="75"/>
  <c r="Z1825" i="75"/>
  <c r="Z1826" i="75"/>
  <c r="Z1827" i="75"/>
  <c r="Z1828" i="75"/>
  <c r="Z1829" i="75"/>
  <c r="Z1830" i="75"/>
  <c r="Z1831" i="75"/>
  <c r="Z1832" i="75"/>
  <c r="Z1833" i="75"/>
  <c r="Z1834" i="75"/>
  <c r="Z1835" i="75"/>
  <c r="Z1836" i="75"/>
  <c r="Z1837" i="75"/>
  <c r="Z1838" i="75"/>
  <c r="Z1839" i="75"/>
  <c r="Z1840" i="75"/>
  <c r="Z1841" i="75"/>
  <c r="Z1842" i="75"/>
  <c r="Z1843" i="75"/>
  <c r="Z1844" i="75"/>
  <c r="Z1845" i="75"/>
  <c r="Z1846" i="75"/>
  <c r="Z1847" i="75"/>
  <c r="Z1848" i="75"/>
  <c r="Z1849" i="75"/>
  <c r="Z1850" i="75"/>
  <c r="Z1851" i="75"/>
  <c r="Z1852" i="75"/>
  <c r="Z1853" i="75"/>
  <c r="Z1854" i="75"/>
  <c r="Z1855" i="75"/>
  <c r="Z1856" i="75"/>
  <c r="Z1857" i="75"/>
  <c r="Z1858" i="75"/>
  <c r="Z1859" i="75"/>
  <c r="Z1860" i="75"/>
  <c r="Z1861" i="75"/>
  <c r="Z1862" i="75"/>
  <c r="Z1863" i="75"/>
  <c r="Z1864" i="75"/>
  <c r="Z1865" i="75"/>
  <c r="Z1866" i="75"/>
  <c r="Z1867" i="75"/>
  <c r="Z1868" i="75"/>
  <c r="Z1869" i="75"/>
  <c r="Z1870" i="75"/>
  <c r="Z1871" i="75"/>
  <c r="Z1872" i="75"/>
  <c r="Z1873" i="75"/>
  <c r="Z1874" i="75"/>
  <c r="Z1875" i="75"/>
  <c r="Z1876" i="75"/>
  <c r="Z1877" i="75"/>
  <c r="Z1878" i="75"/>
  <c r="Z1879" i="75"/>
  <c r="Z1880" i="75"/>
  <c r="Z1881" i="75"/>
  <c r="Z1882" i="75"/>
  <c r="Z1883" i="75"/>
  <c r="Z1884" i="75"/>
  <c r="Z1885" i="75"/>
  <c r="Z1886" i="75"/>
  <c r="Z1887" i="75"/>
  <c r="Z1888" i="75"/>
  <c r="Z1889" i="75"/>
  <c r="Z1890" i="75"/>
  <c r="Z1891" i="75"/>
  <c r="Z1892" i="75"/>
  <c r="Z1893" i="75"/>
  <c r="Z1894" i="75"/>
  <c r="Z1895" i="75"/>
  <c r="Z1896" i="75"/>
  <c r="Z1897" i="75"/>
  <c r="Z1898" i="75"/>
  <c r="Z1899" i="75"/>
  <c r="Z1900" i="75"/>
  <c r="Z1901" i="75"/>
  <c r="Z1902" i="75"/>
  <c r="Z1903" i="75"/>
  <c r="Z1904" i="75"/>
  <c r="Z1905" i="75"/>
  <c r="Z1906" i="75"/>
  <c r="Z1907" i="75"/>
  <c r="Z1908" i="75"/>
  <c r="Z1909" i="75"/>
  <c r="Z1910" i="75"/>
  <c r="Z1911" i="75"/>
  <c r="Z1912" i="75"/>
  <c r="Z1913" i="75"/>
  <c r="Z1914" i="75"/>
  <c r="Z1915" i="75"/>
  <c r="Z1916" i="75"/>
  <c r="Z1917" i="75"/>
  <c r="Z1918" i="75"/>
  <c r="Z1919" i="75"/>
  <c r="Z1920" i="75"/>
  <c r="Z1921" i="75"/>
  <c r="Z1922" i="75"/>
  <c r="Z1923" i="75"/>
  <c r="Z1924" i="75"/>
  <c r="Z1925" i="75"/>
  <c r="Z1926" i="75"/>
  <c r="Z1927" i="75"/>
  <c r="Z1928" i="75"/>
  <c r="Z1929" i="75"/>
  <c r="Z1930" i="75"/>
  <c r="Z1931" i="75"/>
  <c r="Z1932" i="75"/>
  <c r="Z1933" i="75"/>
  <c r="Z1934" i="75"/>
  <c r="Z1935" i="75"/>
  <c r="Z1936" i="75"/>
  <c r="Z1937" i="75"/>
  <c r="Z1938" i="75"/>
  <c r="Z1939" i="75"/>
  <c r="Z1940" i="75"/>
  <c r="Z1941" i="75"/>
  <c r="Z1942" i="75"/>
  <c r="Z1943" i="75"/>
  <c r="Z1944" i="75"/>
  <c r="Z1945" i="75"/>
  <c r="Z1946" i="75"/>
  <c r="Z1947" i="75"/>
  <c r="Z1948" i="75"/>
  <c r="Z1949" i="75"/>
  <c r="Z1950" i="75"/>
  <c r="Z1951" i="75"/>
  <c r="Z1952" i="75"/>
  <c r="Z1953" i="75"/>
  <c r="Z1954" i="75"/>
  <c r="Z1955" i="75"/>
  <c r="Z1956" i="75"/>
  <c r="Z1957" i="75"/>
  <c r="Z1958" i="75"/>
  <c r="Z1959" i="75"/>
  <c r="Z1960" i="75"/>
  <c r="Z1961" i="75"/>
  <c r="Z1962" i="75"/>
  <c r="Z1963" i="75"/>
  <c r="Z1964" i="75"/>
  <c r="Z1965" i="75"/>
  <c r="Z1966" i="75"/>
  <c r="Z1967" i="75"/>
  <c r="Z1968" i="75"/>
  <c r="Z1969" i="75"/>
  <c r="Z1970" i="75"/>
  <c r="Z1971" i="75"/>
  <c r="Z1972" i="75"/>
  <c r="Z1973" i="75"/>
  <c r="Z1974" i="75"/>
  <c r="Z1975" i="75"/>
  <c r="Z1976" i="75"/>
  <c r="Z1977" i="75"/>
  <c r="Z1978" i="75"/>
  <c r="Z1979" i="75"/>
  <c r="Z1980" i="75"/>
  <c r="Z1981" i="75"/>
  <c r="Z1982" i="75"/>
  <c r="Z1983" i="75"/>
  <c r="Z1984" i="75"/>
  <c r="Z1985" i="75"/>
  <c r="Z1986" i="75"/>
  <c r="Z1987" i="75"/>
  <c r="Z1988" i="75"/>
  <c r="Z1989" i="75"/>
  <c r="Z1990" i="75"/>
  <c r="Z1991" i="75"/>
  <c r="Z1992" i="75"/>
  <c r="Z1993" i="75"/>
  <c r="Z1994" i="75"/>
  <c r="Z1995" i="75"/>
  <c r="Z1996" i="75"/>
  <c r="Z1997" i="75"/>
  <c r="Z1998" i="75"/>
  <c r="Z1999" i="75"/>
  <c r="Z2000" i="75"/>
  <c r="Z2001" i="75"/>
  <c r="Z2002" i="75"/>
  <c r="Z2003" i="75"/>
  <c r="Z2004" i="75"/>
  <c r="Z2005" i="75"/>
  <c r="Z2006" i="75"/>
  <c r="Z2007" i="75"/>
  <c r="Z2008" i="75"/>
  <c r="Z2009" i="75"/>
  <c r="Z2010" i="75"/>
  <c r="Z2011" i="75"/>
  <c r="Z2012" i="75"/>
  <c r="Z2013" i="75"/>
  <c r="Z2014" i="75"/>
  <c r="Z2015" i="75"/>
  <c r="Z2016" i="75"/>
  <c r="Z2017" i="75"/>
  <c r="Z2018" i="75"/>
  <c r="Z2019" i="75"/>
  <c r="Z2020" i="75"/>
  <c r="Z2021" i="75"/>
  <c r="Z2022" i="75"/>
  <c r="Z2023" i="75"/>
  <c r="Z2024" i="75"/>
  <c r="Z2025" i="75"/>
  <c r="Z2026" i="75"/>
  <c r="Z2027" i="75"/>
  <c r="Z2028" i="75"/>
  <c r="Z2029" i="75"/>
  <c r="Z2030" i="75"/>
  <c r="Z2031" i="75"/>
  <c r="Z2032" i="75"/>
  <c r="Z2033" i="75"/>
  <c r="Z2034" i="75"/>
  <c r="Z2035" i="75"/>
  <c r="Z2036" i="75"/>
  <c r="Z2037" i="75"/>
  <c r="Z2038" i="75"/>
  <c r="Z2039" i="75"/>
  <c r="Z2040" i="75"/>
  <c r="Z2041" i="75"/>
  <c r="Z2042" i="75"/>
  <c r="Z2043" i="75"/>
  <c r="Z2044" i="75"/>
  <c r="Z2045" i="75"/>
  <c r="Z2046" i="75"/>
  <c r="Z2047" i="75"/>
  <c r="Z2048" i="75"/>
  <c r="Z2049" i="75"/>
  <c r="Z2050" i="75"/>
  <c r="Z2051" i="75"/>
  <c r="Z2052" i="75"/>
  <c r="Z2053" i="75"/>
  <c r="Z2054" i="75"/>
  <c r="Z2055" i="75"/>
  <c r="Z2056" i="75"/>
  <c r="Z2057" i="75"/>
  <c r="Z2058" i="75"/>
  <c r="Z2059" i="75"/>
  <c r="Z2060" i="75"/>
  <c r="Z2061" i="75"/>
  <c r="Z2062" i="75"/>
  <c r="Z2063" i="75"/>
  <c r="Z2064" i="75"/>
  <c r="Z2065" i="75"/>
  <c r="Z2066" i="75"/>
  <c r="Z2067" i="75"/>
  <c r="Z2068" i="75"/>
  <c r="Z2069" i="75"/>
  <c r="Z2070" i="75"/>
  <c r="Z2071" i="75"/>
  <c r="Z2072" i="75"/>
  <c r="Z2073" i="75"/>
  <c r="Z2074" i="75"/>
  <c r="Z2075" i="75"/>
  <c r="Z2076" i="75"/>
  <c r="Z2077" i="75"/>
  <c r="Z2078" i="75"/>
  <c r="Z2079" i="75"/>
  <c r="Z2080" i="75"/>
  <c r="Z2081" i="75"/>
  <c r="Z2082" i="75"/>
  <c r="Z2083" i="75"/>
  <c r="Z2084" i="75"/>
  <c r="Z2085" i="75"/>
  <c r="Z2086" i="75"/>
  <c r="Z2087" i="75"/>
  <c r="Z2088" i="75"/>
  <c r="Z2089" i="75"/>
  <c r="Z2090" i="75"/>
  <c r="Z2091" i="75"/>
  <c r="Z2092" i="75"/>
  <c r="Z2093" i="75"/>
  <c r="Z2094" i="75"/>
  <c r="Z2095" i="75"/>
  <c r="Z2096" i="75"/>
  <c r="Z2097" i="75"/>
  <c r="W1396" i="75"/>
  <c r="W1397" i="75"/>
  <c r="W1398" i="75"/>
  <c r="W1399" i="75"/>
  <c r="W1400" i="75"/>
  <c r="W1401" i="75"/>
  <c r="W1402" i="75"/>
  <c r="W1403" i="75"/>
  <c r="W1404" i="75"/>
  <c r="W1405" i="75"/>
  <c r="W1406" i="75"/>
  <c r="W1407" i="75"/>
  <c r="W1408" i="75"/>
  <c r="W1409" i="75"/>
  <c r="W1410" i="75"/>
  <c r="W1411" i="75"/>
  <c r="W1412" i="75"/>
  <c r="W1413" i="75"/>
  <c r="W1414" i="75"/>
  <c r="W1415" i="75"/>
  <c r="W1416" i="75"/>
  <c r="W1417" i="75"/>
  <c r="W1418" i="75"/>
  <c r="W1419" i="75"/>
  <c r="W1420" i="75"/>
  <c r="W1421" i="75"/>
  <c r="W1422" i="75"/>
  <c r="W1423" i="75"/>
  <c r="W1424" i="75"/>
  <c r="W1425" i="75"/>
  <c r="W1426" i="75"/>
  <c r="W1427" i="75"/>
  <c r="W1428" i="75"/>
  <c r="W1429" i="75"/>
  <c r="W1430" i="75"/>
  <c r="W1431" i="75"/>
  <c r="W1432" i="75"/>
  <c r="W1433" i="75"/>
  <c r="W1434" i="75"/>
  <c r="W1435" i="75"/>
  <c r="W1436" i="75"/>
  <c r="W1437" i="75"/>
  <c r="W1438" i="75"/>
  <c r="W1439" i="75"/>
  <c r="W1440" i="75"/>
  <c r="W1441" i="75"/>
  <c r="W1442" i="75"/>
  <c r="W1443" i="75"/>
  <c r="W1444" i="75"/>
  <c r="W1445" i="75"/>
  <c r="W1446" i="75"/>
  <c r="W1447" i="75"/>
  <c r="W1448" i="75"/>
  <c r="W1449" i="75"/>
  <c r="W1450" i="75"/>
  <c r="W1451" i="75"/>
  <c r="W1452" i="75"/>
  <c r="W1453" i="75"/>
  <c r="W1454" i="75"/>
  <c r="W1455" i="75"/>
  <c r="W1456" i="75"/>
  <c r="W1457" i="75"/>
  <c r="W1458" i="75"/>
  <c r="W1459" i="75"/>
  <c r="W1460" i="75"/>
  <c r="W1461" i="75"/>
  <c r="W1462" i="75"/>
  <c r="W1463" i="75"/>
  <c r="W1464" i="75"/>
  <c r="W1465" i="75"/>
  <c r="W1466" i="75"/>
  <c r="W1467" i="75"/>
  <c r="W1468" i="75"/>
  <c r="W1469" i="75"/>
  <c r="W1470" i="75"/>
  <c r="W1471" i="75"/>
  <c r="W1472" i="75"/>
  <c r="W1473" i="75"/>
  <c r="W1474" i="75"/>
  <c r="W1475" i="75"/>
  <c r="W1476" i="75"/>
  <c r="W1477" i="75"/>
  <c r="W1478" i="75"/>
  <c r="W1479" i="75"/>
  <c r="W1480" i="75"/>
  <c r="W1481" i="75"/>
  <c r="W1482" i="75"/>
  <c r="W1483" i="75"/>
  <c r="W1484" i="75"/>
  <c r="W1485" i="75"/>
  <c r="W1486" i="75"/>
  <c r="W1487" i="75"/>
  <c r="W1488" i="75"/>
  <c r="W1489" i="75"/>
  <c r="W1490" i="75"/>
  <c r="W1491" i="75"/>
  <c r="W1492" i="75"/>
  <c r="W1493" i="75"/>
  <c r="W1494" i="75"/>
  <c r="W1495" i="75"/>
  <c r="W1496" i="75"/>
  <c r="W1497" i="75"/>
  <c r="W1498" i="75"/>
  <c r="W1499" i="75"/>
  <c r="W1500" i="75"/>
  <c r="W1501" i="75"/>
  <c r="W1502" i="75"/>
  <c r="W1503" i="75"/>
  <c r="W1504" i="75"/>
  <c r="W1505" i="75"/>
  <c r="W1506" i="75"/>
  <c r="W1507" i="75"/>
  <c r="W1508" i="75"/>
  <c r="W1509" i="75"/>
  <c r="W1510" i="75"/>
  <c r="W1511" i="75"/>
  <c r="W1512" i="75"/>
  <c r="W1513" i="75"/>
  <c r="W1514" i="75"/>
  <c r="W1515" i="75"/>
  <c r="W1516" i="75"/>
  <c r="W1517" i="75"/>
  <c r="W1518" i="75"/>
  <c r="W1519" i="75"/>
  <c r="W1520" i="75"/>
  <c r="W1521" i="75"/>
  <c r="W1522" i="75"/>
  <c r="W1523" i="75"/>
  <c r="W1524" i="75"/>
  <c r="W1525" i="75"/>
  <c r="W1526" i="75"/>
  <c r="W1527" i="75"/>
  <c r="W1528" i="75"/>
  <c r="W1529" i="75"/>
  <c r="W1530" i="75"/>
  <c r="W1531" i="75"/>
  <c r="W1532" i="75"/>
  <c r="W1533" i="75"/>
  <c r="W1534" i="75"/>
  <c r="W1535" i="75"/>
  <c r="W1536" i="75"/>
  <c r="W1537" i="75"/>
  <c r="W1538" i="75"/>
  <c r="W1539" i="75"/>
  <c r="W1540" i="75"/>
  <c r="W1541" i="75"/>
  <c r="W1542" i="75"/>
  <c r="W1543" i="75"/>
  <c r="W1544" i="75"/>
  <c r="W1545" i="75"/>
  <c r="W1546" i="75"/>
  <c r="W1547" i="75"/>
  <c r="W1548" i="75"/>
  <c r="W1549" i="75"/>
  <c r="W1550" i="75"/>
  <c r="W1551" i="75"/>
  <c r="W1552" i="75"/>
  <c r="W1553" i="75"/>
  <c r="W1554" i="75"/>
  <c r="W1555" i="75"/>
  <c r="W1556" i="75"/>
  <c r="W1557" i="75"/>
  <c r="W1558" i="75"/>
  <c r="W1559" i="75"/>
  <c r="W1560" i="75"/>
  <c r="W1561" i="75"/>
  <c r="W1562" i="75"/>
  <c r="W1563" i="75"/>
  <c r="W1564" i="75"/>
  <c r="W1565" i="75"/>
  <c r="W1566" i="75"/>
  <c r="W1567" i="75"/>
  <c r="W1568" i="75"/>
  <c r="W1569" i="75"/>
  <c r="W1570" i="75"/>
  <c r="W1571" i="75"/>
  <c r="W1572" i="75"/>
  <c r="W1573" i="75"/>
  <c r="W1574" i="75"/>
  <c r="W1575" i="75"/>
  <c r="W1576" i="75"/>
  <c r="W1577" i="75"/>
  <c r="W1578" i="75"/>
  <c r="W1579" i="75"/>
  <c r="W1580" i="75"/>
  <c r="W1581" i="75"/>
  <c r="W1582" i="75"/>
  <c r="W1583" i="75"/>
  <c r="W1584" i="75"/>
  <c r="W1585" i="75"/>
  <c r="W1586" i="75"/>
  <c r="W1587" i="75"/>
  <c r="W1588" i="75"/>
  <c r="W1589" i="75"/>
  <c r="W1590" i="75"/>
  <c r="W1591" i="75"/>
  <c r="W1592" i="75"/>
  <c r="W1593" i="75"/>
  <c r="W1594" i="75"/>
  <c r="W1595" i="75"/>
  <c r="W1596" i="75"/>
  <c r="W1597" i="75"/>
  <c r="W1598" i="75"/>
  <c r="W1599" i="75"/>
  <c r="W1600" i="75"/>
  <c r="W1601" i="75"/>
  <c r="W1602" i="75"/>
  <c r="W1603" i="75"/>
  <c r="W1604" i="75"/>
  <c r="W1605" i="75"/>
  <c r="W1606" i="75"/>
  <c r="W1607" i="75"/>
  <c r="W1608" i="75"/>
  <c r="W1609" i="75"/>
  <c r="W1610" i="75"/>
  <c r="W1611" i="75"/>
  <c r="W1612" i="75"/>
  <c r="W1613" i="75"/>
  <c r="W1614" i="75"/>
  <c r="W1615" i="75"/>
  <c r="W1616" i="75"/>
  <c r="W1617" i="75"/>
  <c r="W1618" i="75"/>
  <c r="W1619" i="75"/>
  <c r="W1620" i="75"/>
  <c r="W1621" i="75"/>
  <c r="W1622" i="75"/>
  <c r="W1623" i="75"/>
  <c r="W1624" i="75"/>
  <c r="W1625" i="75"/>
  <c r="W1626" i="75"/>
  <c r="W1627" i="75"/>
  <c r="W1628" i="75"/>
  <c r="W1629" i="75"/>
  <c r="W1630" i="75"/>
  <c r="W1631" i="75"/>
  <c r="W1632" i="75"/>
  <c r="W1633" i="75"/>
  <c r="W1634" i="75"/>
  <c r="W1635" i="75"/>
  <c r="W1636" i="75"/>
  <c r="W1637" i="75"/>
  <c r="W1638" i="75"/>
  <c r="W1639" i="75"/>
  <c r="W1640" i="75"/>
  <c r="W1641" i="75"/>
  <c r="W1642" i="75"/>
  <c r="W1643" i="75"/>
  <c r="W1644" i="75"/>
  <c r="W1645" i="75"/>
  <c r="W1646" i="75"/>
  <c r="W1647" i="75"/>
  <c r="W1648" i="75"/>
  <c r="W1649" i="75"/>
  <c r="W1650" i="75"/>
  <c r="W1651" i="75"/>
  <c r="W1652" i="75"/>
  <c r="W1653" i="75"/>
  <c r="W1654" i="75"/>
  <c r="W1655" i="75"/>
  <c r="W1656" i="75"/>
  <c r="W1657" i="75"/>
  <c r="W1658" i="75"/>
  <c r="W1659" i="75"/>
  <c r="W1660" i="75"/>
  <c r="W1661" i="75"/>
  <c r="W1662" i="75"/>
  <c r="W1663" i="75"/>
  <c r="W1664" i="75"/>
  <c r="W1665" i="75"/>
  <c r="W1666" i="75"/>
  <c r="W1667" i="75"/>
  <c r="W1668" i="75"/>
  <c r="W1669" i="75"/>
  <c r="W1670" i="75"/>
  <c r="W1671" i="75"/>
  <c r="W1672" i="75"/>
  <c r="W1673" i="75"/>
  <c r="W1674" i="75"/>
  <c r="W1675" i="75"/>
  <c r="W1676" i="75"/>
  <c r="W1677" i="75"/>
  <c r="W1678" i="75"/>
  <c r="W1679" i="75"/>
  <c r="W1680" i="75"/>
  <c r="W1681" i="75"/>
  <c r="W1682" i="75"/>
  <c r="W1683" i="75"/>
  <c r="W1684" i="75"/>
  <c r="W1685" i="75"/>
  <c r="W1686" i="75"/>
  <c r="W1687" i="75"/>
  <c r="W1688" i="75"/>
  <c r="W1689" i="75"/>
  <c r="W1690" i="75"/>
  <c r="W1691" i="75"/>
  <c r="W1692" i="75"/>
  <c r="W1693" i="75"/>
  <c r="W1694" i="75"/>
  <c r="W1695" i="75"/>
  <c r="W1696" i="75"/>
  <c r="W1697" i="75"/>
  <c r="W1698" i="75"/>
  <c r="W1699" i="75"/>
  <c r="W1700" i="75"/>
  <c r="W1701" i="75"/>
  <c r="W1702" i="75"/>
  <c r="W1703" i="75"/>
  <c r="W1704" i="75"/>
  <c r="W1705" i="75"/>
  <c r="W1706" i="75"/>
  <c r="W1707" i="75"/>
  <c r="W1708" i="75"/>
  <c r="W1709" i="75"/>
  <c r="W1710" i="75"/>
  <c r="W1711" i="75"/>
  <c r="W1712" i="75"/>
  <c r="W1713" i="75"/>
  <c r="W1714" i="75"/>
  <c r="W1715" i="75"/>
  <c r="W1716" i="75"/>
  <c r="W1717" i="75"/>
  <c r="W1718" i="75"/>
  <c r="W1719" i="75"/>
  <c r="W1720" i="75"/>
  <c r="W1721" i="75"/>
  <c r="W1722" i="75"/>
  <c r="W1723" i="75"/>
  <c r="W1724" i="75"/>
  <c r="W1725" i="75"/>
  <c r="W1726" i="75"/>
  <c r="W1727" i="75"/>
  <c r="W1728" i="75"/>
  <c r="W1729" i="75"/>
  <c r="W1730" i="75"/>
  <c r="W1731" i="75"/>
  <c r="W1732" i="75"/>
  <c r="W1733" i="75"/>
  <c r="W1734" i="75"/>
  <c r="W1735" i="75"/>
  <c r="W1736" i="75"/>
  <c r="W1737" i="75"/>
  <c r="W1738" i="75"/>
  <c r="W1739" i="75"/>
  <c r="W1740" i="75"/>
  <c r="W1741" i="75"/>
  <c r="W1742" i="75"/>
  <c r="W1743" i="75"/>
  <c r="W1744" i="75"/>
  <c r="W1745" i="75"/>
  <c r="W1746" i="75"/>
  <c r="W1747" i="75"/>
  <c r="W1748" i="75"/>
  <c r="W1749" i="75"/>
  <c r="W1750" i="75"/>
  <c r="W1751" i="75"/>
  <c r="W1752" i="75"/>
  <c r="W1753" i="75"/>
  <c r="W1754" i="75"/>
  <c r="W1755" i="75"/>
  <c r="W1756" i="75"/>
  <c r="W1757" i="75"/>
  <c r="W1758" i="75"/>
  <c r="W1759" i="75"/>
  <c r="W1760" i="75"/>
  <c r="W1761" i="75"/>
  <c r="W1762" i="75"/>
  <c r="W1763" i="75"/>
  <c r="W1764" i="75"/>
  <c r="W1765" i="75"/>
  <c r="W1766" i="75"/>
  <c r="W1767" i="75"/>
  <c r="W1768" i="75"/>
  <c r="W1769" i="75"/>
  <c r="W1770" i="75"/>
  <c r="W1771" i="75"/>
  <c r="W1772" i="75"/>
  <c r="W1773" i="75"/>
  <c r="W1774" i="75"/>
  <c r="W1775" i="75"/>
  <c r="W1776" i="75"/>
  <c r="W1777" i="75"/>
  <c r="W1778" i="75"/>
  <c r="W1779" i="75"/>
  <c r="W1780" i="75"/>
  <c r="W1781" i="75"/>
  <c r="W1782" i="75"/>
  <c r="W1783" i="75"/>
  <c r="W1784" i="75"/>
  <c r="W1785" i="75"/>
  <c r="W1786" i="75"/>
  <c r="W1787" i="75"/>
  <c r="W1788" i="75"/>
  <c r="W1789" i="75"/>
  <c r="W1790" i="75"/>
  <c r="W1791" i="75"/>
  <c r="W1792" i="75"/>
  <c r="W1793" i="75"/>
  <c r="W1794" i="75"/>
  <c r="W1795" i="75"/>
  <c r="W1796" i="75"/>
  <c r="W1797" i="75"/>
  <c r="W1798" i="75"/>
  <c r="W1799" i="75"/>
  <c r="W1800" i="75"/>
  <c r="W1801" i="75"/>
  <c r="W1802" i="75"/>
  <c r="W1803" i="75"/>
  <c r="W1804" i="75"/>
  <c r="W1805" i="75"/>
  <c r="W1806" i="75"/>
  <c r="W1807" i="75"/>
  <c r="W1808" i="75"/>
  <c r="W1809" i="75"/>
  <c r="W1810" i="75"/>
  <c r="W1811" i="75"/>
  <c r="W1812" i="75"/>
  <c r="W1813" i="75"/>
  <c r="W1814" i="75"/>
  <c r="W1815" i="75"/>
  <c r="W1816" i="75"/>
  <c r="W1817" i="75"/>
  <c r="W1818" i="75"/>
  <c r="W1819" i="75"/>
  <c r="W1820" i="75"/>
  <c r="W1821" i="75"/>
  <c r="W1822" i="75"/>
  <c r="W1823" i="75"/>
  <c r="W1824" i="75"/>
  <c r="W1825" i="75"/>
  <c r="W1826" i="75"/>
  <c r="W1827" i="75"/>
  <c r="W1828" i="75"/>
  <c r="W1829" i="75"/>
  <c r="W1830" i="75"/>
  <c r="W1831" i="75"/>
  <c r="W1832" i="75"/>
  <c r="W1833" i="75"/>
  <c r="W1834" i="75"/>
  <c r="W1835" i="75"/>
  <c r="W1836" i="75"/>
  <c r="W1837" i="75"/>
  <c r="W1838" i="75"/>
  <c r="W1839" i="75"/>
  <c r="W1840" i="75"/>
  <c r="W1841" i="75"/>
  <c r="W1842" i="75"/>
  <c r="W1843" i="75"/>
  <c r="W1844" i="75"/>
  <c r="W1845" i="75"/>
  <c r="W1846" i="75"/>
  <c r="W1847" i="75"/>
  <c r="W1848" i="75"/>
  <c r="W1849" i="75"/>
  <c r="W1850" i="75"/>
  <c r="W1851" i="75"/>
  <c r="W1852" i="75"/>
  <c r="W1853" i="75"/>
  <c r="W1854" i="75"/>
  <c r="W1855" i="75"/>
  <c r="W1856" i="75"/>
  <c r="W1857" i="75"/>
  <c r="W1858" i="75"/>
  <c r="W1859" i="75"/>
  <c r="W1860" i="75"/>
  <c r="W1861" i="75"/>
  <c r="W1862" i="75"/>
  <c r="W1863" i="75"/>
  <c r="W1864" i="75"/>
  <c r="W1865" i="75"/>
  <c r="W1866" i="75"/>
  <c r="W1867" i="75"/>
  <c r="W1868" i="75"/>
  <c r="W1869" i="75"/>
  <c r="W1870" i="75"/>
  <c r="W1871" i="75"/>
  <c r="W1872" i="75"/>
  <c r="W1873" i="75"/>
  <c r="W1874" i="75"/>
  <c r="W1875" i="75"/>
  <c r="W1876" i="75"/>
  <c r="W1877" i="75"/>
  <c r="W1878" i="75"/>
  <c r="W1879" i="75"/>
  <c r="W1880" i="75"/>
  <c r="W1881" i="75"/>
  <c r="W1882" i="75"/>
  <c r="W1883" i="75"/>
  <c r="W1884" i="75"/>
  <c r="W1885" i="75"/>
  <c r="W1886" i="75"/>
  <c r="W1887" i="75"/>
  <c r="W1888" i="75"/>
  <c r="W1889" i="75"/>
  <c r="W1890" i="75"/>
  <c r="W1891" i="75"/>
  <c r="W1892" i="75"/>
  <c r="W1893" i="75"/>
  <c r="W1894" i="75"/>
  <c r="W1895" i="75"/>
  <c r="W1896" i="75"/>
  <c r="W1897" i="75"/>
  <c r="W1898" i="75"/>
  <c r="W1899" i="75"/>
  <c r="W1900" i="75"/>
  <c r="W1901" i="75"/>
  <c r="W1902" i="75"/>
  <c r="W1903" i="75"/>
  <c r="W1904" i="75"/>
  <c r="W1905" i="75"/>
  <c r="W1906" i="75"/>
  <c r="W1907" i="75"/>
  <c r="W1908" i="75"/>
  <c r="W1909" i="75"/>
  <c r="W1910" i="75"/>
  <c r="W1911" i="75"/>
  <c r="W1912" i="75"/>
  <c r="W1913" i="75"/>
  <c r="W1914" i="75"/>
  <c r="W1915" i="75"/>
  <c r="W1916" i="75"/>
  <c r="W1917" i="75"/>
  <c r="W1918" i="75"/>
  <c r="W1919" i="75"/>
  <c r="W1920" i="75"/>
  <c r="W1921" i="75"/>
  <c r="W1922" i="75"/>
  <c r="W1923" i="75"/>
  <c r="W1924" i="75"/>
  <c r="W1925" i="75"/>
  <c r="W1926" i="75"/>
  <c r="W1927" i="75"/>
  <c r="W1928" i="75"/>
  <c r="W1929" i="75"/>
  <c r="W1930" i="75"/>
  <c r="W1931" i="75"/>
  <c r="W1932" i="75"/>
  <c r="W1933" i="75"/>
  <c r="W1934" i="75"/>
  <c r="W1935" i="75"/>
  <c r="W1936" i="75"/>
  <c r="W1937" i="75"/>
  <c r="W1938" i="75"/>
  <c r="W1939" i="75"/>
  <c r="W1940" i="75"/>
  <c r="W1941" i="75"/>
  <c r="W1942" i="75"/>
  <c r="W1943" i="75"/>
  <c r="W1944" i="75"/>
  <c r="W1945" i="75"/>
  <c r="W1946" i="75"/>
  <c r="W1947" i="75"/>
  <c r="W1948" i="75"/>
  <c r="W1949" i="75"/>
  <c r="W1950" i="75"/>
  <c r="W1951" i="75"/>
  <c r="W1952" i="75"/>
  <c r="W1953" i="75"/>
  <c r="W1954" i="75"/>
  <c r="W1955" i="75"/>
  <c r="W1956" i="75"/>
  <c r="W1957" i="75"/>
  <c r="W1958" i="75"/>
  <c r="W1959" i="75"/>
  <c r="W1960" i="75"/>
  <c r="W1961" i="75"/>
  <c r="W1962" i="75"/>
  <c r="W1963" i="75"/>
  <c r="W1964" i="75"/>
  <c r="W1965" i="75"/>
  <c r="W1966" i="75"/>
  <c r="W1967" i="75"/>
  <c r="W1968" i="75"/>
  <c r="W1969" i="75"/>
  <c r="W1970" i="75"/>
  <c r="W1971" i="75"/>
  <c r="W1972" i="75"/>
  <c r="W1973" i="75"/>
  <c r="W1974" i="75"/>
  <c r="W1975" i="75"/>
  <c r="W1976" i="75"/>
  <c r="W1977" i="75"/>
  <c r="W1978" i="75"/>
  <c r="W1979" i="75"/>
  <c r="W1980" i="75"/>
  <c r="W1981" i="75"/>
  <c r="W1982" i="75"/>
  <c r="W1983" i="75"/>
  <c r="W1984" i="75"/>
  <c r="W1985" i="75"/>
  <c r="W1986" i="75"/>
  <c r="W1987" i="75"/>
  <c r="W1988" i="75"/>
  <c r="W1989" i="75"/>
  <c r="W1990" i="75"/>
  <c r="W1991" i="75"/>
  <c r="W1992" i="75"/>
  <c r="W1993" i="75"/>
  <c r="W1994" i="75"/>
  <c r="W1995" i="75"/>
  <c r="W1996" i="75"/>
  <c r="W1997" i="75"/>
  <c r="W1998" i="75"/>
  <c r="W1999" i="75"/>
  <c r="W2000" i="75"/>
  <c r="W2001" i="75"/>
  <c r="W2002" i="75"/>
  <c r="W2003" i="75"/>
  <c r="W2004" i="75"/>
  <c r="W2005" i="75"/>
  <c r="W2006" i="75"/>
  <c r="W2007" i="75"/>
  <c r="W2008" i="75"/>
  <c r="W2009" i="75"/>
  <c r="W2010" i="75"/>
  <c r="W2011" i="75"/>
  <c r="W2012" i="75"/>
  <c r="W2013" i="75"/>
  <c r="W2014" i="75"/>
  <c r="W2015" i="75"/>
  <c r="W2016" i="75"/>
  <c r="W2017" i="75"/>
  <c r="W2018" i="75"/>
  <c r="W2019" i="75"/>
  <c r="W2020" i="75"/>
  <c r="W2021" i="75"/>
  <c r="W2022" i="75"/>
  <c r="W2023" i="75"/>
  <c r="W2024" i="75"/>
  <c r="W2025" i="75"/>
  <c r="W2026" i="75"/>
  <c r="W2027" i="75"/>
  <c r="W2028" i="75"/>
  <c r="W2029" i="75"/>
  <c r="W2030" i="75"/>
  <c r="W2031" i="75"/>
  <c r="W2032" i="75"/>
  <c r="W2033" i="75"/>
  <c r="W2034" i="75"/>
  <c r="W2035" i="75"/>
  <c r="W2036" i="75"/>
  <c r="W2037" i="75"/>
  <c r="W2038" i="75"/>
  <c r="W2039" i="75"/>
  <c r="W2040" i="75"/>
  <c r="W2041" i="75"/>
  <c r="W2042" i="75"/>
  <c r="W2043" i="75"/>
  <c r="W2044" i="75"/>
  <c r="W2045" i="75"/>
  <c r="W2046" i="75"/>
  <c r="W2047" i="75"/>
  <c r="W2048" i="75"/>
  <c r="W2049" i="75"/>
  <c r="W2050" i="75"/>
  <c r="W2051" i="75"/>
  <c r="W2052" i="75"/>
  <c r="W2053" i="75"/>
  <c r="W2054" i="75"/>
  <c r="W2055" i="75"/>
  <c r="W2056" i="75"/>
  <c r="W2057" i="75"/>
  <c r="W2058" i="75"/>
  <c r="W2059" i="75"/>
  <c r="W2060" i="75"/>
  <c r="W2061" i="75"/>
  <c r="W2062" i="75"/>
  <c r="W2063" i="75"/>
  <c r="W2064" i="75"/>
  <c r="W2065" i="75"/>
  <c r="W2066" i="75"/>
  <c r="W2067" i="75"/>
  <c r="W2068" i="75"/>
  <c r="W2069" i="75"/>
  <c r="W2070" i="75"/>
  <c r="W2071" i="75"/>
  <c r="W2072" i="75"/>
  <c r="W2073" i="75"/>
  <c r="W2074" i="75"/>
  <c r="W2075" i="75"/>
  <c r="W2076" i="75"/>
  <c r="W2077" i="75"/>
  <c r="W2078" i="75"/>
  <c r="W2079" i="75"/>
  <c r="W2080" i="75"/>
  <c r="W2081" i="75"/>
  <c r="W2082" i="75"/>
  <c r="W2083" i="75"/>
  <c r="W2084" i="75"/>
  <c r="W2085" i="75"/>
  <c r="W2086" i="75"/>
  <c r="W2087" i="75"/>
  <c r="W2088" i="75"/>
  <c r="W2089" i="75"/>
  <c r="W2090" i="75"/>
  <c r="W2091" i="75"/>
  <c r="W2092" i="75"/>
  <c r="W2093" i="75"/>
  <c r="W2094" i="75"/>
  <c r="W2095" i="75"/>
  <c r="W2096" i="75"/>
  <c r="W2097" i="75"/>
  <c r="W1395" i="75"/>
  <c r="T1931" i="75"/>
  <c r="U1931" i="75" s="1"/>
  <c r="T1932" i="75"/>
  <c r="U1932" i="75" s="1"/>
  <c r="T1933" i="75"/>
  <c r="U1933" i="75" s="1"/>
  <c r="T1934" i="75"/>
  <c r="U1934" i="75" s="1"/>
  <c r="T1935" i="75"/>
  <c r="U1935" i="75" s="1"/>
  <c r="T1936" i="75"/>
  <c r="U1936" i="75" s="1"/>
  <c r="T1937" i="75"/>
  <c r="U1937" i="75" s="1"/>
  <c r="T1938" i="75"/>
  <c r="U1938" i="75" s="1"/>
  <c r="T1939" i="75"/>
  <c r="U1939" i="75" s="1"/>
  <c r="T1940" i="75"/>
  <c r="U1940" i="75" s="1"/>
  <c r="T1941" i="75"/>
  <c r="U1941" i="75" s="1"/>
  <c r="T1942" i="75"/>
  <c r="U1942" i="75" s="1"/>
  <c r="T1943" i="75"/>
  <c r="U1943" i="75" s="1"/>
  <c r="T1944" i="75"/>
  <c r="U1944" i="75" s="1"/>
  <c r="T1945" i="75"/>
  <c r="U1945" i="75" s="1"/>
  <c r="T1946" i="75"/>
  <c r="U1946" i="75" s="1"/>
  <c r="T1947" i="75"/>
  <c r="U1947" i="75" s="1"/>
  <c r="T1948" i="75"/>
  <c r="U1948" i="75" s="1"/>
  <c r="T1949" i="75"/>
  <c r="U1949" i="75" s="1"/>
  <c r="T1950" i="75"/>
  <c r="U1950" i="75" s="1"/>
  <c r="T1951" i="75"/>
  <c r="U1951" i="75" s="1"/>
  <c r="T1952" i="75"/>
  <c r="U1952" i="75" s="1"/>
  <c r="T1953" i="75"/>
  <c r="U1953" i="75" s="1"/>
  <c r="T1954" i="75"/>
  <c r="U1954" i="75" s="1"/>
  <c r="T1955" i="75"/>
  <c r="U1955" i="75" s="1"/>
  <c r="T1956" i="75"/>
  <c r="U1956" i="75" s="1"/>
  <c r="T1957" i="75"/>
  <c r="U1957" i="75" s="1"/>
  <c r="T1958" i="75"/>
  <c r="U1958" i="75" s="1"/>
  <c r="T1959" i="75"/>
  <c r="U1959" i="75" s="1"/>
  <c r="T1960" i="75"/>
  <c r="U1960" i="75" s="1"/>
  <c r="T1961" i="75"/>
  <c r="U1961" i="75" s="1"/>
  <c r="T1962" i="75"/>
  <c r="U1962" i="75" s="1"/>
  <c r="T1963" i="75"/>
  <c r="U1963" i="75" s="1"/>
  <c r="T1964" i="75"/>
  <c r="U1964" i="75" s="1"/>
  <c r="T1965" i="75"/>
  <c r="U1965" i="75" s="1"/>
  <c r="T1966" i="75"/>
  <c r="U1966" i="75" s="1"/>
  <c r="T1967" i="75"/>
  <c r="U1967" i="75" s="1"/>
  <c r="T1968" i="75"/>
  <c r="U1968" i="75" s="1"/>
  <c r="T1969" i="75"/>
  <c r="U1969" i="75" s="1"/>
  <c r="T1970" i="75"/>
  <c r="U1970" i="75" s="1"/>
  <c r="T1971" i="75"/>
  <c r="U1971" i="75" s="1"/>
  <c r="T1972" i="75"/>
  <c r="U1972" i="75" s="1"/>
  <c r="T1973" i="75"/>
  <c r="U1973" i="75" s="1"/>
  <c r="T1974" i="75"/>
  <c r="U1974" i="75" s="1"/>
  <c r="T1975" i="75"/>
  <c r="U1975" i="75" s="1"/>
  <c r="T1976" i="75"/>
  <c r="U1976" i="75" s="1"/>
  <c r="T1977" i="75"/>
  <c r="U1977" i="75" s="1"/>
  <c r="T1978" i="75"/>
  <c r="U1978" i="75" s="1"/>
  <c r="T1979" i="75"/>
  <c r="U1979" i="75" s="1"/>
  <c r="T1980" i="75"/>
  <c r="U1980" i="75" s="1"/>
  <c r="T1981" i="75"/>
  <c r="U1981" i="75" s="1"/>
  <c r="T1982" i="75"/>
  <c r="U1982" i="75" s="1"/>
  <c r="T1983" i="75"/>
  <c r="U1983" i="75" s="1"/>
  <c r="T1984" i="75"/>
  <c r="U1984" i="75" s="1"/>
  <c r="T1985" i="75"/>
  <c r="U1985" i="75" s="1"/>
  <c r="T1986" i="75"/>
  <c r="U1986" i="75" s="1"/>
  <c r="T1987" i="75"/>
  <c r="U1987" i="75" s="1"/>
  <c r="T1988" i="75"/>
  <c r="U1988" i="75" s="1"/>
  <c r="T1989" i="75"/>
  <c r="U1989" i="75" s="1"/>
  <c r="T1990" i="75"/>
  <c r="U1990" i="75" s="1"/>
  <c r="T1991" i="75"/>
  <c r="U1991" i="75" s="1"/>
  <c r="T1992" i="75"/>
  <c r="U1992" i="75" s="1"/>
  <c r="T1993" i="75"/>
  <c r="U1993" i="75" s="1"/>
  <c r="T1994" i="75"/>
  <c r="U1994" i="75" s="1"/>
  <c r="T1995" i="75"/>
  <c r="U1995" i="75" s="1"/>
  <c r="T1996" i="75"/>
  <c r="U1996" i="75" s="1"/>
  <c r="T1997" i="75"/>
  <c r="U1997" i="75" s="1"/>
  <c r="T1998" i="75"/>
  <c r="U1998" i="75" s="1"/>
  <c r="T1999" i="75"/>
  <c r="U1999" i="75" s="1"/>
  <c r="T2000" i="75"/>
  <c r="U2000" i="75" s="1"/>
  <c r="T2001" i="75"/>
  <c r="U2001" i="75" s="1"/>
  <c r="T2002" i="75"/>
  <c r="U2002" i="75" s="1"/>
  <c r="T2003" i="75"/>
  <c r="U2003" i="75" s="1"/>
  <c r="T2004" i="75"/>
  <c r="U2004" i="75" s="1"/>
  <c r="T2005" i="75"/>
  <c r="U2005" i="75" s="1"/>
  <c r="T2006" i="75"/>
  <c r="U2006" i="75" s="1"/>
  <c r="T2007" i="75"/>
  <c r="U2007" i="75" s="1"/>
  <c r="T2008" i="75"/>
  <c r="U2008" i="75" s="1"/>
  <c r="T2009" i="75"/>
  <c r="U2009" i="75" s="1"/>
  <c r="T2010" i="75"/>
  <c r="U2010" i="75" s="1"/>
  <c r="T2011" i="75"/>
  <c r="U2011" i="75" s="1"/>
  <c r="T2012" i="75"/>
  <c r="U2012" i="75" s="1"/>
  <c r="T2013" i="75"/>
  <c r="U2013" i="75" s="1"/>
  <c r="T2014" i="75"/>
  <c r="U2014" i="75" s="1"/>
  <c r="T2015" i="75"/>
  <c r="U2015" i="75" s="1"/>
  <c r="T2016" i="75"/>
  <c r="U2016" i="75" s="1"/>
  <c r="T2017" i="75"/>
  <c r="U2017" i="75" s="1"/>
  <c r="T2018" i="75"/>
  <c r="U2018" i="75" s="1"/>
  <c r="T2019" i="75"/>
  <c r="U2019" i="75" s="1"/>
  <c r="T2020" i="75"/>
  <c r="U2020" i="75" s="1"/>
  <c r="T2021" i="75"/>
  <c r="U2021" i="75" s="1"/>
  <c r="T2022" i="75"/>
  <c r="U2022" i="75" s="1"/>
  <c r="T2023" i="75"/>
  <c r="U2023" i="75" s="1"/>
  <c r="T2024" i="75"/>
  <c r="U2024" i="75" s="1"/>
  <c r="T2025" i="75"/>
  <c r="U2025" i="75" s="1"/>
  <c r="T2026" i="75"/>
  <c r="U2026" i="75" s="1"/>
  <c r="T2027" i="75"/>
  <c r="U2027" i="75" s="1"/>
  <c r="T2028" i="75"/>
  <c r="U2028" i="75" s="1"/>
  <c r="T2029" i="75"/>
  <c r="U2029" i="75" s="1"/>
  <c r="T2030" i="75"/>
  <c r="U2030" i="75" s="1"/>
  <c r="T2031" i="75"/>
  <c r="U2031" i="75" s="1"/>
  <c r="T2032" i="75"/>
  <c r="U2032" i="75" s="1"/>
  <c r="T2033" i="75"/>
  <c r="U2033" i="75" s="1"/>
  <c r="T2034" i="75"/>
  <c r="U2034" i="75" s="1"/>
  <c r="T2035" i="75"/>
  <c r="U2035" i="75" s="1"/>
  <c r="T2036" i="75"/>
  <c r="U2036" i="75" s="1"/>
  <c r="T2037" i="75"/>
  <c r="U2037" i="75" s="1"/>
  <c r="T2038" i="75"/>
  <c r="U2038" i="75" s="1"/>
  <c r="T2039" i="75"/>
  <c r="U2039" i="75" s="1"/>
  <c r="T2040" i="75"/>
  <c r="U2040" i="75" s="1"/>
  <c r="T2041" i="75"/>
  <c r="U2041" i="75" s="1"/>
  <c r="T2042" i="75"/>
  <c r="U2042" i="75" s="1"/>
  <c r="T2043" i="75"/>
  <c r="U2043" i="75" s="1"/>
  <c r="T2044" i="75"/>
  <c r="U2044" i="75" s="1"/>
  <c r="T2045" i="75"/>
  <c r="U2045" i="75" s="1"/>
  <c r="T2046" i="75"/>
  <c r="U2046" i="75" s="1"/>
  <c r="T2047" i="75"/>
  <c r="U2047" i="75" s="1"/>
  <c r="T2048" i="75"/>
  <c r="U2048" i="75" s="1"/>
  <c r="T2049" i="75"/>
  <c r="U2049" i="75" s="1"/>
  <c r="T2050" i="75"/>
  <c r="U2050" i="75" s="1"/>
  <c r="T2051" i="75"/>
  <c r="U2051" i="75" s="1"/>
  <c r="T2052" i="75"/>
  <c r="U2052" i="75" s="1"/>
  <c r="T2053" i="75"/>
  <c r="U2053" i="75" s="1"/>
  <c r="T2054" i="75"/>
  <c r="U2054" i="75" s="1"/>
  <c r="T2055" i="75"/>
  <c r="U2055" i="75" s="1"/>
  <c r="T2056" i="75"/>
  <c r="U2056" i="75" s="1"/>
  <c r="T2057" i="75"/>
  <c r="U2057" i="75" s="1"/>
  <c r="T2058" i="75"/>
  <c r="U2058" i="75" s="1"/>
  <c r="T2059" i="75"/>
  <c r="U2059" i="75" s="1"/>
  <c r="T2060" i="75"/>
  <c r="U2060" i="75" s="1"/>
  <c r="T2061" i="75"/>
  <c r="U2061" i="75" s="1"/>
  <c r="T2062" i="75"/>
  <c r="U2062" i="75" s="1"/>
  <c r="T2063" i="75"/>
  <c r="U2063" i="75" s="1"/>
  <c r="T2064" i="75"/>
  <c r="U2064" i="75" s="1"/>
  <c r="T2065" i="75"/>
  <c r="U2065" i="75" s="1"/>
  <c r="T2066" i="75"/>
  <c r="U2066" i="75" s="1"/>
  <c r="T2067" i="75"/>
  <c r="U2067" i="75" s="1"/>
  <c r="T2068" i="75"/>
  <c r="U2068" i="75" s="1"/>
  <c r="T2069" i="75"/>
  <c r="U2069" i="75" s="1"/>
  <c r="T2070" i="75"/>
  <c r="U2070" i="75" s="1"/>
  <c r="T2071" i="75"/>
  <c r="U2071" i="75" s="1"/>
  <c r="T2072" i="75"/>
  <c r="U2072" i="75" s="1"/>
  <c r="T2073" i="75"/>
  <c r="U2073" i="75" s="1"/>
  <c r="T2074" i="75"/>
  <c r="U2074" i="75" s="1"/>
  <c r="T2075" i="75"/>
  <c r="U2075" i="75" s="1"/>
  <c r="T2076" i="75"/>
  <c r="U2076" i="75" s="1"/>
  <c r="T2077" i="75"/>
  <c r="U2077" i="75" s="1"/>
  <c r="T2078" i="75"/>
  <c r="U2078" i="75" s="1"/>
  <c r="T2079" i="75"/>
  <c r="U2079" i="75" s="1"/>
  <c r="T2080" i="75"/>
  <c r="U2080" i="75" s="1"/>
  <c r="T2081" i="75"/>
  <c r="U2081" i="75" s="1"/>
  <c r="T2082" i="75"/>
  <c r="U2082" i="75" s="1"/>
  <c r="T2083" i="75"/>
  <c r="U2083" i="75" s="1"/>
  <c r="T2084" i="75"/>
  <c r="U2084" i="75" s="1"/>
  <c r="T2085" i="75"/>
  <c r="U2085" i="75" s="1"/>
  <c r="T2086" i="75"/>
  <c r="U2086" i="75" s="1"/>
  <c r="T2087" i="75"/>
  <c r="U2087" i="75" s="1"/>
  <c r="T2088" i="75"/>
  <c r="U2088" i="75" s="1"/>
  <c r="T2089" i="75"/>
  <c r="U2089" i="75" s="1"/>
  <c r="T2090" i="75"/>
  <c r="U2090" i="75" s="1"/>
  <c r="T2091" i="75"/>
  <c r="U2091" i="75" s="1"/>
  <c r="T2092" i="75"/>
  <c r="U2092" i="75" s="1"/>
  <c r="T2093" i="75"/>
  <c r="U2093" i="75" s="1"/>
  <c r="T2094" i="75"/>
  <c r="U2094" i="75" s="1"/>
  <c r="T2095" i="75"/>
  <c r="U2095" i="75" s="1"/>
  <c r="T2096" i="75"/>
  <c r="U2096" i="75" s="1"/>
  <c r="T2097" i="75"/>
  <c r="U2097" i="75" s="1"/>
  <c r="V1931" i="75"/>
  <c r="V1932" i="75"/>
  <c r="V1933" i="75"/>
  <c r="V1934" i="75"/>
  <c r="V1935" i="75"/>
  <c r="V1936" i="75"/>
  <c r="V1937" i="75"/>
  <c r="V1938" i="75"/>
  <c r="V1939" i="75"/>
  <c r="V1940" i="75"/>
  <c r="V1941" i="75"/>
  <c r="V1942" i="75"/>
  <c r="V1943" i="75"/>
  <c r="V1944" i="75"/>
  <c r="V1945" i="75"/>
  <c r="V1946" i="75"/>
  <c r="V1947" i="75"/>
  <c r="V1948" i="75"/>
  <c r="V1949" i="75"/>
  <c r="V1950" i="75"/>
  <c r="V1951" i="75"/>
  <c r="V1952" i="75"/>
  <c r="V1953" i="75"/>
  <c r="V1954" i="75"/>
  <c r="V1955" i="75"/>
  <c r="V1956" i="75"/>
  <c r="V1957" i="75"/>
  <c r="V1958" i="75"/>
  <c r="V1959" i="75"/>
  <c r="V1960" i="75"/>
  <c r="V1961" i="75"/>
  <c r="V1962" i="75"/>
  <c r="V1963" i="75"/>
  <c r="V1964" i="75"/>
  <c r="V1965" i="75"/>
  <c r="V1966" i="75"/>
  <c r="V1967" i="75"/>
  <c r="V1968" i="75"/>
  <c r="V1969" i="75"/>
  <c r="V1970" i="75"/>
  <c r="V1971" i="75"/>
  <c r="V1972" i="75"/>
  <c r="V1973" i="75"/>
  <c r="V1974" i="75"/>
  <c r="V1975" i="75"/>
  <c r="V1976" i="75"/>
  <c r="V1977" i="75"/>
  <c r="V1978" i="75"/>
  <c r="V1979" i="75"/>
  <c r="V1980" i="75"/>
  <c r="V1981" i="75"/>
  <c r="V1982" i="75"/>
  <c r="V1983" i="75"/>
  <c r="V1984" i="75"/>
  <c r="V1985" i="75"/>
  <c r="V1986" i="75"/>
  <c r="V1987" i="75"/>
  <c r="V1988" i="75"/>
  <c r="V1989" i="75"/>
  <c r="V1990" i="75"/>
  <c r="V1991" i="75"/>
  <c r="V1992" i="75"/>
  <c r="V1993" i="75"/>
  <c r="V1994" i="75"/>
  <c r="V1995" i="75"/>
  <c r="V1996" i="75"/>
  <c r="V1997" i="75"/>
  <c r="V1998" i="75"/>
  <c r="V1999" i="75"/>
  <c r="V2000" i="75"/>
  <c r="V2001" i="75"/>
  <c r="V2002" i="75"/>
  <c r="V2003" i="75"/>
  <c r="V2004" i="75"/>
  <c r="V2005" i="75"/>
  <c r="V2006" i="75"/>
  <c r="V2007" i="75"/>
  <c r="V2008" i="75"/>
  <c r="V2009" i="75"/>
  <c r="V2010" i="75"/>
  <c r="V2011" i="75"/>
  <c r="V2012" i="75"/>
  <c r="V2013" i="75"/>
  <c r="V2014" i="75"/>
  <c r="V2015" i="75"/>
  <c r="V2016" i="75"/>
  <c r="V2017" i="75"/>
  <c r="V2018" i="75"/>
  <c r="V2019" i="75"/>
  <c r="V2020" i="75"/>
  <c r="V2021" i="75"/>
  <c r="V2022" i="75"/>
  <c r="V2023" i="75"/>
  <c r="V2024" i="75"/>
  <c r="V2025" i="75"/>
  <c r="V2026" i="75"/>
  <c r="V2027" i="75"/>
  <c r="V2028" i="75"/>
  <c r="V2029" i="75"/>
  <c r="V2030" i="75"/>
  <c r="V2031" i="75"/>
  <c r="V2032" i="75"/>
  <c r="V2033" i="75"/>
  <c r="V2034" i="75"/>
  <c r="V2035" i="75"/>
  <c r="V2036" i="75"/>
  <c r="V2037" i="75"/>
  <c r="V2038" i="75"/>
  <c r="V2039" i="75"/>
  <c r="V2040" i="75"/>
  <c r="V2041" i="75"/>
  <c r="V2042" i="75"/>
  <c r="V2043" i="75"/>
  <c r="V2044" i="75"/>
  <c r="V2045" i="75"/>
  <c r="V2046" i="75"/>
  <c r="V2047" i="75"/>
  <c r="V2048" i="75"/>
  <c r="V2049" i="75"/>
  <c r="V2050" i="75"/>
  <c r="V2051" i="75"/>
  <c r="V2052" i="75"/>
  <c r="V2053" i="75"/>
  <c r="V2054" i="75"/>
  <c r="V2055" i="75"/>
  <c r="V2056" i="75"/>
  <c r="V2057" i="75"/>
  <c r="V2058" i="75"/>
  <c r="V2059" i="75"/>
  <c r="V2060" i="75"/>
  <c r="V2061" i="75"/>
  <c r="V2062" i="75"/>
  <c r="V2063" i="75"/>
  <c r="V2064" i="75"/>
  <c r="V2065" i="75"/>
  <c r="V2066" i="75"/>
  <c r="V2067" i="75"/>
  <c r="V2068" i="75"/>
  <c r="V2069" i="75"/>
  <c r="V2070" i="75"/>
  <c r="V2071" i="75"/>
  <c r="V2072" i="75"/>
  <c r="V2073" i="75"/>
  <c r="V2074" i="75"/>
  <c r="V2075" i="75"/>
  <c r="V2076" i="75"/>
  <c r="V2077" i="75"/>
  <c r="V2078" i="75"/>
  <c r="V2079" i="75"/>
  <c r="V2080" i="75"/>
  <c r="V2081" i="75"/>
  <c r="V2082" i="75"/>
  <c r="V2083" i="75"/>
  <c r="V2084" i="75"/>
  <c r="V2085" i="75"/>
  <c r="V2086" i="75"/>
  <c r="V2087" i="75"/>
  <c r="V2088" i="75"/>
  <c r="V2089" i="75"/>
  <c r="V2090" i="75"/>
  <c r="V2091" i="75"/>
  <c r="V2092" i="75"/>
  <c r="V2093" i="75"/>
  <c r="V2094" i="75"/>
  <c r="V2095" i="75"/>
  <c r="V2096" i="75"/>
  <c r="V2097" i="75"/>
  <c r="C649" i="7"/>
  <c r="AC648" i="7"/>
  <c r="C650" i="7"/>
  <c r="AC640" i="7"/>
  <c r="AC652" i="7"/>
  <c r="C644" i="7"/>
  <c r="C637" i="7"/>
  <c r="C647" i="7"/>
  <c r="C633" i="7"/>
  <c r="C631" i="7"/>
  <c r="AC660" i="7"/>
  <c r="C657" i="7"/>
  <c r="C635" i="7"/>
  <c r="C667" i="7"/>
  <c r="C643" i="7"/>
  <c r="C655" i="7"/>
  <c r="AC664" i="7"/>
  <c r="C679" i="7"/>
  <c r="C681" i="7"/>
  <c r="C682" i="7"/>
  <c r="C699" i="7"/>
  <c r="C700" i="7"/>
  <c r="C701" i="7"/>
  <c r="C702" i="7"/>
  <c r="AC703" i="7"/>
  <c r="C704" i="7"/>
  <c r="C693" i="7"/>
  <c r="C696" i="7"/>
  <c r="C697" i="7"/>
  <c r="C689" i="7"/>
  <c r="C691" i="7"/>
  <c r="C678" i="7"/>
  <c r="C695" i="7"/>
  <c r="C687" i="7"/>
  <c r="C688" i="7"/>
  <c r="C692" i="7"/>
  <c r="C683" i="7"/>
  <c r="C684" i="7"/>
  <c r="C685" i="7"/>
  <c r="C632" i="7"/>
  <c r="C639" i="7"/>
  <c r="C651" i="7"/>
  <c r="C645" i="7"/>
  <c r="C659" i="7"/>
  <c r="C675" i="7"/>
  <c r="C672" i="7"/>
  <c r="C671" i="7"/>
  <c r="L37" i="82" l="1"/>
  <c r="K37" i="82"/>
  <c r="AA709" i="7"/>
  <c r="C680" i="7"/>
  <c r="C669" i="7"/>
  <c r="C673" i="7"/>
  <c r="C677" i="7"/>
  <c r="C653" i="7"/>
  <c r="X2070" i="75"/>
  <c r="C661" i="7"/>
  <c r="AC632" i="7"/>
  <c r="C636" i="7"/>
  <c r="C662" i="7"/>
  <c r="AC699" i="7"/>
  <c r="AC695" i="7"/>
  <c r="C703" i="7"/>
  <c r="AC702" i="7"/>
  <c r="AC698" i="7"/>
  <c r="AC694" i="7"/>
  <c r="AC701" i="7"/>
  <c r="AC697" i="7"/>
  <c r="AC693" i="7"/>
  <c r="AC704" i="7"/>
  <c r="AC700" i="7"/>
  <c r="AC696" i="7"/>
  <c r="AC692" i="7"/>
  <c r="X2093" i="75"/>
  <c r="X2081" i="75"/>
  <c r="X2065" i="75"/>
  <c r="X2053" i="75"/>
  <c r="X2045" i="75"/>
  <c r="X2029" i="75"/>
  <c r="X2021" i="75"/>
  <c r="X2009" i="75"/>
  <c r="X1997" i="75"/>
  <c r="X1989" i="75"/>
  <c r="X1977" i="75"/>
  <c r="X1965" i="75"/>
  <c r="X1949" i="75"/>
  <c r="X1933" i="75"/>
  <c r="X2097" i="75"/>
  <c r="X2089" i="75"/>
  <c r="X2085" i="75"/>
  <c r="X2077" i="75"/>
  <c r="X2073" i="75"/>
  <c r="X2069" i="75"/>
  <c r="X2061" i="75"/>
  <c r="X2057" i="75"/>
  <c r="X2049" i="75"/>
  <c r="X2041" i="75"/>
  <c r="X2037" i="75"/>
  <c r="X2033" i="75"/>
  <c r="X2025" i="75"/>
  <c r="X2017" i="75"/>
  <c r="X2013" i="75"/>
  <c r="X2005" i="75"/>
  <c r="X2001" i="75"/>
  <c r="X1993" i="75"/>
  <c r="X1985" i="75"/>
  <c r="X1981" i="75"/>
  <c r="X1973" i="75"/>
  <c r="X1969" i="75"/>
  <c r="X1961" i="75"/>
  <c r="X1957" i="75"/>
  <c r="X1953" i="75"/>
  <c r="X1945" i="75"/>
  <c r="X1941" i="75"/>
  <c r="X1937" i="75"/>
  <c r="X2096" i="75"/>
  <c r="X2092" i="75"/>
  <c r="X2088" i="75"/>
  <c r="X2084" i="75"/>
  <c r="X2080" i="75"/>
  <c r="X2076" i="75"/>
  <c r="X2072" i="75"/>
  <c r="X2068" i="75"/>
  <c r="X2064" i="75"/>
  <c r="X2060" i="75"/>
  <c r="X2056" i="75"/>
  <c r="X2052" i="75"/>
  <c r="X2048" i="75"/>
  <c r="X2044" i="75"/>
  <c r="X2040" i="75"/>
  <c r="X2036" i="75"/>
  <c r="X2032" i="75"/>
  <c r="X2028" i="75"/>
  <c r="X2024" i="75"/>
  <c r="X2020" i="75"/>
  <c r="X2016" i="75"/>
  <c r="X2012" i="75"/>
  <c r="X2008" i="75"/>
  <c r="X2004" i="75"/>
  <c r="X2000" i="75"/>
  <c r="X1996" i="75"/>
  <c r="X1992" i="75"/>
  <c r="X1988" i="75"/>
  <c r="X1984" i="75"/>
  <c r="X1980" i="75"/>
  <c r="X1976" i="75"/>
  <c r="X1972" i="75"/>
  <c r="X1968" i="75"/>
  <c r="X1964" i="75"/>
  <c r="X1960" i="75"/>
  <c r="X1956" i="75"/>
  <c r="X1952" i="75"/>
  <c r="X1948" i="75"/>
  <c r="X1944" i="75"/>
  <c r="X1940" i="75"/>
  <c r="X1936" i="75"/>
  <c r="X1932" i="75"/>
  <c r="X2095" i="75"/>
  <c r="X2091" i="75"/>
  <c r="X2087" i="75"/>
  <c r="X2083" i="75"/>
  <c r="X2079" i="75"/>
  <c r="X2075" i="75"/>
  <c r="X2071" i="75"/>
  <c r="X2067" i="75"/>
  <c r="X2063" i="75"/>
  <c r="X2059" i="75"/>
  <c r="X2055" i="75"/>
  <c r="X2051" i="75"/>
  <c r="X2047" i="75"/>
  <c r="X2043" i="75"/>
  <c r="X2039" i="75"/>
  <c r="X2035" i="75"/>
  <c r="X2031" i="75"/>
  <c r="X2027" i="75"/>
  <c r="X2023" i="75"/>
  <c r="X2019" i="75"/>
  <c r="X2015" i="75"/>
  <c r="X2011" i="75"/>
  <c r="X2007" i="75"/>
  <c r="X2003" i="75"/>
  <c r="X1999" i="75"/>
  <c r="X1995" i="75"/>
  <c r="X1991" i="75"/>
  <c r="X1987" i="75"/>
  <c r="X1983" i="75"/>
  <c r="X1979" i="75"/>
  <c r="X1975" i="75"/>
  <c r="X1971" i="75"/>
  <c r="X1967" i="75"/>
  <c r="X1963" i="75"/>
  <c r="X1959" i="75"/>
  <c r="X1955" i="75"/>
  <c r="X1951" i="75"/>
  <c r="X1947" i="75"/>
  <c r="X1943" i="75"/>
  <c r="X1939" i="75"/>
  <c r="X1935" i="75"/>
  <c r="X1931" i="75"/>
  <c r="X2094" i="75"/>
  <c r="X2090" i="75"/>
  <c r="X2086" i="75"/>
  <c r="X2082" i="75"/>
  <c r="X2078" i="75"/>
  <c r="X2074" i="75"/>
  <c r="X2066" i="75"/>
  <c r="X2062" i="75"/>
  <c r="X2058" i="75"/>
  <c r="X2054" i="75"/>
  <c r="X2050" i="75"/>
  <c r="X2046" i="75"/>
  <c r="X2042" i="75"/>
  <c r="X2038" i="75"/>
  <c r="X2034" i="75"/>
  <c r="X2030" i="75"/>
  <c r="X2026" i="75"/>
  <c r="X2022" i="75"/>
  <c r="X2018" i="75"/>
  <c r="X2014" i="75"/>
  <c r="X2010" i="75"/>
  <c r="X2006" i="75"/>
  <c r="X2002" i="75"/>
  <c r="X1998" i="75"/>
  <c r="X1994" i="75"/>
  <c r="X1990" i="75"/>
  <c r="X1986" i="75"/>
  <c r="X1982" i="75"/>
  <c r="X1978" i="75"/>
  <c r="X1974" i="75"/>
  <c r="X1970" i="75"/>
  <c r="X1966" i="75"/>
  <c r="X1962" i="75"/>
  <c r="X1958" i="75"/>
  <c r="X1954" i="75"/>
  <c r="X1950" i="75"/>
  <c r="X1946" i="75"/>
  <c r="X1942" i="75"/>
  <c r="X1938" i="75"/>
  <c r="X1934" i="75"/>
  <c r="C640" i="7"/>
  <c r="C648" i="7"/>
  <c r="C652" i="7"/>
  <c r="C656" i="7"/>
  <c r="C660" i="7"/>
  <c r="C664" i="7"/>
  <c r="AC676" i="7"/>
  <c r="AC688" i="7"/>
  <c r="AC672" i="7"/>
  <c r="AC684" i="7"/>
  <c r="AC668" i="7"/>
  <c r="AC680" i="7"/>
  <c r="AC690" i="7"/>
  <c r="AC682" i="7"/>
  <c r="AC674" i="7"/>
  <c r="AC666" i="7"/>
  <c r="AC658" i="7"/>
  <c r="AC650" i="7"/>
  <c r="AC686" i="7"/>
  <c r="AC678" i="7"/>
  <c r="AC670" i="7"/>
  <c r="AC662" i="7"/>
  <c r="AC654" i="7"/>
  <c r="AC646" i="7"/>
  <c r="AC691" i="7"/>
  <c r="AC687" i="7"/>
  <c r="AC683" i="7"/>
  <c r="AC679" i="7"/>
  <c r="AC675" i="7"/>
  <c r="AC671" i="7"/>
  <c r="AC667" i="7"/>
  <c r="AC663" i="7"/>
  <c r="AC659" i="7"/>
  <c r="AC655" i="7"/>
  <c r="AC651" i="7"/>
  <c r="AC647" i="7"/>
  <c r="AC689" i="7"/>
  <c r="AC685" i="7"/>
  <c r="AC681" i="7"/>
  <c r="AC677" i="7"/>
  <c r="AC673" i="7"/>
  <c r="AC669" i="7"/>
  <c r="AC665" i="7"/>
  <c r="AC661" i="7"/>
  <c r="AC657" i="7"/>
  <c r="AC653" i="7"/>
  <c r="AC649" i="7"/>
  <c r="AC645" i="7"/>
  <c r="AC635" i="7"/>
  <c r="AC636" i="7"/>
  <c r="AC634" i="7"/>
  <c r="AC633" i="7"/>
  <c r="AC639" i="7"/>
  <c r="AC638" i="7"/>
  <c r="AC637" i="7"/>
  <c r="AC642" i="7"/>
  <c r="AC641" i="7"/>
  <c r="AC643" i="7"/>
  <c r="AC644" i="7"/>
  <c r="C618" i="7" l="1"/>
  <c r="C577" i="7"/>
  <c r="C611" i="7"/>
  <c r="C613" i="7"/>
  <c r="AC617" i="7"/>
  <c r="C622" i="7"/>
  <c r="C623" i="7"/>
  <c r="AC625" i="7"/>
  <c r="C626" i="7"/>
  <c r="AC631" i="7" l="1"/>
  <c r="AC630" i="7"/>
  <c r="C629" i="7"/>
  <c r="AC629" i="7"/>
  <c r="AC577" i="7"/>
  <c r="C625" i="7"/>
  <c r="AC621" i="7"/>
  <c r="AC613" i="7"/>
  <c r="AC627" i="7"/>
  <c r="AC619" i="7"/>
  <c r="AC611" i="7"/>
  <c r="AC623" i="7"/>
  <c r="AC615" i="7"/>
  <c r="AC628" i="7"/>
  <c r="AC624" i="7"/>
  <c r="AC620" i="7"/>
  <c r="AC616" i="7"/>
  <c r="AC612" i="7"/>
  <c r="AC626" i="7"/>
  <c r="AC622" i="7"/>
  <c r="AC618" i="7"/>
  <c r="AC614" i="7"/>
  <c r="AC610" i="7"/>
  <c r="C606" i="7"/>
  <c r="AC607" i="7" l="1"/>
  <c r="AC606" i="7"/>
  <c r="AC608" i="7"/>
  <c r="AC609" i="7"/>
  <c r="C593" i="7"/>
  <c r="C575" i="7"/>
  <c r="C605" i="7"/>
  <c r="C594" i="7"/>
  <c r="AC600" i="7"/>
  <c r="C603" i="7"/>
  <c r="C596" i="7"/>
  <c r="C598" i="7"/>
  <c r="C601" i="7"/>
  <c r="C581" i="7"/>
  <c r="C589" i="7"/>
  <c r="AC568" i="7"/>
  <c r="C584" i="7"/>
  <c r="C590" i="7"/>
  <c r="C567" i="7"/>
  <c r="C571" i="7"/>
  <c r="C572" i="7"/>
  <c r="C576" i="7"/>
  <c r="C580" i="7"/>
  <c r="C582" i="7"/>
  <c r="C583" i="7"/>
  <c r="C588" i="7"/>
  <c r="C591" i="7"/>
  <c r="C592" i="7"/>
  <c r="C595" i="7"/>
  <c r="C597" i="7"/>
  <c r="C599" i="7"/>
  <c r="C602" i="7"/>
  <c r="AC604" i="7"/>
  <c r="N27" i="87"/>
  <c r="C565" i="7"/>
  <c r="C564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79" i="7" l="1"/>
  <c r="C569" i="7"/>
  <c r="C585" i="7"/>
  <c r="C573" i="7"/>
  <c r="C574" i="7"/>
  <c r="C587" i="7"/>
  <c r="C570" i="7"/>
  <c r="C578" i="7"/>
  <c r="C586" i="7"/>
  <c r="C566" i="7"/>
  <c r="AC596" i="7"/>
  <c r="C604" i="7"/>
  <c r="C600" i="7"/>
  <c r="AC603" i="7"/>
  <c r="AC599" i="7"/>
  <c r="AC595" i="7"/>
  <c r="AC602" i="7"/>
  <c r="AC598" i="7"/>
  <c r="AC594" i="7"/>
  <c r="AC605" i="7"/>
  <c r="AC601" i="7"/>
  <c r="AC597" i="7"/>
  <c r="AC593" i="7"/>
  <c r="AC588" i="7"/>
  <c r="AC587" i="7"/>
  <c r="AC586" i="7"/>
  <c r="AC590" i="7"/>
  <c r="AC589" i="7"/>
  <c r="AC592" i="7"/>
  <c r="AC591" i="7"/>
  <c r="C568" i="7"/>
  <c r="AC582" i="7"/>
  <c r="AC584" i="7"/>
  <c r="AC569" i="7" l="1"/>
  <c r="AC585" i="7"/>
  <c r="B36" i="82"/>
  <c r="C563" i="7"/>
  <c r="C189" i="7"/>
  <c r="C181" i="7"/>
  <c r="C136" i="7"/>
  <c r="AC565" i="7"/>
  <c r="AC564" i="7"/>
  <c r="AU204" i="91"/>
  <c r="AU202" i="91"/>
  <c r="AU205" i="91"/>
  <c r="AU203" i="91" l="1"/>
  <c r="AC548" i="7"/>
  <c r="AC551" i="7"/>
  <c r="AC547" i="7"/>
  <c r="AC550" i="7"/>
  <c r="AC546" i="7"/>
  <c r="AC549" i="7"/>
  <c r="AC545" i="7"/>
  <c r="AC552" i="7"/>
  <c r="AC553" i="7"/>
  <c r="AC554" i="7"/>
  <c r="AC555" i="7"/>
  <c r="AC556" i="7"/>
  <c r="AC557" i="7"/>
  <c r="AC558" i="7"/>
  <c r="AC559" i="7"/>
  <c r="AC560" i="7"/>
  <c r="AC561" i="7"/>
  <c r="AC562" i="7"/>
  <c r="AC563" i="7"/>
  <c r="AC537" i="7"/>
  <c r="AC538" i="7"/>
  <c r="AC543" i="7"/>
  <c r="AC539" i="7"/>
  <c r="AC535" i="7"/>
  <c r="AC534" i="7"/>
  <c r="AC540" i="7"/>
  <c r="AC536" i="7"/>
  <c r="AC544" i="7"/>
  <c r="AC542" i="7"/>
  <c r="AC541" i="7"/>
  <c r="C146" i="7" l="1"/>
  <c r="C56" i="7"/>
  <c r="C220" i="7"/>
  <c r="C128" i="7"/>
  <c r="C8" i="7"/>
  <c r="C106" i="7"/>
  <c r="C49" i="7"/>
  <c r="C243" i="7"/>
  <c r="C179" i="7"/>
  <c r="C195" i="7"/>
  <c r="C18" i="7"/>
  <c r="C119" i="7"/>
  <c r="C130" i="7"/>
  <c r="C102" i="7"/>
  <c r="C67" i="7"/>
  <c r="C26" i="7"/>
  <c r="C65" i="7"/>
  <c r="C303" i="7"/>
  <c r="C114" i="7"/>
  <c r="C144" i="7"/>
  <c r="C201" i="7"/>
  <c r="C80" i="7"/>
  <c r="C74" i="7"/>
  <c r="C100" i="7"/>
  <c r="C318" i="7"/>
  <c r="C10" i="7"/>
  <c r="C293" i="7"/>
  <c r="C117" i="7"/>
  <c r="C321" i="7"/>
  <c r="C121" i="7"/>
  <c r="C161" i="7"/>
  <c r="C168" i="7"/>
  <c r="C116" i="7"/>
  <c r="C107" i="7"/>
  <c r="C312" i="7"/>
  <c r="C255" i="7"/>
  <c r="C90" i="7"/>
  <c r="C238" i="7"/>
  <c r="C126" i="7"/>
  <c r="C149" i="7"/>
  <c r="C42" i="7"/>
  <c r="C95" i="7"/>
  <c r="C59" i="7"/>
  <c r="C60" i="7"/>
  <c r="C244" i="7"/>
  <c r="C164" i="7"/>
  <c r="C118" i="7"/>
  <c r="C66" i="7"/>
  <c r="C35" i="7"/>
  <c r="C305" i="7"/>
  <c r="C266" i="7"/>
  <c r="C27" i="7"/>
  <c r="C73" i="7"/>
  <c r="C196" i="7"/>
  <c r="C237" i="7"/>
  <c r="C166" i="7"/>
  <c r="C206" i="7"/>
  <c r="C292" i="7"/>
  <c r="C13" i="7"/>
  <c r="C5" i="7"/>
  <c r="C324" i="7"/>
  <c r="C245" i="7"/>
  <c r="C17" i="7"/>
  <c r="C70" i="7"/>
  <c r="C41" i="7"/>
  <c r="C257" i="7"/>
  <c r="C309" i="7"/>
  <c r="C316" i="7"/>
  <c r="C71" i="7"/>
  <c r="C30" i="7"/>
  <c r="C50" i="7"/>
  <c r="C254" i="7"/>
  <c r="C313" i="7"/>
  <c r="C12" i="7"/>
  <c r="C265" i="7"/>
  <c r="C207" i="7"/>
  <c r="C215" i="7"/>
  <c r="C306" i="7"/>
  <c r="C132" i="7"/>
  <c r="C294" i="7"/>
  <c r="C103" i="7"/>
  <c r="C307" i="7"/>
  <c r="C58" i="7"/>
  <c r="C84" i="7"/>
  <c r="C78" i="7"/>
  <c r="C37" i="7"/>
  <c r="C250" i="7"/>
  <c r="C31" i="7"/>
  <c r="C133" i="7"/>
  <c r="C21" i="7"/>
  <c r="C79" i="7"/>
  <c r="C317" i="7"/>
  <c r="C229" i="7"/>
  <c r="C325" i="7"/>
  <c r="C296" i="7"/>
  <c r="C262" i="7"/>
  <c r="C28" i="7"/>
  <c r="C216" i="7"/>
  <c r="C125" i="7"/>
  <c r="C63" i="7"/>
  <c r="C93" i="7"/>
  <c r="C34" i="7"/>
  <c r="C115" i="7"/>
  <c r="C48" i="7"/>
  <c r="C286" i="7"/>
  <c r="C228" i="7"/>
  <c r="C112" i="7"/>
  <c r="C40" i="7"/>
  <c r="C174" i="7"/>
  <c r="C261" i="7"/>
  <c r="C131" i="7"/>
  <c r="C120" i="7"/>
  <c r="C177" i="7"/>
  <c r="C98" i="7"/>
  <c r="C86" i="7"/>
  <c r="C85" i="7"/>
  <c r="C162" i="7"/>
  <c r="C271" i="7"/>
  <c r="C141" i="7"/>
  <c r="C101" i="7"/>
  <c r="C14" i="7"/>
  <c r="C110" i="7"/>
  <c r="C4" i="7"/>
  <c r="C9" i="7"/>
  <c r="C269" i="7"/>
  <c r="C326" i="7"/>
  <c r="C72" i="7"/>
  <c r="C87" i="7"/>
  <c r="C175" i="7"/>
  <c r="C20" i="7"/>
  <c r="C15" i="7"/>
  <c r="C24" i="7"/>
  <c r="C315" i="7"/>
  <c r="C29" i="7"/>
  <c r="C256" i="7"/>
  <c r="C225" i="7"/>
  <c r="C319" i="7"/>
  <c r="C290" i="7"/>
  <c r="C330" i="7"/>
  <c r="C176" i="7"/>
  <c r="C33" i="7"/>
  <c r="C180" i="7"/>
  <c r="C139" i="7"/>
  <c r="C198" i="7"/>
  <c r="C97" i="7"/>
  <c r="C171" i="7"/>
  <c r="C19" i="7"/>
  <c r="C331" i="7"/>
  <c r="C169" i="7"/>
  <c r="C123" i="7"/>
  <c r="C53" i="7"/>
  <c r="C76" i="7"/>
  <c r="C217" i="7"/>
  <c r="C55" i="7"/>
  <c r="C142" i="7"/>
  <c r="C264" i="7"/>
  <c r="C32" i="7"/>
  <c r="C167" i="7"/>
  <c r="C209" i="7"/>
  <c r="C249" i="7"/>
  <c r="C155" i="7"/>
  <c r="C194" i="7"/>
  <c r="C230" i="7"/>
  <c r="C275" i="7"/>
  <c r="C213" i="7"/>
  <c r="C219" i="7"/>
  <c r="C242" i="7"/>
  <c r="C147" i="7"/>
  <c r="C278" i="7"/>
  <c r="C154" i="7"/>
  <c r="C184" i="7"/>
  <c r="C283" i="7"/>
  <c r="C251" i="7"/>
  <c r="C186" i="7"/>
  <c r="C527" i="7"/>
  <c r="C443" i="7"/>
  <c r="C454" i="7"/>
  <c r="C463" i="7"/>
  <c r="C519" i="7"/>
  <c r="C469" i="7"/>
  <c r="C531" i="7"/>
  <c r="C462" i="7"/>
  <c r="C470" i="7"/>
  <c r="C477" i="7"/>
  <c r="C514" i="7"/>
  <c r="C517" i="7"/>
  <c r="C513" i="7"/>
  <c r="C521" i="7"/>
  <c r="C529" i="7"/>
  <c r="C472" i="7"/>
  <c r="C474" i="7"/>
  <c r="C516" i="7"/>
  <c r="C532" i="7"/>
  <c r="C520" i="7"/>
  <c r="C459" i="7"/>
  <c r="C460" i="7"/>
  <c r="C376" i="7"/>
  <c r="C427" i="7"/>
  <c r="C387" i="7"/>
  <c r="C392" i="7"/>
  <c r="C380" i="7"/>
  <c r="C356" i="7"/>
  <c r="C354" i="7"/>
  <c r="C365" i="7"/>
  <c r="C336" i="7"/>
  <c r="C436" i="7"/>
  <c r="C358" i="7"/>
  <c r="C482" i="7"/>
  <c r="C339" i="7"/>
  <c r="C487" i="7"/>
  <c r="C386" i="7"/>
  <c r="C440" i="7"/>
  <c r="C382" i="7"/>
  <c r="C448" i="7"/>
  <c r="C493" i="7"/>
  <c r="C485" i="7"/>
  <c r="C373" i="7"/>
  <c r="C342" i="7"/>
  <c r="C341" i="7"/>
  <c r="C393" i="7"/>
  <c r="C332" i="7"/>
  <c r="C441" i="7"/>
  <c r="C509" i="7"/>
  <c r="C506" i="7"/>
  <c r="C511" i="7"/>
  <c r="C438" i="7"/>
  <c r="C501" i="7"/>
  <c r="C490" i="7"/>
  <c r="C486" i="7"/>
  <c r="C481" i="7"/>
  <c r="C442" i="7"/>
  <c r="C444" i="7"/>
  <c r="C483" i="7"/>
  <c r="C500" i="7"/>
  <c r="C419" i="7"/>
  <c r="C333" i="7"/>
  <c r="C355" i="7"/>
  <c r="C388" i="7"/>
  <c r="C398" i="7"/>
  <c r="C411" i="7"/>
  <c r="C346" i="7"/>
  <c r="C348" i="7"/>
  <c r="C433" i="7"/>
  <c r="C484" i="7"/>
  <c r="C345" i="7"/>
  <c r="C488" i="7"/>
  <c r="C415" i="7"/>
  <c r="C379" i="7"/>
  <c r="C366" i="7"/>
  <c r="C357" i="7"/>
  <c r="C335" i="7"/>
  <c r="C362" i="7"/>
  <c r="C409" i="7"/>
  <c r="C429" i="7"/>
  <c r="C406" i="7"/>
  <c r="C432" i="7"/>
  <c r="C350" i="7"/>
  <c r="C359" i="7"/>
  <c r="C372" i="7"/>
  <c r="C408" i="7"/>
  <c r="C363" i="7"/>
  <c r="C360" i="7"/>
  <c r="C498" i="7"/>
  <c r="C368" i="7"/>
  <c r="V1396" i="75"/>
  <c r="X1396" i="75" s="1"/>
  <c r="V1397" i="75"/>
  <c r="X1397" i="75" s="1"/>
  <c r="V1398" i="75"/>
  <c r="X1398" i="75" s="1"/>
  <c r="V1399" i="75"/>
  <c r="X1399" i="75" s="1"/>
  <c r="V1400" i="75"/>
  <c r="X1400" i="75" s="1"/>
  <c r="V1401" i="75"/>
  <c r="X1401" i="75" s="1"/>
  <c r="V1402" i="75"/>
  <c r="X1402" i="75" s="1"/>
  <c r="V1403" i="75"/>
  <c r="X1403" i="75" s="1"/>
  <c r="V1404" i="75"/>
  <c r="X1404" i="75" s="1"/>
  <c r="V1405" i="75"/>
  <c r="X1405" i="75" s="1"/>
  <c r="V1406" i="75"/>
  <c r="X1406" i="75" s="1"/>
  <c r="V1407" i="75"/>
  <c r="X1407" i="75" s="1"/>
  <c r="V1408" i="75"/>
  <c r="X1408" i="75" s="1"/>
  <c r="V1409" i="75"/>
  <c r="X1409" i="75" s="1"/>
  <c r="V1410" i="75"/>
  <c r="X1410" i="75" s="1"/>
  <c r="V1411" i="75"/>
  <c r="X1411" i="75" s="1"/>
  <c r="V1412" i="75"/>
  <c r="X1412" i="75" s="1"/>
  <c r="V1413" i="75"/>
  <c r="X1413" i="75" s="1"/>
  <c r="V1414" i="75"/>
  <c r="X1414" i="75" s="1"/>
  <c r="V1415" i="75"/>
  <c r="X1415" i="75" s="1"/>
  <c r="V1416" i="75"/>
  <c r="X1416" i="75" s="1"/>
  <c r="V1417" i="75"/>
  <c r="X1417" i="75" s="1"/>
  <c r="V1422" i="75"/>
  <c r="X1422" i="75" s="1"/>
  <c r="V1418" i="75"/>
  <c r="X1418" i="75" s="1"/>
  <c r="V1423" i="75"/>
  <c r="X1423" i="75" s="1"/>
  <c r="V1424" i="75"/>
  <c r="X1424" i="75" s="1"/>
  <c r="V1425" i="75"/>
  <c r="X1425" i="75" s="1"/>
  <c r="V1426" i="75"/>
  <c r="X1426" i="75" s="1"/>
  <c r="V1427" i="75"/>
  <c r="X1427" i="75" s="1"/>
  <c r="V1428" i="75"/>
  <c r="X1428" i="75" s="1"/>
  <c r="V1429" i="75"/>
  <c r="X1429" i="75" s="1"/>
  <c r="V1430" i="75"/>
  <c r="X1430" i="75" s="1"/>
  <c r="V1420" i="75"/>
  <c r="X1420" i="75" s="1"/>
  <c r="V1419" i="75"/>
  <c r="X1419" i="75" s="1"/>
  <c r="V1421" i="75"/>
  <c r="X1421" i="75" s="1"/>
  <c r="V1431" i="75"/>
  <c r="X1431" i="75" s="1"/>
  <c r="V1432" i="75"/>
  <c r="X1432" i="75" s="1"/>
  <c r="V1433" i="75"/>
  <c r="X1433" i="75" s="1"/>
  <c r="V1434" i="75"/>
  <c r="X1434" i="75" s="1"/>
  <c r="V1435" i="75"/>
  <c r="X1435" i="75" s="1"/>
  <c r="V1436" i="75"/>
  <c r="X1436" i="75" s="1"/>
  <c r="V1437" i="75"/>
  <c r="X1437" i="75" s="1"/>
  <c r="V1438" i="75"/>
  <c r="X1438" i="75" s="1"/>
  <c r="V1439" i="75"/>
  <c r="X1439" i="75" s="1"/>
  <c r="V1440" i="75"/>
  <c r="X1440" i="75" s="1"/>
  <c r="V1441" i="75"/>
  <c r="X1441" i="75" s="1"/>
  <c r="V1442" i="75"/>
  <c r="X1442" i="75" s="1"/>
  <c r="V1443" i="75"/>
  <c r="X1443" i="75" s="1"/>
  <c r="V1444" i="75"/>
  <c r="X1444" i="75" s="1"/>
  <c r="V1445" i="75"/>
  <c r="X1445" i="75" s="1"/>
  <c r="V1446" i="75"/>
  <c r="X1446" i="75" s="1"/>
  <c r="V1447" i="75"/>
  <c r="X1447" i="75" s="1"/>
  <c r="V1448" i="75"/>
  <c r="X1448" i="75" s="1"/>
  <c r="V1449" i="75"/>
  <c r="X1449" i="75" s="1"/>
  <c r="V1450" i="75"/>
  <c r="X1450" i="75" s="1"/>
  <c r="V1451" i="75"/>
  <c r="X1451" i="75" s="1"/>
  <c r="V1452" i="75"/>
  <c r="X1452" i="75" s="1"/>
  <c r="V1453" i="75"/>
  <c r="X1453" i="75" s="1"/>
  <c r="V1455" i="75"/>
  <c r="X1455" i="75" s="1"/>
  <c r="V1454" i="75"/>
  <c r="X1454" i="75" s="1"/>
  <c r="V1456" i="75"/>
  <c r="X1456" i="75" s="1"/>
  <c r="V1457" i="75"/>
  <c r="X1457" i="75" s="1"/>
  <c r="V1458" i="75"/>
  <c r="X1458" i="75" s="1"/>
  <c r="V1459" i="75"/>
  <c r="X1459" i="75" s="1"/>
  <c r="V1460" i="75"/>
  <c r="X1460" i="75" s="1"/>
  <c r="V1463" i="75"/>
  <c r="X1463" i="75" s="1"/>
  <c r="V1462" i="75"/>
  <c r="X1462" i="75" s="1"/>
  <c r="V1461" i="75"/>
  <c r="X1461" i="75" s="1"/>
  <c r="V1464" i="75"/>
  <c r="X1464" i="75" s="1"/>
  <c r="V1465" i="75"/>
  <c r="X1465" i="75" s="1"/>
  <c r="V1466" i="75"/>
  <c r="X1466" i="75" s="1"/>
  <c r="V1467" i="75"/>
  <c r="X1467" i="75" s="1"/>
  <c r="V1468" i="75"/>
  <c r="X1468" i="75" s="1"/>
  <c r="V1469" i="75"/>
  <c r="X1469" i="75" s="1"/>
  <c r="V1470" i="75"/>
  <c r="X1470" i="75" s="1"/>
  <c r="V1471" i="75"/>
  <c r="X1471" i="75" s="1"/>
  <c r="V1472" i="75"/>
  <c r="X1472" i="75" s="1"/>
  <c r="V1473" i="75"/>
  <c r="X1473" i="75" s="1"/>
  <c r="V1474" i="75"/>
  <c r="X1474" i="75" s="1"/>
  <c r="V1475" i="75"/>
  <c r="X1475" i="75" s="1"/>
  <c r="V1476" i="75"/>
  <c r="X1476" i="75" s="1"/>
  <c r="V1477" i="75"/>
  <c r="X1477" i="75" s="1"/>
  <c r="V1478" i="75"/>
  <c r="X1478" i="75" s="1"/>
  <c r="V1479" i="75"/>
  <c r="X1479" i="75" s="1"/>
  <c r="V1480" i="75"/>
  <c r="X1480" i="75" s="1"/>
  <c r="V1481" i="75"/>
  <c r="X1481" i="75" s="1"/>
  <c r="V1482" i="75"/>
  <c r="X1482" i="75" s="1"/>
  <c r="V1483" i="75"/>
  <c r="X1483" i="75" s="1"/>
  <c r="V1484" i="75"/>
  <c r="X1484" i="75" s="1"/>
  <c r="V1485" i="75"/>
  <c r="X1485" i="75" s="1"/>
  <c r="V1486" i="75"/>
  <c r="X1486" i="75" s="1"/>
  <c r="V1487" i="75"/>
  <c r="X1487" i="75" s="1"/>
  <c r="V1501" i="75"/>
  <c r="X1501" i="75" s="1"/>
  <c r="V1629" i="75"/>
  <c r="X1629" i="75" s="1"/>
  <c r="V1488" i="75"/>
  <c r="X1488" i="75" s="1"/>
  <c r="V1489" i="75"/>
  <c r="X1489" i="75" s="1"/>
  <c r="V1490" i="75"/>
  <c r="X1490" i="75" s="1"/>
  <c r="V1491" i="75"/>
  <c r="X1491" i="75" s="1"/>
  <c r="V1492" i="75"/>
  <c r="X1492" i="75" s="1"/>
  <c r="V1493" i="75"/>
  <c r="X1493" i="75" s="1"/>
  <c r="V1494" i="75"/>
  <c r="X1494" i="75" s="1"/>
  <c r="V1495" i="75"/>
  <c r="X1495" i="75" s="1"/>
  <c r="V1499" i="75"/>
  <c r="X1499" i="75" s="1"/>
  <c r="V1500" i="75"/>
  <c r="X1500" i="75" s="1"/>
  <c r="V1496" i="75"/>
  <c r="X1496" i="75" s="1"/>
  <c r="V1497" i="75"/>
  <c r="X1497" i="75" s="1"/>
  <c r="V1498" i="75"/>
  <c r="X1498" i="75" s="1"/>
  <c r="V1502" i="75"/>
  <c r="X1502" i="75" s="1"/>
  <c r="V1503" i="75"/>
  <c r="X1503" i="75" s="1"/>
  <c r="V1504" i="75"/>
  <c r="X1504" i="75" s="1"/>
  <c r="V1505" i="75"/>
  <c r="X1505" i="75" s="1"/>
  <c r="V1506" i="75"/>
  <c r="X1506" i="75" s="1"/>
  <c r="V1507" i="75"/>
  <c r="X1507" i="75" s="1"/>
  <c r="V1508" i="75"/>
  <c r="X1508" i="75" s="1"/>
  <c r="V1509" i="75"/>
  <c r="X1509" i="75" s="1"/>
  <c r="V1510" i="75"/>
  <c r="X1510" i="75" s="1"/>
  <c r="V1511" i="75"/>
  <c r="X1511" i="75" s="1"/>
  <c r="V1522" i="75"/>
  <c r="X1522" i="75" s="1"/>
  <c r="V1523" i="75"/>
  <c r="X1523" i="75" s="1"/>
  <c r="V1512" i="75"/>
  <c r="X1512" i="75" s="1"/>
  <c r="V1513" i="75"/>
  <c r="X1513" i="75" s="1"/>
  <c r="V1514" i="75"/>
  <c r="X1514" i="75" s="1"/>
  <c r="V1524" i="75"/>
  <c r="X1524" i="75" s="1"/>
  <c r="V1516" i="75"/>
  <c r="X1516" i="75" s="1"/>
  <c r="V1515" i="75"/>
  <c r="X1515" i="75" s="1"/>
  <c r="V1525" i="75"/>
  <c r="X1525" i="75" s="1"/>
  <c r="V1517" i="75"/>
  <c r="X1517" i="75" s="1"/>
  <c r="V1527" i="75"/>
  <c r="X1527" i="75" s="1"/>
  <c r="V1518" i="75"/>
  <c r="X1518" i="75" s="1"/>
  <c r="V1526" i="75"/>
  <c r="X1526" i="75" s="1"/>
  <c r="V1519" i="75"/>
  <c r="X1519" i="75" s="1"/>
  <c r="V1520" i="75"/>
  <c r="X1520" i="75" s="1"/>
  <c r="V1521" i="75"/>
  <c r="X1521" i="75" s="1"/>
  <c r="V1528" i="75"/>
  <c r="X1528" i="75" s="1"/>
  <c r="V1551" i="75"/>
  <c r="X1551" i="75" s="1"/>
  <c r="V1552" i="75"/>
  <c r="X1552" i="75" s="1"/>
  <c r="V1529" i="75"/>
  <c r="X1529" i="75" s="1"/>
  <c r="V1549" i="75"/>
  <c r="X1549" i="75" s="1"/>
  <c r="V1530" i="75"/>
  <c r="X1530" i="75" s="1"/>
  <c r="V1531" i="75"/>
  <c r="X1531" i="75" s="1"/>
  <c r="V1533" i="75"/>
  <c r="X1533" i="75" s="1"/>
  <c r="V1532" i="75"/>
  <c r="X1532" i="75" s="1"/>
  <c r="V1534" i="75"/>
  <c r="X1534" i="75" s="1"/>
  <c r="V1535" i="75"/>
  <c r="X1535" i="75" s="1"/>
  <c r="V1553" i="75"/>
  <c r="X1553" i="75" s="1"/>
  <c r="V1536" i="75"/>
  <c r="X1536" i="75" s="1"/>
  <c r="V1537" i="75"/>
  <c r="X1537" i="75" s="1"/>
  <c r="V1538" i="75"/>
  <c r="X1538" i="75" s="1"/>
  <c r="V1539" i="75"/>
  <c r="X1539" i="75" s="1"/>
  <c r="V1540" i="75"/>
  <c r="X1540" i="75" s="1"/>
  <c r="V1541" i="75"/>
  <c r="X1541" i="75" s="1"/>
  <c r="V1542" i="75"/>
  <c r="X1542" i="75" s="1"/>
  <c r="V1543" i="75"/>
  <c r="X1543" i="75" s="1"/>
  <c r="V1550" i="75"/>
  <c r="X1550" i="75" s="1"/>
  <c r="V1544" i="75"/>
  <c r="X1544" i="75" s="1"/>
  <c r="V1545" i="75"/>
  <c r="X1545" i="75" s="1"/>
  <c r="V1546" i="75"/>
  <c r="X1546" i="75" s="1"/>
  <c r="V1547" i="75"/>
  <c r="X1547" i="75" s="1"/>
  <c r="V1548" i="75"/>
  <c r="X1548" i="75" s="1"/>
  <c r="V1554" i="75"/>
  <c r="X1554" i="75" s="1"/>
  <c r="V1555" i="75"/>
  <c r="X1555" i="75" s="1"/>
  <c r="V1556" i="75"/>
  <c r="X1556" i="75" s="1"/>
  <c r="V1557" i="75"/>
  <c r="X1557" i="75" s="1"/>
  <c r="V1558" i="75"/>
  <c r="X1558" i="75" s="1"/>
  <c r="V1559" i="75"/>
  <c r="X1559" i="75" s="1"/>
  <c r="V1560" i="75"/>
  <c r="X1560" i="75" s="1"/>
  <c r="V1561" i="75"/>
  <c r="X1561" i="75" s="1"/>
  <c r="V1562" i="75"/>
  <c r="X1562" i="75" s="1"/>
  <c r="V1563" i="75"/>
  <c r="X1563" i="75" s="1"/>
  <c r="V1564" i="75"/>
  <c r="X1564" i="75" s="1"/>
  <c r="V1565" i="75"/>
  <c r="X1565" i="75" s="1"/>
  <c r="V1566" i="75"/>
  <c r="X1566" i="75" s="1"/>
  <c r="V1567" i="75"/>
  <c r="X1567" i="75" s="1"/>
  <c r="V1579" i="75"/>
  <c r="X1579" i="75" s="1"/>
  <c r="V1568" i="75"/>
  <c r="X1568" i="75" s="1"/>
  <c r="V1569" i="75"/>
  <c r="X1569" i="75" s="1"/>
  <c r="V1570" i="75"/>
  <c r="X1570" i="75" s="1"/>
  <c r="V1571" i="75"/>
  <c r="X1571" i="75" s="1"/>
  <c r="V1580" i="75"/>
  <c r="X1580" i="75" s="1"/>
  <c r="V1572" i="75"/>
  <c r="X1572" i="75" s="1"/>
  <c r="V1573" i="75"/>
  <c r="X1573" i="75" s="1"/>
  <c r="V1574" i="75"/>
  <c r="X1574" i="75" s="1"/>
  <c r="V1575" i="75"/>
  <c r="X1575" i="75" s="1"/>
  <c r="V1576" i="75"/>
  <c r="X1576" i="75" s="1"/>
  <c r="V1577" i="75"/>
  <c r="X1577" i="75" s="1"/>
  <c r="V1578" i="75"/>
  <c r="X1578" i="75" s="1"/>
  <c r="V1601" i="75"/>
  <c r="X1601" i="75" s="1"/>
  <c r="V1581" i="75"/>
  <c r="X1581" i="75" s="1"/>
  <c r="V1582" i="75"/>
  <c r="X1582" i="75" s="1"/>
  <c r="V1583" i="75"/>
  <c r="X1583" i="75" s="1"/>
  <c r="V1584" i="75"/>
  <c r="X1584" i="75" s="1"/>
  <c r="V1585" i="75"/>
  <c r="X1585" i="75" s="1"/>
  <c r="V1586" i="75"/>
  <c r="X1586" i="75" s="1"/>
  <c r="V1602" i="75"/>
  <c r="X1602" i="75" s="1"/>
  <c r="V1587" i="75"/>
  <c r="X1587" i="75" s="1"/>
  <c r="V1589" i="75"/>
  <c r="X1589" i="75" s="1"/>
  <c r="V1588" i="75"/>
  <c r="X1588" i="75" s="1"/>
  <c r="V1590" i="75"/>
  <c r="X1590" i="75" s="1"/>
  <c r="V1603" i="75"/>
  <c r="X1603" i="75" s="1"/>
  <c r="V1591" i="75"/>
  <c r="X1591" i="75" s="1"/>
  <c r="V1592" i="75"/>
  <c r="X1592" i="75" s="1"/>
  <c r="V1593" i="75"/>
  <c r="X1593" i="75" s="1"/>
  <c r="V1604" i="75"/>
  <c r="X1604" i="75" s="1"/>
  <c r="V1594" i="75"/>
  <c r="X1594" i="75" s="1"/>
  <c r="V1595" i="75"/>
  <c r="X1595" i="75" s="1"/>
  <c r="V1596" i="75"/>
  <c r="X1596" i="75" s="1"/>
  <c r="V1597" i="75"/>
  <c r="X1597" i="75" s="1"/>
  <c r="V1600" i="75"/>
  <c r="X1600" i="75" s="1"/>
  <c r="V1598" i="75"/>
  <c r="X1598" i="75" s="1"/>
  <c r="V1599" i="75"/>
  <c r="X1599" i="75" s="1"/>
  <c r="V1605" i="75"/>
  <c r="X1605" i="75" s="1"/>
  <c r="V1606" i="75"/>
  <c r="X1606" i="75" s="1"/>
  <c r="V1607" i="75"/>
  <c r="X1607" i="75" s="1"/>
  <c r="V1609" i="75"/>
  <c r="X1609" i="75" s="1"/>
  <c r="V1608" i="75"/>
  <c r="X1608" i="75" s="1"/>
  <c r="V1610" i="75"/>
  <c r="X1610" i="75" s="1"/>
  <c r="V1611" i="75"/>
  <c r="X1611" i="75" s="1"/>
  <c r="V1612" i="75"/>
  <c r="X1612" i="75" s="1"/>
  <c r="V1613" i="75"/>
  <c r="X1613" i="75" s="1"/>
  <c r="V1614" i="75"/>
  <c r="X1614" i="75" s="1"/>
  <c r="V1615" i="75"/>
  <c r="X1615" i="75" s="1"/>
  <c r="V1616" i="75"/>
  <c r="X1616" i="75" s="1"/>
  <c r="V1617" i="75"/>
  <c r="X1617" i="75" s="1"/>
  <c r="V1618" i="75"/>
  <c r="X1618" i="75" s="1"/>
  <c r="V1619" i="75"/>
  <c r="X1619" i="75" s="1"/>
  <c r="V1620" i="75"/>
  <c r="X1620" i="75" s="1"/>
  <c r="V1621" i="75"/>
  <c r="X1621" i="75" s="1"/>
  <c r="V1622" i="75"/>
  <c r="X1622" i="75" s="1"/>
  <c r="V1623" i="75"/>
  <c r="X1623" i="75" s="1"/>
  <c r="V1624" i="75"/>
  <c r="X1624" i="75" s="1"/>
  <c r="V1625" i="75"/>
  <c r="X1625" i="75" s="1"/>
  <c r="V1626" i="75"/>
  <c r="X1626" i="75" s="1"/>
  <c r="V1627" i="75"/>
  <c r="X1627" i="75" s="1"/>
  <c r="V1628" i="75"/>
  <c r="X1628" i="75" s="1"/>
  <c r="V1630" i="75"/>
  <c r="X1630" i="75" s="1"/>
  <c r="V1631" i="75"/>
  <c r="X1631" i="75" s="1"/>
  <c r="V1632" i="75"/>
  <c r="X1632" i="75" s="1"/>
  <c r="V1633" i="75"/>
  <c r="X1633" i="75" s="1"/>
  <c r="V1634" i="75"/>
  <c r="X1634" i="75" s="1"/>
  <c r="V1635" i="75"/>
  <c r="X1635" i="75" s="1"/>
  <c r="V1645" i="75"/>
  <c r="X1645" i="75" s="1"/>
  <c r="V1636" i="75"/>
  <c r="X1636" i="75" s="1"/>
  <c r="V1637" i="75"/>
  <c r="X1637" i="75" s="1"/>
  <c r="V1638" i="75"/>
  <c r="X1638" i="75" s="1"/>
  <c r="V1639" i="75"/>
  <c r="X1639" i="75" s="1"/>
  <c r="V1640" i="75"/>
  <c r="X1640" i="75" s="1"/>
  <c r="V1641" i="75"/>
  <c r="X1641" i="75" s="1"/>
  <c r="V1642" i="75"/>
  <c r="X1642" i="75" s="1"/>
  <c r="V1643" i="75"/>
  <c r="X1643" i="75" s="1"/>
  <c r="V1644" i="75"/>
  <c r="X1644" i="75" s="1"/>
  <c r="V1646" i="75"/>
  <c r="X1646" i="75" s="1"/>
  <c r="V1647" i="75"/>
  <c r="X1647" i="75" s="1"/>
  <c r="V1648" i="75"/>
  <c r="X1648" i="75" s="1"/>
  <c r="V1649" i="75"/>
  <c r="X1649" i="75" s="1"/>
  <c r="V1650" i="75"/>
  <c r="X1650" i="75" s="1"/>
  <c r="V1651" i="75"/>
  <c r="X1651" i="75" s="1"/>
  <c r="V1652" i="75"/>
  <c r="X1652" i="75" s="1"/>
  <c r="V1653" i="75"/>
  <c r="X1653" i="75" s="1"/>
  <c r="V1654" i="75"/>
  <c r="X1654" i="75" s="1"/>
  <c r="V1655" i="75"/>
  <c r="X1655" i="75" s="1"/>
  <c r="V1656" i="75"/>
  <c r="X1656" i="75" s="1"/>
  <c r="V1657" i="75"/>
  <c r="X1657" i="75" s="1"/>
  <c r="V1658" i="75"/>
  <c r="X1658" i="75" s="1"/>
  <c r="V1659" i="75"/>
  <c r="X1659" i="75" s="1"/>
  <c r="V1660" i="75"/>
  <c r="X1660" i="75" s="1"/>
  <c r="V1668" i="75"/>
  <c r="X1668" i="75" s="1"/>
  <c r="V1661" i="75"/>
  <c r="X1661" i="75" s="1"/>
  <c r="V1662" i="75"/>
  <c r="X1662" i="75" s="1"/>
  <c r="V1663" i="75"/>
  <c r="X1663" i="75" s="1"/>
  <c r="V1665" i="75"/>
  <c r="X1665" i="75" s="1"/>
  <c r="V1664" i="75"/>
  <c r="X1664" i="75" s="1"/>
  <c r="V1666" i="75"/>
  <c r="X1666" i="75" s="1"/>
  <c r="V1667" i="75"/>
  <c r="X1667" i="75" s="1"/>
  <c r="V1669" i="75"/>
  <c r="X1669" i="75" s="1"/>
  <c r="V1670" i="75"/>
  <c r="X1670" i="75" s="1"/>
  <c r="V1671" i="75"/>
  <c r="X1671" i="75" s="1"/>
  <c r="V1672" i="75"/>
  <c r="X1672" i="75" s="1"/>
  <c r="V1673" i="75"/>
  <c r="X1673" i="75" s="1"/>
  <c r="V1674" i="75"/>
  <c r="X1674" i="75" s="1"/>
  <c r="V1675" i="75"/>
  <c r="X1675" i="75" s="1"/>
  <c r="V1676" i="75"/>
  <c r="X1676" i="75" s="1"/>
  <c r="V1677" i="75"/>
  <c r="X1677" i="75" s="1"/>
  <c r="V1678" i="75"/>
  <c r="X1678" i="75" s="1"/>
  <c r="V1679" i="75"/>
  <c r="X1679" i="75" s="1"/>
  <c r="V1681" i="75"/>
  <c r="X1681" i="75" s="1"/>
  <c r="V1680" i="75"/>
  <c r="X1680" i="75" s="1"/>
  <c r="V1682" i="75"/>
  <c r="X1682" i="75" s="1"/>
  <c r="V1683" i="75"/>
  <c r="X1683" i="75" s="1"/>
  <c r="V1684" i="75"/>
  <c r="X1684" i="75" s="1"/>
  <c r="V1685" i="75"/>
  <c r="X1685" i="75" s="1"/>
  <c r="V1686" i="75"/>
  <c r="X1686" i="75" s="1"/>
  <c r="V1687" i="75"/>
  <c r="X1687" i="75" s="1"/>
  <c r="V1688" i="75"/>
  <c r="X1688" i="75" s="1"/>
  <c r="V1689" i="75"/>
  <c r="X1689" i="75" s="1"/>
  <c r="V1690" i="75"/>
  <c r="X1690" i="75" s="1"/>
  <c r="V1691" i="75"/>
  <c r="X1691" i="75" s="1"/>
  <c r="V1692" i="75"/>
  <c r="X1692" i="75" s="1"/>
  <c r="V1693" i="75"/>
  <c r="X1693" i="75" s="1"/>
  <c r="V1694" i="75"/>
  <c r="X1694" i="75" s="1"/>
  <c r="V1695" i="75"/>
  <c r="X1695" i="75" s="1"/>
  <c r="V1696" i="75"/>
  <c r="X1696" i="75" s="1"/>
  <c r="V1697" i="75"/>
  <c r="X1697" i="75" s="1"/>
  <c r="V1698" i="75"/>
  <c r="X1698" i="75" s="1"/>
  <c r="V1699" i="75"/>
  <c r="X1699" i="75" s="1"/>
  <c r="V1700" i="75"/>
  <c r="X1700" i="75" s="1"/>
  <c r="V1701" i="75"/>
  <c r="X1701" i="75" s="1"/>
  <c r="V1702" i="75"/>
  <c r="X1702" i="75" s="1"/>
  <c r="V1703" i="75"/>
  <c r="X1703" i="75" s="1"/>
  <c r="V1704" i="75"/>
  <c r="X1704" i="75" s="1"/>
  <c r="V1705" i="75"/>
  <c r="X1705" i="75" s="1"/>
  <c r="V1706" i="75"/>
  <c r="X1706" i="75" s="1"/>
  <c r="V1707" i="75"/>
  <c r="X1707" i="75" s="1"/>
  <c r="V1709" i="75"/>
  <c r="X1709" i="75" s="1"/>
  <c r="V1708" i="75"/>
  <c r="X1708" i="75" s="1"/>
  <c r="V1710" i="75"/>
  <c r="X1710" i="75" s="1"/>
  <c r="V1711" i="75"/>
  <c r="X1711" i="75" s="1"/>
  <c r="V1712" i="75"/>
  <c r="X1712" i="75" s="1"/>
  <c r="V1713" i="75"/>
  <c r="X1713" i="75" s="1"/>
  <c r="V1714" i="75"/>
  <c r="X1714" i="75" s="1"/>
  <c r="V1715" i="75"/>
  <c r="X1715" i="75" s="1"/>
  <c r="V1716" i="75"/>
  <c r="X1716" i="75" s="1"/>
  <c r="V1717" i="75"/>
  <c r="X1717" i="75" s="1"/>
  <c r="V1719" i="75"/>
  <c r="X1719" i="75" s="1"/>
  <c r="V1718" i="75"/>
  <c r="X1718" i="75" s="1"/>
  <c r="V1720" i="75"/>
  <c r="X1720" i="75" s="1"/>
  <c r="V1721" i="75"/>
  <c r="X1721" i="75" s="1"/>
  <c r="V1722" i="75"/>
  <c r="X1722" i="75" s="1"/>
  <c r="V1723" i="75"/>
  <c r="X1723" i="75" s="1"/>
  <c r="V1724" i="75"/>
  <c r="X1724" i="75" s="1"/>
  <c r="V1725" i="75"/>
  <c r="X1725" i="75" s="1"/>
  <c r="V1726" i="75"/>
  <c r="X1726" i="75" s="1"/>
  <c r="V1727" i="75"/>
  <c r="X1727" i="75" s="1"/>
  <c r="V1728" i="75"/>
  <c r="X1728" i="75" s="1"/>
  <c r="V1729" i="75"/>
  <c r="X1729" i="75" s="1"/>
  <c r="V1731" i="75"/>
  <c r="X1731" i="75" s="1"/>
  <c r="V1730" i="75"/>
  <c r="X1730" i="75" s="1"/>
  <c r="V1732" i="75"/>
  <c r="X1732" i="75" s="1"/>
  <c r="V1733" i="75"/>
  <c r="X1733" i="75" s="1"/>
  <c r="V1734" i="75"/>
  <c r="X1734" i="75" s="1"/>
  <c r="V1735" i="75"/>
  <c r="X1735" i="75" s="1"/>
  <c r="V1736" i="75"/>
  <c r="X1736" i="75" s="1"/>
  <c r="V1737" i="75"/>
  <c r="X1737" i="75" s="1"/>
  <c r="V1738" i="75"/>
  <c r="X1738" i="75" s="1"/>
  <c r="V1739" i="75"/>
  <c r="X1739" i="75" s="1"/>
  <c r="V1740" i="75"/>
  <c r="X1740" i="75" s="1"/>
  <c r="V1741" i="75"/>
  <c r="X1741" i="75" s="1"/>
  <c r="V1742" i="75"/>
  <c r="X1742" i="75" s="1"/>
  <c r="V1743" i="75"/>
  <c r="X1743" i="75" s="1"/>
  <c r="V1744" i="75"/>
  <c r="X1744" i="75" s="1"/>
  <c r="V1745" i="75"/>
  <c r="X1745" i="75" s="1"/>
  <c r="V1746" i="75"/>
  <c r="X1746" i="75" s="1"/>
  <c r="V1747" i="75"/>
  <c r="X1747" i="75" s="1"/>
  <c r="V1748" i="75"/>
  <c r="X1748" i="75" s="1"/>
  <c r="V1749" i="75"/>
  <c r="X1749" i="75" s="1"/>
  <c r="V1750" i="75"/>
  <c r="X1750" i="75" s="1"/>
  <c r="V1751" i="75"/>
  <c r="X1751" i="75" s="1"/>
  <c r="V1752" i="75"/>
  <c r="X1752" i="75" s="1"/>
  <c r="V1753" i="75"/>
  <c r="X1753" i="75" s="1"/>
  <c r="V1754" i="75"/>
  <c r="X1754" i="75" s="1"/>
  <c r="V1755" i="75"/>
  <c r="X1755" i="75" s="1"/>
  <c r="V1756" i="75"/>
  <c r="X1756" i="75" s="1"/>
  <c r="V1757" i="75"/>
  <c r="X1757" i="75" s="1"/>
  <c r="V1758" i="75"/>
  <c r="X1758" i="75" s="1"/>
  <c r="V1759" i="75"/>
  <c r="X1759" i="75" s="1"/>
  <c r="V1760" i="75"/>
  <c r="X1760" i="75" s="1"/>
  <c r="V1761" i="75"/>
  <c r="X1761" i="75" s="1"/>
  <c r="V1762" i="75"/>
  <c r="X1762" i="75" s="1"/>
  <c r="V1763" i="75"/>
  <c r="X1763" i="75" s="1"/>
  <c r="V1764" i="75"/>
  <c r="X1764" i="75" s="1"/>
  <c r="V1765" i="75"/>
  <c r="X1765" i="75" s="1"/>
  <c r="V1766" i="75"/>
  <c r="X1766" i="75" s="1"/>
  <c r="V1767" i="75"/>
  <c r="X1767" i="75" s="1"/>
  <c r="V1768" i="75"/>
  <c r="X1768" i="75" s="1"/>
  <c r="V1769" i="75"/>
  <c r="X1769" i="75" s="1"/>
  <c r="V1770" i="75"/>
  <c r="X1770" i="75" s="1"/>
  <c r="V1771" i="75"/>
  <c r="X1771" i="75" s="1"/>
  <c r="V1772" i="75"/>
  <c r="X1772" i="75" s="1"/>
  <c r="V1773" i="75"/>
  <c r="X1773" i="75" s="1"/>
  <c r="V1774" i="75"/>
  <c r="X1774" i="75" s="1"/>
  <c r="V1775" i="75"/>
  <c r="X1775" i="75" s="1"/>
  <c r="V1776" i="75"/>
  <c r="X1776" i="75" s="1"/>
  <c r="V1777" i="75"/>
  <c r="X1777" i="75" s="1"/>
  <c r="V1778" i="75"/>
  <c r="X1778" i="75" s="1"/>
  <c r="V1779" i="75"/>
  <c r="X1779" i="75" s="1"/>
  <c r="V1780" i="75"/>
  <c r="X1780" i="75" s="1"/>
  <c r="V1781" i="75"/>
  <c r="X1781" i="75" s="1"/>
  <c r="V1782" i="75"/>
  <c r="X1782" i="75" s="1"/>
  <c r="V1785" i="75"/>
  <c r="X1785" i="75" s="1"/>
  <c r="V1783" i="75"/>
  <c r="X1783" i="75" s="1"/>
  <c r="V1784" i="75"/>
  <c r="X1784" i="75" s="1"/>
  <c r="V1786" i="75"/>
  <c r="X1786" i="75" s="1"/>
  <c r="V1787" i="75"/>
  <c r="X1787" i="75" s="1"/>
  <c r="V1788" i="75"/>
  <c r="X1788" i="75" s="1"/>
  <c r="V1789" i="75"/>
  <c r="X1789" i="75" s="1"/>
  <c r="V1790" i="75"/>
  <c r="X1790" i="75" s="1"/>
  <c r="V1791" i="75"/>
  <c r="X1791" i="75" s="1"/>
  <c r="V1792" i="75"/>
  <c r="X1792" i="75" s="1"/>
  <c r="V1793" i="75"/>
  <c r="X1793" i="75" s="1"/>
  <c r="V1794" i="75"/>
  <c r="X1794" i="75" s="1"/>
  <c r="V1795" i="75"/>
  <c r="X1795" i="75" s="1"/>
  <c r="V1796" i="75"/>
  <c r="X1796" i="75" s="1"/>
  <c r="V1797" i="75"/>
  <c r="X1797" i="75" s="1"/>
  <c r="V1798" i="75"/>
  <c r="X1798" i="75" s="1"/>
  <c r="V1799" i="75"/>
  <c r="X1799" i="75" s="1"/>
  <c r="V1801" i="75"/>
  <c r="X1801" i="75" s="1"/>
  <c r="V1800" i="75"/>
  <c r="X1800" i="75" s="1"/>
  <c r="V1802" i="75"/>
  <c r="X1802" i="75" s="1"/>
  <c r="V1803" i="75"/>
  <c r="X1803" i="75" s="1"/>
  <c r="V1804" i="75"/>
  <c r="X1804" i="75" s="1"/>
  <c r="V1805" i="75"/>
  <c r="X1805" i="75" s="1"/>
  <c r="V1806" i="75"/>
  <c r="X1806" i="75" s="1"/>
  <c r="V1807" i="75"/>
  <c r="X1807" i="75" s="1"/>
  <c r="V1808" i="75"/>
  <c r="X1808" i="75" s="1"/>
  <c r="V1809" i="75"/>
  <c r="X1809" i="75" s="1"/>
  <c r="V1810" i="75"/>
  <c r="X1810" i="75" s="1"/>
  <c r="V1811" i="75"/>
  <c r="X1811" i="75" s="1"/>
  <c r="V1812" i="75"/>
  <c r="X1812" i="75" s="1"/>
  <c r="V1813" i="75"/>
  <c r="X1813" i="75" s="1"/>
  <c r="V1814" i="75"/>
  <c r="X1814" i="75" s="1"/>
  <c r="V1815" i="75"/>
  <c r="X1815" i="75" s="1"/>
  <c r="V1816" i="75"/>
  <c r="X1816" i="75" s="1"/>
  <c r="V1817" i="75"/>
  <c r="X1817" i="75" s="1"/>
  <c r="V1818" i="75"/>
  <c r="X1818" i="75" s="1"/>
  <c r="V1819" i="75"/>
  <c r="X1819" i="75" s="1"/>
  <c r="V1820" i="75"/>
  <c r="X1820" i="75" s="1"/>
  <c r="V1821" i="75"/>
  <c r="X1821" i="75" s="1"/>
  <c r="V1822" i="75"/>
  <c r="X1822" i="75" s="1"/>
  <c r="V1823" i="75"/>
  <c r="X1823" i="75" s="1"/>
  <c r="V1824" i="75"/>
  <c r="X1824" i="75" s="1"/>
  <c r="V1825" i="75"/>
  <c r="X1825" i="75" s="1"/>
  <c r="V1826" i="75"/>
  <c r="X1826" i="75" s="1"/>
  <c r="V1827" i="75"/>
  <c r="X1827" i="75" s="1"/>
  <c r="V1828" i="75"/>
  <c r="X1828" i="75" s="1"/>
  <c r="V1840" i="75"/>
  <c r="X1840" i="75" s="1"/>
  <c r="V1842" i="75"/>
  <c r="X1842" i="75" s="1"/>
  <c r="V1841" i="75"/>
  <c r="X1841" i="75" s="1"/>
  <c r="V1843" i="75"/>
  <c r="X1843" i="75" s="1"/>
  <c r="V1844" i="75"/>
  <c r="X1844" i="75" s="1"/>
  <c r="V1845" i="75"/>
  <c r="X1845" i="75" s="1"/>
  <c r="V1846" i="75"/>
  <c r="X1846" i="75" s="1"/>
  <c r="V1847" i="75"/>
  <c r="X1847" i="75" s="1"/>
  <c r="V1848" i="75"/>
  <c r="X1848" i="75" s="1"/>
  <c r="V1849" i="75"/>
  <c r="X1849" i="75" s="1"/>
  <c r="V1850" i="75"/>
  <c r="X1850" i="75" s="1"/>
  <c r="V1851" i="75"/>
  <c r="X1851" i="75" s="1"/>
  <c r="V1852" i="75"/>
  <c r="X1852" i="75" s="1"/>
  <c r="V1853" i="75"/>
  <c r="X1853" i="75" s="1"/>
  <c r="V1867" i="75"/>
  <c r="X1867" i="75" s="1"/>
  <c r="V1868" i="75"/>
  <c r="X1868" i="75" s="1"/>
  <c r="V1869" i="75"/>
  <c r="X1869" i="75" s="1"/>
  <c r="V1870" i="75"/>
  <c r="X1870" i="75" s="1"/>
  <c r="V1873" i="75"/>
  <c r="X1873" i="75" s="1"/>
  <c r="V1871" i="75"/>
  <c r="X1871" i="75" s="1"/>
  <c r="V1872" i="75"/>
  <c r="X1872" i="75" s="1"/>
  <c r="V1874" i="75"/>
  <c r="X1874" i="75" s="1"/>
  <c r="V1875" i="75"/>
  <c r="X1875" i="75" s="1"/>
  <c r="V1876" i="75"/>
  <c r="X1876" i="75" s="1"/>
  <c r="V1877" i="75"/>
  <c r="X1877" i="75" s="1"/>
  <c r="V1878" i="75"/>
  <c r="X1878" i="75" s="1"/>
  <c r="V1896" i="75"/>
  <c r="X1896" i="75" s="1"/>
  <c r="V1897" i="75"/>
  <c r="X1897" i="75" s="1"/>
  <c r="V1898" i="75"/>
  <c r="X1898" i="75" s="1"/>
  <c r="V1899" i="75"/>
  <c r="X1899" i="75" s="1"/>
  <c r="V1900" i="75"/>
  <c r="X1900" i="75" s="1"/>
  <c r="V1902" i="75"/>
  <c r="X1902" i="75" s="1"/>
  <c r="V1901" i="75"/>
  <c r="X1901" i="75" s="1"/>
  <c r="V1903" i="75"/>
  <c r="X1903" i="75" s="1"/>
  <c r="V1904" i="75"/>
  <c r="X1904" i="75" s="1"/>
  <c r="V1905" i="75"/>
  <c r="X1905" i="75" s="1"/>
  <c r="V1906" i="75"/>
  <c r="X1906" i="75" s="1"/>
  <c r="V1907" i="75"/>
  <c r="X1907" i="75" s="1"/>
  <c r="V1908" i="75"/>
  <c r="X1908" i="75" s="1"/>
  <c r="V1909" i="75"/>
  <c r="X1909" i="75" s="1"/>
  <c r="V1925" i="75"/>
  <c r="X1925" i="75" s="1"/>
  <c r="V1926" i="75"/>
  <c r="X1926" i="75" s="1"/>
  <c r="V1927" i="75"/>
  <c r="X1927" i="75" s="1"/>
  <c r="V1929" i="75"/>
  <c r="X1929" i="75" s="1"/>
  <c r="V1928" i="75"/>
  <c r="X1928" i="75" s="1"/>
  <c r="V1930" i="75"/>
  <c r="X1930" i="75" s="1"/>
  <c r="V1829" i="75"/>
  <c r="X1829" i="75" s="1"/>
  <c r="V1830" i="75"/>
  <c r="X1830" i="75" s="1"/>
  <c r="V1833" i="75"/>
  <c r="X1833" i="75" s="1"/>
  <c r="V1834" i="75"/>
  <c r="X1834" i="75" s="1"/>
  <c r="V1831" i="75"/>
  <c r="X1831" i="75" s="1"/>
  <c r="V1832" i="75"/>
  <c r="X1832" i="75" s="1"/>
  <c r="V1835" i="75"/>
  <c r="X1835" i="75" s="1"/>
  <c r="V1836" i="75"/>
  <c r="X1836" i="75" s="1"/>
  <c r="V1837" i="75"/>
  <c r="X1837" i="75" s="1"/>
  <c r="V1838" i="75"/>
  <c r="X1838" i="75" s="1"/>
  <c r="V1839" i="75"/>
  <c r="X1839" i="75" s="1"/>
  <c r="V1854" i="75"/>
  <c r="X1854" i="75" s="1"/>
  <c r="V1855" i="75"/>
  <c r="X1855" i="75" s="1"/>
  <c r="V1856" i="75"/>
  <c r="X1856" i="75" s="1"/>
  <c r="V1857" i="75"/>
  <c r="X1857" i="75" s="1"/>
  <c r="V1858" i="75"/>
  <c r="X1858" i="75" s="1"/>
  <c r="V1859" i="75"/>
  <c r="X1859" i="75" s="1"/>
  <c r="V1860" i="75"/>
  <c r="X1860" i="75" s="1"/>
  <c r="V1861" i="75"/>
  <c r="X1861" i="75" s="1"/>
  <c r="V1862" i="75"/>
  <c r="X1862" i="75" s="1"/>
  <c r="V1863" i="75"/>
  <c r="X1863" i="75" s="1"/>
  <c r="V1864" i="75"/>
  <c r="X1864" i="75" s="1"/>
  <c r="V1865" i="75"/>
  <c r="X1865" i="75" s="1"/>
  <c r="V1866" i="75"/>
  <c r="X1866" i="75" s="1"/>
  <c r="V1879" i="75"/>
  <c r="X1879" i="75" s="1"/>
  <c r="V1880" i="75"/>
  <c r="X1880" i="75" s="1"/>
  <c r="V1881" i="75"/>
  <c r="X1881" i="75" s="1"/>
  <c r="V1883" i="75"/>
  <c r="X1883" i="75" s="1"/>
  <c r="V1884" i="75"/>
  <c r="X1884" i="75" s="1"/>
  <c r="V1885" i="75"/>
  <c r="X1885" i="75" s="1"/>
  <c r="V1886" i="75"/>
  <c r="X1886" i="75" s="1"/>
  <c r="V1887" i="75"/>
  <c r="X1887" i="75" s="1"/>
  <c r="V1888" i="75"/>
  <c r="X1888" i="75" s="1"/>
  <c r="V1889" i="75"/>
  <c r="X1889" i="75" s="1"/>
  <c r="V1890" i="75"/>
  <c r="X1890" i="75" s="1"/>
  <c r="V1891" i="75"/>
  <c r="X1891" i="75" s="1"/>
  <c r="V1892" i="75"/>
  <c r="X1892" i="75" s="1"/>
  <c r="V1893" i="75"/>
  <c r="X1893" i="75" s="1"/>
  <c r="V1894" i="75"/>
  <c r="X1894" i="75" s="1"/>
  <c r="V1895" i="75"/>
  <c r="X1895" i="75" s="1"/>
  <c r="V1910" i="75"/>
  <c r="X1910" i="75" s="1"/>
  <c r="V1912" i="75"/>
  <c r="X1912" i="75" s="1"/>
  <c r="V1911" i="75"/>
  <c r="X1911" i="75" s="1"/>
  <c r="V1913" i="75"/>
  <c r="X1913" i="75" s="1"/>
  <c r="V1914" i="75"/>
  <c r="X1914" i="75" s="1"/>
  <c r="V1915" i="75"/>
  <c r="X1915" i="75" s="1"/>
  <c r="V1916" i="75"/>
  <c r="X1916" i="75" s="1"/>
  <c r="V1917" i="75"/>
  <c r="X1917" i="75" s="1"/>
  <c r="V1918" i="75"/>
  <c r="X1918" i="75" s="1"/>
  <c r="V1919" i="75"/>
  <c r="X1919" i="75" s="1"/>
  <c r="V1920" i="75"/>
  <c r="X1920" i="75" s="1"/>
  <c r="V1921" i="75"/>
  <c r="X1921" i="75" s="1"/>
  <c r="V1922" i="75"/>
  <c r="X1922" i="75" s="1"/>
  <c r="V1923" i="75"/>
  <c r="X1923" i="75" s="1"/>
  <c r="V1924" i="75"/>
  <c r="X1924" i="75" s="1"/>
  <c r="V1882" i="75"/>
  <c r="X1882" i="75" s="1"/>
  <c r="I2" i="75"/>
  <c r="I3" i="75"/>
  <c r="I4" i="75"/>
  <c r="I5" i="75"/>
  <c r="I6" i="75"/>
  <c r="I7" i="75"/>
  <c r="I8" i="75"/>
  <c r="I9" i="75"/>
  <c r="I10" i="75"/>
  <c r="I11" i="75"/>
  <c r="I12" i="75"/>
  <c r="I13" i="75"/>
  <c r="I14" i="75"/>
  <c r="I15" i="75"/>
  <c r="I16" i="75"/>
  <c r="I17" i="75"/>
  <c r="I18" i="75"/>
  <c r="I19" i="75"/>
  <c r="I20" i="75"/>
  <c r="I21" i="75"/>
  <c r="I22" i="75"/>
  <c r="I23" i="75"/>
  <c r="I24" i="75"/>
  <c r="I25" i="75"/>
  <c r="I26" i="75"/>
  <c r="I27" i="75"/>
  <c r="I28" i="75"/>
  <c r="I29" i="75"/>
  <c r="I30" i="75"/>
  <c r="I31" i="75"/>
  <c r="I32" i="75"/>
  <c r="I33" i="75"/>
  <c r="I34" i="75"/>
  <c r="I35" i="75"/>
  <c r="I36" i="75"/>
  <c r="I37" i="75"/>
  <c r="I38" i="75"/>
  <c r="I39" i="75"/>
  <c r="I40" i="75"/>
  <c r="I41" i="75"/>
  <c r="I42" i="75"/>
  <c r="I43" i="75"/>
  <c r="I44" i="75"/>
  <c r="I45" i="75"/>
  <c r="I46" i="75"/>
  <c r="I47" i="75"/>
  <c r="I48" i="75"/>
  <c r="I49" i="75"/>
  <c r="I50" i="75"/>
  <c r="I51" i="75"/>
  <c r="I52" i="75"/>
  <c r="I53" i="75"/>
  <c r="I54" i="75"/>
  <c r="I55" i="75"/>
  <c r="I56" i="75"/>
  <c r="I57" i="75"/>
  <c r="I58" i="75"/>
  <c r="I59" i="75"/>
  <c r="I60" i="75"/>
  <c r="I61" i="75"/>
  <c r="I62" i="75"/>
  <c r="I63" i="75"/>
  <c r="I64" i="75"/>
  <c r="I65" i="75"/>
  <c r="I66" i="75"/>
  <c r="I67" i="75"/>
  <c r="I68" i="75"/>
  <c r="I69" i="75"/>
  <c r="I70" i="75"/>
  <c r="I71" i="75"/>
  <c r="I72" i="75"/>
  <c r="I73" i="75"/>
  <c r="I74" i="75"/>
  <c r="I75" i="75"/>
  <c r="I76" i="75"/>
  <c r="I77" i="75"/>
  <c r="I78" i="75"/>
  <c r="I79" i="75"/>
  <c r="I80" i="75"/>
  <c r="I81" i="75"/>
  <c r="I82" i="75"/>
  <c r="I83" i="75"/>
  <c r="I84" i="75"/>
  <c r="I85" i="75"/>
  <c r="I86" i="75"/>
  <c r="I87" i="75"/>
  <c r="I88" i="75"/>
  <c r="I89" i="75"/>
  <c r="I90" i="75"/>
  <c r="I91" i="75"/>
  <c r="I92" i="75"/>
  <c r="I93" i="75"/>
  <c r="I94" i="75"/>
  <c r="I95" i="75"/>
  <c r="I96" i="75"/>
  <c r="I97" i="75"/>
  <c r="I98" i="75"/>
  <c r="I99" i="75"/>
  <c r="I100" i="75"/>
  <c r="I101" i="75"/>
  <c r="I102" i="75"/>
  <c r="I103" i="75"/>
  <c r="I104" i="75"/>
  <c r="I105" i="75"/>
  <c r="I106" i="75"/>
  <c r="I107" i="75"/>
  <c r="I108" i="75"/>
  <c r="I109" i="75"/>
  <c r="I110" i="75"/>
  <c r="I111" i="75"/>
  <c r="I112" i="75"/>
  <c r="I113" i="75"/>
  <c r="I114" i="75"/>
  <c r="I115" i="75"/>
  <c r="I116" i="75"/>
  <c r="I117" i="75"/>
  <c r="I118" i="75"/>
  <c r="I119" i="75"/>
  <c r="I120" i="75"/>
  <c r="I121" i="75"/>
  <c r="I122" i="75"/>
  <c r="I123" i="75"/>
  <c r="I124" i="75"/>
  <c r="I125" i="75"/>
  <c r="I126" i="75"/>
  <c r="I127" i="75"/>
  <c r="I128" i="75"/>
  <c r="I129" i="75"/>
  <c r="I130" i="75"/>
  <c r="I131" i="75"/>
  <c r="I132" i="75"/>
  <c r="I133" i="75"/>
  <c r="I134" i="75"/>
  <c r="I135" i="75"/>
  <c r="I136" i="75"/>
  <c r="I137" i="75"/>
  <c r="I138" i="75"/>
  <c r="I139" i="75"/>
  <c r="I140" i="75"/>
  <c r="I141" i="75"/>
  <c r="I142" i="75"/>
  <c r="I143" i="75"/>
  <c r="I144" i="75"/>
  <c r="I145" i="75"/>
  <c r="I146" i="75"/>
  <c r="I147" i="75"/>
  <c r="I148" i="75"/>
  <c r="I149" i="75"/>
  <c r="I150" i="75"/>
  <c r="I151" i="75"/>
  <c r="I152" i="75"/>
  <c r="I153" i="75"/>
  <c r="I154" i="75"/>
  <c r="I155" i="75"/>
  <c r="I156" i="75"/>
  <c r="I157" i="75"/>
  <c r="I158" i="75"/>
  <c r="I159" i="75"/>
  <c r="I160" i="75"/>
  <c r="I161" i="75"/>
  <c r="I162" i="75"/>
  <c r="I163" i="75"/>
  <c r="I164" i="75"/>
  <c r="I165" i="75"/>
  <c r="I166" i="75"/>
  <c r="I167" i="75"/>
  <c r="I168" i="75"/>
  <c r="I169" i="75"/>
  <c r="I170" i="75"/>
  <c r="I171" i="75"/>
  <c r="I172" i="75"/>
  <c r="I173" i="75"/>
  <c r="I174" i="75"/>
  <c r="I175" i="75"/>
  <c r="I176" i="75"/>
  <c r="I177" i="75"/>
  <c r="I178" i="75"/>
  <c r="I179" i="75"/>
  <c r="I180" i="75"/>
  <c r="I181" i="75"/>
  <c r="I182" i="75"/>
  <c r="I183" i="75"/>
  <c r="I184" i="75"/>
  <c r="I185" i="75"/>
  <c r="I186" i="75"/>
  <c r="I187" i="75"/>
  <c r="I188" i="75"/>
  <c r="I189" i="75"/>
  <c r="I190" i="75"/>
  <c r="I191" i="75"/>
  <c r="I192" i="75"/>
  <c r="I193" i="75"/>
  <c r="I194" i="75"/>
  <c r="I195" i="75"/>
  <c r="I196" i="75"/>
  <c r="I197" i="75"/>
  <c r="I198" i="75"/>
  <c r="I199" i="75"/>
  <c r="I200" i="75"/>
  <c r="I201" i="75"/>
  <c r="I202" i="75"/>
  <c r="I203" i="75"/>
  <c r="I204" i="75"/>
  <c r="I205" i="75"/>
  <c r="I206" i="75"/>
  <c r="I207" i="75"/>
  <c r="I208" i="75"/>
  <c r="I209" i="75"/>
  <c r="I210" i="75"/>
  <c r="I211" i="75"/>
  <c r="I212" i="75"/>
  <c r="I213" i="75"/>
  <c r="I214" i="75"/>
  <c r="I215" i="75"/>
  <c r="I216" i="75"/>
  <c r="I217" i="75"/>
  <c r="I218" i="75"/>
  <c r="I219" i="75"/>
  <c r="I220" i="75"/>
  <c r="I221" i="75"/>
  <c r="I222" i="75"/>
  <c r="I223" i="75"/>
  <c r="I224" i="75"/>
  <c r="I225" i="75"/>
  <c r="I226" i="75"/>
  <c r="I227" i="75"/>
  <c r="I228" i="75"/>
  <c r="I229" i="75"/>
  <c r="I230" i="75"/>
  <c r="I231" i="75"/>
  <c r="I232" i="75"/>
  <c r="I233" i="75"/>
  <c r="I234" i="75"/>
  <c r="I235" i="75"/>
  <c r="I236" i="75"/>
  <c r="I237" i="75"/>
  <c r="I238" i="75"/>
  <c r="I239" i="75"/>
  <c r="I240" i="75"/>
  <c r="I241" i="75"/>
  <c r="I242" i="75"/>
  <c r="I243" i="75"/>
  <c r="I244" i="75"/>
  <c r="I245" i="75"/>
  <c r="I246" i="75"/>
  <c r="I247" i="75"/>
  <c r="I248" i="75"/>
  <c r="I249" i="75"/>
  <c r="I250" i="75"/>
  <c r="I251" i="75"/>
  <c r="I252" i="75"/>
  <c r="I253" i="75"/>
  <c r="I254" i="75"/>
  <c r="I255" i="75"/>
  <c r="I256" i="75"/>
  <c r="I257" i="75"/>
  <c r="I258" i="75"/>
  <c r="I259" i="75"/>
  <c r="I260" i="75"/>
  <c r="I261" i="75"/>
  <c r="I262" i="75"/>
  <c r="I263" i="75"/>
  <c r="I264" i="75"/>
  <c r="I265" i="75"/>
  <c r="I266" i="75"/>
  <c r="I267" i="75"/>
  <c r="I268" i="75"/>
  <c r="I269" i="75"/>
  <c r="I270" i="75"/>
  <c r="I271" i="75"/>
  <c r="I272" i="75"/>
  <c r="I273" i="75"/>
  <c r="I274" i="75"/>
  <c r="I275" i="75"/>
  <c r="I276" i="75"/>
  <c r="I277" i="75"/>
  <c r="I278" i="75"/>
  <c r="I279" i="75"/>
  <c r="I280" i="75"/>
  <c r="I281" i="75"/>
  <c r="I282" i="75"/>
  <c r="I283" i="75"/>
  <c r="I284" i="75"/>
  <c r="I285" i="75"/>
  <c r="I286" i="75"/>
  <c r="I287" i="75"/>
  <c r="I288" i="75"/>
  <c r="I289" i="75"/>
  <c r="I290" i="75"/>
  <c r="I291" i="75"/>
  <c r="I292" i="75"/>
  <c r="I293" i="75"/>
  <c r="I294" i="75"/>
  <c r="I295" i="75"/>
  <c r="I296" i="75"/>
  <c r="I297" i="75"/>
  <c r="I298" i="75"/>
  <c r="I299" i="75"/>
  <c r="I300" i="75"/>
  <c r="I301" i="75"/>
  <c r="I302" i="75"/>
  <c r="I303" i="75"/>
  <c r="I304" i="75"/>
  <c r="I305" i="75"/>
  <c r="I306" i="75"/>
  <c r="I307" i="75"/>
  <c r="I308" i="75"/>
  <c r="I309" i="75"/>
  <c r="I310" i="75"/>
  <c r="I311" i="75"/>
  <c r="I312" i="75"/>
  <c r="I313" i="75"/>
  <c r="I314" i="75"/>
  <c r="I315" i="75"/>
  <c r="I316" i="75"/>
  <c r="I317" i="75"/>
  <c r="I318" i="75"/>
  <c r="I319" i="75"/>
  <c r="I320" i="75"/>
  <c r="I321" i="75"/>
  <c r="I322" i="75"/>
  <c r="I323" i="75"/>
  <c r="I324" i="75"/>
  <c r="I325" i="75"/>
  <c r="I326" i="75"/>
  <c r="I327" i="75"/>
  <c r="I328" i="75"/>
  <c r="I329" i="75"/>
  <c r="I330" i="75"/>
  <c r="I331" i="75"/>
  <c r="I332" i="75"/>
  <c r="I333" i="75"/>
  <c r="I334" i="75"/>
  <c r="I335" i="75"/>
  <c r="I336" i="75"/>
  <c r="I337" i="75"/>
  <c r="I338" i="75"/>
  <c r="I339" i="75"/>
  <c r="I340" i="75"/>
  <c r="I341" i="75"/>
  <c r="I342" i="75"/>
  <c r="I343" i="75"/>
  <c r="I344" i="75"/>
  <c r="I345" i="75"/>
  <c r="I346" i="75"/>
  <c r="I347" i="75"/>
  <c r="I348" i="75"/>
  <c r="I349" i="75"/>
  <c r="I350" i="75"/>
  <c r="I351" i="75"/>
  <c r="I352" i="75"/>
  <c r="I353" i="75"/>
  <c r="I354" i="75"/>
  <c r="I355" i="75"/>
  <c r="I356" i="75"/>
  <c r="I357" i="75"/>
  <c r="I358" i="75"/>
  <c r="I359" i="75"/>
  <c r="I360" i="75"/>
  <c r="I361" i="75"/>
  <c r="I362" i="75"/>
  <c r="I363" i="75"/>
  <c r="I364" i="75"/>
  <c r="I365" i="75"/>
  <c r="I366" i="75"/>
  <c r="I367" i="75"/>
  <c r="I368" i="75"/>
  <c r="I369" i="75"/>
  <c r="I370" i="75"/>
  <c r="I371" i="75"/>
  <c r="I372" i="75"/>
  <c r="I373" i="75"/>
  <c r="I374" i="75"/>
  <c r="I375" i="75"/>
  <c r="I376" i="75"/>
  <c r="I377" i="75"/>
  <c r="I378" i="75"/>
  <c r="I379" i="75"/>
  <c r="I380" i="75"/>
  <c r="I381" i="75"/>
  <c r="I382" i="75"/>
  <c r="I383" i="75"/>
  <c r="I384" i="75"/>
  <c r="I385" i="75"/>
  <c r="I386" i="75"/>
  <c r="I387" i="75"/>
  <c r="I388" i="75"/>
  <c r="I389" i="75"/>
  <c r="I390" i="75"/>
  <c r="I391" i="75"/>
  <c r="I392" i="75"/>
  <c r="I393" i="75"/>
  <c r="I394" i="75"/>
  <c r="I395" i="75"/>
  <c r="I396" i="75"/>
  <c r="I397" i="75"/>
  <c r="I398" i="75"/>
  <c r="I399" i="75"/>
  <c r="I400" i="75"/>
  <c r="I401" i="75"/>
  <c r="I402" i="75"/>
  <c r="I403" i="75"/>
  <c r="I404" i="75"/>
  <c r="I405" i="75"/>
  <c r="I406" i="75"/>
  <c r="I407" i="75"/>
  <c r="I408" i="75"/>
  <c r="I409" i="75"/>
  <c r="I410" i="75"/>
  <c r="I411" i="75"/>
  <c r="I412" i="75"/>
  <c r="I413" i="75"/>
  <c r="I414" i="75"/>
  <c r="I415" i="75"/>
  <c r="I416" i="75"/>
  <c r="I417" i="75"/>
  <c r="I418" i="75"/>
  <c r="I419" i="75"/>
  <c r="I420" i="75"/>
  <c r="I421" i="75"/>
  <c r="I422" i="75"/>
  <c r="I423" i="75"/>
  <c r="I424" i="75"/>
  <c r="I425" i="75"/>
  <c r="I426" i="75"/>
  <c r="I427" i="75"/>
  <c r="I428" i="75"/>
  <c r="I429" i="75"/>
  <c r="I430" i="75"/>
  <c r="I431" i="75"/>
  <c r="I432" i="75"/>
  <c r="I433" i="75"/>
  <c r="I434" i="75"/>
  <c r="I435" i="75"/>
  <c r="I436" i="75"/>
  <c r="I437" i="75"/>
  <c r="I438" i="75"/>
  <c r="I439" i="75"/>
  <c r="I440" i="75"/>
  <c r="I441" i="75"/>
  <c r="I442" i="75"/>
  <c r="I443" i="75"/>
  <c r="I444" i="75"/>
  <c r="I445" i="75"/>
  <c r="I446" i="75"/>
  <c r="I447" i="75"/>
  <c r="I448" i="75"/>
  <c r="I449" i="75"/>
  <c r="I450" i="75"/>
  <c r="I451" i="75"/>
  <c r="I452" i="75"/>
  <c r="I453" i="75"/>
  <c r="I454" i="75"/>
  <c r="I455" i="75"/>
  <c r="I456" i="75"/>
  <c r="I457" i="75"/>
  <c r="I458" i="75"/>
  <c r="I459" i="75"/>
  <c r="I460" i="75"/>
  <c r="I461" i="75"/>
  <c r="I462" i="75"/>
  <c r="I463" i="75"/>
  <c r="I464" i="75"/>
  <c r="I465" i="75"/>
  <c r="I466" i="75"/>
  <c r="I467" i="75"/>
  <c r="I468" i="75"/>
  <c r="I469" i="75"/>
  <c r="I470" i="75"/>
  <c r="I471" i="75"/>
  <c r="I472" i="75"/>
  <c r="I473" i="75"/>
  <c r="I474" i="75"/>
  <c r="I475" i="75"/>
  <c r="I476" i="75"/>
  <c r="I477" i="75"/>
  <c r="I478" i="75"/>
  <c r="I479" i="75"/>
  <c r="I480" i="75"/>
  <c r="I481" i="75"/>
  <c r="I482" i="75"/>
  <c r="I483" i="75"/>
  <c r="I484" i="75"/>
  <c r="I485" i="75"/>
  <c r="I486" i="75"/>
  <c r="I487" i="75"/>
  <c r="I488" i="75"/>
  <c r="I489" i="75"/>
  <c r="I490" i="75"/>
  <c r="I491" i="75"/>
  <c r="I492" i="75"/>
  <c r="I493" i="75"/>
  <c r="I494" i="75"/>
  <c r="I495" i="75"/>
  <c r="I496" i="75"/>
  <c r="I497" i="75"/>
  <c r="I498" i="75"/>
  <c r="I499" i="75"/>
  <c r="I500" i="75"/>
  <c r="I501" i="75"/>
  <c r="I502" i="75"/>
  <c r="I503" i="75"/>
  <c r="I504" i="75"/>
  <c r="I505" i="75"/>
  <c r="I506" i="75"/>
  <c r="I507" i="75"/>
  <c r="I508" i="75"/>
  <c r="I509" i="75"/>
  <c r="I510" i="75"/>
  <c r="I511" i="75"/>
  <c r="I512" i="75"/>
  <c r="I513" i="75"/>
  <c r="I514" i="75"/>
  <c r="I515" i="75"/>
  <c r="I516" i="75"/>
  <c r="I517" i="75"/>
  <c r="I518" i="75"/>
  <c r="I519" i="75"/>
  <c r="I520" i="75"/>
  <c r="I521" i="75"/>
  <c r="I522" i="75"/>
  <c r="I523" i="75"/>
  <c r="I524" i="75"/>
  <c r="I525" i="75"/>
  <c r="I526" i="75"/>
  <c r="I527" i="75"/>
  <c r="I528" i="75"/>
  <c r="I529" i="75"/>
  <c r="I530" i="75"/>
  <c r="I531" i="75"/>
  <c r="I532" i="75"/>
  <c r="I533" i="75"/>
  <c r="I534" i="75"/>
  <c r="I535" i="75"/>
  <c r="I536" i="75"/>
  <c r="I537" i="75"/>
  <c r="I538" i="75"/>
  <c r="I539" i="75"/>
  <c r="I540" i="75"/>
  <c r="I541" i="75"/>
  <c r="I542" i="75"/>
  <c r="I543" i="75"/>
  <c r="I544" i="75"/>
  <c r="I545" i="75"/>
  <c r="I546" i="75"/>
  <c r="I547" i="75"/>
  <c r="I548" i="75"/>
  <c r="I549" i="75"/>
  <c r="I550" i="75"/>
  <c r="I551" i="75"/>
  <c r="I552" i="75"/>
  <c r="I553" i="75"/>
  <c r="I554" i="75"/>
  <c r="I555" i="75"/>
  <c r="I556" i="75"/>
  <c r="I557" i="75"/>
  <c r="I558" i="75"/>
  <c r="I559" i="75"/>
  <c r="I560" i="75"/>
  <c r="I561" i="75"/>
  <c r="I562" i="75"/>
  <c r="I563" i="75"/>
  <c r="I564" i="75"/>
  <c r="I565" i="75"/>
  <c r="I566" i="75"/>
  <c r="I567" i="75"/>
  <c r="I568" i="75"/>
  <c r="I569" i="75"/>
  <c r="I570" i="75"/>
  <c r="I571" i="75"/>
  <c r="I572" i="75"/>
  <c r="I573" i="75"/>
  <c r="I574" i="75"/>
  <c r="I575" i="75"/>
  <c r="I576" i="75"/>
  <c r="I577" i="75"/>
  <c r="I578" i="75"/>
  <c r="I579" i="75"/>
  <c r="I580" i="75"/>
  <c r="I581" i="75"/>
  <c r="I582" i="75"/>
  <c r="I583" i="75"/>
  <c r="I584" i="75"/>
  <c r="I585" i="75"/>
  <c r="I586" i="75"/>
  <c r="I587" i="75"/>
  <c r="I588" i="75"/>
  <c r="I589" i="75"/>
  <c r="I590" i="75"/>
  <c r="I591" i="75"/>
  <c r="I592" i="75"/>
  <c r="I593" i="75"/>
  <c r="I594" i="75"/>
  <c r="I595" i="75"/>
  <c r="I596" i="75"/>
  <c r="I597" i="75"/>
  <c r="I598" i="75"/>
  <c r="I599" i="75"/>
  <c r="I600" i="75"/>
  <c r="I601" i="75"/>
  <c r="I602" i="75"/>
  <c r="I603" i="75"/>
  <c r="I604" i="75"/>
  <c r="I605" i="75"/>
  <c r="I606" i="75"/>
  <c r="I607" i="75"/>
  <c r="I608" i="75"/>
  <c r="I609" i="75"/>
  <c r="I610" i="75"/>
  <c r="I611" i="75"/>
  <c r="I612" i="75"/>
  <c r="I613" i="75"/>
  <c r="I614" i="75"/>
  <c r="I615" i="75"/>
  <c r="I616" i="75"/>
  <c r="I617" i="75"/>
  <c r="I618" i="75"/>
  <c r="I619" i="75"/>
  <c r="I620" i="75"/>
  <c r="I621" i="75"/>
  <c r="I622" i="75"/>
  <c r="I623" i="75"/>
  <c r="I624" i="75"/>
  <c r="I625" i="75"/>
  <c r="I626" i="75"/>
  <c r="I627" i="75"/>
  <c r="I628" i="75"/>
  <c r="I629" i="75"/>
  <c r="I630" i="75"/>
  <c r="I631" i="75"/>
  <c r="I632" i="75"/>
  <c r="I633" i="75"/>
  <c r="I634" i="75"/>
  <c r="I635" i="75"/>
  <c r="I636" i="75"/>
  <c r="I637" i="75"/>
  <c r="I638" i="75"/>
  <c r="I639" i="75"/>
  <c r="I640" i="75"/>
  <c r="I641" i="75"/>
  <c r="I642" i="75"/>
  <c r="I643" i="75"/>
  <c r="I644" i="75"/>
  <c r="I645" i="75"/>
  <c r="I646" i="75"/>
  <c r="I647" i="75"/>
  <c r="I648" i="75"/>
  <c r="I649" i="75"/>
  <c r="I650" i="75"/>
  <c r="I651" i="75"/>
  <c r="I652" i="75"/>
  <c r="I653" i="75"/>
  <c r="I654" i="75"/>
  <c r="I655" i="75"/>
  <c r="I656" i="75"/>
  <c r="I657" i="75"/>
  <c r="I658" i="75"/>
  <c r="I659" i="75"/>
  <c r="I660" i="75"/>
  <c r="I661" i="75"/>
  <c r="I662" i="75"/>
  <c r="I663" i="75"/>
  <c r="I664" i="75"/>
  <c r="I665" i="75"/>
  <c r="I666" i="75"/>
  <c r="I667" i="75"/>
  <c r="I668" i="75"/>
  <c r="I669" i="75"/>
  <c r="I670" i="75"/>
  <c r="I671" i="75"/>
  <c r="I672" i="75"/>
  <c r="I673" i="75"/>
  <c r="I674" i="75"/>
  <c r="I675" i="75"/>
  <c r="I676" i="75"/>
  <c r="I677" i="75"/>
  <c r="I678" i="75"/>
  <c r="I679" i="75"/>
  <c r="I680" i="75"/>
  <c r="I681" i="75"/>
  <c r="I682" i="75"/>
  <c r="I683" i="75"/>
  <c r="I684" i="75"/>
  <c r="I685" i="75"/>
  <c r="I686" i="75"/>
  <c r="I687" i="75"/>
  <c r="I688" i="75"/>
  <c r="I689" i="75"/>
  <c r="I690" i="75"/>
  <c r="I691" i="75"/>
  <c r="I692" i="75"/>
  <c r="I693" i="75"/>
  <c r="I694" i="75"/>
  <c r="I695" i="75"/>
  <c r="I696" i="75"/>
  <c r="I697" i="75"/>
  <c r="I698" i="75"/>
  <c r="I699" i="75"/>
  <c r="I700" i="75"/>
  <c r="I701" i="75"/>
  <c r="I702" i="75"/>
  <c r="I703" i="75"/>
  <c r="I704" i="75"/>
  <c r="I705" i="75"/>
  <c r="I706" i="75"/>
  <c r="I707" i="75"/>
  <c r="I708" i="75"/>
  <c r="I709" i="75"/>
  <c r="I710" i="75"/>
  <c r="I711" i="75"/>
  <c r="I712" i="75"/>
  <c r="I713" i="75"/>
  <c r="I714" i="75"/>
  <c r="I715" i="75"/>
  <c r="I716" i="75"/>
  <c r="I717" i="75"/>
  <c r="I718" i="75"/>
  <c r="I719" i="75"/>
  <c r="I720" i="75"/>
  <c r="I721" i="75"/>
  <c r="I722" i="75"/>
  <c r="I723" i="75"/>
  <c r="I724" i="75"/>
  <c r="I725" i="75"/>
  <c r="I726" i="75"/>
  <c r="I727" i="75"/>
  <c r="I728" i="75"/>
  <c r="I729" i="75"/>
  <c r="I730" i="75"/>
  <c r="I731" i="75"/>
  <c r="I732" i="75"/>
  <c r="I733" i="75"/>
  <c r="I734" i="75"/>
  <c r="I735" i="75"/>
  <c r="I736" i="75"/>
  <c r="I737" i="75"/>
  <c r="I738" i="75"/>
  <c r="I739" i="75"/>
  <c r="I740" i="75"/>
  <c r="I741" i="75"/>
  <c r="I742" i="75"/>
  <c r="I743" i="75"/>
  <c r="I744" i="75"/>
  <c r="I745" i="75"/>
  <c r="I746" i="75"/>
  <c r="I747" i="75"/>
  <c r="I748" i="75"/>
  <c r="I749" i="75"/>
  <c r="I750" i="75"/>
  <c r="I751" i="75"/>
  <c r="I752" i="75"/>
  <c r="I753" i="75"/>
  <c r="I754" i="75"/>
  <c r="I755" i="75"/>
  <c r="I756" i="75"/>
  <c r="I757" i="75"/>
  <c r="I758" i="75"/>
  <c r="I759" i="75"/>
  <c r="I760" i="75"/>
  <c r="I761" i="75"/>
  <c r="I762" i="75"/>
  <c r="I763" i="75"/>
  <c r="I764" i="75"/>
  <c r="I765" i="75"/>
  <c r="I766" i="75"/>
  <c r="I767" i="75"/>
  <c r="I768" i="75"/>
  <c r="I769" i="75"/>
  <c r="I770" i="75"/>
  <c r="I771" i="75"/>
  <c r="I772" i="75"/>
  <c r="I773" i="75"/>
  <c r="I774" i="75"/>
  <c r="I775" i="75"/>
  <c r="I776" i="75"/>
  <c r="I777" i="75"/>
  <c r="I778" i="75"/>
  <c r="I779" i="75"/>
  <c r="I780" i="75"/>
  <c r="I781" i="75"/>
  <c r="I782" i="75"/>
  <c r="I783" i="75"/>
  <c r="I784" i="75"/>
  <c r="I785" i="75"/>
  <c r="I786" i="75"/>
  <c r="I787" i="75"/>
  <c r="I788" i="75"/>
  <c r="I789" i="75"/>
  <c r="I790" i="75"/>
  <c r="I791" i="75"/>
  <c r="I792" i="75"/>
  <c r="I793" i="75"/>
  <c r="I794" i="75"/>
  <c r="I795" i="75"/>
  <c r="I796" i="75"/>
  <c r="I797" i="75"/>
  <c r="I798" i="75"/>
  <c r="I799" i="75"/>
  <c r="I800" i="75"/>
  <c r="I801" i="75"/>
  <c r="I802" i="75"/>
  <c r="I803" i="75"/>
  <c r="I804" i="75"/>
  <c r="I805" i="75"/>
  <c r="I806" i="75"/>
  <c r="I807" i="75"/>
  <c r="I808" i="75"/>
  <c r="I809" i="75"/>
  <c r="I810" i="75"/>
  <c r="I811" i="75"/>
  <c r="I812" i="75"/>
  <c r="I813" i="75"/>
  <c r="I814" i="75"/>
  <c r="I815" i="75"/>
  <c r="I816" i="75"/>
  <c r="I817" i="75"/>
  <c r="I818" i="75"/>
  <c r="I819" i="75"/>
  <c r="I820" i="75"/>
  <c r="I821" i="75"/>
  <c r="I822" i="75"/>
  <c r="I823" i="75"/>
  <c r="I824" i="75"/>
  <c r="I825" i="75"/>
  <c r="I826" i="75"/>
  <c r="I827" i="75"/>
  <c r="I828" i="75"/>
  <c r="I829" i="75"/>
  <c r="I830" i="75"/>
  <c r="I831" i="75"/>
  <c r="I832" i="75"/>
  <c r="I833" i="75"/>
  <c r="I834" i="75"/>
  <c r="I835" i="75"/>
  <c r="I836" i="75"/>
  <c r="I837" i="75"/>
  <c r="I838" i="75"/>
  <c r="I839" i="75"/>
  <c r="I840" i="75"/>
  <c r="I841" i="75"/>
  <c r="I842" i="75"/>
  <c r="I843" i="75"/>
  <c r="I844" i="75"/>
  <c r="I845" i="75"/>
  <c r="I846" i="75"/>
  <c r="I847" i="75"/>
  <c r="I848" i="75"/>
  <c r="I849" i="75"/>
  <c r="I850" i="75"/>
  <c r="I851" i="75"/>
  <c r="I852" i="75"/>
  <c r="I853" i="75"/>
  <c r="I854" i="75"/>
  <c r="I855" i="75"/>
  <c r="I856" i="75"/>
  <c r="I857" i="75"/>
  <c r="I858" i="75"/>
  <c r="I859" i="75"/>
  <c r="I860" i="75"/>
  <c r="I861" i="75"/>
  <c r="I862" i="75"/>
  <c r="I863" i="75"/>
  <c r="I864" i="75"/>
  <c r="I865" i="75"/>
  <c r="I866" i="75"/>
  <c r="I867" i="75"/>
  <c r="I868" i="75"/>
  <c r="I869" i="75"/>
  <c r="I870" i="75"/>
  <c r="I871" i="75"/>
  <c r="I872" i="75"/>
  <c r="I873" i="75"/>
  <c r="I874" i="75"/>
  <c r="I875" i="75"/>
  <c r="I876" i="75"/>
  <c r="I877" i="75"/>
  <c r="I878" i="75"/>
  <c r="I879" i="75"/>
  <c r="I880" i="75"/>
  <c r="I881" i="75"/>
  <c r="I882" i="75"/>
  <c r="I883" i="75"/>
  <c r="I884" i="75"/>
  <c r="I885" i="75"/>
  <c r="I886" i="75"/>
  <c r="I887" i="75"/>
  <c r="I888" i="75"/>
  <c r="I889" i="75"/>
  <c r="I890" i="75"/>
  <c r="I891" i="75"/>
  <c r="I892" i="75"/>
  <c r="I893" i="75"/>
  <c r="I894" i="75"/>
  <c r="I895" i="75"/>
  <c r="I896" i="75"/>
  <c r="I897" i="75"/>
  <c r="I898" i="75"/>
  <c r="I899" i="75"/>
  <c r="I900" i="75"/>
  <c r="I901" i="75"/>
  <c r="I902" i="75"/>
  <c r="I903" i="75"/>
  <c r="I904" i="75"/>
  <c r="I905" i="75"/>
  <c r="I906" i="75"/>
  <c r="I907" i="75"/>
  <c r="I908" i="75"/>
  <c r="I909" i="75"/>
  <c r="I910" i="75"/>
  <c r="I911" i="75"/>
  <c r="I912" i="75"/>
  <c r="I913" i="75"/>
  <c r="I914" i="75"/>
  <c r="I915" i="75"/>
  <c r="I916" i="75"/>
  <c r="I917" i="75"/>
  <c r="I918" i="75"/>
  <c r="I919" i="75"/>
  <c r="I920" i="75"/>
  <c r="I921" i="75"/>
  <c r="I922" i="75"/>
  <c r="I923" i="75"/>
  <c r="I924" i="75"/>
  <c r="I925" i="75"/>
  <c r="I926" i="75"/>
  <c r="I927" i="75"/>
  <c r="I928" i="75"/>
  <c r="I929" i="75"/>
  <c r="I930" i="75"/>
  <c r="I931" i="75"/>
  <c r="I932" i="75"/>
  <c r="I933" i="75"/>
  <c r="I934" i="75"/>
  <c r="I935" i="75"/>
  <c r="I936" i="75"/>
  <c r="I937" i="75"/>
  <c r="I938" i="75"/>
  <c r="I939" i="75"/>
  <c r="I940" i="75"/>
  <c r="I941" i="75"/>
  <c r="I942" i="75"/>
  <c r="I943" i="75"/>
  <c r="I944" i="75"/>
  <c r="I945" i="75"/>
  <c r="I946" i="75"/>
  <c r="I947" i="75"/>
  <c r="I948" i="75"/>
  <c r="I949" i="75"/>
  <c r="I950" i="75"/>
  <c r="I951" i="75"/>
  <c r="I952" i="75"/>
  <c r="I953" i="75"/>
  <c r="I954" i="75"/>
  <c r="I955" i="75"/>
  <c r="I956" i="75"/>
  <c r="I957" i="75"/>
  <c r="I958" i="75"/>
  <c r="I959" i="75"/>
  <c r="I960" i="75"/>
  <c r="I961" i="75"/>
  <c r="I962" i="75"/>
  <c r="I963" i="75"/>
  <c r="I964" i="75"/>
  <c r="I965" i="75"/>
  <c r="I966" i="75"/>
  <c r="I967" i="75"/>
  <c r="I968" i="75"/>
  <c r="I969" i="75"/>
  <c r="I970" i="75"/>
  <c r="I971" i="75"/>
  <c r="I972" i="75"/>
  <c r="I973" i="75"/>
  <c r="I974" i="75"/>
  <c r="I975" i="75"/>
  <c r="I976" i="75"/>
  <c r="I977" i="75"/>
  <c r="I978" i="75"/>
  <c r="I979" i="75"/>
  <c r="I980" i="75"/>
  <c r="I981" i="75"/>
  <c r="I982" i="75"/>
  <c r="I983" i="75"/>
  <c r="I984" i="75"/>
  <c r="I985" i="75"/>
  <c r="I986" i="75"/>
  <c r="I987" i="75"/>
  <c r="I988" i="75"/>
  <c r="I989" i="75"/>
  <c r="I990" i="75"/>
  <c r="I991" i="75"/>
  <c r="I992" i="75"/>
  <c r="I993" i="75"/>
  <c r="I994" i="75"/>
  <c r="I995" i="75"/>
  <c r="I996" i="75"/>
  <c r="I997" i="75"/>
  <c r="I998" i="75"/>
  <c r="I999" i="75"/>
  <c r="I1000" i="75"/>
  <c r="I1001" i="75"/>
  <c r="I1002" i="75"/>
  <c r="I1003" i="75"/>
  <c r="I1004" i="75"/>
  <c r="I1005" i="75"/>
  <c r="I1006" i="75"/>
  <c r="I1007" i="75"/>
  <c r="I1008" i="75"/>
  <c r="I1009" i="75"/>
  <c r="I1010" i="75"/>
  <c r="I1011" i="75"/>
  <c r="I1012" i="75"/>
  <c r="I1013" i="75"/>
  <c r="I1014" i="75"/>
  <c r="I1015" i="75"/>
  <c r="I1016" i="75"/>
  <c r="I1017" i="75"/>
  <c r="I1018" i="75"/>
  <c r="I1019" i="75"/>
  <c r="I1020" i="75"/>
  <c r="I1021" i="75"/>
  <c r="I1022" i="75"/>
  <c r="I1023" i="75"/>
  <c r="I1024" i="75"/>
  <c r="I1025" i="75"/>
  <c r="I1026" i="75"/>
  <c r="I1027" i="75"/>
  <c r="I1028" i="75"/>
  <c r="I1029" i="75"/>
  <c r="I1030" i="75"/>
  <c r="I1031" i="75"/>
  <c r="I1032" i="75"/>
  <c r="I1033" i="75"/>
  <c r="I1034" i="75"/>
  <c r="I1035" i="75"/>
  <c r="I1036" i="75"/>
  <c r="I1037" i="75"/>
  <c r="I1038" i="75"/>
  <c r="I1039" i="75"/>
  <c r="I1040" i="75"/>
  <c r="I1041" i="75"/>
  <c r="I1042" i="75"/>
  <c r="I1043" i="75"/>
  <c r="I1044" i="75"/>
  <c r="I1045" i="75"/>
  <c r="I1046" i="75"/>
  <c r="I1047" i="75"/>
  <c r="I1048" i="75"/>
  <c r="I1049" i="75"/>
  <c r="I1050" i="75"/>
  <c r="I1051" i="75"/>
  <c r="I1052" i="75"/>
  <c r="I1053" i="75"/>
  <c r="I1054" i="75"/>
  <c r="I1055" i="75"/>
  <c r="I1056" i="75"/>
  <c r="I1057" i="75"/>
  <c r="I1058" i="75"/>
  <c r="I1059" i="75"/>
  <c r="I1060" i="75"/>
  <c r="I1061" i="75"/>
  <c r="I1062" i="75"/>
  <c r="I1063" i="75"/>
  <c r="I1064" i="75"/>
  <c r="I1065" i="75"/>
  <c r="I1066" i="75"/>
  <c r="I1067" i="75"/>
  <c r="I1068" i="75"/>
  <c r="I1069" i="75"/>
  <c r="I1070" i="75"/>
  <c r="I1071" i="75"/>
  <c r="I1072" i="75"/>
  <c r="I1073" i="75"/>
  <c r="I1074" i="75"/>
  <c r="I1075" i="75"/>
  <c r="I1076" i="75"/>
  <c r="I1077" i="75"/>
  <c r="I1078" i="75"/>
  <c r="I1079" i="75"/>
  <c r="I1080" i="75"/>
  <c r="I1081" i="75"/>
  <c r="I1082" i="75"/>
  <c r="I1083" i="75"/>
  <c r="I1084" i="75"/>
  <c r="I1085" i="75"/>
  <c r="I1086" i="75"/>
  <c r="I1087" i="75"/>
  <c r="I1088" i="75"/>
  <c r="I1089" i="75"/>
  <c r="I1090" i="75"/>
  <c r="I1091" i="75"/>
  <c r="I1092" i="75"/>
  <c r="I1093" i="75"/>
  <c r="I1094" i="75"/>
  <c r="I1095" i="75"/>
  <c r="I1096" i="75"/>
  <c r="I1097" i="75"/>
  <c r="I1098" i="75"/>
  <c r="I1099" i="75"/>
  <c r="I1100" i="75"/>
  <c r="I1101" i="75"/>
  <c r="I1102" i="75"/>
  <c r="I1103" i="75"/>
  <c r="I1104" i="75"/>
  <c r="I1105" i="75"/>
  <c r="I1106" i="75"/>
  <c r="I1107" i="75"/>
  <c r="I1108" i="75"/>
  <c r="I1109" i="75"/>
  <c r="I1110" i="75"/>
  <c r="I1111" i="75"/>
  <c r="I1112" i="75"/>
  <c r="I1113" i="75"/>
  <c r="I1114" i="75"/>
  <c r="I1115" i="75"/>
  <c r="I1116" i="75"/>
  <c r="I1117" i="75"/>
  <c r="I1118" i="75"/>
  <c r="I1119" i="75"/>
  <c r="I1120" i="75"/>
  <c r="I1121" i="75"/>
  <c r="I1122" i="75"/>
  <c r="I1123" i="75"/>
  <c r="I1124" i="75"/>
  <c r="I1125" i="75"/>
  <c r="I1126" i="75"/>
  <c r="I1127" i="75"/>
  <c r="I1128" i="75"/>
  <c r="I1129" i="75"/>
  <c r="I1130" i="75"/>
  <c r="I1131" i="75"/>
  <c r="I1132" i="75"/>
  <c r="I1133" i="75"/>
  <c r="I1134" i="75"/>
  <c r="I1135" i="75"/>
  <c r="I1136" i="75"/>
  <c r="I1137" i="75"/>
  <c r="I1138" i="75"/>
  <c r="I1139" i="75"/>
  <c r="I1140" i="75"/>
  <c r="I1141" i="75"/>
  <c r="I1142" i="75"/>
  <c r="I1143" i="75"/>
  <c r="I1144" i="75"/>
  <c r="I1145" i="75"/>
  <c r="I1146" i="75"/>
  <c r="I1147" i="75"/>
  <c r="I1148" i="75"/>
  <c r="I1149" i="75"/>
  <c r="I1150" i="75"/>
  <c r="I1151" i="75"/>
  <c r="I1152" i="75"/>
  <c r="I1153" i="75"/>
  <c r="I1154" i="75"/>
  <c r="I1155" i="75"/>
  <c r="I1156" i="75"/>
  <c r="I1157" i="75"/>
  <c r="I1158" i="75"/>
  <c r="I1159" i="75"/>
  <c r="I1160" i="75"/>
  <c r="I1161" i="75"/>
  <c r="I1162" i="75"/>
  <c r="I1163" i="75"/>
  <c r="I1164" i="75"/>
  <c r="I1165" i="75"/>
  <c r="I1166" i="75"/>
  <c r="I1167" i="75"/>
  <c r="I1168" i="75"/>
  <c r="I1169" i="75"/>
  <c r="I1170" i="75"/>
  <c r="I1171" i="75"/>
  <c r="I1172" i="75"/>
  <c r="I1173" i="75"/>
  <c r="I1174" i="75"/>
  <c r="I1175" i="75"/>
  <c r="I1176" i="75"/>
  <c r="I1177" i="75"/>
  <c r="I1178" i="75"/>
  <c r="I1179" i="75"/>
  <c r="I1180" i="75"/>
  <c r="I1181" i="75"/>
  <c r="I1182" i="75"/>
  <c r="I1183" i="75"/>
  <c r="I1184" i="75"/>
  <c r="I1185" i="75"/>
  <c r="I1186" i="75"/>
  <c r="I1187" i="75"/>
  <c r="I1188" i="75"/>
  <c r="I1189" i="75"/>
  <c r="I1190" i="75"/>
  <c r="I1191" i="75"/>
  <c r="I1192" i="75"/>
  <c r="I1193" i="75"/>
  <c r="I1194" i="75"/>
  <c r="I1195" i="75"/>
  <c r="I1196" i="75"/>
  <c r="I1197" i="75"/>
  <c r="I1198" i="75"/>
  <c r="I1199" i="75"/>
  <c r="I1200" i="75"/>
  <c r="I1201" i="75"/>
  <c r="I1202" i="75"/>
  <c r="I1203" i="75"/>
  <c r="I1204" i="75"/>
  <c r="I1205" i="75"/>
  <c r="I1206" i="75"/>
  <c r="I1207" i="75"/>
  <c r="I1208" i="75"/>
  <c r="I1209" i="75"/>
  <c r="I1210" i="75"/>
  <c r="I1211" i="75"/>
  <c r="I1212" i="75"/>
  <c r="I1213" i="75"/>
  <c r="I1214" i="75"/>
  <c r="I1215" i="75"/>
  <c r="I1216" i="75"/>
  <c r="I1217" i="75"/>
  <c r="I1218" i="75"/>
  <c r="I1219" i="75"/>
  <c r="I1220" i="75"/>
  <c r="I1221" i="75"/>
  <c r="I1222" i="75"/>
  <c r="I1223" i="75"/>
  <c r="I1224" i="75"/>
  <c r="I1225" i="75"/>
  <c r="I1226" i="75"/>
  <c r="I1227" i="75"/>
  <c r="I1228" i="75"/>
  <c r="I1229" i="75"/>
  <c r="I1230" i="75"/>
  <c r="I1231" i="75"/>
  <c r="I1232" i="75"/>
  <c r="I1233" i="75"/>
  <c r="I1234" i="75"/>
  <c r="I1235" i="75"/>
  <c r="I1236" i="75"/>
  <c r="I1237" i="75"/>
  <c r="I1238" i="75"/>
  <c r="I1239" i="75"/>
  <c r="I1240" i="75"/>
  <c r="I1241" i="75"/>
  <c r="I1242" i="75"/>
  <c r="I1243" i="75"/>
  <c r="I1244" i="75"/>
  <c r="I1245" i="75"/>
  <c r="I1246" i="75"/>
  <c r="I1247" i="75"/>
  <c r="I1248" i="75"/>
  <c r="I1249" i="75"/>
  <c r="I1250" i="75"/>
  <c r="I1251" i="75"/>
  <c r="I1252" i="75"/>
  <c r="I1253" i="75"/>
  <c r="I1254" i="75"/>
  <c r="I1255" i="75"/>
  <c r="I1256" i="75"/>
  <c r="I1257" i="75"/>
  <c r="I1258" i="75"/>
  <c r="I1259" i="75"/>
  <c r="I1260" i="75"/>
  <c r="I1261" i="75"/>
  <c r="I1262" i="75"/>
  <c r="I1263" i="75"/>
  <c r="I1264" i="75"/>
  <c r="I1265" i="75"/>
  <c r="I1266" i="75"/>
  <c r="I1267" i="75"/>
  <c r="I1268" i="75"/>
  <c r="I1269" i="75"/>
  <c r="I1270" i="75"/>
  <c r="I1271" i="75"/>
  <c r="I1272" i="75"/>
  <c r="I1273" i="75"/>
  <c r="I1274" i="75"/>
  <c r="I1275" i="75"/>
  <c r="I1276" i="75"/>
  <c r="I1277" i="75"/>
  <c r="I1278" i="75"/>
  <c r="I1279" i="75"/>
  <c r="I1280" i="75"/>
  <c r="I1281" i="75"/>
  <c r="I1282" i="75"/>
  <c r="I1283" i="75"/>
  <c r="I1284" i="75"/>
  <c r="I1285" i="75"/>
  <c r="I1286" i="75"/>
  <c r="I1287" i="75"/>
  <c r="I1288" i="75"/>
  <c r="I1289" i="75"/>
  <c r="I1290" i="75"/>
  <c r="I1291" i="75"/>
  <c r="I1292" i="75"/>
  <c r="I1293" i="75"/>
  <c r="I1294" i="75"/>
  <c r="I1295" i="75"/>
  <c r="I1296" i="75"/>
  <c r="I1297" i="75"/>
  <c r="I1298" i="75"/>
  <c r="I1299" i="75"/>
  <c r="I1300" i="75"/>
  <c r="I1301" i="75"/>
  <c r="I1302" i="75"/>
  <c r="I1303" i="75"/>
  <c r="I1304" i="75"/>
  <c r="I1305" i="75"/>
  <c r="I1306" i="75"/>
  <c r="I1307" i="75"/>
  <c r="I1308" i="75"/>
  <c r="I1309" i="75"/>
  <c r="I1310" i="75"/>
  <c r="I1311" i="75"/>
  <c r="I1312" i="75"/>
  <c r="I1313" i="75"/>
  <c r="I1314" i="75"/>
  <c r="I1315" i="75"/>
  <c r="I1316" i="75"/>
  <c r="I1317" i="75"/>
  <c r="I1318" i="75"/>
  <c r="I1319" i="75"/>
  <c r="I1320" i="75"/>
  <c r="I1321" i="75"/>
  <c r="I1322" i="75"/>
  <c r="I1323" i="75"/>
  <c r="I1324" i="75"/>
  <c r="I1325" i="75"/>
  <c r="I1326" i="75"/>
  <c r="I1327" i="75"/>
  <c r="I1328" i="75"/>
  <c r="I1329" i="75"/>
  <c r="I1330" i="75"/>
  <c r="I1331" i="75"/>
  <c r="I1332" i="75"/>
  <c r="I1333" i="75"/>
  <c r="I1334" i="75"/>
  <c r="I1335" i="75"/>
  <c r="I1336" i="75"/>
  <c r="I1337" i="75"/>
  <c r="I1338" i="75"/>
  <c r="I1339" i="75"/>
  <c r="I1340" i="75"/>
  <c r="I1341" i="75"/>
  <c r="I1342" i="75"/>
  <c r="I1343" i="75"/>
  <c r="I1344" i="75"/>
  <c r="I1345" i="75"/>
  <c r="I1346" i="75"/>
  <c r="I1347" i="75"/>
  <c r="I1348" i="75"/>
  <c r="I1349" i="75"/>
  <c r="I1350" i="75"/>
  <c r="I1351" i="75"/>
  <c r="I1352" i="75"/>
  <c r="I1353" i="75"/>
  <c r="I1354" i="75"/>
  <c r="I1355" i="75"/>
  <c r="I1356" i="75"/>
  <c r="I1357" i="75"/>
  <c r="I1358" i="75"/>
  <c r="I1359" i="75"/>
  <c r="I1360" i="75"/>
  <c r="I1361" i="75"/>
  <c r="I1362" i="75"/>
  <c r="I1363" i="75"/>
  <c r="I1364" i="75"/>
  <c r="I1365" i="75"/>
  <c r="I1366" i="75"/>
  <c r="I1367" i="75"/>
  <c r="I1368" i="75"/>
  <c r="I1369" i="75"/>
  <c r="I1370" i="75"/>
  <c r="I1371" i="75"/>
  <c r="I1372" i="75"/>
  <c r="I1373" i="75"/>
  <c r="I1374" i="75"/>
  <c r="I1375" i="75"/>
  <c r="I1376" i="75"/>
  <c r="I1377" i="75"/>
  <c r="I1378" i="75"/>
  <c r="I1379" i="75"/>
  <c r="I1380" i="75"/>
  <c r="I1381" i="75"/>
  <c r="I1382" i="75"/>
  <c r="I1383" i="75"/>
  <c r="I1384" i="75"/>
  <c r="I1385" i="75"/>
  <c r="I1386" i="75"/>
  <c r="I1387" i="75"/>
  <c r="I1388" i="75"/>
  <c r="I1389" i="75"/>
  <c r="I1390" i="75"/>
  <c r="I1391" i="75"/>
  <c r="I1392" i="75"/>
  <c r="I1393" i="75"/>
  <c r="I1394" i="75"/>
  <c r="T1845" i="75"/>
  <c r="U1845" i="75" s="1"/>
  <c r="T1846" i="75"/>
  <c r="T1847" i="75"/>
  <c r="U1847" i="75" s="1"/>
  <c r="T1848" i="75"/>
  <c r="U1848" i="75" s="1"/>
  <c r="T1849" i="75"/>
  <c r="U1849" i="75" s="1"/>
  <c r="T1850" i="75"/>
  <c r="U1850" i="75" s="1"/>
  <c r="T1851" i="75"/>
  <c r="U1851" i="75" s="1"/>
  <c r="T1852" i="75"/>
  <c r="U1852" i="75" s="1"/>
  <c r="T1853" i="75"/>
  <c r="U1853" i="75" s="1"/>
  <c r="T1867" i="75"/>
  <c r="U1867" i="75" s="1"/>
  <c r="T1868" i="75"/>
  <c r="U1868" i="75" s="1"/>
  <c r="T1869" i="75"/>
  <c r="U1869" i="75" s="1"/>
  <c r="T1870" i="75"/>
  <c r="U1870" i="75" s="1"/>
  <c r="T1873" i="75"/>
  <c r="U1873" i="75" s="1"/>
  <c r="T1871" i="75"/>
  <c r="U1871" i="75" s="1"/>
  <c r="T1872" i="75"/>
  <c r="U1872" i="75" s="1"/>
  <c r="T1874" i="75"/>
  <c r="U1874" i="75" s="1"/>
  <c r="T1875" i="75"/>
  <c r="U1875" i="75" s="1"/>
  <c r="T1876" i="75"/>
  <c r="U1876" i="75" s="1"/>
  <c r="T1877" i="75"/>
  <c r="U1877" i="75" s="1"/>
  <c r="T1878" i="75"/>
  <c r="U1878" i="75" s="1"/>
  <c r="T1896" i="75"/>
  <c r="U1896" i="75" s="1"/>
  <c r="T1897" i="75"/>
  <c r="U1897" i="75" s="1"/>
  <c r="T1898" i="75"/>
  <c r="U1898" i="75" s="1"/>
  <c r="T1899" i="75"/>
  <c r="U1899" i="75" s="1"/>
  <c r="T1900" i="75"/>
  <c r="U1900" i="75" s="1"/>
  <c r="T1902" i="75"/>
  <c r="U1902" i="75" s="1"/>
  <c r="T1901" i="75"/>
  <c r="U1901" i="75" s="1"/>
  <c r="T1903" i="75"/>
  <c r="U1903" i="75" s="1"/>
  <c r="T1904" i="75"/>
  <c r="U1904" i="75" s="1"/>
  <c r="T1905" i="75"/>
  <c r="U1905" i="75" s="1"/>
  <c r="T1906" i="75"/>
  <c r="U1906" i="75" s="1"/>
  <c r="T1907" i="75"/>
  <c r="U1907" i="75" s="1"/>
  <c r="T1908" i="75"/>
  <c r="U1908" i="75" s="1"/>
  <c r="T1909" i="75"/>
  <c r="U1909" i="75" s="1"/>
  <c r="T1925" i="75"/>
  <c r="U1925" i="75" s="1"/>
  <c r="T1926" i="75"/>
  <c r="U1926" i="75" s="1"/>
  <c r="T1927" i="75"/>
  <c r="U1927" i="75" s="1"/>
  <c r="T1929" i="75"/>
  <c r="U1929" i="75" s="1"/>
  <c r="T1928" i="75"/>
  <c r="U1928" i="75" s="1"/>
  <c r="T1930" i="75"/>
  <c r="U1930" i="75" s="1"/>
  <c r="T1829" i="75"/>
  <c r="U1829" i="75" s="1"/>
  <c r="T1830" i="75"/>
  <c r="U1830" i="75" s="1"/>
  <c r="T1833" i="75"/>
  <c r="U1833" i="75" s="1"/>
  <c r="T1834" i="75"/>
  <c r="U1834" i="75" s="1"/>
  <c r="T1831" i="75"/>
  <c r="U1831" i="75" s="1"/>
  <c r="T1832" i="75"/>
  <c r="U1832" i="75" s="1"/>
  <c r="T1835" i="75"/>
  <c r="U1835" i="75" s="1"/>
  <c r="T1836" i="75"/>
  <c r="U1836" i="75" s="1"/>
  <c r="T1837" i="75"/>
  <c r="U1837" i="75" s="1"/>
  <c r="T1838" i="75"/>
  <c r="U1838" i="75" s="1"/>
  <c r="T1839" i="75"/>
  <c r="U1839" i="75" s="1"/>
  <c r="T1854" i="75"/>
  <c r="U1854" i="75" s="1"/>
  <c r="T1855" i="75"/>
  <c r="U1855" i="75" s="1"/>
  <c r="T1856" i="75"/>
  <c r="U1856" i="75" s="1"/>
  <c r="T1857" i="75"/>
  <c r="U1857" i="75" s="1"/>
  <c r="T1858" i="75"/>
  <c r="U1858" i="75" s="1"/>
  <c r="T1859" i="75"/>
  <c r="U1859" i="75" s="1"/>
  <c r="T1860" i="75"/>
  <c r="U1860" i="75" s="1"/>
  <c r="T1861" i="75"/>
  <c r="U1861" i="75" s="1"/>
  <c r="T1862" i="75"/>
  <c r="U1862" i="75" s="1"/>
  <c r="T1863" i="75"/>
  <c r="U1863" i="75" s="1"/>
  <c r="T1864" i="75"/>
  <c r="U1864" i="75" s="1"/>
  <c r="T1865" i="75"/>
  <c r="U1865" i="75" s="1"/>
  <c r="T1866" i="75"/>
  <c r="U1866" i="75" s="1"/>
  <c r="T1879" i="75"/>
  <c r="U1879" i="75" s="1"/>
  <c r="T1880" i="75"/>
  <c r="U1880" i="75" s="1"/>
  <c r="T1881" i="75"/>
  <c r="U1881" i="75" s="1"/>
  <c r="T1883" i="75"/>
  <c r="U1883" i="75" s="1"/>
  <c r="T1884" i="75"/>
  <c r="U1884" i="75" s="1"/>
  <c r="T1885" i="75"/>
  <c r="U1885" i="75" s="1"/>
  <c r="T1886" i="75"/>
  <c r="U1886" i="75" s="1"/>
  <c r="T1887" i="75"/>
  <c r="U1887" i="75" s="1"/>
  <c r="T1888" i="75"/>
  <c r="U1888" i="75" s="1"/>
  <c r="T1889" i="75"/>
  <c r="U1889" i="75" s="1"/>
  <c r="T1890" i="75"/>
  <c r="U1890" i="75" s="1"/>
  <c r="T1891" i="75"/>
  <c r="U1891" i="75" s="1"/>
  <c r="T1892" i="75"/>
  <c r="U1892" i="75" s="1"/>
  <c r="T1893" i="75"/>
  <c r="U1893" i="75" s="1"/>
  <c r="T1894" i="75"/>
  <c r="U1894" i="75" s="1"/>
  <c r="T1895" i="75"/>
  <c r="U1895" i="75" s="1"/>
  <c r="T1910" i="75"/>
  <c r="U1910" i="75" s="1"/>
  <c r="T1912" i="75"/>
  <c r="U1912" i="75" s="1"/>
  <c r="T1911" i="75"/>
  <c r="U1911" i="75" s="1"/>
  <c r="T1913" i="75"/>
  <c r="U1913" i="75" s="1"/>
  <c r="T1914" i="75"/>
  <c r="U1914" i="75" s="1"/>
  <c r="T1915" i="75"/>
  <c r="U1915" i="75" s="1"/>
  <c r="T1916" i="75"/>
  <c r="U1916" i="75" s="1"/>
  <c r="T1917" i="75"/>
  <c r="U1917" i="75" s="1"/>
  <c r="T1918" i="75"/>
  <c r="U1918" i="75" s="1"/>
  <c r="T1919" i="75"/>
  <c r="U1919" i="75" s="1"/>
  <c r="T1920" i="75"/>
  <c r="U1920" i="75" s="1"/>
  <c r="T1921" i="75"/>
  <c r="U1921" i="75" s="1"/>
  <c r="T1922" i="75"/>
  <c r="U1922" i="75" s="1"/>
  <c r="T1923" i="75"/>
  <c r="U1923" i="75" s="1"/>
  <c r="T1924" i="75"/>
  <c r="U1924" i="75" s="1"/>
  <c r="T1882" i="75"/>
  <c r="U1882" i="75" s="1"/>
  <c r="U1846" i="75"/>
  <c r="K34" i="82" l="1"/>
  <c r="K35" i="82"/>
  <c r="K36" i="82"/>
  <c r="L35" i="82"/>
  <c r="L36" i="82"/>
  <c r="L34" i="82"/>
  <c r="V709" i="7"/>
  <c r="L33" i="82"/>
  <c r="K33" i="82"/>
  <c r="K32" i="82"/>
  <c r="L32" i="82"/>
  <c r="K31" i="82"/>
  <c r="L31" i="82"/>
  <c r="C353" i="7"/>
  <c r="C371" i="7"/>
  <c r="C351" i="7"/>
  <c r="C401" i="7"/>
  <c r="C437" i="7"/>
  <c r="C369" i="7"/>
  <c r="C416" i="7"/>
  <c r="C400" i="7"/>
  <c r="C397" i="7"/>
  <c r="C340" i="7"/>
  <c r="C502" i="7"/>
  <c r="C421" i="7"/>
  <c r="C507" i="7"/>
  <c r="C523" i="7"/>
  <c r="C492" i="7"/>
  <c r="C457" i="7"/>
  <c r="C475" i="7"/>
  <c r="C473" i="7"/>
  <c r="C461" i="7"/>
  <c r="C445" i="7"/>
  <c r="C152" i="7"/>
  <c r="C157" i="7"/>
  <c r="C182" i="7"/>
  <c r="C191" i="7"/>
  <c r="C183" i="7"/>
  <c r="C185" i="7"/>
  <c r="C280" i="7"/>
  <c r="C208" i="7"/>
  <c r="C274" i="7"/>
  <c r="C188" i="7"/>
  <c r="C272" i="7"/>
  <c r="C224" i="7"/>
  <c r="C23" i="7"/>
  <c r="C295" i="7"/>
  <c r="C308" i="7"/>
  <c r="C138" i="7"/>
  <c r="C25" i="7"/>
  <c r="C77" i="7"/>
  <c r="C258" i="7"/>
  <c r="C314" i="7"/>
  <c r="C39" i="7"/>
  <c r="C449" i="7"/>
  <c r="C424" i="7"/>
  <c r="C430" i="7"/>
  <c r="C384" i="7"/>
  <c r="C378" i="7"/>
  <c r="C404" i="7"/>
  <c r="C391" i="7"/>
  <c r="C497" i="7"/>
  <c r="C426" i="7"/>
  <c r="C450" i="7"/>
  <c r="C480" i="7"/>
  <c r="C420" i="7"/>
  <c r="C510" i="7"/>
  <c r="C455" i="7"/>
  <c r="C431" i="7"/>
  <c r="C394" i="7"/>
  <c r="C417" i="7"/>
  <c r="C349" i="7"/>
  <c r="C495" i="7"/>
  <c r="C405" i="7"/>
  <c r="C403" i="7"/>
  <c r="C337" i="7"/>
  <c r="C367" i="7"/>
  <c r="C347" i="7"/>
  <c r="C377" i="7"/>
  <c r="C451" i="7"/>
  <c r="C389" i="7"/>
  <c r="C422" i="7"/>
  <c r="C435" i="7"/>
  <c r="C395" i="7"/>
  <c r="C503" i="7"/>
  <c r="C344" i="7"/>
  <c r="C385" i="7"/>
  <c r="C410" i="7"/>
  <c r="C334" i="7"/>
  <c r="C402" i="7"/>
  <c r="C528" i="7"/>
  <c r="C352" i="7"/>
  <c r="C383" i="7"/>
  <c r="C263" i="7"/>
  <c r="C425" i="7"/>
  <c r="C414" i="7"/>
  <c r="C374" i="7"/>
  <c r="C434" i="7"/>
  <c r="C428" i="7"/>
  <c r="C494" i="7"/>
  <c r="C418" i="7"/>
  <c r="C439" i="7"/>
  <c r="C447" i="7"/>
  <c r="C456" i="7"/>
  <c r="C381" i="7"/>
  <c r="C396" i="7"/>
  <c r="C364" i="7"/>
  <c r="C343" i="7"/>
  <c r="C338" i="7"/>
  <c r="C412" i="7"/>
  <c r="C489" i="7"/>
  <c r="C375" i="7"/>
  <c r="C399" i="7"/>
  <c r="C370" i="7"/>
  <c r="C471" i="7"/>
  <c r="C467" i="7"/>
  <c r="C522" i="7"/>
  <c r="C512" i="7"/>
  <c r="C458" i="7"/>
  <c r="C390" i="7"/>
  <c r="C464" i="7"/>
  <c r="C479" i="7"/>
  <c r="C478" i="7"/>
  <c r="AC571" i="7"/>
  <c r="C524" i="7"/>
  <c r="C446" i="7"/>
  <c r="C530" i="7"/>
  <c r="C153" i="7"/>
  <c r="C276" i="7"/>
  <c r="C193" i="7"/>
  <c r="C235" i="7"/>
  <c r="C248" i="7"/>
  <c r="C190" i="7"/>
  <c r="C240" i="7"/>
  <c r="C233" i="7"/>
  <c r="C211" i="7"/>
  <c r="C212" i="7"/>
  <c r="C122" i="7"/>
  <c r="C150" i="7"/>
  <c r="C236" i="7"/>
  <c r="C140" i="7"/>
  <c r="C145" i="7"/>
  <c r="C270" i="7"/>
  <c r="C91" i="7"/>
  <c r="C222" i="7"/>
  <c r="C36" i="7"/>
  <c r="C108" i="7"/>
  <c r="C156" i="7"/>
  <c r="C221" i="7"/>
  <c r="C301" i="7"/>
  <c r="C288" i="7"/>
  <c r="C205" i="7"/>
  <c r="C6" i="7"/>
  <c r="C135" i="7"/>
  <c r="C143" i="7"/>
  <c r="C137" i="7"/>
  <c r="C223" i="7"/>
  <c r="C134" i="7"/>
  <c r="C227" i="7"/>
  <c r="C54" i="7"/>
  <c r="C159" i="7"/>
  <c r="C148" i="7"/>
  <c r="C38" i="7"/>
  <c r="C323" i="7"/>
  <c r="C252" i="7"/>
  <c r="C68" i="7"/>
  <c r="C218" i="7"/>
  <c r="C328" i="7"/>
  <c r="C105" i="7"/>
  <c r="C178" i="7"/>
  <c r="C88" i="7"/>
  <c r="C83" i="7"/>
  <c r="C253" i="7"/>
  <c r="C61" i="7"/>
  <c r="C92" i="7"/>
  <c r="C199" i="7"/>
  <c r="C322" i="7"/>
  <c r="C11" i="7"/>
  <c r="C173" i="7"/>
  <c r="C297" i="7"/>
  <c r="C44" i="7"/>
  <c r="C104" i="7"/>
  <c r="C7" i="7"/>
  <c r="C287" i="7"/>
  <c r="C302" i="7"/>
  <c r="C291" i="7"/>
  <c r="C239" i="7"/>
  <c r="C298" i="7"/>
  <c r="C247" i="7"/>
  <c r="C172" i="7"/>
  <c r="C89" i="7"/>
  <c r="C407" i="7"/>
  <c r="C413" i="7"/>
  <c r="C491" i="7"/>
  <c r="C361" i="7"/>
  <c r="C499" i="7"/>
  <c r="C423" i="7"/>
  <c r="C452" i="7"/>
  <c r="C453" i="7"/>
  <c r="C526" i="7"/>
  <c r="C465" i="7"/>
  <c r="C525" i="7"/>
  <c r="C496" i="7"/>
  <c r="C518" i="7"/>
  <c r="C476" i="7"/>
  <c r="C508" i="7"/>
  <c r="C468" i="7"/>
  <c r="C515" i="7"/>
  <c r="C504" i="7"/>
  <c r="C466" i="7"/>
  <c r="C505" i="7"/>
  <c r="C210" i="7"/>
  <c r="C281" i="7"/>
  <c r="C232" i="7"/>
  <c r="C277" i="7"/>
  <c r="C187" i="7"/>
  <c r="C246" i="7"/>
  <c r="C273" i="7"/>
  <c r="C279" i="7"/>
  <c r="C241" i="7"/>
  <c r="C192" i="7"/>
  <c r="C284" i="7"/>
  <c r="C234" i="7"/>
  <c r="C282" i="7"/>
  <c r="C124" i="7"/>
  <c r="C3" i="7"/>
  <c r="C82" i="7"/>
  <c r="C81" i="7"/>
  <c r="C109" i="7"/>
  <c r="C113" i="7"/>
  <c r="C22" i="7"/>
  <c r="C289" i="7"/>
  <c r="C170" i="7"/>
  <c r="C43" i="7"/>
  <c r="C329" i="7"/>
  <c r="C111" i="7"/>
  <c r="C226" i="7"/>
  <c r="C129" i="7"/>
  <c r="C299" i="7"/>
  <c r="C231" i="7"/>
  <c r="C311" i="7"/>
  <c r="C94" i="7"/>
  <c r="C99" i="7"/>
  <c r="C204" i="7"/>
  <c r="C203" i="7"/>
  <c r="C202" i="7"/>
  <c r="C160" i="7"/>
  <c r="C197" i="7"/>
  <c r="C47" i="7"/>
  <c r="C285" i="7"/>
  <c r="C64" i="7"/>
  <c r="C268" i="7"/>
  <c r="C69" i="7"/>
  <c r="C45" i="7"/>
  <c r="C214" i="7"/>
  <c r="C158" i="7"/>
  <c r="C260" i="7"/>
  <c r="C304" i="7"/>
  <c r="C151" i="7"/>
  <c r="C327" i="7"/>
  <c r="C163" i="7"/>
  <c r="C16" i="7"/>
  <c r="C46" i="7"/>
  <c r="C165" i="7"/>
  <c r="C320" i="7"/>
  <c r="C62" i="7"/>
  <c r="C51" i="7"/>
  <c r="C259" i="7"/>
  <c r="C300" i="7"/>
  <c r="C200" i="7"/>
  <c r="C96" i="7"/>
  <c r="C267" i="7"/>
  <c r="C75" i="7"/>
  <c r="C310" i="7"/>
  <c r="C52" i="7"/>
  <c r="C127" i="7"/>
  <c r="AC570" i="7"/>
  <c r="AC567" i="7"/>
  <c r="AC566" i="7"/>
  <c r="K27" i="82"/>
  <c r="K29" i="82"/>
  <c r="K28" i="82"/>
  <c r="K30" i="82"/>
  <c r="AC516" i="7"/>
  <c r="AC520" i="7"/>
  <c r="AC533" i="7"/>
  <c r="AC527" i="7"/>
  <c r="L28" i="82" l="1"/>
  <c r="L30" i="82"/>
  <c r="L27" i="82"/>
  <c r="L29" i="82"/>
  <c r="AC575" i="7"/>
  <c r="AC578" i="7"/>
  <c r="AC572" i="7"/>
  <c r="AC581" i="7"/>
  <c r="AC573" i="7"/>
  <c r="AC574" i="7"/>
  <c r="AC580" i="7"/>
  <c r="AC576" i="7"/>
  <c r="AC583" i="7"/>
  <c r="AC579" i="7"/>
  <c r="N595" i="14"/>
  <c r="M595" i="14"/>
  <c r="I583" i="23"/>
  <c r="I582" i="23"/>
  <c r="I581" i="23"/>
  <c r="I580" i="23"/>
  <c r="I579" i="23"/>
  <c r="I578" i="23"/>
  <c r="I576" i="23"/>
  <c r="I574" i="23"/>
  <c r="I573" i="23"/>
  <c r="I572" i="23"/>
  <c r="I571" i="23"/>
  <c r="I570" i="23"/>
  <c r="I569" i="23"/>
  <c r="I568" i="23"/>
  <c r="I564" i="23"/>
  <c r="I563" i="23"/>
  <c r="I562" i="23"/>
  <c r="I561" i="23"/>
  <c r="I560" i="23"/>
  <c r="I559" i="23"/>
  <c r="I558" i="23"/>
  <c r="I557" i="23"/>
  <c r="I556" i="23"/>
  <c r="I555" i="23"/>
  <c r="I541" i="23"/>
  <c r="I540" i="23"/>
  <c r="I538" i="23"/>
  <c r="I537" i="23"/>
  <c r="I536" i="23"/>
  <c r="I535" i="23"/>
  <c r="I534" i="23"/>
  <c r="I533" i="23"/>
  <c r="I531" i="23"/>
  <c r="I530" i="23"/>
  <c r="I529" i="23"/>
  <c r="I528" i="23"/>
  <c r="I527" i="23"/>
  <c r="I526" i="23"/>
  <c r="I525" i="23"/>
  <c r="I524" i="23"/>
  <c r="I523" i="23"/>
  <c r="I522" i="23"/>
  <c r="I521" i="23"/>
  <c r="I520" i="23"/>
  <c r="I519" i="23"/>
  <c r="I518" i="23"/>
  <c r="I517" i="23"/>
  <c r="I516" i="23"/>
  <c r="I515" i="23"/>
  <c r="I514" i="23"/>
  <c r="I512" i="23"/>
  <c r="I511" i="23"/>
  <c r="I510" i="23"/>
  <c r="I509" i="23"/>
  <c r="I508" i="23"/>
  <c r="I507" i="23"/>
  <c r="I506" i="23"/>
  <c r="I505" i="23"/>
  <c r="I504" i="23"/>
  <c r="I503" i="23"/>
  <c r="I502" i="23"/>
  <c r="I501" i="23"/>
  <c r="I500" i="23"/>
  <c r="I499" i="23"/>
  <c r="I498" i="23"/>
  <c r="I497" i="23"/>
  <c r="I496" i="23"/>
  <c r="I495" i="23"/>
  <c r="I494" i="23"/>
  <c r="I493" i="23"/>
  <c r="I492" i="23"/>
  <c r="I491" i="23"/>
  <c r="I490" i="23"/>
  <c r="I489" i="23"/>
  <c r="I488" i="23"/>
  <c r="I487" i="23"/>
  <c r="I486" i="23"/>
  <c r="I485" i="23"/>
  <c r="I484" i="23"/>
  <c r="I483" i="23"/>
  <c r="I482" i="23"/>
  <c r="I481" i="23"/>
  <c r="I480" i="23"/>
  <c r="I479" i="23"/>
  <c r="I478" i="23"/>
  <c r="I477" i="23"/>
  <c r="I476" i="23"/>
  <c r="I475" i="23"/>
  <c r="I474" i="23"/>
  <c r="I473" i="23"/>
  <c r="I472" i="23"/>
  <c r="I471" i="23"/>
  <c r="I470" i="23"/>
  <c r="I469" i="23"/>
  <c r="I468" i="23"/>
  <c r="I467" i="23"/>
  <c r="I466" i="23"/>
  <c r="I465" i="23"/>
  <c r="I464" i="23"/>
  <c r="I463" i="23"/>
  <c r="I462" i="23"/>
  <c r="I461" i="23"/>
  <c r="I460" i="23"/>
  <c r="I459" i="23"/>
  <c r="I458" i="23"/>
  <c r="I457" i="23"/>
  <c r="I456" i="23"/>
  <c r="I455" i="23"/>
  <c r="I453" i="23"/>
  <c r="I452" i="23"/>
  <c r="I451" i="23"/>
  <c r="I449" i="23"/>
  <c r="I448" i="23"/>
  <c r="I447" i="23"/>
  <c r="I446" i="23"/>
  <c r="I445" i="23"/>
  <c r="I444" i="23"/>
  <c r="I443" i="23"/>
  <c r="I442" i="23"/>
  <c r="I441" i="23"/>
  <c r="I440" i="23"/>
  <c r="I438" i="23"/>
  <c r="I437" i="23"/>
  <c r="I436" i="23"/>
  <c r="I435" i="23"/>
  <c r="I433" i="23"/>
  <c r="I432" i="23"/>
  <c r="I431" i="23"/>
  <c r="I430" i="23"/>
  <c r="I429" i="23"/>
  <c r="I428" i="23"/>
  <c r="I427" i="23"/>
  <c r="I426" i="23"/>
  <c r="I425" i="23"/>
  <c r="I424" i="23"/>
  <c r="I423" i="23"/>
  <c r="I422" i="23"/>
  <c r="I420" i="23"/>
  <c r="I419" i="23"/>
  <c r="I418" i="23"/>
  <c r="I417" i="23"/>
  <c r="I416" i="23"/>
  <c r="I415" i="23"/>
  <c r="I414" i="23"/>
  <c r="I413" i="23"/>
  <c r="I412" i="23"/>
  <c r="I411" i="23"/>
  <c r="I410" i="23"/>
  <c r="I409" i="23"/>
  <c r="I408" i="23"/>
  <c r="I407" i="23"/>
  <c r="I406" i="23"/>
  <c r="I405" i="23"/>
  <c r="I404" i="23"/>
  <c r="I403" i="23"/>
  <c r="I402" i="23"/>
  <c r="I401" i="23"/>
  <c r="I400" i="23"/>
  <c r="I399" i="23"/>
  <c r="I398" i="23"/>
  <c r="I397" i="23"/>
  <c r="I396" i="23"/>
  <c r="I395" i="23"/>
  <c r="I394" i="23"/>
  <c r="I393" i="23"/>
  <c r="I392" i="23"/>
  <c r="I391" i="23"/>
  <c r="I390" i="23"/>
  <c r="I389" i="23"/>
  <c r="I388" i="23"/>
  <c r="I387" i="23"/>
  <c r="I386" i="23"/>
  <c r="I385" i="23"/>
  <c r="I384" i="23"/>
  <c r="I383" i="23"/>
  <c r="I382" i="23"/>
  <c r="I381" i="23"/>
  <c r="I380" i="23"/>
  <c r="I379" i="23"/>
  <c r="I378" i="23"/>
  <c r="I377" i="23"/>
  <c r="I376" i="23"/>
  <c r="I375" i="23"/>
  <c r="I374" i="23"/>
  <c r="I373" i="23"/>
  <c r="I372" i="23"/>
  <c r="I371" i="23"/>
  <c r="I370" i="23"/>
  <c r="I369" i="23"/>
  <c r="I368" i="23"/>
  <c r="I367" i="23"/>
  <c r="I366" i="23"/>
  <c r="I365" i="23"/>
  <c r="I364" i="23"/>
  <c r="I363" i="23"/>
  <c r="I362" i="23"/>
  <c r="I361" i="23"/>
  <c r="I360" i="23"/>
  <c r="I359" i="23"/>
  <c r="I358" i="23"/>
  <c r="I356" i="23"/>
  <c r="I355" i="23"/>
  <c r="I354" i="23"/>
  <c r="I353" i="23"/>
  <c r="I352" i="23"/>
  <c r="I351" i="23"/>
  <c r="I350" i="23"/>
  <c r="I349" i="23"/>
  <c r="I348" i="23"/>
  <c r="I347" i="23"/>
  <c r="I346" i="23"/>
  <c r="I345" i="23"/>
  <c r="I344" i="23"/>
  <c r="I343" i="23"/>
  <c r="I342" i="23"/>
  <c r="I340" i="23"/>
  <c r="I339" i="23"/>
  <c r="I336" i="23"/>
  <c r="I335" i="23"/>
  <c r="I334" i="23"/>
  <c r="I333" i="23"/>
  <c r="I332" i="23"/>
  <c r="I331" i="23"/>
  <c r="I330" i="23"/>
  <c r="I329" i="23"/>
  <c r="I328" i="23"/>
  <c r="I327" i="23"/>
  <c r="I326" i="23"/>
  <c r="I325" i="23"/>
  <c r="I324" i="23"/>
  <c r="I323" i="23"/>
  <c r="I322" i="23"/>
  <c r="I321" i="23"/>
  <c r="I320" i="23"/>
  <c r="I319" i="23"/>
  <c r="I318" i="23"/>
  <c r="I317" i="23"/>
  <c r="I316" i="23"/>
  <c r="I315" i="23"/>
  <c r="I314" i="23"/>
  <c r="I313" i="23"/>
  <c r="I312" i="23"/>
  <c r="I311" i="23"/>
  <c r="I310" i="23"/>
  <c r="I309" i="23"/>
  <c r="I308" i="23"/>
  <c r="I307" i="23"/>
  <c r="I305" i="23"/>
  <c r="I304" i="23"/>
  <c r="I303" i="23"/>
  <c r="I302" i="23"/>
  <c r="I301" i="23"/>
  <c r="I300" i="23"/>
  <c r="I299" i="23"/>
  <c r="I298" i="23"/>
  <c r="I297" i="23"/>
  <c r="I295" i="23"/>
  <c r="I294" i="23"/>
  <c r="I293" i="23"/>
  <c r="I292" i="23"/>
  <c r="I291" i="23"/>
  <c r="I290" i="23"/>
  <c r="I289" i="23"/>
  <c r="I288" i="23"/>
  <c r="I287" i="23"/>
  <c r="I286" i="23"/>
  <c r="I285" i="23"/>
  <c r="I284" i="23"/>
  <c r="I283" i="23"/>
  <c r="I282" i="23"/>
  <c r="I281" i="23"/>
  <c r="I280" i="23"/>
  <c r="I279" i="23"/>
  <c r="I278" i="23"/>
  <c r="I277" i="23"/>
  <c r="I276" i="23"/>
  <c r="I275" i="23"/>
  <c r="I274" i="23"/>
  <c r="I273" i="23"/>
  <c r="I272" i="23"/>
  <c r="I271" i="23"/>
  <c r="I270" i="23"/>
  <c r="I269" i="23"/>
  <c r="I268" i="23"/>
  <c r="I267" i="23"/>
  <c r="I266" i="23"/>
  <c r="I265" i="23"/>
  <c r="I264" i="23"/>
  <c r="I263" i="23"/>
  <c r="I262" i="23"/>
  <c r="I261" i="23"/>
  <c r="I260" i="23"/>
  <c r="I259" i="23"/>
  <c r="I258" i="23"/>
  <c r="I257" i="23"/>
  <c r="I256" i="23"/>
  <c r="I255" i="23"/>
  <c r="I254" i="23"/>
  <c r="I253" i="23"/>
  <c r="I252" i="23"/>
  <c r="I244" i="23"/>
  <c r="I243" i="23"/>
  <c r="I242" i="23"/>
  <c r="I241" i="23"/>
  <c r="I240" i="23"/>
  <c r="I239" i="23"/>
  <c r="I238" i="23"/>
  <c r="I237" i="23"/>
  <c r="I236" i="23"/>
  <c r="I235" i="23"/>
  <c r="I234" i="23"/>
  <c r="I232" i="23"/>
  <c r="I231" i="23"/>
  <c r="I230" i="23"/>
  <c r="I228" i="23"/>
  <c r="I227" i="23"/>
  <c r="I226" i="23"/>
  <c r="I225" i="23"/>
  <c r="I224" i="23"/>
  <c r="I223" i="23"/>
  <c r="I222" i="23"/>
  <c r="I220" i="23"/>
  <c r="I219" i="23"/>
  <c r="I218" i="23"/>
  <c r="I217" i="23"/>
  <c r="I216" i="23"/>
  <c r="I215" i="23"/>
  <c r="I214" i="23"/>
  <c r="I213" i="23"/>
  <c r="I212" i="23"/>
  <c r="I211" i="23"/>
  <c r="I210" i="23"/>
  <c r="I209" i="23"/>
  <c r="I208" i="23"/>
  <c r="I207" i="23"/>
  <c r="I206" i="23"/>
  <c r="I205" i="23"/>
  <c r="I204" i="23"/>
  <c r="I203" i="23"/>
  <c r="I202" i="23"/>
  <c r="I201" i="23"/>
  <c r="I200" i="23"/>
  <c r="I199" i="23"/>
  <c r="I198" i="23"/>
  <c r="I197" i="23"/>
  <c r="I196" i="23"/>
  <c r="I195" i="23"/>
  <c r="I194" i="23"/>
  <c r="I193" i="23"/>
  <c r="I192" i="23"/>
  <c r="I191" i="23"/>
  <c r="I190" i="23"/>
  <c r="I189" i="23"/>
  <c r="I188" i="23"/>
  <c r="I187" i="23"/>
  <c r="I186" i="23"/>
  <c r="I185" i="23"/>
  <c r="I184" i="23"/>
  <c r="I183" i="23"/>
  <c r="I181" i="23"/>
  <c r="I180" i="23"/>
  <c r="I179" i="23"/>
  <c r="I176" i="23"/>
  <c r="I175" i="23"/>
  <c r="I174" i="23"/>
  <c r="I172" i="23"/>
  <c r="I171" i="23"/>
  <c r="I170" i="23"/>
  <c r="I169" i="23"/>
  <c r="I168" i="23"/>
  <c r="I167" i="23"/>
  <c r="I166" i="23"/>
  <c r="I165" i="23"/>
  <c r="I163" i="23"/>
  <c r="I162" i="23"/>
  <c r="I161" i="23"/>
  <c r="I160" i="23"/>
  <c r="I159" i="23"/>
  <c r="I158" i="23"/>
  <c r="I157" i="23"/>
  <c r="I156" i="23"/>
  <c r="I155" i="23"/>
  <c r="I154" i="23"/>
  <c r="I153" i="23"/>
  <c r="I152" i="23"/>
  <c r="I151" i="23"/>
  <c r="I150" i="23"/>
  <c r="I149" i="23"/>
  <c r="I148" i="23"/>
  <c r="I146" i="23"/>
  <c r="I145" i="23"/>
  <c r="I144" i="23"/>
  <c r="I143" i="23"/>
  <c r="I142" i="23"/>
  <c r="I141" i="23"/>
  <c r="I140" i="23"/>
  <c r="I139" i="23"/>
  <c r="I137" i="23"/>
  <c r="I135" i="23"/>
  <c r="I134" i="23"/>
  <c r="I133" i="23"/>
  <c r="I132" i="23"/>
  <c r="I131" i="23"/>
  <c r="I130" i="23"/>
  <c r="I129" i="23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AC456" i="7"/>
  <c r="AC441" i="7"/>
  <c r="AC464" i="7"/>
  <c r="AC414" i="7"/>
  <c r="AC443" i="7"/>
  <c r="AC418" i="7"/>
  <c r="AC439" i="7"/>
  <c r="I12" i="83"/>
  <c r="L43" i="74"/>
  <c r="M42" i="74"/>
  <c r="K42" i="74"/>
  <c r="J42" i="74"/>
  <c r="H42" i="74"/>
  <c r="G42" i="74"/>
  <c r="M41" i="74"/>
  <c r="K41" i="74"/>
  <c r="J41" i="74"/>
  <c r="H41" i="74"/>
  <c r="G41" i="74"/>
  <c r="M40" i="74"/>
  <c r="K40" i="74"/>
  <c r="J40" i="74"/>
  <c r="H40" i="74"/>
  <c r="G40" i="74"/>
  <c r="M39" i="74"/>
  <c r="K39" i="74"/>
  <c r="J39" i="74"/>
  <c r="H39" i="74"/>
  <c r="G39" i="74"/>
  <c r="M38" i="74"/>
  <c r="K38" i="74"/>
  <c r="J38" i="74"/>
  <c r="H38" i="74"/>
  <c r="G38" i="74"/>
  <c r="M37" i="74"/>
  <c r="K37" i="74"/>
  <c r="J37" i="74"/>
  <c r="H37" i="74"/>
  <c r="G37" i="74"/>
  <c r="M36" i="74"/>
  <c r="K36" i="74"/>
  <c r="J36" i="74"/>
  <c r="H36" i="74"/>
  <c r="G36" i="74"/>
  <c r="M35" i="74"/>
  <c r="K35" i="74"/>
  <c r="J35" i="74"/>
  <c r="H35" i="74"/>
  <c r="G35" i="74"/>
  <c r="M34" i="74"/>
  <c r="K34" i="74"/>
  <c r="J34" i="74"/>
  <c r="H34" i="74"/>
  <c r="G34" i="74"/>
  <c r="M33" i="74"/>
  <c r="K33" i="74"/>
  <c r="J33" i="74"/>
  <c r="H33" i="74"/>
  <c r="G33" i="74"/>
  <c r="M32" i="74"/>
  <c r="K32" i="74"/>
  <c r="J32" i="74"/>
  <c r="H32" i="74"/>
  <c r="G32" i="74"/>
  <c r="M31" i="74"/>
  <c r="K31" i="74"/>
  <c r="J31" i="74"/>
  <c r="H31" i="74"/>
  <c r="G31" i="74"/>
  <c r="M30" i="74"/>
  <c r="K30" i="74"/>
  <c r="J30" i="74"/>
  <c r="H30" i="74"/>
  <c r="G30" i="74"/>
  <c r="M29" i="74"/>
  <c r="K29" i="74"/>
  <c r="J29" i="74"/>
  <c r="H29" i="74"/>
  <c r="G29" i="74"/>
  <c r="M28" i="74"/>
  <c r="K28" i="74"/>
  <c r="J28" i="74"/>
  <c r="H28" i="74"/>
  <c r="G28" i="74"/>
  <c r="M27" i="74"/>
  <c r="K27" i="74"/>
  <c r="J27" i="74"/>
  <c r="H27" i="74"/>
  <c r="G27" i="74"/>
  <c r="M26" i="74"/>
  <c r="K26" i="74"/>
  <c r="J26" i="74"/>
  <c r="H26" i="74"/>
  <c r="G26" i="74"/>
  <c r="M25" i="74"/>
  <c r="K25" i="74"/>
  <c r="J25" i="74"/>
  <c r="H25" i="74"/>
  <c r="G25" i="74"/>
  <c r="M24" i="74"/>
  <c r="K24" i="74"/>
  <c r="J24" i="74"/>
  <c r="H24" i="74"/>
  <c r="G24" i="74"/>
  <c r="M23" i="74"/>
  <c r="K23" i="74"/>
  <c r="J23" i="74"/>
  <c r="H23" i="74"/>
  <c r="G23" i="74"/>
  <c r="M22" i="74"/>
  <c r="K22" i="74"/>
  <c r="J22" i="74"/>
  <c r="H22" i="74"/>
  <c r="G22" i="74"/>
  <c r="M21" i="74"/>
  <c r="K21" i="74"/>
  <c r="J21" i="74"/>
  <c r="H21" i="74"/>
  <c r="G21" i="74"/>
  <c r="M20" i="74"/>
  <c r="K20" i="74"/>
  <c r="J20" i="74"/>
  <c r="H20" i="74"/>
  <c r="G20" i="74"/>
  <c r="M19" i="74"/>
  <c r="K19" i="74"/>
  <c r="J19" i="74"/>
  <c r="H19" i="74"/>
  <c r="G19" i="74"/>
  <c r="M18" i="74"/>
  <c r="K18" i="74"/>
  <c r="J18" i="74"/>
  <c r="H18" i="74"/>
  <c r="G18" i="74"/>
  <c r="M17" i="74"/>
  <c r="K17" i="74"/>
  <c r="J17" i="74"/>
  <c r="H17" i="74"/>
  <c r="G17" i="74"/>
  <c r="M16" i="74"/>
  <c r="K16" i="74"/>
  <c r="J16" i="74"/>
  <c r="H16" i="74"/>
  <c r="G16" i="74"/>
  <c r="M15" i="74"/>
  <c r="K15" i="74"/>
  <c r="J15" i="74"/>
  <c r="H15" i="74"/>
  <c r="G15" i="74"/>
  <c r="M14" i="74"/>
  <c r="K14" i="74"/>
  <c r="J14" i="74"/>
  <c r="H14" i="74"/>
  <c r="G14" i="74"/>
  <c r="M13" i="74"/>
  <c r="K13" i="74"/>
  <c r="J13" i="74"/>
  <c r="H13" i="74"/>
  <c r="G13" i="74"/>
  <c r="M12" i="74"/>
  <c r="K12" i="74"/>
  <c r="J12" i="74"/>
  <c r="I12" i="74"/>
  <c r="H12" i="74"/>
  <c r="G12" i="74"/>
  <c r="M11" i="74"/>
  <c r="K11" i="74"/>
  <c r="J11" i="74"/>
  <c r="H11" i="74"/>
  <c r="G11" i="74"/>
  <c r="M10" i="74"/>
  <c r="K10" i="74"/>
  <c r="J10" i="74"/>
  <c r="H10" i="74"/>
  <c r="G10" i="74"/>
  <c r="M9" i="74"/>
  <c r="K9" i="74"/>
  <c r="J9" i="74"/>
  <c r="H9" i="74"/>
  <c r="G9" i="74"/>
  <c r="M8" i="74"/>
  <c r="K8" i="74"/>
  <c r="J8" i="74"/>
  <c r="I8" i="74"/>
  <c r="H8" i="74"/>
  <c r="G8" i="74"/>
  <c r="M7" i="74"/>
  <c r="K7" i="74"/>
  <c r="J7" i="74"/>
  <c r="I7" i="74"/>
  <c r="H7" i="74"/>
  <c r="G7" i="74"/>
  <c r="M6" i="74"/>
  <c r="K6" i="74"/>
  <c r="J6" i="74"/>
  <c r="I6" i="74"/>
  <c r="H6" i="74"/>
  <c r="G6" i="74"/>
  <c r="M5" i="74"/>
  <c r="K5" i="74"/>
  <c r="J5" i="74"/>
  <c r="I5" i="74"/>
  <c r="H5" i="74"/>
  <c r="G5" i="74"/>
  <c r="M4" i="74"/>
  <c r="K4" i="74"/>
  <c r="J4" i="74"/>
  <c r="I4" i="74"/>
  <c r="H4" i="74"/>
  <c r="G4" i="74"/>
  <c r="M3" i="74"/>
  <c r="K3" i="74"/>
  <c r="J3" i="74"/>
  <c r="I3" i="74"/>
  <c r="H3" i="74"/>
  <c r="G3" i="74"/>
  <c r="M2" i="74"/>
  <c r="K2" i="74"/>
  <c r="J2" i="74"/>
  <c r="I2" i="74"/>
  <c r="H2" i="74"/>
  <c r="G2" i="74"/>
  <c r="N62" i="69"/>
  <c r="F62" i="69"/>
  <c r="B62" i="69"/>
  <c r="N61" i="69"/>
  <c r="N60" i="69"/>
  <c r="N59" i="69"/>
  <c r="N54" i="69"/>
  <c r="N53" i="69"/>
  <c r="N52" i="69"/>
  <c r="N51" i="69"/>
  <c r="J46" i="69"/>
  <c r="B46" i="69"/>
  <c r="J45" i="69"/>
  <c r="B45" i="69"/>
  <c r="J44" i="69"/>
  <c r="B44" i="69"/>
  <c r="J43" i="69"/>
  <c r="B43" i="69"/>
  <c r="D7" i="69"/>
  <c r="C7" i="69"/>
  <c r="B7" i="69"/>
  <c r="G6" i="69"/>
  <c r="F6" i="69"/>
  <c r="E6" i="69"/>
  <c r="D6" i="69"/>
  <c r="C6" i="69"/>
  <c r="B6" i="69"/>
  <c r="G5" i="69"/>
  <c r="F5" i="69"/>
  <c r="E5" i="69"/>
  <c r="D5" i="69"/>
  <c r="C5" i="69"/>
  <c r="B5" i="69"/>
  <c r="G4" i="69"/>
  <c r="F4" i="69"/>
  <c r="E4" i="69"/>
  <c r="D4" i="69"/>
  <c r="C4" i="69"/>
  <c r="B4" i="69"/>
  <c r="T1844" i="75"/>
  <c r="U1844" i="75" s="1"/>
  <c r="T1843" i="75"/>
  <c r="U1843" i="75" s="1"/>
  <c r="T1841" i="75"/>
  <c r="U1841" i="75" s="1"/>
  <c r="T1842" i="75"/>
  <c r="U1842" i="75" s="1"/>
  <c r="T1840" i="75"/>
  <c r="U1840" i="75" s="1"/>
  <c r="T1828" i="75"/>
  <c r="U1828" i="75" s="1"/>
  <c r="T1827" i="75"/>
  <c r="U1827" i="75" s="1"/>
  <c r="T1826" i="75"/>
  <c r="U1826" i="75" s="1"/>
  <c r="T1825" i="75"/>
  <c r="U1825" i="75" s="1"/>
  <c r="T1824" i="75"/>
  <c r="U1824" i="75" s="1"/>
  <c r="T1823" i="75"/>
  <c r="U1823" i="75" s="1"/>
  <c r="T1822" i="75"/>
  <c r="U1822" i="75" s="1"/>
  <c r="T1821" i="75"/>
  <c r="U1821" i="75" s="1"/>
  <c r="T1820" i="75"/>
  <c r="U1820" i="75" s="1"/>
  <c r="T1819" i="75"/>
  <c r="U1819" i="75" s="1"/>
  <c r="T1818" i="75"/>
  <c r="U1818" i="75" s="1"/>
  <c r="T1817" i="75"/>
  <c r="U1817" i="75" s="1"/>
  <c r="T1816" i="75"/>
  <c r="U1816" i="75" s="1"/>
  <c r="T1815" i="75"/>
  <c r="U1815" i="75" s="1"/>
  <c r="T1814" i="75"/>
  <c r="U1814" i="75" s="1"/>
  <c r="T1813" i="75"/>
  <c r="U1813" i="75" s="1"/>
  <c r="T1812" i="75"/>
  <c r="U1812" i="75" s="1"/>
  <c r="T1811" i="75"/>
  <c r="U1811" i="75" s="1"/>
  <c r="T1810" i="75"/>
  <c r="U1810" i="75" s="1"/>
  <c r="T1809" i="75"/>
  <c r="U1809" i="75" s="1"/>
  <c r="T1808" i="75"/>
  <c r="U1808" i="75" s="1"/>
  <c r="T1807" i="75"/>
  <c r="U1807" i="75" s="1"/>
  <c r="T1806" i="75"/>
  <c r="U1806" i="75" s="1"/>
  <c r="T1805" i="75"/>
  <c r="U1805" i="75" s="1"/>
  <c r="T1804" i="75"/>
  <c r="U1804" i="75" s="1"/>
  <c r="T1803" i="75"/>
  <c r="U1803" i="75" s="1"/>
  <c r="T1802" i="75"/>
  <c r="U1802" i="75" s="1"/>
  <c r="T1800" i="75"/>
  <c r="U1800" i="75" s="1"/>
  <c r="T1801" i="75"/>
  <c r="U1801" i="75" s="1"/>
  <c r="T1799" i="75"/>
  <c r="U1799" i="75" s="1"/>
  <c r="T1798" i="75"/>
  <c r="U1798" i="75" s="1"/>
  <c r="T1797" i="75"/>
  <c r="U1797" i="75" s="1"/>
  <c r="T1796" i="75"/>
  <c r="U1796" i="75" s="1"/>
  <c r="T1795" i="75"/>
  <c r="U1795" i="75" s="1"/>
  <c r="T1794" i="75"/>
  <c r="U1794" i="75" s="1"/>
  <c r="T1793" i="75"/>
  <c r="U1793" i="75" s="1"/>
  <c r="T1792" i="75"/>
  <c r="U1792" i="75" s="1"/>
  <c r="T1791" i="75"/>
  <c r="U1791" i="75" s="1"/>
  <c r="T1790" i="75"/>
  <c r="U1790" i="75" s="1"/>
  <c r="T1789" i="75"/>
  <c r="U1789" i="75" s="1"/>
  <c r="T1788" i="75"/>
  <c r="U1788" i="75" s="1"/>
  <c r="T1787" i="75"/>
  <c r="U1787" i="75" s="1"/>
  <c r="T1786" i="75"/>
  <c r="U1786" i="75" s="1"/>
  <c r="T1784" i="75"/>
  <c r="U1784" i="75" s="1"/>
  <c r="T1783" i="75"/>
  <c r="U1783" i="75" s="1"/>
  <c r="T1785" i="75"/>
  <c r="U1785" i="75" s="1"/>
  <c r="T1782" i="75"/>
  <c r="U1782" i="75" s="1"/>
  <c r="T1781" i="75"/>
  <c r="U1781" i="75" s="1"/>
  <c r="T1780" i="75"/>
  <c r="U1780" i="75" s="1"/>
  <c r="T1779" i="75"/>
  <c r="U1779" i="75" s="1"/>
  <c r="T1778" i="75"/>
  <c r="U1778" i="75" s="1"/>
  <c r="T1777" i="75"/>
  <c r="U1777" i="75" s="1"/>
  <c r="T1776" i="75"/>
  <c r="U1776" i="75" s="1"/>
  <c r="T1775" i="75"/>
  <c r="U1775" i="75" s="1"/>
  <c r="T1774" i="75"/>
  <c r="U1774" i="75" s="1"/>
  <c r="T1773" i="75"/>
  <c r="U1773" i="75" s="1"/>
  <c r="T1772" i="75"/>
  <c r="U1772" i="75" s="1"/>
  <c r="T1771" i="75"/>
  <c r="U1771" i="75" s="1"/>
  <c r="T1770" i="75"/>
  <c r="U1770" i="75" s="1"/>
  <c r="T1769" i="75"/>
  <c r="U1769" i="75" s="1"/>
  <c r="T1768" i="75"/>
  <c r="U1768" i="75" s="1"/>
  <c r="T1767" i="75"/>
  <c r="U1767" i="75" s="1"/>
  <c r="T1766" i="75"/>
  <c r="U1766" i="75" s="1"/>
  <c r="T1765" i="75"/>
  <c r="U1765" i="75" s="1"/>
  <c r="T1764" i="75"/>
  <c r="U1764" i="75" s="1"/>
  <c r="T1763" i="75"/>
  <c r="U1763" i="75" s="1"/>
  <c r="T1762" i="75"/>
  <c r="U1762" i="75" s="1"/>
  <c r="T1761" i="75"/>
  <c r="U1761" i="75" s="1"/>
  <c r="T1760" i="75"/>
  <c r="U1760" i="75" s="1"/>
  <c r="T1759" i="75"/>
  <c r="U1759" i="75" s="1"/>
  <c r="T1758" i="75"/>
  <c r="U1758" i="75" s="1"/>
  <c r="T1757" i="75"/>
  <c r="U1757" i="75" s="1"/>
  <c r="T1756" i="75"/>
  <c r="U1756" i="75" s="1"/>
  <c r="T1755" i="75"/>
  <c r="U1755" i="75" s="1"/>
  <c r="T1754" i="75"/>
  <c r="U1754" i="75" s="1"/>
  <c r="T1753" i="75"/>
  <c r="U1753" i="75" s="1"/>
  <c r="T1752" i="75"/>
  <c r="U1752" i="75" s="1"/>
  <c r="T1751" i="75"/>
  <c r="U1751" i="75" s="1"/>
  <c r="T1750" i="75"/>
  <c r="U1750" i="75" s="1"/>
  <c r="T1749" i="75"/>
  <c r="U1749" i="75" s="1"/>
  <c r="T1748" i="75"/>
  <c r="U1748" i="75" s="1"/>
  <c r="T1747" i="75"/>
  <c r="U1747" i="75" s="1"/>
  <c r="T1746" i="75"/>
  <c r="U1746" i="75" s="1"/>
  <c r="T1745" i="75"/>
  <c r="U1745" i="75" s="1"/>
  <c r="T1744" i="75"/>
  <c r="U1744" i="75" s="1"/>
  <c r="T1743" i="75"/>
  <c r="U1743" i="75" s="1"/>
  <c r="T1742" i="75"/>
  <c r="U1742" i="75" s="1"/>
  <c r="T1741" i="75"/>
  <c r="U1741" i="75" s="1"/>
  <c r="T1740" i="75"/>
  <c r="U1740" i="75" s="1"/>
  <c r="T1739" i="75"/>
  <c r="U1739" i="75" s="1"/>
  <c r="T1738" i="75"/>
  <c r="U1738" i="75" s="1"/>
  <c r="T1737" i="75"/>
  <c r="U1737" i="75" s="1"/>
  <c r="T1736" i="75"/>
  <c r="U1736" i="75" s="1"/>
  <c r="T1735" i="75"/>
  <c r="U1735" i="75" s="1"/>
  <c r="T1734" i="75"/>
  <c r="U1734" i="75" s="1"/>
  <c r="T1733" i="75"/>
  <c r="U1733" i="75" s="1"/>
  <c r="T1732" i="75"/>
  <c r="U1732" i="75" s="1"/>
  <c r="T1730" i="75"/>
  <c r="U1730" i="75" s="1"/>
  <c r="T1731" i="75"/>
  <c r="U1731" i="75" s="1"/>
  <c r="T1729" i="75"/>
  <c r="U1729" i="75" s="1"/>
  <c r="T1728" i="75"/>
  <c r="U1728" i="75" s="1"/>
  <c r="T1727" i="75"/>
  <c r="U1727" i="75" s="1"/>
  <c r="T1726" i="75"/>
  <c r="U1726" i="75" s="1"/>
  <c r="T1725" i="75"/>
  <c r="U1725" i="75" s="1"/>
  <c r="T1724" i="75"/>
  <c r="U1724" i="75" s="1"/>
  <c r="T1723" i="75"/>
  <c r="U1723" i="75" s="1"/>
  <c r="T1722" i="75"/>
  <c r="U1722" i="75" s="1"/>
  <c r="T1721" i="75"/>
  <c r="U1721" i="75" s="1"/>
  <c r="T1720" i="75"/>
  <c r="U1720" i="75" s="1"/>
  <c r="T1718" i="75"/>
  <c r="U1718" i="75" s="1"/>
  <c r="T1719" i="75"/>
  <c r="U1719" i="75" s="1"/>
  <c r="T1717" i="75"/>
  <c r="U1717" i="75" s="1"/>
  <c r="T1716" i="75"/>
  <c r="U1716" i="75" s="1"/>
  <c r="T1715" i="75"/>
  <c r="U1715" i="75" s="1"/>
  <c r="T1714" i="75"/>
  <c r="U1714" i="75" s="1"/>
  <c r="T1713" i="75"/>
  <c r="U1713" i="75" s="1"/>
  <c r="T1712" i="75"/>
  <c r="U1712" i="75" s="1"/>
  <c r="T1711" i="75"/>
  <c r="U1711" i="75" s="1"/>
  <c r="T1710" i="75"/>
  <c r="U1710" i="75" s="1"/>
  <c r="T1708" i="75"/>
  <c r="U1708" i="75" s="1"/>
  <c r="T1709" i="75"/>
  <c r="U1709" i="75" s="1"/>
  <c r="T1707" i="75"/>
  <c r="U1707" i="75" s="1"/>
  <c r="T1706" i="75"/>
  <c r="U1706" i="75" s="1"/>
  <c r="T1705" i="75"/>
  <c r="U1705" i="75" s="1"/>
  <c r="T1704" i="75"/>
  <c r="U1704" i="75" s="1"/>
  <c r="T1703" i="75"/>
  <c r="U1703" i="75" s="1"/>
  <c r="T1702" i="75"/>
  <c r="U1702" i="75" s="1"/>
  <c r="T1701" i="75"/>
  <c r="U1701" i="75" s="1"/>
  <c r="T1700" i="75"/>
  <c r="U1700" i="75" s="1"/>
  <c r="T1699" i="75"/>
  <c r="U1699" i="75" s="1"/>
  <c r="T1698" i="75"/>
  <c r="U1698" i="75" s="1"/>
  <c r="T1697" i="75"/>
  <c r="U1697" i="75" s="1"/>
  <c r="T1696" i="75"/>
  <c r="U1696" i="75" s="1"/>
  <c r="T1695" i="75"/>
  <c r="U1695" i="75" s="1"/>
  <c r="T1694" i="75"/>
  <c r="U1694" i="75" s="1"/>
  <c r="T1693" i="75"/>
  <c r="U1693" i="75" s="1"/>
  <c r="T1692" i="75"/>
  <c r="U1692" i="75" s="1"/>
  <c r="T1691" i="75"/>
  <c r="U1691" i="75" s="1"/>
  <c r="T1690" i="75"/>
  <c r="U1690" i="75" s="1"/>
  <c r="T1689" i="75"/>
  <c r="U1689" i="75" s="1"/>
  <c r="T1688" i="75"/>
  <c r="U1688" i="75" s="1"/>
  <c r="T1687" i="75"/>
  <c r="U1687" i="75" s="1"/>
  <c r="T1686" i="75"/>
  <c r="U1686" i="75" s="1"/>
  <c r="T1685" i="75"/>
  <c r="U1685" i="75" s="1"/>
  <c r="T1684" i="75"/>
  <c r="U1684" i="75" s="1"/>
  <c r="T1683" i="75"/>
  <c r="U1683" i="75" s="1"/>
  <c r="T1682" i="75"/>
  <c r="U1682" i="75" s="1"/>
  <c r="T1680" i="75"/>
  <c r="U1680" i="75" s="1"/>
  <c r="T1681" i="75"/>
  <c r="U1681" i="75" s="1"/>
  <c r="T1679" i="75"/>
  <c r="U1679" i="75" s="1"/>
  <c r="T1678" i="75"/>
  <c r="U1678" i="75" s="1"/>
  <c r="T1677" i="75"/>
  <c r="U1677" i="75" s="1"/>
  <c r="T1676" i="75"/>
  <c r="U1676" i="75" s="1"/>
  <c r="T1675" i="75"/>
  <c r="U1675" i="75" s="1"/>
  <c r="T1674" i="75"/>
  <c r="U1674" i="75" s="1"/>
  <c r="T1673" i="75"/>
  <c r="U1673" i="75" s="1"/>
  <c r="T1672" i="75"/>
  <c r="U1672" i="75" s="1"/>
  <c r="T1671" i="75"/>
  <c r="U1671" i="75" s="1"/>
  <c r="T1670" i="75"/>
  <c r="U1670" i="75" s="1"/>
  <c r="T1669" i="75"/>
  <c r="U1669" i="75" s="1"/>
  <c r="T1667" i="75"/>
  <c r="U1667" i="75" s="1"/>
  <c r="T1666" i="75"/>
  <c r="U1666" i="75" s="1"/>
  <c r="T1664" i="75"/>
  <c r="U1664" i="75" s="1"/>
  <c r="T1665" i="75"/>
  <c r="U1665" i="75" s="1"/>
  <c r="T1663" i="75"/>
  <c r="U1663" i="75" s="1"/>
  <c r="T1662" i="75"/>
  <c r="U1662" i="75" s="1"/>
  <c r="T1661" i="75"/>
  <c r="U1661" i="75" s="1"/>
  <c r="T1668" i="75"/>
  <c r="U1668" i="75" s="1"/>
  <c r="T1660" i="75"/>
  <c r="U1660" i="75" s="1"/>
  <c r="T1659" i="75"/>
  <c r="U1659" i="75" s="1"/>
  <c r="T1658" i="75"/>
  <c r="U1658" i="75" s="1"/>
  <c r="T1657" i="75"/>
  <c r="U1657" i="75" s="1"/>
  <c r="T1656" i="75"/>
  <c r="U1656" i="75" s="1"/>
  <c r="T1655" i="75"/>
  <c r="U1655" i="75" s="1"/>
  <c r="T1654" i="75"/>
  <c r="U1654" i="75" s="1"/>
  <c r="T1653" i="75"/>
  <c r="U1653" i="75" s="1"/>
  <c r="T1652" i="75"/>
  <c r="U1652" i="75" s="1"/>
  <c r="T1651" i="75"/>
  <c r="U1651" i="75" s="1"/>
  <c r="T1650" i="75"/>
  <c r="U1650" i="75" s="1"/>
  <c r="T1649" i="75"/>
  <c r="U1649" i="75" s="1"/>
  <c r="T1648" i="75"/>
  <c r="U1648" i="75" s="1"/>
  <c r="T1647" i="75"/>
  <c r="U1647" i="75" s="1"/>
  <c r="T1646" i="75"/>
  <c r="U1646" i="75" s="1"/>
  <c r="T1644" i="75"/>
  <c r="U1644" i="75" s="1"/>
  <c r="T1643" i="75"/>
  <c r="U1643" i="75" s="1"/>
  <c r="T1642" i="75"/>
  <c r="U1642" i="75" s="1"/>
  <c r="T1641" i="75"/>
  <c r="U1641" i="75" s="1"/>
  <c r="T1640" i="75"/>
  <c r="U1640" i="75" s="1"/>
  <c r="T1639" i="75"/>
  <c r="U1639" i="75" s="1"/>
  <c r="T1638" i="75"/>
  <c r="U1638" i="75" s="1"/>
  <c r="T1637" i="75"/>
  <c r="U1637" i="75" s="1"/>
  <c r="T1636" i="75"/>
  <c r="U1636" i="75" s="1"/>
  <c r="T1645" i="75"/>
  <c r="U1645" i="75" s="1"/>
  <c r="T1635" i="75"/>
  <c r="U1635" i="75" s="1"/>
  <c r="T1634" i="75"/>
  <c r="U1634" i="75" s="1"/>
  <c r="T1633" i="75"/>
  <c r="U1633" i="75" s="1"/>
  <c r="T1632" i="75"/>
  <c r="U1632" i="75" s="1"/>
  <c r="T1631" i="75"/>
  <c r="U1631" i="75" s="1"/>
  <c r="T1630" i="75"/>
  <c r="U1630" i="75" s="1"/>
  <c r="T1628" i="75"/>
  <c r="U1628" i="75" s="1"/>
  <c r="T1627" i="75"/>
  <c r="U1627" i="75" s="1"/>
  <c r="T1626" i="75"/>
  <c r="U1626" i="75" s="1"/>
  <c r="T1625" i="75"/>
  <c r="U1625" i="75" s="1"/>
  <c r="T1624" i="75"/>
  <c r="U1624" i="75" s="1"/>
  <c r="T1623" i="75"/>
  <c r="U1623" i="75" s="1"/>
  <c r="T1622" i="75"/>
  <c r="U1622" i="75" s="1"/>
  <c r="T1621" i="75"/>
  <c r="U1621" i="75" s="1"/>
  <c r="T1620" i="75"/>
  <c r="U1620" i="75" s="1"/>
  <c r="T1619" i="75"/>
  <c r="U1619" i="75" s="1"/>
  <c r="T1618" i="75"/>
  <c r="U1618" i="75" s="1"/>
  <c r="T1617" i="75"/>
  <c r="U1617" i="75" s="1"/>
  <c r="T1616" i="75"/>
  <c r="U1616" i="75" s="1"/>
  <c r="T1615" i="75"/>
  <c r="U1615" i="75" s="1"/>
  <c r="T1614" i="75"/>
  <c r="U1614" i="75" s="1"/>
  <c r="T1613" i="75"/>
  <c r="U1613" i="75" s="1"/>
  <c r="T1612" i="75"/>
  <c r="U1612" i="75" s="1"/>
  <c r="T1611" i="75"/>
  <c r="U1611" i="75" s="1"/>
  <c r="T1610" i="75"/>
  <c r="U1610" i="75" s="1"/>
  <c r="T1608" i="75"/>
  <c r="U1608" i="75" s="1"/>
  <c r="T1609" i="75"/>
  <c r="U1609" i="75" s="1"/>
  <c r="T1607" i="75"/>
  <c r="U1607" i="75" s="1"/>
  <c r="T1606" i="75"/>
  <c r="U1606" i="75" s="1"/>
  <c r="T1605" i="75"/>
  <c r="U1605" i="75" s="1"/>
  <c r="T1599" i="75"/>
  <c r="U1599" i="75" s="1"/>
  <c r="T1598" i="75"/>
  <c r="U1598" i="75" s="1"/>
  <c r="T1600" i="75"/>
  <c r="U1600" i="75" s="1"/>
  <c r="T1597" i="75"/>
  <c r="U1597" i="75" s="1"/>
  <c r="T1596" i="75"/>
  <c r="U1596" i="75" s="1"/>
  <c r="T1595" i="75"/>
  <c r="U1595" i="75" s="1"/>
  <c r="T1594" i="75"/>
  <c r="U1594" i="75" s="1"/>
  <c r="T1604" i="75"/>
  <c r="U1604" i="75" s="1"/>
  <c r="T1593" i="75"/>
  <c r="U1593" i="75" s="1"/>
  <c r="T1592" i="75"/>
  <c r="U1592" i="75" s="1"/>
  <c r="T1591" i="75"/>
  <c r="U1591" i="75" s="1"/>
  <c r="T1603" i="75"/>
  <c r="U1603" i="75" s="1"/>
  <c r="T1590" i="75"/>
  <c r="U1590" i="75" s="1"/>
  <c r="T1588" i="75"/>
  <c r="U1588" i="75" s="1"/>
  <c r="T1589" i="75"/>
  <c r="U1589" i="75" s="1"/>
  <c r="T1587" i="75"/>
  <c r="U1587" i="75" s="1"/>
  <c r="T1602" i="75"/>
  <c r="U1602" i="75" s="1"/>
  <c r="T1586" i="75"/>
  <c r="U1586" i="75" s="1"/>
  <c r="T1585" i="75"/>
  <c r="U1585" i="75" s="1"/>
  <c r="T1584" i="75"/>
  <c r="U1584" i="75" s="1"/>
  <c r="T1583" i="75"/>
  <c r="U1583" i="75" s="1"/>
  <c r="T1582" i="75"/>
  <c r="U1582" i="75" s="1"/>
  <c r="T1581" i="75"/>
  <c r="U1581" i="75" s="1"/>
  <c r="T1601" i="75"/>
  <c r="U1601" i="75" s="1"/>
  <c r="T1578" i="75"/>
  <c r="U1578" i="75" s="1"/>
  <c r="T1577" i="75"/>
  <c r="U1577" i="75" s="1"/>
  <c r="T1576" i="75"/>
  <c r="U1576" i="75" s="1"/>
  <c r="T1575" i="75"/>
  <c r="U1575" i="75" s="1"/>
  <c r="T1574" i="75"/>
  <c r="U1574" i="75" s="1"/>
  <c r="T1573" i="75"/>
  <c r="U1573" i="75" s="1"/>
  <c r="T1572" i="75"/>
  <c r="U1572" i="75" s="1"/>
  <c r="T1580" i="75"/>
  <c r="U1580" i="75" s="1"/>
  <c r="T1571" i="75"/>
  <c r="U1571" i="75" s="1"/>
  <c r="T1570" i="75"/>
  <c r="U1570" i="75" s="1"/>
  <c r="T1569" i="75"/>
  <c r="U1569" i="75" s="1"/>
  <c r="T1568" i="75"/>
  <c r="U1568" i="75" s="1"/>
  <c r="T1579" i="75"/>
  <c r="U1579" i="75" s="1"/>
  <c r="T1567" i="75"/>
  <c r="U1567" i="75" s="1"/>
  <c r="T1566" i="75"/>
  <c r="U1566" i="75" s="1"/>
  <c r="T1565" i="75"/>
  <c r="U1565" i="75" s="1"/>
  <c r="T1564" i="75"/>
  <c r="U1564" i="75" s="1"/>
  <c r="T1563" i="75"/>
  <c r="U1563" i="75" s="1"/>
  <c r="T1562" i="75"/>
  <c r="U1562" i="75" s="1"/>
  <c r="T1561" i="75"/>
  <c r="U1561" i="75" s="1"/>
  <c r="T1560" i="75"/>
  <c r="U1560" i="75" s="1"/>
  <c r="T1559" i="75"/>
  <c r="U1559" i="75" s="1"/>
  <c r="T1558" i="75"/>
  <c r="U1558" i="75" s="1"/>
  <c r="T1557" i="75"/>
  <c r="U1557" i="75" s="1"/>
  <c r="T1556" i="75"/>
  <c r="U1556" i="75" s="1"/>
  <c r="T1555" i="75"/>
  <c r="U1555" i="75" s="1"/>
  <c r="T1554" i="75"/>
  <c r="U1554" i="75" s="1"/>
  <c r="T1548" i="75"/>
  <c r="U1548" i="75" s="1"/>
  <c r="T1547" i="75"/>
  <c r="U1547" i="75" s="1"/>
  <c r="T1546" i="75"/>
  <c r="U1546" i="75" s="1"/>
  <c r="T1545" i="75"/>
  <c r="U1545" i="75" s="1"/>
  <c r="T1544" i="75"/>
  <c r="U1544" i="75" s="1"/>
  <c r="T1550" i="75"/>
  <c r="U1550" i="75" s="1"/>
  <c r="T1543" i="75"/>
  <c r="U1543" i="75" s="1"/>
  <c r="T1542" i="75"/>
  <c r="U1542" i="75" s="1"/>
  <c r="T1541" i="75"/>
  <c r="U1541" i="75" s="1"/>
  <c r="T1540" i="75"/>
  <c r="U1540" i="75" s="1"/>
  <c r="T1539" i="75"/>
  <c r="U1539" i="75" s="1"/>
  <c r="T1538" i="75"/>
  <c r="U1538" i="75" s="1"/>
  <c r="T1537" i="75"/>
  <c r="U1537" i="75" s="1"/>
  <c r="T1536" i="75"/>
  <c r="U1536" i="75" s="1"/>
  <c r="T1553" i="75"/>
  <c r="U1553" i="75" s="1"/>
  <c r="T1535" i="75"/>
  <c r="U1535" i="75" s="1"/>
  <c r="T1534" i="75"/>
  <c r="U1534" i="75" s="1"/>
  <c r="T1532" i="75"/>
  <c r="U1532" i="75" s="1"/>
  <c r="T1533" i="75"/>
  <c r="U1533" i="75" s="1"/>
  <c r="T1531" i="75"/>
  <c r="U1531" i="75" s="1"/>
  <c r="T1530" i="75"/>
  <c r="U1530" i="75" s="1"/>
  <c r="T1549" i="75"/>
  <c r="U1549" i="75" s="1"/>
  <c r="T1529" i="75"/>
  <c r="U1529" i="75" s="1"/>
  <c r="T1552" i="75"/>
  <c r="U1552" i="75" s="1"/>
  <c r="T1551" i="75"/>
  <c r="U1551" i="75" s="1"/>
  <c r="T1528" i="75"/>
  <c r="U1528" i="75" s="1"/>
  <c r="T1521" i="75"/>
  <c r="U1521" i="75" s="1"/>
  <c r="T1520" i="75"/>
  <c r="U1520" i="75" s="1"/>
  <c r="T1519" i="75"/>
  <c r="U1519" i="75" s="1"/>
  <c r="T1526" i="75"/>
  <c r="U1526" i="75" s="1"/>
  <c r="T1518" i="75"/>
  <c r="U1518" i="75" s="1"/>
  <c r="T1527" i="75"/>
  <c r="U1527" i="75" s="1"/>
  <c r="T1517" i="75"/>
  <c r="U1517" i="75" s="1"/>
  <c r="T1525" i="75"/>
  <c r="U1525" i="75" s="1"/>
  <c r="T1515" i="75"/>
  <c r="U1515" i="75" s="1"/>
  <c r="T1516" i="75"/>
  <c r="U1516" i="75" s="1"/>
  <c r="T1524" i="75"/>
  <c r="U1524" i="75" s="1"/>
  <c r="T1514" i="75"/>
  <c r="U1514" i="75" s="1"/>
  <c r="T1513" i="75"/>
  <c r="U1513" i="75" s="1"/>
  <c r="T1512" i="75"/>
  <c r="U1512" i="75" s="1"/>
  <c r="T1523" i="75"/>
  <c r="U1523" i="75" s="1"/>
  <c r="T1522" i="75"/>
  <c r="U1522" i="75" s="1"/>
  <c r="T1511" i="75"/>
  <c r="U1511" i="75" s="1"/>
  <c r="T1510" i="75"/>
  <c r="U1510" i="75" s="1"/>
  <c r="T1509" i="75"/>
  <c r="U1509" i="75" s="1"/>
  <c r="T1508" i="75"/>
  <c r="U1508" i="75" s="1"/>
  <c r="T1507" i="75"/>
  <c r="U1507" i="75" s="1"/>
  <c r="T1506" i="75"/>
  <c r="U1506" i="75" s="1"/>
  <c r="T1505" i="75"/>
  <c r="U1505" i="75" s="1"/>
  <c r="T1504" i="75"/>
  <c r="U1504" i="75" s="1"/>
  <c r="T1503" i="75"/>
  <c r="U1503" i="75" s="1"/>
  <c r="T1502" i="75"/>
  <c r="U1502" i="75" s="1"/>
  <c r="T1498" i="75"/>
  <c r="U1498" i="75" s="1"/>
  <c r="T1497" i="75"/>
  <c r="U1497" i="75" s="1"/>
  <c r="T1496" i="75"/>
  <c r="U1496" i="75" s="1"/>
  <c r="T1500" i="75"/>
  <c r="U1500" i="75" s="1"/>
  <c r="T1499" i="75"/>
  <c r="U1499" i="75" s="1"/>
  <c r="T1495" i="75"/>
  <c r="U1495" i="75" s="1"/>
  <c r="T1494" i="75"/>
  <c r="U1494" i="75" s="1"/>
  <c r="T1493" i="75"/>
  <c r="U1493" i="75" s="1"/>
  <c r="T1492" i="75"/>
  <c r="U1492" i="75" s="1"/>
  <c r="T1491" i="75"/>
  <c r="U1491" i="75" s="1"/>
  <c r="T1490" i="75"/>
  <c r="U1490" i="75" s="1"/>
  <c r="T1489" i="75"/>
  <c r="U1489" i="75" s="1"/>
  <c r="T1488" i="75"/>
  <c r="U1488" i="75" s="1"/>
  <c r="T1629" i="75"/>
  <c r="U1629" i="75" s="1"/>
  <c r="T1501" i="75"/>
  <c r="U1501" i="75" s="1"/>
  <c r="T1487" i="75"/>
  <c r="U1487" i="75" s="1"/>
  <c r="T1486" i="75"/>
  <c r="U1486" i="75" s="1"/>
  <c r="T1485" i="75"/>
  <c r="U1485" i="75" s="1"/>
  <c r="T1484" i="75"/>
  <c r="U1484" i="75" s="1"/>
  <c r="T1483" i="75"/>
  <c r="U1483" i="75" s="1"/>
  <c r="T1482" i="75"/>
  <c r="U1482" i="75" s="1"/>
  <c r="T1481" i="75"/>
  <c r="U1481" i="75" s="1"/>
  <c r="T1480" i="75"/>
  <c r="U1480" i="75" s="1"/>
  <c r="T1479" i="75"/>
  <c r="U1479" i="75" s="1"/>
  <c r="T1478" i="75"/>
  <c r="U1478" i="75" s="1"/>
  <c r="T1477" i="75"/>
  <c r="U1477" i="75" s="1"/>
  <c r="T1476" i="75"/>
  <c r="U1476" i="75" s="1"/>
  <c r="T1475" i="75"/>
  <c r="U1475" i="75" s="1"/>
  <c r="T1474" i="75"/>
  <c r="U1474" i="75" s="1"/>
  <c r="T1473" i="75"/>
  <c r="U1473" i="75" s="1"/>
  <c r="T1472" i="75"/>
  <c r="U1472" i="75" s="1"/>
  <c r="T1471" i="75"/>
  <c r="U1471" i="75" s="1"/>
  <c r="T1470" i="75"/>
  <c r="U1470" i="75" s="1"/>
  <c r="T1469" i="75"/>
  <c r="U1469" i="75" s="1"/>
  <c r="T1468" i="75"/>
  <c r="U1468" i="75" s="1"/>
  <c r="T1467" i="75"/>
  <c r="U1467" i="75" s="1"/>
  <c r="T1466" i="75"/>
  <c r="U1466" i="75" s="1"/>
  <c r="T1465" i="75"/>
  <c r="U1465" i="75" s="1"/>
  <c r="T1464" i="75"/>
  <c r="U1464" i="75" s="1"/>
  <c r="T1461" i="75"/>
  <c r="U1461" i="75" s="1"/>
  <c r="T1462" i="75"/>
  <c r="U1462" i="75" s="1"/>
  <c r="T1463" i="75"/>
  <c r="U1463" i="75" s="1"/>
  <c r="T1460" i="75"/>
  <c r="U1460" i="75" s="1"/>
  <c r="T1459" i="75"/>
  <c r="U1459" i="75" s="1"/>
  <c r="T1458" i="75"/>
  <c r="U1458" i="75" s="1"/>
  <c r="T1457" i="75"/>
  <c r="U1457" i="75" s="1"/>
  <c r="T1456" i="75"/>
  <c r="U1456" i="75" s="1"/>
  <c r="T1454" i="75"/>
  <c r="U1454" i="75" s="1"/>
  <c r="T1455" i="75"/>
  <c r="U1455" i="75" s="1"/>
  <c r="T1453" i="75"/>
  <c r="U1453" i="75" s="1"/>
  <c r="T1452" i="75"/>
  <c r="U1452" i="75" s="1"/>
  <c r="T1451" i="75"/>
  <c r="U1451" i="75" s="1"/>
  <c r="T1450" i="75"/>
  <c r="U1450" i="75" s="1"/>
  <c r="T1449" i="75"/>
  <c r="U1449" i="75" s="1"/>
  <c r="T1448" i="75"/>
  <c r="U1448" i="75" s="1"/>
  <c r="T1447" i="75"/>
  <c r="U1447" i="75" s="1"/>
  <c r="T1446" i="75"/>
  <c r="U1446" i="75" s="1"/>
  <c r="T1445" i="75"/>
  <c r="U1445" i="75" s="1"/>
  <c r="T1444" i="75"/>
  <c r="U1444" i="75" s="1"/>
  <c r="T1443" i="75"/>
  <c r="U1443" i="75" s="1"/>
  <c r="T1442" i="75"/>
  <c r="U1442" i="75" s="1"/>
  <c r="T1441" i="75"/>
  <c r="U1441" i="75" s="1"/>
  <c r="T1440" i="75"/>
  <c r="U1440" i="75" s="1"/>
  <c r="T1439" i="75"/>
  <c r="U1439" i="75" s="1"/>
  <c r="T1438" i="75"/>
  <c r="U1438" i="75" s="1"/>
  <c r="T1437" i="75"/>
  <c r="U1437" i="75" s="1"/>
  <c r="T1436" i="75"/>
  <c r="U1436" i="75" s="1"/>
  <c r="T1435" i="75"/>
  <c r="U1435" i="75" s="1"/>
  <c r="T1434" i="75"/>
  <c r="U1434" i="75" s="1"/>
  <c r="T1433" i="75"/>
  <c r="U1433" i="75" s="1"/>
  <c r="T1432" i="75"/>
  <c r="U1432" i="75" s="1"/>
  <c r="T1431" i="75"/>
  <c r="U1431" i="75" s="1"/>
  <c r="T1421" i="75"/>
  <c r="U1421" i="75" s="1"/>
  <c r="T1419" i="75"/>
  <c r="U1419" i="75" s="1"/>
  <c r="T1420" i="75"/>
  <c r="U1420" i="75" s="1"/>
  <c r="T1430" i="75"/>
  <c r="U1430" i="75" s="1"/>
  <c r="T1429" i="75"/>
  <c r="U1429" i="75" s="1"/>
  <c r="T1428" i="75"/>
  <c r="U1428" i="75" s="1"/>
  <c r="T1427" i="75"/>
  <c r="U1427" i="75" s="1"/>
  <c r="T1426" i="75"/>
  <c r="U1426" i="75" s="1"/>
  <c r="T1425" i="75"/>
  <c r="U1425" i="75" s="1"/>
  <c r="T1424" i="75"/>
  <c r="U1424" i="75" s="1"/>
  <c r="T1423" i="75"/>
  <c r="U1423" i="75" s="1"/>
  <c r="T1418" i="75"/>
  <c r="U1418" i="75" s="1"/>
  <c r="T1422" i="75"/>
  <c r="U1422" i="75" s="1"/>
  <c r="T1417" i="75"/>
  <c r="U1417" i="75" s="1"/>
  <c r="T1416" i="75"/>
  <c r="U1416" i="75" s="1"/>
  <c r="T1415" i="75"/>
  <c r="U1415" i="75" s="1"/>
  <c r="T1414" i="75"/>
  <c r="U1414" i="75" s="1"/>
  <c r="T1413" i="75"/>
  <c r="U1413" i="75" s="1"/>
  <c r="T1412" i="75"/>
  <c r="U1412" i="75" s="1"/>
  <c r="T1411" i="75"/>
  <c r="U1411" i="75" s="1"/>
  <c r="T1410" i="75"/>
  <c r="U1410" i="75" s="1"/>
  <c r="T1409" i="75"/>
  <c r="U1409" i="75" s="1"/>
  <c r="T1408" i="75"/>
  <c r="U1408" i="75" s="1"/>
  <c r="T1407" i="75"/>
  <c r="U1407" i="75" s="1"/>
  <c r="T1406" i="75"/>
  <c r="U1406" i="75" s="1"/>
  <c r="T1405" i="75"/>
  <c r="U1405" i="75" s="1"/>
  <c r="T1404" i="75"/>
  <c r="U1404" i="75" s="1"/>
  <c r="T1403" i="75"/>
  <c r="U1403" i="75" s="1"/>
  <c r="T1402" i="75"/>
  <c r="U1402" i="75" s="1"/>
  <c r="T1401" i="75"/>
  <c r="U1401" i="75" s="1"/>
  <c r="T1400" i="75"/>
  <c r="U1400" i="75" s="1"/>
  <c r="T1399" i="75"/>
  <c r="U1399" i="75" s="1"/>
  <c r="T1398" i="75"/>
  <c r="U1398" i="75" s="1"/>
  <c r="T1397" i="75"/>
  <c r="U1397" i="75" s="1"/>
  <c r="T1396" i="75"/>
  <c r="U1396" i="75" s="1"/>
  <c r="Z1395" i="75"/>
  <c r="V1395" i="75"/>
  <c r="X1395" i="75" s="1"/>
  <c r="T1395" i="75"/>
  <c r="U1395" i="75" s="1"/>
  <c r="Z1394" i="75"/>
  <c r="V1394" i="75"/>
  <c r="X1394" i="75" s="1"/>
  <c r="T1394" i="75"/>
  <c r="U1394" i="75" s="1"/>
  <c r="Z1393" i="75"/>
  <c r="V1393" i="75"/>
  <c r="X1393" i="75" s="1"/>
  <c r="T1393" i="75"/>
  <c r="U1393" i="75" s="1"/>
  <c r="Z1392" i="75"/>
  <c r="V1392" i="75"/>
  <c r="X1392" i="75" s="1"/>
  <c r="T1392" i="75"/>
  <c r="U1392" i="75" s="1"/>
  <c r="Z1391" i="75"/>
  <c r="V1391" i="75"/>
  <c r="X1391" i="75" s="1"/>
  <c r="T1391" i="75"/>
  <c r="U1391" i="75" s="1"/>
  <c r="Z1390" i="75"/>
  <c r="V1390" i="75"/>
  <c r="X1390" i="75" s="1"/>
  <c r="T1390" i="75"/>
  <c r="U1390" i="75" s="1"/>
  <c r="Z1389" i="75"/>
  <c r="V1389" i="75"/>
  <c r="X1389" i="75" s="1"/>
  <c r="T1389" i="75"/>
  <c r="U1389" i="75" s="1"/>
  <c r="Z1388" i="75"/>
  <c r="V1388" i="75"/>
  <c r="X1388" i="75" s="1"/>
  <c r="T1388" i="75"/>
  <c r="U1388" i="75" s="1"/>
  <c r="Z1387" i="75"/>
  <c r="V1387" i="75"/>
  <c r="X1387" i="75" s="1"/>
  <c r="T1387" i="75"/>
  <c r="U1387" i="75" s="1"/>
  <c r="Z1386" i="75"/>
  <c r="V1386" i="75"/>
  <c r="X1386" i="75" s="1"/>
  <c r="T1386" i="75"/>
  <c r="U1386" i="75" s="1"/>
  <c r="Z1385" i="75"/>
  <c r="V1385" i="75"/>
  <c r="X1385" i="75" s="1"/>
  <c r="T1385" i="75"/>
  <c r="U1385" i="75" s="1"/>
  <c r="Z1384" i="75"/>
  <c r="V1384" i="75"/>
  <c r="X1384" i="75" s="1"/>
  <c r="T1384" i="75"/>
  <c r="U1384" i="75" s="1"/>
  <c r="Z1383" i="75"/>
  <c r="V1383" i="75"/>
  <c r="X1383" i="75" s="1"/>
  <c r="T1383" i="75"/>
  <c r="U1383" i="75" s="1"/>
  <c r="Z1382" i="75"/>
  <c r="V1382" i="75"/>
  <c r="X1382" i="75" s="1"/>
  <c r="T1382" i="75"/>
  <c r="U1382" i="75" s="1"/>
  <c r="Z1381" i="75"/>
  <c r="V1381" i="75"/>
  <c r="X1381" i="75" s="1"/>
  <c r="T1381" i="75"/>
  <c r="U1381" i="75" s="1"/>
  <c r="Z1380" i="75"/>
  <c r="V1380" i="75"/>
  <c r="X1380" i="75" s="1"/>
  <c r="T1380" i="75"/>
  <c r="U1380" i="75" s="1"/>
  <c r="Z1379" i="75"/>
  <c r="V1379" i="75"/>
  <c r="X1379" i="75" s="1"/>
  <c r="T1379" i="75"/>
  <c r="U1379" i="75" s="1"/>
  <c r="Z1378" i="75"/>
  <c r="V1378" i="75"/>
  <c r="X1378" i="75" s="1"/>
  <c r="T1378" i="75"/>
  <c r="U1378" i="75" s="1"/>
  <c r="Z1377" i="75"/>
  <c r="V1377" i="75"/>
  <c r="X1377" i="75" s="1"/>
  <c r="T1377" i="75"/>
  <c r="U1377" i="75" s="1"/>
  <c r="Z1376" i="75"/>
  <c r="V1376" i="75"/>
  <c r="X1376" i="75" s="1"/>
  <c r="T1376" i="75"/>
  <c r="U1376" i="75" s="1"/>
  <c r="Z1375" i="75"/>
  <c r="V1375" i="75"/>
  <c r="X1375" i="75" s="1"/>
  <c r="T1375" i="75"/>
  <c r="U1375" i="75" s="1"/>
  <c r="Z1374" i="75"/>
  <c r="V1374" i="75"/>
  <c r="X1374" i="75" s="1"/>
  <c r="T1374" i="75"/>
  <c r="U1374" i="75" s="1"/>
  <c r="Z1373" i="75"/>
  <c r="V1373" i="75"/>
  <c r="X1373" i="75" s="1"/>
  <c r="T1373" i="75"/>
  <c r="U1373" i="75" s="1"/>
  <c r="Z1372" i="75"/>
  <c r="V1372" i="75"/>
  <c r="X1372" i="75" s="1"/>
  <c r="T1372" i="75"/>
  <c r="U1372" i="75" s="1"/>
  <c r="Z1371" i="75"/>
  <c r="V1371" i="75"/>
  <c r="X1371" i="75" s="1"/>
  <c r="T1371" i="75"/>
  <c r="U1371" i="75" s="1"/>
  <c r="Z1370" i="75"/>
  <c r="V1370" i="75"/>
  <c r="X1370" i="75" s="1"/>
  <c r="T1370" i="75"/>
  <c r="U1370" i="75" s="1"/>
  <c r="Z1369" i="75"/>
  <c r="V1369" i="75"/>
  <c r="X1369" i="75" s="1"/>
  <c r="T1369" i="75"/>
  <c r="U1369" i="75" s="1"/>
  <c r="Z1368" i="75"/>
  <c r="V1368" i="75"/>
  <c r="X1368" i="75" s="1"/>
  <c r="T1368" i="75"/>
  <c r="U1368" i="75" s="1"/>
  <c r="Z1367" i="75"/>
  <c r="V1367" i="75"/>
  <c r="X1367" i="75" s="1"/>
  <c r="T1367" i="75"/>
  <c r="U1367" i="75" s="1"/>
  <c r="Z1366" i="75"/>
  <c r="V1366" i="75"/>
  <c r="X1366" i="75" s="1"/>
  <c r="T1366" i="75"/>
  <c r="U1366" i="75" s="1"/>
  <c r="Z1365" i="75"/>
  <c r="V1365" i="75"/>
  <c r="X1365" i="75" s="1"/>
  <c r="T1365" i="75"/>
  <c r="U1365" i="75" s="1"/>
  <c r="Z1364" i="75"/>
  <c r="V1364" i="75"/>
  <c r="X1364" i="75" s="1"/>
  <c r="T1364" i="75"/>
  <c r="U1364" i="75" s="1"/>
  <c r="Z1363" i="75"/>
  <c r="V1363" i="75"/>
  <c r="X1363" i="75" s="1"/>
  <c r="T1363" i="75"/>
  <c r="U1363" i="75" s="1"/>
  <c r="Z1362" i="75"/>
  <c r="V1362" i="75"/>
  <c r="X1362" i="75" s="1"/>
  <c r="T1362" i="75"/>
  <c r="U1362" i="75" s="1"/>
  <c r="Z1361" i="75"/>
  <c r="V1361" i="75"/>
  <c r="X1361" i="75" s="1"/>
  <c r="T1361" i="75"/>
  <c r="U1361" i="75" s="1"/>
  <c r="Z1360" i="75"/>
  <c r="V1360" i="75"/>
  <c r="X1360" i="75" s="1"/>
  <c r="T1360" i="75"/>
  <c r="U1360" i="75" s="1"/>
  <c r="Z1359" i="75"/>
  <c r="V1359" i="75"/>
  <c r="X1359" i="75" s="1"/>
  <c r="T1359" i="75"/>
  <c r="U1359" i="75" s="1"/>
  <c r="Z1358" i="75"/>
  <c r="V1358" i="75"/>
  <c r="X1358" i="75" s="1"/>
  <c r="T1358" i="75"/>
  <c r="U1358" i="75" s="1"/>
  <c r="Z1357" i="75"/>
  <c r="V1357" i="75"/>
  <c r="X1357" i="75" s="1"/>
  <c r="T1357" i="75"/>
  <c r="U1357" i="75" s="1"/>
  <c r="Z1356" i="75"/>
  <c r="V1356" i="75"/>
  <c r="X1356" i="75" s="1"/>
  <c r="T1356" i="75"/>
  <c r="U1356" i="75" s="1"/>
  <c r="Z1355" i="75"/>
  <c r="V1355" i="75"/>
  <c r="X1355" i="75" s="1"/>
  <c r="T1355" i="75"/>
  <c r="U1355" i="75" s="1"/>
  <c r="Z1354" i="75"/>
  <c r="V1354" i="75"/>
  <c r="X1354" i="75" s="1"/>
  <c r="T1354" i="75"/>
  <c r="U1354" i="75" s="1"/>
  <c r="Z1353" i="75"/>
  <c r="V1353" i="75"/>
  <c r="X1353" i="75" s="1"/>
  <c r="T1353" i="75"/>
  <c r="U1353" i="75" s="1"/>
  <c r="Z1352" i="75"/>
  <c r="V1352" i="75"/>
  <c r="X1352" i="75" s="1"/>
  <c r="T1352" i="75"/>
  <c r="U1352" i="75" s="1"/>
  <c r="Z1351" i="75"/>
  <c r="V1351" i="75"/>
  <c r="X1351" i="75" s="1"/>
  <c r="T1351" i="75"/>
  <c r="U1351" i="75" s="1"/>
  <c r="Z1350" i="75"/>
  <c r="V1350" i="75"/>
  <c r="X1350" i="75" s="1"/>
  <c r="T1350" i="75"/>
  <c r="U1350" i="75" s="1"/>
  <c r="Z1349" i="75"/>
  <c r="V1349" i="75"/>
  <c r="X1349" i="75" s="1"/>
  <c r="T1349" i="75"/>
  <c r="U1349" i="75" s="1"/>
  <c r="Z1348" i="75"/>
  <c r="V1348" i="75"/>
  <c r="X1348" i="75" s="1"/>
  <c r="T1348" i="75"/>
  <c r="U1348" i="75" s="1"/>
  <c r="Z1347" i="75"/>
  <c r="V1347" i="75"/>
  <c r="X1347" i="75" s="1"/>
  <c r="T1347" i="75"/>
  <c r="U1347" i="75" s="1"/>
  <c r="Z1346" i="75"/>
  <c r="V1346" i="75"/>
  <c r="X1346" i="75" s="1"/>
  <c r="T1346" i="75"/>
  <c r="U1346" i="75" s="1"/>
  <c r="Z1345" i="75"/>
  <c r="V1345" i="75"/>
  <c r="X1345" i="75" s="1"/>
  <c r="T1345" i="75"/>
  <c r="U1345" i="75" s="1"/>
  <c r="Z1344" i="75"/>
  <c r="V1344" i="75"/>
  <c r="X1344" i="75" s="1"/>
  <c r="T1344" i="75"/>
  <c r="U1344" i="75" s="1"/>
  <c r="Z1343" i="75"/>
  <c r="V1343" i="75"/>
  <c r="X1343" i="75" s="1"/>
  <c r="T1343" i="75"/>
  <c r="U1343" i="75" s="1"/>
  <c r="Z1342" i="75"/>
  <c r="V1342" i="75"/>
  <c r="X1342" i="75" s="1"/>
  <c r="T1342" i="75"/>
  <c r="U1342" i="75" s="1"/>
  <c r="Z1341" i="75"/>
  <c r="V1341" i="75"/>
  <c r="X1341" i="75" s="1"/>
  <c r="T1341" i="75"/>
  <c r="U1341" i="75" s="1"/>
  <c r="Z1340" i="75"/>
  <c r="V1340" i="75"/>
  <c r="X1340" i="75" s="1"/>
  <c r="T1340" i="75"/>
  <c r="U1340" i="75" s="1"/>
  <c r="Z1339" i="75"/>
  <c r="V1339" i="75"/>
  <c r="X1339" i="75" s="1"/>
  <c r="T1339" i="75"/>
  <c r="U1339" i="75" s="1"/>
  <c r="Z1338" i="75"/>
  <c r="V1338" i="75"/>
  <c r="X1338" i="75" s="1"/>
  <c r="T1338" i="75"/>
  <c r="U1338" i="75" s="1"/>
  <c r="Z1337" i="75"/>
  <c r="V1337" i="75"/>
  <c r="X1337" i="75" s="1"/>
  <c r="T1337" i="75"/>
  <c r="U1337" i="75" s="1"/>
  <c r="Z1336" i="75"/>
  <c r="V1336" i="75"/>
  <c r="X1336" i="75" s="1"/>
  <c r="T1336" i="75"/>
  <c r="U1336" i="75" s="1"/>
  <c r="Z1335" i="75"/>
  <c r="V1335" i="75"/>
  <c r="X1335" i="75" s="1"/>
  <c r="T1335" i="75"/>
  <c r="U1335" i="75" s="1"/>
  <c r="Z1334" i="75"/>
  <c r="V1334" i="75"/>
  <c r="X1334" i="75" s="1"/>
  <c r="T1334" i="75"/>
  <c r="U1334" i="75" s="1"/>
  <c r="Z1333" i="75"/>
  <c r="V1333" i="75"/>
  <c r="X1333" i="75" s="1"/>
  <c r="T1333" i="75"/>
  <c r="U1333" i="75" s="1"/>
  <c r="Z1332" i="75"/>
  <c r="V1332" i="75"/>
  <c r="X1332" i="75" s="1"/>
  <c r="T1332" i="75"/>
  <c r="U1332" i="75" s="1"/>
  <c r="Z1331" i="75"/>
  <c r="V1331" i="75"/>
  <c r="X1331" i="75" s="1"/>
  <c r="T1331" i="75"/>
  <c r="U1331" i="75" s="1"/>
  <c r="Z1330" i="75"/>
  <c r="V1330" i="75"/>
  <c r="X1330" i="75" s="1"/>
  <c r="T1330" i="75"/>
  <c r="U1330" i="75" s="1"/>
  <c r="Z1329" i="75"/>
  <c r="V1329" i="75"/>
  <c r="X1329" i="75" s="1"/>
  <c r="T1329" i="75"/>
  <c r="U1329" i="75" s="1"/>
  <c r="Z1328" i="75"/>
  <c r="V1328" i="75"/>
  <c r="X1328" i="75" s="1"/>
  <c r="T1328" i="75"/>
  <c r="U1328" i="75" s="1"/>
  <c r="Z1327" i="75"/>
  <c r="V1327" i="75"/>
  <c r="X1327" i="75" s="1"/>
  <c r="T1327" i="75"/>
  <c r="U1327" i="75" s="1"/>
  <c r="Z1326" i="75"/>
  <c r="V1326" i="75"/>
  <c r="X1326" i="75" s="1"/>
  <c r="T1326" i="75"/>
  <c r="U1326" i="75" s="1"/>
  <c r="Z1325" i="75"/>
  <c r="V1325" i="75"/>
  <c r="X1325" i="75" s="1"/>
  <c r="T1325" i="75"/>
  <c r="U1325" i="75" s="1"/>
  <c r="Z1324" i="75"/>
  <c r="V1324" i="75"/>
  <c r="X1324" i="75" s="1"/>
  <c r="T1324" i="75"/>
  <c r="U1324" i="75" s="1"/>
  <c r="Z1323" i="75"/>
  <c r="V1323" i="75"/>
  <c r="X1323" i="75" s="1"/>
  <c r="T1323" i="75"/>
  <c r="U1323" i="75" s="1"/>
  <c r="Z1322" i="75"/>
  <c r="V1322" i="75"/>
  <c r="X1322" i="75" s="1"/>
  <c r="T1322" i="75"/>
  <c r="U1322" i="75" s="1"/>
  <c r="Z1321" i="75"/>
  <c r="V1321" i="75"/>
  <c r="X1321" i="75" s="1"/>
  <c r="T1321" i="75"/>
  <c r="U1321" i="75" s="1"/>
  <c r="Z1320" i="75"/>
  <c r="V1320" i="75"/>
  <c r="X1320" i="75" s="1"/>
  <c r="T1320" i="75"/>
  <c r="U1320" i="75" s="1"/>
  <c r="Z1319" i="75"/>
  <c r="V1319" i="75"/>
  <c r="X1319" i="75" s="1"/>
  <c r="T1319" i="75"/>
  <c r="U1319" i="75" s="1"/>
  <c r="Z1318" i="75"/>
  <c r="V1318" i="75"/>
  <c r="X1318" i="75" s="1"/>
  <c r="T1318" i="75"/>
  <c r="U1318" i="75" s="1"/>
  <c r="Z1317" i="75"/>
  <c r="V1317" i="75"/>
  <c r="X1317" i="75" s="1"/>
  <c r="T1317" i="75"/>
  <c r="U1317" i="75" s="1"/>
  <c r="Z1316" i="75"/>
  <c r="V1316" i="75"/>
  <c r="X1316" i="75" s="1"/>
  <c r="T1316" i="75"/>
  <c r="U1316" i="75" s="1"/>
  <c r="Z1315" i="75"/>
  <c r="V1315" i="75"/>
  <c r="X1315" i="75" s="1"/>
  <c r="T1315" i="75"/>
  <c r="U1315" i="75" s="1"/>
  <c r="Z1314" i="75"/>
  <c r="V1314" i="75"/>
  <c r="X1314" i="75" s="1"/>
  <c r="T1314" i="75"/>
  <c r="U1314" i="75" s="1"/>
  <c r="Z1313" i="75"/>
  <c r="V1313" i="75"/>
  <c r="X1313" i="75" s="1"/>
  <c r="T1313" i="75"/>
  <c r="U1313" i="75" s="1"/>
  <c r="Z1312" i="75"/>
  <c r="V1312" i="75"/>
  <c r="X1312" i="75" s="1"/>
  <c r="T1312" i="75"/>
  <c r="U1312" i="75" s="1"/>
  <c r="Z1311" i="75"/>
  <c r="V1311" i="75"/>
  <c r="X1311" i="75" s="1"/>
  <c r="T1311" i="75"/>
  <c r="U1311" i="75" s="1"/>
  <c r="Z1310" i="75"/>
  <c r="V1310" i="75"/>
  <c r="X1310" i="75" s="1"/>
  <c r="T1310" i="75"/>
  <c r="U1310" i="75" s="1"/>
  <c r="Z1309" i="75"/>
  <c r="V1309" i="75"/>
  <c r="X1309" i="75" s="1"/>
  <c r="T1309" i="75"/>
  <c r="U1309" i="75" s="1"/>
  <c r="Z1308" i="75"/>
  <c r="V1308" i="75"/>
  <c r="X1308" i="75" s="1"/>
  <c r="T1308" i="75"/>
  <c r="U1308" i="75" s="1"/>
  <c r="Z1307" i="75"/>
  <c r="V1307" i="75"/>
  <c r="X1307" i="75" s="1"/>
  <c r="T1307" i="75"/>
  <c r="U1307" i="75" s="1"/>
  <c r="Z1306" i="75"/>
  <c r="V1306" i="75"/>
  <c r="X1306" i="75" s="1"/>
  <c r="T1306" i="75"/>
  <c r="U1306" i="75" s="1"/>
  <c r="Z1305" i="75"/>
  <c r="V1305" i="75"/>
  <c r="X1305" i="75" s="1"/>
  <c r="T1305" i="75"/>
  <c r="U1305" i="75" s="1"/>
  <c r="Z1304" i="75"/>
  <c r="V1304" i="75"/>
  <c r="X1304" i="75" s="1"/>
  <c r="T1304" i="75"/>
  <c r="U1304" i="75" s="1"/>
  <c r="Z1303" i="75"/>
  <c r="V1303" i="75"/>
  <c r="X1303" i="75" s="1"/>
  <c r="T1303" i="75"/>
  <c r="U1303" i="75" s="1"/>
  <c r="Z1302" i="75"/>
  <c r="V1302" i="75"/>
  <c r="X1302" i="75" s="1"/>
  <c r="T1302" i="75"/>
  <c r="U1302" i="75" s="1"/>
  <c r="Z1301" i="75"/>
  <c r="V1301" i="75"/>
  <c r="X1301" i="75" s="1"/>
  <c r="T1301" i="75"/>
  <c r="U1301" i="75" s="1"/>
  <c r="Z1300" i="75"/>
  <c r="V1300" i="75"/>
  <c r="X1300" i="75" s="1"/>
  <c r="T1300" i="75"/>
  <c r="U1300" i="75" s="1"/>
  <c r="Z1299" i="75"/>
  <c r="V1299" i="75"/>
  <c r="X1299" i="75" s="1"/>
  <c r="T1299" i="75"/>
  <c r="U1299" i="75" s="1"/>
  <c r="Z1298" i="75"/>
  <c r="V1298" i="75"/>
  <c r="X1298" i="75" s="1"/>
  <c r="T1298" i="75"/>
  <c r="U1298" i="75" s="1"/>
  <c r="Z1297" i="75"/>
  <c r="V1297" i="75"/>
  <c r="X1297" i="75" s="1"/>
  <c r="T1297" i="75"/>
  <c r="U1297" i="75" s="1"/>
  <c r="Z1296" i="75"/>
  <c r="V1296" i="75"/>
  <c r="X1296" i="75" s="1"/>
  <c r="T1296" i="75"/>
  <c r="U1296" i="75" s="1"/>
  <c r="Z1295" i="75"/>
  <c r="V1295" i="75"/>
  <c r="X1295" i="75" s="1"/>
  <c r="T1295" i="75"/>
  <c r="U1295" i="75" s="1"/>
  <c r="Z1294" i="75"/>
  <c r="V1294" i="75"/>
  <c r="X1294" i="75" s="1"/>
  <c r="T1294" i="75"/>
  <c r="U1294" i="75" s="1"/>
  <c r="Z1293" i="75"/>
  <c r="V1293" i="75"/>
  <c r="X1293" i="75" s="1"/>
  <c r="T1293" i="75"/>
  <c r="U1293" i="75" s="1"/>
  <c r="Z1292" i="75"/>
  <c r="V1292" i="75"/>
  <c r="X1292" i="75" s="1"/>
  <c r="T1292" i="75"/>
  <c r="U1292" i="75" s="1"/>
  <c r="Z1291" i="75"/>
  <c r="V1291" i="75"/>
  <c r="X1291" i="75" s="1"/>
  <c r="T1291" i="75"/>
  <c r="U1291" i="75" s="1"/>
  <c r="Z1290" i="75"/>
  <c r="V1290" i="75"/>
  <c r="X1290" i="75" s="1"/>
  <c r="T1290" i="75"/>
  <c r="U1290" i="75" s="1"/>
  <c r="Z1289" i="75"/>
  <c r="V1289" i="75"/>
  <c r="X1289" i="75" s="1"/>
  <c r="T1289" i="75"/>
  <c r="U1289" i="75" s="1"/>
  <c r="Z1288" i="75"/>
  <c r="V1288" i="75"/>
  <c r="X1288" i="75" s="1"/>
  <c r="T1288" i="75"/>
  <c r="U1288" i="75" s="1"/>
  <c r="Z1287" i="75"/>
  <c r="V1287" i="75"/>
  <c r="X1287" i="75" s="1"/>
  <c r="T1287" i="75"/>
  <c r="U1287" i="75" s="1"/>
  <c r="Z1286" i="75"/>
  <c r="V1286" i="75"/>
  <c r="X1286" i="75" s="1"/>
  <c r="T1286" i="75"/>
  <c r="U1286" i="75" s="1"/>
  <c r="Z1285" i="75"/>
  <c r="V1285" i="75"/>
  <c r="X1285" i="75" s="1"/>
  <c r="T1285" i="75"/>
  <c r="U1285" i="75" s="1"/>
  <c r="Z1284" i="75"/>
  <c r="V1284" i="75"/>
  <c r="X1284" i="75" s="1"/>
  <c r="T1284" i="75"/>
  <c r="U1284" i="75" s="1"/>
  <c r="Z1283" i="75"/>
  <c r="V1283" i="75"/>
  <c r="X1283" i="75" s="1"/>
  <c r="T1283" i="75"/>
  <c r="U1283" i="75" s="1"/>
  <c r="Z1282" i="75"/>
  <c r="V1282" i="75"/>
  <c r="X1282" i="75" s="1"/>
  <c r="T1282" i="75"/>
  <c r="U1282" i="75" s="1"/>
  <c r="Z1281" i="75"/>
  <c r="V1281" i="75"/>
  <c r="X1281" i="75" s="1"/>
  <c r="T1281" i="75"/>
  <c r="U1281" i="75" s="1"/>
  <c r="Z1280" i="75"/>
  <c r="V1280" i="75"/>
  <c r="X1280" i="75" s="1"/>
  <c r="T1280" i="75"/>
  <c r="U1280" i="75" s="1"/>
  <c r="Z1279" i="75"/>
  <c r="V1279" i="75"/>
  <c r="X1279" i="75" s="1"/>
  <c r="T1279" i="75"/>
  <c r="U1279" i="75" s="1"/>
  <c r="Z1278" i="75"/>
  <c r="V1278" i="75"/>
  <c r="X1278" i="75" s="1"/>
  <c r="T1278" i="75"/>
  <c r="U1278" i="75" s="1"/>
  <c r="Z1277" i="75"/>
  <c r="V1277" i="75"/>
  <c r="X1277" i="75" s="1"/>
  <c r="T1277" i="75"/>
  <c r="U1277" i="75" s="1"/>
  <c r="Z1276" i="75"/>
  <c r="V1276" i="75"/>
  <c r="X1276" i="75" s="1"/>
  <c r="T1276" i="75"/>
  <c r="U1276" i="75" s="1"/>
  <c r="Z1275" i="75"/>
  <c r="V1275" i="75"/>
  <c r="X1275" i="75" s="1"/>
  <c r="T1275" i="75"/>
  <c r="U1275" i="75" s="1"/>
  <c r="Z1274" i="75"/>
  <c r="V1274" i="75"/>
  <c r="X1274" i="75" s="1"/>
  <c r="T1274" i="75"/>
  <c r="U1274" i="75" s="1"/>
  <c r="Z1273" i="75"/>
  <c r="V1273" i="75"/>
  <c r="X1273" i="75" s="1"/>
  <c r="T1273" i="75"/>
  <c r="U1273" i="75" s="1"/>
  <c r="Z1272" i="75"/>
  <c r="V1272" i="75"/>
  <c r="X1272" i="75" s="1"/>
  <c r="T1272" i="75"/>
  <c r="U1272" i="75" s="1"/>
  <c r="Z1271" i="75"/>
  <c r="V1271" i="75"/>
  <c r="X1271" i="75" s="1"/>
  <c r="T1271" i="75"/>
  <c r="U1271" i="75" s="1"/>
  <c r="Z1270" i="75"/>
  <c r="V1270" i="75"/>
  <c r="X1270" i="75" s="1"/>
  <c r="T1270" i="75"/>
  <c r="U1270" i="75" s="1"/>
  <c r="Z1269" i="75"/>
  <c r="V1269" i="75"/>
  <c r="X1269" i="75" s="1"/>
  <c r="T1269" i="75"/>
  <c r="U1269" i="75" s="1"/>
  <c r="Z1268" i="75"/>
  <c r="V1268" i="75"/>
  <c r="X1268" i="75" s="1"/>
  <c r="T1268" i="75"/>
  <c r="U1268" i="75" s="1"/>
  <c r="Z1267" i="75"/>
  <c r="V1267" i="75"/>
  <c r="X1267" i="75" s="1"/>
  <c r="T1267" i="75"/>
  <c r="U1267" i="75" s="1"/>
  <c r="Z1266" i="75"/>
  <c r="V1266" i="75"/>
  <c r="X1266" i="75" s="1"/>
  <c r="T1266" i="75"/>
  <c r="U1266" i="75" s="1"/>
  <c r="Z1265" i="75"/>
  <c r="V1265" i="75"/>
  <c r="X1265" i="75" s="1"/>
  <c r="T1265" i="75"/>
  <c r="U1265" i="75" s="1"/>
  <c r="Z1264" i="75"/>
  <c r="V1264" i="75"/>
  <c r="X1264" i="75" s="1"/>
  <c r="T1264" i="75"/>
  <c r="U1264" i="75" s="1"/>
  <c r="Z1263" i="75"/>
  <c r="V1263" i="75"/>
  <c r="X1263" i="75" s="1"/>
  <c r="T1263" i="75"/>
  <c r="U1263" i="75" s="1"/>
  <c r="Z1262" i="75"/>
  <c r="V1262" i="75"/>
  <c r="X1262" i="75" s="1"/>
  <c r="T1262" i="75"/>
  <c r="U1262" i="75" s="1"/>
  <c r="Z1261" i="75"/>
  <c r="V1261" i="75"/>
  <c r="X1261" i="75" s="1"/>
  <c r="T1261" i="75"/>
  <c r="U1261" i="75" s="1"/>
  <c r="Z1260" i="75"/>
  <c r="V1260" i="75"/>
  <c r="X1260" i="75" s="1"/>
  <c r="T1260" i="75"/>
  <c r="U1260" i="75" s="1"/>
  <c r="Z1259" i="75"/>
  <c r="V1259" i="75"/>
  <c r="X1259" i="75" s="1"/>
  <c r="T1259" i="75"/>
  <c r="U1259" i="75" s="1"/>
  <c r="Z1258" i="75"/>
  <c r="V1258" i="75"/>
  <c r="X1258" i="75" s="1"/>
  <c r="T1258" i="75"/>
  <c r="U1258" i="75" s="1"/>
  <c r="Z1257" i="75"/>
  <c r="V1257" i="75"/>
  <c r="X1257" i="75" s="1"/>
  <c r="T1257" i="75"/>
  <c r="U1257" i="75" s="1"/>
  <c r="Z1256" i="75"/>
  <c r="V1256" i="75"/>
  <c r="X1256" i="75" s="1"/>
  <c r="T1256" i="75"/>
  <c r="U1256" i="75" s="1"/>
  <c r="Z1255" i="75"/>
  <c r="V1255" i="75"/>
  <c r="X1255" i="75" s="1"/>
  <c r="T1255" i="75"/>
  <c r="U1255" i="75" s="1"/>
  <c r="Z1254" i="75"/>
  <c r="V1254" i="75"/>
  <c r="X1254" i="75" s="1"/>
  <c r="T1254" i="75"/>
  <c r="U1254" i="75" s="1"/>
  <c r="Z1253" i="75"/>
  <c r="V1253" i="75"/>
  <c r="X1253" i="75" s="1"/>
  <c r="T1253" i="75"/>
  <c r="U1253" i="75" s="1"/>
  <c r="Z1252" i="75"/>
  <c r="V1252" i="75"/>
  <c r="X1252" i="75" s="1"/>
  <c r="T1252" i="75"/>
  <c r="U1252" i="75" s="1"/>
  <c r="Z1251" i="75"/>
  <c r="V1251" i="75"/>
  <c r="X1251" i="75" s="1"/>
  <c r="T1251" i="75"/>
  <c r="U1251" i="75" s="1"/>
  <c r="Z1250" i="75"/>
  <c r="V1250" i="75"/>
  <c r="X1250" i="75" s="1"/>
  <c r="T1250" i="75"/>
  <c r="U1250" i="75" s="1"/>
  <c r="Z1249" i="75"/>
  <c r="V1249" i="75"/>
  <c r="X1249" i="75" s="1"/>
  <c r="T1249" i="75"/>
  <c r="U1249" i="75" s="1"/>
  <c r="Z1248" i="75"/>
  <c r="V1248" i="75"/>
  <c r="X1248" i="75" s="1"/>
  <c r="T1248" i="75"/>
  <c r="U1248" i="75" s="1"/>
  <c r="Z1247" i="75"/>
  <c r="V1247" i="75"/>
  <c r="X1247" i="75" s="1"/>
  <c r="T1247" i="75"/>
  <c r="U1247" i="75" s="1"/>
  <c r="Z1246" i="75"/>
  <c r="V1246" i="75"/>
  <c r="X1246" i="75" s="1"/>
  <c r="T1246" i="75"/>
  <c r="U1246" i="75" s="1"/>
  <c r="Z1245" i="75"/>
  <c r="V1245" i="75"/>
  <c r="X1245" i="75" s="1"/>
  <c r="T1245" i="75"/>
  <c r="U1245" i="75" s="1"/>
  <c r="Z1244" i="75"/>
  <c r="V1244" i="75"/>
  <c r="X1244" i="75" s="1"/>
  <c r="T1244" i="75"/>
  <c r="U1244" i="75" s="1"/>
  <c r="Z1243" i="75"/>
  <c r="V1243" i="75"/>
  <c r="X1243" i="75" s="1"/>
  <c r="T1243" i="75"/>
  <c r="U1243" i="75" s="1"/>
  <c r="Z1242" i="75"/>
  <c r="V1242" i="75"/>
  <c r="X1242" i="75" s="1"/>
  <c r="T1242" i="75"/>
  <c r="U1242" i="75" s="1"/>
  <c r="Z1241" i="75"/>
  <c r="V1241" i="75"/>
  <c r="X1241" i="75" s="1"/>
  <c r="T1241" i="75"/>
  <c r="U1241" i="75" s="1"/>
  <c r="Z1240" i="75"/>
  <c r="V1240" i="75"/>
  <c r="X1240" i="75" s="1"/>
  <c r="T1240" i="75"/>
  <c r="U1240" i="75" s="1"/>
  <c r="Z1239" i="75"/>
  <c r="V1239" i="75"/>
  <c r="X1239" i="75" s="1"/>
  <c r="T1239" i="75"/>
  <c r="U1239" i="75" s="1"/>
  <c r="Z1238" i="75"/>
  <c r="V1238" i="75"/>
  <c r="X1238" i="75" s="1"/>
  <c r="T1238" i="75"/>
  <c r="U1238" i="75" s="1"/>
  <c r="Z1237" i="75"/>
  <c r="V1237" i="75"/>
  <c r="X1237" i="75" s="1"/>
  <c r="T1237" i="75"/>
  <c r="U1237" i="75" s="1"/>
  <c r="Z1236" i="75"/>
  <c r="V1236" i="75"/>
  <c r="X1236" i="75" s="1"/>
  <c r="T1236" i="75"/>
  <c r="U1236" i="75" s="1"/>
  <c r="Z1235" i="75"/>
  <c r="V1235" i="75"/>
  <c r="X1235" i="75" s="1"/>
  <c r="T1235" i="75"/>
  <c r="U1235" i="75" s="1"/>
  <c r="Z1234" i="75"/>
  <c r="V1234" i="75"/>
  <c r="X1234" i="75" s="1"/>
  <c r="T1234" i="75"/>
  <c r="U1234" i="75" s="1"/>
  <c r="Z1233" i="75"/>
  <c r="V1233" i="75"/>
  <c r="X1233" i="75" s="1"/>
  <c r="T1233" i="75"/>
  <c r="U1233" i="75" s="1"/>
  <c r="Z1232" i="75"/>
  <c r="V1232" i="75"/>
  <c r="X1232" i="75" s="1"/>
  <c r="T1232" i="75"/>
  <c r="U1232" i="75" s="1"/>
  <c r="Z1231" i="75"/>
  <c r="V1231" i="75"/>
  <c r="X1231" i="75" s="1"/>
  <c r="T1231" i="75"/>
  <c r="U1231" i="75" s="1"/>
  <c r="Z1230" i="75"/>
  <c r="V1230" i="75"/>
  <c r="X1230" i="75" s="1"/>
  <c r="T1230" i="75"/>
  <c r="U1230" i="75" s="1"/>
  <c r="Z1229" i="75"/>
  <c r="V1229" i="75"/>
  <c r="X1229" i="75" s="1"/>
  <c r="T1229" i="75"/>
  <c r="U1229" i="75" s="1"/>
  <c r="Z1228" i="75"/>
  <c r="V1228" i="75"/>
  <c r="X1228" i="75" s="1"/>
  <c r="T1228" i="75"/>
  <c r="U1228" i="75" s="1"/>
  <c r="Z1227" i="75"/>
  <c r="V1227" i="75"/>
  <c r="X1227" i="75" s="1"/>
  <c r="T1227" i="75"/>
  <c r="U1227" i="75" s="1"/>
  <c r="Z1226" i="75"/>
  <c r="V1226" i="75"/>
  <c r="X1226" i="75" s="1"/>
  <c r="T1226" i="75"/>
  <c r="U1226" i="75" s="1"/>
  <c r="Z1225" i="75"/>
  <c r="V1225" i="75"/>
  <c r="X1225" i="75" s="1"/>
  <c r="T1225" i="75"/>
  <c r="U1225" i="75" s="1"/>
  <c r="Z1224" i="75"/>
  <c r="V1224" i="75"/>
  <c r="X1224" i="75" s="1"/>
  <c r="T1224" i="75"/>
  <c r="U1224" i="75" s="1"/>
  <c r="Z1223" i="75"/>
  <c r="V1223" i="75"/>
  <c r="X1223" i="75" s="1"/>
  <c r="T1223" i="75"/>
  <c r="U1223" i="75" s="1"/>
  <c r="Z1222" i="75"/>
  <c r="V1222" i="75"/>
  <c r="X1222" i="75" s="1"/>
  <c r="T1222" i="75"/>
  <c r="U1222" i="75" s="1"/>
  <c r="Z1221" i="75"/>
  <c r="V1221" i="75"/>
  <c r="X1221" i="75" s="1"/>
  <c r="T1221" i="75"/>
  <c r="U1221" i="75" s="1"/>
  <c r="Z1220" i="75"/>
  <c r="V1220" i="75"/>
  <c r="X1220" i="75" s="1"/>
  <c r="T1220" i="75"/>
  <c r="U1220" i="75" s="1"/>
  <c r="Z1219" i="75"/>
  <c r="V1219" i="75"/>
  <c r="X1219" i="75" s="1"/>
  <c r="T1219" i="75"/>
  <c r="U1219" i="75" s="1"/>
  <c r="Z1218" i="75"/>
  <c r="V1218" i="75"/>
  <c r="X1218" i="75" s="1"/>
  <c r="T1218" i="75"/>
  <c r="U1218" i="75" s="1"/>
  <c r="Z1217" i="75"/>
  <c r="V1217" i="75"/>
  <c r="X1217" i="75" s="1"/>
  <c r="T1217" i="75"/>
  <c r="U1217" i="75" s="1"/>
  <c r="Z1216" i="75"/>
  <c r="V1216" i="75"/>
  <c r="X1216" i="75" s="1"/>
  <c r="T1216" i="75"/>
  <c r="U1216" i="75" s="1"/>
  <c r="Z1215" i="75"/>
  <c r="V1215" i="75"/>
  <c r="X1215" i="75" s="1"/>
  <c r="T1215" i="75"/>
  <c r="U1215" i="75" s="1"/>
  <c r="Z1214" i="75"/>
  <c r="V1214" i="75"/>
  <c r="X1214" i="75" s="1"/>
  <c r="T1214" i="75"/>
  <c r="U1214" i="75" s="1"/>
  <c r="Z1213" i="75"/>
  <c r="V1213" i="75"/>
  <c r="X1213" i="75" s="1"/>
  <c r="T1213" i="75"/>
  <c r="U1213" i="75" s="1"/>
  <c r="Z1212" i="75"/>
  <c r="V1212" i="75"/>
  <c r="X1212" i="75" s="1"/>
  <c r="T1212" i="75"/>
  <c r="U1212" i="75" s="1"/>
  <c r="Z1211" i="75"/>
  <c r="V1211" i="75"/>
  <c r="X1211" i="75" s="1"/>
  <c r="T1211" i="75"/>
  <c r="U1211" i="75" s="1"/>
  <c r="Z1210" i="75"/>
  <c r="V1210" i="75"/>
  <c r="X1210" i="75" s="1"/>
  <c r="T1210" i="75"/>
  <c r="U1210" i="75" s="1"/>
  <c r="Z1209" i="75"/>
  <c r="V1209" i="75"/>
  <c r="X1209" i="75" s="1"/>
  <c r="T1209" i="75"/>
  <c r="U1209" i="75" s="1"/>
  <c r="Z1208" i="75"/>
  <c r="V1208" i="75"/>
  <c r="X1208" i="75" s="1"/>
  <c r="T1208" i="75"/>
  <c r="U1208" i="75" s="1"/>
  <c r="Z1207" i="75"/>
  <c r="V1207" i="75"/>
  <c r="X1207" i="75" s="1"/>
  <c r="T1207" i="75"/>
  <c r="U1207" i="75" s="1"/>
  <c r="Z1206" i="75"/>
  <c r="V1206" i="75"/>
  <c r="X1206" i="75" s="1"/>
  <c r="T1206" i="75"/>
  <c r="U1206" i="75" s="1"/>
  <c r="Z1205" i="75"/>
  <c r="V1205" i="75"/>
  <c r="X1205" i="75" s="1"/>
  <c r="T1205" i="75"/>
  <c r="U1205" i="75" s="1"/>
  <c r="Z1204" i="75"/>
  <c r="V1204" i="75"/>
  <c r="X1204" i="75" s="1"/>
  <c r="T1204" i="75"/>
  <c r="U1204" i="75" s="1"/>
  <c r="Z1203" i="75"/>
  <c r="V1203" i="75"/>
  <c r="X1203" i="75" s="1"/>
  <c r="T1203" i="75"/>
  <c r="U1203" i="75" s="1"/>
  <c r="Z1202" i="75"/>
  <c r="V1202" i="75"/>
  <c r="X1202" i="75" s="1"/>
  <c r="T1202" i="75"/>
  <c r="U1202" i="75" s="1"/>
  <c r="Z1201" i="75"/>
  <c r="V1201" i="75"/>
  <c r="X1201" i="75" s="1"/>
  <c r="T1201" i="75"/>
  <c r="U1201" i="75" s="1"/>
  <c r="Z1200" i="75"/>
  <c r="V1200" i="75"/>
  <c r="X1200" i="75" s="1"/>
  <c r="T1200" i="75"/>
  <c r="U1200" i="75" s="1"/>
  <c r="Z1199" i="75"/>
  <c r="V1199" i="75"/>
  <c r="X1199" i="75" s="1"/>
  <c r="T1199" i="75"/>
  <c r="U1199" i="75" s="1"/>
  <c r="Z1198" i="75"/>
  <c r="V1198" i="75"/>
  <c r="X1198" i="75" s="1"/>
  <c r="T1198" i="75"/>
  <c r="U1198" i="75" s="1"/>
  <c r="Z1197" i="75"/>
  <c r="V1197" i="75"/>
  <c r="X1197" i="75" s="1"/>
  <c r="T1197" i="75"/>
  <c r="U1197" i="75" s="1"/>
  <c r="Z1196" i="75"/>
  <c r="V1196" i="75"/>
  <c r="X1196" i="75" s="1"/>
  <c r="T1196" i="75"/>
  <c r="U1196" i="75" s="1"/>
  <c r="Z1195" i="75"/>
  <c r="V1195" i="75"/>
  <c r="X1195" i="75" s="1"/>
  <c r="T1195" i="75"/>
  <c r="U1195" i="75" s="1"/>
  <c r="Z1194" i="75"/>
  <c r="V1194" i="75"/>
  <c r="X1194" i="75" s="1"/>
  <c r="T1194" i="75"/>
  <c r="U1194" i="75" s="1"/>
  <c r="Z1193" i="75"/>
  <c r="V1193" i="75"/>
  <c r="X1193" i="75" s="1"/>
  <c r="T1193" i="75"/>
  <c r="U1193" i="75" s="1"/>
  <c r="Z1192" i="75"/>
  <c r="V1192" i="75"/>
  <c r="X1192" i="75" s="1"/>
  <c r="T1192" i="75"/>
  <c r="U1192" i="75" s="1"/>
  <c r="Z1191" i="75"/>
  <c r="V1191" i="75"/>
  <c r="X1191" i="75" s="1"/>
  <c r="T1191" i="75"/>
  <c r="U1191" i="75" s="1"/>
  <c r="Z1190" i="75"/>
  <c r="V1190" i="75"/>
  <c r="X1190" i="75" s="1"/>
  <c r="T1190" i="75"/>
  <c r="U1190" i="75" s="1"/>
  <c r="Z1189" i="75"/>
  <c r="V1189" i="75"/>
  <c r="X1189" i="75" s="1"/>
  <c r="T1189" i="75"/>
  <c r="U1189" i="75" s="1"/>
  <c r="Z1188" i="75"/>
  <c r="V1188" i="75"/>
  <c r="X1188" i="75" s="1"/>
  <c r="T1188" i="75"/>
  <c r="U1188" i="75" s="1"/>
  <c r="Z1187" i="75"/>
  <c r="V1187" i="75"/>
  <c r="X1187" i="75" s="1"/>
  <c r="T1187" i="75"/>
  <c r="U1187" i="75" s="1"/>
  <c r="Z1186" i="75"/>
  <c r="V1186" i="75"/>
  <c r="X1186" i="75" s="1"/>
  <c r="T1186" i="75"/>
  <c r="U1186" i="75" s="1"/>
  <c r="Z1185" i="75"/>
  <c r="V1185" i="75"/>
  <c r="X1185" i="75" s="1"/>
  <c r="T1185" i="75"/>
  <c r="U1185" i="75" s="1"/>
  <c r="Z1184" i="75"/>
  <c r="V1184" i="75"/>
  <c r="X1184" i="75" s="1"/>
  <c r="T1184" i="75"/>
  <c r="U1184" i="75" s="1"/>
  <c r="Z1183" i="75"/>
  <c r="V1183" i="75"/>
  <c r="X1183" i="75" s="1"/>
  <c r="T1183" i="75"/>
  <c r="U1183" i="75" s="1"/>
  <c r="Z1182" i="75"/>
  <c r="V1182" i="75"/>
  <c r="X1182" i="75" s="1"/>
  <c r="T1182" i="75"/>
  <c r="U1182" i="75" s="1"/>
  <c r="Z1181" i="75"/>
  <c r="V1181" i="75"/>
  <c r="X1181" i="75" s="1"/>
  <c r="T1181" i="75"/>
  <c r="U1181" i="75" s="1"/>
  <c r="Z1180" i="75"/>
  <c r="V1180" i="75"/>
  <c r="X1180" i="75" s="1"/>
  <c r="T1180" i="75"/>
  <c r="U1180" i="75" s="1"/>
  <c r="Z1179" i="75"/>
  <c r="V1179" i="75"/>
  <c r="X1179" i="75" s="1"/>
  <c r="T1179" i="75"/>
  <c r="U1179" i="75" s="1"/>
  <c r="Z1178" i="75"/>
  <c r="V1178" i="75"/>
  <c r="X1178" i="75" s="1"/>
  <c r="T1178" i="75"/>
  <c r="U1178" i="75" s="1"/>
  <c r="Z1177" i="75"/>
  <c r="V1177" i="75"/>
  <c r="X1177" i="75" s="1"/>
  <c r="T1177" i="75"/>
  <c r="U1177" i="75" s="1"/>
  <c r="Z1176" i="75"/>
  <c r="V1176" i="75"/>
  <c r="X1176" i="75" s="1"/>
  <c r="T1176" i="75"/>
  <c r="U1176" i="75" s="1"/>
  <c r="Z1175" i="75"/>
  <c r="V1175" i="75"/>
  <c r="X1175" i="75" s="1"/>
  <c r="T1175" i="75"/>
  <c r="U1175" i="75" s="1"/>
  <c r="Z1174" i="75"/>
  <c r="V1174" i="75"/>
  <c r="X1174" i="75" s="1"/>
  <c r="T1174" i="75"/>
  <c r="U1174" i="75" s="1"/>
  <c r="Z1173" i="75"/>
  <c r="V1173" i="75"/>
  <c r="X1173" i="75" s="1"/>
  <c r="T1173" i="75"/>
  <c r="U1173" i="75" s="1"/>
  <c r="Z1172" i="75"/>
  <c r="V1172" i="75"/>
  <c r="X1172" i="75" s="1"/>
  <c r="T1172" i="75"/>
  <c r="U1172" i="75" s="1"/>
  <c r="Z1171" i="75"/>
  <c r="V1171" i="75"/>
  <c r="X1171" i="75" s="1"/>
  <c r="T1171" i="75"/>
  <c r="U1171" i="75" s="1"/>
  <c r="Z1170" i="75"/>
  <c r="V1170" i="75"/>
  <c r="X1170" i="75" s="1"/>
  <c r="T1170" i="75"/>
  <c r="U1170" i="75" s="1"/>
  <c r="Z1169" i="75"/>
  <c r="V1169" i="75"/>
  <c r="X1169" i="75" s="1"/>
  <c r="T1169" i="75"/>
  <c r="U1169" i="75" s="1"/>
  <c r="Z1168" i="75"/>
  <c r="V1168" i="75"/>
  <c r="X1168" i="75" s="1"/>
  <c r="T1168" i="75"/>
  <c r="U1168" i="75" s="1"/>
  <c r="Z1167" i="75"/>
  <c r="V1167" i="75"/>
  <c r="X1167" i="75" s="1"/>
  <c r="T1167" i="75"/>
  <c r="U1167" i="75" s="1"/>
  <c r="Z1166" i="75"/>
  <c r="V1166" i="75"/>
  <c r="X1166" i="75" s="1"/>
  <c r="T1166" i="75"/>
  <c r="U1166" i="75" s="1"/>
  <c r="Z1165" i="75"/>
  <c r="V1165" i="75"/>
  <c r="X1165" i="75" s="1"/>
  <c r="T1165" i="75"/>
  <c r="U1165" i="75" s="1"/>
  <c r="Z1164" i="75"/>
  <c r="V1164" i="75"/>
  <c r="X1164" i="75" s="1"/>
  <c r="T1164" i="75"/>
  <c r="U1164" i="75" s="1"/>
  <c r="Z1163" i="75"/>
  <c r="V1163" i="75"/>
  <c r="X1163" i="75" s="1"/>
  <c r="T1163" i="75"/>
  <c r="U1163" i="75" s="1"/>
  <c r="Z1162" i="75"/>
  <c r="V1162" i="75"/>
  <c r="X1162" i="75" s="1"/>
  <c r="T1162" i="75"/>
  <c r="U1162" i="75" s="1"/>
  <c r="Z1161" i="75"/>
  <c r="V1161" i="75"/>
  <c r="X1161" i="75" s="1"/>
  <c r="T1161" i="75"/>
  <c r="U1161" i="75" s="1"/>
  <c r="Z1160" i="75"/>
  <c r="V1160" i="75"/>
  <c r="X1160" i="75" s="1"/>
  <c r="T1160" i="75"/>
  <c r="U1160" i="75" s="1"/>
  <c r="Z1159" i="75"/>
  <c r="V1159" i="75"/>
  <c r="X1159" i="75" s="1"/>
  <c r="T1159" i="75"/>
  <c r="U1159" i="75" s="1"/>
  <c r="Z1158" i="75"/>
  <c r="V1158" i="75"/>
  <c r="X1158" i="75" s="1"/>
  <c r="T1158" i="75"/>
  <c r="U1158" i="75" s="1"/>
  <c r="Z1157" i="75"/>
  <c r="V1157" i="75"/>
  <c r="X1157" i="75" s="1"/>
  <c r="T1157" i="75"/>
  <c r="U1157" i="75" s="1"/>
  <c r="Z1156" i="75"/>
  <c r="V1156" i="75"/>
  <c r="X1156" i="75" s="1"/>
  <c r="T1156" i="75"/>
  <c r="U1156" i="75" s="1"/>
  <c r="Z1155" i="75"/>
  <c r="V1155" i="75"/>
  <c r="X1155" i="75" s="1"/>
  <c r="T1155" i="75"/>
  <c r="U1155" i="75" s="1"/>
  <c r="Z1154" i="75"/>
  <c r="V1154" i="75"/>
  <c r="X1154" i="75" s="1"/>
  <c r="T1154" i="75"/>
  <c r="U1154" i="75" s="1"/>
  <c r="Z1153" i="75"/>
  <c r="V1153" i="75"/>
  <c r="X1153" i="75" s="1"/>
  <c r="T1153" i="75"/>
  <c r="U1153" i="75" s="1"/>
  <c r="Z1152" i="75"/>
  <c r="V1152" i="75"/>
  <c r="X1152" i="75" s="1"/>
  <c r="T1152" i="75"/>
  <c r="U1152" i="75" s="1"/>
  <c r="Z1151" i="75"/>
  <c r="V1151" i="75"/>
  <c r="X1151" i="75" s="1"/>
  <c r="T1151" i="75"/>
  <c r="U1151" i="75" s="1"/>
  <c r="Z1150" i="75"/>
  <c r="V1150" i="75"/>
  <c r="X1150" i="75" s="1"/>
  <c r="T1150" i="75"/>
  <c r="U1150" i="75" s="1"/>
  <c r="Z1149" i="75"/>
  <c r="V1149" i="75"/>
  <c r="X1149" i="75" s="1"/>
  <c r="T1149" i="75"/>
  <c r="U1149" i="75" s="1"/>
  <c r="Z1148" i="75"/>
  <c r="V1148" i="75"/>
  <c r="X1148" i="75" s="1"/>
  <c r="T1148" i="75"/>
  <c r="U1148" i="75" s="1"/>
  <c r="Z1147" i="75"/>
  <c r="V1147" i="75"/>
  <c r="X1147" i="75" s="1"/>
  <c r="T1147" i="75"/>
  <c r="U1147" i="75" s="1"/>
  <c r="Z1146" i="75"/>
  <c r="V1146" i="75"/>
  <c r="X1146" i="75" s="1"/>
  <c r="T1146" i="75"/>
  <c r="U1146" i="75" s="1"/>
  <c r="Z1145" i="75"/>
  <c r="V1145" i="75"/>
  <c r="X1145" i="75" s="1"/>
  <c r="T1145" i="75"/>
  <c r="U1145" i="75" s="1"/>
  <c r="Z1144" i="75"/>
  <c r="V1144" i="75"/>
  <c r="X1144" i="75" s="1"/>
  <c r="T1144" i="75"/>
  <c r="U1144" i="75" s="1"/>
  <c r="Z1143" i="75"/>
  <c r="V1143" i="75"/>
  <c r="X1143" i="75" s="1"/>
  <c r="T1143" i="75"/>
  <c r="U1143" i="75" s="1"/>
  <c r="Z1142" i="75"/>
  <c r="V1142" i="75"/>
  <c r="X1142" i="75" s="1"/>
  <c r="T1142" i="75"/>
  <c r="U1142" i="75" s="1"/>
  <c r="Z1141" i="75"/>
  <c r="V1141" i="75"/>
  <c r="X1141" i="75" s="1"/>
  <c r="T1141" i="75"/>
  <c r="U1141" i="75" s="1"/>
  <c r="Z1140" i="75"/>
  <c r="V1140" i="75"/>
  <c r="X1140" i="75" s="1"/>
  <c r="T1140" i="75"/>
  <c r="U1140" i="75" s="1"/>
  <c r="Z1139" i="75"/>
  <c r="V1139" i="75"/>
  <c r="X1139" i="75" s="1"/>
  <c r="T1139" i="75"/>
  <c r="U1139" i="75" s="1"/>
  <c r="Z1138" i="75"/>
  <c r="V1138" i="75"/>
  <c r="X1138" i="75" s="1"/>
  <c r="T1138" i="75"/>
  <c r="U1138" i="75" s="1"/>
  <c r="Z1137" i="75"/>
  <c r="V1137" i="75"/>
  <c r="X1137" i="75" s="1"/>
  <c r="T1137" i="75"/>
  <c r="U1137" i="75" s="1"/>
  <c r="Z1136" i="75"/>
  <c r="V1136" i="75"/>
  <c r="X1136" i="75" s="1"/>
  <c r="T1136" i="75"/>
  <c r="U1136" i="75" s="1"/>
  <c r="Z1135" i="75"/>
  <c r="V1135" i="75"/>
  <c r="X1135" i="75" s="1"/>
  <c r="T1135" i="75"/>
  <c r="U1135" i="75" s="1"/>
  <c r="Z1134" i="75"/>
  <c r="V1134" i="75"/>
  <c r="X1134" i="75" s="1"/>
  <c r="T1134" i="75"/>
  <c r="U1134" i="75" s="1"/>
  <c r="Z1133" i="75"/>
  <c r="V1133" i="75"/>
  <c r="X1133" i="75" s="1"/>
  <c r="T1133" i="75"/>
  <c r="U1133" i="75" s="1"/>
  <c r="Z1132" i="75"/>
  <c r="V1132" i="75"/>
  <c r="X1132" i="75" s="1"/>
  <c r="T1132" i="75"/>
  <c r="U1132" i="75" s="1"/>
  <c r="Z1131" i="75"/>
  <c r="V1131" i="75"/>
  <c r="X1131" i="75" s="1"/>
  <c r="T1131" i="75"/>
  <c r="U1131" i="75" s="1"/>
  <c r="Z1130" i="75"/>
  <c r="V1130" i="75"/>
  <c r="X1130" i="75" s="1"/>
  <c r="T1130" i="75"/>
  <c r="U1130" i="75" s="1"/>
  <c r="Z1129" i="75"/>
  <c r="V1129" i="75"/>
  <c r="X1129" i="75" s="1"/>
  <c r="T1129" i="75"/>
  <c r="U1129" i="75" s="1"/>
  <c r="Z1128" i="75"/>
  <c r="V1128" i="75"/>
  <c r="X1128" i="75" s="1"/>
  <c r="T1128" i="75"/>
  <c r="U1128" i="75" s="1"/>
  <c r="Z1127" i="75"/>
  <c r="V1127" i="75"/>
  <c r="X1127" i="75" s="1"/>
  <c r="T1127" i="75"/>
  <c r="U1127" i="75" s="1"/>
  <c r="Z1126" i="75"/>
  <c r="V1126" i="75"/>
  <c r="X1126" i="75" s="1"/>
  <c r="T1126" i="75"/>
  <c r="U1126" i="75" s="1"/>
  <c r="Z1125" i="75"/>
  <c r="V1125" i="75"/>
  <c r="X1125" i="75" s="1"/>
  <c r="T1125" i="75"/>
  <c r="U1125" i="75" s="1"/>
  <c r="Z1124" i="75"/>
  <c r="V1124" i="75"/>
  <c r="X1124" i="75" s="1"/>
  <c r="T1124" i="75"/>
  <c r="U1124" i="75" s="1"/>
  <c r="Z1123" i="75"/>
  <c r="V1123" i="75"/>
  <c r="X1123" i="75" s="1"/>
  <c r="T1123" i="75"/>
  <c r="U1123" i="75" s="1"/>
  <c r="Z1122" i="75"/>
  <c r="V1122" i="75"/>
  <c r="X1122" i="75" s="1"/>
  <c r="T1122" i="75"/>
  <c r="U1122" i="75" s="1"/>
  <c r="Z1121" i="75"/>
  <c r="V1121" i="75"/>
  <c r="X1121" i="75" s="1"/>
  <c r="T1121" i="75"/>
  <c r="U1121" i="75" s="1"/>
  <c r="Z1120" i="75"/>
  <c r="V1120" i="75"/>
  <c r="X1120" i="75" s="1"/>
  <c r="T1120" i="75"/>
  <c r="U1120" i="75" s="1"/>
  <c r="Z1119" i="75"/>
  <c r="V1119" i="75"/>
  <c r="X1119" i="75" s="1"/>
  <c r="T1119" i="75"/>
  <c r="U1119" i="75" s="1"/>
  <c r="Z1118" i="75"/>
  <c r="V1118" i="75"/>
  <c r="X1118" i="75" s="1"/>
  <c r="T1118" i="75"/>
  <c r="U1118" i="75" s="1"/>
  <c r="Z1117" i="75"/>
  <c r="V1117" i="75"/>
  <c r="X1117" i="75" s="1"/>
  <c r="T1117" i="75"/>
  <c r="U1117" i="75" s="1"/>
  <c r="Z1116" i="75"/>
  <c r="V1116" i="75"/>
  <c r="X1116" i="75" s="1"/>
  <c r="T1116" i="75"/>
  <c r="U1116" i="75" s="1"/>
  <c r="Z1115" i="75"/>
  <c r="V1115" i="75"/>
  <c r="X1115" i="75" s="1"/>
  <c r="T1115" i="75"/>
  <c r="U1115" i="75" s="1"/>
  <c r="Z1114" i="75"/>
  <c r="V1114" i="75"/>
  <c r="X1114" i="75" s="1"/>
  <c r="T1114" i="75"/>
  <c r="U1114" i="75" s="1"/>
  <c r="Z1113" i="75"/>
  <c r="V1113" i="75"/>
  <c r="X1113" i="75" s="1"/>
  <c r="T1113" i="75"/>
  <c r="U1113" i="75" s="1"/>
  <c r="Z1112" i="75"/>
  <c r="V1112" i="75"/>
  <c r="X1112" i="75" s="1"/>
  <c r="T1112" i="75"/>
  <c r="U1112" i="75" s="1"/>
  <c r="Z1111" i="75"/>
  <c r="V1111" i="75"/>
  <c r="X1111" i="75" s="1"/>
  <c r="T1111" i="75"/>
  <c r="U1111" i="75" s="1"/>
  <c r="Z1110" i="75"/>
  <c r="V1110" i="75"/>
  <c r="X1110" i="75" s="1"/>
  <c r="T1110" i="75"/>
  <c r="U1110" i="75" s="1"/>
  <c r="Z1109" i="75"/>
  <c r="V1109" i="75"/>
  <c r="X1109" i="75" s="1"/>
  <c r="T1109" i="75"/>
  <c r="U1109" i="75" s="1"/>
  <c r="Z1108" i="75"/>
  <c r="V1108" i="75"/>
  <c r="X1108" i="75" s="1"/>
  <c r="T1108" i="75"/>
  <c r="U1108" i="75" s="1"/>
  <c r="Z1107" i="75"/>
  <c r="V1107" i="75"/>
  <c r="X1107" i="75" s="1"/>
  <c r="T1107" i="75"/>
  <c r="U1107" i="75" s="1"/>
  <c r="Z1106" i="75"/>
  <c r="V1106" i="75"/>
  <c r="X1106" i="75" s="1"/>
  <c r="T1106" i="75"/>
  <c r="U1106" i="75" s="1"/>
  <c r="Z1105" i="75"/>
  <c r="V1105" i="75"/>
  <c r="X1105" i="75" s="1"/>
  <c r="T1105" i="75"/>
  <c r="U1105" i="75" s="1"/>
  <c r="Z1104" i="75"/>
  <c r="V1104" i="75"/>
  <c r="X1104" i="75" s="1"/>
  <c r="T1104" i="75"/>
  <c r="U1104" i="75" s="1"/>
  <c r="Z1103" i="75"/>
  <c r="V1103" i="75"/>
  <c r="X1103" i="75" s="1"/>
  <c r="T1103" i="75"/>
  <c r="U1103" i="75" s="1"/>
  <c r="Z1102" i="75"/>
  <c r="V1102" i="75"/>
  <c r="X1102" i="75" s="1"/>
  <c r="T1102" i="75"/>
  <c r="U1102" i="75" s="1"/>
  <c r="Z1101" i="75"/>
  <c r="V1101" i="75"/>
  <c r="X1101" i="75" s="1"/>
  <c r="T1101" i="75"/>
  <c r="U1101" i="75" s="1"/>
  <c r="Z1100" i="75"/>
  <c r="V1100" i="75"/>
  <c r="X1100" i="75" s="1"/>
  <c r="T1100" i="75"/>
  <c r="U1100" i="75" s="1"/>
  <c r="Z1099" i="75"/>
  <c r="V1099" i="75"/>
  <c r="X1099" i="75" s="1"/>
  <c r="T1099" i="75"/>
  <c r="U1099" i="75" s="1"/>
  <c r="Z1098" i="75"/>
  <c r="V1098" i="75"/>
  <c r="X1098" i="75" s="1"/>
  <c r="T1098" i="75"/>
  <c r="U1098" i="75" s="1"/>
  <c r="Z1097" i="75"/>
  <c r="V1097" i="75"/>
  <c r="X1097" i="75" s="1"/>
  <c r="T1097" i="75"/>
  <c r="U1097" i="75" s="1"/>
  <c r="Z1096" i="75"/>
  <c r="V1096" i="75"/>
  <c r="X1096" i="75" s="1"/>
  <c r="T1096" i="75"/>
  <c r="U1096" i="75" s="1"/>
  <c r="Z1095" i="75"/>
  <c r="V1095" i="75"/>
  <c r="X1095" i="75" s="1"/>
  <c r="T1095" i="75"/>
  <c r="U1095" i="75" s="1"/>
  <c r="Z1094" i="75"/>
  <c r="V1094" i="75"/>
  <c r="X1094" i="75" s="1"/>
  <c r="T1094" i="75"/>
  <c r="U1094" i="75" s="1"/>
  <c r="Z1093" i="75"/>
  <c r="V1093" i="75"/>
  <c r="X1093" i="75" s="1"/>
  <c r="T1093" i="75"/>
  <c r="U1093" i="75" s="1"/>
  <c r="Z1092" i="75"/>
  <c r="V1092" i="75"/>
  <c r="X1092" i="75" s="1"/>
  <c r="T1092" i="75"/>
  <c r="U1092" i="75" s="1"/>
  <c r="Z1091" i="75"/>
  <c r="V1091" i="75"/>
  <c r="X1091" i="75" s="1"/>
  <c r="T1091" i="75"/>
  <c r="U1091" i="75" s="1"/>
  <c r="Z1090" i="75"/>
  <c r="V1090" i="75"/>
  <c r="X1090" i="75" s="1"/>
  <c r="T1090" i="75"/>
  <c r="U1090" i="75" s="1"/>
  <c r="Z1089" i="75"/>
  <c r="V1089" i="75"/>
  <c r="X1089" i="75" s="1"/>
  <c r="T1089" i="75"/>
  <c r="U1089" i="75" s="1"/>
  <c r="Z1088" i="75"/>
  <c r="V1088" i="75"/>
  <c r="X1088" i="75" s="1"/>
  <c r="T1088" i="75"/>
  <c r="U1088" i="75" s="1"/>
  <c r="Z1087" i="75"/>
  <c r="V1087" i="75"/>
  <c r="X1087" i="75" s="1"/>
  <c r="T1087" i="75"/>
  <c r="U1087" i="75" s="1"/>
  <c r="Z1086" i="75"/>
  <c r="V1086" i="75"/>
  <c r="X1086" i="75" s="1"/>
  <c r="T1086" i="75"/>
  <c r="U1086" i="75" s="1"/>
  <c r="Z1085" i="75"/>
  <c r="V1085" i="75"/>
  <c r="X1085" i="75" s="1"/>
  <c r="T1085" i="75"/>
  <c r="U1085" i="75" s="1"/>
  <c r="Z1084" i="75"/>
  <c r="V1084" i="75"/>
  <c r="X1084" i="75" s="1"/>
  <c r="T1084" i="75"/>
  <c r="U1084" i="75" s="1"/>
  <c r="Z1083" i="75"/>
  <c r="V1083" i="75"/>
  <c r="X1083" i="75" s="1"/>
  <c r="T1083" i="75"/>
  <c r="U1083" i="75" s="1"/>
  <c r="Z1082" i="75"/>
  <c r="V1082" i="75"/>
  <c r="X1082" i="75" s="1"/>
  <c r="T1082" i="75"/>
  <c r="U1082" i="75" s="1"/>
  <c r="Z1081" i="75"/>
  <c r="V1081" i="75"/>
  <c r="X1081" i="75" s="1"/>
  <c r="T1081" i="75"/>
  <c r="U1081" i="75" s="1"/>
  <c r="Z1080" i="75"/>
  <c r="V1080" i="75"/>
  <c r="X1080" i="75" s="1"/>
  <c r="T1080" i="75"/>
  <c r="U1080" i="75" s="1"/>
  <c r="Z1079" i="75"/>
  <c r="V1079" i="75"/>
  <c r="X1079" i="75" s="1"/>
  <c r="T1079" i="75"/>
  <c r="U1079" i="75" s="1"/>
  <c r="Z1078" i="75"/>
  <c r="V1078" i="75"/>
  <c r="X1078" i="75" s="1"/>
  <c r="T1078" i="75"/>
  <c r="U1078" i="75" s="1"/>
  <c r="Z1077" i="75"/>
  <c r="V1077" i="75"/>
  <c r="X1077" i="75" s="1"/>
  <c r="T1077" i="75"/>
  <c r="U1077" i="75" s="1"/>
  <c r="Z1076" i="75"/>
  <c r="V1076" i="75"/>
  <c r="X1076" i="75" s="1"/>
  <c r="T1076" i="75"/>
  <c r="U1076" i="75" s="1"/>
  <c r="Z1075" i="75"/>
  <c r="V1075" i="75"/>
  <c r="X1075" i="75" s="1"/>
  <c r="T1075" i="75"/>
  <c r="U1075" i="75" s="1"/>
  <c r="Z1074" i="75"/>
  <c r="V1074" i="75"/>
  <c r="X1074" i="75" s="1"/>
  <c r="T1074" i="75"/>
  <c r="U1074" i="75" s="1"/>
  <c r="Z1073" i="75"/>
  <c r="V1073" i="75"/>
  <c r="X1073" i="75" s="1"/>
  <c r="T1073" i="75"/>
  <c r="U1073" i="75" s="1"/>
  <c r="Z1072" i="75"/>
  <c r="V1072" i="75"/>
  <c r="X1072" i="75" s="1"/>
  <c r="T1072" i="75"/>
  <c r="U1072" i="75" s="1"/>
  <c r="Z1071" i="75"/>
  <c r="V1071" i="75"/>
  <c r="X1071" i="75" s="1"/>
  <c r="T1071" i="75"/>
  <c r="U1071" i="75" s="1"/>
  <c r="Z1070" i="75"/>
  <c r="V1070" i="75"/>
  <c r="X1070" i="75" s="1"/>
  <c r="T1070" i="75"/>
  <c r="U1070" i="75" s="1"/>
  <c r="Z1069" i="75"/>
  <c r="V1069" i="75"/>
  <c r="X1069" i="75" s="1"/>
  <c r="T1069" i="75"/>
  <c r="U1069" i="75" s="1"/>
  <c r="Z1068" i="75"/>
  <c r="V1068" i="75"/>
  <c r="X1068" i="75" s="1"/>
  <c r="T1068" i="75"/>
  <c r="U1068" i="75" s="1"/>
  <c r="Z1067" i="75"/>
  <c r="V1067" i="75"/>
  <c r="X1067" i="75" s="1"/>
  <c r="T1067" i="75"/>
  <c r="U1067" i="75" s="1"/>
  <c r="Z1066" i="75"/>
  <c r="V1066" i="75"/>
  <c r="X1066" i="75" s="1"/>
  <c r="T1066" i="75"/>
  <c r="U1066" i="75" s="1"/>
  <c r="Z1065" i="75"/>
  <c r="V1065" i="75"/>
  <c r="X1065" i="75" s="1"/>
  <c r="T1065" i="75"/>
  <c r="U1065" i="75" s="1"/>
  <c r="Z1064" i="75"/>
  <c r="V1064" i="75"/>
  <c r="X1064" i="75" s="1"/>
  <c r="T1064" i="75"/>
  <c r="U1064" i="75" s="1"/>
  <c r="Z1063" i="75"/>
  <c r="V1063" i="75"/>
  <c r="X1063" i="75" s="1"/>
  <c r="T1063" i="75"/>
  <c r="U1063" i="75" s="1"/>
  <c r="Z1062" i="75"/>
  <c r="V1062" i="75"/>
  <c r="X1062" i="75" s="1"/>
  <c r="T1062" i="75"/>
  <c r="U1062" i="75" s="1"/>
  <c r="Z1061" i="75"/>
  <c r="V1061" i="75"/>
  <c r="X1061" i="75" s="1"/>
  <c r="T1061" i="75"/>
  <c r="U1061" i="75" s="1"/>
  <c r="Z1060" i="75"/>
  <c r="V1060" i="75"/>
  <c r="X1060" i="75" s="1"/>
  <c r="T1060" i="75"/>
  <c r="U1060" i="75" s="1"/>
  <c r="Z1059" i="75"/>
  <c r="V1059" i="75"/>
  <c r="X1059" i="75" s="1"/>
  <c r="T1059" i="75"/>
  <c r="U1059" i="75" s="1"/>
  <c r="Z1058" i="75"/>
  <c r="V1058" i="75"/>
  <c r="X1058" i="75" s="1"/>
  <c r="T1058" i="75"/>
  <c r="U1058" i="75" s="1"/>
  <c r="Z1057" i="75"/>
  <c r="V1057" i="75"/>
  <c r="X1057" i="75" s="1"/>
  <c r="T1057" i="75"/>
  <c r="U1057" i="75" s="1"/>
  <c r="Z1056" i="75"/>
  <c r="V1056" i="75"/>
  <c r="X1056" i="75" s="1"/>
  <c r="T1056" i="75"/>
  <c r="U1056" i="75" s="1"/>
  <c r="Z1055" i="75"/>
  <c r="V1055" i="75"/>
  <c r="X1055" i="75" s="1"/>
  <c r="T1055" i="75"/>
  <c r="U1055" i="75" s="1"/>
  <c r="Z1054" i="75"/>
  <c r="V1054" i="75"/>
  <c r="X1054" i="75" s="1"/>
  <c r="T1054" i="75"/>
  <c r="U1054" i="75" s="1"/>
  <c r="Z1053" i="75"/>
  <c r="V1053" i="75"/>
  <c r="X1053" i="75" s="1"/>
  <c r="T1053" i="75"/>
  <c r="U1053" i="75" s="1"/>
  <c r="Z1052" i="75"/>
  <c r="V1052" i="75"/>
  <c r="X1052" i="75" s="1"/>
  <c r="T1052" i="75"/>
  <c r="U1052" i="75" s="1"/>
  <c r="Z1051" i="75"/>
  <c r="V1051" i="75"/>
  <c r="X1051" i="75" s="1"/>
  <c r="T1051" i="75"/>
  <c r="U1051" i="75" s="1"/>
  <c r="Z1050" i="75"/>
  <c r="V1050" i="75"/>
  <c r="X1050" i="75" s="1"/>
  <c r="T1050" i="75"/>
  <c r="U1050" i="75" s="1"/>
  <c r="Z1049" i="75"/>
  <c r="V1049" i="75"/>
  <c r="X1049" i="75" s="1"/>
  <c r="T1049" i="75"/>
  <c r="U1049" i="75" s="1"/>
  <c r="Z1048" i="75"/>
  <c r="V1048" i="75"/>
  <c r="X1048" i="75" s="1"/>
  <c r="T1048" i="75"/>
  <c r="U1048" i="75" s="1"/>
  <c r="Z1047" i="75"/>
  <c r="V1047" i="75"/>
  <c r="X1047" i="75" s="1"/>
  <c r="T1047" i="75"/>
  <c r="U1047" i="75" s="1"/>
  <c r="Z1046" i="75"/>
  <c r="V1046" i="75"/>
  <c r="X1046" i="75" s="1"/>
  <c r="T1046" i="75"/>
  <c r="U1046" i="75" s="1"/>
  <c r="Z1045" i="75"/>
  <c r="V1045" i="75"/>
  <c r="X1045" i="75" s="1"/>
  <c r="T1045" i="75"/>
  <c r="U1045" i="75" s="1"/>
  <c r="Z1044" i="75"/>
  <c r="V1044" i="75"/>
  <c r="X1044" i="75" s="1"/>
  <c r="T1044" i="75"/>
  <c r="U1044" i="75" s="1"/>
  <c r="Z1043" i="75"/>
  <c r="V1043" i="75"/>
  <c r="X1043" i="75" s="1"/>
  <c r="T1043" i="75"/>
  <c r="U1043" i="75" s="1"/>
  <c r="Z1042" i="75"/>
  <c r="V1042" i="75"/>
  <c r="X1042" i="75" s="1"/>
  <c r="T1042" i="75"/>
  <c r="U1042" i="75" s="1"/>
  <c r="Z1041" i="75"/>
  <c r="V1041" i="75"/>
  <c r="X1041" i="75" s="1"/>
  <c r="T1041" i="75"/>
  <c r="U1041" i="75" s="1"/>
  <c r="Z1040" i="75"/>
  <c r="V1040" i="75"/>
  <c r="X1040" i="75" s="1"/>
  <c r="T1040" i="75"/>
  <c r="U1040" i="75" s="1"/>
  <c r="Z1039" i="75"/>
  <c r="V1039" i="75"/>
  <c r="X1039" i="75" s="1"/>
  <c r="T1039" i="75"/>
  <c r="U1039" i="75" s="1"/>
  <c r="Z1038" i="75"/>
  <c r="V1038" i="75"/>
  <c r="X1038" i="75" s="1"/>
  <c r="T1038" i="75"/>
  <c r="U1038" i="75" s="1"/>
  <c r="Z1037" i="75"/>
  <c r="V1037" i="75"/>
  <c r="X1037" i="75" s="1"/>
  <c r="T1037" i="75"/>
  <c r="U1037" i="75" s="1"/>
  <c r="Z1036" i="75"/>
  <c r="V1036" i="75"/>
  <c r="X1036" i="75" s="1"/>
  <c r="T1036" i="75"/>
  <c r="U1036" i="75" s="1"/>
  <c r="Z1035" i="75"/>
  <c r="V1035" i="75"/>
  <c r="X1035" i="75" s="1"/>
  <c r="T1035" i="75"/>
  <c r="U1035" i="75" s="1"/>
  <c r="Z1034" i="75"/>
  <c r="V1034" i="75"/>
  <c r="X1034" i="75" s="1"/>
  <c r="T1034" i="75"/>
  <c r="U1034" i="75" s="1"/>
  <c r="Z1033" i="75"/>
  <c r="V1033" i="75"/>
  <c r="X1033" i="75" s="1"/>
  <c r="T1033" i="75"/>
  <c r="U1033" i="75" s="1"/>
  <c r="Z1032" i="75"/>
  <c r="V1032" i="75"/>
  <c r="X1032" i="75" s="1"/>
  <c r="T1032" i="75"/>
  <c r="U1032" i="75" s="1"/>
  <c r="Z1031" i="75"/>
  <c r="V1031" i="75"/>
  <c r="X1031" i="75" s="1"/>
  <c r="T1031" i="75"/>
  <c r="U1031" i="75" s="1"/>
  <c r="Z1030" i="75"/>
  <c r="V1030" i="75"/>
  <c r="X1030" i="75" s="1"/>
  <c r="T1030" i="75"/>
  <c r="U1030" i="75" s="1"/>
  <c r="Z1029" i="75"/>
  <c r="V1029" i="75"/>
  <c r="X1029" i="75" s="1"/>
  <c r="T1029" i="75"/>
  <c r="U1029" i="75" s="1"/>
  <c r="Z1028" i="75"/>
  <c r="V1028" i="75"/>
  <c r="X1028" i="75" s="1"/>
  <c r="T1028" i="75"/>
  <c r="U1028" i="75" s="1"/>
  <c r="Z1027" i="75"/>
  <c r="V1027" i="75"/>
  <c r="X1027" i="75" s="1"/>
  <c r="T1027" i="75"/>
  <c r="U1027" i="75" s="1"/>
  <c r="Z1026" i="75"/>
  <c r="V1026" i="75"/>
  <c r="X1026" i="75" s="1"/>
  <c r="T1026" i="75"/>
  <c r="U1026" i="75" s="1"/>
  <c r="Z1025" i="75"/>
  <c r="V1025" i="75"/>
  <c r="X1025" i="75" s="1"/>
  <c r="T1025" i="75"/>
  <c r="U1025" i="75" s="1"/>
  <c r="Z1024" i="75"/>
  <c r="V1024" i="75"/>
  <c r="X1024" i="75" s="1"/>
  <c r="T1024" i="75"/>
  <c r="U1024" i="75" s="1"/>
  <c r="Z1023" i="75"/>
  <c r="V1023" i="75"/>
  <c r="X1023" i="75" s="1"/>
  <c r="T1023" i="75"/>
  <c r="U1023" i="75" s="1"/>
  <c r="Z1022" i="75"/>
  <c r="V1022" i="75"/>
  <c r="X1022" i="75" s="1"/>
  <c r="T1022" i="75"/>
  <c r="U1022" i="75" s="1"/>
  <c r="Z1021" i="75"/>
  <c r="V1021" i="75"/>
  <c r="X1021" i="75" s="1"/>
  <c r="T1021" i="75"/>
  <c r="U1021" i="75" s="1"/>
  <c r="Z1020" i="75"/>
  <c r="V1020" i="75"/>
  <c r="X1020" i="75" s="1"/>
  <c r="T1020" i="75"/>
  <c r="U1020" i="75" s="1"/>
  <c r="Z1019" i="75"/>
  <c r="V1019" i="75"/>
  <c r="X1019" i="75" s="1"/>
  <c r="T1019" i="75"/>
  <c r="U1019" i="75" s="1"/>
  <c r="Z1018" i="75"/>
  <c r="V1018" i="75"/>
  <c r="X1018" i="75" s="1"/>
  <c r="T1018" i="75"/>
  <c r="U1018" i="75" s="1"/>
  <c r="Z1017" i="75"/>
  <c r="V1017" i="75"/>
  <c r="X1017" i="75" s="1"/>
  <c r="T1017" i="75"/>
  <c r="U1017" i="75" s="1"/>
  <c r="Z1016" i="75"/>
  <c r="V1016" i="75"/>
  <c r="X1016" i="75" s="1"/>
  <c r="T1016" i="75"/>
  <c r="U1016" i="75" s="1"/>
  <c r="Z1015" i="75"/>
  <c r="V1015" i="75"/>
  <c r="X1015" i="75" s="1"/>
  <c r="T1015" i="75"/>
  <c r="U1015" i="75" s="1"/>
  <c r="Z1014" i="75"/>
  <c r="V1014" i="75"/>
  <c r="X1014" i="75" s="1"/>
  <c r="T1014" i="75"/>
  <c r="U1014" i="75" s="1"/>
  <c r="Z1013" i="75"/>
  <c r="V1013" i="75"/>
  <c r="X1013" i="75" s="1"/>
  <c r="T1013" i="75"/>
  <c r="U1013" i="75" s="1"/>
  <c r="Z1012" i="75"/>
  <c r="V1012" i="75"/>
  <c r="X1012" i="75" s="1"/>
  <c r="T1012" i="75"/>
  <c r="U1012" i="75" s="1"/>
  <c r="Z1011" i="75"/>
  <c r="V1011" i="75"/>
  <c r="X1011" i="75" s="1"/>
  <c r="T1011" i="75"/>
  <c r="U1011" i="75" s="1"/>
  <c r="Z1010" i="75"/>
  <c r="V1010" i="75"/>
  <c r="X1010" i="75" s="1"/>
  <c r="T1010" i="75"/>
  <c r="U1010" i="75" s="1"/>
  <c r="Z1009" i="75"/>
  <c r="V1009" i="75"/>
  <c r="X1009" i="75" s="1"/>
  <c r="T1009" i="75"/>
  <c r="U1009" i="75" s="1"/>
  <c r="Z1008" i="75"/>
  <c r="V1008" i="75"/>
  <c r="X1008" i="75" s="1"/>
  <c r="T1008" i="75"/>
  <c r="U1008" i="75" s="1"/>
  <c r="Z1007" i="75"/>
  <c r="V1007" i="75"/>
  <c r="X1007" i="75" s="1"/>
  <c r="T1007" i="75"/>
  <c r="U1007" i="75" s="1"/>
  <c r="Z1006" i="75"/>
  <c r="V1006" i="75"/>
  <c r="X1006" i="75" s="1"/>
  <c r="T1006" i="75"/>
  <c r="U1006" i="75" s="1"/>
  <c r="Z1005" i="75"/>
  <c r="V1005" i="75"/>
  <c r="X1005" i="75" s="1"/>
  <c r="T1005" i="75"/>
  <c r="U1005" i="75" s="1"/>
  <c r="Z1004" i="75"/>
  <c r="V1004" i="75"/>
  <c r="X1004" i="75" s="1"/>
  <c r="T1004" i="75"/>
  <c r="U1004" i="75" s="1"/>
  <c r="Z1003" i="75"/>
  <c r="V1003" i="75"/>
  <c r="X1003" i="75" s="1"/>
  <c r="T1003" i="75"/>
  <c r="U1003" i="75" s="1"/>
  <c r="Z1002" i="75"/>
  <c r="V1002" i="75"/>
  <c r="X1002" i="75" s="1"/>
  <c r="T1002" i="75"/>
  <c r="U1002" i="75" s="1"/>
  <c r="Z1001" i="75"/>
  <c r="V1001" i="75"/>
  <c r="X1001" i="75" s="1"/>
  <c r="T1001" i="75"/>
  <c r="U1001" i="75" s="1"/>
  <c r="Z1000" i="75"/>
  <c r="V1000" i="75"/>
  <c r="X1000" i="75" s="1"/>
  <c r="T1000" i="75"/>
  <c r="U1000" i="75" s="1"/>
  <c r="Z999" i="75"/>
  <c r="V999" i="75"/>
  <c r="X999" i="75" s="1"/>
  <c r="T999" i="75"/>
  <c r="U999" i="75" s="1"/>
  <c r="Z998" i="75"/>
  <c r="V998" i="75"/>
  <c r="X998" i="75" s="1"/>
  <c r="T998" i="75"/>
  <c r="U998" i="75" s="1"/>
  <c r="Z997" i="75"/>
  <c r="V997" i="75"/>
  <c r="X997" i="75" s="1"/>
  <c r="T997" i="75"/>
  <c r="U997" i="75" s="1"/>
  <c r="Z996" i="75"/>
  <c r="V996" i="75"/>
  <c r="X996" i="75" s="1"/>
  <c r="T996" i="75"/>
  <c r="U996" i="75" s="1"/>
  <c r="Z995" i="75"/>
  <c r="V995" i="75"/>
  <c r="X995" i="75" s="1"/>
  <c r="T995" i="75"/>
  <c r="U995" i="75" s="1"/>
  <c r="Z994" i="75"/>
  <c r="V994" i="75"/>
  <c r="X994" i="75" s="1"/>
  <c r="T994" i="75"/>
  <c r="U994" i="75" s="1"/>
  <c r="Z993" i="75"/>
  <c r="V993" i="75"/>
  <c r="X993" i="75" s="1"/>
  <c r="T993" i="75"/>
  <c r="U993" i="75" s="1"/>
  <c r="Z992" i="75"/>
  <c r="V992" i="75"/>
  <c r="X992" i="75" s="1"/>
  <c r="T992" i="75"/>
  <c r="U992" i="75" s="1"/>
  <c r="Z991" i="75"/>
  <c r="V991" i="75"/>
  <c r="X991" i="75" s="1"/>
  <c r="T991" i="75"/>
  <c r="U991" i="75" s="1"/>
  <c r="Z990" i="75"/>
  <c r="V990" i="75"/>
  <c r="X990" i="75" s="1"/>
  <c r="T990" i="75"/>
  <c r="U990" i="75" s="1"/>
  <c r="Z989" i="75"/>
  <c r="V989" i="75"/>
  <c r="X989" i="75" s="1"/>
  <c r="T989" i="75"/>
  <c r="U989" i="75" s="1"/>
  <c r="Z988" i="75"/>
  <c r="V988" i="75"/>
  <c r="X988" i="75" s="1"/>
  <c r="T988" i="75"/>
  <c r="U988" i="75" s="1"/>
  <c r="Z987" i="75"/>
  <c r="V987" i="75"/>
  <c r="X987" i="75" s="1"/>
  <c r="T987" i="75"/>
  <c r="U987" i="75" s="1"/>
  <c r="Z986" i="75"/>
  <c r="V986" i="75"/>
  <c r="X986" i="75" s="1"/>
  <c r="T986" i="75"/>
  <c r="U986" i="75" s="1"/>
  <c r="Z985" i="75"/>
  <c r="V985" i="75"/>
  <c r="X985" i="75" s="1"/>
  <c r="T985" i="75"/>
  <c r="U985" i="75" s="1"/>
  <c r="Z984" i="75"/>
  <c r="V984" i="75"/>
  <c r="X984" i="75" s="1"/>
  <c r="T984" i="75"/>
  <c r="U984" i="75" s="1"/>
  <c r="Z983" i="75"/>
  <c r="V983" i="75"/>
  <c r="X983" i="75" s="1"/>
  <c r="T983" i="75"/>
  <c r="U983" i="75" s="1"/>
  <c r="Z982" i="75"/>
  <c r="V982" i="75"/>
  <c r="X982" i="75" s="1"/>
  <c r="T982" i="75"/>
  <c r="U982" i="75" s="1"/>
  <c r="Z981" i="75"/>
  <c r="V981" i="75"/>
  <c r="X981" i="75" s="1"/>
  <c r="T981" i="75"/>
  <c r="U981" i="75" s="1"/>
  <c r="Z980" i="75"/>
  <c r="V980" i="75"/>
  <c r="X980" i="75" s="1"/>
  <c r="T980" i="75"/>
  <c r="U980" i="75" s="1"/>
  <c r="Z979" i="75"/>
  <c r="V979" i="75"/>
  <c r="X979" i="75" s="1"/>
  <c r="T979" i="75"/>
  <c r="U979" i="75" s="1"/>
  <c r="Z978" i="75"/>
  <c r="V978" i="75"/>
  <c r="X978" i="75" s="1"/>
  <c r="T978" i="75"/>
  <c r="U978" i="75" s="1"/>
  <c r="Z977" i="75"/>
  <c r="V977" i="75"/>
  <c r="X977" i="75" s="1"/>
  <c r="T977" i="75"/>
  <c r="U977" i="75" s="1"/>
  <c r="Z976" i="75"/>
  <c r="V976" i="75"/>
  <c r="X976" i="75" s="1"/>
  <c r="T976" i="75"/>
  <c r="U976" i="75" s="1"/>
  <c r="Z975" i="75"/>
  <c r="V975" i="75"/>
  <c r="X975" i="75" s="1"/>
  <c r="T975" i="75"/>
  <c r="U975" i="75" s="1"/>
  <c r="Z974" i="75"/>
  <c r="V974" i="75"/>
  <c r="X974" i="75" s="1"/>
  <c r="T974" i="75"/>
  <c r="U974" i="75" s="1"/>
  <c r="Z973" i="75"/>
  <c r="V973" i="75"/>
  <c r="X973" i="75" s="1"/>
  <c r="T973" i="75"/>
  <c r="U973" i="75" s="1"/>
  <c r="Z972" i="75"/>
  <c r="V972" i="75"/>
  <c r="X972" i="75" s="1"/>
  <c r="T972" i="75"/>
  <c r="U972" i="75" s="1"/>
  <c r="Z971" i="75"/>
  <c r="V971" i="75"/>
  <c r="X971" i="75" s="1"/>
  <c r="T971" i="75"/>
  <c r="U971" i="75" s="1"/>
  <c r="Z970" i="75"/>
  <c r="V970" i="75"/>
  <c r="X970" i="75" s="1"/>
  <c r="T970" i="75"/>
  <c r="U970" i="75" s="1"/>
  <c r="Z969" i="75"/>
  <c r="V969" i="75"/>
  <c r="X969" i="75" s="1"/>
  <c r="T969" i="75"/>
  <c r="U969" i="75" s="1"/>
  <c r="Z968" i="75"/>
  <c r="V968" i="75"/>
  <c r="X968" i="75" s="1"/>
  <c r="T968" i="75"/>
  <c r="U968" i="75" s="1"/>
  <c r="Z967" i="75"/>
  <c r="V967" i="75"/>
  <c r="X967" i="75" s="1"/>
  <c r="T967" i="75"/>
  <c r="U967" i="75" s="1"/>
  <c r="Z966" i="75"/>
  <c r="V966" i="75"/>
  <c r="X966" i="75" s="1"/>
  <c r="T966" i="75"/>
  <c r="U966" i="75" s="1"/>
  <c r="Z965" i="75"/>
  <c r="V965" i="75"/>
  <c r="X965" i="75" s="1"/>
  <c r="T965" i="75"/>
  <c r="U965" i="75" s="1"/>
  <c r="Z964" i="75"/>
  <c r="V964" i="75"/>
  <c r="X964" i="75" s="1"/>
  <c r="T964" i="75"/>
  <c r="U964" i="75" s="1"/>
  <c r="Z963" i="75"/>
  <c r="V963" i="75"/>
  <c r="X963" i="75" s="1"/>
  <c r="T963" i="75"/>
  <c r="U963" i="75" s="1"/>
  <c r="Z962" i="75"/>
  <c r="V962" i="75"/>
  <c r="X962" i="75" s="1"/>
  <c r="T962" i="75"/>
  <c r="U962" i="75" s="1"/>
  <c r="Z961" i="75"/>
  <c r="V961" i="75"/>
  <c r="X961" i="75" s="1"/>
  <c r="T961" i="75"/>
  <c r="U961" i="75" s="1"/>
  <c r="Z960" i="75"/>
  <c r="V960" i="75"/>
  <c r="X960" i="75" s="1"/>
  <c r="T960" i="75"/>
  <c r="U960" i="75" s="1"/>
  <c r="Z959" i="75"/>
  <c r="V959" i="75"/>
  <c r="X959" i="75" s="1"/>
  <c r="T959" i="75"/>
  <c r="U959" i="75" s="1"/>
  <c r="Z958" i="75"/>
  <c r="V958" i="75"/>
  <c r="X958" i="75" s="1"/>
  <c r="T958" i="75"/>
  <c r="U958" i="75" s="1"/>
  <c r="Z957" i="75"/>
  <c r="V957" i="75"/>
  <c r="X957" i="75" s="1"/>
  <c r="T957" i="75"/>
  <c r="U957" i="75" s="1"/>
  <c r="Z956" i="75"/>
  <c r="V956" i="75"/>
  <c r="X956" i="75" s="1"/>
  <c r="T956" i="75"/>
  <c r="U956" i="75" s="1"/>
  <c r="Z955" i="75"/>
  <c r="V955" i="75"/>
  <c r="X955" i="75" s="1"/>
  <c r="T955" i="75"/>
  <c r="U955" i="75" s="1"/>
  <c r="Z954" i="75"/>
  <c r="V954" i="75"/>
  <c r="X954" i="75" s="1"/>
  <c r="T954" i="75"/>
  <c r="U954" i="75" s="1"/>
  <c r="Z953" i="75"/>
  <c r="V953" i="75"/>
  <c r="X953" i="75" s="1"/>
  <c r="T953" i="75"/>
  <c r="U953" i="75" s="1"/>
  <c r="Z952" i="75"/>
  <c r="V952" i="75"/>
  <c r="X952" i="75" s="1"/>
  <c r="T952" i="75"/>
  <c r="U952" i="75" s="1"/>
  <c r="Z951" i="75"/>
  <c r="V951" i="75"/>
  <c r="X951" i="75" s="1"/>
  <c r="T951" i="75"/>
  <c r="U951" i="75" s="1"/>
  <c r="Z950" i="75"/>
  <c r="V950" i="75"/>
  <c r="X950" i="75" s="1"/>
  <c r="T950" i="75"/>
  <c r="U950" i="75" s="1"/>
  <c r="Z949" i="75"/>
  <c r="V949" i="75"/>
  <c r="X949" i="75" s="1"/>
  <c r="T949" i="75"/>
  <c r="U949" i="75" s="1"/>
  <c r="Z948" i="75"/>
  <c r="V948" i="75"/>
  <c r="X948" i="75" s="1"/>
  <c r="T948" i="75"/>
  <c r="U948" i="75" s="1"/>
  <c r="Z947" i="75"/>
  <c r="V947" i="75"/>
  <c r="X947" i="75" s="1"/>
  <c r="T947" i="75"/>
  <c r="U947" i="75" s="1"/>
  <c r="Z946" i="75"/>
  <c r="V946" i="75"/>
  <c r="X946" i="75" s="1"/>
  <c r="T946" i="75"/>
  <c r="U946" i="75" s="1"/>
  <c r="Z945" i="75"/>
  <c r="V945" i="75"/>
  <c r="X945" i="75" s="1"/>
  <c r="T945" i="75"/>
  <c r="U945" i="75" s="1"/>
  <c r="Z944" i="75"/>
  <c r="V944" i="75"/>
  <c r="X944" i="75" s="1"/>
  <c r="T944" i="75"/>
  <c r="U944" i="75" s="1"/>
  <c r="Z943" i="75"/>
  <c r="V943" i="75"/>
  <c r="X943" i="75" s="1"/>
  <c r="T943" i="75"/>
  <c r="U943" i="75" s="1"/>
  <c r="Z942" i="75"/>
  <c r="V942" i="75"/>
  <c r="X942" i="75" s="1"/>
  <c r="T942" i="75"/>
  <c r="U942" i="75" s="1"/>
  <c r="Z941" i="75"/>
  <c r="V941" i="75"/>
  <c r="X941" i="75" s="1"/>
  <c r="T941" i="75"/>
  <c r="U941" i="75" s="1"/>
  <c r="Z940" i="75"/>
  <c r="V940" i="75"/>
  <c r="X940" i="75" s="1"/>
  <c r="T940" i="75"/>
  <c r="U940" i="75" s="1"/>
  <c r="Z939" i="75"/>
  <c r="V939" i="75"/>
  <c r="X939" i="75" s="1"/>
  <c r="T939" i="75"/>
  <c r="U939" i="75" s="1"/>
  <c r="Z938" i="75"/>
  <c r="V938" i="75"/>
  <c r="X938" i="75" s="1"/>
  <c r="T938" i="75"/>
  <c r="U938" i="75" s="1"/>
  <c r="Z937" i="75"/>
  <c r="V937" i="75"/>
  <c r="X937" i="75" s="1"/>
  <c r="T937" i="75"/>
  <c r="U937" i="75" s="1"/>
  <c r="Z936" i="75"/>
  <c r="V936" i="75"/>
  <c r="X936" i="75" s="1"/>
  <c r="T936" i="75"/>
  <c r="U936" i="75" s="1"/>
  <c r="Z935" i="75"/>
  <c r="V935" i="75"/>
  <c r="X935" i="75" s="1"/>
  <c r="T935" i="75"/>
  <c r="U935" i="75" s="1"/>
  <c r="Z934" i="75"/>
  <c r="V934" i="75"/>
  <c r="X934" i="75" s="1"/>
  <c r="T934" i="75"/>
  <c r="U934" i="75" s="1"/>
  <c r="Z933" i="75"/>
  <c r="V933" i="75"/>
  <c r="X933" i="75" s="1"/>
  <c r="T933" i="75"/>
  <c r="U933" i="75" s="1"/>
  <c r="Z932" i="75"/>
  <c r="V932" i="75"/>
  <c r="X932" i="75" s="1"/>
  <c r="T932" i="75"/>
  <c r="U932" i="75" s="1"/>
  <c r="Z931" i="75"/>
  <c r="V931" i="75"/>
  <c r="X931" i="75" s="1"/>
  <c r="T931" i="75"/>
  <c r="U931" i="75" s="1"/>
  <c r="Z930" i="75"/>
  <c r="V930" i="75"/>
  <c r="X930" i="75" s="1"/>
  <c r="T930" i="75"/>
  <c r="U930" i="75" s="1"/>
  <c r="Z929" i="75"/>
  <c r="V929" i="75"/>
  <c r="X929" i="75" s="1"/>
  <c r="T929" i="75"/>
  <c r="U929" i="75" s="1"/>
  <c r="Z928" i="75"/>
  <c r="V928" i="75"/>
  <c r="X928" i="75" s="1"/>
  <c r="T928" i="75"/>
  <c r="U928" i="75" s="1"/>
  <c r="Z927" i="75"/>
  <c r="V927" i="75"/>
  <c r="X927" i="75" s="1"/>
  <c r="T927" i="75"/>
  <c r="U927" i="75" s="1"/>
  <c r="Z926" i="75"/>
  <c r="V926" i="75"/>
  <c r="X926" i="75" s="1"/>
  <c r="T926" i="75"/>
  <c r="U926" i="75" s="1"/>
  <c r="Z925" i="75"/>
  <c r="V925" i="75"/>
  <c r="X925" i="75" s="1"/>
  <c r="T925" i="75"/>
  <c r="U925" i="75" s="1"/>
  <c r="Z924" i="75"/>
  <c r="V924" i="75"/>
  <c r="X924" i="75" s="1"/>
  <c r="T924" i="75"/>
  <c r="U924" i="75" s="1"/>
  <c r="Z923" i="75"/>
  <c r="V923" i="75"/>
  <c r="X923" i="75" s="1"/>
  <c r="T923" i="75"/>
  <c r="U923" i="75" s="1"/>
  <c r="Z922" i="75"/>
  <c r="V922" i="75"/>
  <c r="X922" i="75" s="1"/>
  <c r="T922" i="75"/>
  <c r="U922" i="75" s="1"/>
  <c r="Z921" i="75"/>
  <c r="V921" i="75"/>
  <c r="X921" i="75" s="1"/>
  <c r="T921" i="75"/>
  <c r="U921" i="75" s="1"/>
  <c r="Z920" i="75"/>
  <c r="V920" i="75"/>
  <c r="X920" i="75" s="1"/>
  <c r="T920" i="75"/>
  <c r="U920" i="75" s="1"/>
  <c r="Z919" i="75"/>
  <c r="V919" i="75"/>
  <c r="X919" i="75" s="1"/>
  <c r="T919" i="75"/>
  <c r="U919" i="75" s="1"/>
  <c r="Z918" i="75"/>
  <c r="V918" i="75"/>
  <c r="X918" i="75" s="1"/>
  <c r="T918" i="75"/>
  <c r="U918" i="75" s="1"/>
  <c r="Z917" i="75"/>
  <c r="V917" i="75"/>
  <c r="X917" i="75" s="1"/>
  <c r="T917" i="75"/>
  <c r="U917" i="75" s="1"/>
  <c r="Z916" i="75"/>
  <c r="V916" i="75"/>
  <c r="X916" i="75" s="1"/>
  <c r="T916" i="75"/>
  <c r="U916" i="75" s="1"/>
  <c r="Z915" i="75"/>
  <c r="V915" i="75"/>
  <c r="X915" i="75" s="1"/>
  <c r="T915" i="75"/>
  <c r="U915" i="75" s="1"/>
  <c r="Z914" i="75"/>
  <c r="V914" i="75"/>
  <c r="X914" i="75" s="1"/>
  <c r="T914" i="75"/>
  <c r="U914" i="75" s="1"/>
  <c r="Z913" i="75"/>
  <c r="V913" i="75"/>
  <c r="X913" i="75" s="1"/>
  <c r="T913" i="75"/>
  <c r="U913" i="75" s="1"/>
  <c r="Z912" i="75"/>
  <c r="V912" i="75"/>
  <c r="X912" i="75" s="1"/>
  <c r="T912" i="75"/>
  <c r="U912" i="75" s="1"/>
  <c r="Z911" i="75"/>
  <c r="V911" i="75"/>
  <c r="X911" i="75" s="1"/>
  <c r="T911" i="75"/>
  <c r="U911" i="75" s="1"/>
  <c r="Z910" i="75"/>
  <c r="V910" i="75"/>
  <c r="X910" i="75" s="1"/>
  <c r="T910" i="75"/>
  <c r="U910" i="75" s="1"/>
  <c r="Z909" i="75"/>
  <c r="V909" i="75"/>
  <c r="X909" i="75" s="1"/>
  <c r="T909" i="75"/>
  <c r="U909" i="75" s="1"/>
  <c r="Z908" i="75"/>
  <c r="V908" i="75"/>
  <c r="X908" i="75" s="1"/>
  <c r="T908" i="75"/>
  <c r="U908" i="75" s="1"/>
  <c r="Z907" i="75"/>
  <c r="V907" i="75"/>
  <c r="X907" i="75" s="1"/>
  <c r="T907" i="75"/>
  <c r="U907" i="75" s="1"/>
  <c r="Z906" i="75"/>
  <c r="V906" i="75"/>
  <c r="X906" i="75" s="1"/>
  <c r="T906" i="75"/>
  <c r="U906" i="75" s="1"/>
  <c r="Z905" i="75"/>
  <c r="V905" i="75"/>
  <c r="X905" i="75" s="1"/>
  <c r="T905" i="75"/>
  <c r="U905" i="75" s="1"/>
  <c r="Z904" i="75"/>
  <c r="V904" i="75"/>
  <c r="X904" i="75" s="1"/>
  <c r="T904" i="75"/>
  <c r="U904" i="75" s="1"/>
  <c r="Z903" i="75"/>
  <c r="V903" i="75"/>
  <c r="X903" i="75" s="1"/>
  <c r="T903" i="75"/>
  <c r="U903" i="75" s="1"/>
  <c r="Z902" i="75"/>
  <c r="V902" i="75"/>
  <c r="X902" i="75" s="1"/>
  <c r="T902" i="75"/>
  <c r="U902" i="75" s="1"/>
  <c r="Z901" i="75"/>
  <c r="V901" i="75"/>
  <c r="X901" i="75" s="1"/>
  <c r="T901" i="75"/>
  <c r="U901" i="75" s="1"/>
  <c r="Z900" i="75"/>
  <c r="V900" i="75"/>
  <c r="X900" i="75" s="1"/>
  <c r="T900" i="75"/>
  <c r="U900" i="75" s="1"/>
  <c r="Z899" i="75"/>
  <c r="V899" i="75"/>
  <c r="X899" i="75" s="1"/>
  <c r="T899" i="75"/>
  <c r="U899" i="75" s="1"/>
  <c r="Z898" i="75"/>
  <c r="V898" i="75"/>
  <c r="X898" i="75" s="1"/>
  <c r="T898" i="75"/>
  <c r="U898" i="75" s="1"/>
  <c r="Z897" i="75"/>
  <c r="V897" i="75"/>
  <c r="X897" i="75" s="1"/>
  <c r="T897" i="75"/>
  <c r="U897" i="75" s="1"/>
  <c r="Z896" i="75"/>
  <c r="V896" i="75"/>
  <c r="X896" i="75" s="1"/>
  <c r="T896" i="75"/>
  <c r="U896" i="75" s="1"/>
  <c r="Z895" i="75"/>
  <c r="V895" i="75"/>
  <c r="X895" i="75" s="1"/>
  <c r="T895" i="75"/>
  <c r="U895" i="75" s="1"/>
  <c r="Z894" i="75"/>
  <c r="V894" i="75"/>
  <c r="X894" i="75" s="1"/>
  <c r="T894" i="75"/>
  <c r="U894" i="75" s="1"/>
  <c r="Z893" i="75"/>
  <c r="V893" i="75"/>
  <c r="X893" i="75" s="1"/>
  <c r="T893" i="75"/>
  <c r="U893" i="75" s="1"/>
  <c r="Z892" i="75"/>
  <c r="V892" i="75"/>
  <c r="X892" i="75" s="1"/>
  <c r="T892" i="75"/>
  <c r="U892" i="75" s="1"/>
  <c r="Z891" i="75"/>
  <c r="V891" i="75"/>
  <c r="X891" i="75" s="1"/>
  <c r="T891" i="75"/>
  <c r="U891" i="75" s="1"/>
  <c r="Z890" i="75"/>
  <c r="V890" i="75"/>
  <c r="X890" i="75" s="1"/>
  <c r="T890" i="75"/>
  <c r="U890" i="75" s="1"/>
  <c r="Z889" i="75"/>
  <c r="V889" i="75"/>
  <c r="X889" i="75" s="1"/>
  <c r="T889" i="75"/>
  <c r="U889" i="75" s="1"/>
  <c r="Z888" i="75"/>
  <c r="V888" i="75"/>
  <c r="X888" i="75" s="1"/>
  <c r="T888" i="75"/>
  <c r="U888" i="75" s="1"/>
  <c r="Z887" i="75"/>
  <c r="V887" i="75"/>
  <c r="X887" i="75" s="1"/>
  <c r="T887" i="75"/>
  <c r="U887" i="75" s="1"/>
  <c r="Z886" i="75"/>
  <c r="V886" i="75"/>
  <c r="X886" i="75" s="1"/>
  <c r="T886" i="75"/>
  <c r="U886" i="75" s="1"/>
  <c r="Z885" i="75"/>
  <c r="V885" i="75"/>
  <c r="X885" i="75" s="1"/>
  <c r="T885" i="75"/>
  <c r="U885" i="75" s="1"/>
  <c r="Z884" i="75"/>
  <c r="V884" i="75"/>
  <c r="X884" i="75" s="1"/>
  <c r="T884" i="75"/>
  <c r="U884" i="75" s="1"/>
  <c r="Z883" i="75"/>
  <c r="V883" i="75"/>
  <c r="X883" i="75" s="1"/>
  <c r="T883" i="75"/>
  <c r="U883" i="75" s="1"/>
  <c r="Z882" i="75"/>
  <c r="V882" i="75"/>
  <c r="X882" i="75" s="1"/>
  <c r="T882" i="75"/>
  <c r="U882" i="75" s="1"/>
  <c r="Z881" i="75"/>
  <c r="V881" i="75"/>
  <c r="X881" i="75" s="1"/>
  <c r="T881" i="75"/>
  <c r="U881" i="75" s="1"/>
  <c r="Z880" i="75"/>
  <c r="V880" i="75"/>
  <c r="X880" i="75" s="1"/>
  <c r="T880" i="75"/>
  <c r="U880" i="75" s="1"/>
  <c r="Z879" i="75"/>
  <c r="V879" i="75"/>
  <c r="X879" i="75" s="1"/>
  <c r="T879" i="75"/>
  <c r="U879" i="75" s="1"/>
  <c r="Z878" i="75"/>
  <c r="V878" i="75"/>
  <c r="X878" i="75" s="1"/>
  <c r="T878" i="75"/>
  <c r="U878" i="75" s="1"/>
  <c r="Z877" i="75"/>
  <c r="V877" i="75"/>
  <c r="X877" i="75" s="1"/>
  <c r="T877" i="75"/>
  <c r="U877" i="75" s="1"/>
  <c r="Z876" i="75"/>
  <c r="V876" i="75"/>
  <c r="X876" i="75" s="1"/>
  <c r="T876" i="75"/>
  <c r="U876" i="75" s="1"/>
  <c r="Z875" i="75"/>
  <c r="V875" i="75"/>
  <c r="X875" i="75" s="1"/>
  <c r="T875" i="75"/>
  <c r="U875" i="75" s="1"/>
  <c r="Z874" i="75"/>
  <c r="V874" i="75"/>
  <c r="X874" i="75" s="1"/>
  <c r="T874" i="75"/>
  <c r="U874" i="75" s="1"/>
  <c r="Z873" i="75"/>
  <c r="V873" i="75"/>
  <c r="X873" i="75" s="1"/>
  <c r="T873" i="75"/>
  <c r="U873" i="75" s="1"/>
  <c r="Z872" i="75"/>
  <c r="V872" i="75"/>
  <c r="X872" i="75" s="1"/>
  <c r="T872" i="75"/>
  <c r="U872" i="75" s="1"/>
  <c r="Z871" i="75"/>
  <c r="V871" i="75"/>
  <c r="X871" i="75" s="1"/>
  <c r="T871" i="75"/>
  <c r="U871" i="75" s="1"/>
  <c r="Z870" i="75"/>
  <c r="V870" i="75"/>
  <c r="X870" i="75" s="1"/>
  <c r="T870" i="75"/>
  <c r="U870" i="75" s="1"/>
  <c r="Z869" i="75"/>
  <c r="V869" i="75"/>
  <c r="X869" i="75" s="1"/>
  <c r="T869" i="75"/>
  <c r="U869" i="75" s="1"/>
  <c r="Z868" i="75"/>
  <c r="V868" i="75"/>
  <c r="X868" i="75" s="1"/>
  <c r="T868" i="75"/>
  <c r="U868" i="75" s="1"/>
  <c r="Z867" i="75"/>
  <c r="V867" i="75"/>
  <c r="X867" i="75" s="1"/>
  <c r="T867" i="75"/>
  <c r="U867" i="75" s="1"/>
  <c r="Z866" i="75"/>
  <c r="V866" i="75"/>
  <c r="X866" i="75" s="1"/>
  <c r="T866" i="75"/>
  <c r="U866" i="75" s="1"/>
  <c r="Z865" i="75"/>
  <c r="V865" i="75"/>
  <c r="X865" i="75" s="1"/>
  <c r="T865" i="75"/>
  <c r="U865" i="75" s="1"/>
  <c r="Z864" i="75"/>
  <c r="V864" i="75"/>
  <c r="X864" i="75" s="1"/>
  <c r="T864" i="75"/>
  <c r="U864" i="75" s="1"/>
  <c r="Z863" i="75"/>
  <c r="V863" i="75"/>
  <c r="X863" i="75" s="1"/>
  <c r="T863" i="75"/>
  <c r="U863" i="75" s="1"/>
  <c r="Z862" i="75"/>
  <c r="V862" i="75"/>
  <c r="X862" i="75" s="1"/>
  <c r="T862" i="75"/>
  <c r="U862" i="75" s="1"/>
  <c r="Z861" i="75"/>
  <c r="V861" i="75"/>
  <c r="X861" i="75" s="1"/>
  <c r="T861" i="75"/>
  <c r="U861" i="75" s="1"/>
  <c r="Z860" i="75"/>
  <c r="V860" i="75"/>
  <c r="X860" i="75" s="1"/>
  <c r="T860" i="75"/>
  <c r="U860" i="75" s="1"/>
  <c r="Z859" i="75"/>
  <c r="V859" i="75"/>
  <c r="X859" i="75" s="1"/>
  <c r="T859" i="75"/>
  <c r="U859" i="75" s="1"/>
  <c r="Z858" i="75"/>
  <c r="V858" i="75"/>
  <c r="X858" i="75" s="1"/>
  <c r="T858" i="75"/>
  <c r="U858" i="75" s="1"/>
  <c r="Z857" i="75"/>
  <c r="V857" i="75"/>
  <c r="X857" i="75" s="1"/>
  <c r="T857" i="75"/>
  <c r="U857" i="75" s="1"/>
  <c r="Z856" i="75"/>
  <c r="V856" i="75"/>
  <c r="X856" i="75" s="1"/>
  <c r="T856" i="75"/>
  <c r="U856" i="75" s="1"/>
  <c r="Z855" i="75"/>
  <c r="V855" i="75"/>
  <c r="X855" i="75" s="1"/>
  <c r="T855" i="75"/>
  <c r="U855" i="75" s="1"/>
  <c r="Z854" i="75"/>
  <c r="V854" i="75"/>
  <c r="X854" i="75" s="1"/>
  <c r="T854" i="75"/>
  <c r="U854" i="75" s="1"/>
  <c r="Z853" i="75"/>
  <c r="V853" i="75"/>
  <c r="X853" i="75" s="1"/>
  <c r="T853" i="75"/>
  <c r="U853" i="75" s="1"/>
  <c r="Z852" i="75"/>
  <c r="V852" i="75"/>
  <c r="X852" i="75" s="1"/>
  <c r="T852" i="75"/>
  <c r="U852" i="75" s="1"/>
  <c r="Z851" i="75"/>
  <c r="V851" i="75"/>
  <c r="X851" i="75" s="1"/>
  <c r="T851" i="75"/>
  <c r="U851" i="75" s="1"/>
  <c r="Z850" i="75"/>
  <c r="V850" i="75"/>
  <c r="X850" i="75" s="1"/>
  <c r="T850" i="75"/>
  <c r="U850" i="75" s="1"/>
  <c r="Z849" i="75"/>
  <c r="V849" i="75"/>
  <c r="X849" i="75" s="1"/>
  <c r="T849" i="75"/>
  <c r="U849" i="75" s="1"/>
  <c r="Z848" i="75"/>
  <c r="V848" i="75"/>
  <c r="X848" i="75" s="1"/>
  <c r="T848" i="75"/>
  <c r="U848" i="75" s="1"/>
  <c r="Z847" i="75"/>
  <c r="V847" i="75"/>
  <c r="X847" i="75" s="1"/>
  <c r="T847" i="75"/>
  <c r="U847" i="75" s="1"/>
  <c r="Z846" i="75"/>
  <c r="V846" i="75"/>
  <c r="X846" i="75" s="1"/>
  <c r="T846" i="75"/>
  <c r="U846" i="75" s="1"/>
  <c r="Z845" i="75"/>
  <c r="V845" i="75"/>
  <c r="X845" i="75" s="1"/>
  <c r="T845" i="75"/>
  <c r="U845" i="75" s="1"/>
  <c r="Z844" i="75"/>
  <c r="V844" i="75"/>
  <c r="X844" i="75" s="1"/>
  <c r="T844" i="75"/>
  <c r="U844" i="75" s="1"/>
  <c r="Z843" i="75"/>
  <c r="V843" i="75"/>
  <c r="X843" i="75" s="1"/>
  <c r="T843" i="75"/>
  <c r="U843" i="75" s="1"/>
  <c r="Z842" i="75"/>
  <c r="V842" i="75"/>
  <c r="X842" i="75" s="1"/>
  <c r="T842" i="75"/>
  <c r="U842" i="75" s="1"/>
  <c r="Z841" i="75"/>
  <c r="V841" i="75"/>
  <c r="X841" i="75" s="1"/>
  <c r="T841" i="75"/>
  <c r="U841" i="75" s="1"/>
  <c r="Z840" i="75"/>
  <c r="V840" i="75"/>
  <c r="X840" i="75" s="1"/>
  <c r="T840" i="75"/>
  <c r="U840" i="75" s="1"/>
  <c r="Z839" i="75"/>
  <c r="V839" i="75"/>
  <c r="X839" i="75" s="1"/>
  <c r="T839" i="75"/>
  <c r="U839" i="75" s="1"/>
  <c r="Z838" i="75"/>
  <c r="V838" i="75"/>
  <c r="X838" i="75" s="1"/>
  <c r="T838" i="75"/>
  <c r="U838" i="75" s="1"/>
  <c r="Z837" i="75"/>
  <c r="V837" i="75"/>
  <c r="X837" i="75" s="1"/>
  <c r="T837" i="75"/>
  <c r="U837" i="75" s="1"/>
  <c r="Z836" i="75"/>
  <c r="V836" i="75"/>
  <c r="X836" i="75" s="1"/>
  <c r="T836" i="75"/>
  <c r="U836" i="75" s="1"/>
  <c r="Z835" i="75"/>
  <c r="V835" i="75"/>
  <c r="X835" i="75" s="1"/>
  <c r="T835" i="75"/>
  <c r="U835" i="75" s="1"/>
  <c r="Z834" i="75"/>
  <c r="V834" i="75"/>
  <c r="X834" i="75" s="1"/>
  <c r="T834" i="75"/>
  <c r="U834" i="75" s="1"/>
  <c r="Z833" i="75"/>
  <c r="V833" i="75"/>
  <c r="X833" i="75" s="1"/>
  <c r="T833" i="75"/>
  <c r="U833" i="75" s="1"/>
  <c r="Z832" i="75"/>
  <c r="V832" i="75"/>
  <c r="X832" i="75" s="1"/>
  <c r="T832" i="75"/>
  <c r="U832" i="75" s="1"/>
  <c r="Z831" i="75"/>
  <c r="V831" i="75"/>
  <c r="X831" i="75" s="1"/>
  <c r="T831" i="75"/>
  <c r="U831" i="75" s="1"/>
  <c r="Z830" i="75"/>
  <c r="V830" i="75"/>
  <c r="X830" i="75" s="1"/>
  <c r="T830" i="75"/>
  <c r="U830" i="75" s="1"/>
  <c r="Z829" i="75"/>
  <c r="V829" i="75"/>
  <c r="X829" i="75" s="1"/>
  <c r="T829" i="75"/>
  <c r="U829" i="75" s="1"/>
  <c r="Z828" i="75"/>
  <c r="V828" i="75"/>
  <c r="X828" i="75" s="1"/>
  <c r="T828" i="75"/>
  <c r="U828" i="75" s="1"/>
  <c r="Z827" i="75"/>
  <c r="V827" i="75"/>
  <c r="X827" i="75" s="1"/>
  <c r="T827" i="75"/>
  <c r="U827" i="75" s="1"/>
  <c r="Z826" i="75"/>
  <c r="V826" i="75"/>
  <c r="X826" i="75" s="1"/>
  <c r="T826" i="75"/>
  <c r="U826" i="75" s="1"/>
  <c r="Z825" i="75"/>
  <c r="V825" i="75"/>
  <c r="X825" i="75" s="1"/>
  <c r="T825" i="75"/>
  <c r="U825" i="75" s="1"/>
  <c r="Z824" i="75"/>
  <c r="V824" i="75"/>
  <c r="X824" i="75" s="1"/>
  <c r="T824" i="75"/>
  <c r="U824" i="75" s="1"/>
  <c r="Z823" i="75"/>
  <c r="V823" i="75"/>
  <c r="X823" i="75" s="1"/>
  <c r="T823" i="75"/>
  <c r="U823" i="75" s="1"/>
  <c r="Z822" i="75"/>
  <c r="V822" i="75"/>
  <c r="X822" i="75" s="1"/>
  <c r="T822" i="75"/>
  <c r="U822" i="75" s="1"/>
  <c r="Z821" i="75"/>
  <c r="V821" i="75"/>
  <c r="X821" i="75" s="1"/>
  <c r="T821" i="75"/>
  <c r="U821" i="75" s="1"/>
  <c r="Z820" i="75"/>
  <c r="V820" i="75"/>
  <c r="X820" i="75" s="1"/>
  <c r="T820" i="75"/>
  <c r="U820" i="75" s="1"/>
  <c r="Z819" i="75"/>
  <c r="V819" i="75"/>
  <c r="X819" i="75" s="1"/>
  <c r="T819" i="75"/>
  <c r="U819" i="75" s="1"/>
  <c r="Z818" i="75"/>
  <c r="V818" i="75"/>
  <c r="X818" i="75" s="1"/>
  <c r="T818" i="75"/>
  <c r="U818" i="75" s="1"/>
  <c r="Z817" i="75"/>
  <c r="V817" i="75"/>
  <c r="X817" i="75" s="1"/>
  <c r="T817" i="75"/>
  <c r="U817" i="75" s="1"/>
  <c r="Z816" i="75"/>
  <c r="V816" i="75"/>
  <c r="X816" i="75" s="1"/>
  <c r="T816" i="75"/>
  <c r="U816" i="75" s="1"/>
  <c r="Z815" i="75"/>
  <c r="V815" i="75"/>
  <c r="X815" i="75" s="1"/>
  <c r="T815" i="75"/>
  <c r="U815" i="75" s="1"/>
  <c r="Z814" i="75"/>
  <c r="V814" i="75"/>
  <c r="X814" i="75" s="1"/>
  <c r="T814" i="75"/>
  <c r="U814" i="75" s="1"/>
  <c r="Z813" i="75"/>
  <c r="V813" i="75"/>
  <c r="X813" i="75" s="1"/>
  <c r="T813" i="75"/>
  <c r="U813" i="75" s="1"/>
  <c r="Z812" i="75"/>
  <c r="V812" i="75"/>
  <c r="X812" i="75" s="1"/>
  <c r="T812" i="75"/>
  <c r="U812" i="75" s="1"/>
  <c r="Z811" i="75"/>
  <c r="V811" i="75"/>
  <c r="X811" i="75" s="1"/>
  <c r="T811" i="75"/>
  <c r="U811" i="75" s="1"/>
  <c r="Z810" i="75"/>
  <c r="V810" i="75"/>
  <c r="X810" i="75" s="1"/>
  <c r="T810" i="75"/>
  <c r="U810" i="75" s="1"/>
  <c r="Z809" i="75"/>
  <c r="V809" i="75"/>
  <c r="X809" i="75" s="1"/>
  <c r="T809" i="75"/>
  <c r="U809" i="75" s="1"/>
  <c r="Z808" i="75"/>
  <c r="V808" i="75"/>
  <c r="X808" i="75" s="1"/>
  <c r="T808" i="75"/>
  <c r="U808" i="75" s="1"/>
  <c r="Z807" i="75"/>
  <c r="V807" i="75"/>
  <c r="X807" i="75" s="1"/>
  <c r="T807" i="75"/>
  <c r="U807" i="75" s="1"/>
  <c r="Z806" i="75"/>
  <c r="V806" i="75"/>
  <c r="X806" i="75" s="1"/>
  <c r="T806" i="75"/>
  <c r="U806" i="75" s="1"/>
  <c r="Z805" i="75"/>
  <c r="V805" i="75"/>
  <c r="X805" i="75" s="1"/>
  <c r="T805" i="75"/>
  <c r="U805" i="75" s="1"/>
  <c r="Z804" i="75"/>
  <c r="V804" i="75"/>
  <c r="X804" i="75" s="1"/>
  <c r="T804" i="75"/>
  <c r="U804" i="75" s="1"/>
  <c r="Z803" i="75"/>
  <c r="V803" i="75"/>
  <c r="X803" i="75" s="1"/>
  <c r="T803" i="75"/>
  <c r="U803" i="75" s="1"/>
  <c r="Z802" i="75"/>
  <c r="V802" i="75"/>
  <c r="X802" i="75" s="1"/>
  <c r="T802" i="75"/>
  <c r="U802" i="75" s="1"/>
  <c r="Z801" i="75"/>
  <c r="V801" i="75"/>
  <c r="X801" i="75" s="1"/>
  <c r="T801" i="75"/>
  <c r="U801" i="75" s="1"/>
  <c r="Z800" i="75"/>
  <c r="V800" i="75"/>
  <c r="X800" i="75" s="1"/>
  <c r="T800" i="75"/>
  <c r="U800" i="75" s="1"/>
  <c r="Z799" i="75"/>
  <c r="V799" i="75"/>
  <c r="X799" i="75" s="1"/>
  <c r="T799" i="75"/>
  <c r="U799" i="75" s="1"/>
  <c r="Z798" i="75"/>
  <c r="V798" i="75"/>
  <c r="X798" i="75" s="1"/>
  <c r="T798" i="75"/>
  <c r="U798" i="75" s="1"/>
  <c r="Z797" i="75"/>
  <c r="V797" i="75"/>
  <c r="X797" i="75" s="1"/>
  <c r="T797" i="75"/>
  <c r="U797" i="75" s="1"/>
  <c r="Z796" i="75"/>
  <c r="V796" i="75"/>
  <c r="X796" i="75" s="1"/>
  <c r="T796" i="75"/>
  <c r="U796" i="75" s="1"/>
  <c r="Z795" i="75"/>
  <c r="V795" i="75"/>
  <c r="X795" i="75" s="1"/>
  <c r="T795" i="75"/>
  <c r="U795" i="75" s="1"/>
  <c r="Z794" i="75"/>
  <c r="V794" i="75"/>
  <c r="X794" i="75" s="1"/>
  <c r="T794" i="75"/>
  <c r="U794" i="75" s="1"/>
  <c r="Z793" i="75"/>
  <c r="V793" i="75"/>
  <c r="X793" i="75" s="1"/>
  <c r="T793" i="75"/>
  <c r="U793" i="75" s="1"/>
  <c r="Z792" i="75"/>
  <c r="V792" i="75"/>
  <c r="X792" i="75" s="1"/>
  <c r="T792" i="75"/>
  <c r="U792" i="75" s="1"/>
  <c r="Z791" i="75"/>
  <c r="V791" i="75"/>
  <c r="X791" i="75" s="1"/>
  <c r="T791" i="75"/>
  <c r="U791" i="75" s="1"/>
  <c r="Z790" i="75"/>
  <c r="V790" i="75"/>
  <c r="X790" i="75" s="1"/>
  <c r="T790" i="75"/>
  <c r="U790" i="75" s="1"/>
  <c r="Z789" i="75"/>
  <c r="V789" i="75"/>
  <c r="X789" i="75" s="1"/>
  <c r="T789" i="75"/>
  <c r="U789" i="75" s="1"/>
  <c r="Z788" i="75"/>
  <c r="V788" i="75"/>
  <c r="X788" i="75" s="1"/>
  <c r="T788" i="75"/>
  <c r="U788" i="75" s="1"/>
  <c r="Z787" i="75"/>
  <c r="V787" i="75"/>
  <c r="X787" i="75" s="1"/>
  <c r="T787" i="75"/>
  <c r="U787" i="75" s="1"/>
  <c r="Z786" i="75"/>
  <c r="V786" i="75"/>
  <c r="X786" i="75" s="1"/>
  <c r="T786" i="75"/>
  <c r="U786" i="75" s="1"/>
  <c r="Z785" i="75"/>
  <c r="V785" i="75"/>
  <c r="X785" i="75" s="1"/>
  <c r="T785" i="75"/>
  <c r="U785" i="75" s="1"/>
  <c r="Z784" i="75"/>
  <c r="V784" i="75"/>
  <c r="X784" i="75" s="1"/>
  <c r="T784" i="75"/>
  <c r="U784" i="75" s="1"/>
  <c r="Z783" i="75"/>
  <c r="V783" i="75"/>
  <c r="X783" i="75" s="1"/>
  <c r="T783" i="75"/>
  <c r="U783" i="75" s="1"/>
  <c r="Z782" i="75"/>
  <c r="V782" i="75"/>
  <c r="X782" i="75" s="1"/>
  <c r="T782" i="75"/>
  <c r="U782" i="75" s="1"/>
  <c r="Z781" i="75"/>
  <c r="V781" i="75"/>
  <c r="X781" i="75" s="1"/>
  <c r="T781" i="75"/>
  <c r="U781" i="75" s="1"/>
  <c r="Z780" i="75"/>
  <c r="V780" i="75"/>
  <c r="X780" i="75" s="1"/>
  <c r="T780" i="75"/>
  <c r="U780" i="75" s="1"/>
  <c r="Z779" i="75"/>
  <c r="V779" i="75"/>
  <c r="X779" i="75" s="1"/>
  <c r="T779" i="75"/>
  <c r="U779" i="75" s="1"/>
  <c r="Z778" i="75"/>
  <c r="V778" i="75"/>
  <c r="X778" i="75" s="1"/>
  <c r="T778" i="75"/>
  <c r="U778" i="75" s="1"/>
  <c r="Z777" i="75"/>
  <c r="V777" i="75"/>
  <c r="X777" i="75" s="1"/>
  <c r="T777" i="75"/>
  <c r="U777" i="75" s="1"/>
  <c r="Z776" i="75"/>
  <c r="V776" i="75"/>
  <c r="X776" i="75" s="1"/>
  <c r="T776" i="75"/>
  <c r="U776" i="75" s="1"/>
  <c r="Z775" i="75"/>
  <c r="V775" i="75"/>
  <c r="X775" i="75" s="1"/>
  <c r="T775" i="75"/>
  <c r="U775" i="75" s="1"/>
  <c r="Z774" i="75"/>
  <c r="V774" i="75"/>
  <c r="X774" i="75" s="1"/>
  <c r="T774" i="75"/>
  <c r="U774" i="75" s="1"/>
  <c r="Z773" i="75"/>
  <c r="V773" i="75"/>
  <c r="X773" i="75" s="1"/>
  <c r="T773" i="75"/>
  <c r="U773" i="75" s="1"/>
  <c r="Z772" i="75"/>
  <c r="V772" i="75"/>
  <c r="X772" i="75" s="1"/>
  <c r="T772" i="75"/>
  <c r="U772" i="75" s="1"/>
  <c r="Z771" i="75"/>
  <c r="V771" i="75"/>
  <c r="X771" i="75" s="1"/>
  <c r="T771" i="75"/>
  <c r="U771" i="75" s="1"/>
  <c r="Z770" i="75"/>
  <c r="V770" i="75"/>
  <c r="X770" i="75" s="1"/>
  <c r="T770" i="75"/>
  <c r="U770" i="75" s="1"/>
  <c r="Z769" i="75"/>
  <c r="V769" i="75"/>
  <c r="X769" i="75" s="1"/>
  <c r="T769" i="75"/>
  <c r="U769" i="75" s="1"/>
  <c r="Z768" i="75"/>
  <c r="V768" i="75"/>
  <c r="X768" i="75" s="1"/>
  <c r="T768" i="75"/>
  <c r="U768" i="75" s="1"/>
  <c r="Z767" i="75"/>
  <c r="V767" i="75"/>
  <c r="X767" i="75" s="1"/>
  <c r="T767" i="75"/>
  <c r="U767" i="75" s="1"/>
  <c r="Z766" i="75"/>
  <c r="V766" i="75"/>
  <c r="X766" i="75" s="1"/>
  <c r="T766" i="75"/>
  <c r="U766" i="75" s="1"/>
  <c r="Z765" i="75"/>
  <c r="V765" i="75"/>
  <c r="X765" i="75" s="1"/>
  <c r="T765" i="75"/>
  <c r="U765" i="75" s="1"/>
  <c r="Z764" i="75"/>
  <c r="V764" i="75"/>
  <c r="X764" i="75" s="1"/>
  <c r="T764" i="75"/>
  <c r="U764" i="75" s="1"/>
  <c r="Z763" i="75"/>
  <c r="V763" i="75"/>
  <c r="X763" i="75" s="1"/>
  <c r="T763" i="75"/>
  <c r="U763" i="75" s="1"/>
  <c r="Z762" i="75"/>
  <c r="V762" i="75"/>
  <c r="X762" i="75" s="1"/>
  <c r="T762" i="75"/>
  <c r="U762" i="75" s="1"/>
  <c r="Z761" i="75"/>
  <c r="V761" i="75"/>
  <c r="X761" i="75" s="1"/>
  <c r="T761" i="75"/>
  <c r="U761" i="75" s="1"/>
  <c r="Z760" i="75"/>
  <c r="V760" i="75"/>
  <c r="X760" i="75" s="1"/>
  <c r="T760" i="75"/>
  <c r="U760" i="75" s="1"/>
  <c r="Z759" i="75"/>
  <c r="V759" i="75"/>
  <c r="X759" i="75" s="1"/>
  <c r="T759" i="75"/>
  <c r="U759" i="75" s="1"/>
  <c r="Z758" i="75"/>
  <c r="V758" i="75"/>
  <c r="X758" i="75" s="1"/>
  <c r="T758" i="75"/>
  <c r="U758" i="75" s="1"/>
  <c r="Z757" i="75"/>
  <c r="V757" i="75"/>
  <c r="X757" i="75" s="1"/>
  <c r="T757" i="75"/>
  <c r="U757" i="75" s="1"/>
  <c r="Z756" i="75"/>
  <c r="V756" i="75"/>
  <c r="X756" i="75" s="1"/>
  <c r="T756" i="75"/>
  <c r="U756" i="75" s="1"/>
  <c r="Z755" i="75"/>
  <c r="V755" i="75"/>
  <c r="X755" i="75" s="1"/>
  <c r="T755" i="75"/>
  <c r="U755" i="75" s="1"/>
  <c r="Z754" i="75"/>
  <c r="V754" i="75"/>
  <c r="X754" i="75" s="1"/>
  <c r="T754" i="75"/>
  <c r="U754" i="75" s="1"/>
  <c r="Z753" i="75"/>
  <c r="V753" i="75"/>
  <c r="X753" i="75" s="1"/>
  <c r="T753" i="75"/>
  <c r="U753" i="75" s="1"/>
  <c r="Z752" i="75"/>
  <c r="V752" i="75"/>
  <c r="X752" i="75" s="1"/>
  <c r="T752" i="75"/>
  <c r="U752" i="75" s="1"/>
  <c r="Z751" i="75"/>
  <c r="V751" i="75"/>
  <c r="X751" i="75" s="1"/>
  <c r="T751" i="75"/>
  <c r="U751" i="75" s="1"/>
  <c r="Z750" i="75"/>
  <c r="V750" i="75"/>
  <c r="X750" i="75" s="1"/>
  <c r="T750" i="75"/>
  <c r="U750" i="75" s="1"/>
  <c r="Z749" i="75"/>
  <c r="V749" i="75"/>
  <c r="X749" i="75" s="1"/>
  <c r="T749" i="75"/>
  <c r="U749" i="75" s="1"/>
  <c r="Z748" i="75"/>
  <c r="V748" i="75"/>
  <c r="X748" i="75" s="1"/>
  <c r="T748" i="75"/>
  <c r="U748" i="75" s="1"/>
  <c r="Z747" i="75"/>
  <c r="V747" i="75"/>
  <c r="X747" i="75" s="1"/>
  <c r="T747" i="75"/>
  <c r="U747" i="75" s="1"/>
  <c r="Z746" i="75"/>
  <c r="V746" i="75"/>
  <c r="X746" i="75" s="1"/>
  <c r="T746" i="75"/>
  <c r="U746" i="75" s="1"/>
  <c r="Z745" i="75"/>
  <c r="V745" i="75"/>
  <c r="X745" i="75" s="1"/>
  <c r="T745" i="75"/>
  <c r="U745" i="75" s="1"/>
  <c r="Z744" i="75"/>
  <c r="V744" i="75"/>
  <c r="X744" i="75" s="1"/>
  <c r="T744" i="75"/>
  <c r="U744" i="75" s="1"/>
  <c r="Z743" i="75"/>
  <c r="V743" i="75"/>
  <c r="X743" i="75" s="1"/>
  <c r="T743" i="75"/>
  <c r="U743" i="75" s="1"/>
  <c r="Z742" i="75"/>
  <c r="V742" i="75"/>
  <c r="X742" i="75" s="1"/>
  <c r="T742" i="75"/>
  <c r="U742" i="75" s="1"/>
  <c r="Z741" i="75"/>
  <c r="V741" i="75"/>
  <c r="X741" i="75" s="1"/>
  <c r="T741" i="75"/>
  <c r="U741" i="75" s="1"/>
  <c r="Z740" i="75"/>
  <c r="V740" i="75"/>
  <c r="X740" i="75" s="1"/>
  <c r="T740" i="75"/>
  <c r="U740" i="75" s="1"/>
  <c r="Z739" i="75"/>
  <c r="V739" i="75"/>
  <c r="X739" i="75" s="1"/>
  <c r="T739" i="75"/>
  <c r="U739" i="75" s="1"/>
  <c r="Z738" i="75"/>
  <c r="V738" i="75"/>
  <c r="X738" i="75" s="1"/>
  <c r="T738" i="75"/>
  <c r="U738" i="75" s="1"/>
  <c r="Z737" i="75"/>
  <c r="V737" i="75"/>
  <c r="X737" i="75" s="1"/>
  <c r="T737" i="75"/>
  <c r="U737" i="75" s="1"/>
  <c r="Z736" i="75"/>
  <c r="V736" i="75"/>
  <c r="X736" i="75" s="1"/>
  <c r="T736" i="75"/>
  <c r="U736" i="75" s="1"/>
  <c r="Z735" i="75"/>
  <c r="V735" i="75"/>
  <c r="X735" i="75" s="1"/>
  <c r="T735" i="75"/>
  <c r="U735" i="75" s="1"/>
  <c r="Z734" i="75"/>
  <c r="V734" i="75"/>
  <c r="X734" i="75" s="1"/>
  <c r="T734" i="75"/>
  <c r="U734" i="75" s="1"/>
  <c r="Z733" i="75"/>
  <c r="V733" i="75"/>
  <c r="X733" i="75" s="1"/>
  <c r="T733" i="75"/>
  <c r="U733" i="75" s="1"/>
  <c r="Z732" i="75"/>
  <c r="V732" i="75"/>
  <c r="X732" i="75" s="1"/>
  <c r="T732" i="75"/>
  <c r="U732" i="75" s="1"/>
  <c r="Z731" i="75"/>
  <c r="V731" i="75"/>
  <c r="X731" i="75" s="1"/>
  <c r="T731" i="75"/>
  <c r="U731" i="75" s="1"/>
  <c r="Z730" i="75"/>
  <c r="V730" i="75"/>
  <c r="X730" i="75" s="1"/>
  <c r="T730" i="75"/>
  <c r="U730" i="75" s="1"/>
  <c r="Z729" i="75"/>
  <c r="V729" i="75"/>
  <c r="X729" i="75" s="1"/>
  <c r="T729" i="75"/>
  <c r="U729" i="75" s="1"/>
  <c r="Z728" i="75"/>
  <c r="V728" i="75"/>
  <c r="X728" i="75" s="1"/>
  <c r="T728" i="75"/>
  <c r="U728" i="75" s="1"/>
  <c r="Z727" i="75"/>
  <c r="V727" i="75"/>
  <c r="X727" i="75" s="1"/>
  <c r="T727" i="75"/>
  <c r="U727" i="75" s="1"/>
  <c r="Z726" i="75"/>
  <c r="V726" i="75"/>
  <c r="X726" i="75" s="1"/>
  <c r="T726" i="75"/>
  <c r="U726" i="75" s="1"/>
  <c r="Z725" i="75"/>
  <c r="V725" i="75"/>
  <c r="X725" i="75" s="1"/>
  <c r="T725" i="75"/>
  <c r="U725" i="75" s="1"/>
  <c r="Z724" i="75"/>
  <c r="V724" i="75"/>
  <c r="X724" i="75" s="1"/>
  <c r="T724" i="75"/>
  <c r="U724" i="75" s="1"/>
  <c r="Z723" i="75"/>
  <c r="V723" i="75"/>
  <c r="X723" i="75" s="1"/>
  <c r="T723" i="75"/>
  <c r="U723" i="75" s="1"/>
  <c r="Z722" i="75"/>
  <c r="V722" i="75"/>
  <c r="X722" i="75" s="1"/>
  <c r="T722" i="75"/>
  <c r="U722" i="75" s="1"/>
  <c r="Z721" i="75"/>
  <c r="V721" i="75"/>
  <c r="X721" i="75" s="1"/>
  <c r="T721" i="75"/>
  <c r="U721" i="75" s="1"/>
  <c r="Z720" i="75"/>
  <c r="V720" i="75"/>
  <c r="X720" i="75" s="1"/>
  <c r="T720" i="75"/>
  <c r="U720" i="75" s="1"/>
  <c r="Z719" i="75"/>
  <c r="V719" i="75"/>
  <c r="X719" i="75" s="1"/>
  <c r="T719" i="75"/>
  <c r="U719" i="75" s="1"/>
  <c r="Z718" i="75"/>
  <c r="V718" i="75"/>
  <c r="X718" i="75" s="1"/>
  <c r="T718" i="75"/>
  <c r="U718" i="75" s="1"/>
  <c r="Z717" i="75"/>
  <c r="V717" i="75"/>
  <c r="X717" i="75" s="1"/>
  <c r="T717" i="75"/>
  <c r="U717" i="75" s="1"/>
  <c r="Z716" i="75"/>
  <c r="V716" i="75"/>
  <c r="X716" i="75" s="1"/>
  <c r="T716" i="75"/>
  <c r="U716" i="75" s="1"/>
  <c r="Z715" i="75"/>
  <c r="V715" i="75"/>
  <c r="X715" i="75" s="1"/>
  <c r="T715" i="75"/>
  <c r="U715" i="75" s="1"/>
  <c r="Z714" i="75"/>
  <c r="V714" i="75"/>
  <c r="X714" i="75" s="1"/>
  <c r="T714" i="75"/>
  <c r="U714" i="75" s="1"/>
  <c r="Z713" i="75"/>
  <c r="V713" i="75"/>
  <c r="X713" i="75" s="1"/>
  <c r="T713" i="75"/>
  <c r="U713" i="75" s="1"/>
  <c r="Z712" i="75"/>
  <c r="V712" i="75"/>
  <c r="X712" i="75" s="1"/>
  <c r="T712" i="75"/>
  <c r="U712" i="75" s="1"/>
  <c r="Z711" i="75"/>
  <c r="V711" i="75"/>
  <c r="X711" i="75" s="1"/>
  <c r="T711" i="75"/>
  <c r="U711" i="75" s="1"/>
  <c r="Z710" i="75"/>
  <c r="V710" i="75"/>
  <c r="X710" i="75" s="1"/>
  <c r="T710" i="75"/>
  <c r="U710" i="75" s="1"/>
  <c r="Z709" i="75"/>
  <c r="V709" i="75"/>
  <c r="X709" i="75" s="1"/>
  <c r="T709" i="75"/>
  <c r="U709" i="75" s="1"/>
  <c r="Z708" i="75"/>
  <c r="V708" i="75"/>
  <c r="X708" i="75" s="1"/>
  <c r="T708" i="75"/>
  <c r="U708" i="75" s="1"/>
  <c r="Z707" i="75"/>
  <c r="V707" i="75"/>
  <c r="X707" i="75" s="1"/>
  <c r="T707" i="75"/>
  <c r="U707" i="75" s="1"/>
  <c r="Z706" i="75"/>
  <c r="V706" i="75"/>
  <c r="X706" i="75" s="1"/>
  <c r="T706" i="75"/>
  <c r="U706" i="75" s="1"/>
  <c r="Z705" i="75"/>
  <c r="V705" i="75"/>
  <c r="X705" i="75" s="1"/>
  <c r="T705" i="75"/>
  <c r="U705" i="75" s="1"/>
  <c r="Z704" i="75"/>
  <c r="V704" i="75"/>
  <c r="X704" i="75" s="1"/>
  <c r="T704" i="75"/>
  <c r="U704" i="75" s="1"/>
  <c r="Z703" i="75"/>
  <c r="V703" i="75"/>
  <c r="X703" i="75" s="1"/>
  <c r="T703" i="75"/>
  <c r="U703" i="75" s="1"/>
  <c r="Z702" i="75"/>
  <c r="V702" i="75"/>
  <c r="X702" i="75" s="1"/>
  <c r="T702" i="75"/>
  <c r="U702" i="75" s="1"/>
  <c r="Z701" i="75"/>
  <c r="V701" i="75"/>
  <c r="X701" i="75" s="1"/>
  <c r="T701" i="75"/>
  <c r="U701" i="75" s="1"/>
  <c r="Z700" i="75"/>
  <c r="V700" i="75"/>
  <c r="X700" i="75" s="1"/>
  <c r="T700" i="75"/>
  <c r="U700" i="75" s="1"/>
  <c r="Z699" i="75"/>
  <c r="V699" i="75"/>
  <c r="X699" i="75" s="1"/>
  <c r="T699" i="75"/>
  <c r="U699" i="75" s="1"/>
  <c r="Z698" i="75"/>
  <c r="V698" i="75"/>
  <c r="X698" i="75" s="1"/>
  <c r="T698" i="75"/>
  <c r="U698" i="75" s="1"/>
  <c r="Z697" i="75"/>
  <c r="V697" i="75"/>
  <c r="X697" i="75" s="1"/>
  <c r="T697" i="75"/>
  <c r="U697" i="75" s="1"/>
  <c r="Z696" i="75"/>
  <c r="V696" i="75"/>
  <c r="X696" i="75" s="1"/>
  <c r="T696" i="75"/>
  <c r="U696" i="75" s="1"/>
  <c r="Z695" i="75"/>
  <c r="V695" i="75"/>
  <c r="X695" i="75" s="1"/>
  <c r="T695" i="75"/>
  <c r="U695" i="75" s="1"/>
  <c r="Z694" i="75"/>
  <c r="V694" i="75"/>
  <c r="X694" i="75" s="1"/>
  <c r="T694" i="75"/>
  <c r="U694" i="75" s="1"/>
  <c r="Z693" i="75"/>
  <c r="V693" i="75"/>
  <c r="X693" i="75" s="1"/>
  <c r="T693" i="75"/>
  <c r="U693" i="75" s="1"/>
  <c r="Z692" i="75"/>
  <c r="V692" i="75"/>
  <c r="X692" i="75" s="1"/>
  <c r="T692" i="75"/>
  <c r="U692" i="75" s="1"/>
  <c r="Z691" i="75"/>
  <c r="V691" i="75"/>
  <c r="X691" i="75" s="1"/>
  <c r="T691" i="75"/>
  <c r="U691" i="75" s="1"/>
  <c r="Z690" i="75"/>
  <c r="V690" i="75"/>
  <c r="X690" i="75" s="1"/>
  <c r="T690" i="75"/>
  <c r="U690" i="75" s="1"/>
  <c r="Z689" i="75"/>
  <c r="V689" i="75"/>
  <c r="X689" i="75" s="1"/>
  <c r="T689" i="75"/>
  <c r="U689" i="75" s="1"/>
  <c r="Z688" i="75"/>
  <c r="V688" i="75"/>
  <c r="X688" i="75" s="1"/>
  <c r="T688" i="75"/>
  <c r="U688" i="75" s="1"/>
  <c r="Z687" i="75"/>
  <c r="V687" i="75"/>
  <c r="X687" i="75" s="1"/>
  <c r="T687" i="75"/>
  <c r="U687" i="75" s="1"/>
  <c r="Z686" i="75"/>
  <c r="V686" i="75"/>
  <c r="X686" i="75" s="1"/>
  <c r="T686" i="75"/>
  <c r="U686" i="75" s="1"/>
  <c r="Z685" i="75"/>
  <c r="V685" i="75"/>
  <c r="X685" i="75" s="1"/>
  <c r="T685" i="75"/>
  <c r="U685" i="75" s="1"/>
  <c r="Z684" i="75"/>
  <c r="V684" i="75"/>
  <c r="X684" i="75" s="1"/>
  <c r="T684" i="75"/>
  <c r="U684" i="75" s="1"/>
  <c r="Z683" i="75"/>
  <c r="V683" i="75"/>
  <c r="X683" i="75" s="1"/>
  <c r="T683" i="75"/>
  <c r="U683" i="75" s="1"/>
  <c r="Z682" i="75"/>
  <c r="V682" i="75"/>
  <c r="X682" i="75" s="1"/>
  <c r="T682" i="75"/>
  <c r="U682" i="75" s="1"/>
  <c r="Z681" i="75"/>
  <c r="V681" i="75"/>
  <c r="X681" i="75" s="1"/>
  <c r="T681" i="75"/>
  <c r="U681" i="75" s="1"/>
  <c r="Z680" i="75"/>
  <c r="V680" i="75"/>
  <c r="X680" i="75" s="1"/>
  <c r="T680" i="75"/>
  <c r="U680" i="75" s="1"/>
  <c r="Z679" i="75"/>
  <c r="V679" i="75"/>
  <c r="X679" i="75" s="1"/>
  <c r="T679" i="75"/>
  <c r="U679" i="75" s="1"/>
  <c r="Z678" i="75"/>
  <c r="V678" i="75"/>
  <c r="X678" i="75" s="1"/>
  <c r="T678" i="75"/>
  <c r="U678" i="75" s="1"/>
  <c r="Z677" i="75"/>
  <c r="V677" i="75"/>
  <c r="X677" i="75" s="1"/>
  <c r="T677" i="75"/>
  <c r="U677" i="75" s="1"/>
  <c r="Z676" i="75"/>
  <c r="V676" i="75"/>
  <c r="X676" i="75" s="1"/>
  <c r="T676" i="75"/>
  <c r="U676" i="75" s="1"/>
  <c r="Z675" i="75"/>
  <c r="V675" i="75"/>
  <c r="X675" i="75" s="1"/>
  <c r="T675" i="75"/>
  <c r="U675" i="75" s="1"/>
  <c r="Z674" i="75"/>
  <c r="V674" i="75"/>
  <c r="X674" i="75" s="1"/>
  <c r="T674" i="75"/>
  <c r="U674" i="75" s="1"/>
  <c r="Z673" i="75"/>
  <c r="V673" i="75"/>
  <c r="X673" i="75" s="1"/>
  <c r="T673" i="75"/>
  <c r="U673" i="75" s="1"/>
  <c r="Z672" i="75"/>
  <c r="V672" i="75"/>
  <c r="X672" i="75" s="1"/>
  <c r="T672" i="75"/>
  <c r="U672" i="75" s="1"/>
  <c r="Z671" i="75"/>
  <c r="V671" i="75"/>
  <c r="X671" i="75" s="1"/>
  <c r="T671" i="75"/>
  <c r="U671" i="75" s="1"/>
  <c r="Z670" i="75"/>
  <c r="V670" i="75"/>
  <c r="X670" i="75" s="1"/>
  <c r="T670" i="75"/>
  <c r="U670" i="75" s="1"/>
  <c r="Z669" i="75"/>
  <c r="V669" i="75"/>
  <c r="X669" i="75" s="1"/>
  <c r="T669" i="75"/>
  <c r="U669" i="75" s="1"/>
  <c r="Z668" i="75"/>
  <c r="V668" i="75"/>
  <c r="X668" i="75" s="1"/>
  <c r="T668" i="75"/>
  <c r="U668" i="75" s="1"/>
  <c r="Z667" i="75"/>
  <c r="V667" i="75"/>
  <c r="X667" i="75" s="1"/>
  <c r="T667" i="75"/>
  <c r="U667" i="75" s="1"/>
  <c r="Z666" i="75"/>
  <c r="V666" i="75"/>
  <c r="X666" i="75" s="1"/>
  <c r="T666" i="75"/>
  <c r="U666" i="75" s="1"/>
  <c r="Z665" i="75"/>
  <c r="V665" i="75"/>
  <c r="X665" i="75" s="1"/>
  <c r="T665" i="75"/>
  <c r="U665" i="75" s="1"/>
  <c r="Z664" i="75"/>
  <c r="V664" i="75"/>
  <c r="X664" i="75" s="1"/>
  <c r="T664" i="75"/>
  <c r="U664" i="75" s="1"/>
  <c r="Z663" i="75"/>
  <c r="V663" i="75"/>
  <c r="X663" i="75" s="1"/>
  <c r="T663" i="75"/>
  <c r="U663" i="75" s="1"/>
  <c r="Z662" i="75"/>
  <c r="V662" i="75"/>
  <c r="X662" i="75" s="1"/>
  <c r="T662" i="75"/>
  <c r="U662" i="75" s="1"/>
  <c r="Z661" i="75"/>
  <c r="V661" i="75"/>
  <c r="X661" i="75" s="1"/>
  <c r="T661" i="75"/>
  <c r="U661" i="75" s="1"/>
  <c r="Z660" i="75"/>
  <c r="V660" i="75"/>
  <c r="X660" i="75" s="1"/>
  <c r="T660" i="75"/>
  <c r="U660" i="75" s="1"/>
  <c r="Z659" i="75"/>
  <c r="V659" i="75"/>
  <c r="X659" i="75" s="1"/>
  <c r="T659" i="75"/>
  <c r="U659" i="75" s="1"/>
  <c r="Z658" i="75"/>
  <c r="V658" i="75"/>
  <c r="X658" i="75" s="1"/>
  <c r="T658" i="75"/>
  <c r="U658" i="75" s="1"/>
  <c r="Z657" i="75"/>
  <c r="V657" i="75"/>
  <c r="X657" i="75" s="1"/>
  <c r="T657" i="75"/>
  <c r="U657" i="75" s="1"/>
  <c r="Z656" i="75"/>
  <c r="V656" i="75"/>
  <c r="X656" i="75" s="1"/>
  <c r="T656" i="75"/>
  <c r="U656" i="75" s="1"/>
  <c r="Z655" i="75"/>
  <c r="V655" i="75"/>
  <c r="X655" i="75" s="1"/>
  <c r="T655" i="75"/>
  <c r="U655" i="75" s="1"/>
  <c r="Z654" i="75"/>
  <c r="V654" i="75"/>
  <c r="X654" i="75" s="1"/>
  <c r="T654" i="75"/>
  <c r="U654" i="75" s="1"/>
  <c r="Z653" i="75"/>
  <c r="V653" i="75"/>
  <c r="X653" i="75" s="1"/>
  <c r="T653" i="75"/>
  <c r="U653" i="75" s="1"/>
  <c r="Z652" i="75"/>
  <c r="V652" i="75"/>
  <c r="X652" i="75" s="1"/>
  <c r="T652" i="75"/>
  <c r="U652" i="75" s="1"/>
  <c r="Z651" i="75"/>
  <c r="V651" i="75"/>
  <c r="X651" i="75" s="1"/>
  <c r="T651" i="75"/>
  <c r="U651" i="75" s="1"/>
  <c r="Z650" i="75"/>
  <c r="V650" i="75"/>
  <c r="X650" i="75" s="1"/>
  <c r="T650" i="75"/>
  <c r="U650" i="75" s="1"/>
  <c r="Z649" i="75"/>
  <c r="V649" i="75"/>
  <c r="X649" i="75" s="1"/>
  <c r="T649" i="75"/>
  <c r="U649" i="75" s="1"/>
  <c r="Z648" i="75"/>
  <c r="V648" i="75"/>
  <c r="X648" i="75" s="1"/>
  <c r="T648" i="75"/>
  <c r="U648" i="75" s="1"/>
  <c r="Z647" i="75"/>
  <c r="V647" i="75"/>
  <c r="X647" i="75" s="1"/>
  <c r="T647" i="75"/>
  <c r="U647" i="75" s="1"/>
  <c r="Z646" i="75"/>
  <c r="V646" i="75"/>
  <c r="X646" i="75" s="1"/>
  <c r="T646" i="75"/>
  <c r="U646" i="75" s="1"/>
  <c r="Z645" i="75"/>
  <c r="V645" i="75"/>
  <c r="X645" i="75" s="1"/>
  <c r="T645" i="75"/>
  <c r="U645" i="75" s="1"/>
  <c r="Z644" i="75"/>
  <c r="V644" i="75"/>
  <c r="X644" i="75" s="1"/>
  <c r="T644" i="75"/>
  <c r="U644" i="75" s="1"/>
  <c r="Z643" i="75"/>
  <c r="V643" i="75"/>
  <c r="X643" i="75" s="1"/>
  <c r="T643" i="75"/>
  <c r="U643" i="75" s="1"/>
  <c r="Z642" i="75"/>
  <c r="V642" i="75"/>
  <c r="X642" i="75" s="1"/>
  <c r="T642" i="75"/>
  <c r="U642" i="75" s="1"/>
  <c r="Z641" i="75"/>
  <c r="V641" i="75"/>
  <c r="X641" i="75" s="1"/>
  <c r="T641" i="75"/>
  <c r="U641" i="75" s="1"/>
  <c r="Z640" i="75"/>
  <c r="V640" i="75"/>
  <c r="X640" i="75" s="1"/>
  <c r="T640" i="75"/>
  <c r="U640" i="75" s="1"/>
  <c r="Z639" i="75"/>
  <c r="V639" i="75"/>
  <c r="X639" i="75" s="1"/>
  <c r="T639" i="75"/>
  <c r="U639" i="75" s="1"/>
  <c r="Z638" i="75"/>
  <c r="V638" i="75"/>
  <c r="X638" i="75" s="1"/>
  <c r="T638" i="75"/>
  <c r="U638" i="75" s="1"/>
  <c r="Z637" i="75"/>
  <c r="V637" i="75"/>
  <c r="X637" i="75" s="1"/>
  <c r="T637" i="75"/>
  <c r="U637" i="75" s="1"/>
  <c r="Z636" i="75"/>
  <c r="V636" i="75"/>
  <c r="X636" i="75" s="1"/>
  <c r="T636" i="75"/>
  <c r="U636" i="75" s="1"/>
  <c r="Z635" i="75"/>
  <c r="V635" i="75"/>
  <c r="X635" i="75" s="1"/>
  <c r="T635" i="75"/>
  <c r="U635" i="75" s="1"/>
  <c r="Z634" i="75"/>
  <c r="V634" i="75"/>
  <c r="X634" i="75" s="1"/>
  <c r="T634" i="75"/>
  <c r="U634" i="75" s="1"/>
  <c r="Z633" i="75"/>
  <c r="V633" i="75"/>
  <c r="X633" i="75" s="1"/>
  <c r="T633" i="75"/>
  <c r="U633" i="75" s="1"/>
  <c r="Z632" i="75"/>
  <c r="V632" i="75"/>
  <c r="X632" i="75" s="1"/>
  <c r="T632" i="75"/>
  <c r="U632" i="75" s="1"/>
  <c r="Z631" i="75"/>
  <c r="V631" i="75"/>
  <c r="X631" i="75" s="1"/>
  <c r="T631" i="75"/>
  <c r="U631" i="75" s="1"/>
  <c r="Z630" i="75"/>
  <c r="V630" i="75"/>
  <c r="X630" i="75" s="1"/>
  <c r="T630" i="75"/>
  <c r="U630" i="75" s="1"/>
  <c r="Z629" i="75"/>
  <c r="V629" i="75"/>
  <c r="X629" i="75" s="1"/>
  <c r="T629" i="75"/>
  <c r="U629" i="75" s="1"/>
  <c r="Z628" i="75"/>
  <c r="V628" i="75"/>
  <c r="X628" i="75" s="1"/>
  <c r="T628" i="75"/>
  <c r="U628" i="75" s="1"/>
  <c r="Z627" i="75"/>
  <c r="V627" i="75"/>
  <c r="X627" i="75" s="1"/>
  <c r="T627" i="75"/>
  <c r="U627" i="75" s="1"/>
  <c r="Z626" i="75"/>
  <c r="V626" i="75"/>
  <c r="X626" i="75" s="1"/>
  <c r="T626" i="75"/>
  <c r="U626" i="75" s="1"/>
  <c r="Z625" i="75"/>
  <c r="V625" i="75"/>
  <c r="X625" i="75" s="1"/>
  <c r="T625" i="75"/>
  <c r="U625" i="75" s="1"/>
  <c r="Z624" i="75"/>
  <c r="V624" i="75"/>
  <c r="X624" i="75" s="1"/>
  <c r="T624" i="75"/>
  <c r="U624" i="75" s="1"/>
  <c r="Z623" i="75"/>
  <c r="V623" i="75"/>
  <c r="X623" i="75" s="1"/>
  <c r="T623" i="75"/>
  <c r="U623" i="75" s="1"/>
  <c r="Z622" i="75"/>
  <c r="V622" i="75"/>
  <c r="X622" i="75" s="1"/>
  <c r="T622" i="75"/>
  <c r="U622" i="75" s="1"/>
  <c r="Z621" i="75"/>
  <c r="V621" i="75"/>
  <c r="X621" i="75" s="1"/>
  <c r="T621" i="75"/>
  <c r="U621" i="75" s="1"/>
  <c r="Z620" i="75"/>
  <c r="V620" i="75"/>
  <c r="X620" i="75" s="1"/>
  <c r="T620" i="75"/>
  <c r="U620" i="75" s="1"/>
  <c r="Z619" i="75"/>
  <c r="V619" i="75"/>
  <c r="X619" i="75" s="1"/>
  <c r="T619" i="75"/>
  <c r="U619" i="75" s="1"/>
  <c r="Z618" i="75"/>
  <c r="V618" i="75"/>
  <c r="X618" i="75" s="1"/>
  <c r="T618" i="75"/>
  <c r="U618" i="75" s="1"/>
  <c r="Z617" i="75"/>
  <c r="V617" i="75"/>
  <c r="X617" i="75" s="1"/>
  <c r="T617" i="75"/>
  <c r="U617" i="75" s="1"/>
  <c r="Z616" i="75"/>
  <c r="V616" i="75"/>
  <c r="X616" i="75" s="1"/>
  <c r="T616" i="75"/>
  <c r="U616" i="75" s="1"/>
  <c r="Z615" i="75"/>
  <c r="V615" i="75"/>
  <c r="X615" i="75" s="1"/>
  <c r="T615" i="75"/>
  <c r="U615" i="75" s="1"/>
  <c r="Z614" i="75"/>
  <c r="V614" i="75"/>
  <c r="X614" i="75" s="1"/>
  <c r="T614" i="75"/>
  <c r="U614" i="75" s="1"/>
  <c r="Z613" i="75"/>
  <c r="V613" i="75"/>
  <c r="X613" i="75" s="1"/>
  <c r="T613" i="75"/>
  <c r="U613" i="75" s="1"/>
  <c r="Z612" i="75"/>
  <c r="V612" i="75"/>
  <c r="X612" i="75" s="1"/>
  <c r="T612" i="75"/>
  <c r="U612" i="75" s="1"/>
  <c r="Z611" i="75"/>
  <c r="V611" i="75"/>
  <c r="X611" i="75" s="1"/>
  <c r="T611" i="75"/>
  <c r="U611" i="75" s="1"/>
  <c r="Z610" i="75"/>
  <c r="V610" i="75"/>
  <c r="X610" i="75" s="1"/>
  <c r="T610" i="75"/>
  <c r="U610" i="75" s="1"/>
  <c r="Z609" i="75"/>
  <c r="V609" i="75"/>
  <c r="X609" i="75" s="1"/>
  <c r="T609" i="75"/>
  <c r="U609" i="75" s="1"/>
  <c r="Z608" i="75"/>
  <c r="V608" i="75"/>
  <c r="X608" i="75" s="1"/>
  <c r="T608" i="75"/>
  <c r="U608" i="75" s="1"/>
  <c r="Z607" i="75"/>
  <c r="V607" i="75"/>
  <c r="X607" i="75" s="1"/>
  <c r="T607" i="75"/>
  <c r="U607" i="75" s="1"/>
  <c r="Z606" i="75"/>
  <c r="V606" i="75"/>
  <c r="X606" i="75" s="1"/>
  <c r="T606" i="75"/>
  <c r="U606" i="75" s="1"/>
  <c r="Z605" i="75"/>
  <c r="V605" i="75"/>
  <c r="X605" i="75" s="1"/>
  <c r="T605" i="75"/>
  <c r="U605" i="75" s="1"/>
  <c r="Z604" i="75"/>
  <c r="V604" i="75"/>
  <c r="X604" i="75" s="1"/>
  <c r="T604" i="75"/>
  <c r="U604" i="75" s="1"/>
  <c r="Z603" i="75"/>
  <c r="V603" i="75"/>
  <c r="X603" i="75" s="1"/>
  <c r="T603" i="75"/>
  <c r="U603" i="75" s="1"/>
  <c r="Z602" i="75"/>
  <c r="V602" i="75"/>
  <c r="X602" i="75" s="1"/>
  <c r="T602" i="75"/>
  <c r="U602" i="75" s="1"/>
  <c r="Z601" i="75"/>
  <c r="V601" i="75"/>
  <c r="X601" i="75" s="1"/>
  <c r="T601" i="75"/>
  <c r="U601" i="75" s="1"/>
  <c r="Z600" i="75"/>
  <c r="V600" i="75"/>
  <c r="X600" i="75" s="1"/>
  <c r="T600" i="75"/>
  <c r="U600" i="75" s="1"/>
  <c r="Z599" i="75"/>
  <c r="V599" i="75"/>
  <c r="X599" i="75" s="1"/>
  <c r="T599" i="75"/>
  <c r="U599" i="75" s="1"/>
  <c r="Z598" i="75"/>
  <c r="V598" i="75"/>
  <c r="X598" i="75" s="1"/>
  <c r="T598" i="75"/>
  <c r="U598" i="75" s="1"/>
  <c r="Z597" i="75"/>
  <c r="V597" i="75"/>
  <c r="X597" i="75" s="1"/>
  <c r="T597" i="75"/>
  <c r="U597" i="75" s="1"/>
  <c r="Z596" i="75"/>
  <c r="V596" i="75"/>
  <c r="X596" i="75" s="1"/>
  <c r="T596" i="75"/>
  <c r="U596" i="75" s="1"/>
  <c r="Z595" i="75"/>
  <c r="V595" i="75"/>
  <c r="X595" i="75" s="1"/>
  <c r="T595" i="75"/>
  <c r="U595" i="75" s="1"/>
  <c r="Z594" i="75"/>
  <c r="V594" i="75"/>
  <c r="X594" i="75" s="1"/>
  <c r="T594" i="75"/>
  <c r="U594" i="75" s="1"/>
  <c r="Z593" i="75"/>
  <c r="V593" i="75"/>
  <c r="X593" i="75" s="1"/>
  <c r="T593" i="75"/>
  <c r="U593" i="75" s="1"/>
  <c r="Z592" i="75"/>
  <c r="V592" i="75"/>
  <c r="X592" i="75" s="1"/>
  <c r="T592" i="75"/>
  <c r="U592" i="75" s="1"/>
  <c r="Z591" i="75"/>
  <c r="V591" i="75"/>
  <c r="X591" i="75" s="1"/>
  <c r="T591" i="75"/>
  <c r="U591" i="75" s="1"/>
  <c r="Z590" i="75"/>
  <c r="V590" i="75"/>
  <c r="X590" i="75" s="1"/>
  <c r="T590" i="75"/>
  <c r="U590" i="75" s="1"/>
  <c r="Z589" i="75"/>
  <c r="V589" i="75"/>
  <c r="X589" i="75" s="1"/>
  <c r="T589" i="75"/>
  <c r="U589" i="75" s="1"/>
  <c r="Z588" i="75"/>
  <c r="V588" i="75"/>
  <c r="X588" i="75" s="1"/>
  <c r="T588" i="75"/>
  <c r="U588" i="75" s="1"/>
  <c r="Z587" i="75"/>
  <c r="V587" i="75"/>
  <c r="X587" i="75" s="1"/>
  <c r="T587" i="75"/>
  <c r="U587" i="75" s="1"/>
  <c r="Z586" i="75"/>
  <c r="V586" i="75"/>
  <c r="X586" i="75" s="1"/>
  <c r="T586" i="75"/>
  <c r="U586" i="75" s="1"/>
  <c r="Z585" i="75"/>
  <c r="V585" i="75"/>
  <c r="X585" i="75" s="1"/>
  <c r="T585" i="75"/>
  <c r="U585" i="75" s="1"/>
  <c r="Z584" i="75"/>
  <c r="V584" i="75"/>
  <c r="X584" i="75" s="1"/>
  <c r="T584" i="75"/>
  <c r="U584" i="75" s="1"/>
  <c r="Z583" i="75"/>
  <c r="V583" i="75"/>
  <c r="X583" i="75" s="1"/>
  <c r="T583" i="75"/>
  <c r="U583" i="75" s="1"/>
  <c r="Z582" i="75"/>
  <c r="V582" i="75"/>
  <c r="X582" i="75" s="1"/>
  <c r="T582" i="75"/>
  <c r="U582" i="75" s="1"/>
  <c r="Z581" i="75"/>
  <c r="V581" i="75"/>
  <c r="X581" i="75" s="1"/>
  <c r="T581" i="75"/>
  <c r="U581" i="75" s="1"/>
  <c r="Z580" i="75"/>
  <c r="V580" i="75"/>
  <c r="X580" i="75" s="1"/>
  <c r="T580" i="75"/>
  <c r="U580" i="75" s="1"/>
  <c r="Z579" i="75"/>
  <c r="V579" i="75"/>
  <c r="X579" i="75" s="1"/>
  <c r="T579" i="75"/>
  <c r="U579" i="75" s="1"/>
  <c r="Z578" i="75"/>
  <c r="V578" i="75"/>
  <c r="X578" i="75" s="1"/>
  <c r="T578" i="75"/>
  <c r="U578" i="75" s="1"/>
  <c r="Z577" i="75"/>
  <c r="V577" i="75"/>
  <c r="X577" i="75" s="1"/>
  <c r="T577" i="75"/>
  <c r="U577" i="75" s="1"/>
  <c r="Z576" i="75"/>
  <c r="V576" i="75"/>
  <c r="X576" i="75" s="1"/>
  <c r="T576" i="75"/>
  <c r="U576" i="75" s="1"/>
  <c r="Z575" i="75"/>
  <c r="V575" i="75"/>
  <c r="X575" i="75" s="1"/>
  <c r="T575" i="75"/>
  <c r="U575" i="75" s="1"/>
  <c r="Z574" i="75"/>
  <c r="V574" i="75"/>
  <c r="X574" i="75" s="1"/>
  <c r="T574" i="75"/>
  <c r="U574" i="75" s="1"/>
  <c r="Z573" i="75"/>
  <c r="V573" i="75"/>
  <c r="X573" i="75" s="1"/>
  <c r="T573" i="75"/>
  <c r="U573" i="75" s="1"/>
  <c r="Z572" i="75"/>
  <c r="V572" i="75"/>
  <c r="X572" i="75" s="1"/>
  <c r="T572" i="75"/>
  <c r="U572" i="75" s="1"/>
  <c r="Z571" i="75"/>
  <c r="V571" i="75"/>
  <c r="X571" i="75" s="1"/>
  <c r="T571" i="75"/>
  <c r="U571" i="75" s="1"/>
  <c r="Z570" i="75"/>
  <c r="V570" i="75"/>
  <c r="X570" i="75" s="1"/>
  <c r="T570" i="75"/>
  <c r="U570" i="75" s="1"/>
  <c r="Z569" i="75"/>
  <c r="V569" i="75"/>
  <c r="X569" i="75" s="1"/>
  <c r="T569" i="75"/>
  <c r="U569" i="75" s="1"/>
  <c r="Z568" i="75"/>
  <c r="V568" i="75"/>
  <c r="X568" i="75" s="1"/>
  <c r="T568" i="75"/>
  <c r="U568" i="75" s="1"/>
  <c r="Z567" i="75"/>
  <c r="V567" i="75"/>
  <c r="X567" i="75" s="1"/>
  <c r="T567" i="75"/>
  <c r="U567" i="75" s="1"/>
  <c r="Z566" i="75"/>
  <c r="V566" i="75"/>
  <c r="X566" i="75" s="1"/>
  <c r="T566" i="75"/>
  <c r="U566" i="75" s="1"/>
  <c r="Z565" i="75"/>
  <c r="V565" i="75"/>
  <c r="X565" i="75" s="1"/>
  <c r="T565" i="75"/>
  <c r="U565" i="75" s="1"/>
  <c r="Z564" i="75"/>
  <c r="V564" i="75"/>
  <c r="X564" i="75" s="1"/>
  <c r="T564" i="75"/>
  <c r="U564" i="75" s="1"/>
  <c r="Z563" i="75"/>
  <c r="V563" i="75"/>
  <c r="X563" i="75" s="1"/>
  <c r="T563" i="75"/>
  <c r="U563" i="75" s="1"/>
  <c r="Z562" i="75"/>
  <c r="V562" i="75"/>
  <c r="X562" i="75" s="1"/>
  <c r="T562" i="75"/>
  <c r="U562" i="75" s="1"/>
  <c r="Z561" i="75"/>
  <c r="V561" i="75"/>
  <c r="X561" i="75" s="1"/>
  <c r="T561" i="75"/>
  <c r="U561" i="75" s="1"/>
  <c r="Z560" i="75"/>
  <c r="V560" i="75"/>
  <c r="X560" i="75" s="1"/>
  <c r="T560" i="75"/>
  <c r="U560" i="75" s="1"/>
  <c r="Z559" i="75"/>
  <c r="V559" i="75"/>
  <c r="X559" i="75" s="1"/>
  <c r="T559" i="75"/>
  <c r="U559" i="75" s="1"/>
  <c r="Z558" i="75"/>
  <c r="V558" i="75"/>
  <c r="X558" i="75" s="1"/>
  <c r="T558" i="75"/>
  <c r="U558" i="75" s="1"/>
  <c r="Z557" i="75"/>
  <c r="V557" i="75"/>
  <c r="X557" i="75" s="1"/>
  <c r="T557" i="75"/>
  <c r="U557" i="75" s="1"/>
  <c r="Z556" i="75"/>
  <c r="V556" i="75"/>
  <c r="X556" i="75" s="1"/>
  <c r="T556" i="75"/>
  <c r="U556" i="75" s="1"/>
  <c r="Z555" i="75"/>
  <c r="V555" i="75"/>
  <c r="X555" i="75" s="1"/>
  <c r="T555" i="75"/>
  <c r="U555" i="75" s="1"/>
  <c r="Z554" i="75"/>
  <c r="V554" i="75"/>
  <c r="X554" i="75" s="1"/>
  <c r="T554" i="75"/>
  <c r="U554" i="75" s="1"/>
  <c r="Z553" i="75"/>
  <c r="V553" i="75"/>
  <c r="X553" i="75" s="1"/>
  <c r="T553" i="75"/>
  <c r="U553" i="75" s="1"/>
  <c r="Z552" i="75"/>
  <c r="V552" i="75"/>
  <c r="X552" i="75" s="1"/>
  <c r="T552" i="75"/>
  <c r="U552" i="75" s="1"/>
  <c r="Z551" i="75"/>
  <c r="V551" i="75"/>
  <c r="X551" i="75" s="1"/>
  <c r="T551" i="75"/>
  <c r="U551" i="75" s="1"/>
  <c r="Z550" i="75"/>
  <c r="V550" i="75"/>
  <c r="X550" i="75" s="1"/>
  <c r="T550" i="75"/>
  <c r="U550" i="75" s="1"/>
  <c r="Z549" i="75"/>
  <c r="V549" i="75"/>
  <c r="X549" i="75" s="1"/>
  <c r="T549" i="75"/>
  <c r="U549" i="75" s="1"/>
  <c r="Z548" i="75"/>
  <c r="V548" i="75"/>
  <c r="X548" i="75" s="1"/>
  <c r="T548" i="75"/>
  <c r="U548" i="75" s="1"/>
  <c r="Z547" i="75"/>
  <c r="V547" i="75"/>
  <c r="X547" i="75" s="1"/>
  <c r="T547" i="75"/>
  <c r="U547" i="75" s="1"/>
  <c r="Z546" i="75"/>
  <c r="V546" i="75"/>
  <c r="X546" i="75" s="1"/>
  <c r="T546" i="75"/>
  <c r="U546" i="75" s="1"/>
  <c r="Z545" i="75"/>
  <c r="V545" i="75"/>
  <c r="X545" i="75" s="1"/>
  <c r="T545" i="75"/>
  <c r="U545" i="75" s="1"/>
  <c r="Z544" i="75"/>
  <c r="V544" i="75"/>
  <c r="X544" i="75" s="1"/>
  <c r="T544" i="75"/>
  <c r="U544" i="75" s="1"/>
  <c r="Z543" i="75"/>
  <c r="V543" i="75"/>
  <c r="X543" i="75" s="1"/>
  <c r="T543" i="75"/>
  <c r="U543" i="75" s="1"/>
  <c r="Z542" i="75"/>
  <c r="V542" i="75"/>
  <c r="X542" i="75" s="1"/>
  <c r="T542" i="75"/>
  <c r="U542" i="75" s="1"/>
  <c r="Z541" i="75"/>
  <c r="V541" i="75"/>
  <c r="X541" i="75" s="1"/>
  <c r="T541" i="75"/>
  <c r="U541" i="75" s="1"/>
  <c r="Z540" i="75"/>
  <c r="V540" i="75"/>
  <c r="X540" i="75" s="1"/>
  <c r="T540" i="75"/>
  <c r="U540" i="75" s="1"/>
  <c r="Z539" i="75"/>
  <c r="V539" i="75"/>
  <c r="X539" i="75" s="1"/>
  <c r="T539" i="75"/>
  <c r="U539" i="75" s="1"/>
  <c r="Z538" i="75"/>
  <c r="V538" i="75"/>
  <c r="X538" i="75" s="1"/>
  <c r="T538" i="75"/>
  <c r="U538" i="75" s="1"/>
  <c r="Z537" i="75"/>
  <c r="V537" i="75"/>
  <c r="X537" i="75" s="1"/>
  <c r="T537" i="75"/>
  <c r="U537" i="75" s="1"/>
  <c r="Z536" i="75"/>
  <c r="V536" i="75"/>
  <c r="X536" i="75" s="1"/>
  <c r="T536" i="75"/>
  <c r="U536" i="75" s="1"/>
  <c r="Z535" i="75"/>
  <c r="V535" i="75"/>
  <c r="X535" i="75" s="1"/>
  <c r="T535" i="75"/>
  <c r="U535" i="75" s="1"/>
  <c r="Z534" i="75"/>
  <c r="V534" i="75"/>
  <c r="X534" i="75" s="1"/>
  <c r="T534" i="75"/>
  <c r="U534" i="75" s="1"/>
  <c r="Z533" i="75"/>
  <c r="V533" i="75"/>
  <c r="X533" i="75" s="1"/>
  <c r="T533" i="75"/>
  <c r="U533" i="75" s="1"/>
  <c r="Z532" i="75"/>
  <c r="V532" i="75"/>
  <c r="X532" i="75" s="1"/>
  <c r="T532" i="75"/>
  <c r="U532" i="75" s="1"/>
  <c r="Z531" i="75"/>
  <c r="V531" i="75"/>
  <c r="X531" i="75" s="1"/>
  <c r="T531" i="75"/>
  <c r="U531" i="75" s="1"/>
  <c r="Z530" i="75"/>
  <c r="V530" i="75"/>
  <c r="X530" i="75" s="1"/>
  <c r="T530" i="75"/>
  <c r="U530" i="75" s="1"/>
  <c r="Z529" i="75"/>
  <c r="V529" i="75"/>
  <c r="X529" i="75" s="1"/>
  <c r="T529" i="75"/>
  <c r="U529" i="75" s="1"/>
  <c r="Z528" i="75"/>
  <c r="V528" i="75"/>
  <c r="X528" i="75" s="1"/>
  <c r="T528" i="75"/>
  <c r="U528" i="75" s="1"/>
  <c r="Z527" i="75"/>
  <c r="V527" i="75"/>
  <c r="X527" i="75" s="1"/>
  <c r="T527" i="75"/>
  <c r="U527" i="75" s="1"/>
  <c r="Z526" i="75"/>
  <c r="V526" i="75"/>
  <c r="X526" i="75" s="1"/>
  <c r="T526" i="75"/>
  <c r="U526" i="75" s="1"/>
  <c r="Z525" i="75"/>
  <c r="V525" i="75"/>
  <c r="X525" i="75" s="1"/>
  <c r="T525" i="75"/>
  <c r="U525" i="75" s="1"/>
  <c r="Z524" i="75"/>
  <c r="V524" i="75"/>
  <c r="X524" i="75" s="1"/>
  <c r="T524" i="75"/>
  <c r="U524" i="75" s="1"/>
  <c r="Z523" i="75"/>
  <c r="V523" i="75"/>
  <c r="X523" i="75" s="1"/>
  <c r="T523" i="75"/>
  <c r="U523" i="75" s="1"/>
  <c r="Z522" i="75"/>
  <c r="V522" i="75"/>
  <c r="X522" i="75" s="1"/>
  <c r="T522" i="75"/>
  <c r="U522" i="75" s="1"/>
  <c r="Z521" i="75"/>
  <c r="V521" i="75"/>
  <c r="X521" i="75" s="1"/>
  <c r="T521" i="75"/>
  <c r="U521" i="75" s="1"/>
  <c r="Z520" i="75"/>
  <c r="V520" i="75"/>
  <c r="X520" i="75" s="1"/>
  <c r="T520" i="75"/>
  <c r="U520" i="75" s="1"/>
  <c r="Z519" i="75"/>
  <c r="V519" i="75"/>
  <c r="X519" i="75" s="1"/>
  <c r="T519" i="75"/>
  <c r="U519" i="75" s="1"/>
  <c r="Z518" i="75"/>
  <c r="V518" i="75"/>
  <c r="X518" i="75" s="1"/>
  <c r="T518" i="75"/>
  <c r="U518" i="75" s="1"/>
  <c r="Z517" i="75"/>
  <c r="V517" i="75"/>
  <c r="X517" i="75" s="1"/>
  <c r="T517" i="75"/>
  <c r="U517" i="75" s="1"/>
  <c r="Z516" i="75"/>
  <c r="V516" i="75"/>
  <c r="X516" i="75" s="1"/>
  <c r="T516" i="75"/>
  <c r="U516" i="75" s="1"/>
  <c r="Z515" i="75"/>
  <c r="V515" i="75"/>
  <c r="X515" i="75" s="1"/>
  <c r="T515" i="75"/>
  <c r="U515" i="75" s="1"/>
  <c r="Z514" i="75"/>
  <c r="V514" i="75"/>
  <c r="X514" i="75" s="1"/>
  <c r="T514" i="75"/>
  <c r="U514" i="75" s="1"/>
  <c r="Z513" i="75"/>
  <c r="V513" i="75"/>
  <c r="X513" i="75" s="1"/>
  <c r="T513" i="75"/>
  <c r="U513" i="75" s="1"/>
  <c r="Z512" i="75"/>
  <c r="V512" i="75"/>
  <c r="X512" i="75" s="1"/>
  <c r="T512" i="75"/>
  <c r="U512" i="75" s="1"/>
  <c r="Z511" i="75"/>
  <c r="V511" i="75"/>
  <c r="X511" i="75" s="1"/>
  <c r="T511" i="75"/>
  <c r="U511" i="75" s="1"/>
  <c r="Z510" i="75"/>
  <c r="V510" i="75"/>
  <c r="X510" i="75" s="1"/>
  <c r="T510" i="75"/>
  <c r="U510" i="75" s="1"/>
  <c r="Z509" i="75"/>
  <c r="V509" i="75"/>
  <c r="X509" i="75" s="1"/>
  <c r="T509" i="75"/>
  <c r="U509" i="75" s="1"/>
  <c r="Z508" i="75"/>
  <c r="V508" i="75"/>
  <c r="X508" i="75" s="1"/>
  <c r="T508" i="75"/>
  <c r="U508" i="75" s="1"/>
  <c r="Z507" i="75"/>
  <c r="V507" i="75"/>
  <c r="X507" i="75" s="1"/>
  <c r="T507" i="75"/>
  <c r="U507" i="75" s="1"/>
  <c r="Z506" i="75"/>
  <c r="V506" i="75"/>
  <c r="X506" i="75" s="1"/>
  <c r="T506" i="75"/>
  <c r="U506" i="75" s="1"/>
  <c r="Z505" i="75"/>
  <c r="V505" i="75"/>
  <c r="X505" i="75" s="1"/>
  <c r="T505" i="75"/>
  <c r="U505" i="75" s="1"/>
  <c r="Z504" i="75"/>
  <c r="V504" i="75"/>
  <c r="X504" i="75" s="1"/>
  <c r="T504" i="75"/>
  <c r="U504" i="75" s="1"/>
  <c r="Z503" i="75"/>
  <c r="V503" i="75"/>
  <c r="X503" i="75" s="1"/>
  <c r="T503" i="75"/>
  <c r="U503" i="75" s="1"/>
  <c r="Z502" i="75"/>
  <c r="V502" i="75"/>
  <c r="X502" i="75" s="1"/>
  <c r="T502" i="75"/>
  <c r="U502" i="75" s="1"/>
  <c r="Z501" i="75"/>
  <c r="V501" i="75"/>
  <c r="X501" i="75" s="1"/>
  <c r="T501" i="75"/>
  <c r="U501" i="75" s="1"/>
  <c r="Z500" i="75"/>
  <c r="V500" i="75"/>
  <c r="X500" i="75" s="1"/>
  <c r="T500" i="75"/>
  <c r="U500" i="75" s="1"/>
  <c r="Z499" i="75"/>
  <c r="V499" i="75"/>
  <c r="X499" i="75" s="1"/>
  <c r="T499" i="75"/>
  <c r="U499" i="75" s="1"/>
  <c r="Z498" i="75"/>
  <c r="V498" i="75"/>
  <c r="X498" i="75" s="1"/>
  <c r="T498" i="75"/>
  <c r="U498" i="75" s="1"/>
  <c r="Z497" i="75"/>
  <c r="V497" i="75"/>
  <c r="X497" i="75" s="1"/>
  <c r="T497" i="75"/>
  <c r="U497" i="75" s="1"/>
  <c r="Z496" i="75"/>
  <c r="V496" i="75"/>
  <c r="X496" i="75" s="1"/>
  <c r="T496" i="75"/>
  <c r="U496" i="75" s="1"/>
  <c r="Z495" i="75"/>
  <c r="V495" i="75"/>
  <c r="X495" i="75" s="1"/>
  <c r="T495" i="75"/>
  <c r="U495" i="75" s="1"/>
  <c r="Z494" i="75"/>
  <c r="V494" i="75"/>
  <c r="X494" i="75" s="1"/>
  <c r="T494" i="75"/>
  <c r="U494" i="75" s="1"/>
  <c r="Z493" i="75"/>
  <c r="V493" i="75"/>
  <c r="X493" i="75" s="1"/>
  <c r="T493" i="75"/>
  <c r="U493" i="75" s="1"/>
  <c r="Z492" i="75"/>
  <c r="V492" i="75"/>
  <c r="X492" i="75" s="1"/>
  <c r="T492" i="75"/>
  <c r="U492" i="75" s="1"/>
  <c r="Z491" i="75"/>
  <c r="V491" i="75"/>
  <c r="X491" i="75" s="1"/>
  <c r="T491" i="75"/>
  <c r="U491" i="75" s="1"/>
  <c r="Z490" i="75"/>
  <c r="V490" i="75"/>
  <c r="X490" i="75" s="1"/>
  <c r="T490" i="75"/>
  <c r="U490" i="75" s="1"/>
  <c r="Z489" i="75"/>
  <c r="V489" i="75"/>
  <c r="X489" i="75" s="1"/>
  <c r="T489" i="75"/>
  <c r="U489" i="75" s="1"/>
  <c r="Z488" i="75"/>
  <c r="V488" i="75"/>
  <c r="X488" i="75" s="1"/>
  <c r="T488" i="75"/>
  <c r="U488" i="75" s="1"/>
  <c r="Z487" i="75"/>
  <c r="V487" i="75"/>
  <c r="X487" i="75" s="1"/>
  <c r="T487" i="75"/>
  <c r="U487" i="75" s="1"/>
  <c r="Z486" i="75"/>
  <c r="V486" i="75"/>
  <c r="X486" i="75" s="1"/>
  <c r="T486" i="75"/>
  <c r="U486" i="75" s="1"/>
  <c r="Z485" i="75"/>
  <c r="V485" i="75"/>
  <c r="X485" i="75" s="1"/>
  <c r="T485" i="75"/>
  <c r="U485" i="75" s="1"/>
  <c r="Z484" i="75"/>
  <c r="V484" i="75"/>
  <c r="X484" i="75" s="1"/>
  <c r="T484" i="75"/>
  <c r="U484" i="75" s="1"/>
  <c r="Z483" i="75"/>
  <c r="V483" i="75"/>
  <c r="X483" i="75" s="1"/>
  <c r="T483" i="75"/>
  <c r="U483" i="75" s="1"/>
  <c r="Z482" i="75"/>
  <c r="V482" i="75"/>
  <c r="X482" i="75" s="1"/>
  <c r="T482" i="75"/>
  <c r="U482" i="75" s="1"/>
  <c r="Z481" i="75"/>
  <c r="V481" i="75"/>
  <c r="X481" i="75" s="1"/>
  <c r="T481" i="75"/>
  <c r="U481" i="75" s="1"/>
  <c r="Z480" i="75"/>
  <c r="V480" i="75"/>
  <c r="X480" i="75" s="1"/>
  <c r="T480" i="75"/>
  <c r="U480" i="75" s="1"/>
  <c r="Z479" i="75"/>
  <c r="V479" i="75"/>
  <c r="X479" i="75" s="1"/>
  <c r="T479" i="75"/>
  <c r="U479" i="75" s="1"/>
  <c r="Z478" i="75"/>
  <c r="V478" i="75"/>
  <c r="X478" i="75" s="1"/>
  <c r="T478" i="75"/>
  <c r="U478" i="75" s="1"/>
  <c r="Z477" i="75"/>
  <c r="V477" i="75"/>
  <c r="X477" i="75" s="1"/>
  <c r="T477" i="75"/>
  <c r="U477" i="75" s="1"/>
  <c r="Z476" i="75"/>
  <c r="V476" i="75"/>
  <c r="X476" i="75" s="1"/>
  <c r="T476" i="75"/>
  <c r="U476" i="75" s="1"/>
  <c r="Z475" i="75"/>
  <c r="V475" i="75"/>
  <c r="X475" i="75" s="1"/>
  <c r="T475" i="75"/>
  <c r="U475" i="75" s="1"/>
  <c r="Z474" i="75"/>
  <c r="V474" i="75"/>
  <c r="X474" i="75" s="1"/>
  <c r="T474" i="75"/>
  <c r="U474" i="75" s="1"/>
  <c r="Z473" i="75"/>
  <c r="V473" i="75"/>
  <c r="X473" i="75" s="1"/>
  <c r="T473" i="75"/>
  <c r="U473" i="75" s="1"/>
  <c r="Z472" i="75"/>
  <c r="V472" i="75"/>
  <c r="X472" i="75" s="1"/>
  <c r="T472" i="75"/>
  <c r="U472" i="75" s="1"/>
  <c r="Z471" i="75"/>
  <c r="V471" i="75"/>
  <c r="X471" i="75" s="1"/>
  <c r="T471" i="75"/>
  <c r="U471" i="75" s="1"/>
  <c r="Z470" i="75"/>
  <c r="V470" i="75"/>
  <c r="X470" i="75" s="1"/>
  <c r="T470" i="75"/>
  <c r="U470" i="75" s="1"/>
  <c r="Z469" i="75"/>
  <c r="V469" i="75"/>
  <c r="X469" i="75" s="1"/>
  <c r="T469" i="75"/>
  <c r="U469" i="75" s="1"/>
  <c r="Z468" i="75"/>
  <c r="V468" i="75"/>
  <c r="X468" i="75" s="1"/>
  <c r="T468" i="75"/>
  <c r="U468" i="75" s="1"/>
  <c r="Z467" i="75"/>
  <c r="V467" i="75"/>
  <c r="X467" i="75" s="1"/>
  <c r="T467" i="75"/>
  <c r="U467" i="75" s="1"/>
  <c r="Z466" i="75"/>
  <c r="V466" i="75"/>
  <c r="X466" i="75" s="1"/>
  <c r="T466" i="75"/>
  <c r="U466" i="75" s="1"/>
  <c r="Z465" i="75"/>
  <c r="V465" i="75"/>
  <c r="X465" i="75" s="1"/>
  <c r="T465" i="75"/>
  <c r="U465" i="75" s="1"/>
  <c r="Z464" i="75"/>
  <c r="V464" i="75"/>
  <c r="X464" i="75" s="1"/>
  <c r="T464" i="75"/>
  <c r="U464" i="75" s="1"/>
  <c r="Z463" i="75"/>
  <c r="V463" i="75"/>
  <c r="X463" i="75" s="1"/>
  <c r="T463" i="75"/>
  <c r="U463" i="75" s="1"/>
  <c r="Z462" i="75"/>
  <c r="V462" i="75"/>
  <c r="X462" i="75" s="1"/>
  <c r="T462" i="75"/>
  <c r="U462" i="75" s="1"/>
  <c r="Z461" i="75"/>
  <c r="V461" i="75"/>
  <c r="X461" i="75" s="1"/>
  <c r="T461" i="75"/>
  <c r="U461" i="75" s="1"/>
  <c r="Z460" i="75"/>
  <c r="V460" i="75"/>
  <c r="X460" i="75" s="1"/>
  <c r="T460" i="75"/>
  <c r="U460" i="75" s="1"/>
  <c r="Z459" i="75"/>
  <c r="V459" i="75"/>
  <c r="X459" i="75" s="1"/>
  <c r="T459" i="75"/>
  <c r="U459" i="75" s="1"/>
  <c r="Z458" i="75"/>
  <c r="V458" i="75"/>
  <c r="X458" i="75" s="1"/>
  <c r="T458" i="75"/>
  <c r="U458" i="75" s="1"/>
  <c r="Z457" i="75"/>
  <c r="V457" i="75"/>
  <c r="X457" i="75" s="1"/>
  <c r="T457" i="75"/>
  <c r="U457" i="75" s="1"/>
  <c r="Z456" i="75"/>
  <c r="V456" i="75"/>
  <c r="X456" i="75" s="1"/>
  <c r="T456" i="75"/>
  <c r="U456" i="75" s="1"/>
  <c r="Z455" i="75"/>
  <c r="V455" i="75"/>
  <c r="X455" i="75" s="1"/>
  <c r="T455" i="75"/>
  <c r="U455" i="75" s="1"/>
  <c r="Z454" i="75"/>
  <c r="V454" i="75"/>
  <c r="X454" i="75" s="1"/>
  <c r="T454" i="75"/>
  <c r="U454" i="75" s="1"/>
  <c r="Z453" i="75"/>
  <c r="V453" i="75"/>
  <c r="X453" i="75" s="1"/>
  <c r="T453" i="75"/>
  <c r="U453" i="75" s="1"/>
  <c r="Z452" i="75"/>
  <c r="V452" i="75"/>
  <c r="X452" i="75" s="1"/>
  <c r="T452" i="75"/>
  <c r="U452" i="75" s="1"/>
  <c r="Z451" i="75"/>
  <c r="V451" i="75"/>
  <c r="X451" i="75" s="1"/>
  <c r="T451" i="75"/>
  <c r="U451" i="75" s="1"/>
  <c r="Z450" i="75"/>
  <c r="V450" i="75"/>
  <c r="X450" i="75" s="1"/>
  <c r="T450" i="75"/>
  <c r="U450" i="75" s="1"/>
  <c r="Z449" i="75"/>
  <c r="V449" i="75"/>
  <c r="X449" i="75" s="1"/>
  <c r="T449" i="75"/>
  <c r="U449" i="75" s="1"/>
  <c r="Z448" i="75"/>
  <c r="V448" i="75"/>
  <c r="X448" i="75" s="1"/>
  <c r="T448" i="75"/>
  <c r="U448" i="75" s="1"/>
  <c r="Z447" i="75"/>
  <c r="V447" i="75"/>
  <c r="X447" i="75" s="1"/>
  <c r="T447" i="75"/>
  <c r="U447" i="75" s="1"/>
  <c r="Z446" i="75"/>
  <c r="V446" i="75"/>
  <c r="X446" i="75" s="1"/>
  <c r="T446" i="75"/>
  <c r="U446" i="75" s="1"/>
  <c r="Z445" i="75"/>
  <c r="V445" i="75"/>
  <c r="X445" i="75" s="1"/>
  <c r="T445" i="75"/>
  <c r="U445" i="75" s="1"/>
  <c r="Z444" i="75"/>
  <c r="V444" i="75"/>
  <c r="X444" i="75" s="1"/>
  <c r="T444" i="75"/>
  <c r="U444" i="75" s="1"/>
  <c r="Z443" i="75"/>
  <c r="V443" i="75"/>
  <c r="X443" i="75" s="1"/>
  <c r="T443" i="75"/>
  <c r="U443" i="75" s="1"/>
  <c r="Z442" i="75"/>
  <c r="V442" i="75"/>
  <c r="X442" i="75" s="1"/>
  <c r="T442" i="75"/>
  <c r="U442" i="75" s="1"/>
  <c r="Z441" i="75"/>
  <c r="V441" i="75"/>
  <c r="X441" i="75" s="1"/>
  <c r="T441" i="75"/>
  <c r="U441" i="75" s="1"/>
  <c r="Z440" i="75"/>
  <c r="V440" i="75"/>
  <c r="X440" i="75" s="1"/>
  <c r="T440" i="75"/>
  <c r="U440" i="75" s="1"/>
  <c r="Z439" i="75"/>
  <c r="V439" i="75"/>
  <c r="X439" i="75" s="1"/>
  <c r="T439" i="75"/>
  <c r="U439" i="75" s="1"/>
  <c r="Z438" i="75"/>
  <c r="V438" i="75"/>
  <c r="X438" i="75" s="1"/>
  <c r="T438" i="75"/>
  <c r="U438" i="75" s="1"/>
  <c r="Z437" i="75"/>
  <c r="V437" i="75"/>
  <c r="X437" i="75" s="1"/>
  <c r="T437" i="75"/>
  <c r="U437" i="75" s="1"/>
  <c r="Z436" i="75"/>
  <c r="V436" i="75"/>
  <c r="X436" i="75" s="1"/>
  <c r="T436" i="75"/>
  <c r="U436" i="75" s="1"/>
  <c r="Z435" i="75"/>
  <c r="V435" i="75"/>
  <c r="X435" i="75" s="1"/>
  <c r="T435" i="75"/>
  <c r="U435" i="75" s="1"/>
  <c r="Z434" i="75"/>
  <c r="V434" i="75"/>
  <c r="X434" i="75" s="1"/>
  <c r="T434" i="75"/>
  <c r="U434" i="75" s="1"/>
  <c r="Z433" i="75"/>
  <c r="V433" i="75"/>
  <c r="X433" i="75" s="1"/>
  <c r="T433" i="75"/>
  <c r="U433" i="75" s="1"/>
  <c r="Z432" i="75"/>
  <c r="V432" i="75"/>
  <c r="X432" i="75" s="1"/>
  <c r="T432" i="75"/>
  <c r="U432" i="75" s="1"/>
  <c r="Z431" i="75"/>
  <c r="V431" i="75"/>
  <c r="X431" i="75" s="1"/>
  <c r="T431" i="75"/>
  <c r="U431" i="75" s="1"/>
  <c r="Z430" i="75"/>
  <c r="V430" i="75"/>
  <c r="X430" i="75" s="1"/>
  <c r="T430" i="75"/>
  <c r="U430" i="75" s="1"/>
  <c r="Z429" i="75"/>
  <c r="V429" i="75"/>
  <c r="X429" i="75" s="1"/>
  <c r="T429" i="75"/>
  <c r="U429" i="75" s="1"/>
  <c r="Z428" i="75"/>
  <c r="V428" i="75"/>
  <c r="X428" i="75" s="1"/>
  <c r="T428" i="75"/>
  <c r="U428" i="75" s="1"/>
  <c r="Z427" i="75"/>
  <c r="V427" i="75"/>
  <c r="X427" i="75" s="1"/>
  <c r="T427" i="75"/>
  <c r="U427" i="75" s="1"/>
  <c r="Z426" i="75"/>
  <c r="V426" i="75"/>
  <c r="X426" i="75" s="1"/>
  <c r="T426" i="75"/>
  <c r="U426" i="75" s="1"/>
  <c r="Z425" i="75"/>
  <c r="V425" i="75"/>
  <c r="X425" i="75" s="1"/>
  <c r="T425" i="75"/>
  <c r="U425" i="75" s="1"/>
  <c r="Z424" i="75"/>
  <c r="V424" i="75"/>
  <c r="X424" i="75" s="1"/>
  <c r="T424" i="75"/>
  <c r="U424" i="75" s="1"/>
  <c r="Z423" i="75"/>
  <c r="V423" i="75"/>
  <c r="X423" i="75" s="1"/>
  <c r="T423" i="75"/>
  <c r="U423" i="75" s="1"/>
  <c r="Z422" i="75"/>
  <c r="V422" i="75"/>
  <c r="X422" i="75" s="1"/>
  <c r="T422" i="75"/>
  <c r="U422" i="75" s="1"/>
  <c r="Z421" i="75"/>
  <c r="V421" i="75"/>
  <c r="X421" i="75" s="1"/>
  <c r="T421" i="75"/>
  <c r="U421" i="75" s="1"/>
  <c r="Z420" i="75"/>
  <c r="V420" i="75"/>
  <c r="X420" i="75" s="1"/>
  <c r="T420" i="75"/>
  <c r="U420" i="75" s="1"/>
  <c r="Z419" i="75"/>
  <c r="V419" i="75"/>
  <c r="X419" i="75" s="1"/>
  <c r="T419" i="75"/>
  <c r="U419" i="75" s="1"/>
  <c r="Z418" i="75"/>
  <c r="V418" i="75"/>
  <c r="X418" i="75" s="1"/>
  <c r="T418" i="75"/>
  <c r="U418" i="75" s="1"/>
  <c r="Z417" i="75"/>
  <c r="V417" i="75"/>
  <c r="X417" i="75" s="1"/>
  <c r="T417" i="75"/>
  <c r="U417" i="75" s="1"/>
  <c r="Z416" i="75"/>
  <c r="V416" i="75"/>
  <c r="X416" i="75" s="1"/>
  <c r="T416" i="75"/>
  <c r="U416" i="75" s="1"/>
  <c r="Z415" i="75"/>
  <c r="V415" i="75"/>
  <c r="X415" i="75" s="1"/>
  <c r="T415" i="75"/>
  <c r="U415" i="75" s="1"/>
  <c r="Z414" i="75"/>
  <c r="V414" i="75"/>
  <c r="X414" i="75" s="1"/>
  <c r="T414" i="75"/>
  <c r="U414" i="75" s="1"/>
  <c r="Z413" i="75"/>
  <c r="V413" i="75"/>
  <c r="X413" i="75" s="1"/>
  <c r="T413" i="75"/>
  <c r="U413" i="75" s="1"/>
  <c r="Z412" i="75"/>
  <c r="V412" i="75"/>
  <c r="X412" i="75" s="1"/>
  <c r="T412" i="75"/>
  <c r="U412" i="75" s="1"/>
  <c r="Z411" i="75"/>
  <c r="V411" i="75"/>
  <c r="X411" i="75" s="1"/>
  <c r="T411" i="75"/>
  <c r="U411" i="75" s="1"/>
  <c r="Z410" i="75"/>
  <c r="V410" i="75"/>
  <c r="X410" i="75" s="1"/>
  <c r="T410" i="75"/>
  <c r="U410" i="75" s="1"/>
  <c r="Z409" i="75"/>
  <c r="V409" i="75"/>
  <c r="X409" i="75" s="1"/>
  <c r="T409" i="75"/>
  <c r="U409" i="75" s="1"/>
  <c r="Z408" i="75"/>
  <c r="V408" i="75"/>
  <c r="X408" i="75" s="1"/>
  <c r="T408" i="75"/>
  <c r="U408" i="75" s="1"/>
  <c r="Z407" i="75"/>
  <c r="V407" i="75"/>
  <c r="X407" i="75" s="1"/>
  <c r="T407" i="75"/>
  <c r="U407" i="75" s="1"/>
  <c r="Z406" i="75"/>
  <c r="V406" i="75"/>
  <c r="X406" i="75" s="1"/>
  <c r="T406" i="75"/>
  <c r="U406" i="75" s="1"/>
  <c r="Z405" i="75"/>
  <c r="V405" i="75"/>
  <c r="X405" i="75" s="1"/>
  <c r="T405" i="75"/>
  <c r="U405" i="75" s="1"/>
  <c r="Z404" i="75"/>
  <c r="V404" i="75"/>
  <c r="X404" i="75" s="1"/>
  <c r="T404" i="75"/>
  <c r="U404" i="75" s="1"/>
  <c r="Z403" i="75"/>
  <c r="V403" i="75"/>
  <c r="X403" i="75" s="1"/>
  <c r="T403" i="75"/>
  <c r="U403" i="75" s="1"/>
  <c r="Z402" i="75"/>
  <c r="V402" i="75"/>
  <c r="X402" i="75" s="1"/>
  <c r="T402" i="75"/>
  <c r="U402" i="75" s="1"/>
  <c r="Z401" i="75"/>
  <c r="V401" i="75"/>
  <c r="X401" i="75" s="1"/>
  <c r="T401" i="75"/>
  <c r="U401" i="75" s="1"/>
  <c r="Z400" i="75"/>
  <c r="V400" i="75"/>
  <c r="X400" i="75" s="1"/>
  <c r="T400" i="75"/>
  <c r="U400" i="75" s="1"/>
  <c r="Z399" i="75"/>
  <c r="V399" i="75"/>
  <c r="X399" i="75" s="1"/>
  <c r="T399" i="75"/>
  <c r="U399" i="75" s="1"/>
  <c r="Z398" i="75"/>
  <c r="V398" i="75"/>
  <c r="X398" i="75" s="1"/>
  <c r="T398" i="75"/>
  <c r="U398" i="75" s="1"/>
  <c r="Z397" i="75"/>
  <c r="V397" i="75"/>
  <c r="X397" i="75" s="1"/>
  <c r="T397" i="75"/>
  <c r="U397" i="75" s="1"/>
  <c r="Z396" i="75"/>
  <c r="V396" i="75"/>
  <c r="X396" i="75" s="1"/>
  <c r="T396" i="75"/>
  <c r="U396" i="75" s="1"/>
  <c r="Z395" i="75"/>
  <c r="V395" i="75"/>
  <c r="X395" i="75" s="1"/>
  <c r="T395" i="75"/>
  <c r="U395" i="75" s="1"/>
  <c r="Z394" i="75"/>
  <c r="V394" i="75"/>
  <c r="X394" i="75" s="1"/>
  <c r="T394" i="75"/>
  <c r="U394" i="75" s="1"/>
  <c r="Z393" i="75"/>
  <c r="V393" i="75"/>
  <c r="X393" i="75" s="1"/>
  <c r="T393" i="75"/>
  <c r="U393" i="75" s="1"/>
  <c r="Z392" i="75"/>
  <c r="V392" i="75"/>
  <c r="X392" i="75" s="1"/>
  <c r="T392" i="75"/>
  <c r="U392" i="75" s="1"/>
  <c r="Z391" i="75"/>
  <c r="V391" i="75"/>
  <c r="X391" i="75" s="1"/>
  <c r="T391" i="75"/>
  <c r="U391" i="75" s="1"/>
  <c r="Z390" i="75"/>
  <c r="V390" i="75"/>
  <c r="X390" i="75" s="1"/>
  <c r="T390" i="75"/>
  <c r="U390" i="75" s="1"/>
  <c r="Z389" i="75"/>
  <c r="V389" i="75"/>
  <c r="X389" i="75" s="1"/>
  <c r="T389" i="75"/>
  <c r="U389" i="75" s="1"/>
  <c r="Z388" i="75"/>
  <c r="V388" i="75"/>
  <c r="X388" i="75" s="1"/>
  <c r="T388" i="75"/>
  <c r="U388" i="75" s="1"/>
  <c r="Z387" i="75"/>
  <c r="V387" i="75"/>
  <c r="X387" i="75" s="1"/>
  <c r="T387" i="75"/>
  <c r="U387" i="75" s="1"/>
  <c r="Z386" i="75"/>
  <c r="V386" i="75"/>
  <c r="X386" i="75" s="1"/>
  <c r="T386" i="75"/>
  <c r="U386" i="75" s="1"/>
  <c r="Z385" i="75"/>
  <c r="V385" i="75"/>
  <c r="X385" i="75" s="1"/>
  <c r="T385" i="75"/>
  <c r="U385" i="75" s="1"/>
  <c r="Z384" i="75"/>
  <c r="V384" i="75"/>
  <c r="X384" i="75" s="1"/>
  <c r="T384" i="75"/>
  <c r="U384" i="75" s="1"/>
  <c r="Z383" i="75"/>
  <c r="V383" i="75"/>
  <c r="X383" i="75" s="1"/>
  <c r="T383" i="75"/>
  <c r="U383" i="75" s="1"/>
  <c r="Z382" i="75"/>
  <c r="V382" i="75"/>
  <c r="X382" i="75" s="1"/>
  <c r="T382" i="75"/>
  <c r="U382" i="75" s="1"/>
  <c r="Z381" i="75"/>
  <c r="V381" i="75"/>
  <c r="X381" i="75" s="1"/>
  <c r="T381" i="75"/>
  <c r="U381" i="75" s="1"/>
  <c r="Z380" i="75"/>
  <c r="V380" i="75"/>
  <c r="X380" i="75" s="1"/>
  <c r="T380" i="75"/>
  <c r="U380" i="75" s="1"/>
  <c r="Z379" i="75"/>
  <c r="V379" i="75"/>
  <c r="X379" i="75" s="1"/>
  <c r="T379" i="75"/>
  <c r="U379" i="75" s="1"/>
  <c r="Z378" i="75"/>
  <c r="V378" i="75"/>
  <c r="X378" i="75" s="1"/>
  <c r="T378" i="75"/>
  <c r="U378" i="75" s="1"/>
  <c r="Z377" i="75"/>
  <c r="V377" i="75"/>
  <c r="X377" i="75" s="1"/>
  <c r="T377" i="75"/>
  <c r="U377" i="75" s="1"/>
  <c r="Z376" i="75"/>
  <c r="V376" i="75"/>
  <c r="X376" i="75" s="1"/>
  <c r="T376" i="75"/>
  <c r="U376" i="75" s="1"/>
  <c r="Z375" i="75"/>
  <c r="V375" i="75"/>
  <c r="X375" i="75" s="1"/>
  <c r="T375" i="75"/>
  <c r="U375" i="75" s="1"/>
  <c r="Z374" i="75"/>
  <c r="V374" i="75"/>
  <c r="X374" i="75" s="1"/>
  <c r="T374" i="75"/>
  <c r="U374" i="75" s="1"/>
  <c r="Z373" i="75"/>
  <c r="V373" i="75"/>
  <c r="X373" i="75" s="1"/>
  <c r="T373" i="75"/>
  <c r="U373" i="75" s="1"/>
  <c r="Z372" i="75"/>
  <c r="V372" i="75"/>
  <c r="X372" i="75" s="1"/>
  <c r="T372" i="75"/>
  <c r="U372" i="75" s="1"/>
  <c r="Z371" i="75"/>
  <c r="V371" i="75"/>
  <c r="X371" i="75" s="1"/>
  <c r="T371" i="75"/>
  <c r="U371" i="75" s="1"/>
  <c r="Z370" i="75"/>
  <c r="V370" i="75"/>
  <c r="X370" i="75" s="1"/>
  <c r="T370" i="75"/>
  <c r="U370" i="75" s="1"/>
  <c r="Z369" i="75"/>
  <c r="V369" i="75"/>
  <c r="X369" i="75" s="1"/>
  <c r="T369" i="75"/>
  <c r="U369" i="75" s="1"/>
  <c r="Z368" i="75"/>
  <c r="V368" i="75"/>
  <c r="X368" i="75" s="1"/>
  <c r="T368" i="75"/>
  <c r="U368" i="75" s="1"/>
  <c r="Z367" i="75"/>
  <c r="V367" i="75"/>
  <c r="X367" i="75" s="1"/>
  <c r="T367" i="75"/>
  <c r="U367" i="75" s="1"/>
  <c r="Z366" i="75"/>
  <c r="V366" i="75"/>
  <c r="X366" i="75" s="1"/>
  <c r="T366" i="75"/>
  <c r="U366" i="75" s="1"/>
  <c r="Z365" i="75"/>
  <c r="V365" i="75"/>
  <c r="X365" i="75" s="1"/>
  <c r="T365" i="75"/>
  <c r="U365" i="75" s="1"/>
  <c r="Z364" i="75"/>
  <c r="V364" i="75"/>
  <c r="X364" i="75" s="1"/>
  <c r="T364" i="75"/>
  <c r="U364" i="75" s="1"/>
  <c r="Z363" i="75"/>
  <c r="V363" i="75"/>
  <c r="X363" i="75" s="1"/>
  <c r="T363" i="75"/>
  <c r="U363" i="75" s="1"/>
  <c r="Z362" i="75"/>
  <c r="V362" i="75"/>
  <c r="X362" i="75" s="1"/>
  <c r="T362" i="75"/>
  <c r="U362" i="75" s="1"/>
  <c r="Z361" i="75"/>
  <c r="V361" i="75"/>
  <c r="X361" i="75" s="1"/>
  <c r="T361" i="75"/>
  <c r="U361" i="75" s="1"/>
  <c r="Z360" i="75"/>
  <c r="V360" i="75"/>
  <c r="X360" i="75" s="1"/>
  <c r="T360" i="75"/>
  <c r="U360" i="75" s="1"/>
  <c r="Z359" i="75"/>
  <c r="V359" i="75"/>
  <c r="X359" i="75" s="1"/>
  <c r="T359" i="75"/>
  <c r="U359" i="75" s="1"/>
  <c r="Z358" i="75"/>
  <c r="V358" i="75"/>
  <c r="X358" i="75" s="1"/>
  <c r="T358" i="75"/>
  <c r="U358" i="75" s="1"/>
  <c r="Z357" i="75"/>
  <c r="V357" i="75"/>
  <c r="X357" i="75" s="1"/>
  <c r="T357" i="75"/>
  <c r="U357" i="75" s="1"/>
  <c r="Z356" i="75"/>
  <c r="V356" i="75"/>
  <c r="X356" i="75" s="1"/>
  <c r="T356" i="75"/>
  <c r="U356" i="75" s="1"/>
  <c r="Z355" i="75"/>
  <c r="V355" i="75"/>
  <c r="X355" i="75" s="1"/>
  <c r="T355" i="75"/>
  <c r="U355" i="75" s="1"/>
  <c r="Z354" i="75"/>
  <c r="V354" i="75"/>
  <c r="X354" i="75" s="1"/>
  <c r="T354" i="75"/>
  <c r="U354" i="75" s="1"/>
  <c r="Z353" i="75"/>
  <c r="V353" i="75"/>
  <c r="X353" i="75" s="1"/>
  <c r="T353" i="75"/>
  <c r="U353" i="75" s="1"/>
  <c r="Z352" i="75"/>
  <c r="V352" i="75"/>
  <c r="X352" i="75" s="1"/>
  <c r="T352" i="75"/>
  <c r="U352" i="75" s="1"/>
  <c r="Z351" i="75"/>
  <c r="V351" i="75"/>
  <c r="X351" i="75" s="1"/>
  <c r="T351" i="75"/>
  <c r="U351" i="75" s="1"/>
  <c r="Z350" i="75"/>
  <c r="V350" i="75"/>
  <c r="X350" i="75" s="1"/>
  <c r="T350" i="75"/>
  <c r="U350" i="75" s="1"/>
  <c r="Z349" i="75"/>
  <c r="V349" i="75"/>
  <c r="X349" i="75" s="1"/>
  <c r="T349" i="75"/>
  <c r="U349" i="75" s="1"/>
  <c r="Z348" i="75"/>
  <c r="V348" i="75"/>
  <c r="X348" i="75" s="1"/>
  <c r="T348" i="75"/>
  <c r="U348" i="75" s="1"/>
  <c r="Z347" i="75"/>
  <c r="V347" i="75"/>
  <c r="X347" i="75" s="1"/>
  <c r="T347" i="75"/>
  <c r="U347" i="75" s="1"/>
  <c r="Z346" i="75"/>
  <c r="V346" i="75"/>
  <c r="X346" i="75" s="1"/>
  <c r="T346" i="75"/>
  <c r="U346" i="75" s="1"/>
  <c r="Z345" i="75"/>
  <c r="V345" i="75"/>
  <c r="X345" i="75" s="1"/>
  <c r="T345" i="75"/>
  <c r="U345" i="75" s="1"/>
  <c r="Z344" i="75"/>
  <c r="V344" i="75"/>
  <c r="X344" i="75" s="1"/>
  <c r="T344" i="75"/>
  <c r="U344" i="75" s="1"/>
  <c r="Z343" i="75"/>
  <c r="V343" i="75"/>
  <c r="X343" i="75" s="1"/>
  <c r="T343" i="75"/>
  <c r="U343" i="75" s="1"/>
  <c r="Z342" i="75"/>
  <c r="V342" i="75"/>
  <c r="X342" i="75" s="1"/>
  <c r="T342" i="75"/>
  <c r="U342" i="75" s="1"/>
  <c r="Z341" i="75"/>
  <c r="V341" i="75"/>
  <c r="X341" i="75" s="1"/>
  <c r="T341" i="75"/>
  <c r="U341" i="75" s="1"/>
  <c r="Z340" i="75"/>
  <c r="V340" i="75"/>
  <c r="X340" i="75" s="1"/>
  <c r="T340" i="75"/>
  <c r="U340" i="75" s="1"/>
  <c r="Z339" i="75"/>
  <c r="V339" i="75"/>
  <c r="X339" i="75" s="1"/>
  <c r="T339" i="75"/>
  <c r="U339" i="75" s="1"/>
  <c r="Z338" i="75"/>
  <c r="V338" i="75"/>
  <c r="X338" i="75" s="1"/>
  <c r="T338" i="75"/>
  <c r="U338" i="75" s="1"/>
  <c r="Z337" i="75"/>
  <c r="V337" i="75"/>
  <c r="X337" i="75" s="1"/>
  <c r="T337" i="75"/>
  <c r="U337" i="75" s="1"/>
  <c r="Z336" i="75"/>
  <c r="V336" i="75"/>
  <c r="X336" i="75" s="1"/>
  <c r="T336" i="75"/>
  <c r="U336" i="75" s="1"/>
  <c r="Z335" i="75"/>
  <c r="V335" i="75"/>
  <c r="X335" i="75" s="1"/>
  <c r="T335" i="75"/>
  <c r="U335" i="75" s="1"/>
  <c r="Z334" i="75"/>
  <c r="V334" i="75"/>
  <c r="X334" i="75" s="1"/>
  <c r="T334" i="75"/>
  <c r="U334" i="75" s="1"/>
  <c r="Z333" i="75"/>
  <c r="V333" i="75"/>
  <c r="X333" i="75" s="1"/>
  <c r="T333" i="75"/>
  <c r="U333" i="75" s="1"/>
  <c r="Z332" i="75"/>
  <c r="V332" i="75"/>
  <c r="X332" i="75" s="1"/>
  <c r="T332" i="75"/>
  <c r="U332" i="75" s="1"/>
  <c r="Z331" i="75"/>
  <c r="V331" i="75"/>
  <c r="X331" i="75" s="1"/>
  <c r="T331" i="75"/>
  <c r="U331" i="75" s="1"/>
  <c r="Z330" i="75"/>
  <c r="V330" i="75"/>
  <c r="X330" i="75" s="1"/>
  <c r="T330" i="75"/>
  <c r="U330" i="75" s="1"/>
  <c r="Z329" i="75"/>
  <c r="V329" i="75"/>
  <c r="X329" i="75" s="1"/>
  <c r="T329" i="75"/>
  <c r="U329" i="75" s="1"/>
  <c r="Z328" i="75"/>
  <c r="V328" i="75"/>
  <c r="X328" i="75" s="1"/>
  <c r="T328" i="75"/>
  <c r="U328" i="75" s="1"/>
  <c r="Z327" i="75"/>
  <c r="V327" i="75"/>
  <c r="X327" i="75" s="1"/>
  <c r="T327" i="75"/>
  <c r="U327" i="75" s="1"/>
  <c r="Z326" i="75"/>
  <c r="V326" i="75"/>
  <c r="X326" i="75" s="1"/>
  <c r="T326" i="75"/>
  <c r="U326" i="75" s="1"/>
  <c r="Z325" i="75"/>
  <c r="V325" i="75"/>
  <c r="X325" i="75" s="1"/>
  <c r="T325" i="75"/>
  <c r="U325" i="75" s="1"/>
  <c r="Z324" i="75"/>
  <c r="V324" i="75"/>
  <c r="X324" i="75" s="1"/>
  <c r="T324" i="75"/>
  <c r="U324" i="75" s="1"/>
  <c r="Z323" i="75"/>
  <c r="V323" i="75"/>
  <c r="X323" i="75" s="1"/>
  <c r="T323" i="75"/>
  <c r="U323" i="75" s="1"/>
  <c r="Z322" i="75"/>
  <c r="V322" i="75"/>
  <c r="X322" i="75" s="1"/>
  <c r="T322" i="75"/>
  <c r="U322" i="75" s="1"/>
  <c r="Z321" i="75"/>
  <c r="V321" i="75"/>
  <c r="X321" i="75" s="1"/>
  <c r="T321" i="75"/>
  <c r="U321" i="75" s="1"/>
  <c r="Z320" i="75"/>
  <c r="V320" i="75"/>
  <c r="X320" i="75" s="1"/>
  <c r="T320" i="75"/>
  <c r="U320" i="75" s="1"/>
  <c r="Z319" i="75"/>
  <c r="V319" i="75"/>
  <c r="X319" i="75" s="1"/>
  <c r="T319" i="75"/>
  <c r="U319" i="75" s="1"/>
  <c r="Z318" i="75"/>
  <c r="V318" i="75"/>
  <c r="X318" i="75" s="1"/>
  <c r="T318" i="75"/>
  <c r="U318" i="75" s="1"/>
  <c r="Z317" i="75"/>
  <c r="V317" i="75"/>
  <c r="X317" i="75" s="1"/>
  <c r="T317" i="75"/>
  <c r="U317" i="75" s="1"/>
  <c r="Z316" i="75"/>
  <c r="V316" i="75"/>
  <c r="X316" i="75" s="1"/>
  <c r="T316" i="75"/>
  <c r="U316" i="75" s="1"/>
  <c r="Z315" i="75"/>
  <c r="V315" i="75"/>
  <c r="X315" i="75" s="1"/>
  <c r="T315" i="75"/>
  <c r="U315" i="75" s="1"/>
  <c r="Z314" i="75"/>
  <c r="V314" i="75"/>
  <c r="X314" i="75" s="1"/>
  <c r="T314" i="75"/>
  <c r="U314" i="75" s="1"/>
  <c r="Z313" i="75"/>
  <c r="V313" i="75"/>
  <c r="X313" i="75" s="1"/>
  <c r="T313" i="75"/>
  <c r="U313" i="75" s="1"/>
  <c r="Z312" i="75"/>
  <c r="V312" i="75"/>
  <c r="X312" i="75" s="1"/>
  <c r="T312" i="75"/>
  <c r="U312" i="75" s="1"/>
  <c r="Z311" i="75"/>
  <c r="V311" i="75"/>
  <c r="X311" i="75" s="1"/>
  <c r="T311" i="75"/>
  <c r="U311" i="75" s="1"/>
  <c r="Z310" i="75"/>
  <c r="V310" i="75"/>
  <c r="X310" i="75" s="1"/>
  <c r="T310" i="75"/>
  <c r="U310" i="75" s="1"/>
  <c r="Z309" i="75"/>
  <c r="V309" i="75"/>
  <c r="X309" i="75" s="1"/>
  <c r="T309" i="75"/>
  <c r="U309" i="75" s="1"/>
  <c r="Z308" i="75"/>
  <c r="V308" i="75"/>
  <c r="X308" i="75" s="1"/>
  <c r="T308" i="75"/>
  <c r="U308" i="75" s="1"/>
  <c r="Z307" i="75"/>
  <c r="V307" i="75"/>
  <c r="X307" i="75" s="1"/>
  <c r="T307" i="75"/>
  <c r="U307" i="75" s="1"/>
  <c r="Z306" i="75"/>
  <c r="V306" i="75"/>
  <c r="X306" i="75" s="1"/>
  <c r="T306" i="75"/>
  <c r="U306" i="75" s="1"/>
  <c r="Z305" i="75"/>
  <c r="V305" i="75"/>
  <c r="X305" i="75" s="1"/>
  <c r="T305" i="75"/>
  <c r="U305" i="75" s="1"/>
  <c r="Z304" i="75"/>
  <c r="V304" i="75"/>
  <c r="X304" i="75" s="1"/>
  <c r="T304" i="75"/>
  <c r="U304" i="75" s="1"/>
  <c r="Z303" i="75"/>
  <c r="V303" i="75"/>
  <c r="X303" i="75" s="1"/>
  <c r="T303" i="75"/>
  <c r="U303" i="75" s="1"/>
  <c r="Z302" i="75"/>
  <c r="V302" i="75"/>
  <c r="X302" i="75" s="1"/>
  <c r="T302" i="75"/>
  <c r="U302" i="75" s="1"/>
  <c r="Z301" i="75"/>
  <c r="V301" i="75"/>
  <c r="X301" i="75" s="1"/>
  <c r="T301" i="75"/>
  <c r="U301" i="75" s="1"/>
  <c r="Z300" i="75"/>
  <c r="V300" i="75"/>
  <c r="X300" i="75" s="1"/>
  <c r="T300" i="75"/>
  <c r="U300" i="75" s="1"/>
  <c r="Z299" i="75"/>
  <c r="V299" i="75"/>
  <c r="X299" i="75" s="1"/>
  <c r="T299" i="75"/>
  <c r="U299" i="75" s="1"/>
  <c r="Z298" i="75"/>
  <c r="V298" i="75"/>
  <c r="X298" i="75" s="1"/>
  <c r="T298" i="75"/>
  <c r="U298" i="75" s="1"/>
  <c r="Z297" i="75"/>
  <c r="V297" i="75"/>
  <c r="X297" i="75" s="1"/>
  <c r="T297" i="75"/>
  <c r="U297" i="75" s="1"/>
  <c r="Z296" i="75"/>
  <c r="V296" i="75"/>
  <c r="X296" i="75" s="1"/>
  <c r="T296" i="75"/>
  <c r="U296" i="75" s="1"/>
  <c r="Z295" i="75"/>
  <c r="V295" i="75"/>
  <c r="X295" i="75" s="1"/>
  <c r="T295" i="75"/>
  <c r="U295" i="75" s="1"/>
  <c r="Z294" i="75"/>
  <c r="V294" i="75"/>
  <c r="X294" i="75" s="1"/>
  <c r="T294" i="75"/>
  <c r="U294" i="75" s="1"/>
  <c r="Z293" i="75"/>
  <c r="V293" i="75"/>
  <c r="X293" i="75" s="1"/>
  <c r="T293" i="75"/>
  <c r="U293" i="75" s="1"/>
  <c r="Z292" i="75"/>
  <c r="V292" i="75"/>
  <c r="X292" i="75" s="1"/>
  <c r="T292" i="75"/>
  <c r="U292" i="75" s="1"/>
  <c r="Z291" i="75"/>
  <c r="V291" i="75"/>
  <c r="X291" i="75" s="1"/>
  <c r="T291" i="75"/>
  <c r="U291" i="75" s="1"/>
  <c r="Z290" i="75"/>
  <c r="V290" i="75"/>
  <c r="X290" i="75" s="1"/>
  <c r="T290" i="75"/>
  <c r="U290" i="75" s="1"/>
  <c r="Z289" i="75"/>
  <c r="V289" i="75"/>
  <c r="X289" i="75" s="1"/>
  <c r="T289" i="75"/>
  <c r="U289" i="75" s="1"/>
  <c r="Z288" i="75"/>
  <c r="V288" i="75"/>
  <c r="X288" i="75" s="1"/>
  <c r="T288" i="75"/>
  <c r="U288" i="75" s="1"/>
  <c r="Z287" i="75"/>
  <c r="V287" i="75"/>
  <c r="X287" i="75" s="1"/>
  <c r="T287" i="75"/>
  <c r="U287" i="75" s="1"/>
  <c r="Z286" i="75"/>
  <c r="V286" i="75"/>
  <c r="X286" i="75" s="1"/>
  <c r="T286" i="75"/>
  <c r="U286" i="75" s="1"/>
  <c r="Z285" i="75"/>
  <c r="V285" i="75"/>
  <c r="X285" i="75" s="1"/>
  <c r="T285" i="75"/>
  <c r="U285" i="75" s="1"/>
  <c r="Z284" i="75"/>
  <c r="V284" i="75"/>
  <c r="X284" i="75" s="1"/>
  <c r="T284" i="75"/>
  <c r="U284" i="75" s="1"/>
  <c r="Z283" i="75"/>
  <c r="V283" i="75"/>
  <c r="X283" i="75" s="1"/>
  <c r="T283" i="75"/>
  <c r="U283" i="75" s="1"/>
  <c r="Z282" i="75"/>
  <c r="V282" i="75"/>
  <c r="X282" i="75" s="1"/>
  <c r="T282" i="75"/>
  <c r="U282" i="75" s="1"/>
  <c r="Z281" i="75"/>
  <c r="V281" i="75"/>
  <c r="X281" i="75" s="1"/>
  <c r="T281" i="75"/>
  <c r="U281" i="75" s="1"/>
  <c r="Z280" i="75"/>
  <c r="V280" i="75"/>
  <c r="X280" i="75" s="1"/>
  <c r="T280" i="75"/>
  <c r="U280" i="75" s="1"/>
  <c r="Z279" i="75"/>
  <c r="V279" i="75"/>
  <c r="X279" i="75" s="1"/>
  <c r="T279" i="75"/>
  <c r="U279" i="75" s="1"/>
  <c r="Z278" i="75"/>
  <c r="V278" i="75"/>
  <c r="X278" i="75" s="1"/>
  <c r="T278" i="75"/>
  <c r="U278" i="75" s="1"/>
  <c r="Z277" i="75"/>
  <c r="V277" i="75"/>
  <c r="X277" i="75" s="1"/>
  <c r="T277" i="75"/>
  <c r="U277" i="75" s="1"/>
  <c r="Z276" i="75"/>
  <c r="V276" i="75"/>
  <c r="X276" i="75" s="1"/>
  <c r="T276" i="75"/>
  <c r="U276" i="75" s="1"/>
  <c r="Z275" i="75"/>
  <c r="V275" i="75"/>
  <c r="X275" i="75" s="1"/>
  <c r="T275" i="75"/>
  <c r="U275" i="75" s="1"/>
  <c r="Z274" i="75"/>
  <c r="V274" i="75"/>
  <c r="X274" i="75" s="1"/>
  <c r="T274" i="75"/>
  <c r="U274" i="75" s="1"/>
  <c r="Z273" i="75"/>
  <c r="V273" i="75"/>
  <c r="X273" i="75" s="1"/>
  <c r="T273" i="75"/>
  <c r="U273" i="75" s="1"/>
  <c r="Z272" i="75"/>
  <c r="V272" i="75"/>
  <c r="X272" i="75" s="1"/>
  <c r="T272" i="75"/>
  <c r="U272" i="75" s="1"/>
  <c r="Z271" i="75"/>
  <c r="V271" i="75"/>
  <c r="X271" i="75" s="1"/>
  <c r="T271" i="75"/>
  <c r="U271" i="75" s="1"/>
  <c r="Z270" i="75"/>
  <c r="V270" i="75"/>
  <c r="X270" i="75" s="1"/>
  <c r="T270" i="75"/>
  <c r="U270" i="75" s="1"/>
  <c r="Z269" i="75"/>
  <c r="V269" i="75"/>
  <c r="X269" i="75" s="1"/>
  <c r="T269" i="75"/>
  <c r="U269" i="75" s="1"/>
  <c r="Z268" i="75"/>
  <c r="V268" i="75"/>
  <c r="X268" i="75" s="1"/>
  <c r="T268" i="75"/>
  <c r="U268" i="75" s="1"/>
  <c r="Z267" i="75"/>
  <c r="V267" i="75"/>
  <c r="X267" i="75" s="1"/>
  <c r="T267" i="75"/>
  <c r="U267" i="75" s="1"/>
  <c r="Z266" i="75"/>
  <c r="V266" i="75"/>
  <c r="X266" i="75" s="1"/>
  <c r="T266" i="75"/>
  <c r="U266" i="75" s="1"/>
  <c r="Z265" i="75"/>
  <c r="V265" i="75"/>
  <c r="X265" i="75" s="1"/>
  <c r="T265" i="75"/>
  <c r="U265" i="75" s="1"/>
  <c r="Z264" i="75"/>
  <c r="V264" i="75"/>
  <c r="X264" i="75" s="1"/>
  <c r="T264" i="75"/>
  <c r="U264" i="75" s="1"/>
  <c r="Z263" i="75"/>
  <c r="V263" i="75"/>
  <c r="X263" i="75" s="1"/>
  <c r="T263" i="75"/>
  <c r="U263" i="75" s="1"/>
  <c r="Z262" i="75"/>
  <c r="V262" i="75"/>
  <c r="X262" i="75" s="1"/>
  <c r="T262" i="75"/>
  <c r="U262" i="75" s="1"/>
  <c r="Z261" i="75"/>
  <c r="V261" i="75"/>
  <c r="X261" i="75" s="1"/>
  <c r="T261" i="75"/>
  <c r="U261" i="75" s="1"/>
  <c r="Z260" i="75"/>
  <c r="V260" i="75"/>
  <c r="X260" i="75" s="1"/>
  <c r="T260" i="75"/>
  <c r="U260" i="75" s="1"/>
  <c r="Z259" i="75"/>
  <c r="V259" i="75"/>
  <c r="X259" i="75" s="1"/>
  <c r="T259" i="75"/>
  <c r="U259" i="75" s="1"/>
  <c r="Z258" i="75"/>
  <c r="V258" i="75"/>
  <c r="X258" i="75" s="1"/>
  <c r="T258" i="75"/>
  <c r="U258" i="75" s="1"/>
  <c r="Z257" i="75"/>
  <c r="V257" i="75"/>
  <c r="X257" i="75" s="1"/>
  <c r="T257" i="75"/>
  <c r="U257" i="75" s="1"/>
  <c r="Z256" i="75"/>
  <c r="V256" i="75"/>
  <c r="X256" i="75" s="1"/>
  <c r="T256" i="75"/>
  <c r="U256" i="75" s="1"/>
  <c r="Z255" i="75"/>
  <c r="V255" i="75"/>
  <c r="X255" i="75" s="1"/>
  <c r="T255" i="75"/>
  <c r="U255" i="75" s="1"/>
  <c r="Z254" i="75"/>
  <c r="V254" i="75"/>
  <c r="X254" i="75" s="1"/>
  <c r="T254" i="75"/>
  <c r="U254" i="75" s="1"/>
  <c r="Z253" i="75"/>
  <c r="V253" i="75"/>
  <c r="X253" i="75" s="1"/>
  <c r="T253" i="75"/>
  <c r="U253" i="75" s="1"/>
  <c r="Z252" i="75"/>
  <c r="V252" i="75"/>
  <c r="X252" i="75" s="1"/>
  <c r="T252" i="75"/>
  <c r="U252" i="75" s="1"/>
  <c r="Z251" i="75"/>
  <c r="V251" i="75"/>
  <c r="X251" i="75" s="1"/>
  <c r="T251" i="75"/>
  <c r="U251" i="75" s="1"/>
  <c r="Z250" i="75"/>
  <c r="V250" i="75"/>
  <c r="X250" i="75" s="1"/>
  <c r="T250" i="75"/>
  <c r="U250" i="75" s="1"/>
  <c r="Z249" i="75"/>
  <c r="V249" i="75"/>
  <c r="X249" i="75" s="1"/>
  <c r="T249" i="75"/>
  <c r="U249" i="75" s="1"/>
  <c r="Z248" i="75"/>
  <c r="V248" i="75"/>
  <c r="X248" i="75" s="1"/>
  <c r="T248" i="75"/>
  <c r="U248" i="75" s="1"/>
  <c r="Z247" i="75"/>
  <c r="V247" i="75"/>
  <c r="X247" i="75" s="1"/>
  <c r="T247" i="75"/>
  <c r="U247" i="75" s="1"/>
  <c r="Z246" i="75"/>
  <c r="V246" i="75"/>
  <c r="X246" i="75" s="1"/>
  <c r="T246" i="75"/>
  <c r="U246" i="75" s="1"/>
  <c r="Z245" i="75"/>
  <c r="V245" i="75"/>
  <c r="X245" i="75" s="1"/>
  <c r="T245" i="75"/>
  <c r="U245" i="75" s="1"/>
  <c r="Z244" i="75"/>
  <c r="V244" i="75"/>
  <c r="X244" i="75" s="1"/>
  <c r="T244" i="75"/>
  <c r="U244" i="75" s="1"/>
  <c r="Z243" i="75"/>
  <c r="V243" i="75"/>
  <c r="X243" i="75" s="1"/>
  <c r="T243" i="75"/>
  <c r="U243" i="75" s="1"/>
  <c r="Z242" i="75"/>
  <c r="V242" i="75"/>
  <c r="X242" i="75" s="1"/>
  <c r="T242" i="75"/>
  <c r="U242" i="75" s="1"/>
  <c r="Z241" i="75"/>
  <c r="V241" i="75"/>
  <c r="X241" i="75" s="1"/>
  <c r="T241" i="75"/>
  <c r="U241" i="75" s="1"/>
  <c r="Z240" i="75"/>
  <c r="V240" i="75"/>
  <c r="X240" i="75" s="1"/>
  <c r="T240" i="75"/>
  <c r="U240" i="75" s="1"/>
  <c r="Z239" i="75"/>
  <c r="V239" i="75"/>
  <c r="X239" i="75" s="1"/>
  <c r="T239" i="75"/>
  <c r="U239" i="75" s="1"/>
  <c r="Z238" i="75"/>
  <c r="V238" i="75"/>
  <c r="X238" i="75" s="1"/>
  <c r="T238" i="75"/>
  <c r="U238" i="75" s="1"/>
  <c r="Z237" i="75"/>
  <c r="V237" i="75"/>
  <c r="X237" i="75" s="1"/>
  <c r="T237" i="75"/>
  <c r="U237" i="75" s="1"/>
  <c r="Z236" i="75"/>
  <c r="V236" i="75"/>
  <c r="X236" i="75" s="1"/>
  <c r="T236" i="75"/>
  <c r="U236" i="75" s="1"/>
  <c r="Z235" i="75"/>
  <c r="V235" i="75"/>
  <c r="X235" i="75" s="1"/>
  <c r="T235" i="75"/>
  <c r="U235" i="75" s="1"/>
  <c r="Z234" i="75"/>
  <c r="V234" i="75"/>
  <c r="X234" i="75" s="1"/>
  <c r="T234" i="75"/>
  <c r="U234" i="75" s="1"/>
  <c r="Z233" i="75"/>
  <c r="V233" i="75"/>
  <c r="X233" i="75" s="1"/>
  <c r="T233" i="75"/>
  <c r="U233" i="75" s="1"/>
  <c r="Z232" i="75"/>
  <c r="V232" i="75"/>
  <c r="X232" i="75" s="1"/>
  <c r="T232" i="75"/>
  <c r="U232" i="75" s="1"/>
  <c r="Z231" i="75"/>
  <c r="V231" i="75"/>
  <c r="X231" i="75" s="1"/>
  <c r="T231" i="75"/>
  <c r="U231" i="75" s="1"/>
  <c r="Z230" i="75"/>
  <c r="V230" i="75"/>
  <c r="X230" i="75" s="1"/>
  <c r="T230" i="75"/>
  <c r="U230" i="75" s="1"/>
  <c r="Z229" i="75"/>
  <c r="V229" i="75"/>
  <c r="X229" i="75" s="1"/>
  <c r="T229" i="75"/>
  <c r="U229" i="75" s="1"/>
  <c r="Z228" i="75"/>
  <c r="V228" i="75"/>
  <c r="X228" i="75" s="1"/>
  <c r="T228" i="75"/>
  <c r="U228" i="75" s="1"/>
  <c r="Z227" i="75"/>
  <c r="V227" i="75"/>
  <c r="X227" i="75" s="1"/>
  <c r="T227" i="75"/>
  <c r="U227" i="75" s="1"/>
  <c r="Z226" i="75"/>
  <c r="V226" i="75"/>
  <c r="X226" i="75" s="1"/>
  <c r="T226" i="75"/>
  <c r="U226" i="75" s="1"/>
  <c r="Z225" i="75"/>
  <c r="V225" i="75"/>
  <c r="X225" i="75" s="1"/>
  <c r="T225" i="75"/>
  <c r="U225" i="75" s="1"/>
  <c r="Z224" i="75"/>
  <c r="V224" i="75"/>
  <c r="X224" i="75" s="1"/>
  <c r="T224" i="75"/>
  <c r="U224" i="75" s="1"/>
  <c r="Z223" i="75"/>
  <c r="V223" i="75"/>
  <c r="X223" i="75" s="1"/>
  <c r="T223" i="75"/>
  <c r="U223" i="75" s="1"/>
  <c r="Z222" i="75"/>
  <c r="V222" i="75"/>
  <c r="X222" i="75" s="1"/>
  <c r="T222" i="75"/>
  <c r="U222" i="75" s="1"/>
  <c r="Z221" i="75"/>
  <c r="V221" i="75"/>
  <c r="X221" i="75" s="1"/>
  <c r="T221" i="75"/>
  <c r="U221" i="75" s="1"/>
  <c r="Z220" i="75"/>
  <c r="V220" i="75"/>
  <c r="X220" i="75" s="1"/>
  <c r="T220" i="75"/>
  <c r="U220" i="75" s="1"/>
  <c r="Z219" i="75"/>
  <c r="V219" i="75"/>
  <c r="X219" i="75" s="1"/>
  <c r="T219" i="75"/>
  <c r="U219" i="75" s="1"/>
  <c r="Z218" i="75"/>
  <c r="V218" i="75"/>
  <c r="X218" i="75" s="1"/>
  <c r="T218" i="75"/>
  <c r="U218" i="75" s="1"/>
  <c r="Z217" i="75"/>
  <c r="V217" i="75"/>
  <c r="X217" i="75" s="1"/>
  <c r="T217" i="75"/>
  <c r="U217" i="75" s="1"/>
  <c r="Z216" i="75"/>
  <c r="V216" i="75"/>
  <c r="X216" i="75" s="1"/>
  <c r="T216" i="75"/>
  <c r="U216" i="75" s="1"/>
  <c r="Z215" i="75"/>
  <c r="V215" i="75"/>
  <c r="X215" i="75" s="1"/>
  <c r="T215" i="75"/>
  <c r="U215" i="75" s="1"/>
  <c r="Z214" i="75"/>
  <c r="V214" i="75"/>
  <c r="X214" i="75" s="1"/>
  <c r="T214" i="75"/>
  <c r="U214" i="75" s="1"/>
  <c r="Z213" i="75"/>
  <c r="V213" i="75"/>
  <c r="X213" i="75" s="1"/>
  <c r="T213" i="75"/>
  <c r="U213" i="75" s="1"/>
  <c r="Z212" i="75"/>
  <c r="V212" i="75"/>
  <c r="X212" i="75" s="1"/>
  <c r="T212" i="75"/>
  <c r="U212" i="75" s="1"/>
  <c r="Z211" i="75"/>
  <c r="V211" i="75"/>
  <c r="X211" i="75" s="1"/>
  <c r="T211" i="75"/>
  <c r="U211" i="75" s="1"/>
  <c r="Z210" i="75"/>
  <c r="V210" i="75"/>
  <c r="X210" i="75" s="1"/>
  <c r="T210" i="75"/>
  <c r="U210" i="75" s="1"/>
  <c r="Z209" i="75"/>
  <c r="V209" i="75"/>
  <c r="X209" i="75" s="1"/>
  <c r="T209" i="75"/>
  <c r="U209" i="75" s="1"/>
  <c r="Z208" i="75"/>
  <c r="V208" i="75"/>
  <c r="X208" i="75" s="1"/>
  <c r="T208" i="75"/>
  <c r="U208" i="75" s="1"/>
  <c r="Z207" i="75"/>
  <c r="V207" i="75"/>
  <c r="X207" i="75" s="1"/>
  <c r="T207" i="75"/>
  <c r="U207" i="75" s="1"/>
  <c r="Z206" i="75"/>
  <c r="V206" i="75"/>
  <c r="X206" i="75" s="1"/>
  <c r="T206" i="75"/>
  <c r="U206" i="75" s="1"/>
  <c r="Z205" i="75"/>
  <c r="V205" i="75"/>
  <c r="X205" i="75" s="1"/>
  <c r="T205" i="75"/>
  <c r="U205" i="75" s="1"/>
  <c r="Z204" i="75"/>
  <c r="V204" i="75"/>
  <c r="X204" i="75" s="1"/>
  <c r="T204" i="75"/>
  <c r="U204" i="75" s="1"/>
  <c r="Z203" i="75"/>
  <c r="V203" i="75"/>
  <c r="X203" i="75" s="1"/>
  <c r="T203" i="75"/>
  <c r="U203" i="75" s="1"/>
  <c r="Z202" i="75"/>
  <c r="V202" i="75"/>
  <c r="X202" i="75" s="1"/>
  <c r="T202" i="75"/>
  <c r="U202" i="75" s="1"/>
  <c r="Z201" i="75"/>
  <c r="V201" i="75"/>
  <c r="X201" i="75" s="1"/>
  <c r="T201" i="75"/>
  <c r="U201" i="75" s="1"/>
  <c r="Z200" i="75"/>
  <c r="V200" i="75"/>
  <c r="X200" i="75" s="1"/>
  <c r="T200" i="75"/>
  <c r="U200" i="75" s="1"/>
  <c r="Z199" i="75"/>
  <c r="V199" i="75"/>
  <c r="X199" i="75" s="1"/>
  <c r="T199" i="75"/>
  <c r="U199" i="75" s="1"/>
  <c r="Z198" i="75"/>
  <c r="V198" i="75"/>
  <c r="X198" i="75" s="1"/>
  <c r="T198" i="75"/>
  <c r="U198" i="75" s="1"/>
  <c r="Z197" i="75"/>
  <c r="V197" i="75"/>
  <c r="X197" i="75" s="1"/>
  <c r="T197" i="75"/>
  <c r="U197" i="75" s="1"/>
  <c r="Z196" i="75"/>
  <c r="V196" i="75"/>
  <c r="X196" i="75" s="1"/>
  <c r="T196" i="75"/>
  <c r="U196" i="75" s="1"/>
  <c r="Z195" i="75"/>
  <c r="V195" i="75"/>
  <c r="X195" i="75" s="1"/>
  <c r="T195" i="75"/>
  <c r="U195" i="75" s="1"/>
  <c r="Z194" i="75"/>
  <c r="V194" i="75"/>
  <c r="X194" i="75" s="1"/>
  <c r="T194" i="75"/>
  <c r="U194" i="75" s="1"/>
  <c r="Z193" i="75"/>
  <c r="V193" i="75"/>
  <c r="X193" i="75" s="1"/>
  <c r="T193" i="75"/>
  <c r="U193" i="75" s="1"/>
  <c r="Z192" i="75"/>
  <c r="V192" i="75"/>
  <c r="X192" i="75" s="1"/>
  <c r="T192" i="75"/>
  <c r="U192" i="75" s="1"/>
  <c r="Z191" i="75"/>
  <c r="V191" i="75"/>
  <c r="X191" i="75" s="1"/>
  <c r="T191" i="75"/>
  <c r="U191" i="75" s="1"/>
  <c r="Z190" i="75"/>
  <c r="V190" i="75"/>
  <c r="X190" i="75" s="1"/>
  <c r="T190" i="75"/>
  <c r="U190" i="75" s="1"/>
  <c r="Z189" i="75"/>
  <c r="V189" i="75"/>
  <c r="X189" i="75" s="1"/>
  <c r="T189" i="75"/>
  <c r="U189" i="75" s="1"/>
  <c r="Z188" i="75"/>
  <c r="V188" i="75"/>
  <c r="X188" i="75" s="1"/>
  <c r="T188" i="75"/>
  <c r="U188" i="75" s="1"/>
  <c r="Z187" i="75"/>
  <c r="V187" i="75"/>
  <c r="X187" i="75" s="1"/>
  <c r="T187" i="75"/>
  <c r="U187" i="75" s="1"/>
  <c r="Z186" i="75"/>
  <c r="V186" i="75"/>
  <c r="X186" i="75" s="1"/>
  <c r="T186" i="75"/>
  <c r="U186" i="75" s="1"/>
  <c r="Z185" i="75"/>
  <c r="V185" i="75"/>
  <c r="X185" i="75" s="1"/>
  <c r="T185" i="75"/>
  <c r="U185" i="75" s="1"/>
  <c r="Z184" i="75"/>
  <c r="V184" i="75"/>
  <c r="X184" i="75" s="1"/>
  <c r="T184" i="75"/>
  <c r="U184" i="75" s="1"/>
  <c r="Z183" i="75"/>
  <c r="V183" i="75"/>
  <c r="X183" i="75" s="1"/>
  <c r="T183" i="75"/>
  <c r="U183" i="75" s="1"/>
  <c r="Z182" i="75"/>
  <c r="V182" i="75"/>
  <c r="X182" i="75" s="1"/>
  <c r="T182" i="75"/>
  <c r="U182" i="75" s="1"/>
  <c r="Z181" i="75"/>
  <c r="V181" i="75"/>
  <c r="X181" i="75" s="1"/>
  <c r="T181" i="75"/>
  <c r="U181" i="75" s="1"/>
  <c r="Z180" i="75"/>
  <c r="V180" i="75"/>
  <c r="X180" i="75" s="1"/>
  <c r="T180" i="75"/>
  <c r="U180" i="75" s="1"/>
  <c r="Z179" i="75"/>
  <c r="V179" i="75"/>
  <c r="X179" i="75" s="1"/>
  <c r="T179" i="75"/>
  <c r="U179" i="75" s="1"/>
  <c r="Z178" i="75"/>
  <c r="V178" i="75"/>
  <c r="X178" i="75" s="1"/>
  <c r="T178" i="75"/>
  <c r="U178" i="75" s="1"/>
  <c r="Z177" i="75"/>
  <c r="V177" i="75"/>
  <c r="X177" i="75" s="1"/>
  <c r="T177" i="75"/>
  <c r="U177" i="75" s="1"/>
  <c r="Z176" i="75"/>
  <c r="V176" i="75"/>
  <c r="X176" i="75" s="1"/>
  <c r="T176" i="75"/>
  <c r="U176" i="75" s="1"/>
  <c r="Z175" i="75"/>
  <c r="V175" i="75"/>
  <c r="X175" i="75" s="1"/>
  <c r="T175" i="75"/>
  <c r="U175" i="75" s="1"/>
  <c r="Z174" i="75"/>
  <c r="V174" i="75"/>
  <c r="X174" i="75" s="1"/>
  <c r="T174" i="75"/>
  <c r="U174" i="75" s="1"/>
  <c r="Z173" i="75"/>
  <c r="V173" i="75"/>
  <c r="X173" i="75" s="1"/>
  <c r="T173" i="75"/>
  <c r="U173" i="75" s="1"/>
  <c r="Z172" i="75"/>
  <c r="V172" i="75"/>
  <c r="X172" i="75" s="1"/>
  <c r="T172" i="75"/>
  <c r="U172" i="75" s="1"/>
  <c r="Z171" i="75"/>
  <c r="V171" i="75"/>
  <c r="X171" i="75" s="1"/>
  <c r="T171" i="75"/>
  <c r="U171" i="75" s="1"/>
  <c r="Z170" i="75"/>
  <c r="V170" i="75"/>
  <c r="X170" i="75" s="1"/>
  <c r="T170" i="75"/>
  <c r="U170" i="75" s="1"/>
  <c r="Z169" i="75"/>
  <c r="V169" i="75"/>
  <c r="X169" i="75" s="1"/>
  <c r="T169" i="75"/>
  <c r="U169" i="75" s="1"/>
  <c r="Z168" i="75"/>
  <c r="V168" i="75"/>
  <c r="X168" i="75" s="1"/>
  <c r="T168" i="75"/>
  <c r="U168" i="75" s="1"/>
  <c r="Z167" i="75"/>
  <c r="V167" i="75"/>
  <c r="X167" i="75" s="1"/>
  <c r="T167" i="75"/>
  <c r="U167" i="75" s="1"/>
  <c r="Z166" i="75"/>
  <c r="V166" i="75"/>
  <c r="X166" i="75" s="1"/>
  <c r="T166" i="75"/>
  <c r="U166" i="75" s="1"/>
  <c r="Z165" i="75"/>
  <c r="V165" i="75"/>
  <c r="X165" i="75" s="1"/>
  <c r="T165" i="75"/>
  <c r="U165" i="75" s="1"/>
  <c r="Z164" i="75"/>
  <c r="V164" i="75"/>
  <c r="X164" i="75" s="1"/>
  <c r="T164" i="75"/>
  <c r="U164" i="75" s="1"/>
  <c r="Z163" i="75"/>
  <c r="V163" i="75"/>
  <c r="X163" i="75" s="1"/>
  <c r="T163" i="75"/>
  <c r="U163" i="75" s="1"/>
  <c r="Z162" i="75"/>
  <c r="V162" i="75"/>
  <c r="X162" i="75" s="1"/>
  <c r="T162" i="75"/>
  <c r="U162" i="75" s="1"/>
  <c r="Z161" i="75"/>
  <c r="V161" i="75"/>
  <c r="X161" i="75" s="1"/>
  <c r="T161" i="75"/>
  <c r="U161" i="75" s="1"/>
  <c r="Z160" i="75"/>
  <c r="V160" i="75"/>
  <c r="X160" i="75" s="1"/>
  <c r="T160" i="75"/>
  <c r="U160" i="75" s="1"/>
  <c r="Z159" i="75"/>
  <c r="V159" i="75"/>
  <c r="X159" i="75" s="1"/>
  <c r="T159" i="75"/>
  <c r="U159" i="75" s="1"/>
  <c r="Z158" i="75"/>
  <c r="V158" i="75"/>
  <c r="X158" i="75" s="1"/>
  <c r="T158" i="75"/>
  <c r="U158" i="75" s="1"/>
  <c r="Z157" i="75"/>
  <c r="V157" i="75"/>
  <c r="X157" i="75" s="1"/>
  <c r="T157" i="75"/>
  <c r="U157" i="75" s="1"/>
  <c r="Z156" i="75"/>
  <c r="V156" i="75"/>
  <c r="X156" i="75" s="1"/>
  <c r="T156" i="75"/>
  <c r="U156" i="75" s="1"/>
  <c r="Z155" i="75"/>
  <c r="V155" i="75"/>
  <c r="X155" i="75" s="1"/>
  <c r="T155" i="75"/>
  <c r="U155" i="75" s="1"/>
  <c r="Z154" i="75"/>
  <c r="V154" i="75"/>
  <c r="X154" i="75" s="1"/>
  <c r="T154" i="75"/>
  <c r="U154" i="75" s="1"/>
  <c r="Z153" i="75"/>
  <c r="V153" i="75"/>
  <c r="X153" i="75" s="1"/>
  <c r="T153" i="75"/>
  <c r="U153" i="75" s="1"/>
  <c r="Z152" i="75"/>
  <c r="V152" i="75"/>
  <c r="X152" i="75" s="1"/>
  <c r="T152" i="75"/>
  <c r="U152" i="75" s="1"/>
  <c r="Z151" i="75"/>
  <c r="V151" i="75"/>
  <c r="X151" i="75" s="1"/>
  <c r="T151" i="75"/>
  <c r="U151" i="75" s="1"/>
  <c r="Z150" i="75"/>
  <c r="V150" i="75"/>
  <c r="X150" i="75" s="1"/>
  <c r="T150" i="75"/>
  <c r="U150" i="75" s="1"/>
  <c r="Z149" i="75"/>
  <c r="V149" i="75"/>
  <c r="X149" i="75" s="1"/>
  <c r="T149" i="75"/>
  <c r="U149" i="75" s="1"/>
  <c r="Z148" i="75"/>
  <c r="V148" i="75"/>
  <c r="X148" i="75" s="1"/>
  <c r="T148" i="75"/>
  <c r="U148" i="75" s="1"/>
  <c r="Z147" i="75"/>
  <c r="V147" i="75"/>
  <c r="X147" i="75" s="1"/>
  <c r="T147" i="75"/>
  <c r="U147" i="75" s="1"/>
  <c r="Z146" i="75"/>
  <c r="V146" i="75"/>
  <c r="X146" i="75" s="1"/>
  <c r="T146" i="75"/>
  <c r="U146" i="75" s="1"/>
  <c r="Z145" i="75"/>
  <c r="V145" i="75"/>
  <c r="X145" i="75" s="1"/>
  <c r="T145" i="75"/>
  <c r="U145" i="75" s="1"/>
  <c r="Z144" i="75"/>
  <c r="V144" i="75"/>
  <c r="X144" i="75" s="1"/>
  <c r="T144" i="75"/>
  <c r="U144" i="75" s="1"/>
  <c r="Z143" i="75"/>
  <c r="V143" i="75"/>
  <c r="X143" i="75" s="1"/>
  <c r="T143" i="75"/>
  <c r="U143" i="75" s="1"/>
  <c r="Z142" i="75"/>
  <c r="V142" i="75"/>
  <c r="X142" i="75" s="1"/>
  <c r="T142" i="75"/>
  <c r="U142" i="75" s="1"/>
  <c r="Z141" i="75"/>
  <c r="V141" i="75"/>
  <c r="X141" i="75" s="1"/>
  <c r="T141" i="75"/>
  <c r="U141" i="75" s="1"/>
  <c r="Z140" i="75"/>
  <c r="V140" i="75"/>
  <c r="X140" i="75" s="1"/>
  <c r="T140" i="75"/>
  <c r="U140" i="75" s="1"/>
  <c r="Z139" i="75"/>
  <c r="V139" i="75"/>
  <c r="X139" i="75" s="1"/>
  <c r="T139" i="75"/>
  <c r="U139" i="75" s="1"/>
  <c r="Z138" i="75"/>
  <c r="V138" i="75"/>
  <c r="X138" i="75" s="1"/>
  <c r="T138" i="75"/>
  <c r="U138" i="75" s="1"/>
  <c r="Z137" i="75"/>
  <c r="V137" i="75"/>
  <c r="X137" i="75" s="1"/>
  <c r="T137" i="75"/>
  <c r="U137" i="75" s="1"/>
  <c r="Z136" i="75"/>
  <c r="V136" i="75"/>
  <c r="X136" i="75" s="1"/>
  <c r="T136" i="75"/>
  <c r="U136" i="75" s="1"/>
  <c r="Z135" i="75"/>
  <c r="V135" i="75"/>
  <c r="X135" i="75" s="1"/>
  <c r="T135" i="75"/>
  <c r="U135" i="75" s="1"/>
  <c r="Z134" i="75"/>
  <c r="V134" i="75"/>
  <c r="X134" i="75" s="1"/>
  <c r="T134" i="75"/>
  <c r="U134" i="75" s="1"/>
  <c r="Z133" i="75"/>
  <c r="V133" i="75"/>
  <c r="X133" i="75" s="1"/>
  <c r="T133" i="75"/>
  <c r="U133" i="75" s="1"/>
  <c r="Z132" i="75"/>
  <c r="V132" i="75"/>
  <c r="X132" i="75" s="1"/>
  <c r="T132" i="75"/>
  <c r="U132" i="75" s="1"/>
  <c r="Z131" i="75"/>
  <c r="V131" i="75"/>
  <c r="X131" i="75" s="1"/>
  <c r="T131" i="75"/>
  <c r="U131" i="75" s="1"/>
  <c r="Z130" i="75"/>
  <c r="V130" i="75"/>
  <c r="X130" i="75" s="1"/>
  <c r="T130" i="75"/>
  <c r="U130" i="75" s="1"/>
  <c r="Z129" i="75"/>
  <c r="V129" i="75"/>
  <c r="X129" i="75" s="1"/>
  <c r="T129" i="75"/>
  <c r="U129" i="75" s="1"/>
  <c r="Z128" i="75"/>
  <c r="V128" i="75"/>
  <c r="X128" i="75" s="1"/>
  <c r="T128" i="75"/>
  <c r="U128" i="75" s="1"/>
  <c r="Z127" i="75"/>
  <c r="V127" i="75"/>
  <c r="X127" i="75" s="1"/>
  <c r="T127" i="75"/>
  <c r="U127" i="75" s="1"/>
  <c r="Z126" i="75"/>
  <c r="V126" i="75"/>
  <c r="X126" i="75" s="1"/>
  <c r="T126" i="75"/>
  <c r="U126" i="75" s="1"/>
  <c r="Z125" i="75"/>
  <c r="V125" i="75"/>
  <c r="X125" i="75" s="1"/>
  <c r="T125" i="75"/>
  <c r="U125" i="75" s="1"/>
  <c r="Z124" i="75"/>
  <c r="V124" i="75"/>
  <c r="X124" i="75" s="1"/>
  <c r="T124" i="75"/>
  <c r="U124" i="75" s="1"/>
  <c r="Z123" i="75"/>
  <c r="V123" i="75"/>
  <c r="X123" i="75" s="1"/>
  <c r="T123" i="75"/>
  <c r="U123" i="75" s="1"/>
  <c r="Z122" i="75"/>
  <c r="V122" i="75"/>
  <c r="X122" i="75" s="1"/>
  <c r="T122" i="75"/>
  <c r="U122" i="75" s="1"/>
  <c r="Z121" i="75"/>
  <c r="V121" i="75"/>
  <c r="X121" i="75" s="1"/>
  <c r="T121" i="75"/>
  <c r="U121" i="75" s="1"/>
  <c r="Z120" i="75"/>
  <c r="V120" i="75"/>
  <c r="X120" i="75" s="1"/>
  <c r="T120" i="75"/>
  <c r="U120" i="75" s="1"/>
  <c r="Z119" i="75"/>
  <c r="V119" i="75"/>
  <c r="X119" i="75" s="1"/>
  <c r="T119" i="75"/>
  <c r="U119" i="75" s="1"/>
  <c r="Z118" i="75"/>
  <c r="V118" i="75"/>
  <c r="X118" i="75" s="1"/>
  <c r="T118" i="75"/>
  <c r="U118" i="75" s="1"/>
  <c r="Z117" i="75"/>
  <c r="V117" i="75"/>
  <c r="X117" i="75" s="1"/>
  <c r="T117" i="75"/>
  <c r="U117" i="75" s="1"/>
  <c r="Z116" i="75"/>
  <c r="V116" i="75"/>
  <c r="X116" i="75" s="1"/>
  <c r="T116" i="75"/>
  <c r="U116" i="75" s="1"/>
  <c r="Z115" i="75"/>
  <c r="V115" i="75"/>
  <c r="X115" i="75" s="1"/>
  <c r="T115" i="75"/>
  <c r="U115" i="75" s="1"/>
  <c r="Z114" i="75"/>
  <c r="V114" i="75"/>
  <c r="X114" i="75" s="1"/>
  <c r="T114" i="75"/>
  <c r="U114" i="75" s="1"/>
  <c r="Z113" i="75"/>
  <c r="V113" i="75"/>
  <c r="X113" i="75" s="1"/>
  <c r="T113" i="75"/>
  <c r="U113" i="75" s="1"/>
  <c r="Z112" i="75"/>
  <c r="V112" i="75"/>
  <c r="X112" i="75" s="1"/>
  <c r="T112" i="75"/>
  <c r="U112" i="75" s="1"/>
  <c r="Z111" i="75"/>
  <c r="V111" i="75"/>
  <c r="X111" i="75" s="1"/>
  <c r="T111" i="75"/>
  <c r="U111" i="75" s="1"/>
  <c r="Z110" i="75"/>
  <c r="V110" i="75"/>
  <c r="X110" i="75" s="1"/>
  <c r="T110" i="75"/>
  <c r="U110" i="75" s="1"/>
  <c r="Z109" i="75"/>
  <c r="V109" i="75"/>
  <c r="X109" i="75" s="1"/>
  <c r="T109" i="75"/>
  <c r="U109" i="75" s="1"/>
  <c r="Z108" i="75"/>
  <c r="V108" i="75"/>
  <c r="X108" i="75" s="1"/>
  <c r="T108" i="75"/>
  <c r="U108" i="75" s="1"/>
  <c r="Z107" i="75"/>
  <c r="V107" i="75"/>
  <c r="X107" i="75" s="1"/>
  <c r="T107" i="75"/>
  <c r="U107" i="75" s="1"/>
  <c r="Z106" i="75"/>
  <c r="V106" i="75"/>
  <c r="X106" i="75" s="1"/>
  <c r="T106" i="75"/>
  <c r="U106" i="75" s="1"/>
  <c r="Z105" i="75"/>
  <c r="V105" i="75"/>
  <c r="X105" i="75" s="1"/>
  <c r="T105" i="75"/>
  <c r="U105" i="75" s="1"/>
  <c r="Z104" i="75"/>
  <c r="V104" i="75"/>
  <c r="X104" i="75" s="1"/>
  <c r="T104" i="75"/>
  <c r="U104" i="75" s="1"/>
  <c r="Z103" i="75"/>
  <c r="V103" i="75"/>
  <c r="X103" i="75" s="1"/>
  <c r="T103" i="75"/>
  <c r="U103" i="75" s="1"/>
  <c r="Z102" i="75"/>
  <c r="V102" i="75"/>
  <c r="X102" i="75" s="1"/>
  <c r="T102" i="75"/>
  <c r="U102" i="75" s="1"/>
  <c r="Z101" i="75"/>
  <c r="V101" i="75"/>
  <c r="X101" i="75" s="1"/>
  <c r="T101" i="75"/>
  <c r="U101" i="75" s="1"/>
  <c r="Z100" i="75"/>
  <c r="V100" i="75"/>
  <c r="X100" i="75" s="1"/>
  <c r="T100" i="75"/>
  <c r="U100" i="75" s="1"/>
  <c r="Z99" i="75"/>
  <c r="V99" i="75"/>
  <c r="X99" i="75" s="1"/>
  <c r="T99" i="75"/>
  <c r="U99" i="75" s="1"/>
  <c r="Z98" i="75"/>
  <c r="V98" i="75"/>
  <c r="X98" i="75" s="1"/>
  <c r="T98" i="75"/>
  <c r="U98" i="75" s="1"/>
  <c r="Z97" i="75"/>
  <c r="V97" i="75"/>
  <c r="X97" i="75" s="1"/>
  <c r="T97" i="75"/>
  <c r="U97" i="75" s="1"/>
  <c r="Z96" i="75"/>
  <c r="V96" i="75"/>
  <c r="X96" i="75" s="1"/>
  <c r="T96" i="75"/>
  <c r="U96" i="75" s="1"/>
  <c r="Z95" i="75"/>
  <c r="V95" i="75"/>
  <c r="X95" i="75" s="1"/>
  <c r="T95" i="75"/>
  <c r="U95" i="75" s="1"/>
  <c r="Z94" i="75"/>
  <c r="V94" i="75"/>
  <c r="X94" i="75" s="1"/>
  <c r="T94" i="75"/>
  <c r="U94" i="75" s="1"/>
  <c r="Z93" i="75"/>
  <c r="V93" i="75"/>
  <c r="X93" i="75" s="1"/>
  <c r="T93" i="75"/>
  <c r="U93" i="75" s="1"/>
  <c r="Z92" i="75"/>
  <c r="V92" i="75"/>
  <c r="X92" i="75" s="1"/>
  <c r="T92" i="75"/>
  <c r="U92" i="75" s="1"/>
  <c r="Z91" i="75"/>
  <c r="V91" i="75"/>
  <c r="X91" i="75" s="1"/>
  <c r="T91" i="75"/>
  <c r="U91" i="75" s="1"/>
  <c r="Z90" i="75"/>
  <c r="V90" i="75"/>
  <c r="X90" i="75" s="1"/>
  <c r="T90" i="75"/>
  <c r="U90" i="75" s="1"/>
  <c r="Z89" i="75"/>
  <c r="V89" i="75"/>
  <c r="X89" i="75" s="1"/>
  <c r="T89" i="75"/>
  <c r="U89" i="75" s="1"/>
  <c r="Z88" i="75"/>
  <c r="V88" i="75"/>
  <c r="X88" i="75" s="1"/>
  <c r="T88" i="75"/>
  <c r="U88" i="75" s="1"/>
  <c r="Z87" i="75"/>
  <c r="V87" i="75"/>
  <c r="X87" i="75" s="1"/>
  <c r="T87" i="75"/>
  <c r="U87" i="75" s="1"/>
  <c r="Z86" i="75"/>
  <c r="V86" i="75"/>
  <c r="X86" i="75" s="1"/>
  <c r="T86" i="75"/>
  <c r="U86" i="75" s="1"/>
  <c r="Z85" i="75"/>
  <c r="V85" i="75"/>
  <c r="X85" i="75" s="1"/>
  <c r="T85" i="75"/>
  <c r="U85" i="75" s="1"/>
  <c r="Z84" i="75"/>
  <c r="V84" i="75"/>
  <c r="X84" i="75" s="1"/>
  <c r="T84" i="75"/>
  <c r="U84" i="75" s="1"/>
  <c r="Z83" i="75"/>
  <c r="V83" i="75"/>
  <c r="X83" i="75" s="1"/>
  <c r="T83" i="75"/>
  <c r="U83" i="75" s="1"/>
  <c r="Z82" i="75"/>
  <c r="V82" i="75"/>
  <c r="X82" i="75" s="1"/>
  <c r="T82" i="75"/>
  <c r="U82" i="75" s="1"/>
  <c r="Z81" i="75"/>
  <c r="V81" i="75"/>
  <c r="X81" i="75" s="1"/>
  <c r="T81" i="75"/>
  <c r="U81" i="75" s="1"/>
  <c r="Z80" i="75"/>
  <c r="V80" i="75"/>
  <c r="X80" i="75" s="1"/>
  <c r="T80" i="75"/>
  <c r="U80" i="75" s="1"/>
  <c r="Z79" i="75"/>
  <c r="V79" i="75"/>
  <c r="X79" i="75" s="1"/>
  <c r="T79" i="75"/>
  <c r="U79" i="75" s="1"/>
  <c r="Z78" i="75"/>
  <c r="V78" i="75"/>
  <c r="X78" i="75" s="1"/>
  <c r="T78" i="75"/>
  <c r="U78" i="75" s="1"/>
  <c r="Z77" i="75"/>
  <c r="V77" i="75"/>
  <c r="X77" i="75" s="1"/>
  <c r="T77" i="75"/>
  <c r="U77" i="75" s="1"/>
  <c r="Z76" i="75"/>
  <c r="V76" i="75"/>
  <c r="X76" i="75" s="1"/>
  <c r="T76" i="75"/>
  <c r="U76" i="75" s="1"/>
  <c r="Z75" i="75"/>
  <c r="V75" i="75"/>
  <c r="X75" i="75" s="1"/>
  <c r="T75" i="75"/>
  <c r="U75" i="75" s="1"/>
  <c r="Z74" i="75"/>
  <c r="V74" i="75"/>
  <c r="X74" i="75" s="1"/>
  <c r="T74" i="75"/>
  <c r="U74" i="75" s="1"/>
  <c r="Z73" i="75"/>
  <c r="V73" i="75"/>
  <c r="X73" i="75" s="1"/>
  <c r="T73" i="75"/>
  <c r="U73" i="75" s="1"/>
  <c r="Z72" i="75"/>
  <c r="V72" i="75"/>
  <c r="X72" i="75" s="1"/>
  <c r="T72" i="75"/>
  <c r="U72" i="75" s="1"/>
  <c r="Z71" i="75"/>
  <c r="V71" i="75"/>
  <c r="X71" i="75" s="1"/>
  <c r="T71" i="75"/>
  <c r="U71" i="75" s="1"/>
  <c r="Z70" i="75"/>
  <c r="V70" i="75"/>
  <c r="X70" i="75" s="1"/>
  <c r="T70" i="75"/>
  <c r="U70" i="75" s="1"/>
  <c r="Z69" i="75"/>
  <c r="V69" i="75"/>
  <c r="X69" i="75" s="1"/>
  <c r="T69" i="75"/>
  <c r="U69" i="75" s="1"/>
  <c r="Z68" i="75"/>
  <c r="V68" i="75"/>
  <c r="X68" i="75" s="1"/>
  <c r="T68" i="75"/>
  <c r="U68" i="75" s="1"/>
  <c r="Z67" i="75"/>
  <c r="V67" i="75"/>
  <c r="X67" i="75" s="1"/>
  <c r="T67" i="75"/>
  <c r="U67" i="75" s="1"/>
  <c r="Z66" i="75"/>
  <c r="V66" i="75"/>
  <c r="X66" i="75" s="1"/>
  <c r="T66" i="75"/>
  <c r="U66" i="75" s="1"/>
  <c r="Z65" i="75"/>
  <c r="V65" i="75"/>
  <c r="X65" i="75" s="1"/>
  <c r="T65" i="75"/>
  <c r="U65" i="75" s="1"/>
  <c r="Z64" i="75"/>
  <c r="V64" i="75"/>
  <c r="X64" i="75" s="1"/>
  <c r="T64" i="75"/>
  <c r="U64" i="75" s="1"/>
  <c r="Z63" i="75"/>
  <c r="V63" i="75"/>
  <c r="X63" i="75" s="1"/>
  <c r="T63" i="75"/>
  <c r="U63" i="75" s="1"/>
  <c r="Z62" i="75"/>
  <c r="V62" i="75"/>
  <c r="X62" i="75" s="1"/>
  <c r="T62" i="75"/>
  <c r="U62" i="75" s="1"/>
  <c r="Z61" i="75"/>
  <c r="V61" i="75"/>
  <c r="X61" i="75" s="1"/>
  <c r="T61" i="75"/>
  <c r="U61" i="75" s="1"/>
  <c r="Z60" i="75"/>
  <c r="V60" i="75"/>
  <c r="X60" i="75" s="1"/>
  <c r="T60" i="75"/>
  <c r="U60" i="75" s="1"/>
  <c r="Z59" i="75"/>
  <c r="V59" i="75"/>
  <c r="X59" i="75" s="1"/>
  <c r="T59" i="75"/>
  <c r="U59" i="75" s="1"/>
  <c r="Z58" i="75"/>
  <c r="V58" i="75"/>
  <c r="X58" i="75" s="1"/>
  <c r="T58" i="75"/>
  <c r="U58" i="75" s="1"/>
  <c r="Z57" i="75"/>
  <c r="V57" i="75"/>
  <c r="X57" i="75" s="1"/>
  <c r="T57" i="75"/>
  <c r="U57" i="75" s="1"/>
  <c r="Z56" i="75"/>
  <c r="V56" i="75"/>
  <c r="X56" i="75" s="1"/>
  <c r="T56" i="75"/>
  <c r="U56" i="75" s="1"/>
  <c r="Z55" i="75"/>
  <c r="V55" i="75"/>
  <c r="X55" i="75" s="1"/>
  <c r="T55" i="75"/>
  <c r="U55" i="75" s="1"/>
  <c r="Z54" i="75"/>
  <c r="V54" i="75"/>
  <c r="X54" i="75" s="1"/>
  <c r="T54" i="75"/>
  <c r="U54" i="75" s="1"/>
  <c r="Z53" i="75"/>
  <c r="V53" i="75"/>
  <c r="X53" i="75" s="1"/>
  <c r="T53" i="75"/>
  <c r="U53" i="75" s="1"/>
  <c r="Z52" i="75"/>
  <c r="V52" i="75"/>
  <c r="X52" i="75" s="1"/>
  <c r="T52" i="75"/>
  <c r="U52" i="75" s="1"/>
  <c r="Z51" i="75"/>
  <c r="V51" i="75"/>
  <c r="X51" i="75" s="1"/>
  <c r="T51" i="75"/>
  <c r="U51" i="75" s="1"/>
  <c r="Z50" i="75"/>
  <c r="V50" i="75"/>
  <c r="X50" i="75" s="1"/>
  <c r="T50" i="75"/>
  <c r="U50" i="75" s="1"/>
  <c r="Z49" i="75"/>
  <c r="V49" i="75"/>
  <c r="X49" i="75" s="1"/>
  <c r="T49" i="75"/>
  <c r="U49" i="75" s="1"/>
  <c r="Z48" i="75"/>
  <c r="V48" i="75"/>
  <c r="X48" i="75" s="1"/>
  <c r="T48" i="75"/>
  <c r="U48" i="75" s="1"/>
  <c r="Z47" i="75"/>
  <c r="V47" i="75"/>
  <c r="X47" i="75" s="1"/>
  <c r="T47" i="75"/>
  <c r="U47" i="75" s="1"/>
  <c r="Z46" i="75"/>
  <c r="V46" i="75"/>
  <c r="X46" i="75" s="1"/>
  <c r="T46" i="75"/>
  <c r="U46" i="75" s="1"/>
  <c r="Z45" i="75"/>
  <c r="V45" i="75"/>
  <c r="X45" i="75" s="1"/>
  <c r="T45" i="75"/>
  <c r="U45" i="75" s="1"/>
  <c r="Z44" i="75"/>
  <c r="V44" i="75"/>
  <c r="X44" i="75" s="1"/>
  <c r="T44" i="75"/>
  <c r="U44" i="75" s="1"/>
  <c r="Z43" i="75"/>
  <c r="V43" i="75"/>
  <c r="X43" i="75" s="1"/>
  <c r="T43" i="75"/>
  <c r="U43" i="75" s="1"/>
  <c r="Z42" i="75"/>
  <c r="V42" i="75"/>
  <c r="X42" i="75" s="1"/>
  <c r="T42" i="75"/>
  <c r="U42" i="75" s="1"/>
  <c r="Z41" i="75"/>
  <c r="V41" i="75"/>
  <c r="X41" i="75" s="1"/>
  <c r="T41" i="75"/>
  <c r="U41" i="75" s="1"/>
  <c r="Z40" i="75"/>
  <c r="V40" i="75"/>
  <c r="X40" i="75" s="1"/>
  <c r="T40" i="75"/>
  <c r="U40" i="75" s="1"/>
  <c r="Z39" i="75"/>
  <c r="V39" i="75"/>
  <c r="X39" i="75" s="1"/>
  <c r="T39" i="75"/>
  <c r="U39" i="75" s="1"/>
  <c r="Z38" i="75"/>
  <c r="V38" i="75"/>
  <c r="X38" i="75" s="1"/>
  <c r="T38" i="75"/>
  <c r="U38" i="75" s="1"/>
  <c r="Z37" i="75"/>
  <c r="V37" i="75"/>
  <c r="X37" i="75" s="1"/>
  <c r="T37" i="75"/>
  <c r="U37" i="75" s="1"/>
  <c r="Z36" i="75"/>
  <c r="V36" i="75"/>
  <c r="X36" i="75" s="1"/>
  <c r="T36" i="75"/>
  <c r="U36" i="75" s="1"/>
  <c r="Z35" i="75"/>
  <c r="V35" i="75"/>
  <c r="X35" i="75" s="1"/>
  <c r="T35" i="75"/>
  <c r="U35" i="75" s="1"/>
  <c r="Z34" i="75"/>
  <c r="V34" i="75"/>
  <c r="X34" i="75" s="1"/>
  <c r="T34" i="75"/>
  <c r="U34" i="75" s="1"/>
  <c r="Z33" i="75"/>
  <c r="V33" i="75"/>
  <c r="X33" i="75" s="1"/>
  <c r="T33" i="75"/>
  <c r="U33" i="75" s="1"/>
  <c r="Z32" i="75"/>
  <c r="V32" i="75"/>
  <c r="X32" i="75" s="1"/>
  <c r="T32" i="75"/>
  <c r="U32" i="75" s="1"/>
  <c r="Z31" i="75"/>
  <c r="V31" i="75"/>
  <c r="X31" i="75" s="1"/>
  <c r="T31" i="75"/>
  <c r="U31" i="75" s="1"/>
  <c r="Z30" i="75"/>
  <c r="V30" i="75"/>
  <c r="X30" i="75" s="1"/>
  <c r="T30" i="75"/>
  <c r="U30" i="75" s="1"/>
  <c r="Z29" i="75"/>
  <c r="V29" i="75"/>
  <c r="X29" i="75" s="1"/>
  <c r="T29" i="75"/>
  <c r="U29" i="75" s="1"/>
  <c r="Z28" i="75"/>
  <c r="V28" i="75"/>
  <c r="X28" i="75" s="1"/>
  <c r="T28" i="75"/>
  <c r="U28" i="75" s="1"/>
  <c r="Z27" i="75"/>
  <c r="V27" i="75"/>
  <c r="X27" i="75" s="1"/>
  <c r="T27" i="75"/>
  <c r="U27" i="75" s="1"/>
  <c r="Z26" i="75"/>
  <c r="V26" i="75"/>
  <c r="X26" i="75" s="1"/>
  <c r="T26" i="75"/>
  <c r="U26" i="75" s="1"/>
  <c r="Z25" i="75"/>
  <c r="V25" i="75"/>
  <c r="X25" i="75" s="1"/>
  <c r="T25" i="75"/>
  <c r="U25" i="75" s="1"/>
  <c r="Z24" i="75"/>
  <c r="V24" i="75"/>
  <c r="X24" i="75" s="1"/>
  <c r="T24" i="75"/>
  <c r="U24" i="75" s="1"/>
  <c r="Z23" i="75"/>
  <c r="V23" i="75"/>
  <c r="X23" i="75" s="1"/>
  <c r="T23" i="75"/>
  <c r="U23" i="75" s="1"/>
  <c r="Z22" i="75"/>
  <c r="V22" i="75"/>
  <c r="X22" i="75" s="1"/>
  <c r="T22" i="75"/>
  <c r="U22" i="75" s="1"/>
  <c r="Z21" i="75"/>
  <c r="V21" i="75"/>
  <c r="X21" i="75" s="1"/>
  <c r="T21" i="75"/>
  <c r="U21" i="75" s="1"/>
  <c r="Z20" i="75"/>
  <c r="V20" i="75"/>
  <c r="X20" i="75" s="1"/>
  <c r="T20" i="75"/>
  <c r="U20" i="75" s="1"/>
  <c r="Z19" i="75"/>
  <c r="V19" i="75"/>
  <c r="X19" i="75" s="1"/>
  <c r="T19" i="75"/>
  <c r="U19" i="75" s="1"/>
  <c r="Z18" i="75"/>
  <c r="V18" i="75"/>
  <c r="X18" i="75" s="1"/>
  <c r="T18" i="75"/>
  <c r="U18" i="75" s="1"/>
  <c r="Z17" i="75"/>
  <c r="V17" i="75"/>
  <c r="X17" i="75" s="1"/>
  <c r="T17" i="75"/>
  <c r="U17" i="75" s="1"/>
  <c r="Z16" i="75"/>
  <c r="V16" i="75"/>
  <c r="X16" i="75" s="1"/>
  <c r="T16" i="75"/>
  <c r="U16" i="75" s="1"/>
  <c r="Z15" i="75"/>
  <c r="V15" i="75"/>
  <c r="X15" i="75" s="1"/>
  <c r="T15" i="75"/>
  <c r="U15" i="75" s="1"/>
  <c r="Z14" i="75"/>
  <c r="V14" i="75"/>
  <c r="X14" i="75" s="1"/>
  <c r="T14" i="75"/>
  <c r="U14" i="75" s="1"/>
  <c r="Z13" i="75"/>
  <c r="V13" i="75"/>
  <c r="X13" i="75" s="1"/>
  <c r="T13" i="75"/>
  <c r="U13" i="75" s="1"/>
  <c r="Z12" i="75"/>
  <c r="V12" i="75"/>
  <c r="X12" i="75" s="1"/>
  <c r="T12" i="75"/>
  <c r="U12" i="75" s="1"/>
  <c r="Z11" i="75"/>
  <c r="V11" i="75"/>
  <c r="X11" i="75" s="1"/>
  <c r="T11" i="75"/>
  <c r="U11" i="75" s="1"/>
  <c r="Z10" i="75"/>
  <c r="V10" i="75"/>
  <c r="X10" i="75" s="1"/>
  <c r="T10" i="75"/>
  <c r="U10" i="75" s="1"/>
  <c r="Z9" i="75"/>
  <c r="V9" i="75"/>
  <c r="X9" i="75" s="1"/>
  <c r="T9" i="75"/>
  <c r="U9" i="75" s="1"/>
  <c r="Z8" i="75"/>
  <c r="V8" i="75"/>
  <c r="X8" i="75" s="1"/>
  <c r="T8" i="75"/>
  <c r="U8" i="75" s="1"/>
  <c r="Z7" i="75"/>
  <c r="V7" i="75"/>
  <c r="X7" i="75" s="1"/>
  <c r="T7" i="75"/>
  <c r="U7" i="75" s="1"/>
  <c r="Z6" i="75"/>
  <c r="V6" i="75"/>
  <c r="X6" i="75" s="1"/>
  <c r="T6" i="75"/>
  <c r="U6" i="75" s="1"/>
  <c r="Z5" i="75"/>
  <c r="V5" i="75"/>
  <c r="X5" i="75" s="1"/>
  <c r="T5" i="75"/>
  <c r="U5" i="75" s="1"/>
  <c r="Z4" i="75"/>
  <c r="V4" i="75"/>
  <c r="X4" i="75" s="1"/>
  <c r="T4" i="75"/>
  <c r="U4" i="75" s="1"/>
  <c r="Z3" i="75"/>
  <c r="V3" i="75"/>
  <c r="X3" i="75" s="1"/>
  <c r="T3" i="75"/>
  <c r="U3" i="75" s="1"/>
  <c r="Z2" i="75"/>
  <c r="V2" i="75"/>
  <c r="X2" i="75" s="1"/>
  <c r="T2" i="75"/>
  <c r="U2" i="75" s="1"/>
  <c r="J9" i="77"/>
  <c r="I9" i="77"/>
  <c r="H9" i="77"/>
  <c r="G9" i="77"/>
  <c r="F9" i="77"/>
  <c r="E9" i="77"/>
  <c r="J8" i="77"/>
  <c r="H8" i="77"/>
  <c r="J7" i="77"/>
  <c r="I7" i="77"/>
  <c r="H7" i="77"/>
  <c r="J6" i="77"/>
  <c r="I6" i="77"/>
  <c r="H6" i="77"/>
  <c r="BY17" i="68"/>
  <c r="BX17" i="68"/>
  <c r="BW17" i="68"/>
  <c r="BV17" i="68"/>
  <c r="BU17" i="68"/>
  <c r="BT17" i="68"/>
  <c r="BS17" i="68"/>
  <c r="BK17" i="68"/>
  <c r="BJ17" i="68"/>
  <c r="BI17" i="68"/>
  <c r="BH17" i="68"/>
  <c r="BG17" i="68"/>
  <c r="BF17" i="68"/>
  <c r="BE17" i="68"/>
  <c r="AW17" i="68"/>
  <c r="AV17" i="68"/>
  <c r="AU17" i="68"/>
  <c r="AT17" i="68"/>
  <c r="AS17" i="68"/>
  <c r="AR17" i="68"/>
  <c r="AQ17" i="68"/>
  <c r="AN17" i="68"/>
  <c r="AM17" i="68"/>
  <c r="AL17" i="68"/>
  <c r="AK17" i="68"/>
  <c r="AJ17" i="68"/>
  <c r="AI17" i="68"/>
  <c r="AH17" i="68"/>
  <c r="AF17" i="68"/>
  <c r="AE17" i="68"/>
  <c r="AD17" i="68"/>
  <c r="AC17" i="68"/>
  <c r="AB17" i="68"/>
  <c r="AA17" i="68"/>
  <c r="Z17" i="68"/>
  <c r="X17" i="68"/>
  <c r="W17" i="68"/>
  <c r="V17" i="68"/>
  <c r="U17" i="68"/>
  <c r="T17" i="68"/>
  <c r="S17" i="68"/>
  <c r="R17" i="68"/>
  <c r="P17" i="68"/>
  <c r="O17" i="68"/>
  <c r="N17" i="68"/>
  <c r="M17" i="68"/>
  <c r="L17" i="68"/>
  <c r="K17" i="68"/>
  <c r="J17" i="68"/>
  <c r="H17" i="68"/>
  <c r="G17" i="68"/>
  <c r="F17" i="68"/>
  <c r="E17" i="68"/>
  <c r="D17" i="68"/>
  <c r="C17" i="68"/>
  <c r="B17" i="68"/>
  <c r="BY15" i="68"/>
  <c r="BX15" i="68"/>
  <c r="BW15" i="68"/>
  <c r="BV15" i="68"/>
  <c r="BU15" i="68"/>
  <c r="BT15" i="68"/>
  <c r="BS15" i="68"/>
  <c r="BQ15" i="68"/>
  <c r="BP15" i="68"/>
  <c r="BO15" i="68"/>
  <c r="BN15" i="68"/>
  <c r="BM15" i="68"/>
  <c r="BK15" i="68"/>
  <c r="BJ15" i="68"/>
  <c r="BI15" i="68"/>
  <c r="BH15" i="68"/>
  <c r="BG15" i="68"/>
  <c r="BF15" i="68"/>
  <c r="BE15" i="68"/>
  <c r="BC15" i="68"/>
  <c r="BB15" i="68"/>
  <c r="BA15" i="68"/>
  <c r="AZ15" i="68"/>
  <c r="AY15" i="68"/>
  <c r="AW15" i="68"/>
  <c r="AV15" i="68"/>
  <c r="AU15" i="68"/>
  <c r="AT15" i="68"/>
  <c r="AS15" i="68"/>
  <c r="AR15" i="68"/>
  <c r="AQ15" i="68"/>
  <c r="AN15" i="68"/>
  <c r="AM15" i="68"/>
  <c r="AL15" i="68"/>
  <c r="AK15" i="68"/>
  <c r="AJ15" i="68"/>
  <c r="AI15" i="68"/>
  <c r="AH15" i="68"/>
  <c r="BY14" i="68"/>
  <c r="BX14" i="68"/>
  <c r="BW14" i="68"/>
  <c r="BV14" i="68"/>
  <c r="BU14" i="68"/>
  <c r="BT14" i="68"/>
  <c r="BS14" i="68"/>
  <c r="BQ14" i="68"/>
  <c r="BP14" i="68"/>
  <c r="BO14" i="68"/>
  <c r="BN14" i="68"/>
  <c r="BM14" i="68"/>
  <c r="BK14" i="68"/>
  <c r="BJ14" i="68"/>
  <c r="BI14" i="68"/>
  <c r="BH14" i="68"/>
  <c r="BG14" i="68"/>
  <c r="BF14" i="68"/>
  <c r="BE14" i="68"/>
  <c r="BC14" i="68"/>
  <c r="BB14" i="68"/>
  <c r="BA14" i="68"/>
  <c r="AZ14" i="68"/>
  <c r="AY14" i="68"/>
  <c r="AW14" i="68"/>
  <c r="AV14" i="68"/>
  <c r="AU14" i="68"/>
  <c r="AT14" i="68"/>
  <c r="AS14" i="68"/>
  <c r="AR14" i="68"/>
  <c r="AQ14" i="68"/>
  <c r="AN14" i="68"/>
  <c r="AM14" i="68"/>
  <c r="AL14" i="68"/>
  <c r="AK14" i="68"/>
  <c r="AJ14" i="68"/>
  <c r="AI14" i="68"/>
  <c r="AH14" i="68"/>
  <c r="P14" i="68"/>
  <c r="BY13" i="68"/>
  <c r="BX13" i="68"/>
  <c r="BW13" i="68"/>
  <c r="BV13" i="68"/>
  <c r="BU13" i="68"/>
  <c r="BT13" i="68"/>
  <c r="BS13" i="68"/>
  <c r="BQ13" i="68"/>
  <c r="BP13" i="68"/>
  <c r="BO13" i="68"/>
  <c r="BN13" i="68"/>
  <c r="BM13" i="68"/>
  <c r="BK13" i="68"/>
  <c r="BJ13" i="68"/>
  <c r="BI13" i="68"/>
  <c r="BH13" i="68"/>
  <c r="BG13" i="68"/>
  <c r="BF13" i="68"/>
  <c r="BE13" i="68"/>
  <c r="BC13" i="68"/>
  <c r="BB13" i="68"/>
  <c r="BA13" i="68"/>
  <c r="AZ13" i="68"/>
  <c r="AY13" i="68"/>
  <c r="AW13" i="68"/>
  <c r="AV13" i="68"/>
  <c r="AU13" i="68"/>
  <c r="AT13" i="68"/>
  <c r="AS13" i="68"/>
  <c r="AR13" i="68"/>
  <c r="AQ13" i="68"/>
  <c r="AN13" i="68"/>
  <c r="AM13" i="68"/>
  <c r="AL13" i="68"/>
  <c r="AK13" i="68"/>
  <c r="AJ13" i="68"/>
  <c r="AI13" i="68"/>
  <c r="AH13" i="68"/>
  <c r="P13" i="68"/>
  <c r="BY12" i="68"/>
  <c r="BX12" i="68"/>
  <c r="BW12" i="68"/>
  <c r="BV12" i="68"/>
  <c r="BU12" i="68"/>
  <c r="BT12" i="68"/>
  <c r="BS12" i="68"/>
  <c r="BQ12" i="68"/>
  <c r="BP12" i="68"/>
  <c r="BO12" i="68"/>
  <c r="BN12" i="68"/>
  <c r="BM12" i="68"/>
  <c r="BK12" i="68"/>
  <c r="BJ12" i="68"/>
  <c r="BI12" i="68"/>
  <c r="BH12" i="68"/>
  <c r="BG12" i="68"/>
  <c r="BF12" i="68"/>
  <c r="BE12" i="68"/>
  <c r="BC12" i="68"/>
  <c r="BB12" i="68"/>
  <c r="BA12" i="68"/>
  <c r="AZ12" i="68"/>
  <c r="AY12" i="68"/>
  <c r="AW12" i="68"/>
  <c r="AV12" i="68"/>
  <c r="AU12" i="68"/>
  <c r="AT12" i="68"/>
  <c r="AS12" i="68"/>
  <c r="AR12" i="68"/>
  <c r="AQ12" i="68"/>
  <c r="AN12" i="68"/>
  <c r="AM12" i="68"/>
  <c r="AL12" i="68"/>
  <c r="AK12" i="68"/>
  <c r="AJ12" i="68"/>
  <c r="AI12" i="68"/>
  <c r="AH12" i="68"/>
  <c r="BY11" i="68"/>
  <c r="BX11" i="68"/>
  <c r="BW11" i="68"/>
  <c r="BV11" i="68"/>
  <c r="BU11" i="68"/>
  <c r="BT11" i="68"/>
  <c r="BS11" i="68"/>
  <c r="BQ11" i="68"/>
  <c r="BP11" i="68"/>
  <c r="BO11" i="68"/>
  <c r="BN11" i="68"/>
  <c r="BM11" i="68"/>
  <c r="BK11" i="68"/>
  <c r="BJ11" i="68"/>
  <c r="BI11" i="68"/>
  <c r="BH11" i="68"/>
  <c r="BG11" i="68"/>
  <c r="BF11" i="68"/>
  <c r="BE11" i="68"/>
  <c r="BC11" i="68"/>
  <c r="BB11" i="68"/>
  <c r="BA11" i="68"/>
  <c r="AZ11" i="68"/>
  <c r="AY11" i="68"/>
  <c r="AW11" i="68"/>
  <c r="AV11" i="68"/>
  <c r="AU11" i="68"/>
  <c r="AT11" i="68"/>
  <c r="AS11" i="68"/>
  <c r="AR11" i="68"/>
  <c r="AQ11" i="68"/>
  <c r="AN11" i="68"/>
  <c r="AM11" i="68"/>
  <c r="AL11" i="68"/>
  <c r="AK11" i="68"/>
  <c r="AJ11" i="68"/>
  <c r="AI11" i="68"/>
  <c r="AH11" i="68"/>
  <c r="BY10" i="68"/>
  <c r="BX10" i="68"/>
  <c r="BW10" i="68"/>
  <c r="BQ10" i="68"/>
  <c r="BP10" i="68"/>
  <c r="BO10" i="68"/>
  <c r="BN10" i="68"/>
  <c r="BM10" i="68"/>
  <c r="BK10" i="68"/>
  <c r="BJ10" i="68"/>
  <c r="BI10" i="68"/>
  <c r="BC10" i="68"/>
  <c r="BB10" i="68"/>
  <c r="BA10" i="68"/>
  <c r="AZ10" i="68"/>
  <c r="AY10" i="68"/>
  <c r="AW10" i="68"/>
  <c r="AV10" i="68"/>
  <c r="AU10" i="68"/>
  <c r="AN10" i="68"/>
  <c r="AM10" i="68"/>
  <c r="AL10" i="68"/>
  <c r="BY9" i="68"/>
  <c r="BX9" i="68"/>
  <c r="BW9" i="68"/>
  <c r="BQ9" i="68"/>
  <c r="BP9" i="68"/>
  <c r="BO9" i="68"/>
  <c r="BN9" i="68"/>
  <c r="BM9" i="68"/>
  <c r="BK9" i="68"/>
  <c r="BJ9" i="68"/>
  <c r="BI9" i="68"/>
  <c r="BC9" i="68"/>
  <c r="BB9" i="68"/>
  <c r="BA9" i="68"/>
  <c r="AZ9" i="68"/>
  <c r="AY9" i="68"/>
  <c r="AW9" i="68"/>
  <c r="AV9" i="68"/>
  <c r="AU9" i="68"/>
  <c r="AN9" i="68"/>
  <c r="AM9" i="68"/>
  <c r="AL9" i="68"/>
  <c r="CM8" i="68"/>
  <c r="CF8" i="68"/>
  <c r="BY8" i="68"/>
  <c r="BX8" i="68"/>
  <c r="BW8" i="68"/>
  <c r="BV8" i="68"/>
  <c r="BU8" i="68"/>
  <c r="BT8" i="68"/>
  <c r="BS8" i="68"/>
  <c r="BQ8" i="68"/>
  <c r="BP8" i="68"/>
  <c r="BO8" i="68"/>
  <c r="BN8" i="68"/>
  <c r="BM8" i="68"/>
  <c r="BK8" i="68"/>
  <c r="BJ8" i="68"/>
  <c r="BI8" i="68"/>
  <c r="BH8" i="68"/>
  <c r="BG8" i="68"/>
  <c r="BF8" i="68"/>
  <c r="BE8" i="68"/>
  <c r="BC8" i="68"/>
  <c r="BB8" i="68"/>
  <c r="BA8" i="68"/>
  <c r="AZ8" i="68"/>
  <c r="AY8" i="68"/>
  <c r="AW8" i="68"/>
  <c r="AV8" i="68"/>
  <c r="AU8" i="68"/>
  <c r="AT8" i="68"/>
  <c r="AS8" i="68"/>
  <c r="AR8" i="68"/>
  <c r="AQ8" i="68"/>
  <c r="AN8" i="68"/>
  <c r="AM8" i="68"/>
  <c r="AL8" i="68"/>
  <c r="AK8" i="68"/>
  <c r="AJ8" i="68"/>
  <c r="AI8" i="68"/>
  <c r="AH8" i="68"/>
  <c r="AF8" i="68"/>
  <c r="X8" i="68"/>
  <c r="W8" i="68"/>
  <c r="P8" i="68"/>
  <c r="O8" i="68"/>
  <c r="AE7" i="68"/>
  <c r="W7" i="68"/>
  <c r="BY6" i="68"/>
  <c r="BX6" i="68"/>
  <c r="BW6" i="68"/>
  <c r="BQ6" i="68"/>
  <c r="BP6" i="68"/>
  <c r="BO6" i="68"/>
  <c r="BN6" i="68"/>
  <c r="BM6" i="68"/>
  <c r="BK6" i="68"/>
  <c r="BJ6" i="68"/>
  <c r="BI6" i="68"/>
  <c r="BC6" i="68"/>
  <c r="BB6" i="68"/>
  <c r="BA6" i="68"/>
  <c r="AZ6" i="68"/>
  <c r="AY6" i="68"/>
  <c r="AW6" i="68"/>
  <c r="AV6" i="68"/>
  <c r="AU6" i="68"/>
  <c r="AN6" i="68"/>
  <c r="AM6" i="68"/>
  <c r="AL6" i="68"/>
  <c r="AK6" i="68"/>
  <c r="AJ6" i="68"/>
  <c r="AI6" i="68"/>
  <c r="AH6" i="68"/>
  <c r="O6" i="68"/>
  <c r="BY5" i="68"/>
  <c r="BX5" i="68"/>
  <c r="BW5" i="68"/>
  <c r="BQ5" i="68"/>
  <c r="BP5" i="68"/>
  <c r="BO5" i="68"/>
  <c r="BN5" i="68"/>
  <c r="BM5" i="68"/>
  <c r="BK5" i="68"/>
  <c r="BJ5" i="68"/>
  <c r="BI5" i="68"/>
  <c r="BC5" i="68"/>
  <c r="BB5" i="68"/>
  <c r="BA5" i="68"/>
  <c r="AZ5" i="68"/>
  <c r="AY5" i="68"/>
  <c r="AW5" i="68"/>
  <c r="AV5" i="68"/>
  <c r="AU5" i="68"/>
  <c r="AN5" i="68"/>
  <c r="AM5" i="68"/>
  <c r="AL5" i="68"/>
  <c r="AK5" i="68"/>
  <c r="AJ5" i="68"/>
  <c r="AI5" i="68"/>
  <c r="AH5" i="68"/>
  <c r="BY4" i="68"/>
  <c r="BX4" i="68"/>
  <c r="BW4" i="68"/>
  <c r="BV4" i="68"/>
  <c r="BU4" i="68"/>
  <c r="BT4" i="68"/>
  <c r="BS4" i="68"/>
  <c r="BQ4" i="68"/>
  <c r="BP4" i="68"/>
  <c r="BO4" i="68"/>
  <c r="BN4" i="68"/>
  <c r="BM4" i="68"/>
  <c r="BK4" i="68"/>
  <c r="BJ4" i="68"/>
  <c r="BI4" i="68"/>
  <c r="BH4" i="68"/>
  <c r="BG4" i="68"/>
  <c r="BF4" i="68"/>
  <c r="BE4" i="68"/>
  <c r="BC4" i="68"/>
  <c r="BB4" i="68"/>
  <c r="BA4" i="68"/>
  <c r="AZ4" i="68"/>
  <c r="AY4" i="68"/>
  <c r="AW4" i="68"/>
  <c r="AV4" i="68"/>
  <c r="AU4" i="68"/>
  <c r="AT4" i="68"/>
  <c r="AS4" i="68"/>
  <c r="AR4" i="68"/>
  <c r="AQ4" i="68"/>
  <c r="AN4" i="68"/>
  <c r="AM4" i="68"/>
  <c r="AL4" i="68"/>
  <c r="AK4" i="68"/>
  <c r="AJ4" i="68"/>
  <c r="AI4" i="68"/>
  <c r="AH4" i="68"/>
  <c r="AF4" i="68"/>
  <c r="X4" i="68"/>
  <c r="P4" i="68"/>
  <c r="CK2" i="68"/>
  <c r="CD2" i="68"/>
  <c r="AK2" i="68"/>
  <c r="AC2" i="68"/>
  <c r="U2" i="68"/>
  <c r="M2" i="68"/>
  <c r="I595" i="81"/>
  <c r="H595" i="81"/>
  <c r="G595" i="81"/>
  <c r="F595" i="81"/>
  <c r="C595" i="81"/>
  <c r="AL594" i="81"/>
  <c r="AN594" i="81" s="1"/>
  <c r="AK594" i="81"/>
  <c r="AJ594" i="81"/>
  <c r="AI594" i="81"/>
  <c r="AH594" i="81"/>
  <c r="V594" i="81"/>
  <c r="AM594" i="81" s="1"/>
  <c r="U594" i="81"/>
  <c r="AL593" i="81"/>
  <c r="AM593" i="81" s="1"/>
  <c r="AK593" i="81"/>
  <c r="AJ593" i="81"/>
  <c r="AI593" i="81"/>
  <c r="AH593" i="81"/>
  <c r="V593" i="81"/>
  <c r="U593" i="81"/>
  <c r="AM592" i="81"/>
  <c r="AL592" i="81"/>
  <c r="AK592" i="81"/>
  <c r="AJ592" i="81"/>
  <c r="AI592" i="81"/>
  <c r="AH592" i="81"/>
  <c r="V592" i="81"/>
  <c r="AN592" i="81" s="1"/>
  <c r="U592" i="81"/>
  <c r="AN591" i="81"/>
  <c r="AL591" i="81"/>
  <c r="AK591" i="81"/>
  <c r="AJ591" i="81"/>
  <c r="AI591" i="81"/>
  <c r="AH591" i="81"/>
  <c r="V591" i="81"/>
  <c r="AM591" i="81" s="1"/>
  <c r="U591" i="81"/>
  <c r="AL590" i="81"/>
  <c r="AN590" i="81" s="1"/>
  <c r="AK590" i="81"/>
  <c r="AJ590" i="81"/>
  <c r="AI590" i="81"/>
  <c r="AH590" i="81"/>
  <c r="V590" i="81"/>
  <c r="AM590" i="81" s="1"/>
  <c r="U590" i="81"/>
  <c r="AL589" i="81"/>
  <c r="AM589" i="81" s="1"/>
  <c r="AK589" i="81"/>
  <c r="AJ589" i="81"/>
  <c r="AI589" i="81"/>
  <c r="AH589" i="81"/>
  <c r="V589" i="81"/>
  <c r="U589" i="81"/>
  <c r="AN588" i="81"/>
  <c r="AM588" i="81"/>
  <c r="AL588" i="81"/>
  <c r="AK588" i="81"/>
  <c r="AJ588" i="81"/>
  <c r="AI588" i="81"/>
  <c r="AH588" i="81"/>
  <c r="V588" i="81"/>
  <c r="U588" i="81"/>
  <c r="AN587" i="81"/>
  <c r="AL587" i="81"/>
  <c r="AK587" i="81"/>
  <c r="AJ587" i="81"/>
  <c r="AI587" i="81"/>
  <c r="AH587" i="81"/>
  <c r="V587" i="81"/>
  <c r="AM587" i="81" s="1"/>
  <c r="U587" i="81"/>
  <c r="AL586" i="81"/>
  <c r="AN586" i="81" s="1"/>
  <c r="AK586" i="81"/>
  <c r="AJ586" i="81"/>
  <c r="AI586" i="81"/>
  <c r="AH586" i="81"/>
  <c r="V586" i="81"/>
  <c r="AM586" i="81" s="1"/>
  <c r="U586" i="81"/>
  <c r="AL585" i="81"/>
  <c r="AM585" i="81" s="1"/>
  <c r="AK585" i="81"/>
  <c r="AJ585" i="81"/>
  <c r="AI585" i="81"/>
  <c r="AH585" i="81"/>
  <c r="V585" i="81"/>
  <c r="U585" i="81"/>
  <c r="AN584" i="81"/>
  <c r="AM584" i="81"/>
  <c r="AL584" i="81"/>
  <c r="AK584" i="81"/>
  <c r="AJ584" i="81"/>
  <c r="AI584" i="81"/>
  <c r="AH584" i="81"/>
  <c r="V584" i="81"/>
  <c r="U584" i="81"/>
  <c r="AN583" i="81"/>
  <c r="AL583" i="81"/>
  <c r="AK583" i="81"/>
  <c r="AJ583" i="81"/>
  <c r="AI583" i="81"/>
  <c r="AH583" i="81"/>
  <c r="V583" i="81"/>
  <c r="AM583" i="81" s="1"/>
  <c r="U583" i="81"/>
  <c r="AL582" i="81"/>
  <c r="AN582" i="81" s="1"/>
  <c r="AK582" i="81"/>
  <c r="AJ582" i="81"/>
  <c r="AI582" i="81"/>
  <c r="AH582" i="81"/>
  <c r="V582" i="81"/>
  <c r="AM582" i="81" s="1"/>
  <c r="U582" i="81"/>
  <c r="AL581" i="81"/>
  <c r="AM581" i="81" s="1"/>
  <c r="AK581" i="81"/>
  <c r="AJ581" i="81"/>
  <c r="AI581" i="81"/>
  <c r="AH581" i="81"/>
  <c r="V581" i="81"/>
  <c r="U581" i="81"/>
  <c r="AN580" i="81"/>
  <c r="AM580" i="81"/>
  <c r="AL580" i="81"/>
  <c r="AK580" i="81"/>
  <c r="AJ580" i="81"/>
  <c r="AI580" i="81"/>
  <c r="AH580" i="81"/>
  <c r="V580" i="81"/>
  <c r="U580" i="81"/>
  <c r="AN579" i="81"/>
  <c r="AL579" i="81"/>
  <c r="AK579" i="81"/>
  <c r="AJ579" i="81"/>
  <c r="AI579" i="81"/>
  <c r="AH579" i="81"/>
  <c r="V579" i="81"/>
  <c r="AM579" i="81" s="1"/>
  <c r="U579" i="81"/>
  <c r="AL578" i="81"/>
  <c r="AN578" i="81" s="1"/>
  <c r="AK578" i="81"/>
  <c r="AJ578" i="81"/>
  <c r="AI578" i="81"/>
  <c r="AH578" i="81"/>
  <c r="V578" i="81"/>
  <c r="AM578" i="81" s="1"/>
  <c r="U578" i="81"/>
  <c r="AL577" i="81"/>
  <c r="AM577" i="81" s="1"/>
  <c r="AK577" i="81"/>
  <c r="AJ577" i="81"/>
  <c r="AI577" i="81"/>
  <c r="AH577" i="81"/>
  <c r="V577" i="81"/>
  <c r="U577" i="81"/>
  <c r="AN576" i="81"/>
  <c r="AM576" i="81"/>
  <c r="AL576" i="81"/>
  <c r="AK576" i="81"/>
  <c r="AJ576" i="81"/>
  <c r="AI576" i="81"/>
  <c r="AH576" i="81"/>
  <c r="V576" i="81"/>
  <c r="U576" i="81"/>
  <c r="AN575" i="81"/>
  <c r="AL575" i="81"/>
  <c r="AK575" i="81"/>
  <c r="AJ575" i="81"/>
  <c r="AI575" i="81"/>
  <c r="AH575" i="81"/>
  <c r="V575" i="81"/>
  <c r="AM575" i="81" s="1"/>
  <c r="U575" i="81"/>
  <c r="AL574" i="81"/>
  <c r="AN574" i="81" s="1"/>
  <c r="AK574" i="81"/>
  <c r="AJ574" i="81"/>
  <c r="AI574" i="81"/>
  <c r="AH574" i="81"/>
  <c r="V574" i="81"/>
  <c r="AM574" i="81" s="1"/>
  <c r="U574" i="81"/>
  <c r="AL573" i="81"/>
  <c r="AK573" i="81"/>
  <c r="AJ573" i="81"/>
  <c r="AI573" i="81"/>
  <c r="AH573" i="81"/>
  <c r="V573" i="81"/>
  <c r="AM573" i="81" s="1"/>
  <c r="U573" i="81"/>
  <c r="AL572" i="81"/>
  <c r="AK572" i="81"/>
  <c r="AJ572" i="81"/>
  <c r="AI572" i="81"/>
  <c r="AH572" i="81"/>
  <c r="V572" i="81"/>
  <c r="U572" i="81"/>
  <c r="AN571" i="81"/>
  <c r="AM571" i="81"/>
  <c r="AL571" i="81"/>
  <c r="AK571" i="81"/>
  <c r="AJ571" i="81"/>
  <c r="AI571" i="81"/>
  <c r="AH571" i="81"/>
  <c r="V571" i="81"/>
  <c r="U571" i="81"/>
  <c r="AN570" i="81"/>
  <c r="AL570" i="81"/>
  <c r="AK570" i="81"/>
  <c r="AJ570" i="81"/>
  <c r="AI570" i="81"/>
  <c r="AH570" i="81"/>
  <c r="V570" i="81"/>
  <c r="AM570" i="81" s="1"/>
  <c r="U570" i="81"/>
  <c r="AL569" i="81"/>
  <c r="AN569" i="81" s="1"/>
  <c r="AK569" i="81"/>
  <c r="AJ569" i="81"/>
  <c r="AI569" i="81"/>
  <c r="AH569" i="81"/>
  <c r="V569" i="81"/>
  <c r="AM569" i="81" s="1"/>
  <c r="U569" i="81"/>
  <c r="AL568" i="81"/>
  <c r="AK568" i="81"/>
  <c r="AJ568" i="81"/>
  <c r="AI568" i="81"/>
  <c r="AH568" i="81"/>
  <c r="V568" i="81"/>
  <c r="U568" i="81"/>
  <c r="AN567" i="81"/>
  <c r="AM567" i="81"/>
  <c r="AL567" i="81"/>
  <c r="AK567" i="81"/>
  <c r="AJ567" i="81"/>
  <c r="AI567" i="81"/>
  <c r="AH567" i="81"/>
  <c r="V567" i="81"/>
  <c r="U567" i="81"/>
  <c r="AN566" i="81"/>
  <c r="AL566" i="81"/>
  <c r="AK566" i="81"/>
  <c r="AJ566" i="81"/>
  <c r="AI566" i="81"/>
  <c r="AH566" i="81"/>
  <c r="V566" i="81"/>
  <c r="AM566" i="81" s="1"/>
  <c r="U566" i="81"/>
  <c r="AL565" i="81"/>
  <c r="AN565" i="81" s="1"/>
  <c r="AK565" i="81"/>
  <c r="AJ565" i="81"/>
  <c r="AI565" i="81"/>
  <c r="AH565" i="81"/>
  <c r="V565" i="81"/>
  <c r="AM565" i="81" s="1"/>
  <c r="U565" i="81"/>
  <c r="AL564" i="81"/>
  <c r="AK564" i="81"/>
  <c r="AJ564" i="81"/>
  <c r="AI564" i="81"/>
  <c r="AH564" i="81"/>
  <c r="V564" i="81"/>
  <c r="U564" i="81"/>
  <c r="AN563" i="81"/>
  <c r="AM563" i="81"/>
  <c r="AL563" i="81"/>
  <c r="AK563" i="81"/>
  <c r="AJ563" i="81"/>
  <c r="AI563" i="81"/>
  <c r="AH563" i="81"/>
  <c r="V563" i="81"/>
  <c r="U563" i="81"/>
  <c r="AN562" i="81"/>
  <c r="AL562" i="81"/>
  <c r="AK562" i="81"/>
  <c r="AJ562" i="81"/>
  <c r="AI562" i="81"/>
  <c r="AH562" i="81"/>
  <c r="V562" i="81"/>
  <c r="AM562" i="81" s="1"/>
  <c r="U562" i="81"/>
  <c r="AL561" i="81"/>
  <c r="AK561" i="81"/>
  <c r="AJ561" i="81"/>
  <c r="AI561" i="81"/>
  <c r="AH561" i="81"/>
  <c r="V561" i="81"/>
  <c r="AM561" i="81" s="1"/>
  <c r="U561" i="81"/>
  <c r="AL560" i="81"/>
  <c r="AK560" i="81"/>
  <c r="AJ560" i="81"/>
  <c r="AI560" i="81"/>
  <c r="AH560" i="81"/>
  <c r="V560" i="81"/>
  <c r="U560" i="81"/>
  <c r="AN559" i="81"/>
  <c r="AM559" i="81"/>
  <c r="AL559" i="81"/>
  <c r="AK559" i="81"/>
  <c r="AJ559" i="81"/>
  <c r="AI559" i="81"/>
  <c r="AH559" i="81"/>
  <c r="V559" i="81"/>
  <c r="U559" i="81"/>
  <c r="AN558" i="81"/>
  <c r="AL558" i="81"/>
  <c r="AK558" i="81"/>
  <c r="AJ558" i="81"/>
  <c r="AI558" i="81"/>
  <c r="AH558" i="81"/>
  <c r="V558" i="81"/>
  <c r="AM558" i="81" s="1"/>
  <c r="U558" i="81"/>
  <c r="AL557" i="81"/>
  <c r="AK557" i="81"/>
  <c r="AJ557" i="81"/>
  <c r="AI557" i="81"/>
  <c r="AH557" i="81"/>
  <c r="V557" i="81"/>
  <c r="AM557" i="81" s="1"/>
  <c r="U557" i="81"/>
  <c r="AL556" i="81"/>
  <c r="AK556" i="81"/>
  <c r="AJ556" i="81"/>
  <c r="AI556" i="81"/>
  <c r="AH556" i="81"/>
  <c r="V556" i="81"/>
  <c r="U556" i="81"/>
  <c r="AN555" i="81"/>
  <c r="AM555" i="81"/>
  <c r="AL555" i="81"/>
  <c r="AK555" i="81"/>
  <c r="AJ555" i="81"/>
  <c r="AI555" i="81"/>
  <c r="AH555" i="81"/>
  <c r="V555" i="81"/>
  <c r="U555" i="81"/>
  <c r="AN554" i="81"/>
  <c r="AL554" i="81"/>
  <c r="AK554" i="81"/>
  <c r="AJ554" i="81"/>
  <c r="AI554" i="81"/>
  <c r="AH554" i="81"/>
  <c r="V554" i="81"/>
  <c r="AM554" i="81" s="1"/>
  <c r="U554" i="81"/>
  <c r="AL553" i="81"/>
  <c r="AN553" i="81" s="1"/>
  <c r="AK553" i="81"/>
  <c r="AJ553" i="81"/>
  <c r="AI553" i="81"/>
  <c r="AH553" i="81"/>
  <c r="V553" i="81"/>
  <c r="AM553" i="81" s="1"/>
  <c r="U553" i="81"/>
  <c r="AL552" i="81"/>
  <c r="AK552" i="81"/>
  <c r="AJ552" i="81"/>
  <c r="AI552" i="81"/>
  <c r="AH552" i="81"/>
  <c r="V552" i="81"/>
  <c r="U552" i="81"/>
  <c r="AN551" i="81"/>
  <c r="AM551" i="81"/>
  <c r="AL551" i="81"/>
  <c r="AK551" i="81"/>
  <c r="AJ551" i="81"/>
  <c r="AI551" i="81"/>
  <c r="AH551" i="81"/>
  <c r="V551" i="81"/>
  <c r="U551" i="81"/>
  <c r="AN550" i="81"/>
  <c r="AL550" i="81"/>
  <c r="AK550" i="81"/>
  <c r="AJ550" i="81"/>
  <c r="AI550" i="81"/>
  <c r="AH550" i="81"/>
  <c r="V550" i="81"/>
  <c r="AM550" i="81" s="1"/>
  <c r="U550" i="81"/>
  <c r="AL549" i="81"/>
  <c r="AN549" i="81" s="1"/>
  <c r="AK549" i="81"/>
  <c r="AJ549" i="81"/>
  <c r="AI549" i="81"/>
  <c r="AH549" i="81"/>
  <c r="V549" i="81"/>
  <c r="AM549" i="81" s="1"/>
  <c r="U549" i="81"/>
  <c r="AL548" i="81"/>
  <c r="AK548" i="81"/>
  <c r="AJ548" i="81"/>
  <c r="AI548" i="81"/>
  <c r="AH548" i="81"/>
  <c r="V548" i="81"/>
  <c r="U548" i="81"/>
  <c r="AN547" i="81"/>
  <c r="AM547" i="81"/>
  <c r="AL547" i="81"/>
  <c r="AK547" i="81"/>
  <c r="AJ547" i="81"/>
  <c r="AI547" i="81"/>
  <c r="AH547" i="81"/>
  <c r="V547" i="81"/>
  <c r="U547" i="81"/>
  <c r="AN546" i="81"/>
  <c r="AL546" i="81"/>
  <c r="AM546" i="81" s="1"/>
  <c r="AK546" i="81"/>
  <c r="AJ546" i="81"/>
  <c r="AI546" i="81"/>
  <c r="AH546" i="81"/>
  <c r="U546" i="81"/>
  <c r="AN545" i="81"/>
  <c r="AL545" i="81"/>
  <c r="AK545" i="81"/>
  <c r="AJ545" i="81"/>
  <c r="AI545" i="81"/>
  <c r="AH545" i="81"/>
  <c r="V545" i="81"/>
  <c r="AM545" i="81" s="1"/>
  <c r="U545" i="81"/>
  <c r="AL544" i="81"/>
  <c r="AK544" i="81"/>
  <c r="AJ544" i="81"/>
  <c r="AI544" i="81"/>
  <c r="AH544" i="81"/>
  <c r="V544" i="81"/>
  <c r="AM544" i="81" s="1"/>
  <c r="U544" i="81"/>
  <c r="AL543" i="81"/>
  <c r="AK543" i="81"/>
  <c r="AJ543" i="81"/>
  <c r="AI543" i="81"/>
  <c r="AH543" i="81"/>
  <c r="V543" i="81"/>
  <c r="U543" i="81"/>
  <c r="AN542" i="81"/>
  <c r="AM542" i="81"/>
  <c r="AL542" i="81"/>
  <c r="AK542" i="81"/>
  <c r="AJ542" i="81"/>
  <c r="AI542" i="81"/>
  <c r="AH542" i="81"/>
  <c r="V542" i="81"/>
  <c r="U542" i="81"/>
  <c r="AN541" i="81"/>
  <c r="AL541" i="81"/>
  <c r="AK541" i="81"/>
  <c r="AJ541" i="81"/>
  <c r="AI541" i="81"/>
  <c r="AH541" i="81"/>
  <c r="V541" i="81"/>
  <c r="AM541" i="81" s="1"/>
  <c r="U541" i="81"/>
  <c r="AL540" i="81"/>
  <c r="AN540" i="81" s="1"/>
  <c r="AK540" i="81"/>
  <c r="AJ540" i="81"/>
  <c r="AI540" i="81"/>
  <c r="AH540" i="81"/>
  <c r="V540" i="81"/>
  <c r="AM540" i="81" s="1"/>
  <c r="U540" i="81"/>
  <c r="AL539" i="81"/>
  <c r="AK539" i="81"/>
  <c r="AJ539" i="81"/>
  <c r="AI539" i="81"/>
  <c r="AH539" i="81"/>
  <c r="V539" i="81"/>
  <c r="U539" i="81"/>
  <c r="AN538" i="81"/>
  <c r="AM538" i="81"/>
  <c r="AL538" i="81"/>
  <c r="AK538" i="81"/>
  <c r="AJ538" i="81"/>
  <c r="AI538" i="81"/>
  <c r="AH538" i="81"/>
  <c r="V538" i="81"/>
  <c r="U538" i="81"/>
  <c r="AN537" i="81"/>
  <c r="AL537" i="81"/>
  <c r="AK537" i="81"/>
  <c r="AJ537" i="81"/>
  <c r="AI537" i="81"/>
  <c r="AH537" i="81"/>
  <c r="V537" i="81"/>
  <c r="AM537" i="81" s="1"/>
  <c r="U537" i="81"/>
  <c r="AL536" i="81"/>
  <c r="AN536" i="81" s="1"/>
  <c r="AK536" i="81"/>
  <c r="AJ536" i="81"/>
  <c r="AI536" i="81"/>
  <c r="AH536" i="81"/>
  <c r="V536" i="81"/>
  <c r="AM536" i="81" s="1"/>
  <c r="U536" i="81"/>
  <c r="AL535" i="81"/>
  <c r="AK535" i="81"/>
  <c r="AJ535" i="81"/>
  <c r="AI535" i="81"/>
  <c r="AH535" i="81"/>
  <c r="V535" i="81"/>
  <c r="U535" i="81"/>
  <c r="AM534" i="81"/>
  <c r="AL534" i="81"/>
  <c r="AK534" i="81"/>
  <c r="AJ534" i="81"/>
  <c r="AI534" i="81"/>
  <c r="AH534" i="81"/>
  <c r="V534" i="81"/>
  <c r="AN534" i="81" s="1"/>
  <c r="U534" i="81"/>
  <c r="AN533" i="81"/>
  <c r="AL533" i="81"/>
  <c r="AK533" i="81"/>
  <c r="AJ533" i="81"/>
  <c r="AI533" i="81"/>
  <c r="AH533" i="81"/>
  <c r="V533" i="81"/>
  <c r="AM533" i="81" s="1"/>
  <c r="U533" i="81"/>
  <c r="AL532" i="81"/>
  <c r="AK532" i="81"/>
  <c r="AJ532" i="81"/>
  <c r="AI532" i="81"/>
  <c r="AH532" i="81"/>
  <c r="V532" i="81"/>
  <c r="AM532" i="81" s="1"/>
  <c r="U532" i="81"/>
  <c r="AM531" i="81"/>
  <c r="AL531" i="81"/>
  <c r="AN531" i="81" s="1"/>
  <c r="AK531" i="81"/>
  <c r="AJ531" i="81"/>
  <c r="AI531" i="81"/>
  <c r="AH531" i="81"/>
  <c r="V531" i="81"/>
  <c r="U531" i="81"/>
  <c r="AN530" i="81"/>
  <c r="AM530" i="81"/>
  <c r="AL530" i="81"/>
  <c r="AK530" i="81"/>
  <c r="AJ530" i="81"/>
  <c r="AI530" i="81"/>
  <c r="AH530" i="81"/>
  <c r="V530" i="81"/>
  <c r="U530" i="81"/>
  <c r="AL529" i="81"/>
  <c r="AK529" i="81"/>
  <c r="AJ529" i="81"/>
  <c r="AI529" i="81"/>
  <c r="AH529" i="81"/>
  <c r="V529" i="81"/>
  <c r="AM529" i="81" s="1"/>
  <c r="U529" i="81"/>
  <c r="C529" i="81"/>
  <c r="AL528" i="81"/>
  <c r="AN528" i="81" s="1"/>
  <c r="AK528" i="81"/>
  <c r="AJ528" i="81"/>
  <c r="AI528" i="81"/>
  <c r="AH528" i="81"/>
  <c r="V528" i="81"/>
  <c r="U528" i="81"/>
  <c r="C528" i="81"/>
  <c r="AN527" i="81"/>
  <c r="AL527" i="81"/>
  <c r="AK527" i="81"/>
  <c r="AJ527" i="81"/>
  <c r="AI527" i="81"/>
  <c r="AH527" i="81"/>
  <c r="V527" i="81"/>
  <c r="AM527" i="81" s="1"/>
  <c r="U527" i="81"/>
  <c r="C527" i="81"/>
  <c r="AM526" i="81"/>
  <c r="AL526" i="81"/>
  <c r="AN526" i="81" s="1"/>
  <c r="AK526" i="81"/>
  <c r="AJ526" i="81"/>
  <c r="AI526" i="81"/>
  <c r="AH526" i="81"/>
  <c r="V526" i="81"/>
  <c r="U526" i="81"/>
  <c r="C526" i="81"/>
  <c r="AL525" i="81"/>
  <c r="AK525" i="81"/>
  <c r="AJ525" i="81"/>
  <c r="AI525" i="81"/>
  <c r="AH525" i="81"/>
  <c r="V525" i="81"/>
  <c r="AM525" i="81" s="1"/>
  <c r="U525" i="81"/>
  <c r="AL524" i="81"/>
  <c r="AK524" i="81"/>
  <c r="AJ524" i="81"/>
  <c r="AI524" i="81"/>
  <c r="AH524" i="81"/>
  <c r="V524" i="81"/>
  <c r="AM524" i="81" s="1"/>
  <c r="U524" i="81"/>
  <c r="C524" i="81"/>
  <c r="AN523" i="81"/>
  <c r="AM523" i="81"/>
  <c r="AL523" i="81"/>
  <c r="AK523" i="81"/>
  <c r="AJ523" i="81"/>
  <c r="AI523" i="81"/>
  <c r="AH523" i="81"/>
  <c r="V523" i="81"/>
  <c r="U523" i="81"/>
  <c r="C523" i="81"/>
  <c r="AL522" i="81"/>
  <c r="AN522" i="81" s="1"/>
  <c r="AK522" i="81"/>
  <c r="AJ522" i="81"/>
  <c r="AI522" i="81"/>
  <c r="AH522" i="81"/>
  <c r="V522" i="81"/>
  <c r="U522" i="81"/>
  <c r="C522" i="81"/>
  <c r="AN521" i="81"/>
  <c r="AL521" i="81"/>
  <c r="AK521" i="81"/>
  <c r="AJ521" i="81"/>
  <c r="AI521" i="81"/>
  <c r="AH521" i="81"/>
  <c r="V521" i="81"/>
  <c r="AM521" i="81" s="1"/>
  <c r="U521" i="81"/>
  <c r="C521" i="81"/>
  <c r="AL520" i="81"/>
  <c r="AK520" i="81"/>
  <c r="AJ520" i="81"/>
  <c r="AI520" i="81"/>
  <c r="AH520" i="81"/>
  <c r="V520" i="81"/>
  <c r="AM520" i="81" s="1"/>
  <c r="U520" i="81"/>
  <c r="C520" i="81"/>
  <c r="AN519" i="81"/>
  <c r="AM519" i="81"/>
  <c r="AL519" i="81"/>
  <c r="AK519" i="81"/>
  <c r="AJ519" i="81"/>
  <c r="AI519" i="81"/>
  <c r="AH519" i="81"/>
  <c r="V519" i="81"/>
  <c r="U519" i="81"/>
  <c r="C519" i="81"/>
  <c r="AL518" i="81"/>
  <c r="AK518" i="81"/>
  <c r="AJ518" i="81"/>
  <c r="AI518" i="81"/>
  <c r="AH518" i="81"/>
  <c r="V518" i="81"/>
  <c r="AM518" i="81" s="1"/>
  <c r="U518" i="81"/>
  <c r="C518" i="81"/>
  <c r="AM517" i="81"/>
  <c r="AL517" i="81"/>
  <c r="AK517" i="81"/>
  <c r="AJ517" i="81"/>
  <c r="AI517" i="81"/>
  <c r="AH517" i="81"/>
  <c r="V517" i="81"/>
  <c r="AN517" i="81" s="1"/>
  <c r="U517" i="81"/>
  <c r="C517" i="81"/>
  <c r="AM516" i="81"/>
  <c r="AL516" i="81"/>
  <c r="AN516" i="81" s="1"/>
  <c r="AK516" i="81"/>
  <c r="AJ516" i="81"/>
  <c r="AI516" i="81"/>
  <c r="AH516" i="81"/>
  <c r="V516" i="81"/>
  <c r="U516" i="81"/>
  <c r="C516" i="81"/>
  <c r="AL515" i="81"/>
  <c r="AK515" i="81"/>
  <c r="AJ515" i="81"/>
  <c r="AI515" i="81"/>
  <c r="AH515" i="81"/>
  <c r="V515" i="81"/>
  <c r="AM515" i="81" s="1"/>
  <c r="U515" i="81"/>
  <c r="AL514" i="81"/>
  <c r="AN514" i="81" s="1"/>
  <c r="AK514" i="81"/>
  <c r="AJ514" i="81"/>
  <c r="AI514" i="81"/>
  <c r="AH514" i="81"/>
  <c r="V514" i="81"/>
  <c r="AM514" i="81" s="1"/>
  <c r="U514" i="81"/>
  <c r="AL513" i="81"/>
  <c r="AK513" i="81"/>
  <c r="AJ513" i="81"/>
  <c r="AI513" i="81"/>
  <c r="AH513" i="81"/>
  <c r="V513" i="81"/>
  <c r="AM513" i="81" s="1"/>
  <c r="U513" i="81"/>
  <c r="AL512" i="81"/>
  <c r="AN512" i="81" s="1"/>
  <c r="AK512" i="81"/>
  <c r="AJ512" i="81"/>
  <c r="AI512" i="81"/>
  <c r="AH512" i="81"/>
  <c r="V512" i="81"/>
  <c r="U512" i="81"/>
  <c r="AN511" i="81"/>
  <c r="AM511" i="81"/>
  <c r="AL511" i="81"/>
  <c r="AK511" i="81"/>
  <c r="AJ511" i="81"/>
  <c r="AI511" i="81"/>
  <c r="AH511" i="81"/>
  <c r="V511" i="81"/>
  <c r="U511" i="81"/>
  <c r="AN510" i="81"/>
  <c r="AL510" i="81"/>
  <c r="AK510" i="81"/>
  <c r="AJ510" i="81"/>
  <c r="AI510" i="81"/>
  <c r="AH510" i="81"/>
  <c r="V510" i="81"/>
  <c r="AM510" i="81" s="1"/>
  <c r="U510" i="81"/>
  <c r="AM509" i="81"/>
  <c r="AL509" i="81"/>
  <c r="AK509" i="81"/>
  <c r="AJ509" i="81"/>
  <c r="AI509" i="81"/>
  <c r="AH509" i="81"/>
  <c r="V509" i="81"/>
  <c r="U509" i="81"/>
  <c r="AN508" i="81"/>
  <c r="AL508" i="81"/>
  <c r="AM508" i="81" s="1"/>
  <c r="AK508" i="81"/>
  <c r="AJ508" i="81"/>
  <c r="AI508" i="81"/>
  <c r="AH508" i="81"/>
  <c r="V508" i="81"/>
  <c r="U508" i="81"/>
  <c r="AL507" i="81"/>
  <c r="AK507" i="81"/>
  <c r="AJ507" i="81"/>
  <c r="AI507" i="81"/>
  <c r="AH507" i="81"/>
  <c r="V507" i="81"/>
  <c r="AM507" i="81" s="1"/>
  <c r="U507" i="81"/>
  <c r="AL506" i="81"/>
  <c r="AN506" i="81" s="1"/>
  <c r="AK506" i="81"/>
  <c r="AJ506" i="81"/>
  <c r="AI506" i="81"/>
  <c r="AH506" i="81"/>
  <c r="V506" i="81"/>
  <c r="AM506" i="81" s="1"/>
  <c r="U506" i="81"/>
  <c r="AL505" i="81"/>
  <c r="AK505" i="81"/>
  <c r="AJ505" i="81"/>
  <c r="AI505" i="81"/>
  <c r="AH505" i="81"/>
  <c r="V505" i="81"/>
  <c r="AM505" i="81" s="1"/>
  <c r="U505" i="81"/>
  <c r="AL504" i="81"/>
  <c r="AN504" i="81" s="1"/>
  <c r="AK504" i="81"/>
  <c r="AJ504" i="81"/>
  <c r="AI504" i="81"/>
  <c r="AH504" i="81"/>
  <c r="V504" i="81"/>
  <c r="U504" i="81"/>
  <c r="AN503" i="81"/>
  <c r="AM503" i="81"/>
  <c r="AL503" i="81"/>
  <c r="AK503" i="81"/>
  <c r="AJ503" i="81"/>
  <c r="AI503" i="81"/>
  <c r="AH503" i="81"/>
  <c r="V503" i="81"/>
  <c r="U503" i="81"/>
  <c r="AN502" i="81"/>
  <c r="AL502" i="81"/>
  <c r="AK502" i="81"/>
  <c r="AJ502" i="81"/>
  <c r="AI502" i="81"/>
  <c r="AH502" i="81"/>
  <c r="V502" i="81"/>
  <c r="AM502" i="81" s="1"/>
  <c r="U502" i="81"/>
  <c r="AM501" i="81"/>
  <c r="AL501" i="81"/>
  <c r="AK501" i="81"/>
  <c r="AJ501" i="81"/>
  <c r="AI501" i="81"/>
  <c r="AH501" i="81"/>
  <c r="V501" i="81"/>
  <c r="U501" i="81"/>
  <c r="AN500" i="81"/>
  <c r="AL500" i="81"/>
  <c r="AM500" i="81" s="1"/>
  <c r="AK500" i="81"/>
  <c r="AJ500" i="81"/>
  <c r="AI500" i="81"/>
  <c r="AH500" i="81"/>
  <c r="V500" i="81"/>
  <c r="U500" i="81"/>
  <c r="AL499" i="81"/>
  <c r="AK499" i="81"/>
  <c r="AJ499" i="81"/>
  <c r="AI499" i="81"/>
  <c r="AH499" i="81"/>
  <c r="V499" i="81"/>
  <c r="AM499" i="81" s="1"/>
  <c r="U499" i="81"/>
  <c r="AL498" i="81"/>
  <c r="AN498" i="81" s="1"/>
  <c r="AK498" i="81"/>
  <c r="AJ498" i="81"/>
  <c r="AI498" i="81"/>
  <c r="AH498" i="81"/>
  <c r="V498" i="81"/>
  <c r="AM498" i="81" s="1"/>
  <c r="U498" i="81"/>
  <c r="AL497" i="81"/>
  <c r="AK497" i="81"/>
  <c r="AJ497" i="81"/>
  <c r="AI497" i="81"/>
  <c r="AH497" i="81"/>
  <c r="V497" i="81"/>
  <c r="AM497" i="81" s="1"/>
  <c r="U497" i="81"/>
  <c r="AL496" i="81"/>
  <c r="AN496" i="81" s="1"/>
  <c r="AK496" i="81"/>
  <c r="AJ496" i="81"/>
  <c r="AI496" i="81"/>
  <c r="AH496" i="81"/>
  <c r="V496" i="81"/>
  <c r="U496" i="81"/>
  <c r="AN495" i="81"/>
  <c r="AM495" i="81"/>
  <c r="AL495" i="81"/>
  <c r="AK495" i="81"/>
  <c r="AJ495" i="81"/>
  <c r="AI495" i="81"/>
  <c r="AH495" i="81"/>
  <c r="V495" i="81"/>
  <c r="U495" i="81"/>
  <c r="AN494" i="81"/>
  <c r="AL494" i="81"/>
  <c r="AK494" i="81"/>
  <c r="AJ494" i="81"/>
  <c r="AI494" i="81"/>
  <c r="AH494" i="81"/>
  <c r="V494" i="81"/>
  <c r="AM494" i="81" s="1"/>
  <c r="U494" i="81"/>
  <c r="AM493" i="81"/>
  <c r="AL493" i="81"/>
  <c r="AK493" i="81"/>
  <c r="AJ493" i="81"/>
  <c r="AI493" i="81"/>
  <c r="AH493" i="81"/>
  <c r="V493" i="81"/>
  <c r="U493" i="81"/>
  <c r="AN492" i="81"/>
  <c r="AL492" i="81"/>
  <c r="AM492" i="81" s="1"/>
  <c r="AK492" i="81"/>
  <c r="AJ492" i="81"/>
  <c r="AI492" i="81"/>
  <c r="AH492" i="81"/>
  <c r="V492" i="81"/>
  <c r="U492" i="81"/>
  <c r="AL491" i="81"/>
  <c r="AK491" i="81"/>
  <c r="AJ491" i="81"/>
  <c r="AI491" i="81"/>
  <c r="AH491" i="81"/>
  <c r="V491" i="81"/>
  <c r="AM491" i="81" s="1"/>
  <c r="U491" i="81"/>
  <c r="AL490" i="81"/>
  <c r="AK490" i="81"/>
  <c r="AJ490" i="81"/>
  <c r="AI490" i="81"/>
  <c r="AH490" i="81"/>
  <c r="V490" i="81"/>
  <c r="AM490" i="81" s="1"/>
  <c r="U490" i="81"/>
  <c r="AL489" i="81"/>
  <c r="AK489" i="81"/>
  <c r="AJ489" i="81"/>
  <c r="AI489" i="81"/>
  <c r="AH489" i="81"/>
  <c r="V489" i="81"/>
  <c r="AM489" i="81" s="1"/>
  <c r="U489" i="81"/>
  <c r="AL488" i="81"/>
  <c r="AN488" i="81" s="1"/>
  <c r="AK488" i="81"/>
  <c r="AJ488" i="81"/>
  <c r="AI488" i="81"/>
  <c r="AH488" i="81"/>
  <c r="V488" i="81"/>
  <c r="U488" i="81"/>
  <c r="AN487" i="81"/>
  <c r="AM487" i="81"/>
  <c r="AL487" i="81"/>
  <c r="AK487" i="81"/>
  <c r="AJ487" i="81"/>
  <c r="AI487" i="81"/>
  <c r="AH487" i="81"/>
  <c r="V487" i="81"/>
  <c r="U487" i="81"/>
  <c r="AN486" i="81"/>
  <c r="AL486" i="81"/>
  <c r="AK486" i="81"/>
  <c r="AJ486" i="81"/>
  <c r="AI486" i="81"/>
  <c r="AH486" i="81"/>
  <c r="V486" i="81"/>
  <c r="AM486" i="81" s="1"/>
  <c r="U486" i="81"/>
  <c r="AL485" i="81"/>
  <c r="AM485" i="81" s="1"/>
  <c r="AK485" i="81"/>
  <c r="AJ485" i="81"/>
  <c r="AI485" i="81"/>
  <c r="AH485" i="81"/>
  <c r="U485" i="81"/>
  <c r="AL484" i="81"/>
  <c r="AM484" i="81" s="1"/>
  <c r="AK484" i="81"/>
  <c r="AJ484" i="81"/>
  <c r="AI484" i="81"/>
  <c r="AH484" i="81"/>
  <c r="U484" i="81"/>
  <c r="AL483" i="81"/>
  <c r="AN483" i="81" s="1"/>
  <c r="AK483" i="81"/>
  <c r="AJ483" i="81"/>
  <c r="AI483" i="81"/>
  <c r="AH483" i="81"/>
  <c r="V483" i="81"/>
  <c r="AM483" i="81" s="1"/>
  <c r="U483" i="81"/>
  <c r="AL482" i="81"/>
  <c r="AN482" i="81" s="1"/>
  <c r="AK482" i="81"/>
  <c r="AJ482" i="81"/>
  <c r="AI482" i="81"/>
  <c r="AH482" i="81"/>
  <c r="V482" i="81"/>
  <c r="U482" i="81"/>
  <c r="AN481" i="81"/>
  <c r="AM481" i="81"/>
  <c r="AL481" i="81"/>
  <c r="AK481" i="81"/>
  <c r="AJ481" i="81"/>
  <c r="AI481" i="81"/>
  <c r="AH481" i="81"/>
  <c r="V481" i="81"/>
  <c r="U481" i="81"/>
  <c r="AN480" i="81"/>
  <c r="AL480" i="81"/>
  <c r="AK480" i="81"/>
  <c r="AJ480" i="81"/>
  <c r="AI480" i="81"/>
  <c r="AH480" i="81"/>
  <c r="V480" i="81"/>
  <c r="AM480" i="81" s="1"/>
  <c r="U480" i="81"/>
  <c r="AL479" i="81"/>
  <c r="AN479" i="81" s="1"/>
  <c r="AK479" i="81"/>
  <c r="AJ479" i="81"/>
  <c r="AI479" i="81"/>
  <c r="AH479" i="81"/>
  <c r="V479" i="81"/>
  <c r="AM479" i="81" s="1"/>
  <c r="U479" i="81"/>
  <c r="AL478" i="81"/>
  <c r="AN478" i="81" s="1"/>
  <c r="AK478" i="81"/>
  <c r="AJ478" i="81"/>
  <c r="AI478" i="81"/>
  <c r="AH478" i="81"/>
  <c r="V478" i="81"/>
  <c r="U478" i="81"/>
  <c r="AN477" i="81"/>
  <c r="AM477" i="81"/>
  <c r="AL477" i="81"/>
  <c r="AK477" i="81"/>
  <c r="AJ477" i="81"/>
  <c r="AI477" i="81"/>
  <c r="AH477" i="81"/>
  <c r="V477" i="81"/>
  <c r="U477" i="81"/>
  <c r="AN476" i="81"/>
  <c r="AL476" i="81"/>
  <c r="AK476" i="81"/>
  <c r="AJ476" i="81"/>
  <c r="AI476" i="81"/>
  <c r="AH476" i="81"/>
  <c r="V476" i="81"/>
  <c r="AM476" i="81" s="1"/>
  <c r="U476" i="81"/>
  <c r="AL475" i="81"/>
  <c r="AN475" i="81" s="1"/>
  <c r="AK475" i="81"/>
  <c r="AJ475" i="81"/>
  <c r="AI475" i="81"/>
  <c r="AH475" i="81"/>
  <c r="V475" i="81"/>
  <c r="AM475" i="81" s="1"/>
  <c r="U475" i="81"/>
  <c r="AL474" i="81"/>
  <c r="AK474" i="81"/>
  <c r="AJ474" i="81"/>
  <c r="AI474" i="81"/>
  <c r="AH474" i="81"/>
  <c r="V474" i="81"/>
  <c r="U474" i="81"/>
  <c r="AN473" i="81"/>
  <c r="AM473" i="81"/>
  <c r="AL473" i="81"/>
  <c r="AK473" i="81"/>
  <c r="AJ473" i="81"/>
  <c r="AI473" i="81"/>
  <c r="AH473" i="81"/>
  <c r="V473" i="81"/>
  <c r="U473" i="81"/>
  <c r="AN472" i="81"/>
  <c r="AL472" i="81"/>
  <c r="AK472" i="81"/>
  <c r="AJ472" i="81"/>
  <c r="AI472" i="81"/>
  <c r="AH472" i="81"/>
  <c r="V472" i="81"/>
  <c r="AM472" i="81" s="1"/>
  <c r="U472" i="81"/>
  <c r="AL471" i="81"/>
  <c r="AK471" i="81"/>
  <c r="AJ471" i="81"/>
  <c r="AI471" i="81"/>
  <c r="AH471" i="81"/>
  <c r="V471" i="81"/>
  <c r="AM471" i="81" s="1"/>
  <c r="U471" i="81"/>
  <c r="AL470" i="81"/>
  <c r="AK470" i="81"/>
  <c r="AJ470" i="81"/>
  <c r="AI470" i="81"/>
  <c r="AH470" i="81"/>
  <c r="V470" i="81"/>
  <c r="U470" i="81"/>
  <c r="AN469" i="81"/>
  <c r="AM469" i="81"/>
  <c r="AL469" i="81"/>
  <c r="AK469" i="81"/>
  <c r="AJ469" i="81"/>
  <c r="AI469" i="81"/>
  <c r="AH469" i="81"/>
  <c r="V469" i="81"/>
  <c r="U469" i="81"/>
  <c r="AN468" i="81"/>
  <c r="AL468" i="81"/>
  <c r="AK468" i="81"/>
  <c r="AJ468" i="81"/>
  <c r="AI468" i="81"/>
  <c r="AH468" i="81"/>
  <c r="V468" i="81"/>
  <c r="AM468" i="81" s="1"/>
  <c r="U468" i="81"/>
  <c r="AL467" i="81"/>
  <c r="AK467" i="81"/>
  <c r="AJ467" i="81"/>
  <c r="AI467" i="81"/>
  <c r="AH467" i="81"/>
  <c r="V467" i="81"/>
  <c r="AM467" i="81" s="1"/>
  <c r="U467" i="81"/>
  <c r="AL466" i="81"/>
  <c r="AK466" i="81"/>
  <c r="AJ466" i="81"/>
  <c r="AI466" i="81"/>
  <c r="AH466" i="81"/>
  <c r="V466" i="81"/>
  <c r="U466" i="81"/>
  <c r="AN465" i="81"/>
  <c r="AM465" i="81"/>
  <c r="AL465" i="81"/>
  <c r="AK465" i="81"/>
  <c r="AJ465" i="81"/>
  <c r="AI465" i="81"/>
  <c r="AH465" i="81"/>
  <c r="V465" i="81"/>
  <c r="U465" i="81"/>
  <c r="C465" i="81"/>
  <c r="AL464" i="81"/>
  <c r="AK464" i="81"/>
  <c r="AJ464" i="81"/>
  <c r="AI464" i="81"/>
  <c r="AH464" i="81"/>
  <c r="V464" i="81"/>
  <c r="AM464" i="81" s="1"/>
  <c r="U464" i="81"/>
  <c r="C464" i="81"/>
  <c r="AN463" i="81"/>
  <c r="AM463" i="81"/>
  <c r="AL463" i="81"/>
  <c r="AK463" i="81"/>
  <c r="AJ463" i="81"/>
  <c r="AI463" i="81"/>
  <c r="AH463" i="81"/>
  <c r="V463" i="81"/>
  <c r="U463" i="81"/>
  <c r="C463" i="81"/>
  <c r="AL462" i="81"/>
  <c r="AK462" i="81"/>
  <c r="AJ462" i="81"/>
  <c r="AI462" i="81"/>
  <c r="AH462" i="81"/>
  <c r="V462" i="81"/>
  <c r="AM462" i="81" s="1"/>
  <c r="U462" i="81"/>
  <c r="C462" i="81"/>
  <c r="AN461" i="81"/>
  <c r="AM461" i="81"/>
  <c r="AL461" i="81"/>
  <c r="AK461" i="81"/>
  <c r="AJ461" i="81"/>
  <c r="AI461" i="81"/>
  <c r="AH461" i="81"/>
  <c r="V461" i="81"/>
  <c r="U461" i="81"/>
  <c r="C461" i="81"/>
  <c r="AL460" i="81"/>
  <c r="AK460" i="81"/>
  <c r="AJ460" i="81"/>
  <c r="AI460" i="81"/>
  <c r="AH460" i="81"/>
  <c r="V460" i="81"/>
  <c r="AM460" i="81" s="1"/>
  <c r="U460" i="81"/>
  <c r="C460" i="81"/>
  <c r="AM459" i="81"/>
  <c r="AL459" i="81"/>
  <c r="AK459" i="81"/>
  <c r="AJ459" i="81"/>
  <c r="AI459" i="81"/>
  <c r="AH459" i="81"/>
  <c r="V459" i="81"/>
  <c r="AN459" i="81" s="1"/>
  <c r="U459" i="81"/>
  <c r="C459" i="81"/>
  <c r="AM458" i="81"/>
  <c r="AL458" i="81"/>
  <c r="AN458" i="81" s="1"/>
  <c r="AK458" i="81"/>
  <c r="AJ458" i="81"/>
  <c r="AI458" i="81"/>
  <c r="AH458" i="81"/>
  <c r="AA458" i="81"/>
  <c r="V458" i="81"/>
  <c r="U458" i="81"/>
  <c r="AM457" i="81"/>
  <c r="AL457" i="81"/>
  <c r="AK457" i="81"/>
  <c r="AJ457" i="81"/>
  <c r="AI457" i="81"/>
  <c r="AH457" i="81"/>
  <c r="AA457" i="81"/>
  <c r="V457" i="81"/>
  <c r="AN457" i="81" s="1"/>
  <c r="U457" i="81"/>
  <c r="AM456" i="81"/>
  <c r="AL456" i="81"/>
  <c r="AN456" i="81" s="1"/>
  <c r="AK456" i="81"/>
  <c r="AJ456" i="81"/>
  <c r="AI456" i="81"/>
  <c r="AH456" i="81"/>
  <c r="AA456" i="81"/>
  <c r="V456" i="81"/>
  <c r="U456" i="81"/>
  <c r="AM455" i="81"/>
  <c r="AL455" i="81"/>
  <c r="AK455" i="81"/>
  <c r="AJ455" i="81"/>
  <c r="AI455" i="81"/>
  <c r="AH455" i="81"/>
  <c r="V455" i="81"/>
  <c r="AN455" i="81" s="1"/>
  <c r="U455" i="81"/>
  <c r="AN454" i="81"/>
  <c r="AL454" i="81"/>
  <c r="AK454" i="81"/>
  <c r="AJ454" i="81"/>
  <c r="AI454" i="81"/>
  <c r="AH454" i="81"/>
  <c r="V454" i="81"/>
  <c r="AM454" i="81" s="1"/>
  <c r="U454" i="81"/>
  <c r="AL453" i="81"/>
  <c r="AK453" i="81"/>
  <c r="AJ453" i="81"/>
  <c r="AI453" i="81"/>
  <c r="AH453" i="81"/>
  <c r="V453" i="81"/>
  <c r="AM453" i="81" s="1"/>
  <c r="U453" i="81"/>
  <c r="AL452" i="81"/>
  <c r="AK452" i="81"/>
  <c r="AJ452" i="81"/>
  <c r="AI452" i="81"/>
  <c r="AH452" i="81"/>
  <c r="V452" i="81"/>
  <c r="U452" i="81"/>
  <c r="AM451" i="81"/>
  <c r="AL451" i="81"/>
  <c r="AK451" i="81"/>
  <c r="AJ451" i="81"/>
  <c r="AI451" i="81"/>
  <c r="AH451" i="81"/>
  <c r="V451" i="81"/>
  <c r="AN451" i="81" s="1"/>
  <c r="U451" i="81"/>
  <c r="AN450" i="81"/>
  <c r="AL450" i="81"/>
  <c r="AK450" i="81"/>
  <c r="AJ450" i="81"/>
  <c r="AI450" i="81"/>
  <c r="AH450" i="81"/>
  <c r="V450" i="81"/>
  <c r="AM450" i="81" s="1"/>
  <c r="U450" i="81"/>
  <c r="AL449" i="81"/>
  <c r="AK449" i="81"/>
  <c r="AJ449" i="81"/>
  <c r="AI449" i="81"/>
  <c r="AH449" i="81"/>
  <c r="V449" i="81"/>
  <c r="AM449" i="81" s="1"/>
  <c r="U449" i="81"/>
  <c r="AL448" i="81"/>
  <c r="AK448" i="81"/>
  <c r="AJ448" i="81"/>
  <c r="AI448" i="81"/>
  <c r="AH448" i="81"/>
  <c r="V448" i="81"/>
  <c r="U448" i="81"/>
  <c r="AM447" i="81"/>
  <c r="AL447" i="81"/>
  <c r="AK447" i="81"/>
  <c r="AJ447" i="81"/>
  <c r="AI447" i="81"/>
  <c r="AH447" i="81"/>
  <c r="V447" i="81"/>
  <c r="AN447" i="81" s="1"/>
  <c r="U447" i="81"/>
  <c r="AN446" i="81"/>
  <c r="AL446" i="81"/>
  <c r="AK446" i="81"/>
  <c r="AJ446" i="81"/>
  <c r="AI446" i="81"/>
  <c r="AH446" i="81"/>
  <c r="V446" i="81"/>
  <c r="AM446" i="81" s="1"/>
  <c r="U446" i="81"/>
  <c r="AL445" i="81"/>
  <c r="AK445" i="81"/>
  <c r="AJ445" i="81"/>
  <c r="AI445" i="81"/>
  <c r="AH445" i="81"/>
  <c r="V445" i="81"/>
  <c r="AM445" i="81" s="1"/>
  <c r="AL444" i="81"/>
  <c r="AK444" i="81"/>
  <c r="AJ444" i="81"/>
  <c r="AI444" i="81"/>
  <c r="AH444" i="81"/>
  <c r="V444" i="81"/>
  <c r="AM444" i="81" s="1"/>
  <c r="AL443" i="81"/>
  <c r="AK443" i="81"/>
  <c r="AJ443" i="81"/>
  <c r="AI443" i="81"/>
  <c r="AH443" i="81"/>
  <c r="V443" i="81"/>
  <c r="AM443" i="81" s="1"/>
  <c r="AL442" i="81"/>
  <c r="AK442" i="81"/>
  <c r="AJ442" i="81"/>
  <c r="AI442" i="81"/>
  <c r="AH442" i="81"/>
  <c r="V442" i="81"/>
  <c r="AM442" i="81" s="1"/>
  <c r="AL441" i="81"/>
  <c r="AK441" i="81"/>
  <c r="AJ441" i="81"/>
  <c r="AI441" i="81"/>
  <c r="AH441" i="81"/>
  <c r="V441" i="81"/>
  <c r="AM441" i="81" s="1"/>
  <c r="AL440" i="81"/>
  <c r="AK440" i="81"/>
  <c r="AJ440" i="81"/>
  <c r="AI440" i="81"/>
  <c r="AH440" i="81"/>
  <c r="V440" i="81"/>
  <c r="AM440" i="81" s="1"/>
  <c r="AL439" i="81"/>
  <c r="AK439" i="81"/>
  <c r="AJ439" i="81"/>
  <c r="AI439" i="81"/>
  <c r="AH439" i="81"/>
  <c r="V439" i="81"/>
  <c r="AM439" i="81" s="1"/>
  <c r="C439" i="81"/>
  <c r="AL438" i="81"/>
  <c r="AK438" i="81"/>
  <c r="AJ438" i="81"/>
  <c r="AI438" i="81"/>
  <c r="AH438" i="81"/>
  <c r="V438" i="81"/>
  <c r="AL437" i="81"/>
  <c r="AK437" i="81"/>
  <c r="AJ437" i="81"/>
  <c r="AI437" i="81"/>
  <c r="AH437" i="81"/>
  <c r="V437" i="81"/>
  <c r="C437" i="81"/>
  <c r="AM436" i="81"/>
  <c r="AL436" i="81"/>
  <c r="AK436" i="81"/>
  <c r="AJ436" i="81"/>
  <c r="AI436" i="81"/>
  <c r="AH436" i="81"/>
  <c r="V436" i="81"/>
  <c r="AN436" i="81" s="1"/>
  <c r="AM435" i="81"/>
  <c r="AL435" i="81"/>
  <c r="AK435" i="81"/>
  <c r="AJ435" i="81"/>
  <c r="AI435" i="81"/>
  <c r="AH435" i="81"/>
  <c r="V435" i="81"/>
  <c r="AN435" i="81" s="1"/>
  <c r="C435" i="81"/>
  <c r="AN434" i="81"/>
  <c r="AL434" i="81"/>
  <c r="AK434" i="81"/>
  <c r="AJ434" i="81"/>
  <c r="AI434" i="81"/>
  <c r="AH434" i="81"/>
  <c r="V434" i="81"/>
  <c r="AM434" i="81" s="1"/>
  <c r="C434" i="81"/>
  <c r="AL433" i="81"/>
  <c r="AN433" i="81" s="1"/>
  <c r="AK433" i="81"/>
  <c r="AJ433" i="81"/>
  <c r="AI433" i="81"/>
  <c r="AH433" i="81"/>
  <c r="V433" i="81"/>
  <c r="AM433" i="81" s="1"/>
  <c r="C433" i="81"/>
  <c r="AL432" i="81"/>
  <c r="AK432" i="81"/>
  <c r="AJ432" i="81"/>
  <c r="AI432" i="81"/>
  <c r="AH432" i="81"/>
  <c r="V432" i="81"/>
  <c r="C432" i="81"/>
  <c r="AM431" i="81"/>
  <c r="AL431" i="81"/>
  <c r="AK431" i="81"/>
  <c r="AJ431" i="81"/>
  <c r="AI431" i="81"/>
  <c r="AH431" i="81"/>
  <c r="V431" i="81"/>
  <c r="AN431" i="81" s="1"/>
  <c r="C431" i="81"/>
  <c r="AN430" i="81"/>
  <c r="AL430" i="81"/>
  <c r="AK430" i="81"/>
  <c r="AJ430" i="81"/>
  <c r="AI430" i="81"/>
  <c r="AH430" i="81"/>
  <c r="V430" i="81"/>
  <c r="AM430" i="81" s="1"/>
  <c r="U430" i="81"/>
  <c r="AL429" i="81"/>
  <c r="AN429" i="81" s="1"/>
  <c r="AK429" i="81"/>
  <c r="AJ429" i="81"/>
  <c r="AI429" i="81"/>
  <c r="AH429" i="81"/>
  <c r="V429" i="81"/>
  <c r="AM429" i="81" s="1"/>
  <c r="U429" i="81"/>
  <c r="C429" i="81"/>
  <c r="AM428" i="81"/>
  <c r="AL428" i="81"/>
  <c r="AK428" i="81"/>
  <c r="AJ428" i="81"/>
  <c r="AI428" i="81"/>
  <c r="AH428" i="81"/>
  <c r="V428" i="81"/>
  <c r="AN428" i="81" s="1"/>
  <c r="U428" i="81"/>
  <c r="AN427" i="81"/>
  <c r="AL427" i="81"/>
  <c r="AK427" i="81"/>
  <c r="AJ427" i="81"/>
  <c r="AI427" i="81"/>
  <c r="AH427" i="81"/>
  <c r="V427" i="81"/>
  <c r="AM427" i="81" s="1"/>
  <c r="U427" i="81"/>
  <c r="AL426" i="81"/>
  <c r="AN426" i="81" s="1"/>
  <c r="AK426" i="81"/>
  <c r="AJ426" i="81"/>
  <c r="AI426" i="81"/>
  <c r="AH426" i="81"/>
  <c r="V426" i="81"/>
  <c r="AM426" i="81" s="1"/>
  <c r="U426" i="81"/>
  <c r="C426" i="81"/>
  <c r="AM425" i="81"/>
  <c r="AL425" i="81"/>
  <c r="AK425" i="81"/>
  <c r="AJ425" i="81"/>
  <c r="AI425" i="81"/>
  <c r="AH425" i="81"/>
  <c r="V425" i="81"/>
  <c r="AN425" i="81" s="1"/>
  <c r="U425" i="81"/>
  <c r="C425" i="81"/>
  <c r="AL424" i="81"/>
  <c r="AK424" i="81"/>
  <c r="AJ424" i="81"/>
  <c r="AI424" i="81"/>
  <c r="AH424" i="81"/>
  <c r="V424" i="81"/>
  <c r="AM424" i="81" s="1"/>
  <c r="U424" i="81"/>
  <c r="C424" i="81"/>
  <c r="AM423" i="81"/>
  <c r="AL423" i="81"/>
  <c r="AK423" i="81"/>
  <c r="AJ423" i="81"/>
  <c r="AI423" i="81"/>
  <c r="AH423" i="81"/>
  <c r="V423" i="81"/>
  <c r="AN423" i="81" s="1"/>
  <c r="U423" i="81"/>
  <c r="C423" i="81"/>
  <c r="AL422" i="81"/>
  <c r="AN422" i="81" s="1"/>
  <c r="AK422" i="81"/>
  <c r="AJ422" i="81"/>
  <c r="AI422" i="81"/>
  <c r="AH422" i="81"/>
  <c r="V422" i="81"/>
  <c r="AM422" i="81" s="1"/>
  <c r="U422" i="81"/>
  <c r="AL421" i="81"/>
  <c r="AK421" i="81"/>
  <c r="AJ421" i="81"/>
  <c r="AI421" i="81"/>
  <c r="AH421" i="81"/>
  <c r="V421" i="81"/>
  <c r="U421" i="81"/>
  <c r="C421" i="81"/>
  <c r="AN420" i="81"/>
  <c r="AL420" i="81"/>
  <c r="AK420" i="81"/>
  <c r="AJ420" i="81"/>
  <c r="AI420" i="81"/>
  <c r="AH420" i="81"/>
  <c r="V420" i="81"/>
  <c r="AM420" i="81" s="1"/>
  <c r="U420" i="81"/>
  <c r="C420" i="81"/>
  <c r="AL419" i="81"/>
  <c r="AK419" i="81"/>
  <c r="AJ419" i="81"/>
  <c r="AI419" i="81"/>
  <c r="AH419" i="81"/>
  <c r="V419" i="81"/>
  <c r="U419" i="81"/>
  <c r="C419" i="81"/>
  <c r="AN418" i="81"/>
  <c r="AL418" i="81"/>
  <c r="AK418" i="81"/>
  <c r="AJ418" i="81"/>
  <c r="AI418" i="81"/>
  <c r="AH418" i="81"/>
  <c r="V418" i="81"/>
  <c r="AM418" i="81" s="1"/>
  <c r="U418" i="81"/>
  <c r="C418" i="81"/>
  <c r="AL417" i="81"/>
  <c r="AK417" i="81"/>
  <c r="AJ417" i="81"/>
  <c r="AI417" i="81"/>
  <c r="AH417" i="81"/>
  <c r="V417" i="81"/>
  <c r="U417" i="81"/>
  <c r="C417" i="81"/>
  <c r="AN416" i="81"/>
  <c r="AL416" i="81"/>
  <c r="AK416" i="81"/>
  <c r="AJ416" i="81"/>
  <c r="AI416" i="81"/>
  <c r="AH416" i="81"/>
  <c r="V416" i="81"/>
  <c r="AM416" i="81" s="1"/>
  <c r="U416" i="81"/>
  <c r="C416" i="81"/>
  <c r="AL415" i="81"/>
  <c r="AK415" i="81"/>
  <c r="AJ415" i="81"/>
  <c r="AI415" i="81"/>
  <c r="AH415" i="81"/>
  <c r="V415" i="81"/>
  <c r="U415" i="81"/>
  <c r="C415" i="81"/>
  <c r="AN414" i="81"/>
  <c r="AL414" i="81"/>
  <c r="AK414" i="81"/>
  <c r="AJ414" i="81"/>
  <c r="AI414" i="81"/>
  <c r="AH414" i="81"/>
  <c r="V414" i="81"/>
  <c r="AM414" i="81" s="1"/>
  <c r="U414" i="81"/>
  <c r="C414" i="81"/>
  <c r="AL413" i="81"/>
  <c r="AK413" i="81"/>
  <c r="AJ413" i="81"/>
  <c r="AI413" i="81"/>
  <c r="AH413" i="81"/>
  <c r="V413" i="81"/>
  <c r="U413" i="81"/>
  <c r="C413" i="81"/>
  <c r="AN412" i="81"/>
  <c r="AL412" i="81"/>
  <c r="AK412" i="81"/>
  <c r="AJ412" i="81"/>
  <c r="AI412" i="81"/>
  <c r="AH412" i="81"/>
  <c r="V412" i="81"/>
  <c r="AM412" i="81" s="1"/>
  <c r="U412" i="81"/>
  <c r="AL411" i="81"/>
  <c r="AK411" i="81"/>
  <c r="AJ411" i="81"/>
  <c r="AI411" i="81"/>
  <c r="AH411" i="81"/>
  <c r="V411" i="81"/>
  <c r="AM411" i="81" s="1"/>
  <c r="U411" i="81"/>
  <c r="AL410" i="81"/>
  <c r="AK410" i="81"/>
  <c r="AJ410" i="81"/>
  <c r="AI410" i="81"/>
  <c r="AH410" i="81"/>
  <c r="V410" i="81"/>
  <c r="U410" i="81"/>
  <c r="AN409" i="81"/>
  <c r="AM409" i="81"/>
  <c r="AL409" i="81"/>
  <c r="AK409" i="81"/>
  <c r="AJ409" i="81"/>
  <c r="AI409" i="81"/>
  <c r="AH409" i="81"/>
  <c r="V409" i="81"/>
  <c r="U409" i="81"/>
  <c r="C409" i="81"/>
  <c r="AL408" i="81"/>
  <c r="AK408" i="81"/>
  <c r="AJ408" i="81"/>
  <c r="AI408" i="81"/>
  <c r="AH408" i="81"/>
  <c r="V408" i="81"/>
  <c r="AM408" i="81" s="1"/>
  <c r="U408" i="81"/>
  <c r="C408" i="81"/>
  <c r="AM407" i="81"/>
  <c r="AL407" i="81"/>
  <c r="AK407" i="81"/>
  <c r="AJ407" i="81"/>
  <c r="AI407" i="81"/>
  <c r="AH407" i="81"/>
  <c r="V407" i="81"/>
  <c r="AN407" i="81" s="1"/>
  <c r="U407" i="81"/>
  <c r="AN406" i="81"/>
  <c r="AL406" i="81"/>
  <c r="AK406" i="81"/>
  <c r="AJ406" i="81"/>
  <c r="AI406" i="81"/>
  <c r="AH406" i="81"/>
  <c r="V406" i="81"/>
  <c r="AM406" i="81" s="1"/>
  <c r="U406" i="81"/>
  <c r="C406" i="81"/>
  <c r="AL405" i="81"/>
  <c r="AK405" i="81"/>
  <c r="AJ405" i="81"/>
  <c r="AI405" i="81"/>
  <c r="AH405" i="81"/>
  <c r="V405" i="81"/>
  <c r="U405" i="81"/>
  <c r="C405" i="81"/>
  <c r="AN404" i="81"/>
  <c r="AL404" i="81"/>
  <c r="AK404" i="81"/>
  <c r="AJ404" i="81"/>
  <c r="AI404" i="81"/>
  <c r="AH404" i="81"/>
  <c r="V404" i="81"/>
  <c r="AM404" i="81" s="1"/>
  <c r="U404" i="81"/>
  <c r="C404" i="81"/>
  <c r="AL403" i="81"/>
  <c r="AK403" i="81"/>
  <c r="AJ403" i="81"/>
  <c r="AI403" i="81"/>
  <c r="AH403" i="81"/>
  <c r="V403" i="81"/>
  <c r="U403" i="81"/>
  <c r="C403" i="81"/>
  <c r="AN402" i="81"/>
  <c r="AL402" i="81"/>
  <c r="AK402" i="81"/>
  <c r="AJ402" i="81"/>
  <c r="AI402" i="81"/>
  <c r="AH402" i="81"/>
  <c r="V402" i="81"/>
  <c r="AM402" i="81" s="1"/>
  <c r="U402" i="81"/>
  <c r="C402" i="81"/>
  <c r="AL401" i="81"/>
  <c r="AK401" i="81"/>
  <c r="AJ401" i="81"/>
  <c r="AI401" i="81"/>
  <c r="AH401" i="81"/>
  <c r="V401" i="81"/>
  <c r="U401" i="81"/>
  <c r="C401" i="81"/>
  <c r="AN400" i="81"/>
  <c r="AL400" i="81"/>
  <c r="AK400" i="81"/>
  <c r="AJ400" i="81"/>
  <c r="AI400" i="81"/>
  <c r="AH400" i="81"/>
  <c r="V400" i="81"/>
  <c r="AM400" i="81" s="1"/>
  <c r="U400" i="81"/>
  <c r="C400" i="81"/>
  <c r="AL399" i="81"/>
  <c r="AK399" i="81"/>
  <c r="AJ399" i="81"/>
  <c r="AI399" i="81"/>
  <c r="AH399" i="81"/>
  <c r="V399" i="81"/>
  <c r="U399" i="81"/>
  <c r="AN398" i="81"/>
  <c r="AM398" i="81"/>
  <c r="AL398" i="81"/>
  <c r="AK398" i="81"/>
  <c r="AJ398" i="81"/>
  <c r="AI398" i="81"/>
  <c r="AH398" i="81"/>
  <c r="V398" i="81"/>
  <c r="U398" i="81"/>
  <c r="AN397" i="81"/>
  <c r="AL397" i="81"/>
  <c r="AK397" i="81"/>
  <c r="AJ397" i="81"/>
  <c r="AI397" i="81"/>
  <c r="AH397" i="81"/>
  <c r="V397" i="81"/>
  <c r="AM397" i="81" s="1"/>
  <c r="U397" i="81"/>
  <c r="C397" i="81"/>
  <c r="AL396" i="81"/>
  <c r="AK396" i="81"/>
  <c r="AJ396" i="81"/>
  <c r="AI396" i="81"/>
  <c r="AH396" i="81"/>
  <c r="V396" i="81"/>
  <c r="U396" i="81"/>
  <c r="C396" i="81"/>
  <c r="AN395" i="81"/>
  <c r="AL395" i="81"/>
  <c r="AK395" i="81"/>
  <c r="AJ395" i="81"/>
  <c r="AI395" i="81"/>
  <c r="AH395" i="81"/>
  <c r="V395" i="81"/>
  <c r="AM395" i="81" s="1"/>
  <c r="U395" i="81"/>
  <c r="C395" i="81"/>
  <c r="AL394" i="81"/>
  <c r="AK394" i="81"/>
  <c r="AJ394" i="81"/>
  <c r="AI394" i="81"/>
  <c r="AH394" i="81"/>
  <c r="V394" i="81"/>
  <c r="U394" i="81"/>
  <c r="C394" i="81"/>
  <c r="AN393" i="81"/>
  <c r="AL393" i="81"/>
  <c r="AK393" i="81"/>
  <c r="AJ393" i="81"/>
  <c r="AI393" i="81"/>
  <c r="AH393" i="81"/>
  <c r="V393" i="81"/>
  <c r="AM393" i="81" s="1"/>
  <c r="U393" i="81"/>
  <c r="C393" i="81"/>
  <c r="AL392" i="81"/>
  <c r="AK392" i="81"/>
  <c r="AJ392" i="81"/>
  <c r="AI392" i="81"/>
  <c r="AH392" i="81"/>
  <c r="V392" i="81"/>
  <c r="U392" i="81"/>
  <c r="AN391" i="81"/>
  <c r="AM391" i="81"/>
  <c r="AL391" i="81"/>
  <c r="AK391" i="81"/>
  <c r="AJ391" i="81"/>
  <c r="AI391" i="81"/>
  <c r="AH391" i="81"/>
  <c r="V391" i="81"/>
  <c r="U391" i="81"/>
  <c r="AN390" i="81"/>
  <c r="AL390" i="81"/>
  <c r="AK390" i="81"/>
  <c r="AJ390" i="81"/>
  <c r="AI390" i="81"/>
  <c r="AH390" i="81"/>
  <c r="V390" i="81"/>
  <c r="AM390" i="81" s="1"/>
  <c r="U390" i="81"/>
  <c r="AL389" i="81"/>
  <c r="AN389" i="81" s="1"/>
  <c r="AK389" i="81"/>
  <c r="AJ389" i="81"/>
  <c r="AI389" i="81"/>
  <c r="AH389" i="81"/>
  <c r="V389" i="81"/>
  <c r="AM389" i="81" s="1"/>
  <c r="U389" i="81"/>
  <c r="AL388" i="81"/>
  <c r="AK388" i="81"/>
  <c r="AJ388" i="81"/>
  <c r="AI388" i="81"/>
  <c r="AH388" i="81"/>
  <c r="V388" i="81"/>
  <c r="U388" i="81"/>
  <c r="AN387" i="81"/>
  <c r="AM387" i="81"/>
  <c r="AL387" i="81"/>
  <c r="AK387" i="81"/>
  <c r="AJ387" i="81"/>
  <c r="AI387" i="81"/>
  <c r="AH387" i="81"/>
  <c r="V387" i="81"/>
  <c r="U387" i="81"/>
  <c r="AN386" i="81"/>
  <c r="AL386" i="81"/>
  <c r="AK386" i="81"/>
  <c r="AJ386" i="81"/>
  <c r="AI386" i="81"/>
  <c r="AH386" i="81"/>
  <c r="V386" i="81"/>
  <c r="AM386" i="81" s="1"/>
  <c r="U386" i="81"/>
  <c r="AL385" i="81"/>
  <c r="AK385" i="81"/>
  <c r="AJ385" i="81"/>
  <c r="AI385" i="81"/>
  <c r="AH385" i="81"/>
  <c r="C385" i="81" s="1"/>
  <c r="V385" i="81"/>
  <c r="AM385" i="81" s="1"/>
  <c r="U385" i="81"/>
  <c r="AN384" i="81"/>
  <c r="AM384" i="81"/>
  <c r="AL384" i="81"/>
  <c r="AK384" i="81"/>
  <c r="AJ384" i="81"/>
  <c r="AI384" i="81"/>
  <c r="AH384" i="81"/>
  <c r="V384" i="81"/>
  <c r="U384" i="81"/>
  <c r="C384" i="81"/>
  <c r="AL383" i="81"/>
  <c r="AN383" i="81" s="1"/>
  <c r="AK383" i="81"/>
  <c r="AJ383" i="81"/>
  <c r="AI383" i="81"/>
  <c r="AH383" i="81"/>
  <c r="C383" i="81" s="1"/>
  <c r="V383" i="81"/>
  <c r="AM383" i="81" s="1"/>
  <c r="U383" i="81"/>
  <c r="AN382" i="81"/>
  <c r="AM382" i="81"/>
  <c r="AL382" i="81"/>
  <c r="AK382" i="81"/>
  <c r="AJ382" i="81"/>
  <c r="AI382" i="81"/>
  <c r="AH382" i="81"/>
  <c r="V382" i="81"/>
  <c r="U382" i="81"/>
  <c r="C382" i="81"/>
  <c r="AL381" i="81"/>
  <c r="AK381" i="81"/>
  <c r="AJ381" i="81"/>
  <c r="AI381" i="81"/>
  <c r="AH381" i="81"/>
  <c r="C381" i="81" s="1"/>
  <c r="V381" i="81"/>
  <c r="AM381" i="81" s="1"/>
  <c r="U381" i="81"/>
  <c r="AN380" i="81"/>
  <c r="AM380" i="81"/>
  <c r="AL380" i="81"/>
  <c r="AK380" i="81"/>
  <c r="AJ380" i="81"/>
  <c r="AI380" i="81"/>
  <c r="AH380" i="81"/>
  <c r="V380" i="81"/>
  <c r="U380" i="81"/>
  <c r="AN379" i="81"/>
  <c r="AL379" i="81"/>
  <c r="AK379" i="81"/>
  <c r="AJ379" i="81"/>
  <c r="AI379" i="81"/>
  <c r="AH379" i="81"/>
  <c r="C379" i="81" s="1"/>
  <c r="V379" i="81"/>
  <c r="AM379" i="81" s="1"/>
  <c r="U379" i="81"/>
  <c r="AL378" i="81"/>
  <c r="AK378" i="81"/>
  <c r="AJ378" i="81"/>
  <c r="AI378" i="81"/>
  <c r="AH378" i="81"/>
  <c r="C378" i="81" s="1"/>
  <c r="V378" i="81"/>
  <c r="U378" i="81"/>
  <c r="AN377" i="81"/>
  <c r="AL377" i="81"/>
  <c r="AK377" i="81"/>
  <c r="AJ377" i="81"/>
  <c r="AI377" i="81"/>
  <c r="AH377" i="81"/>
  <c r="C377" i="81" s="1"/>
  <c r="V377" i="81"/>
  <c r="AM377" i="81" s="1"/>
  <c r="U377" i="81"/>
  <c r="AM376" i="81"/>
  <c r="AL376" i="81"/>
  <c r="AN376" i="81" s="1"/>
  <c r="AK376" i="81"/>
  <c r="AJ376" i="81"/>
  <c r="AI376" i="81"/>
  <c r="AH376" i="81"/>
  <c r="V376" i="81"/>
  <c r="U376" i="81"/>
  <c r="C376" i="81"/>
  <c r="AN375" i="81"/>
  <c r="AL375" i="81"/>
  <c r="AK375" i="81"/>
  <c r="AJ375" i="81"/>
  <c r="AI375" i="81"/>
  <c r="AH375" i="81"/>
  <c r="V375" i="81"/>
  <c r="U375" i="81"/>
  <c r="AL374" i="81"/>
  <c r="AK374" i="81"/>
  <c r="AJ374" i="81"/>
  <c r="AI374" i="81"/>
  <c r="AH374" i="81"/>
  <c r="V374" i="81"/>
  <c r="AN374" i="81" s="1"/>
  <c r="U374" i="81"/>
  <c r="AL373" i="81"/>
  <c r="AN373" i="81" s="1"/>
  <c r="AK373" i="81"/>
  <c r="AJ373" i="81"/>
  <c r="AI373" i="81"/>
  <c r="AH373" i="81"/>
  <c r="V373" i="81"/>
  <c r="AM373" i="81" s="1"/>
  <c r="U373" i="81"/>
  <c r="AM372" i="81"/>
  <c r="AL372" i="81"/>
  <c r="AN372" i="81" s="1"/>
  <c r="AK372" i="81"/>
  <c r="AJ372" i="81"/>
  <c r="AI372" i="81"/>
  <c r="AH372" i="81"/>
  <c r="AA372" i="81"/>
  <c r="V372" i="81"/>
  <c r="U372" i="81"/>
  <c r="AM371" i="81"/>
  <c r="AL371" i="81"/>
  <c r="AK371" i="81"/>
  <c r="AJ371" i="81"/>
  <c r="AI371" i="81"/>
  <c r="AH371" i="81"/>
  <c r="AA371" i="81"/>
  <c r="V371" i="81"/>
  <c r="AN371" i="81" s="1"/>
  <c r="U371" i="81"/>
  <c r="AM370" i="81"/>
  <c r="AL370" i="81"/>
  <c r="AN370" i="81" s="1"/>
  <c r="AK370" i="81"/>
  <c r="AJ370" i="81"/>
  <c r="AI370" i="81"/>
  <c r="AH370" i="81"/>
  <c r="AA370" i="81"/>
  <c r="V370" i="81"/>
  <c r="U370" i="81"/>
  <c r="AM369" i="81"/>
  <c r="AL369" i="81"/>
  <c r="AK369" i="81"/>
  <c r="AJ369" i="81"/>
  <c r="AI369" i="81"/>
  <c r="AH369" i="81"/>
  <c r="AA369" i="81"/>
  <c r="V369" i="81"/>
  <c r="AN369" i="81" s="1"/>
  <c r="U369" i="81"/>
  <c r="AM368" i="81"/>
  <c r="AL368" i="81"/>
  <c r="AN368" i="81" s="1"/>
  <c r="AK368" i="81"/>
  <c r="AJ368" i="81"/>
  <c r="AI368" i="81"/>
  <c r="AH368" i="81"/>
  <c r="AA368" i="81"/>
  <c r="V368" i="81"/>
  <c r="U368" i="81"/>
  <c r="AM367" i="81"/>
  <c r="AL367" i="81"/>
  <c r="AK367" i="81"/>
  <c r="AJ367" i="81"/>
  <c r="AI367" i="81"/>
  <c r="AH367" i="81"/>
  <c r="AA367" i="81"/>
  <c r="V367" i="81"/>
  <c r="AN367" i="81" s="1"/>
  <c r="U367" i="81"/>
  <c r="AM366" i="81"/>
  <c r="AL366" i="81"/>
  <c r="AN366" i="81" s="1"/>
  <c r="AK366" i="81"/>
  <c r="AJ366" i="81"/>
  <c r="AI366" i="81"/>
  <c r="AH366" i="81"/>
  <c r="AA366" i="81"/>
  <c r="V366" i="81"/>
  <c r="U366" i="81"/>
  <c r="AL365" i="81"/>
  <c r="AK365" i="81"/>
  <c r="AJ365" i="81"/>
  <c r="AI365" i="81"/>
  <c r="AH365" i="81"/>
  <c r="V365" i="81"/>
  <c r="AN365" i="81" s="1"/>
  <c r="U365" i="81"/>
  <c r="AL364" i="81"/>
  <c r="AN364" i="81" s="1"/>
  <c r="AK364" i="81"/>
  <c r="AJ364" i="81"/>
  <c r="AI364" i="81"/>
  <c r="AH364" i="81"/>
  <c r="AA364" i="81"/>
  <c r="V364" i="81"/>
  <c r="AM364" i="81" s="1"/>
  <c r="U364" i="81"/>
  <c r="AL363" i="81"/>
  <c r="AK363" i="81"/>
  <c r="AJ363" i="81"/>
  <c r="AI363" i="81"/>
  <c r="AH363" i="81"/>
  <c r="AA363" i="81"/>
  <c r="V363" i="81"/>
  <c r="AN363" i="81" s="1"/>
  <c r="U363" i="81"/>
  <c r="AL362" i="81"/>
  <c r="AN362" i="81" s="1"/>
  <c r="AK362" i="81"/>
  <c r="AJ362" i="81"/>
  <c r="AI362" i="81"/>
  <c r="AH362" i="81"/>
  <c r="AA362" i="81"/>
  <c r="V362" i="81"/>
  <c r="AM362" i="81" s="1"/>
  <c r="U362" i="81"/>
  <c r="AN361" i="81"/>
  <c r="AL361" i="81"/>
  <c r="AM361" i="81" s="1"/>
  <c r="AK361" i="81"/>
  <c r="AJ361" i="81"/>
  <c r="AI361" i="81"/>
  <c r="AH361" i="81"/>
  <c r="V361" i="81"/>
  <c r="U361" i="81"/>
  <c r="AL360" i="81"/>
  <c r="AK360" i="81"/>
  <c r="AJ360" i="81"/>
  <c r="AI360" i="81"/>
  <c r="AH360" i="81"/>
  <c r="V360" i="81"/>
  <c r="AN360" i="81" s="1"/>
  <c r="U360" i="81"/>
  <c r="C360" i="81"/>
  <c r="AM359" i="81"/>
  <c r="AL359" i="81"/>
  <c r="AN359" i="81" s="1"/>
  <c r="AK359" i="81"/>
  <c r="AJ359" i="81"/>
  <c r="AI359" i="81"/>
  <c r="AH359" i="81"/>
  <c r="V359" i="81"/>
  <c r="U359" i="81"/>
  <c r="C359" i="81"/>
  <c r="AL358" i="81"/>
  <c r="AK358" i="81"/>
  <c r="AJ358" i="81"/>
  <c r="AI358" i="81"/>
  <c r="AH358" i="81"/>
  <c r="V358" i="81"/>
  <c r="AN358" i="81" s="1"/>
  <c r="U358" i="81"/>
  <c r="C358" i="81"/>
  <c r="AM357" i="81"/>
  <c r="AL357" i="81"/>
  <c r="AN357" i="81" s="1"/>
  <c r="AK357" i="81"/>
  <c r="AJ357" i="81"/>
  <c r="AI357" i="81"/>
  <c r="AH357" i="81"/>
  <c r="V357" i="81"/>
  <c r="U357" i="81"/>
  <c r="C357" i="81"/>
  <c r="AL356" i="81"/>
  <c r="AK356" i="81"/>
  <c r="AJ356" i="81"/>
  <c r="AI356" i="81"/>
  <c r="AH356" i="81"/>
  <c r="V356" i="81"/>
  <c r="AN356" i="81" s="1"/>
  <c r="U356" i="81"/>
  <c r="AL355" i="81"/>
  <c r="AN355" i="81" s="1"/>
  <c r="AK355" i="81"/>
  <c r="AJ355" i="81"/>
  <c r="AI355" i="81"/>
  <c r="AH355" i="81"/>
  <c r="V355" i="81"/>
  <c r="AM355" i="81" s="1"/>
  <c r="U355" i="81"/>
  <c r="AM354" i="81"/>
  <c r="AL354" i="81"/>
  <c r="AN354" i="81" s="1"/>
  <c r="AK354" i="81"/>
  <c r="AJ354" i="81"/>
  <c r="AI354" i="81"/>
  <c r="AH354" i="81"/>
  <c r="V354" i="81"/>
  <c r="U354" i="81"/>
  <c r="AN353" i="81"/>
  <c r="AL353" i="81"/>
  <c r="AM353" i="81" s="1"/>
  <c r="AK353" i="81"/>
  <c r="AJ353" i="81"/>
  <c r="AI353" i="81"/>
  <c r="AH353" i="81"/>
  <c r="V353" i="81"/>
  <c r="U353" i="81"/>
  <c r="AL352" i="81"/>
  <c r="AK352" i="81"/>
  <c r="AJ352" i="81"/>
  <c r="AI352" i="81"/>
  <c r="AH352" i="81"/>
  <c r="V352" i="81"/>
  <c r="AN352" i="81" s="1"/>
  <c r="U352" i="81"/>
  <c r="AL351" i="81"/>
  <c r="AN351" i="81" s="1"/>
  <c r="AK351" i="81"/>
  <c r="AJ351" i="81"/>
  <c r="AI351" i="81"/>
  <c r="AH351" i="81"/>
  <c r="V351" i="81"/>
  <c r="AM351" i="81" s="1"/>
  <c r="U351" i="81"/>
  <c r="AM350" i="81"/>
  <c r="AL350" i="81"/>
  <c r="AN350" i="81" s="1"/>
  <c r="AK350" i="81"/>
  <c r="AJ350" i="81"/>
  <c r="AI350" i="81"/>
  <c r="AH350" i="81"/>
  <c r="V350" i="81"/>
  <c r="U350" i="81"/>
  <c r="C350" i="81"/>
  <c r="AL349" i="81"/>
  <c r="AK349" i="81"/>
  <c r="AJ349" i="81"/>
  <c r="AI349" i="81"/>
  <c r="AH349" i="81"/>
  <c r="V349" i="81"/>
  <c r="AN349" i="81" s="1"/>
  <c r="U349" i="81"/>
  <c r="C349" i="81"/>
  <c r="AM348" i="81"/>
  <c r="AL348" i="81"/>
  <c r="AN348" i="81" s="1"/>
  <c r="AK348" i="81"/>
  <c r="AJ348" i="81"/>
  <c r="AI348" i="81"/>
  <c r="AH348" i="81"/>
  <c r="V348" i="81"/>
  <c r="U348" i="81"/>
  <c r="C348" i="81"/>
  <c r="AL347" i="81"/>
  <c r="AK347" i="81"/>
  <c r="AJ347" i="81"/>
  <c r="AI347" i="81"/>
  <c r="AH347" i="81"/>
  <c r="V347" i="81"/>
  <c r="AN347" i="81" s="1"/>
  <c r="U347" i="81"/>
  <c r="C347" i="81"/>
  <c r="AM346" i="81"/>
  <c r="AL346" i="81"/>
  <c r="AN346" i="81" s="1"/>
  <c r="AK346" i="81"/>
  <c r="AJ346" i="81"/>
  <c r="AI346" i="81"/>
  <c r="AH346" i="81"/>
  <c r="V346" i="81"/>
  <c r="U346" i="81"/>
  <c r="C346" i="81"/>
  <c r="AL345" i="81"/>
  <c r="AK345" i="81"/>
  <c r="AJ345" i="81"/>
  <c r="AI345" i="81"/>
  <c r="AH345" i="81"/>
  <c r="V345" i="81"/>
  <c r="AN345" i="81" s="1"/>
  <c r="U345" i="81"/>
  <c r="C345" i="81"/>
  <c r="AL344" i="81"/>
  <c r="AN344" i="81" s="1"/>
  <c r="AK344" i="81"/>
  <c r="AJ344" i="81"/>
  <c r="AI344" i="81"/>
  <c r="AH344" i="81"/>
  <c r="V344" i="81"/>
  <c r="AM344" i="81" s="1"/>
  <c r="U344" i="81"/>
  <c r="C344" i="81"/>
  <c r="AL343" i="81"/>
  <c r="AK343" i="81"/>
  <c r="AJ343" i="81"/>
  <c r="AI343" i="81"/>
  <c r="AH343" i="81"/>
  <c r="V343" i="81"/>
  <c r="AN343" i="81" s="1"/>
  <c r="U343" i="81"/>
  <c r="C343" i="81"/>
  <c r="AL342" i="81"/>
  <c r="AN342" i="81" s="1"/>
  <c r="AK342" i="81"/>
  <c r="AJ342" i="81"/>
  <c r="AI342" i="81"/>
  <c r="AH342" i="81"/>
  <c r="V342" i="81"/>
  <c r="AM342" i="81" s="1"/>
  <c r="U342" i="81"/>
  <c r="C342" i="81"/>
  <c r="AL341" i="81"/>
  <c r="AK341" i="81"/>
  <c r="AJ341" i="81"/>
  <c r="AI341" i="81"/>
  <c r="AH341" i="81"/>
  <c r="V341" i="81"/>
  <c r="AN341" i="81" s="1"/>
  <c r="U341" i="81"/>
  <c r="C341" i="81"/>
  <c r="AL340" i="81"/>
  <c r="AN340" i="81" s="1"/>
  <c r="AK340" i="81"/>
  <c r="AJ340" i="81"/>
  <c r="AI340" i="81"/>
  <c r="AH340" i="81"/>
  <c r="V340" i="81"/>
  <c r="AM340" i="81" s="1"/>
  <c r="U340" i="81"/>
  <c r="C340" i="81"/>
  <c r="AM339" i="81"/>
  <c r="AL339" i="81"/>
  <c r="AK339" i="81"/>
  <c r="AJ339" i="81"/>
  <c r="AI339" i="81"/>
  <c r="AH339" i="81"/>
  <c r="V339" i="81"/>
  <c r="AN339" i="81" s="1"/>
  <c r="U339" i="81"/>
  <c r="C339" i="81"/>
  <c r="AL338" i="81"/>
  <c r="AN338" i="81" s="1"/>
  <c r="AK338" i="81"/>
  <c r="AJ338" i="81"/>
  <c r="AI338" i="81"/>
  <c r="AH338" i="81"/>
  <c r="V338" i="81"/>
  <c r="AM338" i="81" s="1"/>
  <c r="U338" i="81"/>
  <c r="C338" i="81"/>
  <c r="AM337" i="81"/>
  <c r="AL337" i="81"/>
  <c r="AK337" i="81"/>
  <c r="AJ337" i="81"/>
  <c r="AI337" i="81"/>
  <c r="AH337" i="81"/>
  <c r="V337" i="81"/>
  <c r="AN337" i="81" s="1"/>
  <c r="U337" i="81"/>
  <c r="C337" i="81"/>
  <c r="AL336" i="81"/>
  <c r="AN336" i="81" s="1"/>
  <c r="AK336" i="81"/>
  <c r="AJ336" i="81"/>
  <c r="AI336" i="81"/>
  <c r="AH336" i="81"/>
  <c r="V336" i="81"/>
  <c r="AM336" i="81" s="1"/>
  <c r="U336" i="81"/>
  <c r="C336" i="81"/>
  <c r="AM335" i="81"/>
  <c r="AL335" i="81"/>
  <c r="AK335" i="81"/>
  <c r="AJ335" i="81"/>
  <c r="AI335" i="81"/>
  <c r="AH335" i="81"/>
  <c r="V335" i="81"/>
  <c r="AN335" i="81" s="1"/>
  <c r="U335" i="81"/>
  <c r="C335" i="81"/>
  <c r="AL334" i="81"/>
  <c r="AN334" i="81" s="1"/>
  <c r="AK334" i="81"/>
  <c r="AJ334" i="81"/>
  <c r="AI334" i="81"/>
  <c r="AH334" i="81"/>
  <c r="V334" i="81"/>
  <c r="AM334" i="81" s="1"/>
  <c r="U334" i="81"/>
  <c r="C334" i="81"/>
  <c r="AM333" i="81"/>
  <c r="AL333" i="81"/>
  <c r="AK333" i="81"/>
  <c r="AJ333" i="81"/>
  <c r="AI333" i="81"/>
  <c r="AH333" i="81"/>
  <c r="V333" i="81"/>
  <c r="AN333" i="81" s="1"/>
  <c r="U333" i="81"/>
  <c r="AN332" i="81"/>
  <c r="AL332" i="81"/>
  <c r="AK332" i="81"/>
  <c r="AJ332" i="81"/>
  <c r="AI332" i="81"/>
  <c r="AH332" i="81"/>
  <c r="V332" i="81"/>
  <c r="AM332" i="81" s="1"/>
  <c r="U332" i="81"/>
  <c r="AL331" i="81"/>
  <c r="AK331" i="81"/>
  <c r="AJ331" i="81"/>
  <c r="AI331" i="81"/>
  <c r="AH331" i="81"/>
  <c r="V331" i="81"/>
  <c r="AM331" i="81" s="1"/>
  <c r="U331" i="81"/>
  <c r="AL330" i="81"/>
  <c r="AK330" i="81"/>
  <c r="AJ330" i="81"/>
  <c r="AI330" i="81"/>
  <c r="AH330" i="81"/>
  <c r="C330" i="81" s="1"/>
  <c r="V330" i="81"/>
  <c r="U330" i="81"/>
  <c r="AN329" i="81"/>
  <c r="AL329" i="81"/>
  <c r="AK329" i="81"/>
  <c r="AJ329" i="81"/>
  <c r="AI329" i="81"/>
  <c r="AH329" i="81"/>
  <c r="C329" i="81" s="1"/>
  <c r="V329" i="81"/>
  <c r="AM329" i="81" s="1"/>
  <c r="U329" i="81"/>
  <c r="AL328" i="81"/>
  <c r="AK328" i="81"/>
  <c r="AJ328" i="81"/>
  <c r="AI328" i="81"/>
  <c r="AH328" i="81"/>
  <c r="C328" i="81" s="1"/>
  <c r="V328" i="81"/>
  <c r="U328" i="81"/>
  <c r="AN327" i="81"/>
  <c r="AL327" i="81"/>
  <c r="AK327" i="81"/>
  <c r="AJ327" i="81"/>
  <c r="AI327" i="81"/>
  <c r="AH327" i="81"/>
  <c r="C327" i="81" s="1"/>
  <c r="V327" i="81"/>
  <c r="AM327" i="81" s="1"/>
  <c r="U327" i="81"/>
  <c r="AL326" i="81"/>
  <c r="AK326" i="81"/>
  <c r="AJ326" i="81"/>
  <c r="AI326" i="81"/>
  <c r="AH326" i="81"/>
  <c r="C326" i="81" s="1"/>
  <c r="V326" i="81"/>
  <c r="U326" i="81"/>
  <c r="AN325" i="81"/>
  <c r="AL325" i="81"/>
  <c r="AK325" i="81"/>
  <c r="AJ325" i="81"/>
  <c r="AI325" i="81"/>
  <c r="AH325" i="81"/>
  <c r="C325" i="81" s="1"/>
  <c r="V325" i="81"/>
  <c r="AM325" i="81" s="1"/>
  <c r="U325" i="81"/>
  <c r="AL324" i="81"/>
  <c r="AK324" i="81"/>
  <c r="AJ324" i="81"/>
  <c r="AI324" i="81"/>
  <c r="AH324" i="81"/>
  <c r="C324" i="81" s="1"/>
  <c r="V324" i="81"/>
  <c r="U324" i="81"/>
  <c r="AN323" i="81"/>
  <c r="AL323" i="81"/>
  <c r="AK323" i="81"/>
  <c r="AJ323" i="81"/>
  <c r="AI323" i="81"/>
  <c r="AH323" i="81"/>
  <c r="C323" i="81" s="1"/>
  <c r="V323" i="81"/>
  <c r="AM323" i="81" s="1"/>
  <c r="U323" i="81"/>
  <c r="AL322" i="81"/>
  <c r="AK322" i="81"/>
  <c r="AJ322" i="81"/>
  <c r="AI322" i="81"/>
  <c r="AH322" i="81"/>
  <c r="C322" i="81" s="1"/>
  <c r="V322" i="81"/>
  <c r="U322" i="81"/>
  <c r="AN321" i="81"/>
  <c r="AL321" i="81"/>
  <c r="AK321" i="81"/>
  <c r="AJ321" i="81"/>
  <c r="AI321" i="81"/>
  <c r="AH321" i="81"/>
  <c r="C321" i="81" s="1"/>
  <c r="V321" i="81"/>
  <c r="AM321" i="81" s="1"/>
  <c r="U321" i="81"/>
  <c r="AL320" i="81"/>
  <c r="AK320" i="81"/>
  <c r="AJ320" i="81"/>
  <c r="AI320" i="81"/>
  <c r="AH320" i="81"/>
  <c r="C320" i="81" s="1"/>
  <c r="V320" i="81"/>
  <c r="U320" i="81"/>
  <c r="AN319" i="81"/>
  <c r="AL319" i="81"/>
  <c r="AK319" i="81"/>
  <c r="AJ319" i="81"/>
  <c r="AI319" i="81"/>
  <c r="AH319" i="81"/>
  <c r="C319" i="81" s="1"/>
  <c r="V319" i="81"/>
  <c r="AM319" i="81" s="1"/>
  <c r="U319" i="81"/>
  <c r="AL318" i="81"/>
  <c r="AK318" i="81"/>
  <c r="AJ318" i="81"/>
  <c r="AI318" i="81"/>
  <c r="AH318" i="81"/>
  <c r="C318" i="81" s="1"/>
  <c r="V318" i="81"/>
  <c r="U318" i="81"/>
  <c r="AN317" i="81"/>
  <c r="AL317" i="81"/>
  <c r="AK317" i="81"/>
  <c r="AJ317" i="81"/>
  <c r="AI317" i="81"/>
  <c r="AH317" i="81"/>
  <c r="C317" i="81" s="1"/>
  <c r="V317" i="81"/>
  <c r="AM317" i="81" s="1"/>
  <c r="U317" i="81"/>
  <c r="AL316" i="81"/>
  <c r="AK316" i="81"/>
  <c r="AJ316" i="81"/>
  <c r="AI316" i="81"/>
  <c r="AH316" i="81"/>
  <c r="C316" i="81" s="1"/>
  <c r="V316" i="81"/>
  <c r="U316" i="81"/>
  <c r="AN315" i="81"/>
  <c r="AL315" i="81"/>
  <c r="AK315" i="81"/>
  <c r="AJ315" i="81"/>
  <c r="AI315" i="81"/>
  <c r="AH315" i="81"/>
  <c r="C315" i="81" s="1"/>
  <c r="V315" i="81"/>
  <c r="AM315" i="81" s="1"/>
  <c r="U315" i="81"/>
  <c r="AL314" i="81"/>
  <c r="AK314" i="81"/>
  <c r="AJ314" i="81"/>
  <c r="AI314" i="81"/>
  <c r="AH314" i="81"/>
  <c r="C314" i="81" s="1"/>
  <c r="V314" i="81"/>
  <c r="U314" i="81"/>
  <c r="AN313" i="81"/>
  <c r="AL313" i="81"/>
  <c r="AK313" i="81"/>
  <c r="AJ313" i="81"/>
  <c r="AI313" i="81"/>
  <c r="AH313" i="81"/>
  <c r="C313" i="81" s="1"/>
  <c r="V313" i="81"/>
  <c r="AM313" i="81" s="1"/>
  <c r="U313" i="81"/>
  <c r="AL312" i="81"/>
  <c r="AK312" i="81"/>
  <c r="AJ312" i="81"/>
  <c r="AI312" i="81"/>
  <c r="AH312" i="81"/>
  <c r="C312" i="81" s="1"/>
  <c r="V312" i="81"/>
  <c r="U312" i="81"/>
  <c r="AN311" i="81"/>
  <c r="AL311" i="81"/>
  <c r="AK311" i="81"/>
  <c r="AJ311" i="81"/>
  <c r="AI311" i="81"/>
  <c r="AH311" i="81"/>
  <c r="C311" i="81" s="1"/>
  <c r="V311" i="81"/>
  <c r="AM311" i="81" s="1"/>
  <c r="U311" i="81"/>
  <c r="AL310" i="81"/>
  <c r="AK310" i="81"/>
  <c r="AJ310" i="81"/>
  <c r="AI310" i="81"/>
  <c r="AH310" i="81"/>
  <c r="C310" i="81" s="1"/>
  <c r="V310" i="81"/>
  <c r="U310" i="81"/>
  <c r="AN309" i="81"/>
  <c r="AL309" i="81"/>
  <c r="AK309" i="81"/>
  <c r="AJ309" i="81"/>
  <c r="AI309" i="81"/>
  <c r="AH309" i="81"/>
  <c r="C309" i="81" s="1"/>
  <c r="V309" i="81"/>
  <c r="AM309" i="81" s="1"/>
  <c r="U309" i="81"/>
  <c r="AL308" i="81"/>
  <c r="AK308" i="81"/>
  <c r="AJ308" i="81"/>
  <c r="AI308" i="81"/>
  <c r="AH308" i="81"/>
  <c r="C308" i="81" s="1"/>
  <c r="V308" i="81"/>
  <c r="U308" i="81"/>
  <c r="AN307" i="81"/>
  <c r="AL307" i="81"/>
  <c r="AK307" i="81"/>
  <c r="AJ307" i="81"/>
  <c r="AI307" i="81"/>
  <c r="AH307" i="81"/>
  <c r="C307" i="81" s="1"/>
  <c r="V307" i="81"/>
  <c r="AM307" i="81" s="1"/>
  <c r="U307" i="81"/>
  <c r="AL306" i="81"/>
  <c r="AK306" i="81"/>
  <c r="AJ306" i="81"/>
  <c r="AI306" i="81"/>
  <c r="AH306" i="81"/>
  <c r="C306" i="81" s="1"/>
  <c r="V306" i="81"/>
  <c r="U306" i="81"/>
  <c r="AN305" i="81"/>
  <c r="AL305" i="81"/>
  <c r="AK305" i="81"/>
  <c r="AJ305" i="81"/>
  <c r="AI305" i="81"/>
  <c r="AH305" i="81"/>
  <c r="C305" i="81" s="1"/>
  <c r="V305" i="81"/>
  <c r="AM305" i="81" s="1"/>
  <c r="U305" i="81"/>
  <c r="AL304" i="81"/>
  <c r="AK304" i="81"/>
  <c r="AJ304" i="81"/>
  <c r="AI304" i="81"/>
  <c r="AH304" i="81"/>
  <c r="C304" i="81" s="1"/>
  <c r="V304" i="81"/>
  <c r="U304" i="81"/>
  <c r="AN303" i="81"/>
  <c r="AL303" i="81"/>
  <c r="AK303" i="81"/>
  <c r="AJ303" i="81"/>
  <c r="AI303" i="81"/>
  <c r="AH303" i="81"/>
  <c r="C303" i="81" s="1"/>
  <c r="V303" i="81"/>
  <c r="AM303" i="81" s="1"/>
  <c r="U303" i="81"/>
  <c r="AL302" i="81"/>
  <c r="AK302" i="81"/>
  <c r="AJ302" i="81"/>
  <c r="AI302" i="81"/>
  <c r="AH302" i="81"/>
  <c r="C302" i="81" s="1"/>
  <c r="V302" i="81"/>
  <c r="U302" i="81"/>
  <c r="AN301" i="81"/>
  <c r="AL301" i="81"/>
  <c r="AK301" i="81"/>
  <c r="AJ301" i="81"/>
  <c r="AI301" i="81"/>
  <c r="AH301" i="81"/>
  <c r="C301" i="81" s="1"/>
  <c r="V301" i="81"/>
  <c r="AM301" i="81" s="1"/>
  <c r="U301" i="81"/>
  <c r="AL300" i="81"/>
  <c r="AK300" i="81"/>
  <c r="AJ300" i="81"/>
  <c r="AI300" i="81"/>
  <c r="AH300" i="81"/>
  <c r="C300" i="81" s="1"/>
  <c r="V300" i="81"/>
  <c r="U300" i="81"/>
  <c r="AN299" i="81"/>
  <c r="AL299" i="81"/>
  <c r="AK299" i="81"/>
  <c r="AJ299" i="81"/>
  <c r="AI299" i="81"/>
  <c r="AH299" i="81"/>
  <c r="C299" i="81" s="1"/>
  <c r="V299" i="81"/>
  <c r="AM299" i="81" s="1"/>
  <c r="U299" i="81"/>
  <c r="AL298" i="81"/>
  <c r="AK298" i="81"/>
  <c r="AJ298" i="81"/>
  <c r="AI298" i="81"/>
  <c r="AH298" i="81"/>
  <c r="C298" i="81" s="1"/>
  <c r="V298" i="81"/>
  <c r="U298" i="81"/>
  <c r="AN297" i="81"/>
  <c r="AL297" i="81"/>
  <c r="AK297" i="81"/>
  <c r="AJ297" i="81"/>
  <c r="AI297" i="81"/>
  <c r="AH297" i="81"/>
  <c r="C297" i="81" s="1"/>
  <c r="V297" i="81"/>
  <c r="AM297" i="81" s="1"/>
  <c r="U297" i="81"/>
  <c r="AL296" i="81"/>
  <c r="AK296" i="81"/>
  <c r="AJ296" i="81"/>
  <c r="AI296" i="81"/>
  <c r="AH296" i="81"/>
  <c r="C296" i="81" s="1"/>
  <c r="V296" i="81"/>
  <c r="U296" i="81"/>
  <c r="AN295" i="81"/>
  <c r="AL295" i="81"/>
  <c r="AK295" i="81"/>
  <c r="AJ295" i="81"/>
  <c r="AI295" i="81"/>
  <c r="AH295" i="81"/>
  <c r="V295" i="81"/>
  <c r="AM295" i="81" s="1"/>
  <c r="U295" i="81"/>
  <c r="AL294" i="81"/>
  <c r="AN294" i="81" s="1"/>
  <c r="AK294" i="81"/>
  <c r="AJ294" i="81"/>
  <c r="AI294" i="81"/>
  <c r="AH294" i="81"/>
  <c r="V294" i="81"/>
  <c r="AM294" i="81" s="1"/>
  <c r="U294" i="81"/>
  <c r="AL293" i="81"/>
  <c r="AK293" i="81"/>
  <c r="AJ293" i="81"/>
  <c r="AI293" i="81"/>
  <c r="AH293" i="81"/>
  <c r="C293" i="81" s="1"/>
  <c r="V293" i="81"/>
  <c r="U293" i="81"/>
  <c r="AN292" i="81"/>
  <c r="AL292" i="81"/>
  <c r="AK292" i="81"/>
  <c r="AJ292" i="81"/>
  <c r="AI292" i="81"/>
  <c r="AH292" i="81"/>
  <c r="V292" i="81"/>
  <c r="AM292" i="81" s="1"/>
  <c r="U292" i="81"/>
  <c r="AL291" i="81"/>
  <c r="AK291" i="81"/>
  <c r="AJ291" i="81"/>
  <c r="AI291" i="81"/>
  <c r="AH291" i="81"/>
  <c r="V291" i="81"/>
  <c r="AM291" i="81" s="1"/>
  <c r="U291" i="81"/>
  <c r="C291" i="81"/>
  <c r="AM290" i="81"/>
  <c r="AL290" i="81"/>
  <c r="AK290" i="81"/>
  <c r="AJ290" i="81"/>
  <c r="AI290" i="81"/>
  <c r="AH290" i="81"/>
  <c r="V290" i="81"/>
  <c r="AN290" i="81" s="1"/>
  <c r="U290" i="81"/>
  <c r="AN289" i="81"/>
  <c r="AL289" i="81"/>
  <c r="AK289" i="81"/>
  <c r="AJ289" i="81"/>
  <c r="AI289" i="81"/>
  <c r="AH289" i="81"/>
  <c r="C289" i="81" s="1"/>
  <c r="V289" i="81"/>
  <c r="AM289" i="81" s="1"/>
  <c r="U289" i="81"/>
  <c r="AL288" i="81"/>
  <c r="AK288" i="81"/>
  <c r="AJ288" i="81"/>
  <c r="AI288" i="81"/>
  <c r="AH288" i="81"/>
  <c r="C288" i="81" s="1"/>
  <c r="V288" i="81"/>
  <c r="U288" i="81"/>
  <c r="AN287" i="81"/>
  <c r="AL287" i="81"/>
  <c r="AK287" i="81"/>
  <c r="AJ287" i="81"/>
  <c r="AI287" i="81"/>
  <c r="AH287" i="81"/>
  <c r="C287" i="81" s="1"/>
  <c r="V287" i="81"/>
  <c r="AM287" i="81" s="1"/>
  <c r="U287" i="81"/>
  <c r="AL286" i="81"/>
  <c r="AK286" i="81"/>
  <c r="AJ286" i="81"/>
  <c r="AI286" i="81"/>
  <c r="AH286" i="81"/>
  <c r="C286" i="81" s="1"/>
  <c r="V286" i="81"/>
  <c r="U286" i="81"/>
  <c r="AN285" i="81"/>
  <c r="AL285" i="81"/>
  <c r="AK285" i="81"/>
  <c r="AJ285" i="81"/>
  <c r="AI285" i="81"/>
  <c r="AH285" i="81"/>
  <c r="C285" i="81" s="1"/>
  <c r="V285" i="81"/>
  <c r="AM285" i="81" s="1"/>
  <c r="U285" i="81"/>
  <c r="AL284" i="81"/>
  <c r="AK284" i="81"/>
  <c r="AJ284" i="81"/>
  <c r="AI284" i="81"/>
  <c r="AH284" i="81"/>
  <c r="C284" i="81" s="1"/>
  <c r="V284" i="81"/>
  <c r="U284" i="81"/>
  <c r="AN283" i="81"/>
  <c r="AL283" i="81"/>
  <c r="AK283" i="81"/>
  <c r="AJ283" i="81"/>
  <c r="AI283" i="81"/>
  <c r="AH283" i="81"/>
  <c r="C283" i="81" s="1"/>
  <c r="V283" i="81"/>
  <c r="AM283" i="81" s="1"/>
  <c r="U283" i="81"/>
  <c r="AL282" i="81"/>
  <c r="AK282" i="81"/>
  <c r="AJ282" i="81"/>
  <c r="AI282" i="81"/>
  <c r="AH282" i="81"/>
  <c r="C282" i="81" s="1"/>
  <c r="V282" i="81"/>
  <c r="U282" i="81"/>
  <c r="AN281" i="81"/>
  <c r="AL281" i="81"/>
  <c r="AK281" i="81"/>
  <c r="AJ281" i="81"/>
  <c r="AI281" i="81"/>
  <c r="AH281" i="81"/>
  <c r="C281" i="81" s="1"/>
  <c r="V281" i="81"/>
  <c r="AM281" i="81" s="1"/>
  <c r="U281" i="81"/>
  <c r="AL280" i="81"/>
  <c r="AK280" i="81"/>
  <c r="AJ280" i="81"/>
  <c r="AI280" i="81"/>
  <c r="AH280" i="81"/>
  <c r="C280" i="81" s="1"/>
  <c r="V280" i="81"/>
  <c r="U280" i="81"/>
  <c r="AN279" i="81"/>
  <c r="AL279" i="81"/>
  <c r="AK279" i="81"/>
  <c r="AJ279" i="81"/>
  <c r="AI279" i="81"/>
  <c r="AH279" i="81"/>
  <c r="C279" i="81" s="1"/>
  <c r="V279" i="81"/>
  <c r="AM279" i="81" s="1"/>
  <c r="U279" i="81"/>
  <c r="AL278" i="81"/>
  <c r="AK278" i="81"/>
  <c r="AJ278" i="81"/>
  <c r="AI278" i="81"/>
  <c r="AH278" i="81"/>
  <c r="C278" i="81" s="1"/>
  <c r="V278" i="81"/>
  <c r="U278" i="81"/>
  <c r="AL277" i="81"/>
  <c r="AN277" i="81" s="1"/>
  <c r="AK277" i="81"/>
  <c r="AJ277" i="81"/>
  <c r="AI277" i="81"/>
  <c r="AH277" i="81"/>
  <c r="C277" i="81" s="1"/>
  <c r="V277" i="81"/>
  <c r="U277" i="81"/>
  <c r="AL276" i="81"/>
  <c r="AM276" i="81" s="1"/>
  <c r="AK276" i="81"/>
  <c r="AJ276" i="81"/>
  <c r="AI276" i="81"/>
  <c r="AH276" i="81"/>
  <c r="C276" i="81" s="1"/>
  <c r="V276" i="81"/>
  <c r="U276" i="81"/>
  <c r="AL275" i="81"/>
  <c r="AN275" i="81" s="1"/>
  <c r="AK275" i="81"/>
  <c r="AJ275" i="81"/>
  <c r="AI275" i="81"/>
  <c r="AH275" i="81"/>
  <c r="C275" i="81" s="1"/>
  <c r="V275" i="81"/>
  <c r="U275" i="81"/>
  <c r="AM274" i="81"/>
  <c r="AL274" i="81"/>
  <c r="AN274" i="81" s="1"/>
  <c r="AK274" i="81"/>
  <c r="AJ274" i="81"/>
  <c r="AI274" i="81"/>
  <c r="AH274" i="81"/>
  <c r="V274" i="81"/>
  <c r="U274" i="81"/>
  <c r="C274" i="81"/>
  <c r="AN273" i="81"/>
  <c r="AL273" i="81"/>
  <c r="AK273" i="81"/>
  <c r="AJ273" i="81"/>
  <c r="AI273" i="81"/>
  <c r="AH273" i="81"/>
  <c r="C273" i="81" s="1"/>
  <c r="V273" i="81"/>
  <c r="AM273" i="81" s="1"/>
  <c r="U273" i="81"/>
  <c r="AN272" i="81"/>
  <c r="AM272" i="81"/>
  <c r="AL272" i="81"/>
  <c r="AK272" i="81"/>
  <c r="AJ272" i="81"/>
  <c r="AI272" i="81"/>
  <c r="AH272" i="81"/>
  <c r="V272" i="81"/>
  <c r="U272" i="81"/>
  <c r="C272" i="81"/>
  <c r="AL271" i="81"/>
  <c r="AN271" i="81" s="1"/>
  <c r="AK271" i="81"/>
  <c r="AJ271" i="81"/>
  <c r="AI271" i="81"/>
  <c r="AH271" i="81"/>
  <c r="C271" i="81" s="1"/>
  <c r="V271" i="81"/>
  <c r="U271" i="81"/>
  <c r="AM270" i="81"/>
  <c r="AL270" i="81"/>
  <c r="AN270" i="81" s="1"/>
  <c r="AK270" i="81"/>
  <c r="AJ270" i="81"/>
  <c r="AI270" i="81"/>
  <c r="AH270" i="81"/>
  <c r="V270" i="81"/>
  <c r="U270" i="81"/>
  <c r="C270" i="81"/>
  <c r="AN269" i="81"/>
  <c r="AL269" i="81"/>
  <c r="AK269" i="81"/>
  <c r="AJ269" i="81"/>
  <c r="AI269" i="81"/>
  <c r="AH269" i="81"/>
  <c r="C269" i="81" s="1"/>
  <c r="V269" i="81"/>
  <c r="AM269" i="81" s="1"/>
  <c r="U269" i="81"/>
  <c r="AL268" i="81"/>
  <c r="AN268" i="81" s="1"/>
  <c r="AK268" i="81"/>
  <c r="AJ268" i="81"/>
  <c r="AI268" i="81"/>
  <c r="AH268" i="81"/>
  <c r="V268" i="81"/>
  <c r="U268" i="81"/>
  <c r="C268" i="81"/>
  <c r="AL267" i="81"/>
  <c r="AN267" i="81" s="1"/>
  <c r="AK267" i="81"/>
  <c r="AJ267" i="81"/>
  <c r="AI267" i="81"/>
  <c r="AH267" i="81"/>
  <c r="C267" i="81" s="1"/>
  <c r="V267" i="81"/>
  <c r="U267" i="81"/>
  <c r="AM266" i="81"/>
  <c r="AL266" i="81"/>
  <c r="AN266" i="81" s="1"/>
  <c r="AK266" i="81"/>
  <c r="AJ266" i="81"/>
  <c r="AI266" i="81"/>
  <c r="AH266" i="81"/>
  <c r="V266" i="81"/>
  <c r="U266" i="81"/>
  <c r="C266" i="81"/>
  <c r="AN265" i="81"/>
  <c r="AL265" i="81"/>
  <c r="AK265" i="81"/>
  <c r="AJ265" i="81"/>
  <c r="AI265" i="81"/>
  <c r="AH265" i="81"/>
  <c r="C265" i="81" s="1"/>
  <c r="V265" i="81"/>
  <c r="AM265" i="81" s="1"/>
  <c r="U265" i="81"/>
  <c r="AL264" i="81"/>
  <c r="AN264" i="81" s="1"/>
  <c r="AK264" i="81"/>
  <c r="AJ264" i="81"/>
  <c r="AI264" i="81"/>
  <c r="AH264" i="81"/>
  <c r="C264" i="81" s="1"/>
  <c r="V264" i="81"/>
  <c r="U264" i="81"/>
  <c r="AL263" i="81"/>
  <c r="AN263" i="81" s="1"/>
  <c r="AK263" i="81"/>
  <c r="AJ263" i="81"/>
  <c r="AI263" i="81"/>
  <c r="AH263" i="81"/>
  <c r="C263" i="81" s="1"/>
  <c r="V263" i="81"/>
  <c r="U263" i="81"/>
  <c r="AM262" i="81"/>
  <c r="AL262" i="81"/>
  <c r="AN262" i="81" s="1"/>
  <c r="AK262" i="81"/>
  <c r="AJ262" i="81"/>
  <c r="AI262" i="81"/>
  <c r="AH262" i="81"/>
  <c r="V262" i="81"/>
  <c r="U262" i="81"/>
  <c r="C262" i="81"/>
  <c r="AL261" i="81"/>
  <c r="AK261" i="81"/>
  <c r="AJ261" i="81"/>
  <c r="AI261" i="81"/>
  <c r="AH261" i="81"/>
  <c r="C261" i="81" s="1"/>
  <c r="V261" i="81"/>
  <c r="AM261" i="81" s="1"/>
  <c r="U261" i="81"/>
  <c r="AL260" i="81"/>
  <c r="AN260" i="81" s="1"/>
  <c r="AK260" i="81"/>
  <c r="AJ260" i="81"/>
  <c r="AI260" i="81"/>
  <c r="AH260" i="81"/>
  <c r="C260" i="81" s="1"/>
  <c r="V260" i="81"/>
  <c r="U260" i="81"/>
  <c r="AL259" i="81"/>
  <c r="AN259" i="81" s="1"/>
  <c r="AK259" i="81"/>
  <c r="AJ259" i="81"/>
  <c r="AI259" i="81"/>
  <c r="AH259" i="81"/>
  <c r="C259" i="81" s="1"/>
  <c r="V259" i="81"/>
  <c r="U259" i="81"/>
  <c r="AM258" i="81"/>
  <c r="AL258" i="81"/>
  <c r="AN258" i="81" s="1"/>
  <c r="AK258" i="81"/>
  <c r="AJ258" i="81"/>
  <c r="AI258" i="81"/>
  <c r="AH258" i="81"/>
  <c r="V258" i="81"/>
  <c r="U258" i="81"/>
  <c r="C258" i="81"/>
  <c r="AL257" i="81"/>
  <c r="AK257" i="81"/>
  <c r="AJ257" i="81"/>
  <c r="AI257" i="81"/>
  <c r="AH257" i="81"/>
  <c r="C257" i="81" s="1"/>
  <c r="V257" i="81"/>
  <c r="AM257" i="81" s="1"/>
  <c r="U257" i="81"/>
  <c r="AL256" i="81"/>
  <c r="AN256" i="81" s="1"/>
  <c r="AK256" i="81"/>
  <c r="AJ256" i="81"/>
  <c r="AI256" i="81"/>
  <c r="AH256" i="81"/>
  <c r="C256" i="81" s="1"/>
  <c r="V256" i="81"/>
  <c r="U256" i="81"/>
  <c r="AL255" i="81"/>
  <c r="AN255" i="81" s="1"/>
  <c r="AK255" i="81"/>
  <c r="AJ255" i="81"/>
  <c r="AI255" i="81"/>
  <c r="AH255" i="81"/>
  <c r="C255" i="81" s="1"/>
  <c r="V255" i="81"/>
  <c r="U255" i="81"/>
  <c r="AN254" i="81"/>
  <c r="AM254" i="81"/>
  <c r="AL254" i="81"/>
  <c r="AK254" i="81"/>
  <c r="AJ254" i="81"/>
  <c r="AI254" i="81"/>
  <c r="AH254" i="81"/>
  <c r="V254" i="81"/>
  <c r="U254" i="81"/>
  <c r="C254" i="81"/>
  <c r="AL253" i="81"/>
  <c r="AK253" i="81"/>
  <c r="AJ253" i="81"/>
  <c r="AI253" i="81"/>
  <c r="AH253" i="81"/>
  <c r="C253" i="81" s="1"/>
  <c r="V253" i="81"/>
  <c r="AM253" i="81" s="1"/>
  <c r="U253" i="81"/>
  <c r="AL252" i="81"/>
  <c r="AN252" i="81" s="1"/>
  <c r="AK252" i="81"/>
  <c r="AJ252" i="81"/>
  <c r="AI252" i="81"/>
  <c r="AH252" i="81"/>
  <c r="C252" i="81" s="1"/>
  <c r="V252" i="81"/>
  <c r="U252" i="81"/>
  <c r="AL251" i="81"/>
  <c r="AN251" i="81" s="1"/>
  <c r="AK251" i="81"/>
  <c r="AJ251" i="81"/>
  <c r="AI251" i="81"/>
  <c r="AH251" i="81"/>
  <c r="C251" i="81" s="1"/>
  <c r="V251" i="81"/>
  <c r="U251" i="81"/>
  <c r="AN250" i="81"/>
  <c r="AM250" i="81"/>
  <c r="AL250" i="81"/>
  <c r="AK250" i="81"/>
  <c r="AJ250" i="81"/>
  <c r="AI250" i="81"/>
  <c r="AH250" i="81"/>
  <c r="V250" i="81"/>
  <c r="U250" i="81"/>
  <c r="C250" i="81"/>
  <c r="AL249" i="81"/>
  <c r="AK249" i="81"/>
  <c r="AJ249" i="81"/>
  <c r="AI249" i="81"/>
  <c r="AH249" i="81"/>
  <c r="C249" i="81" s="1"/>
  <c r="V249" i="81"/>
  <c r="AM249" i="81" s="1"/>
  <c r="U249" i="81"/>
  <c r="AL248" i="81"/>
  <c r="AN248" i="81" s="1"/>
  <c r="AK248" i="81"/>
  <c r="AJ248" i="81"/>
  <c r="AI248" i="81"/>
  <c r="AH248" i="81"/>
  <c r="C248" i="81" s="1"/>
  <c r="V248" i="81"/>
  <c r="U248" i="81"/>
  <c r="AN247" i="81"/>
  <c r="AL247" i="81"/>
  <c r="AK247" i="81"/>
  <c r="AJ247" i="81"/>
  <c r="AI247" i="81"/>
  <c r="AH247" i="81"/>
  <c r="C247" i="81" s="1"/>
  <c r="V247" i="81"/>
  <c r="U247" i="81"/>
  <c r="AN246" i="81"/>
  <c r="AM246" i="81"/>
  <c r="AL246" i="81"/>
  <c r="AK246" i="81"/>
  <c r="AJ246" i="81"/>
  <c r="AI246" i="81"/>
  <c r="AH246" i="81"/>
  <c r="V246" i="81"/>
  <c r="U246" i="81"/>
  <c r="C246" i="81"/>
  <c r="AL245" i="81"/>
  <c r="AK245" i="81"/>
  <c r="AJ245" i="81"/>
  <c r="AI245" i="81"/>
  <c r="AH245" i="81"/>
  <c r="V245" i="81"/>
  <c r="AM245" i="81" s="1"/>
  <c r="U245" i="81"/>
  <c r="C245" i="81"/>
  <c r="AM244" i="81"/>
  <c r="AL244" i="81"/>
  <c r="AN244" i="81" s="1"/>
  <c r="AK244" i="81"/>
  <c r="AJ244" i="81"/>
  <c r="AI244" i="81"/>
  <c r="AH244" i="81"/>
  <c r="V244" i="81"/>
  <c r="U244" i="81"/>
  <c r="C244" i="81"/>
  <c r="AL243" i="81"/>
  <c r="AK243" i="81"/>
  <c r="AJ243" i="81"/>
  <c r="AI243" i="81"/>
  <c r="AH243" i="81"/>
  <c r="V243" i="81"/>
  <c r="AN243" i="81" s="1"/>
  <c r="U243" i="81"/>
  <c r="C243" i="81"/>
  <c r="AL242" i="81"/>
  <c r="AN242" i="81" s="1"/>
  <c r="AK242" i="81"/>
  <c r="AJ242" i="81"/>
  <c r="AI242" i="81"/>
  <c r="AH242" i="81"/>
  <c r="C242" i="81" s="1"/>
  <c r="V242" i="81"/>
  <c r="U242" i="81"/>
  <c r="AL241" i="81"/>
  <c r="AK241" i="81"/>
  <c r="AJ241" i="81"/>
  <c r="AI241" i="81"/>
  <c r="AH241" i="81"/>
  <c r="V241" i="81"/>
  <c r="AN241" i="81" s="1"/>
  <c r="U241" i="81"/>
  <c r="C241" i="81"/>
  <c r="AL240" i="81"/>
  <c r="AN240" i="81" s="1"/>
  <c r="AK240" i="81"/>
  <c r="AJ240" i="81"/>
  <c r="AI240" i="81"/>
  <c r="AH240" i="81"/>
  <c r="C240" i="81" s="1"/>
  <c r="V240" i="81"/>
  <c r="U240" i="81"/>
  <c r="AN239" i="81"/>
  <c r="AL239" i="81"/>
  <c r="AK239" i="81"/>
  <c r="AJ239" i="81"/>
  <c r="AI239" i="81"/>
  <c r="AH239" i="81"/>
  <c r="V239" i="81"/>
  <c r="AM239" i="81" s="1"/>
  <c r="U239" i="81"/>
  <c r="AL238" i="81"/>
  <c r="AN238" i="81" s="1"/>
  <c r="AK238" i="81"/>
  <c r="AJ238" i="81"/>
  <c r="AI238" i="81"/>
  <c r="AH238" i="81"/>
  <c r="V238" i="81"/>
  <c r="AM238" i="81" s="1"/>
  <c r="U238" i="81"/>
  <c r="AL237" i="81"/>
  <c r="AN237" i="81" s="1"/>
  <c r="AK237" i="81"/>
  <c r="AJ237" i="81"/>
  <c r="AI237" i="81"/>
  <c r="AH237" i="81"/>
  <c r="C237" i="81" s="1"/>
  <c r="V237" i="81"/>
  <c r="U237" i="81"/>
  <c r="AL236" i="81"/>
  <c r="AK236" i="81"/>
  <c r="AJ236" i="81"/>
  <c r="AI236" i="81"/>
  <c r="AH236" i="81"/>
  <c r="V236" i="81"/>
  <c r="AN236" i="81" s="1"/>
  <c r="U236" i="81"/>
  <c r="C236" i="81"/>
  <c r="AM235" i="81"/>
  <c r="AL235" i="81"/>
  <c r="AN235" i="81" s="1"/>
  <c r="AK235" i="81"/>
  <c r="AJ235" i="81"/>
  <c r="AI235" i="81"/>
  <c r="AH235" i="81"/>
  <c r="C235" i="81" s="1"/>
  <c r="U235" i="81"/>
  <c r="AL234" i="81"/>
  <c r="AM234" i="81" s="1"/>
  <c r="AK234" i="81"/>
  <c r="AJ234" i="81"/>
  <c r="AI234" i="81"/>
  <c r="AH234" i="81"/>
  <c r="C234" i="81" s="1"/>
  <c r="V234" i="81"/>
  <c r="U234" i="81"/>
  <c r="AN233" i="81"/>
  <c r="AL233" i="81"/>
  <c r="AK233" i="81"/>
  <c r="AJ233" i="81"/>
  <c r="AI233" i="81"/>
  <c r="AH233" i="81"/>
  <c r="C233" i="81" s="1"/>
  <c r="V233" i="81"/>
  <c r="AM233" i="81" s="1"/>
  <c r="U233" i="81"/>
  <c r="AL232" i="81"/>
  <c r="AM232" i="81" s="1"/>
  <c r="AK232" i="81"/>
  <c r="AJ232" i="81"/>
  <c r="AI232" i="81"/>
  <c r="AH232" i="81"/>
  <c r="C232" i="81" s="1"/>
  <c r="V232" i="81"/>
  <c r="U232" i="81"/>
  <c r="AN231" i="81"/>
  <c r="AL231" i="81"/>
  <c r="AK231" i="81"/>
  <c r="AJ231" i="81"/>
  <c r="AI231" i="81"/>
  <c r="AH231" i="81"/>
  <c r="C231" i="81" s="1"/>
  <c r="V231" i="81"/>
  <c r="AM231" i="81" s="1"/>
  <c r="U231" i="81"/>
  <c r="AL230" i="81"/>
  <c r="AM230" i="81" s="1"/>
  <c r="AK230" i="81"/>
  <c r="AJ230" i="81"/>
  <c r="AI230" i="81"/>
  <c r="AH230" i="81"/>
  <c r="V230" i="81"/>
  <c r="U230" i="81"/>
  <c r="AM229" i="81"/>
  <c r="AL229" i="81"/>
  <c r="AK229" i="81"/>
  <c r="AJ229" i="81"/>
  <c r="AI229" i="81"/>
  <c r="AH229" i="81"/>
  <c r="V229" i="81"/>
  <c r="AN229" i="81" s="1"/>
  <c r="U229" i="81"/>
  <c r="C229" i="81"/>
  <c r="AL228" i="81"/>
  <c r="AN228" i="81" s="1"/>
  <c r="AK228" i="81"/>
  <c r="AJ228" i="81"/>
  <c r="AI228" i="81"/>
  <c r="AH228" i="81"/>
  <c r="V228" i="81"/>
  <c r="AM228" i="81" s="1"/>
  <c r="U228" i="81"/>
  <c r="C228" i="81"/>
  <c r="AM227" i="81"/>
  <c r="AL227" i="81"/>
  <c r="AK227" i="81"/>
  <c r="AJ227" i="81"/>
  <c r="AI227" i="81"/>
  <c r="AH227" i="81"/>
  <c r="V227" i="81"/>
  <c r="AN227" i="81" s="1"/>
  <c r="U227" i="81"/>
  <c r="AN226" i="81"/>
  <c r="AL226" i="81"/>
  <c r="AK226" i="81"/>
  <c r="AJ226" i="81"/>
  <c r="AI226" i="81"/>
  <c r="AH226" i="81"/>
  <c r="V226" i="81"/>
  <c r="AM226" i="81" s="1"/>
  <c r="U226" i="81"/>
  <c r="AM225" i="81"/>
  <c r="AL225" i="81"/>
  <c r="AN225" i="81" s="1"/>
  <c r="AK225" i="81"/>
  <c r="AJ225" i="81"/>
  <c r="AI225" i="81"/>
  <c r="AH225" i="81"/>
  <c r="C225" i="81" s="1"/>
  <c r="U225" i="81"/>
  <c r="AL224" i="81"/>
  <c r="AN224" i="81" s="1"/>
  <c r="AK224" i="81"/>
  <c r="AJ224" i="81"/>
  <c r="AI224" i="81"/>
  <c r="AH224" i="81"/>
  <c r="C224" i="81" s="1"/>
  <c r="V224" i="81"/>
  <c r="AM224" i="81" s="1"/>
  <c r="U224" i="81"/>
  <c r="AN223" i="81"/>
  <c r="AL223" i="81"/>
  <c r="AM223" i="81" s="1"/>
  <c r="AK223" i="81"/>
  <c r="AJ223" i="81"/>
  <c r="AI223" i="81"/>
  <c r="AH223" i="81"/>
  <c r="V223" i="81"/>
  <c r="U223" i="81"/>
  <c r="C223" i="81"/>
  <c r="AL222" i="81"/>
  <c r="AM222" i="81" s="1"/>
  <c r="AK222" i="81"/>
  <c r="AJ222" i="81"/>
  <c r="AI222" i="81"/>
  <c r="AH222" i="81"/>
  <c r="C222" i="81" s="1"/>
  <c r="U222" i="81"/>
  <c r="AL221" i="81"/>
  <c r="AN221" i="81" s="1"/>
  <c r="AK221" i="81"/>
  <c r="AJ221" i="81"/>
  <c r="AI221" i="81"/>
  <c r="AH221" i="81"/>
  <c r="C221" i="81" s="1"/>
  <c r="U221" i="81"/>
  <c r="AN220" i="81"/>
  <c r="AM220" i="81"/>
  <c r="AL220" i="81"/>
  <c r="AK220" i="81"/>
  <c r="AJ220" i="81"/>
  <c r="AI220" i="81"/>
  <c r="AH220" i="81"/>
  <c r="V220" i="81"/>
  <c r="U220" i="81"/>
  <c r="C220" i="81"/>
  <c r="AL219" i="81"/>
  <c r="AM219" i="81" s="1"/>
  <c r="AK219" i="81"/>
  <c r="AJ219" i="81"/>
  <c r="AI219" i="81"/>
  <c r="AH219" i="81"/>
  <c r="C219" i="81" s="1"/>
  <c r="U219" i="81"/>
  <c r="AL218" i="81"/>
  <c r="AN218" i="81" s="1"/>
  <c r="AK218" i="81"/>
  <c r="AJ218" i="81"/>
  <c r="AI218" i="81"/>
  <c r="AH218" i="81"/>
  <c r="C218" i="81" s="1"/>
  <c r="U218" i="81"/>
  <c r="AN217" i="81"/>
  <c r="AM217" i="81"/>
  <c r="AL217" i="81"/>
  <c r="AK217" i="81"/>
  <c r="AJ217" i="81"/>
  <c r="AI217" i="81"/>
  <c r="AH217" i="81"/>
  <c r="U217" i="81"/>
  <c r="C217" i="81"/>
  <c r="AN216" i="81"/>
  <c r="AM216" i="81"/>
  <c r="AL216" i="81"/>
  <c r="AK216" i="81"/>
  <c r="AJ216" i="81"/>
  <c r="AI216" i="81"/>
  <c r="AH216" i="81"/>
  <c r="U216" i="81"/>
  <c r="C216" i="81"/>
  <c r="AN215" i="81"/>
  <c r="AL215" i="81"/>
  <c r="AM215" i="81" s="1"/>
  <c r="AK215" i="81"/>
  <c r="AJ215" i="81"/>
  <c r="AI215" i="81"/>
  <c r="AH215" i="81"/>
  <c r="C215" i="81" s="1"/>
  <c r="U215" i="81"/>
  <c r="AL214" i="81"/>
  <c r="AN214" i="81" s="1"/>
  <c r="AK214" i="81"/>
  <c r="AJ214" i="81"/>
  <c r="AI214" i="81"/>
  <c r="AH214" i="81"/>
  <c r="C214" i="81" s="1"/>
  <c r="U214" i="81"/>
  <c r="AM213" i="81"/>
  <c r="AL213" i="81"/>
  <c r="AN213" i="81" s="1"/>
  <c r="AK213" i="81"/>
  <c r="AJ213" i="81"/>
  <c r="AI213" i="81"/>
  <c r="AH213" i="81"/>
  <c r="V213" i="81"/>
  <c r="U213" i="81"/>
  <c r="C213" i="81"/>
  <c r="AL212" i="81"/>
  <c r="AN212" i="81" s="1"/>
  <c r="AK212" i="81"/>
  <c r="AJ212" i="81"/>
  <c r="AI212" i="81"/>
  <c r="AH212" i="81"/>
  <c r="V212" i="81"/>
  <c r="AM212" i="81" s="1"/>
  <c r="U212" i="81"/>
  <c r="AL211" i="81"/>
  <c r="AN211" i="81" s="1"/>
  <c r="AK211" i="81"/>
  <c r="AJ211" i="81"/>
  <c r="AI211" i="81"/>
  <c r="AH211" i="81"/>
  <c r="C211" i="81" s="1"/>
  <c r="V211" i="81"/>
  <c r="AM211" i="81" s="1"/>
  <c r="U211" i="81"/>
  <c r="AN210" i="81"/>
  <c r="AL210" i="81"/>
  <c r="AK210" i="81"/>
  <c r="AJ210" i="81"/>
  <c r="AI210" i="81"/>
  <c r="AH210" i="81"/>
  <c r="V210" i="81"/>
  <c r="AM210" i="81" s="1"/>
  <c r="U210" i="81"/>
  <c r="C210" i="81"/>
  <c r="AL209" i="81"/>
  <c r="AN209" i="81" s="1"/>
  <c r="AK209" i="81"/>
  <c r="AJ209" i="81"/>
  <c r="AI209" i="81"/>
  <c r="AH209" i="81"/>
  <c r="AA209" i="81"/>
  <c r="V209" i="81"/>
  <c r="U209" i="81"/>
  <c r="AM208" i="81"/>
  <c r="AL208" i="81"/>
  <c r="AK208" i="81"/>
  <c r="AJ208" i="81"/>
  <c r="AI208" i="81"/>
  <c r="AH208" i="81"/>
  <c r="AA208" i="81"/>
  <c r="V208" i="81"/>
  <c r="AN208" i="81" s="1"/>
  <c r="U208" i="81"/>
  <c r="AL207" i="81"/>
  <c r="AN207" i="81" s="1"/>
  <c r="AK207" i="81"/>
  <c r="AJ207" i="81"/>
  <c r="AI207" i="81"/>
  <c r="AH207" i="81"/>
  <c r="V207" i="81"/>
  <c r="AM207" i="81" s="1"/>
  <c r="U207" i="81"/>
  <c r="AL206" i="81"/>
  <c r="AN206" i="81" s="1"/>
  <c r="AK206" i="81"/>
  <c r="AJ206" i="81"/>
  <c r="AI206" i="81"/>
  <c r="AH206" i="81"/>
  <c r="C206" i="81" s="1"/>
  <c r="V206" i="81"/>
  <c r="U206" i="81"/>
  <c r="AN205" i="81"/>
  <c r="AL205" i="81"/>
  <c r="AK205" i="81"/>
  <c r="AJ205" i="81"/>
  <c r="AI205" i="81"/>
  <c r="AH205" i="81"/>
  <c r="C205" i="81" s="1"/>
  <c r="V205" i="81"/>
  <c r="AM205" i="81" s="1"/>
  <c r="U205" i="81"/>
  <c r="AL204" i="81"/>
  <c r="AN204" i="81" s="1"/>
  <c r="AK204" i="81"/>
  <c r="AJ204" i="81"/>
  <c r="AI204" i="81"/>
  <c r="AH204" i="81"/>
  <c r="C204" i="81" s="1"/>
  <c r="V204" i="81"/>
  <c r="U204" i="81"/>
  <c r="AN203" i="81"/>
  <c r="AL203" i="81"/>
  <c r="AK203" i="81"/>
  <c r="AJ203" i="81"/>
  <c r="AI203" i="81"/>
  <c r="AH203" i="81"/>
  <c r="V203" i="81"/>
  <c r="AM203" i="81" s="1"/>
  <c r="U203" i="81"/>
  <c r="AL202" i="81"/>
  <c r="AN202" i="81" s="1"/>
  <c r="AK202" i="81"/>
  <c r="AJ202" i="81"/>
  <c r="AI202" i="81"/>
  <c r="AH202" i="81"/>
  <c r="AA202" i="81"/>
  <c r="V202" i="81"/>
  <c r="U202" i="81"/>
  <c r="AL201" i="81"/>
  <c r="AK201" i="81"/>
  <c r="AJ201" i="81"/>
  <c r="AI201" i="81"/>
  <c r="AH201" i="81"/>
  <c r="AA201" i="81"/>
  <c r="V201" i="81"/>
  <c r="AN201" i="81" s="1"/>
  <c r="U201" i="81"/>
  <c r="AL200" i="81"/>
  <c r="AN200" i="81" s="1"/>
  <c r="AK200" i="81"/>
  <c r="AJ200" i="81"/>
  <c r="AI200" i="81"/>
  <c r="AH200" i="81"/>
  <c r="C200" i="81" s="1"/>
  <c r="V200" i="81"/>
  <c r="AM200" i="81" s="1"/>
  <c r="U200" i="81"/>
  <c r="AM199" i="81"/>
  <c r="AL199" i="81"/>
  <c r="AK199" i="81"/>
  <c r="AJ199" i="81"/>
  <c r="AI199" i="81"/>
  <c r="AH199" i="81"/>
  <c r="AA199" i="81"/>
  <c r="V199" i="81"/>
  <c r="AN199" i="81" s="1"/>
  <c r="U199" i="81"/>
  <c r="AL198" i="81"/>
  <c r="AN198" i="81" s="1"/>
  <c r="AK198" i="81"/>
  <c r="AJ198" i="81"/>
  <c r="AI198" i="81"/>
  <c r="AH198" i="81"/>
  <c r="AA198" i="81"/>
  <c r="V198" i="81"/>
  <c r="U198" i="81"/>
  <c r="AM197" i="81"/>
  <c r="AL197" i="81"/>
  <c r="AK197" i="81"/>
  <c r="AJ197" i="81"/>
  <c r="AI197" i="81"/>
  <c r="AH197" i="81"/>
  <c r="AA197" i="81"/>
  <c r="V197" i="81"/>
  <c r="AN197" i="81" s="1"/>
  <c r="U197" i="81"/>
  <c r="AL196" i="81"/>
  <c r="AN196" i="81" s="1"/>
  <c r="AK196" i="81"/>
  <c r="AJ196" i="81"/>
  <c r="AI196" i="81"/>
  <c r="AH196" i="81"/>
  <c r="AA196" i="81"/>
  <c r="V196" i="81"/>
  <c r="U196" i="81"/>
  <c r="AM195" i="81"/>
  <c r="AL195" i="81"/>
  <c r="AK195" i="81"/>
  <c r="AJ195" i="81"/>
  <c r="AI195" i="81"/>
  <c r="AH195" i="81"/>
  <c r="AA195" i="81"/>
  <c r="V195" i="81"/>
  <c r="AN195" i="81" s="1"/>
  <c r="U195" i="81"/>
  <c r="AL194" i="81"/>
  <c r="AN194" i="81" s="1"/>
  <c r="AK194" i="81"/>
  <c r="AJ194" i="81"/>
  <c r="AI194" i="81"/>
  <c r="AH194" i="81"/>
  <c r="C194" i="81" s="1"/>
  <c r="V194" i="81"/>
  <c r="AM194" i="81" s="1"/>
  <c r="U194" i="81"/>
  <c r="AN193" i="81"/>
  <c r="AM193" i="81"/>
  <c r="AL193" i="81"/>
  <c r="AK193" i="81"/>
  <c r="AJ193" i="81"/>
  <c r="AI193" i="81"/>
  <c r="AH193" i="81"/>
  <c r="V193" i="81"/>
  <c r="U193" i="81"/>
  <c r="C193" i="81"/>
  <c r="AL192" i="81"/>
  <c r="AN192" i="81" s="1"/>
  <c r="AK192" i="81"/>
  <c r="AJ192" i="81"/>
  <c r="AI192" i="81"/>
  <c r="AH192" i="81"/>
  <c r="C192" i="81" s="1"/>
  <c r="V192" i="81"/>
  <c r="AM192" i="81" s="1"/>
  <c r="U192" i="81"/>
  <c r="AN191" i="81"/>
  <c r="AM191" i="81"/>
  <c r="AL191" i="81"/>
  <c r="AK191" i="81"/>
  <c r="AJ191" i="81"/>
  <c r="AI191" i="81"/>
  <c r="AH191" i="81"/>
  <c r="V191" i="81"/>
  <c r="U191" i="81"/>
  <c r="C191" i="81"/>
  <c r="AL190" i="81"/>
  <c r="AN190" i="81" s="1"/>
  <c r="AK190" i="81"/>
  <c r="AJ190" i="81"/>
  <c r="AI190" i="81"/>
  <c r="AH190" i="81"/>
  <c r="C190" i="81" s="1"/>
  <c r="V190" i="81"/>
  <c r="AM190" i="81" s="1"/>
  <c r="U190" i="81"/>
  <c r="AM189" i="81"/>
  <c r="AL189" i="81"/>
  <c r="AK189" i="81"/>
  <c r="AJ189" i="81"/>
  <c r="AI189" i="81"/>
  <c r="AH189" i="81"/>
  <c r="V189" i="81"/>
  <c r="AN189" i="81" s="1"/>
  <c r="U189" i="81"/>
  <c r="C189" i="81"/>
  <c r="AL188" i="81"/>
  <c r="AN188" i="81" s="1"/>
  <c r="AK188" i="81"/>
  <c r="AJ188" i="81"/>
  <c r="AI188" i="81"/>
  <c r="AH188" i="81"/>
  <c r="C188" i="81" s="1"/>
  <c r="V188" i="81"/>
  <c r="AM188" i="81" s="1"/>
  <c r="U188" i="81"/>
  <c r="AN187" i="81"/>
  <c r="AM187" i="81"/>
  <c r="AL187" i="81"/>
  <c r="AK187" i="81"/>
  <c r="AJ187" i="81"/>
  <c r="AI187" i="81"/>
  <c r="AH187" i="81"/>
  <c r="V187" i="81"/>
  <c r="U187" i="81"/>
  <c r="C187" i="81"/>
  <c r="AL186" i="81"/>
  <c r="AN186" i="81" s="1"/>
  <c r="AK186" i="81"/>
  <c r="AJ186" i="81"/>
  <c r="AI186" i="81"/>
  <c r="AH186" i="81"/>
  <c r="C186" i="81" s="1"/>
  <c r="V186" i="81"/>
  <c r="AM186" i="81" s="1"/>
  <c r="U186" i="81"/>
  <c r="AN185" i="81"/>
  <c r="AM185" i="81"/>
  <c r="AL185" i="81"/>
  <c r="AK185" i="81"/>
  <c r="AJ185" i="81"/>
  <c r="AI185" i="81"/>
  <c r="AH185" i="81"/>
  <c r="V185" i="81"/>
  <c r="U185" i="81"/>
  <c r="C185" i="81"/>
  <c r="AL184" i="81"/>
  <c r="AN184" i="81" s="1"/>
  <c r="AK184" i="81"/>
  <c r="AJ184" i="81"/>
  <c r="AI184" i="81"/>
  <c r="AH184" i="81"/>
  <c r="C184" i="81" s="1"/>
  <c r="V184" i="81"/>
  <c r="AM184" i="81" s="1"/>
  <c r="U184" i="81"/>
  <c r="AM183" i="81"/>
  <c r="AL183" i="81"/>
  <c r="AK183" i="81"/>
  <c r="AJ183" i="81"/>
  <c r="AI183" i="81"/>
  <c r="AH183" i="81"/>
  <c r="V183" i="81"/>
  <c r="AN183" i="81" s="1"/>
  <c r="U183" i="81"/>
  <c r="C183" i="81"/>
  <c r="AL182" i="81"/>
  <c r="AN182" i="81" s="1"/>
  <c r="AK182" i="81"/>
  <c r="AJ182" i="81"/>
  <c r="AI182" i="81"/>
  <c r="AH182" i="81"/>
  <c r="V182" i="81"/>
  <c r="AM182" i="81" s="1"/>
  <c r="U182" i="81"/>
  <c r="C182" i="81"/>
  <c r="AM181" i="81"/>
  <c r="AL181" i="81"/>
  <c r="AK181" i="81"/>
  <c r="AJ181" i="81"/>
  <c r="AI181" i="81"/>
  <c r="AH181" i="81"/>
  <c r="V181" i="81"/>
  <c r="AN181" i="81" s="1"/>
  <c r="U181" i="81"/>
  <c r="C181" i="81"/>
  <c r="AL180" i="81"/>
  <c r="AN180" i="81" s="1"/>
  <c r="AK180" i="81"/>
  <c r="AJ180" i="81"/>
  <c r="AI180" i="81"/>
  <c r="AH180" i="81"/>
  <c r="V180" i="81"/>
  <c r="AM180" i="81" s="1"/>
  <c r="U180" i="81"/>
  <c r="C180" i="81"/>
  <c r="AM179" i="81"/>
  <c r="AL179" i="81"/>
  <c r="AK179" i="81"/>
  <c r="AJ179" i="81"/>
  <c r="AI179" i="81"/>
  <c r="AH179" i="81"/>
  <c r="V179" i="81"/>
  <c r="AN179" i="81" s="1"/>
  <c r="U179" i="81"/>
  <c r="C179" i="81"/>
  <c r="AL178" i="81"/>
  <c r="AN178" i="81" s="1"/>
  <c r="AK178" i="81"/>
  <c r="AJ178" i="81"/>
  <c r="AI178" i="81"/>
  <c r="AH178" i="81"/>
  <c r="V178" i="81"/>
  <c r="AM178" i="81" s="1"/>
  <c r="U178" i="81"/>
  <c r="C178" i="81"/>
  <c r="AM177" i="81"/>
  <c r="AL177" i="81"/>
  <c r="AK177" i="81"/>
  <c r="AJ177" i="81"/>
  <c r="AI177" i="81"/>
  <c r="AH177" i="81"/>
  <c r="V177" i="81"/>
  <c r="AN177" i="81" s="1"/>
  <c r="U177" i="81"/>
  <c r="C177" i="81"/>
  <c r="AL176" i="81"/>
  <c r="AN176" i="81" s="1"/>
  <c r="AK176" i="81"/>
  <c r="AJ176" i="81"/>
  <c r="AI176" i="81"/>
  <c r="AH176" i="81"/>
  <c r="V176" i="81"/>
  <c r="AM176" i="81" s="1"/>
  <c r="U176" i="81"/>
  <c r="C176" i="81"/>
  <c r="AM175" i="81"/>
  <c r="AL175" i="81"/>
  <c r="AK175" i="81"/>
  <c r="AJ175" i="81"/>
  <c r="AI175" i="81"/>
  <c r="AH175" i="81"/>
  <c r="V175" i="81"/>
  <c r="AN175" i="81" s="1"/>
  <c r="U175" i="81"/>
  <c r="C175" i="81"/>
  <c r="AL174" i="81"/>
  <c r="AN174" i="81" s="1"/>
  <c r="AK174" i="81"/>
  <c r="AJ174" i="81"/>
  <c r="AI174" i="81"/>
  <c r="AH174" i="81"/>
  <c r="V174" i="81"/>
  <c r="AM174" i="81" s="1"/>
  <c r="U174" i="81"/>
  <c r="C174" i="81"/>
  <c r="AM173" i="81"/>
  <c r="AL173" i="81"/>
  <c r="AK173" i="81"/>
  <c r="AJ173" i="81"/>
  <c r="AI173" i="81"/>
  <c r="AH173" i="81"/>
  <c r="V173" i="81"/>
  <c r="AN173" i="81" s="1"/>
  <c r="U173" i="81"/>
  <c r="C173" i="81"/>
  <c r="AL172" i="81"/>
  <c r="AN172" i="81" s="1"/>
  <c r="AK172" i="81"/>
  <c r="AJ172" i="81"/>
  <c r="AI172" i="81"/>
  <c r="AH172" i="81"/>
  <c r="V172" i="81"/>
  <c r="AM172" i="81" s="1"/>
  <c r="U172" i="81"/>
  <c r="C172" i="81"/>
  <c r="AM171" i="81"/>
  <c r="AL171" i="81"/>
  <c r="AK171" i="81"/>
  <c r="AJ171" i="81"/>
  <c r="AI171" i="81"/>
  <c r="AH171" i="81"/>
  <c r="V171" i="81"/>
  <c r="AN171" i="81" s="1"/>
  <c r="U171" i="81"/>
  <c r="C171" i="81"/>
  <c r="AL170" i="81"/>
  <c r="AN170" i="81" s="1"/>
  <c r="AK170" i="81"/>
  <c r="AJ170" i="81"/>
  <c r="AI170" i="81"/>
  <c r="AH170" i="81"/>
  <c r="V170" i="81"/>
  <c r="AM170" i="81" s="1"/>
  <c r="U170" i="81"/>
  <c r="C170" i="81"/>
  <c r="AM169" i="81"/>
  <c r="AL169" i="81"/>
  <c r="AK169" i="81"/>
  <c r="AJ169" i="81"/>
  <c r="AI169" i="81"/>
  <c r="AH169" i="81"/>
  <c r="V169" i="81"/>
  <c r="AN169" i="81" s="1"/>
  <c r="U169" i="81"/>
  <c r="C169" i="81"/>
  <c r="AM168" i="81"/>
  <c r="AL168" i="81"/>
  <c r="AN168" i="81" s="1"/>
  <c r="AK168" i="81"/>
  <c r="AJ168" i="81"/>
  <c r="AI168" i="81"/>
  <c r="AH168" i="81"/>
  <c r="U168" i="81"/>
  <c r="AL167" i="81"/>
  <c r="AN167" i="81" s="1"/>
  <c r="AK167" i="81"/>
  <c r="AJ167" i="81"/>
  <c r="AI167" i="81"/>
  <c r="AH167" i="81"/>
  <c r="V167" i="81"/>
  <c r="AM167" i="81" s="1"/>
  <c r="U167" i="81"/>
  <c r="C167" i="81"/>
  <c r="AL166" i="81"/>
  <c r="AK166" i="81"/>
  <c r="AJ166" i="81"/>
  <c r="AI166" i="81"/>
  <c r="AH166" i="81"/>
  <c r="V166" i="81"/>
  <c r="AN166" i="81" s="1"/>
  <c r="U166" i="81"/>
  <c r="C166" i="81"/>
  <c r="AL165" i="81"/>
  <c r="AN165" i="81" s="1"/>
  <c r="AK165" i="81"/>
  <c r="AJ165" i="81"/>
  <c r="AI165" i="81"/>
  <c r="AH165" i="81"/>
  <c r="V165" i="81"/>
  <c r="AM165" i="81" s="1"/>
  <c r="U165" i="81"/>
  <c r="C165" i="81"/>
  <c r="AN164" i="81"/>
  <c r="AM164" i="81"/>
  <c r="AL164" i="81"/>
  <c r="AK164" i="81"/>
  <c r="AJ164" i="81"/>
  <c r="AI164" i="81"/>
  <c r="AH164" i="81"/>
  <c r="U164" i="81"/>
  <c r="AM163" i="81"/>
  <c r="AL163" i="81"/>
  <c r="AK163" i="81"/>
  <c r="AJ163" i="81"/>
  <c r="AI163" i="81"/>
  <c r="AH163" i="81"/>
  <c r="V163" i="81"/>
  <c r="AN163" i="81" s="1"/>
  <c r="U163" i="81"/>
  <c r="C163" i="81"/>
  <c r="AL162" i="81"/>
  <c r="AN162" i="81" s="1"/>
  <c r="AK162" i="81"/>
  <c r="AJ162" i="81"/>
  <c r="AI162" i="81"/>
  <c r="AH162" i="81"/>
  <c r="V162" i="81"/>
  <c r="AM162" i="81" s="1"/>
  <c r="U162" i="81"/>
  <c r="C162" i="81"/>
  <c r="AM161" i="81"/>
  <c r="AL161" i="81"/>
  <c r="AK161" i="81"/>
  <c r="AJ161" i="81"/>
  <c r="AI161" i="81"/>
  <c r="AH161" i="81"/>
  <c r="V161" i="81"/>
  <c r="AN161" i="81" s="1"/>
  <c r="U161" i="81"/>
  <c r="C161" i="81"/>
  <c r="AL160" i="81"/>
  <c r="AN160" i="81" s="1"/>
  <c r="AK160" i="81"/>
  <c r="AJ160" i="81"/>
  <c r="AI160" i="81"/>
  <c r="AH160" i="81"/>
  <c r="V160" i="81"/>
  <c r="AM160" i="81" s="1"/>
  <c r="U160" i="81"/>
  <c r="C160" i="81"/>
  <c r="AM159" i="81"/>
  <c r="AL159" i="81"/>
  <c r="AK159" i="81"/>
  <c r="AJ159" i="81"/>
  <c r="AI159" i="81"/>
  <c r="AH159" i="81"/>
  <c r="V159" i="81"/>
  <c r="AN159" i="81" s="1"/>
  <c r="U159" i="81"/>
  <c r="C159" i="81"/>
  <c r="AL158" i="81"/>
  <c r="AN158" i="81" s="1"/>
  <c r="AK158" i="81"/>
  <c r="AJ158" i="81"/>
  <c r="AI158" i="81"/>
  <c r="AH158" i="81"/>
  <c r="V158" i="81"/>
  <c r="AM158" i="81" s="1"/>
  <c r="U158" i="81"/>
  <c r="C158" i="81"/>
  <c r="AM157" i="81"/>
  <c r="AL157" i="81"/>
  <c r="AK157" i="81"/>
  <c r="AJ157" i="81"/>
  <c r="AI157" i="81"/>
  <c r="AH157" i="81"/>
  <c r="V157" i="81"/>
  <c r="AN157" i="81" s="1"/>
  <c r="U157" i="81"/>
  <c r="C157" i="81"/>
  <c r="AL156" i="81"/>
  <c r="AN156" i="81" s="1"/>
  <c r="AK156" i="81"/>
  <c r="AJ156" i="81"/>
  <c r="AI156" i="81"/>
  <c r="AH156" i="81"/>
  <c r="V156" i="81"/>
  <c r="AM156" i="81" s="1"/>
  <c r="U156" i="81"/>
  <c r="C156" i="81"/>
  <c r="AM155" i="81"/>
  <c r="AL155" i="81"/>
  <c r="AK155" i="81"/>
  <c r="AJ155" i="81"/>
  <c r="AI155" i="81"/>
  <c r="AH155" i="81"/>
  <c r="V155" i="81"/>
  <c r="AN155" i="81" s="1"/>
  <c r="U155" i="81"/>
  <c r="C155" i="81"/>
  <c r="AL154" i="81"/>
  <c r="AN154" i="81" s="1"/>
  <c r="AK154" i="81"/>
  <c r="AJ154" i="81"/>
  <c r="AI154" i="81"/>
  <c r="AH154" i="81"/>
  <c r="V154" i="81"/>
  <c r="AM154" i="81" s="1"/>
  <c r="U154" i="81"/>
  <c r="C154" i="81"/>
  <c r="AM153" i="81"/>
  <c r="AL153" i="81"/>
  <c r="AK153" i="81"/>
  <c r="AJ153" i="81"/>
  <c r="AI153" i="81"/>
  <c r="AH153" i="81"/>
  <c r="V153" i="81"/>
  <c r="AN153" i="81" s="1"/>
  <c r="U153" i="81"/>
  <c r="C153" i="81"/>
  <c r="AL152" i="81"/>
  <c r="AN152" i="81" s="1"/>
  <c r="AK152" i="81"/>
  <c r="AJ152" i="81"/>
  <c r="AI152" i="81"/>
  <c r="AH152" i="81"/>
  <c r="V152" i="81"/>
  <c r="AM152" i="81" s="1"/>
  <c r="U152" i="81"/>
  <c r="C152" i="81"/>
  <c r="AM151" i="81"/>
  <c r="AL151" i="81"/>
  <c r="AK151" i="81"/>
  <c r="AJ151" i="81"/>
  <c r="AI151" i="81"/>
  <c r="AH151" i="81"/>
  <c r="V151" i="81"/>
  <c r="AN151" i="81" s="1"/>
  <c r="U151" i="81"/>
  <c r="C151" i="81"/>
  <c r="AL150" i="81"/>
  <c r="AN150" i="81" s="1"/>
  <c r="AK150" i="81"/>
  <c r="AJ150" i="81"/>
  <c r="AI150" i="81"/>
  <c r="AH150" i="81"/>
  <c r="V150" i="81"/>
  <c r="AM150" i="81" s="1"/>
  <c r="U150" i="81"/>
  <c r="C150" i="81"/>
  <c r="AL149" i="81"/>
  <c r="AK149" i="81"/>
  <c r="AJ149" i="81"/>
  <c r="AI149" i="81"/>
  <c r="AH149" i="81"/>
  <c r="V149" i="81"/>
  <c r="AN149" i="81" s="1"/>
  <c r="U149" i="81"/>
  <c r="C149" i="81"/>
  <c r="AL148" i="81"/>
  <c r="AN148" i="81" s="1"/>
  <c r="AK148" i="81"/>
  <c r="AJ148" i="81"/>
  <c r="AI148" i="81"/>
  <c r="AH148" i="81"/>
  <c r="V148" i="81"/>
  <c r="AM148" i="81" s="1"/>
  <c r="U148" i="81"/>
  <c r="C148" i="81"/>
  <c r="AL147" i="81"/>
  <c r="AK147" i="81"/>
  <c r="AJ147" i="81"/>
  <c r="AI147" i="81"/>
  <c r="AH147" i="81"/>
  <c r="V147" i="81"/>
  <c r="AN147" i="81" s="1"/>
  <c r="U147" i="81"/>
  <c r="C147" i="81"/>
  <c r="AM146" i="81"/>
  <c r="AL146" i="81"/>
  <c r="AN146" i="81" s="1"/>
  <c r="AK146" i="81"/>
  <c r="AJ146" i="81"/>
  <c r="AI146" i="81"/>
  <c r="AH146" i="81"/>
  <c r="V146" i="81"/>
  <c r="U146" i="81"/>
  <c r="C146" i="81"/>
  <c r="AL145" i="81"/>
  <c r="AK145" i="81"/>
  <c r="AJ145" i="81"/>
  <c r="AI145" i="81"/>
  <c r="AH145" i="81"/>
  <c r="V145" i="81"/>
  <c r="AN145" i="81" s="1"/>
  <c r="U145" i="81"/>
  <c r="C145" i="81"/>
  <c r="AM144" i="81"/>
  <c r="AL144" i="81"/>
  <c r="AN144" i="81" s="1"/>
  <c r="AK144" i="81"/>
  <c r="AJ144" i="81"/>
  <c r="AI144" i="81"/>
  <c r="AH144" i="81"/>
  <c r="V144" i="81"/>
  <c r="U144" i="81"/>
  <c r="C144" i="81"/>
  <c r="AL143" i="81"/>
  <c r="AK143" i="81"/>
  <c r="AJ143" i="81"/>
  <c r="AI143" i="81"/>
  <c r="AH143" i="81"/>
  <c r="V143" i="81"/>
  <c r="AN143" i="81" s="1"/>
  <c r="U143" i="81"/>
  <c r="C143" i="81"/>
  <c r="AM142" i="81"/>
  <c r="AL142" i="81"/>
  <c r="AN142" i="81" s="1"/>
  <c r="AK142" i="81"/>
  <c r="AJ142" i="81"/>
  <c r="AI142" i="81"/>
  <c r="AH142" i="81"/>
  <c r="V142" i="81"/>
  <c r="U142" i="81"/>
  <c r="C142" i="81"/>
  <c r="AL141" i="81"/>
  <c r="AK141" i="81"/>
  <c r="AJ141" i="81"/>
  <c r="AI141" i="81"/>
  <c r="AH141" i="81"/>
  <c r="V141" i="81"/>
  <c r="AN141" i="81" s="1"/>
  <c r="U141" i="81"/>
  <c r="C141" i="81"/>
  <c r="AM140" i="81"/>
  <c r="AL140" i="81"/>
  <c r="AN140" i="81" s="1"/>
  <c r="AK140" i="81"/>
  <c r="AJ140" i="81"/>
  <c r="AI140" i="81"/>
  <c r="AH140" i="81"/>
  <c r="V140" i="81"/>
  <c r="U140" i="81"/>
  <c r="C140" i="81"/>
  <c r="AL139" i="81"/>
  <c r="AK139" i="81"/>
  <c r="AJ139" i="81"/>
  <c r="AI139" i="81"/>
  <c r="AH139" i="81"/>
  <c r="V139" i="81"/>
  <c r="AN139" i="81" s="1"/>
  <c r="U139" i="81"/>
  <c r="C139" i="81"/>
  <c r="AM138" i="81"/>
  <c r="AL138" i="81"/>
  <c r="AN138" i="81" s="1"/>
  <c r="AK138" i="81"/>
  <c r="AJ138" i="81"/>
  <c r="AI138" i="81"/>
  <c r="AH138" i="81"/>
  <c r="C138" i="81" s="1"/>
  <c r="U138" i="81"/>
  <c r="AN137" i="81"/>
  <c r="AL137" i="81"/>
  <c r="AM137" i="81" s="1"/>
  <c r="AK137" i="81"/>
  <c r="AJ137" i="81"/>
  <c r="AI137" i="81"/>
  <c r="AH137" i="81"/>
  <c r="C137" i="81" s="1"/>
  <c r="V137" i="81"/>
  <c r="U137" i="81"/>
  <c r="AL136" i="81"/>
  <c r="AN136" i="81" s="1"/>
  <c r="AK136" i="81"/>
  <c r="AJ136" i="81"/>
  <c r="AI136" i="81"/>
  <c r="AH136" i="81"/>
  <c r="C136" i="81" s="1"/>
  <c r="V136" i="81"/>
  <c r="AM136" i="81" s="1"/>
  <c r="U136" i="81"/>
  <c r="AN135" i="81"/>
  <c r="AL135" i="81"/>
  <c r="AM135" i="81" s="1"/>
  <c r="AK135" i="81"/>
  <c r="AJ135" i="81"/>
  <c r="AI135" i="81"/>
  <c r="AH135" i="81"/>
  <c r="C135" i="81" s="1"/>
  <c r="V135" i="81"/>
  <c r="U135" i="81"/>
  <c r="AL134" i="81"/>
  <c r="AN134" i="81" s="1"/>
  <c r="AK134" i="81"/>
  <c r="AJ134" i="81"/>
  <c r="AI134" i="81"/>
  <c r="AH134" i="81"/>
  <c r="C134" i="81" s="1"/>
  <c r="V134" i="81"/>
  <c r="AM134" i="81" s="1"/>
  <c r="U134" i="81"/>
  <c r="AN133" i="81"/>
  <c r="AL133" i="81"/>
  <c r="AM133" i="81" s="1"/>
  <c r="AK133" i="81"/>
  <c r="AJ133" i="81"/>
  <c r="AI133" i="81"/>
  <c r="AH133" i="81"/>
  <c r="C133" i="81" s="1"/>
  <c r="V133" i="81"/>
  <c r="U133" i="81"/>
  <c r="AL132" i="81"/>
  <c r="AN132" i="81" s="1"/>
  <c r="AK132" i="81"/>
  <c r="AJ132" i="81"/>
  <c r="AI132" i="81"/>
  <c r="AH132" i="81"/>
  <c r="C132" i="81" s="1"/>
  <c r="V132" i="81"/>
  <c r="AM132" i="81" s="1"/>
  <c r="U132" i="81"/>
  <c r="AN131" i="81"/>
  <c r="AL131" i="81"/>
  <c r="AM131" i="81" s="1"/>
  <c r="AK131" i="81"/>
  <c r="AJ131" i="81"/>
  <c r="AI131" i="81"/>
  <c r="AH131" i="81"/>
  <c r="C131" i="81" s="1"/>
  <c r="V131" i="81"/>
  <c r="U131" i="81"/>
  <c r="AL130" i="81"/>
  <c r="AN130" i="81" s="1"/>
  <c r="AK130" i="81"/>
  <c r="AJ130" i="81"/>
  <c r="AI130" i="81"/>
  <c r="AH130" i="81"/>
  <c r="C130" i="81" s="1"/>
  <c r="V130" i="81"/>
  <c r="AM130" i="81" s="1"/>
  <c r="U130" i="81"/>
  <c r="AN129" i="81"/>
  <c r="AL129" i="81"/>
  <c r="AM129" i="81" s="1"/>
  <c r="AK129" i="81"/>
  <c r="AJ129" i="81"/>
  <c r="AI129" i="81"/>
  <c r="AH129" i="81"/>
  <c r="C129" i="81" s="1"/>
  <c r="V129" i="81"/>
  <c r="U129" i="81"/>
  <c r="AL128" i="81"/>
  <c r="AN128" i="81" s="1"/>
  <c r="AK128" i="81"/>
  <c r="AJ128" i="81"/>
  <c r="AI128" i="81"/>
  <c r="AH128" i="81"/>
  <c r="V128" i="81"/>
  <c r="AM128" i="81" s="1"/>
  <c r="U128" i="81"/>
  <c r="AM127" i="81"/>
  <c r="AL127" i="81"/>
  <c r="AN127" i="81" s="1"/>
  <c r="AK127" i="81"/>
  <c r="AJ127" i="81"/>
  <c r="AI127" i="81"/>
  <c r="AH127" i="81"/>
  <c r="AA127" i="81"/>
  <c r="V127" i="81"/>
  <c r="U127" i="81"/>
  <c r="AM126" i="81"/>
  <c r="AL126" i="81"/>
  <c r="AK126" i="81"/>
  <c r="AJ126" i="81"/>
  <c r="AI126" i="81"/>
  <c r="AH126" i="81"/>
  <c r="AA126" i="81"/>
  <c r="V126" i="81"/>
  <c r="AN126" i="81" s="1"/>
  <c r="U126" i="81"/>
  <c r="AM125" i="81"/>
  <c r="AL125" i="81"/>
  <c r="AN125" i="81" s="1"/>
  <c r="AK125" i="81"/>
  <c r="AJ125" i="81"/>
  <c r="AI125" i="81"/>
  <c r="AH125" i="81"/>
  <c r="AA125" i="81"/>
  <c r="V125" i="81"/>
  <c r="U125" i="81"/>
  <c r="AM124" i="81"/>
  <c r="AL124" i="81"/>
  <c r="AK124" i="81"/>
  <c r="AJ124" i="81"/>
  <c r="AI124" i="81"/>
  <c r="AH124" i="81"/>
  <c r="AA124" i="81"/>
  <c r="V124" i="81"/>
  <c r="AN124" i="81" s="1"/>
  <c r="U124" i="81"/>
  <c r="AM123" i="81"/>
  <c r="AL123" i="81"/>
  <c r="AN123" i="81" s="1"/>
  <c r="AK123" i="81"/>
  <c r="AJ123" i="81"/>
  <c r="AI123" i="81"/>
  <c r="AH123" i="81"/>
  <c r="V123" i="81"/>
  <c r="U123" i="81"/>
  <c r="AN122" i="81"/>
  <c r="AL122" i="81"/>
  <c r="AM122" i="81" s="1"/>
  <c r="AK122" i="81"/>
  <c r="AJ122" i="81"/>
  <c r="AI122" i="81"/>
  <c r="AH122" i="81"/>
  <c r="V122" i="81"/>
  <c r="U122" i="81"/>
  <c r="AL121" i="81"/>
  <c r="AK121" i="81"/>
  <c r="AJ121" i="81"/>
  <c r="AI121" i="81"/>
  <c r="AH121" i="81"/>
  <c r="V121" i="81"/>
  <c r="AN121" i="81" s="1"/>
  <c r="U121" i="81"/>
  <c r="AL120" i="81"/>
  <c r="AN120" i="81" s="1"/>
  <c r="AK120" i="81"/>
  <c r="AJ120" i="81"/>
  <c r="AI120" i="81"/>
  <c r="AH120" i="81"/>
  <c r="V120" i="81"/>
  <c r="AM120" i="81" s="1"/>
  <c r="U120" i="81"/>
  <c r="AM119" i="81"/>
  <c r="AL119" i="81"/>
  <c r="AN119" i="81" s="1"/>
  <c r="AK119" i="81"/>
  <c r="AJ119" i="81"/>
  <c r="AI119" i="81"/>
  <c r="AH119" i="81"/>
  <c r="V119" i="81"/>
  <c r="U119" i="81"/>
  <c r="AN118" i="81"/>
  <c r="AL118" i="81"/>
  <c r="AM118" i="81" s="1"/>
  <c r="AK118" i="81"/>
  <c r="AJ118" i="81"/>
  <c r="AI118" i="81"/>
  <c r="AH118" i="81"/>
  <c r="V118" i="81"/>
  <c r="U118" i="81"/>
  <c r="AL117" i="81"/>
  <c r="AK117" i="81"/>
  <c r="AJ117" i="81"/>
  <c r="AI117" i="81"/>
  <c r="AH117" i="81"/>
  <c r="V117" i="81"/>
  <c r="AN117" i="81" s="1"/>
  <c r="U117" i="81"/>
  <c r="AL116" i="81"/>
  <c r="AN116" i="81" s="1"/>
  <c r="AK116" i="81"/>
  <c r="AJ116" i="81"/>
  <c r="AI116" i="81"/>
  <c r="AH116" i="81"/>
  <c r="V116" i="81"/>
  <c r="AM116" i="81" s="1"/>
  <c r="U116" i="81"/>
  <c r="AM115" i="81"/>
  <c r="AL115" i="81"/>
  <c r="AN115" i="81" s="1"/>
  <c r="AK115" i="81"/>
  <c r="AJ115" i="81"/>
  <c r="AI115" i="81"/>
  <c r="AH115" i="81"/>
  <c r="V115" i="81"/>
  <c r="U115" i="81"/>
  <c r="AN114" i="81"/>
  <c r="AL114" i="81"/>
  <c r="AM114" i="81" s="1"/>
  <c r="AK114" i="81"/>
  <c r="AJ114" i="81"/>
  <c r="AI114" i="81"/>
  <c r="AH114" i="81"/>
  <c r="V114" i="81"/>
  <c r="U114" i="81"/>
  <c r="AL113" i="81"/>
  <c r="AK113" i="81"/>
  <c r="AJ113" i="81"/>
  <c r="AI113" i="81"/>
  <c r="AH113" i="81"/>
  <c r="V113" i="81"/>
  <c r="AN113" i="81" s="1"/>
  <c r="U113" i="81"/>
  <c r="AL112" i="81"/>
  <c r="AN112" i="81" s="1"/>
  <c r="AK112" i="81"/>
  <c r="AJ112" i="81"/>
  <c r="AI112" i="81"/>
  <c r="AH112" i="81"/>
  <c r="V112" i="81"/>
  <c r="AM112" i="81" s="1"/>
  <c r="U112" i="81"/>
  <c r="AM111" i="81"/>
  <c r="AL111" i="81"/>
  <c r="AN111" i="81" s="1"/>
  <c r="AK111" i="81"/>
  <c r="AJ111" i="81"/>
  <c r="AI111" i="81"/>
  <c r="AH111" i="81"/>
  <c r="U111" i="81"/>
  <c r="B111" i="81"/>
  <c r="AN110" i="81"/>
  <c r="AL110" i="81"/>
  <c r="AM110" i="81" s="1"/>
  <c r="AK110" i="81"/>
  <c r="AJ110" i="81"/>
  <c r="AI110" i="81"/>
  <c r="AH110" i="81"/>
  <c r="V110" i="81"/>
  <c r="U110" i="81"/>
  <c r="AL109" i="81"/>
  <c r="AK109" i="81"/>
  <c r="AJ109" i="81"/>
  <c r="AI109" i="81"/>
  <c r="AH109" i="81"/>
  <c r="V109" i="81"/>
  <c r="AN109" i="81" s="1"/>
  <c r="U109" i="81"/>
  <c r="AL108" i="81"/>
  <c r="AN108" i="81" s="1"/>
  <c r="AK108" i="81"/>
  <c r="AJ108" i="81"/>
  <c r="AI108" i="81"/>
  <c r="AH108" i="81"/>
  <c r="AA108" i="81"/>
  <c r="V108" i="81"/>
  <c r="AM108" i="81" s="1"/>
  <c r="U108" i="81"/>
  <c r="AL107" i="81"/>
  <c r="AK107" i="81"/>
  <c r="AJ107" i="81"/>
  <c r="AI107" i="81"/>
  <c r="AH107" i="81"/>
  <c r="AA107" i="81"/>
  <c r="V107" i="81"/>
  <c r="AN107" i="81" s="1"/>
  <c r="U107" i="81"/>
  <c r="AL106" i="81"/>
  <c r="AN106" i="81" s="1"/>
  <c r="AK106" i="81"/>
  <c r="AJ106" i="81"/>
  <c r="AI106" i="81"/>
  <c r="AH106" i="81"/>
  <c r="AA106" i="81"/>
  <c r="V106" i="81"/>
  <c r="AM106" i="81" s="1"/>
  <c r="U106" i="81"/>
  <c r="AL105" i="81"/>
  <c r="AK105" i="81"/>
  <c r="AJ105" i="81"/>
  <c r="AI105" i="81"/>
  <c r="AH105" i="81"/>
  <c r="AA105" i="81"/>
  <c r="V105" i="81"/>
  <c r="AN105" i="81" s="1"/>
  <c r="U105" i="81"/>
  <c r="AL104" i="81"/>
  <c r="AN104" i="81" s="1"/>
  <c r="AK104" i="81"/>
  <c r="AJ104" i="81"/>
  <c r="AI104" i="81"/>
  <c r="AH104" i="81"/>
  <c r="V104" i="81"/>
  <c r="AM104" i="81" s="1"/>
  <c r="U104" i="81"/>
  <c r="AL103" i="81"/>
  <c r="AN103" i="81" s="1"/>
  <c r="AK103" i="81"/>
  <c r="AJ103" i="81"/>
  <c r="AI103" i="81"/>
  <c r="AH103" i="81"/>
  <c r="V103" i="81"/>
  <c r="U103" i="81"/>
  <c r="AN102" i="81"/>
  <c r="AM102" i="81"/>
  <c r="AL102" i="81"/>
  <c r="AK102" i="81"/>
  <c r="AJ102" i="81"/>
  <c r="AI102" i="81"/>
  <c r="AH102" i="81"/>
  <c r="V102" i="81"/>
  <c r="U102" i="81"/>
  <c r="AL101" i="81"/>
  <c r="AK101" i="81"/>
  <c r="AJ101" i="81"/>
  <c r="AI101" i="81"/>
  <c r="AH101" i="81"/>
  <c r="AA101" i="81"/>
  <c r="V101" i="81"/>
  <c r="AN101" i="81" s="1"/>
  <c r="U101" i="81"/>
  <c r="AL100" i="81"/>
  <c r="AN100" i="81" s="1"/>
  <c r="AK100" i="81"/>
  <c r="AJ100" i="81"/>
  <c r="AI100" i="81"/>
  <c r="AH100" i="81"/>
  <c r="V100" i="81"/>
  <c r="U100" i="81"/>
  <c r="AM99" i="81"/>
  <c r="AL99" i="81"/>
  <c r="AK99" i="81"/>
  <c r="AJ99" i="81"/>
  <c r="AI99" i="81"/>
  <c r="AH99" i="81"/>
  <c r="AA99" i="81"/>
  <c r="V99" i="81"/>
  <c r="AN99" i="81" s="1"/>
  <c r="U99" i="81"/>
  <c r="AL98" i="81"/>
  <c r="AN98" i="81" s="1"/>
  <c r="AK98" i="81"/>
  <c r="AJ98" i="81"/>
  <c r="AI98" i="81"/>
  <c r="AH98" i="81"/>
  <c r="AA98" i="81"/>
  <c r="V98" i="81"/>
  <c r="AM98" i="81" s="1"/>
  <c r="U98" i="81"/>
  <c r="AM97" i="81"/>
  <c r="AL97" i="81"/>
  <c r="AK97" i="81"/>
  <c r="AJ97" i="81"/>
  <c r="AI97" i="81"/>
  <c r="AH97" i="81"/>
  <c r="AA97" i="81"/>
  <c r="V97" i="81"/>
  <c r="AN97" i="81" s="1"/>
  <c r="U97" i="81"/>
  <c r="AL96" i="81"/>
  <c r="AN96" i="81" s="1"/>
  <c r="AK96" i="81"/>
  <c r="AJ96" i="81"/>
  <c r="AI96" i="81"/>
  <c r="AH96" i="81"/>
  <c r="AA96" i="81"/>
  <c r="V96" i="81"/>
  <c r="AM96" i="81" s="1"/>
  <c r="U96" i="81"/>
  <c r="AN95" i="81"/>
  <c r="AM95" i="81"/>
  <c r="AL95" i="81"/>
  <c r="AK95" i="81"/>
  <c r="AJ95" i="81"/>
  <c r="AI95" i="81"/>
  <c r="AH95" i="81"/>
  <c r="V95" i="81"/>
  <c r="U95" i="81"/>
  <c r="AN94" i="81"/>
  <c r="AL94" i="81"/>
  <c r="AK94" i="81"/>
  <c r="AJ94" i="81"/>
  <c r="AI94" i="81"/>
  <c r="AH94" i="81"/>
  <c r="V94" i="81"/>
  <c r="AM94" i="81" s="1"/>
  <c r="U94" i="81"/>
  <c r="AL93" i="81"/>
  <c r="AN93" i="81" s="1"/>
  <c r="AK93" i="81"/>
  <c r="AJ93" i="81"/>
  <c r="AI93" i="81"/>
  <c r="AH93" i="81"/>
  <c r="V93" i="81"/>
  <c r="AM93" i="81" s="1"/>
  <c r="U93" i="81"/>
  <c r="AL92" i="81"/>
  <c r="AN92" i="81" s="1"/>
  <c r="AK92" i="81"/>
  <c r="AJ92" i="81"/>
  <c r="AI92" i="81"/>
  <c r="AH92" i="81"/>
  <c r="V92" i="81"/>
  <c r="U92" i="81"/>
  <c r="AN91" i="81"/>
  <c r="AM91" i="81"/>
  <c r="AL91" i="81"/>
  <c r="AK91" i="81"/>
  <c r="AJ91" i="81"/>
  <c r="AI91" i="81"/>
  <c r="AH91" i="81"/>
  <c r="V91" i="81"/>
  <c r="U91" i="81"/>
  <c r="AN90" i="81"/>
  <c r="AL90" i="81"/>
  <c r="AK90" i="81"/>
  <c r="AJ90" i="81"/>
  <c r="AI90" i="81"/>
  <c r="AH90" i="81"/>
  <c r="V90" i="81"/>
  <c r="AM90" i="81" s="1"/>
  <c r="U90" i="81"/>
  <c r="AL89" i="81"/>
  <c r="AN89" i="81" s="1"/>
  <c r="AK89" i="81"/>
  <c r="AJ89" i="81"/>
  <c r="AI89" i="81"/>
  <c r="AH89" i="81"/>
  <c r="V89" i="81"/>
  <c r="AM89" i="81" s="1"/>
  <c r="U89" i="81"/>
  <c r="AL88" i="81"/>
  <c r="AN88" i="81" s="1"/>
  <c r="AK88" i="81"/>
  <c r="AJ88" i="81"/>
  <c r="AI88" i="81"/>
  <c r="AH88" i="81"/>
  <c r="V88" i="81"/>
  <c r="U88" i="81"/>
  <c r="AN87" i="81"/>
  <c r="AM87" i="81"/>
  <c r="AL87" i="81"/>
  <c r="AK87" i="81"/>
  <c r="AJ87" i="81"/>
  <c r="AI87" i="81"/>
  <c r="AH87" i="81"/>
  <c r="V87" i="81"/>
  <c r="U87" i="81"/>
  <c r="AN86" i="81"/>
  <c r="AL86" i="81"/>
  <c r="AM86" i="81" s="1"/>
  <c r="AK86" i="81"/>
  <c r="AJ86" i="81"/>
  <c r="AI86" i="81"/>
  <c r="AH86" i="81"/>
  <c r="U86" i="81"/>
  <c r="AN85" i="81"/>
  <c r="AL85" i="81"/>
  <c r="AK85" i="81"/>
  <c r="AJ85" i="81"/>
  <c r="AI85" i="81"/>
  <c r="AH85" i="81"/>
  <c r="V85" i="81"/>
  <c r="AM85" i="81" s="1"/>
  <c r="U85" i="81"/>
  <c r="AL84" i="81"/>
  <c r="AK84" i="81"/>
  <c r="AJ84" i="81"/>
  <c r="AI84" i="81"/>
  <c r="AH84" i="81"/>
  <c r="V84" i="81"/>
  <c r="AM84" i="81" s="1"/>
  <c r="U84" i="81"/>
  <c r="AL83" i="81"/>
  <c r="AK83" i="81"/>
  <c r="AJ83" i="81"/>
  <c r="AI83" i="81"/>
  <c r="AH83" i="81"/>
  <c r="V83" i="81"/>
  <c r="U83" i="81"/>
  <c r="AM82" i="81"/>
  <c r="AL82" i="81"/>
  <c r="AK82" i="81"/>
  <c r="AJ82" i="81"/>
  <c r="AI82" i="81"/>
  <c r="AH82" i="81"/>
  <c r="V82" i="81"/>
  <c r="AN82" i="81" s="1"/>
  <c r="U82" i="81"/>
  <c r="AN81" i="81"/>
  <c r="AL81" i="81"/>
  <c r="AK81" i="81"/>
  <c r="AJ81" i="81"/>
  <c r="AI81" i="81"/>
  <c r="AH81" i="81"/>
  <c r="V81" i="81"/>
  <c r="AM81" i="81" s="1"/>
  <c r="U81" i="81"/>
  <c r="AL80" i="81"/>
  <c r="AK80" i="81"/>
  <c r="AJ80" i="81"/>
  <c r="AI80" i="81"/>
  <c r="AH80" i="81"/>
  <c r="V80" i="81"/>
  <c r="AM80" i="81" s="1"/>
  <c r="U80" i="81"/>
  <c r="AL79" i="81"/>
  <c r="AM79" i="81" s="1"/>
  <c r="AK79" i="81"/>
  <c r="AJ79" i="81"/>
  <c r="AI79" i="81"/>
  <c r="AH79" i="81"/>
  <c r="V79" i="81"/>
  <c r="U79" i="81"/>
  <c r="AL78" i="81"/>
  <c r="AK78" i="81"/>
  <c r="AJ78" i="81"/>
  <c r="AI78" i="81"/>
  <c r="AH78" i="81"/>
  <c r="V78" i="81"/>
  <c r="AN78" i="81" s="1"/>
  <c r="U78" i="81"/>
  <c r="AL77" i="81"/>
  <c r="AN77" i="81" s="1"/>
  <c r="AK77" i="81"/>
  <c r="AJ77" i="81"/>
  <c r="AI77" i="81"/>
  <c r="AH77" i="81"/>
  <c r="AA77" i="81"/>
  <c r="V77" i="81"/>
  <c r="U77" i="81"/>
  <c r="B77" i="81"/>
  <c r="AM76" i="81"/>
  <c r="AL76" i="81"/>
  <c r="AK76" i="81"/>
  <c r="AJ76" i="81"/>
  <c r="AI76" i="81"/>
  <c r="AH76" i="81"/>
  <c r="AA76" i="81"/>
  <c r="V76" i="81"/>
  <c r="U76" i="81"/>
  <c r="B76" i="81"/>
  <c r="AL75" i="81"/>
  <c r="AM75" i="81" s="1"/>
  <c r="AK75" i="81"/>
  <c r="AJ75" i="81"/>
  <c r="AI75" i="81"/>
  <c r="AH75" i="81"/>
  <c r="AA75" i="81"/>
  <c r="V75" i="81"/>
  <c r="U75" i="81"/>
  <c r="B75" i="81"/>
  <c r="AL74" i="81"/>
  <c r="AN74" i="81" s="1"/>
  <c r="AK74" i="81"/>
  <c r="AJ74" i="81"/>
  <c r="AI74" i="81"/>
  <c r="AH74" i="81"/>
  <c r="AA74" i="81"/>
  <c r="V74" i="81"/>
  <c r="U74" i="81"/>
  <c r="B74" i="81"/>
  <c r="AN73" i="81"/>
  <c r="AL73" i="81"/>
  <c r="AK73" i="81"/>
  <c r="AJ73" i="81"/>
  <c r="AI73" i="81"/>
  <c r="AH73" i="81"/>
  <c r="V73" i="81"/>
  <c r="AM73" i="81" s="1"/>
  <c r="U73" i="81"/>
  <c r="AL72" i="81"/>
  <c r="AN72" i="81" s="1"/>
  <c r="AK72" i="81"/>
  <c r="AJ72" i="81"/>
  <c r="AI72" i="81"/>
  <c r="AH72" i="81"/>
  <c r="V72" i="81"/>
  <c r="AM72" i="81" s="1"/>
  <c r="U72" i="81"/>
  <c r="AL71" i="81"/>
  <c r="AM71" i="81" s="1"/>
  <c r="AK71" i="81"/>
  <c r="AJ71" i="81"/>
  <c r="AI71" i="81"/>
  <c r="AH71" i="81"/>
  <c r="V71" i="81"/>
  <c r="U71" i="81"/>
  <c r="AN70" i="81"/>
  <c r="AM70" i="81"/>
  <c r="AL70" i="81"/>
  <c r="AK70" i="81"/>
  <c r="AJ70" i="81"/>
  <c r="AI70" i="81"/>
  <c r="AH70" i="81"/>
  <c r="V70" i="81"/>
  <c r="U70" i="81"/>
  <c r="AN69" i="81"/>
  <c r="AL69" i="81"/>
  <c r="AK69" i="81"/>
  <c r="AJ69" i="81"/>
  <c r="AI69" i="81"/>
  <c r="AH69" i="81"/>
  <c r="V69" i="81"/>
  <c r="AM69" i="81" s="1"/>
  <c r="U69" i="81"/>
  <c r="AL68" i="81"/>
  <c r="AN68" i="81" s="1"/>
  <c r="AK68" i="81"/>
  <c r="AJ68" i="81"/>
  <c r="AI68" i="81"/>
  <c r="AH68" i="81"/>
  <c r="V68" i="81"/>
  <c r="AM68" i="81" s="1"/>
  <c r="U68" i="81"/>
  <c r="AL67" i="81"/>
  <c r="AM67" i="81" s="1"/>
  <c r="AK67" i="81"/>
  <c r="AJ67" i="81"/>
  <c r="AI67" i="81"/>
  <c r="AH67" i="81"/>
  <c r="V67" i="81"/>
  <c r="U67" i="81"/>
  <c r="AN66" i="81"/>
  <c r="AM66" i="81"/>
  <c r="AL66" i="81"/>
  <c r="AK66" i="81"/>
  <c r="AJ66" i="81"/>
  <c r="AI66" i="81"/>
  <c r="AH66" i="81"/>
  <c r="V66" i="81"/>
  <c r="U66" i="81"/>
  <c r="AN65" i="81"/>
  <c r="AL65" i="81"/>
  <c r="AK65" i="81"/>
  <c r="AJ65" i="81"/>
  <c r="AI65" i="81"/>
  <c r="AH65" i="81"/>
  <c r="V65" i="81"/>
  <c r="AM65" i="81" s="1"/>
  <c r="U65" i="81"/>
  <c r="AL64" i="81"/>
  <c r="AN64" i="81" s="1"/>
  <c r="AK64" i="81"/>
  <c r="AJ64" i="81"/>
  <c r="AI64" i="81"/>
  <c r="AH64" i="81"/>
  <c r="V64" i="81"/>
  <c r="AM64" i="81" s="1"/>
  <c r="U64" i="81"/>
  <c r="AL63" i="81"/>
  <c r="AM63" i="81" s="1"/>
  <c r="AK63" i="81"/>
  <c r="AJ63" i="81"/>
  <c r="AI63" i="81"/>
  <c r="AH63" i="81"/>
  <c r="V63" i="81"/>
  <c r="U63" i="81"/>
  <c r="AN62" i="81"/>
  <c r="AM62" i="81"/>
  <c r="AL62" i="81"/>
  <c r="AK62" i="81"/>
  <c r="AJ62" i="81"/>
  <c r="AI62" i="81"/>
  <c r="AH62" i="81"/>
  <c r="V62" i="81"/>
  <c r="U62" i="81"/>
  <c r="AN61" i="81"/>
  <c r="AL61" i="81"/>
  <c r="AK61" i="81"/>
  <c r="AJ61" i="81"/>
  <c r="AI61" i="81"/>
  <c r="AH61" i="81"/>
  <c r="V61" i="81"/>
  <c r="AM61" i="81" s="1"/>
  <c r="U61" i="81"/>
  <c r="AL60" i="81"/>
  <c r="AN60" i="81" s="1"/>
  <c r="AK60" i="81"/>
  <c r="AJ60" i="81"/>
  <c r="AI60" i="81"/>
  <c r="AH60" i="81"/>
  <c r="V60" i="81"/>
  <c r="AM60" i="81" s="1"/>
  <c r="U60" i="81"/>
  <c r="AL59" i="81"/>
  <c r="AM59" i="81" s="1"/>
  <c r="AK59" i="81"/>
  <c r="AJ59" i="81"/>
  <c r="AI59" i="81"/>
  <c r="AH59" i="81"/>
  <c r="V59" i="81"/>
  <c r="U59" i="81"/>
  <c r="AN58" i="81"/>
  <c r="AM58" i="81"/>
  <c r="AL58" i="81"/>
  <c r="AK58" i="81"/>
  <c r="AJ58" i="81"/>
  <c r="AI58" i="81"/>
  <c r="AH58" i="81"/>
  <c r="V58" i="81"/>
  <c r="U58" i="81"/>
  <c r="AL57" i="81"/>
  <c r="AL595" i="81" s="1"/>
  <c r="AK57" i="81"/>
  <c r="AJ57" i="81"/>
  <c r="AI57" i="81"/>
  <c r="AH57" i="81"/>
  <c r="AA57" i="81"/>
  <c r="AA595" i="81" s="1"/>
  <c r="V57" i="81"/>
  <c r="V595" i="81" s="1"/>
  <c r="U57" i="81"/>
  <c r="B57" i="81"/>
  <c r="B595" i="81" s="1"/>
  <c r="AM56" i="81"/>
  <c r="AL56" i="81"/>
  <c r="AK56" i="81"/>
  <c r="AJ56" i="81"/>
  <c r="AI56" i="81"/>
  <c r="AH56" i="81"/>
  <c r="AA56" i="81"/>
  <c r="V56" i="81"/>
  <c r="AN56" i="81" s="1"/>
  <c r="U56" i="81"/>
  <c r="B56" i="81"/>
  <c r="AL55" i="81"/>
  <c r="AM55" i="81" s="1"/>
  <c r="AK55" i="81"/>
  <c r="AJ55" i="81"/>
  <c r="AI55" i="81"/>
  <c r="AH55" i="81"/>
  <c r="AA55" i="81"/>
  <c r="V55" i="81"/>
  <c r="U55" i="81"/>
  <c r="B55" i="81"/>
  <c r="AL54" i="81"/>
  <c r="AN54" i="81" s="1"/>
  <c r="AK54" i="81"/>
  <c r="AJ54" i="81"/>
  <c r="AI54" i="81"/>
  <c r="AH54" i="81"/>
  <c r="AA54" i="81"/>
  <c r="V54" i="81"/>
  <c r="U54" i="81"/>
  <c r="B54" i="81"/>
  <c r="AN53" i="81"/>
  <c r="AL53" i="81"/>
  <c r="AK53" i="81"/>
  <c r="AJ53" i="81"/>
  <c r="AI53" i="81"/>
  <c r="AH53" i="81"/>
  <c r="V53" i="81"/>
  <c r="AM53" i="81" s="1"/>
  <c r="U53" i="81"/>
  <c r="B53" i="81"/>
  <c r="AL52" i="81"/>
  <c r="AM52" i="81" s="1"/>
  <c r="AK52" i="81"/>
  <c r="AJ52" i="81"/>
  <c r="AI52" i="81"/>
  <c r="AH52" i="81"/>
  <c r="V52" i="81"/>
  <c r="U52" i="81"/>
  <c r="B52" i="81"/>
  <c r="AN51" i="81"/>
  <c r="AL51" i="81"/>
  <c r="AK51" i="81"/>
  <c r="AJ51" i="81"/>
  <c r="AI51" i="81"/>
  <c r="AH51" i="81"/>
  <c r="V51" i="81"/>
  <c r="AM51" i="81" s="1"/>
  <c r="U51" i="81"/>
  <c r="AL50" i="81"/>
  <c r="AN50" i="81" s="1"/>
  <c r="AK50" i="81"/>
  <c r="AJ50" i="81"/>
  <c r="AI50" i="81"/>
  <c r="AH50" i="81"/>
  <c r="V50" i="81"/>
  <c r="AM50" i="81" s="1"/>
  <c r="U50" i="81"/>
  <c r="AL49" i="81"/>
  <c r="AM49" i="81" s="1"/>
  <c r="AK49" i="81"/>
  <c r="AJ49" i="81"/>
  <c r="AI49" i="81"/>
  <c r="AH49" i="81"/>
  <c r="V49" i="81"/>
  <c r="U49" i="81"/>
  <c r="AM48" i="81"/>
  <c r="AL48" i="81"/>
  <c r="AK48" i="81"/>
  <c r="AJ48" i="81"/>
  <c r="AI48" i="81"/>
  <c r="AH48" i="81"/>
  <c r="V48" i="81"/>
  <c r="AN48" i="81" s="1"/>
  <c r="U48" i="81"/>
  <c r="AN47" i="81"/>
  <c r="AL47" i="81"/>
  <c r="AK47" i="81"/>
  <c r="AJ47" i="81"/>
  <c r="AI47" i="81"/>
  <c r="AH47" i="81"/>
  <c r="V47" i="81"/>
  <c r="AM47" i="81" s="1"/>
  <c r="U47" i="81"/>
  <c r="AL46" i="81"/>
  <c r="AN46" i="81" s="1"/>
  <c r="AK46" i="81"/>
  <c r="AJ46" i="81"/>
  <c r="AI46" i="81"/>
  <c r="AH46" i="81"/>
  <c r="V46" i="81"/>
  <c r="AM46" i="81" s="1"/>
  <c r="U46" i="81"/>
  <c r="AL45" i="81"/>
  <c r="AM45" i="81" s="1"/>
  <c r="AK45" i="81"/>
  <c r="AJ45" i="81"/>
  <c r="AI45" i="81"/>
  <c r="AH45" i="81"/>
  <c r="V45" i="81"/>
  <c r="U45" i="81"/>
  <c r="AM44" i="81"/>
  <c r="AL44" i="81"/>
  <c r="AK44" i="81"/>
  <c r="AJ44" i="81"/>
  <c r="AI44" i="81"/>
  <c r="AH44" i="81"/>
  <c r="V44" i="81"/>
  <c r="AN44" i="81" s="1"/>
  <c r="U44" i="81"/>
  <c r="AN43" i="81"/>
  <c r="AL43" i="81"/>
  <c r="AK43" i="81"/>
  <c r="AJ43" i="81"/>
  <c r="AI43" i="81"/>
  <c r="AH43" i="81"/>
  <c r="V43" i="81"/>
  <c r="AM43" i="81" s="1"/>
  <c r="U43" i="81"/>
  <c r="AL42" i="81"/>
  <c r="AN42" i="81" s="1"/>
  <c r="AK42" i="81"/>
  <c r="AJ42" i="81"/>
  <c r="AI42" i="81"/>
  <c r="AH42" i="81"/>
  <c r="V42" i="81"/>
  <c r="AM42" i="81" s="1"/>
  <c r="U42" i="81"/>
  <c r="AL41" i="81"/>
  <c r="AM41" i="81" s="1"/>
  <c r="AK41" i="81"/>
  <c r="AJ41" i="81"/>
  <c r="AI41" i="81"/>
  <c r="AH41" i="81"/>
  <c r="V41" i="81"/>
  <c r="U41" i="81"/>
  <c r="AN40" i="81"/>
  <c r="AM40" i="81"/>
  <c r="AL40" i="81"/>
  <c r="AK40" i="81"/>
  <c r="AJ40" i="81"/>
  <c r="AI40" i="81"/>
  <c r="AH40" i="81"/>
  <c r="V40" i="81"/>
  <c r="U40" i="81"/>
  <c r="AN39" i="81"/>
  <c r="AL39" i="81"/>
  <c r="AK39" i="81"/>
  <c r="AJ39" i="81"/>
  <c r="AI39" i="81"/>
  <c r="AH39" i="81"/>
  <c r="V39" i="81"/>
  <c r="AM39" i="81" s="1"/>
  <c r="U39" i="81"/>
  <c r="AL38" i="81"/>
  <c r="AN38" i="81" s="1"/>
  <c r="AK38" i="81"/>
  <c r="AJ38" i="81"/>
  <c r="AI38" i="81"/>
  <c r="AH38" i="81"/>
  <c r="V38" i="81"/>
  <c r="AM38" i="81" s="1"/>
  <c r="U38" i="81"/>
  <c r="AL37" i="81"/>
  <c r="AM37" i="81" s="1"/>
  <c r="AK37" i="81"/>
  <c r="AJ37" i="81"/>
  <c r="AI37" i="81"/>
  <c r="AH37" i="81"/>
  <c r="V37" i="81"/>
  <c r="U37" i="81"/>
  <c r="AN36" i="81"/>
  <c r="AM36" i="81"/>
  <c r="AL36" i="81"/>
  <c r="AK36" i="81"/>
  <c r="AJ36" i="81"/>
  <c r="AI36" i="81"/>
  <c r="AH36" i="81"/>
  <c r="V36" i="81"/>
  <c r="U36" i="81"/>
  <c r="AN35" i="81"/>
  <c r="AL35" i="81"/>
  <c r="AK35" i="81"/>
  <c r="AJ35" i="81"/>
  <c r="AI35" i="81"/>
  <c r="AH35" i="81"/>
  <c r="V35" i="81"/>
  <c r="AM35" i="81" s="1"/>
  <c r="U35" i="81"/>
  <c r="AL34" i="81"/>
  <c r="AN34" i="81" s="1"/>
  <c r="AK34" i="81"/>
  <c r="AJ34" i="81"/>
  <c r="AI34" i="81"/>
  <c r="AH34" i="81"/>
  <c r="V34" i="81"/>
  <c r="AM34" i="81" s="1"/>
  <c r="U34" i="81"/>
  <c r="AL33" i="81"/>
  <c r="AM33" i="81" s="1"/>
  <c r="AK33" i="81"/>
  <c r="AJ33" i="81"/>
  <c r="AI33" i="81"/>
  <c r="AH33" i="81"/>
  <c r="V33" i="81"/>
  <c r="U33" i="81"/>
  <c r="AN32" i="81"/>
  <c r="AM32" i="81"/>
  <c r="AL32" i="81"/>
  <c r="AK32" i="81"/>
  <c r="AJ32" i="81"/>
  <c r="AI32" i="81"/>
  <c r="AH32" i="81"/>
  <c r="V32" i="81"/>
  <c r="U32" i="81"/>
  <c r="AN31" i="81"/>
  <c r="AL31" i="81"/>
  <c r="AK31" i="81"/>
  <c r="AJ31" i="81"/>
  <c r="AI31" i="81"/>
  <c r="AH31" i="81"/>
  <c r="V31" i="81"/>
  <c r="AM31" i="81" s="1"/>
  <c r="U31" i="81"/>
  <c r="AL30" i="81"/>
  <c r="AN30" i="81" s="1"/>
  <c r="AK30" i="81"/>
  <c r="AJ30" i="81"/>
  <c r="AI30" i="81"/>
  <c r="AH30" i="81"/>
  <c r="V30" i="81"/>
  <c r="AM30" i="81" s="1"/>
  <c r="U30" i="81"/>
  <c r="B30" i="81"/>
  <c r="AN29" i="81"/>
  <c r="AM29" i="81"/>
  <c r="AL29" i="81"/>
  <c r="AK29" i="81"/>
  <c r="AJ29" i="81"/>
  <c r="AI29" i="81"/>
  <c r="AH29" i="81"/>
  <c r="V29" i="81"/>
  <c r="U29" i="81"/>
  <c r="AN28" i="81"/>
  <c r="AL28" i="81"/>
  <c r="AK28" i="81"/>
  <c r="AJ28" i="81"/>
  <c r="AI28" i="81"/>
  <c r="AH28" i="81"/>
  <c r="V28" i="81"/>
  <c r="AM28" i="81" s="1"/>
  <c r="U28" i="81"/>
  <c r="AL27" i="81"/>
  <c r="AN27" i="81" s="1"/>
  <c r="AK27" i="81"/>
  <c r="AJ27" i="81"/>
  <c r="AI27" i="81"/>
  <c r="AH27" i="81"/>
  <c r="V27" i="81"/>
  <c r="AM27" i="81" s="1"/>
  <c r="U27" i="81"/>
  <c r="AL26" i="81"/>
  <c r="AM26" i="81" s="1"/>
  <c r="AK26" i="81"/>
  <c r="AJ26" i="81"/>
  <c r="AI26" i="81"/>
  <c r="AH26" i="81"/>
  <c r="V26" i="81"/>
  <c r="U26" i="81"/>
  <c r="AN25" i="81"/>
  <c r="AM25" i="81"/>
  <c r="AL25" i="81"/>
  <c r="AK25" i="81"/>
  <c r="AJ25" i="81"/>
  <c r="AI25" i="81"/>
  <c r="AH25" i="81"/>
  <c r="V25" i="81"/>
  <c r="U25" i="81"/>
  <c r="AN24" i="81"/>
  <c r="AL24" i="81"/>
  <c r="AK24" i="81"/>
  <c r="AJ24" i="81"/>
  <c r="AI24" i="81"/>
  <c r="AH24" i="81"/>
  <c r="V24" i="81"/>
  <c r="AM24" i="81" s="1"/>
  <c r="U24" i="81"/>
  <c r="AL23" i="81"/>
  <c r="AN23" i="81" s="1"/>
  <c r="AK23" i="81"/>
  <c r="AJ23" i="81"/>
  <c r="AI23" i="81"/>
  <c r="AH23" i="81"/>
  <c r="V23" i="81"/>
  <c r="AM23" i="81" s="1"/>
  <c r="U23" i="81"/>
  <c r="AL22" i="81"/>
  <c r="AM22" i="81" s="1"/>
  <c r="AK22" i="81"/>
  <c r="AJ22" i="81"/>
  <c r="AI22" i="81"/>
  <c r="AH22" i="81"/>
  <c r="V22" i="81"/>
  <c r="U22" i="81"/>
  <c r="AN21" i="81"/>
  <c r="AM21" i="81"/>
  <c r="AL21" i="81"/>
  <c r="AK21" i="81"/>
  <c r="AJ21" i="81"/>
  <c r="AI21" i="81"/>
  <c r="AH21" i="81"/>
  <c r="V21" i="81"/>
  <c r="U21" i="81"/>
  <c r="AN20" i="81"/>
  <c r="AL20" i="81"/>
  <c r="AK20" i="81"/>
  <c r="AJ20" i="81"/>
  <c r="AI20" i="81"/>
  <c r="AH20" i="81"/>
  <c r="V20" i="81"/>
  <c r="AM20" i="81" s="1"/>
  <c r="U20" i="81"/>
  <c r="B20" i="81"/>
  <c r="AL19" i="81"/>
  <c r="AM19" i="81" s="1"/>
  <c r="AK19" i="81"/>
  <c r="AJ19" i="81"/>
  <c r="AI19" i="81"/>
  <c r="AH19" i="81"/>
  <c r="V19" i="81"/>
  <c r="U19" i="81"/>
  <c r="AN18" i="81"/>
  <c r="AM18" i="81"/>
  <c r="AL18" i="81"/>
  <c r="AK18" i="81"/>
  <c r="AJ18" i="81"/>
  <c r="AI18" i="81"/>
  <c r="AH18" i="81"/>
  <c r="V18" i="81"/>
  <c r="U18" i="81"/>
  <c r="AN17" i="81"/>
  <c r="AL17" i="81"/>
  <c r="AK17" i="81"/>
  <c r="AJ17" i="81"/>
  <c r="AI17" i="81"/>
  <c r="AH17" i="81"/>
  <c r="V17" i="81"/>
  <c r="AM17" i="81" s="1"/>
  <c r="U17" i="81"/>
  <c r="AL16" i="81"/>
  <c r="AN16" i="81" s="1"/>
  <c r="AK16" i="81"/>
  <c r="AJ16" i="81"/>
  <c r="AI16" i="81"/>
  <c r="AH16" i="81"/>
  <c r="V16" i="81"/>
  <c r="AM16" i="81" s="1"/>
  <c r="U16" i="81"/>
  <c r="AL15" i="81"/>
  <c r="AM15" i="81" s="1"/>
  <c r="AK15" i="81"/>
  <c r="AJ15" i="81"/>
  <c r="AI15" i="81"/>
  <c r="AH15" i="81"/>
  <c r="V15" i="81"/>
  <c r="U15" i="81"/>
  <c r="AN14" i="81"/>
  <c r="AM14" i="81"/>
  <c r="AL14" i="81"/>
  <c r="AK14" i="81"/>
  <c r="AJ14" i="81"/>
  <c r="AI14" i="81"/>
  <c r="AH14" i="81"/>
  <c r="V14" i="81"/>
  <c r="U14" i="81"/>
  <c r="AN13" i="81"/>
  <c r="AL13" i="81"/>
  <c r="AK13" i="81"/>
  <c r="AJ13" i="81"/>
  <c r="AI13" i="81"/>
  <c r="AH13" i="81"/>
  <c r="V13" i="81"/>
  <c r="AM13" i="81" s="1"/>
  <c r="U13" i="81"/>
  <c r="AL12" i="81"/>
  <c r="AN12" i="81" s="1"/>
  <c r="AK12" i="81"/>
  <c r="AJ12" i="81"/>
  <c r="AI12" i="81"/>
  <c r="AH12" i="81"/>
  <c r="V12" i="81"/>
  <c r="AM12" i="81" s="1"/>
  <c r="U12" i="81"/>
  <c r="AL11" i="81"/>
  <c r="AM11" i="81" s="1"/>
  <c r="AK11" i="81"/>
  <c r="AJ11" i="81"/>
  <c r="AI11" i="81"/>
  <c r="AH11" i="81"/>
  <c r="V11" i="81"/>
  <c r="U11" i="81"/>
  <c r="AN10" i="81"/>
  <c r="AM10" i="81"/>
  <c r="AL10" i="81"/>
  <c r="AK10" i="81"/>
  <c r="AJ10" i="81"/>
  <c r="AI10" i="81"/>
  <c r="AH10" i="81"/>
  <c r="V10" i="81"/>
  <c r="U10" i="81"/>
  <c r="AN9" i="81"/>
  <c r="AL9" i="81"/>
  <c r="AK9" i="81"/>
  <c r="AJ9" i="81"/>
  <c r="AI9" i="81"/>
  <c r="AH9" i="81"/>
  <c r="V9" i="81"/>
  <c r="AM9" i="81" s="1"/>
  <c r="U9" i="81"/>
  <c r="AL8" i="81"/>
  <c r="AN8" i="81" s="1"/>
  <c r="AK8" i="81"/>
  <c r="AJ8" i="81"/>
  <c r="AI8" i="81"/>
  <c r="AH8" i="81"/>
  <c r="V8" i="81"/>
  <c r="AM8" i="81" s="1"/>
  <c r="U8" i="81"/>
  <c r="AL7" i="81"/>
  <c r="AM7" i="81" s="1"/>
  <c r="AK7" i="81"/>
  <c r="AJ7" i="81"/>
  <c r="AI7" i="81"/>
  <c r="AH7" i="81"/>
  <c r="V7" i="81"/>
  <c r="U7" i="81"/>
  <c r="AN6" i="81"/>
  <c r="AM6" i="81"/>
  <c r="AL6" i="81"/>
  <c r="AK6" i="81"/>
  <c r="AJ6" i="81"/>
  <c r="AI6" i="81"/>
  <c r="AH6" i="81"/>
  <c r="V6" i="81"/>
  <c r="U6" i="81"/>
  <c r="AN5" i="81"/>
  <c r="AL5" i="81"/>
  <c r="AK5" i="81"/>
  <c r="AJ5" i="81"/>
  <c r="AI5" i="81"/>
  <c r="AH5" i="81"/>
  <c r="V5" i="81"/>
  <c r="AM5" i="81" s="1"/>
  <c r="U5" i="81"/>
  <c r="B5" i="81"/>
  <c r="AL4" i="81"/>
  <c r="AM4" i="81" s="1"/>
  <c r="AK4" i="81"/>
  <c r="AJ4" i="81"/>
  <c r="AI4" i="81"/>
  <c r="AH4" i="81"/>
  <c r="U4" i="81"/>
  <c r="AL3" i="81"/>
  <c r="AM3" i="81" s="1"/>
  <c r="AK3" i="81"/>
  <c r="AJ3" i="81"/>
  <c r="AI3" i="81"/>
  <c r="AH3" i="81"/>
  <c r="V3" i="81"/>
  <c r="U3" i="81"/>
  <c r="AN2" i="81"/>
  <c r="AM2" i="81"/>
  <c r="AL2" i="81"/>
  <c r="AK2" i="81"/>
  <c r="AJ2" i="81"/>
  <c r="AI2" i="81"/>
  <c r="AH2" i="81"/>
  <c r="V2" i="81"/>
  <c r="U2" i="81"/>
  <c r="H709" i="7"/>
  <c r="G709" i="7"/>
  <c r="F709" i="7"/>
  <c r="B709" i="7"/>
  <c r="AC475" i="7"/>
  <c r="AC474" i="7"/>
  <c r="AC473" i="7"/>
  <c r="AC471" i="7"/>
  <c r="AC470" i="7"/>
  <c r="AC469" i="7"/>
  <c r="AC467" i="7"/>
  <c r="AC466" i="7"/>
  <c r="AC465" i="7"/>
  <c r="AC463" i="7"/>
  <c r="AC462" i="7"/>
  <c r="AC461" i="7"/>
  <c r="AC460" i="7"/>
  <c r="AC459" i="7"/>
  <c r="AC458" i="7"/>
  <c r="AC457" i="7"/>
  <c r="AC455" i="7"/>
  <c r="AC454" i="7"/>
  <c r="AC453" i="7"/>
  <c r="AC452" i="7"/>
  <c r="AC451" i="7"/>
  <c r="AC450" i="7"/>
  <c r="AC449" i="7"/>
  <c r="AC448" i="7"/>
  <c r="AC447" i="7"/>
  <c r="AC445" i="7"/>
  <c r="AC444" i="7"/>
  <c r="G34" i="87"/>
  <c r="AC442" i="7"/>
  <c r="AC440" i="7"/>
  <c r="AC436" i="7"/>
  <c r="AC435" i="7"/>
  <c r="AC432" i="7"/>
  <c r="AC431" i="7"/>
  <c r="AC427" i="7"/>
  <c r="AC424" i="7"/>
  <c r="AC423" i="7"/>
  <c r="AC421" i="7"/>
  <c r="AC420" i="7"/>
  <c r="AC417" i="7"/>
  <c r="AC416" i="7"/>
  <c r="AC413" i="7"/>
  <c r="AC412" i="7"/>
  <c r="G30" i="87"/>
  <c r="G26" i="87"/>
  <c r="G6" i="87"/>
  <c r="AC189" i="7"/>
  <c r="AC187" i="7"/>
  <c r="AC181" i="7"/>
  <c r="AC179" i="7"/>
  <c r="AC176" i="7"/>
  <c r="AC174" i="7"/>
  <c r="AC161" i="7"/>
  <c r="AC159" i="7"/>
  <c r="AC156" i="7"/>
  <c r="AC153" i="7"/>
  <c r="AC148" i="7"/>
  <c r="AC145" i="7"/>
  <c r="AC142" i="7"/>
  <c r="AC141" i="7"/>
  <c r="AC138" i="7"/>
  <c r="AC137" i="7"/>
  <c r="AC136" i="7"/>
  <c r="AC135" i="7"/>
  <c r="AC133" i="7"/>
  <c r="AC132" i="7"/>
  <c r="AC128" i="7"/>
  <c r="AC127" i="7"/>
  <c r="AC126" i="7"/>
  <c r="AC125" i="7"/>
  <c r="AC122" i="7"/>
  <c r="AC120" i="7"/>
  <c r="AC113" i="7"/>
  <c r="AC112" i="7"/>
  <c r="AC107" i="7"/>
  <c r="AC103" i="7"/>
  <c r="AC100" i="7"/>
  <c r="AC92" i="7"/>
  <c r="B48" i="66"/>
  <c r="B47" i="66"/>
  <c r="B46" i="66"/>
  <c r="B44" i="66"/>
  <c r="B43" i="66"/>
  <c r="B42" i="66"/>
  <c r="B41" i="66"/>
  <c r="B40" i="66"/>
  <c r="B39" i="66"/>
  <c r="B38" i="66"/>
  <c r="B37" i="66"/>
  <c r="B36" i="66"/>
  <c r="B33" i="66"/>
  <c r="B32" i="66"/>
  <c r="B31" i="66"/>
  <c r="B30" i="66"/>
  <c r="B29" i="66"/>
  <c r="B28" i="66"/>
  <c r="B27" i="66"/>
  <c r="B26" i="66"/>
  <c r="B25" i="66"/>
  <c r="B24" i="66"/>
  <c r="B23" i="66"/>
  <c r="B22" i="66"/>
  <c r="B21" i="66"/>
  <c r="B20" i="66"/>
  <c r="B19" i="66"/>
  <c r="B18" i="66"/>
  <c r="B17" i="66"/>
  <c r="B16" i="66"/>
  <c r="B15" i="66"/>
  <c r="B14" i="66"/>
  <c r="B13" i="66"/>
  <c r="B12" i="66"/>
  <c r="B11" i="66"/>
  <c r="B10" i="66"/>
  <c r="B9" i="66"/>
  <c r="B7" i="66"/>
  <c r="B6" i="66"/>
  <c r="B5" i="66"/>
  <c r="B4" i="66"/>
  <c r="M2" i="3"/>
  <c r="K2" i="3"/>
  <c r="J2" i="3"/>
  <c r="I2" i="3"/>
  <c r="H2" i="3"/>
  <c r="G2" i="3"/>
  <c r="F63" i="2"/>
  <c r="C63" i="2"/>
  <c r="G62" i="2"/>
  <c r="H62" i="2" s="1"/>
  <c r="D62" i="2"/>
  <c r="E62" i="2" s="1"/>
  <c r="H61" i="2"/>
  <c r="G61" i="2"/>
  <c r="E61" i="2"/>
  <c r="D61" i="2"/>
  <c r="I61" i="2" s="1"/>
  <c r="I60" i="2"/>
  <c r="G60" i="2"/>
  <c r="H60" i="2" s="1"/>
  <c r="F60" i="2"/>
  <c r="E60" i="2"/>
  <c r="D60" i="2"/>
  <c r="G59" i="2"/>
  <c r="H59" i="2" s="1"/>
  <c r="D59" i="2"/>
  <c r="E59" i="2" s="1"/>
  <c r="H58" i="2"/>
  <c r="G58" i="2"/>
  <c r="E58" i="2"/>
  <c r="D58" i="2"/>
  <c r="I58" i="2" s="1"/>
  <c r="G57" i="2"/>
  <c r="H57" i="2" s="1"/>
  <c r="D57" i="2"/>
  <c r="I57" i="2" s="1"/>
  <c r="H56" i="2"/>
  <c r="G56" i="2"/>
  <c r="E56" i="2"/>
  <c r="D56" i="2"/>
  <c r="I56" i="2" s="1"/>
  <c r="G55" i="2"/>
  <c r="G63" i="2" s="1"/>
  <c r="D55" i="2"/>
  <c r="D63" i="2" s="1"/>
  <c r="L48" i="2"/>
  <c r="K48" i="2"/>
  <c r="L47" i="2"/>
  <c r="K47" i="2"/>
  <c r="L46" i="2"/>
  <c r="K46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B35" i="2"/>
  <c r="L33" i="2"/>
  <c r="K33" i="2"/>
  <c r="L32" i="2"/>
  <c r="K32" i="2"/>
  <c r="F32" i="2"/>
  <c r="L31" i="2"/>
  <c r="K31" i="2"/>
  <c r="F31" i="2"/>
  <c r="L30" i="2"/>
  <c r="K30" i="2"/>
  <c r="F30" i="2"/>
  <c r="L29" i="2"/>
  <c r="K29" i="2"/>
  <c r="F29" i="2"/>
  <c r="G29" i="2" s="1"/>
  <c r="L28" i="2"/>
  <c r="K28" i="2"/>
  <c r="F28" i="2"/>
  <c r="B28" i="2"/>
  <c r="L27" i="2"/>
  <c r="K27" i="2"/>
  <c r="F27" i="2"/>
  <c r="F33" i="2" s="1"/>
  <c r="G28" i="2" s="1"/>
  <c r="L26" i="2"/>
  <c r="K26" i="2"/>
  <c r="L25" i="2"/>
  <c r="K25" i="2"/>
  <c r="L24" i="2"/>
  <c r="K24" i="2"/>
  <c r="L23" i="2"/>
  <c r="K23" i="2"/>
  <c r="B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B15" i="2"/>
  <c r="L14" i="2"/>
  <c r="K14" i="2"/>
  <c r="L13" i="2"/>
  <c r="K13" i="2"/>
  <c r="L12" i="2"/>
  <c r="K12" i="2"/>
  <c r="E12" i="2"/>
  <c r="L11" i="2"/>
  <c r="K11" i="2"/>
  <c r="G11" i="2"/>
  <c r="F11" i="2"/>
  <c r="L10" i="2"/>
  <c r="K10" i="2"/>
  <c r="G10" i="2"/>
  <c r="F10" i="2"/>
  <c r="L9" i="2"/>
  <c r="K9" i="2"/>
  <c r="G9" i="2"/>
  <c r="F9" i="2"/>
  <c r="L8" i="2"/>
  <c r="K8" i="2"/>
  <c r="G8" i="2"/>
  <c r="F8" i="2"/>
  <c r="G7" i="2"/>
  <c r="F7" i="2"/>
  <c r="L6" i="2"/>
  <c r="K6" i="2"/>
  <c r="G6" i="2"/>
  <c r="F6" i="2"/>
  <c r="L5" i="2"/>
  <c r="K5" i="2"/>
  <c r="F5" i="2"/>
  <c r="G5" i="2" s="1"/>
  <c r="L4" i="2"/>
  <c r="K4" i="2"/>
  <c r="K49" i="2" s="1"/>
  <c r="G4" i="2"/>
  <c r="F4" i="2"/>
  <c r="B4" i="2"/>
  <c r="D37" i="71"/>
  <c r="C37" i="71"/>
  <c r="B37" i="71"/>
  <c r="H36" i="71"/>
  <c r="G36" i="71"/>
  <c r="F36" i="71"/>
  <c r="E36" i="71"/>
  <c r="D36" i="71"/>
  <c r="C36" i="71"/>
  <c r="B36" i="71"/>
  <c r="H35" i="71"/>
  <c r="G35" i="71"/>
  <c r="F35" i="71"/>
  <c r="E35" i="71"/>
  <c r="D35" i="71"/>
  <c r="C35" i="71"/>
  <c r="B35" i="71"/>
  <c r="H34" i="71"/>
  <c r="G34" i="71"/>
  <c r="F34" i="71"/>
  <c r="E34" i="71"/>
  <c r="D34" i="71"/>
  <c r="C34" i="71"/>
  <c r="B34" i="71"/>
  <c r="H33" i="71"/>
  <c r="G33" i="71"/>
  <c r="F33" i="71"/>
  <c r="E33" i="71"/>
  <c r="D33" i="71"/>
  <c r="C33" i="71"/>
  <c r="B33" i="71"/>
  <c r="H31" i="71"/>
  <c r="G31" i="71"/>
  <c r="F31" i="71"/>
  <c r="E31" i="71"/>
  <c r="D31" i="71"/>
  <c r="C31" i="71"/>
  <c r="B31" i="71"/>
  <c r="H30" i="71"/>
  <c r="G30" i="71"/>
  <c r="F30" i="71"/>
  <c r="E30" i="71"/>
  <c r="D30" i="71"/>
  <c r="C30" i="71"/>
  <c r="B30" i="71"/>
  <c r="H29" i="71"/>
  <c r="G29" i="71"/>
  <c r="F29" i="71"/>
  <c r="E29" i="71"/>
  <c r="D29" i="71"/>
  <c r="C29" i="71"/>
  <c r="B29" i="71"/>
  <c r="H28" i="71"/>
  <c r="G28" i="71"/>
  <c r="F28" i="71"/>
  <c r="E28" i="71"/>
  <c r="D28" i="71"/>
  <c r="C28" i="71"/>
  <c r="B28" i="71"/>
  <c r="H27" i="71"/>
  <c r="F25" i="71"/>
  <c r="E25" i="71"/>
  <c r="D25" i="71"/>
  <c r="C25" i="71"/>
  <c r="B25" i="71"/>
  <c r="H24" i="71"/>
  <c r="G24" i="71"/>
  <c r="F24" i="71"/>
  <c r="E24" i="71"/>
  <c r="D24" i="71"/>
  <c r="C24" i="71"/>
  <c r="B24" i="71"/>
  <c r="H36" i="1"/>
  <c r="G36" i="1"/>
  <c r="F36" i="1"/>
  <c r="E36" i="1"/>
  <c r="D36" i="1"/>
  <c r="C36" i="1"/>
  <c r="B36" i="1"/>
  <c r="H35" i="1"/>
  <c r="G35" i="1"/>
  <c r="F35" i="1"/>
  <c r="E35" i="1"/>
  <c r="D35" i="1"/>
  <c r="C35" i="1"/>
  <c r="B33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6" i="1"/>
  <c r="F26" i="1"/>
  <c r="E26" i="1"/>
  <c r="D26" i="1"/>
  <c r="F59" i="82"/>
  <c r="C59" i="82"/>
  <c r="D58" i="82"/>
  <c r="E58" i="82" s="1"/>
  <c r="D57" i="82"/>
  <c r="E57" i="82" s="1"/>
  <c r="D56" i="82"/>
  <c r="E56" i="82" s="1"/>
  <c r="G55" i="82"/>
  <c r="D55" i="82"/>
  <c r="F4" i="82" s="1"/>
  <c r="G4" i="82" s="1"/>
  <c r="C55" i="82"/>
  <c r="J41" i="82"/>
  <c r="J40" i="82"/>
  <c r="J39" i="82"/>
  <c r="J38" i="82"/>
  <c r="J37" i="82"/>
  <c r="J36" i="82"/>
  <c r="J35" i="82"/>
  <c r="J34" i="82"/>
  <c r="J33" i="82"/>
  <c r="J32" i="82"/>
  <c r="J31" i="82"/>
  <c r="J30" i="82"/>
  <c r="J29" i="82"/>
  <c r="J28" i="82"/>
  <c r="B28" i="82"/>
  <c r="J27" i="82"/>
  <c r="K26" i="82"/>
  <c r="J26" i="82"/>
  <c r="K25" i="82"/>
  <c r="J25" i="82"/>
  <c r="K24" i="82"/>
  <c r="J24" i="82"/>
  <c r="K23" i="82"/>
  <c r="J23" i="82"/>
  <c r="B23" i="82"/>
  <c r="K22" i="82"/>
  <c r="J22" i="82"/>
  <c r="K21" i="82"/>
  <c r="J21" i="82"/>
  <c r="K20" i="82"/>
  <c r="J20" i="82"/>
  <c r="K19" i="82"/>
  <c r="J19" i="82"/>
  <c r="K18" i="82"/>
  <c r="J18" i="82"/>
  <c r="K17" i="82"/>
  <c r="J17" i="82"/>
  <c r="K16" i="82"/>
  <c r="J16" i="82"/>
  <c r="K15" i="82"/>
  <c r="J15" i="82"/>
  <c r="B15" i="82"/>
  <c r="K14" i="82"/>
  <c r="J14" i="82"/>
  <c r="K13" i="82"/>
  <c r="J13" i="82"/>
  <c r="K12" i="82"/>
  <c r="J12" i="82"/>
  <c r="E12" i="82"/>
  <c r="K11" i="82"/>
  <c r="J11" i="82"/>
  <c r="K10" i="82"/>
  <c r="J10" i="82"/>
  <c r="K9" i="82"/>
  <c r="J9" i="82"/>
  <c r="K8" i="82"/>
  <c r="J8" i="82"/>
  <c r="K7" i="82"/>
  <c r="J7" i="82"/>
  <c r="E7" i="82"/>
  <c r="J6" i="82"/>
  <c r="E6" i="82"/>
  <c r="K5" i="82"/>
  <c r="J5" i="82"/>
  <c r="E5" i="82"/>
  <c r="K4" i="82"/>
  <c r="E4" i="82"/>
  <c r="B4" i="82"/>
  <c r="G52" i="87"/>
  <c r="G51" i="87"/>
  <c r="G50" i="87"/>
  <c r="G49" i="87"/>
  <c r="G48" i="87"/>
  <c r="G47" i="87"/>
  <c r="G45" i="87"/>
  <c r="G44" i="87"/>
  <c r="N44" i="87"/>
  <c r="G43" i="87"/>
  <c r="N43" i="87"/>
  <c r="N42" i="87"/>
  <c r="N41" i="87"/>
  <c r="N40" i="87"/>
  <c r="N39" i="87"/>
  <c r="N38" i="87"/>
  <c r="N37" i="87"/>
  <c r="N36" i="87"/>
  <c r="G35" i="87"/>
  <c r="N35" i="87"/>
  <c r="N34" i="87"/>
  <c r="N33" i="87"/>
  <c r="N32" i="87"/>
  <c r="G31" i="87"/>
  <c r="N31" i="87"/>
  <c r="N30" i="87"/>
  <c r="G29" i="87"/>
  <c r="N29" i="87"/>
  <c r="G28" i="87"/>
  <c r="N28" i="87"/>
  <c r="G27" i="87"/>
  <c r="N26" i="87"/>
  <c r="N25" i="87"/>
  <c r="G24" i="87"/>
  <c r="N24" i="87"/>
  <c r="G23" i="87"/>
  <c r="N23" i="87"/>
  <c r="N22" i="87"/>
  <c r="N21" i="87"/>
  <c r="N20" i="87"/>
  <c r="N19" i="87"/>
  <c r="N18" i="87"/>
  <c r="N17" i="87"/>
  <c r="N16" i="87"/>
  <c r="N15" i="87"/>
  <c r="N14" i="87"/>
  <c r="N13" i="87"/>
  <c r="N12" i="87"/>
  <c r="G12" i="87"/>
  <c r="N11" i="87"/>
  <c r="N10" i="87"/>
  <c r="N9" i="87"/>
  <c r="N8" i="87"/>
  <c r="N7" i="87"/>
  <c r="N6" i="87"/>
  <c r="N5" i="87"/>
  <c r="N4" i="87"/>
  <c r="G2" i="87"/>
  <c r="E27" i="80"/>
  <c r="F27" i="80" s="1"/>
  <c r="G27" i="80" s="1"/>
  <c r="H27" i="80" s="1"/>
  <c r="B28" i="80" s="1"/>
  <c r="C28" i="80" s="1"/>
  <c r="D28" i="80" s="1"/>
  <c r="E28" i="80" s="1"/>
  <c r="F28" i="80" s="1"/>
  <c r="G28" i="80" s="1"/>
  <c r="H28" i="80" s="1"/>
  <c r="B29" i="80" s="1"/>
  <c r="C29" i="80" s="1"/>
  <c r="D29" i="80" s="1"/>
  <c r="E29" i="80" s="1"/>
  <c r="F29" i="80" s="1"/>
  <c r="G29" i="80" s="1"/>
  <c r="H29" i="80" s="1"/>
  <c r="D27" i="80"/>
  <c r="G24" i="80"/>
  <c r="H24" i="80" s="1"/>
  <c r="B25" i="80" s="1"/>
  <c r="C25" i="80" s="1"/>
  <c r="F24" i="80"/>
  <c r="E24" i="80"/>
  <c r="D24" i="80"/>
  <c r="C24" i="80"/>
  <c r="B24" i="80"/>
  <c r="H23" i="80"/>
  <c r="G23" i="80"/>
  <c r="F23" i="80"/>
  <c r="E23" i="80"/>
  <c r="D23" i="80"/>
  <c r="C23" i="80"/>
  <c r="B23" i="80"/>
  <c r="H22" i="80"/>
  <c r="G22" i="80"/>
  <c r="F22" i="80"/>
  <c r="E22" i="80"/>
  <c r="D22" i="80"/>
  <c r="C22" i="80"/>
  <c r="B22" i="80"/>
  <c r="H21" i="80"/>
  <c r="G21" i="80"/>
  <c r="F21" i="80"/>
  <c r="E21" i="80"/>
  <c r="D21" i="80"/>
  <c r="C21" i="80"/>
  <c r="AU6" i="91"/>
  <c r="AU71" i="91"/>
  <c r="AU69" i="91"/>
  <c r="AU175" i="91"/>
  <c r="AU122" i="91"/>
  <c r="AU41" i="91"/>
  <c r="AU125" i="91"/>
  <c r="AU99" i="91"/>
  <c r="AU151" i="91"/>
  <c r="AU152" i="91"/>
  <c r="AU97" i="91"/>
  <c r="AU149" i="91"/>
  <c r="AU40" i="91"/>
  <c r="AU176" i="91"/>
  <c r="AU173" i="91"/>
  <c r="AU38" i="91"/>
  <c r="AU124" i="91"/>
  <c r="AU100" i="91"/>
  <c r="AU72" i="91"/>
  <c r="AU7" i="91"/>
  <c r="AU4" i="91"/>
  <c r="G30" i="2" l="1"/>
  <c r="I63" i="2"/>
  <c r="E63" i="2"/>
  <c r="B6" i="2" s="1"/>
  <c r="B5" i="2"/>
  <c r="G32" i="2"/>
  <c r="G31" i="2"/>
  <c r="H63" i="2"/>
  <c r="B16" i="2"/>
  <c r="H55" i="2"/>
  <c r="E57" i="2"/>
  <c r="AN3" i="81"/>
  <c r="AN4" i="81"/>
  <c r="AN7" i="81"/>
  <c r="AN11" i="81"/>
  <c r="AN15" i="81"/>
  <c r="AN19" i="81"/>
  <c r="AN22" i="81"/>
  <c r="AN26" i="81"/>
  <c r="AN33" i="81"/>
  <c r="AN37" i="81"/>
  <c r="AN41" i="81"/>
  <c r="AN45" i="81"/>
  <c r="AN49" i="81"/>
  <c r="AN52" i="81"/>
  <c r="AM54" i="81"/>
  <c r="AN55" i="81"/>
  <c r="AN59" i="81"/>
  <c r="AN63" i="81"/>
  <c r="AN67" i="81"/>
  <c r="AN71" i="81"/>
  <c r="AM74" i="81"/>
  <c r="AN75" i="81"/>
  <c r="AM78" i="81"/>
  <c r="AN79" i="81"/>
  <c r="F12" i="2"/>
  <c r="I55" i="2"/>
  <c r="I59" i="2"/>
  <c r="I62" i="2"/>
  <c r="AM57" i="81"/>
  <c r="AN76" i="81"/>
  <c r="AM77" i="81"/>
  <c r="AN84" i="81"/>
  <c r="G27" i="2"/>
  <c r="G33" i="2" s="1"/>
  <c r="E55" i="2"/>
  <c r="AN57" i="81"/>
  <c r="AN595" i="81" s="1"/>
  <c r="AN83" i="81"/>
  <c r="AM83" i="81"/>
  <c r="AN80" i="81"/>
  <c r="AM101" i="81"/>
  <c r="AM109" i="81"/>
  <c r="AM113" i="81"/>
  <c r="AM117" i="81"/>
  <c r="AM121" i="81"/>
  <c r="AM139" i="81"/>
  <c r="AM141" i="81"/>
  <c r="AM143" i="81"/>
  <c r="AM145" i="81"/>
  <c r="AM147" i="81"/>
  <c r="AM149" i="81"/>
  <c r="AM166" i="81"/>
  <c r="AM201" i="81"/>
  <c r="AN219" i="81"/>
  <c r="AN222" i="81"/>
  <c r="AN230" i="81"/>
  <c r="AN232" i="81"/>
  <c r="AN234" i="81"/>
  <c r="AM237" i="81"/>
  <c r="AM240" i="81"/>
  <c r="AM242" i="81"/>
  <c r="AN276" i="81"/>
  <c r="AN284" i="81"/>
  <c r="AM284" i="81"/>
  <c r="AN302" i="81"/>
  <c r="AM302" i="81"/>
  <c r="AN310" i="81"/>
  <c r="AM310" i="81"/>
  <c r="AN318" i="81"/>
  <c r="AM318" i="81"/>
  <c r="AN326" i="81"/>
  <c r="AM326" i="81"/>
  <c r="AM105" i="81"/>
  <c r="AM107" i="81"/>
  <c r="AM204" i="81"/>
  <c r="AM206" i="81"/>
  <c r="AM248" i="81"/>
  <c r="AM252" i="81"/>
  <c r="AM256" i="81"/>
  <c r="AM260" i="81"/>
  <c r="AM264" i="81"/>
  <c r="AM268" i="81"/>
  <c r="AN282" i="81"/>
  <c r="AM282" i="81"/>
  <c r="AN293" i="81"/>
  <c r="AM293" i="81"/>
  <c r="AN300" i="81"/>
  <c r="AM300" i="81"/>
  <c r="AN308" i="81"/>
  <c r="AM308" i="81"/>
  <c r="AN316" i="81"/>
  <c r="AM316" i="81"/>
  <c r="AN324" i="81"/>
  <c r="AM324" i="81"/>
  <c r="AN331" i="81"/>
  <c r="AM88" i="81"/>
  <c r="AM92" i="81"/>
  <c r="AM100" i="81"/>
  <c r="AM103" i="81"/>
  <c r="AM196" i="81"/>
  <c r="AM198" i="81"/>
  <c r="AM202" i="81"/>
  <c r="AM209" i="81"/>
  <c r="AM214" i="81"/>
  <c r="AM218" i="81"/>
  <c r="AM221" i="81"/>
  <c r="AM236" i="81"/>
  <c r="AM241" i="81"/>
  <c r="AM243" i="81"/>
  <c r="AN245" i="81"/>
  <c r="AM247" i="81"/>
  <c r="AN249" i="81"/>
  <c r="AM251" i="81"/>
  <c r="AN253" i="81"/>
  <c r="AM255" i="81"/>
  <c r="AN257" i="81"/>
  <c r="AM259" i="81"/>
  <c r="AN261" i="81"/>
  <c r="AM263" i="81"/>
  <c r="AM267" i="81"/>
  <c r="AM271" i="81"/>
  <c r="AM275" i="81"/>
  <c r="AM277" i="81"/>
  <c r="AN280" i="81"/>
  <c r="AM280" i="81"/>
  <c r="AN288" i="81"/>
  <c r="AM288" i="81"/>
  <c r="AN291" i="81"/>
  <c r="AN298" i="81"/>
  <c r="AM298" i="81"/>
  <c r="AN306" i="81"/>
  <c r="AM306" i="81"/>
  <c r="AN314" i="81"/>
  <c r="AM314" i="81"/>
  <c r="AN322" i="81"/>
  <c r="AM322" i="81"/>
  <c r="AN330" i="81"/>
  <c r="AM330" i="81"/>
  <c r="AN278" i="81"/>
  <c r="AM278" i="81"/>
  <c r="AN286" i="81"/>
  <c r="AM286" i="81"/>
  <c r="AN296" i="81"/>
  <c r="AM296" i="81"/>
  <c r="AN304" i="81"/>
  <c r="AM304" i="81"/>
  <c r="AN312" i="81"/>
  <c r="AM312" i="81"/>
  <c r="AN320" i="81"/>
  <c r="AM320" i="81"/>
  <c r="AN328" i="81"/>
  <c r="AM328" i="81"/>
  <c r="AM341" i="81"/>
  <c r="AM343" i="81"/>
  <c r="AM345" i="81"/>
  <c r="AM347" i="81"/>
  <c r="AM349" i="81"/>
  <c r="AM352" i="81"/>
  <c r="AM356" i="81"/>
  <c r="AM358" i="81"/>
  <c r="AM360" i="81"/>
  <c r="AM365" i="81"/>
  <c r="AM374" i="81"/>
  <c r="AN396" i="81"/>
  <c r="AM396" i="81"/>
  <c r="AN405" i="81"/>
  <c r="AM405" i="81"/>
  <c r="AN419" i="81"/>
  <c r="AM419" i="81"/>
  <c r="AN438" i="81"/>
  <c r="AM438" i="81"/>
  <c r="AN452" i="81"/>
  <c r="AM452" i="81"/>
  <c r="AN466" i="81"/>
  <c r="AM466" i="81"/>
  <c r="AM363" i="81"/>
  <c r="AN378" i="81"/>
  <c r="AM378" i="81"/>
  <c r="AN381" i="81"/>
  <c r="AN399" i="81"/>
  <c r="AM399" i="81"/>
  <c r="AN408" i="81"/>
  <c r="AN411" i="81"/>
  <c r="AN413" i="81"/>
  <c r="AM413" i="81"/>
  <c r="AN421" i="81"/>
  <c r="AM421" i="81"/>
  <c r="AN424" i="81"/>
  <c r="AN432" i="81"/>
  <c r="AM432" i="81"/>
  <c r="AN440" i="81"/>
  <c r="AN442" i="81"/>
  <c r="AN444" i="81"/>
  <c r="AN449" i="81"/>
  <c r="AN462" i="81"/>
  <c r="AN392" i="81"/>
  <c r="AM392" i="81"/>
  <c r="AN401" i="81"/>
  <c r="AM401" i="81"/>
  <c r="AN410" i="81"/>
  <c r="AM410" i="81"/>
  <c r="AN415" i="81"/>
  <c r="AM415" i="81"/>
  <c r="AN437" i="81"/>
  <c r="AM437" i="81"/>
  <c r="AN448" i="81"/>
  <c r="AM448" i="81"/>
  <c r="AN471" i="81"/>
  <c r="AN474" i="81"/>
  <c r="AM474" i="81"/>
  <c r="AM375" i="81"/>
  <c r="AN385" i="81"/>
  <c r="AN388" i="81"/>
  <c r="AM388" i="81"/>
  <c r="AN394" i="81"/>
  <c r="AM394" i="81"/>
  <c r="AN403" i="81"/>
  <c r="AM403" i="81"/>
  <c r="AN417" i="81"/>
  <c r="AM417" i="81"/>
  <c r="AN439" i="81"/>
  <c r="AN441" i="81"/>
  <c r="AN443" i="81"/>
  <c r="AN445" i="81"/>
  <c r="AN453" i="81"/>
  <c r="AN460" i="81"/>
  <c r="AN464" i="81"/>
  <c r="AN467" i="81"/>
  <c r="AN470" i="81"/>
  <c r="AM470" i="81"/>
  <c r="AN484" i="81"/>
  <c r="AN485" i="81"/>
  <c r="AN491" i="81"/>
  <c r="AN493" i="81"/>
  <c r="AN499" i="81"/>
  <c r="AN501" i="81"/>
  <c r="AN507" i="81"/>
  <c r="AN509" i="81"/>
  <c r="AN515" i="81"/>
  <c r="AM522" i="81"/>
  <c r="AN543" i="81"/>
  <c r="AM543" i="81"/>
  <c r="AN556" i="81"/>
  <c r="AM556" i="81"/>
  <c r="AN572" i="81"/>
  <c r="AM572" i="81"/>
  <c r="AN539" i="81"/>
  <c r="AM539" i="81"/>
  <c r="AN552" i="81"/>
  <c r="AM552" i="81"/>
  <c r="AN568" i="81"/>
  <c r="AM568" i="81"/>
  <c r="AM478" i="81"/>
  <c r="AM482" i="81"/>
  <c r="AM488" i="81"/>
  <c r="AN489" i="81"/>
  <c r="AM496" i="81"/>
  <c r="AN497" i="81"/>
  <c r="AM504" i="81"/>
  <c r="AN505" i="81"/>
  <c r="AM512" i="81"/>
  <c r="AN513" i="81"/>
  <c r="AN520" i="81"/>
  <c r="AM528" i="81"/>
  <c r="AN535" i="81"/>
  <c r="AM535" i="81"/>
  <c r="AN548" i="81"/>
  <c r="AM548" i="81"/>
  <c r="AN561" i="81"/>
  <c r="AN564" i="81"/>
  <c r="AM564" i="81"/>
  <c r="AN490" i="81"/>
  <c r="AN518" i="81"/>
  <c r="AN524" i="81"/>
  <c r="AN525" i="81"/>
  <c r="AN529" i="81"/>
  <c r="AN532" i="81"/>
  <c r="AN544" i="81"/>
  <c r="AN557" i="81"/>
  <c r="AN560" i="81"/>
  <c r="AM560" i="81"/>
  <c r="AN573" i="81"/>
  <c r="AN577" i="81"/>
  <c r="AN581" i="81"/>
  <c r="AN585" i="81"/>
  <c r="AN589" i="81"/>
  <c r="AN593" i="81"/>
  <c r="AC495" i="7"/>
  <c r="AC446" i="7"/>
  <c r="AC506" i="7"/>
  <c r="AC476" i="7"/>
  <c r="AC530" i="7"/>
  <c r="AC517" i="7"/>
  <c r="AC524" i="7"/>
  <c r="AC478" i="7"/>
  <c r="AC479" i="7"/>
  <c r="AC507" i="7"/>
  <c r="AC498" i="7"/>
  <c r="AC468" i="7"/>
  <c r="AC505" i="7"/>
  <c r="AC531" i="7"/>
  <c r="AC477" i="7"/>
  <c r="AC484" i="7"/>
  <c r="AC528" i="7"/>
  <c r="AC523" i="7"/>
  <c r="AC492" i="7"/>
  <c r="AC510" i="7"/>
  <c r="AC501" i="7"/>
  <c r="AC503" i="7"/>
  <c r="AC497" i="7"/>
  <c r="AC519" i="7"/>
  <c r="AC514" i="7"/>
  <c r="AC513" i="7"/>
  <c r="AC529" i="7"/>
  <c r="AC512" i="7"/>
  <c r="AC522" i="7"/>
  <c r="AC532" i="7"/>
  <c r="AC487" i="7"/>
  <c r="AC509" i="7"/>
  <c r="AC511" i="7"/>
  <c r="AC500" i="7"/>
  <c r="AC488" i="7"/>
  <c r="AC493" i="7"/>
  <c r="AC480" i="7"/>
  <c r="AC483" i="7"/>
  <c r="AC485" i="7"/>
  <c r="AC491" i="7"/>
  <c r="AC486" i="7"/>
  <c r="AC482" i="7"/>
  <c r="AC490" i="7"/>
  <c r="AC481" i="7"/>
  <c r="AC494" i="7"/>
  <c r="AC489" i="7"/>
  <c r="AC343" i="7"/>
  <c r="G32" i="87"/>
  <c r="G42" i="87"/>
  <c r="AC123" i="7"/>
  <c r="AC170" i="7"/>
  <c r="AC96" i="7"/>
  <c r="AC105" i="7"/>
  <c r="AC116" i="7"/>
  <c r="AC155" i="7"/>
  <c r="AC160" i="7"/>
  <c r="AC172" i="7"/>
  <c r="AC134" i="7"/>
  <c r="AC150" i="7"/>
  <c r="AC152" i="7"/>
  <c r="AC157" i="7"/>
  <c r="AC191" i="7"/>
  <c r="AC193" i="7"/>
  <c r="AC195" i="7"/>
  <c r="AC94" i="7"/>
  <c r="AC114" i="7"/>
  <c r="AC118" i="7"/>
  <c r="AC146" i="7"/>
  <c r="AC162" i="7"/>
  <c r="AC164" i="7"/>
  <c r="AC166" i="7"/>
  <c r="AC168" i="7"/>
  <c r="AC209" i="7"/>
  <c r="AC211" i="7"/>
  <c r="AC213" i="7"/>
  <c r="AC215" i="7"/>
  <c r="AC261" i="7"/>
  <c r="AC263" i="7"/>
  <c r="AC287" i="7"/>
  <c r="AC93" i="7"/>
  <c r="AC95" i="7"/>
  <c r="AC104" i="7"/>
  <c r="AC115" i="7"/>
  <c r="AC117" i="7"/>
  <c r="AC119" i="7"/>
  <c r="AC124" i="7"/>
  <c r="AC147" i="7"/>
  <c r="AC154" i="7"/>
  <c r="AC163" i="7"/>
  <c r="AC165" i="7"/>
  <c r="AC167" i="7"/>
  <c r="AC169" i="7"/>
  <c r="AC171" i="7"/>
  <c r="AC173" i="7"/>
  <c r="AC197" i="7"/>
  <c r="AC210" i="7"/>
  <c r="AC212" i="7"/>
  <c r="AC214" i="7"/>
  <c r="AC262" i="7"/>
  <c r="AC286" i="7"/>
  <c r="AC288" i="7"/>
  <c r="G14" i="87"/>
  <c r="AC97" i="7"/>
  <c r="AC106" i="7"/>
  <c r="AC121" i="7"/>
  <c r="AC149" i="7"/>
  <c r="AC151" i="7"/>
  <c r="AC158" i="7"/>
  <c r="G22" i="87"/>
  <c r="AC190" i="7"/>
  <c r="AC192" i="7"/>
  <c r="AC194" i="7"/>
  <c r="AC196" i="7"/>
  <c r="AC203" i="7"/>
  <c r="F6" i="82"/>
  <c r="G6" i="82" s="1"/>
  <c r="G7" i="87"/>
  <c r="AC44" i="7"/>
  <c r="G20" i="87"/>
  <c r="G18" i="87"/>
  <c r="AC56" i="7"/>
  <c r="G25" i="87"/>
  <c r="AC76" i="7"/>
  <c r="L16" i="82"/>
  <c r="G11" i="87"/>
  <c r="G40" i="87"/>
  <c r="G36" i="87"/>
  <c r="G56" i="82"/>
  <c r="H56" i="82" s="1"/>
  <c r="G46" i="87"/>
  <c r="G5" i="87"/>
  <c r="G16" i="87"/>
  <c r="G9" i="87"/>
  <c r="G8" i="87"/>
  <c r="AC60" i="7"/>
  <c r="G38" i="87"/>
  <c r="G21" i="87"/>
  <c r="G17" i="87"/>
  <c r="G33" i="87"/>
  <c r="AC311" i="7"/>
  <c r="G10" i="87"/>
  <c r="AC326" i="7"/>
  <c r="G4" i="87"/>
  <c r="G39" i="87"/>
  <c r="AC351" i="7"/>
  <c r="G37" i="87"/>
  <c r="G57" i="82"/>
  <c r="H57" i="82" s="1"/>
  <c r="G13" i="87"/>
  <c r="AC72" i="7"/>
  <c r="G15" i="87"/>
  <c r="G19" i="87"/>
  <c r="AC296" i="7"/>
  <c r="AC323" i="7"/>
  <c r="L20" i="82"/>
  <c r="G41" i="87"/>
  <c r="G58" i="82"/>
  <c r="H58" i="82" s="1"/>
  <c r="G3" i="87"/>
  <c r="F5" i="82"/>
  <c r="G5" i="82" s="1"/>
  <c r="AC48" i="7"/>
  <c r="AC64" i="7"/>
  <c r="AC80" i="7"/>
  <c r="AC87" i="7"/>
  <c r="AC177" i="7"/>
  <c r="AC361" i="7"/>
  <c r="AC386" i="7"/>
  <c r="F7" i="82"/>
  <c r="G7" i="82" s="1"/>
  <c r="AC52" i="7"/>
  <c r="AC68" i="7"/>
  <c r="AC84" i="7"/>
  <c r="AC290" i="7"/>
  <c r="AC303" i="7"/>
  <c r="AC335" i="7"/>
  <c r="AC377" i="7"/>
  <c r="AC46" i="7"/>
  <c r="AC54" i="7"/>
  <c r="AC62" i="7"/>
  <c r="AC70" i="7"/>
  <c r="AC78" i="7"/>
  <c r="AC86" i="7"/>
  <c r="AC175" i="7"/>
  <c r="AC307" i="7"/>
  <c r="AC325" i="7"/>
  <c r="AC353" i="7"/>
  <c r="AC42" i="7"/>
  <c r="AC50" i="7"/>
  <c r="AC58" i="7"/>
  <c r="AC66" i="7"/>
  <c r="AC74" i="7"/>
  <c r="AC82" i="7"/>
  <c r="AC88" i="7"/>
  <c r="AC178" i="7"/>
  <c r="AC294" i="7"/>
  <c r="AC299" i="7"/>
  <c r="AC315" i="7"/>
  <c r="AC329" i="7"/>
  <c r="AC345" i="7"/>
  <c r="AC369" i="7"/>
  <c r="AC378" i="7"/>
  <c r="AC397" i="7"/>
  <c r="AC204" i="7"/>
  <c r="AC205" i="7"/>
  <c r="AC206" i="7"/>
  <c r="AC207" i="7"/>
  <c r="AC208" i="7"/>
  <c r="AC385" i="7"/>
  <c r="AC393" i="7"/>
  <c r="AC401" i="7"/>
  <c r="AC409" i="7"/>
  <c r="AC428" i="7"/>
  <c r="K49" i="82"/>
  <c r="AC43" i="7"/>
  <c r="AC47" i="7"/>
  <c r="AC51" i="7"/>
  <c r="AC55" i="7"/>
  <c r="AC59" i="7"/>
  <c r="AC63" i="7"/>
  <c r="AC67" i="7"/>
  <c r="AC71" i="7"/>
  <c r="AC75" i="7"/>
  <c r="AC79" i="7"/>
  <c r="AC83" i="7"/>
  <c r="AC289" i="7"/>
  <c r="AC295" i="7"/>
  <c r="AC301" i="7"/>
  <c r="AC309" i="7"/>
  <c r="AC317" i="7"/>
  <c r="AC331" i="7"/>
  <c r="AC339" i="7"/>
  <c r="AC347" i="7"/>
  <c r="AC355" i="7"/>
  <c r="AC358" i="7"/>
  <c r="AC363" i="7"/>
  <c r="AC366" i="7"/>
  <c r="AC371" i="7"/>
  <c r="AC382" i="7"/>
  <c r="AC390" i="7"/>
  <c r="AC398" i="7"/>
  <c r="AC406" i="7"/>
  <c r="AC333" i="7"/>
  <c r="AC341" i="7"/>
  <c r="AC349" i="7"/>
  <c r="AC357" i="7"/>
  <c r="AC365" i="7"/>
  <c r="AC373" i="7"/>
  <c r="AC381" i="7"/>
  <c r="AC389" i="7"/>
  <c r="I55" i="82"/>
  <c r="AC45" i="7"/>
  <c r="AC49" i="7"/>
  <c r="AC53" i="7"/>
  <c r="AC57" i="7"/>
  <c r="AC61" i="7"/>
  <c r="AC65" i="7"/>
  <c r="AC69" i="7"/>
  <c r="AC73" i="7"/>
  <c r="AC77" i="7"/>
  <c r="AC81" i="7"/>
  <c r="AC85" i="7"/>
  <c r="AC293" i="7"/>
  <c r="AC297" i="7"/>
  <c r="AC305" i="7"/>
  <c r="AC313" i="7"/>
  <c r="AC321" i="7"/>
  <c r="AC327" i="7"/>
  <c r="AC394" i="7"/>
  <c r="AC402" i="7"/>
  <c r="AC410" i="7"/>
  <c r="AC472" i="7"/>
  <c r="L9" i="82"/>
  <c r="L5" i="82"/>
  <c r="E55" i="82"/>
  <c r="D59" i="82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40" i="7"/>
  <c r="AC41" i="7"/>
  <c r="AC89" i="7"/>
  <c r="AC90" i="7"/>
  <c r="AC91" i="7"/>
  <c r="AC98" i="7"/>
  <c r="AC99" i="7"/>
  <c r="AC101" i="7"/>
  <c r="AC102" i="7"/>
  <c r="AC108" i="7"/>
  <c r="AC109" i="7"/>
  <c r="AC110" i="7"/>
  <c r="AC111" i="7"/>
  <c r="AC129" i="7"/>
  <c r="AC130" i="7"/>
  <c r="AC131" i="7"/>
  <c r="AC139" i="7"/>
  <c r="AC140" i="7"/>
  <c r="AC143" i="7"/>
  <c r="AC144" i="7"/>
  <c r="AC180" i="7"/>
  <c r="AC182" i="7"/>
  <c r="AC183" i="7"/>
  <c r="AC185" i="7"/>
  <c r="AC186" i="7"/>
  <c r="AC188" i="7"/>
  <c r="AC198" i="7"/>
  <c r="AC199" i="7"/>
  <c r="AC200" i="7"/>
  <c r="AC201" i="7"/>
  <c r="AC202" i="7"/>
  <c r="H55" i="82"/>
  <c r="AC216" i="7"/>
  <c r="AC217" i="7"/>
  <c r="AC218" i="7"/>
  <c r="AC219" i="7"/>
  <c r="AC220" i="7"/>
  <c r="AC221" i="7"/>
  <c r="AC222" i="7"/>
  <c r="AC223" i="7"/>
  <c r="AC224" i="7"/>
  <c r="AC225" i="7"/>
  <c r="AC226" i="7"/>
  <c r="AC227" i="7"/>
  <c r="AC228" i="7"/>
  <c r="AC229" i="7"/>
  <c r="AC230" i="7"/>
  <c r="AC231" i="7"/>
  <c r="AC232" i="7"/>
  <c r="AC233" i="7"/>
  <c r="AC234" i="7"/>
  <c r="AC235" i="7"/>
  <c r="AC236" i="7"/>
  <c r="AC237" i="7"/>
  <c r="AC238" i="7"/>
  <c r="AC239" i="7"/>
  <c r="AC240" i="7"/>
  <c r="AC241" i="7"/>
  <c r="AC242" i="7"/>
  <c r="AC243" i="7"/>
  <c r="AC244" i="7"/>
  <c r="AC245" i="7"/>
  <c r="AC246" i="7"/>
  <c r="AC247" i="7"/>
  <c r="AC248" i="7"/>
  <c r="AC249" i="7"/>
  <c r="AC250" i="7"/>
  <c r="AC251" i="7"/>
  <c r="AC252" i="7"/>
  <c r="AC253" i="7"/>
  <c r="AC254" i="7"/>
  <c r="AC255" i="7"/>
  <c r="AC256" i="7"/>
  <c r="AC257" i="7"/>
  <c r="AC258" i="7"/>
  <c r="AC259" i="7"/>
  <c r="AC260" i="7"/>
  <c r="AC264" i="7"/>
  <c r="AC265" i="7"/>
  <c r="AC266" i="7"/>
  <c r="AC267" i="7"/>
  <c r="AC268" i="7"/>
  <c r="AC269" i="7"/>
  <c r="AC270" i="7"/>
  <c r="AC271" i="7"/>
  <c r="AC272" i="7"/>
  <c r="AC273" i="7"/>
  <c r="AC274" i="7"/>
  <c r="AC275" i="7"/>
  <c r="AC276" i="7"/>
  <c r="AC277" i="7"/>
  <c r="AC278" i="7"/>
  <c r="AC279" i="7"/>
  <c r="AC280" i="7"/>
  <c r="AC281" i="7"/>
  <c r="AC282" i="7"/>
  <c r="AC284" i="7"/>
  <c r="AC285" i="7"/>
  <c r="AC292" i="7"/>
  <c r="AC300" i="7"/>
  <c r="AC304" i="7"/>
  <c r="AC308" i="7"/>
  <c r="AC312" i="7"/>
  <c r="AC316" i="7"/>
  <c r="AC320" i="7"/>
  <c r="AC324" i="7"/>
  <c r="AC328" i="7"/>
  <c r="AC332" i="7"/>
  <c r="AC336" i="7"/>
  <c r="AC340" i="7"/>
  <c r="AC344" i="7"/>
  <c r="AC348" i="7"/>
  <c r="AC352" i="7"/>
  <c r="AC356" i="7"/>
  <c r="AC359" i="7"/>
  <c r="AC362" i="7"/>
  <c r="AC375" i="7"/>
  <c r="AC383" i="7"/>
  <c r="AC391" i="7"/>
  <c r="AC399" i="7"/>
  <c r="AC407" i="7"/>
  <c r="AC426" i="7"/>
  <c r="AC291" i="7"/>
  <c r="AC368" i="7"/>
  <c r="AC415" i="7"/>
  <c r="AC422" i="7"/>
  <c r="AC298" i="7"/>
  <c r="AC302" i="7"/>
  <c r="AC306" i="7"/>
  <c r="AC310" i="7"/>
  <c r="AC314" i="7"/>
  <c r="AC318" i="7"/>
  <c r="AC322" i="7"/>
  <c r="AC330" i="7"/>
  <c r="AC334" i="7"/>
  <c r="AC338" i="7"/>
  <c r="AC342" i="7"/>
  <c r="AC346" i="7"/>
  <c r="AC354" i="7"/>
  <c r="AC364" i="7"/>
  <c r="AC367" i="7"/>
  <c r="AC370" i="7"/>
  <c r="AC379" i="7"/>
  <c r="AC387" i="7"/>
  <c r="AC395" i="7"/>
  <c r="AC403" i="7"/>
  <c r="AC411" i="7"/>
  <c r="AC360" i="7"/>
  <c r="AC419" i="7"/>
  <c r="AC372" i="7"/>
  <c r="AC384" i="7"/>
  <c r="AC388" i="7"/>
  <c r="AC392" i="7"/>
  <c r="AC396" i="7"/>
  <c r="AC400" i="7"/>
  <c r="AC404" i="7"/>
  <c r="AC408" i="7"/>
  <c r="AC425" i="7"/>
  <c r="AC429" i="7"/>
  <c r="AC433" i="7"/>
  <c r="AC430" i="7"/>
  <c r="AC434" i="7"/>
  <c r="AC438" i="7"/>
  <c r="AU5" i="91"/>
  <c r="AU39" i="91"/>
  <c r="AU70" i="91"/>
  <c r="AU98" i="91"/>
  <c r="AU123" i="91"/>
  <c r="AU150" i="91"/>
  <c r="AU174" i="91"/>
  <c r="C57" i="7" l="1"/>
  <c r="L8" i="82" s="1"/>
  <c r="B17" i="2"/>
  <c r="B29" i="2"/>
  <c r="B18" i="2"/>
  <c r="B24" i="2"/>
  <c r="F21" i="2" s="1"/>
  <c r="G21" i="2"/>
  <c r="G12" i="2"/>
  <c r="B37" i="2"/>
  <c r="B34" i="2" s="1"/>
  <c r="C2" i="7"/>
  <c r="L4" i="82" s="1"/>
  <c r="L19" i="82"/>
  <c r="AC376" i="7"/>
  <c r="AC350" i="7"/>
  <c r="AC184" i="7"/>
  <c r="AC496" i="7"/>
  <c r="AC374" i="7"/>
  <c r="AC2" i="7"/>
  <c r="AC319" i="7"/>
  <c r="AC437" i="7"/>
  <c r="AC405" i="7"/>
  <c r="AC380" i="7"/>
  <c r="AC26" i="7"/>
  <c r="AC337" i="7"/>
  <c r="L21" i="82"/>
  <c r="L7" i="82"/>
  <c r="AC283" i="7"/>
  <c r="AC39" i="7"/>
  <c r="AC518" i="7"/>
  <c r="AC515" i="7"/>
  <c r="AC499" i="7"/>
  <c r="AC502" i="7"/>
  <c r="AC526" i="7"/>
  <c r="AC525" i="7"/>
  <c r="AC508" i="7"/>
  <c r="AC504" i="7"/>
  <c r="AC521" i="7"/>
  <c r="L10" i="82"/>
  <c r="I57" i="82"/>
  <c r="I56" i="82"/>
  <c r="I58" i="82"/>
  <c r="L13" i="82"/>
  <c r="G59" i="82"/>
  <c r="I59" i="82" s="1"/>
  <c r="L11" i="82"/>
  <c r="L22" i="82"/>
  <c r="L14" i="82"/>
  <c r="L23" i="82"/>
  <c r="F12" i="82"/>
  <c r="L18" i="82"/>
  <c r="L17" i="82"/>
  <c r="L12" i="82"/>
  <c r="L15" i="82"/>
  <c r="B5" i="82"/>
  <c r="E59" i="82"/>
  <c r="B6" i="82" s="1"/>
  <c r="L25" i="82"/>
  <c r="L24" i="82"/>
  <c r="L26" i="82" l="1"/>
  <c r="F30" i="82"/>
  <c r="F27" i="82"/>
  <c r="F32" i="82"/>
  <c r="F28" i="82"/>
  <c r="F29" i="82"/>
  <c r="F31" i="82"/>
  <c r="C709" i="7"/>
  <c r="B16" i="82"/>
  <c r="B24" i="82" s="1"/>
  <c r="F22" i="82" s="1"/>
  <c r="H59" i="82"/>
  <c r="G12" i="82"/>
  <c r="G22" i="82"/>
  <c r="B37" i="82"/>
  <c r="B34" i="82" s="1"/>
  <c r="F33" i="82" l="1"/>
  <c r="G29" i="82" s="1"/>
  <c r="B29" i="82"/>
  <c r="B17" i="82"/>
  <c r="B18" i="82"/>
  <c r="G30" i="82" l="1"/>
  <c r="G31" i="82"/>
  <c r="G32" i="82"/>
  <c r="G28" i="82"/>
  <c r="G27" i="82"/>
  <c r="G33" i="8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Неезжалова Анастасия Викторовна</author>
  </authors>
  <commentList>
    <comment ref="N31" authorId="0" shapeId="0" xr:uid="{5632FDA7-8269-40DF-9FBC-2F35A8934EB8}">
      <text>
        <r>
          <rPr>
            <b/>
            <sz val="9"/>
            <color indexed="81"/>
            <rFont val="Tahoma"/>
            <family val="2"/>
            <charset val="204"/>
          </rPr>
          <t>дискование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Неезжалова Анастасия Викторовна</author>
  </authors>
  <commentList>
    <comment ref="B36" authorId="0" shapeId="0" xr:uid="{B5151CB4-6A50-40AA-A381-00077EB703A6}">
      <text>
        <r>
          <rPr>
            <b/>
            <sz val="9"/>
            <color indexed="81"/>
            <rFont val="Tahoma"/>
            <family val="2"/>
            <charset val="204"/>
          </rPr>
          <t>вес по вх контролю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Неезжалова Анастасия Викторовна</author>
  </authors>
  <commentList>
    <comment ref="B36" authorId="0" shapeId="0" xr:uid="{75561A33-4276-4108-91C1-42EB0D8600D2}">
      <text>
        <r>
          <rPr>
            <b/>
            <sz val="9"/>
            <color indexed="81"/>
            <rFont val="Tahoma"/>
            <family val="2"/>
            <charset val="204"/>
          </rPr>
          <t>вес по вх контролю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60" authorId="0" shapeId="0" xr:uid="{EDF3E22D-DCC8-4BB7-A4A0-645EB617E295}">
      <text>
        <r>
          <rPr>
            <b/>
            <sz val="9"/>
            <color indexed="81"/>
            <rFont val="Tahoma"/>
            <family val="2"/>
            <charset val="204"/>
          </rPr>
          <t>валовый сбор посчитан на 302,9 га, площадь приравняли к 120 га, убрали 2,9 га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Неезжалова Анастасия Викторовна</author>
  </authors>
  <commentList>
    <comment ref="I105" authorId="0" shapeId="0" xr:uid="{3049A04D-646B-4BA0-892C-2B5BEF0D5925}">
      <text>
        <r>
          <rPr>
            <b/>
            <sz val="9"/>
            <color indexed="81"/>
            <rFont val="Tahoma"/>
            <family val="2"/>
            <charset val="204"/>
          </rPr>
          <t>Неезжалова Анастасия Викторовна:</t>
        </r>
        <r>
          <rPr>
            <sz val="9"/>
            <color indexed="81"/>
            <rFont val="Tahoma"/>
            <family val="2"/>
            <charset val="204"/>
          </rPr>
          <t xml:space="preserve">
0,640</t>
        </r>
      </text>
    </comment>
  </commentList>
</comments>
</file>

<file path=xl/sharedStrings.xml><?xml version="1.0" encoding="utf-8"?>
<sst xmlns="http://schemas.openxmlformats.org/spreadsheetml/2006/main" count="54593" uniqueCount="4046">
  <si>
    <t>МАЙ</t>
  </si>
  <si>
    <t>Пн</t>
  </si>
  <si>
    <t>Вт</t>
  </si>
  <si>
    <t>Ср</t>
  </si>
  <si>
    <t>Чт</t>
  </si>
  <si>
    <t>Пт</t>
  </si>
  <si>
    <t>Сб</t>
  </si>
  <si>
    <t>Вс</t>
  </si>
  <si>
    <t>ИЮНЬ</t>
  </si>
  <si>
    <t>Контрагент</t>
  </si>
  <si>
    <t>Полив</t>
  </si>
  <si>
    <t>Номер поля</t>
  </si>
  <si>
    <t>Сорт</t>
  </si>
  <si>
    <t>Площадь сева</t>
  </si>
  <si>
    <t>Площадь уборки</t>
  </si>
  <si>
    <t>Остаток площади</t>
  </si>
  <si>
    <t>Закрытие, %</t>
  </si>
  <si>
    <t>Выполнение плана, %</t>
  </si>
  <si>
    <t>ООО ГРК</t>
  </si>
  <si>
    <t>богара</t>
  </si>
  <si>
    <t>А-17</t>
  </si>
  <si>
    <t>Преладо</t>
  </si>
  <si>
    <t>Валовый сбор</t>
  </si>
  <si>
    <t>ПЛАН, т</t>
  </si>
  <si>
    <t>ФАКТ, т</t>
  </si>
  <si>
    <t>Исполнение плана, %</t>
  </si>
  <si>
    <t>ПЛАН, га</t>
  </si>
  <si>
    <t>ФАКТ, га</t>
  </si>
  <si>
    <t>Остаток, га</t>
  </si>
  <si>
    <t>ПЛАН, т/га</t>
  </si>
  <si>
    <t>ФАКТ, т/га</t>
  </si>
  <si>
    <t>Урожайность физ. вес.</t>
  </si>
  <si>
    <t xml:space="preserve"> 3.1</t>
  </si>
  <si>
    <t xml:space="preserve"> 3.2</t>
  </si>
  <si>
    <t>Урожайность зач. вес.</t>
  </si>
  <si>
    <t xml:space="preserve"> 1.1</t>
  </si>
  <si>
    <t xml:space="preserve"> 1.2</t>
  </si>
  <si>
    <t>Зачетный вес</t>
  </si>
  <si>
    <t>Выполнение плана по сбору</t>
  </si>
  <si>
    <t>Учхоз Кубань</t>
  </si>
  <si>
    <t>ГРК собственные семена</t>
  </si>
  <si>
    <t>ГРК демо</t>
  </si>
  <si>
    <t>ГРК</t>
  </si>
  <si>
    <t>Учхоз Кубань (богара)</t>
  </si>
  <si>
    <t>ГРК собственные семена (богара)</t>
  </si>
  <si>
    <t>ГРК демо (богара)</t>
  </si>
  <si>
    <t>ГРК (богара)</t>
  </si>
  <si>
    <t>Братковский</t>
  </si>
  <si>
    <t>Агролидер</t>
  </si>
  <si>
    <t>Колос</t>
  </si>
  <si>
    <t>Братковский (полив)</t>
  </si>
  <si>
    <t>Братковский закупка (полив)</t>
  </si>
  <si>
    <t>Агролидер (полив)</t>
  </si>
  <si>
    <t>Колос (полив)</t>
  </si>
  <si>
    <t>Урожайность, т/га</t>
  </si>
  <si>
    <t>Вал, т</t>
  </si>
  <si>
    <t>Распределение сырья по финометру</t>
  </si>
  <si>
    <t xml:space="preserve"> 40-62</t>
  </si>
  <si>
    <t xml:space="preserve"> до 40</t>
  </si>
  <si>
    <t>Вес, т</t>
  </si>
  <si>
    <t>Доля, %</t>
  </si>
  <si>
    <t xml:space="preserve"> 63-66</t>
  </si>
  <si>
    <t xml:space="preserve"> 67-85</t>
  </si>
  <si>
    <t>Ежедневные показатели</t>
  </si>
  <si>
    <t>Сбор, т</t>
  </si>
  <si>
    <t>Финометр</t>
  </si>
  <si>
    <t>Документ</t>
  </si>
  <si>
    <t>Номер взвешивания</t>
  </si>
  <si>
    <t>Номер вх.  док.</t>
  </si>
  <si>
    <t>Водитель</t>
  </si>
  <si>
    <t>Автомобиль</t>
  </si>
  <si>
    <t>Хар-ка</t>
  </si>
  <si>
    <t>Исх. номенклатура</t>
  </si>
  <si>
    <t>Вес брутто</t>
  </si>
  <si>
    <t>Вес тары</t>
  </si>
  <si>
    <t>% отходов сверх допуска</t>
  </si>
  <si>
    <t>Вес нетто</t>
  </si>
  <si>
    <t>Акт входного контроля 000000046 от 27.05.2025 18:12:14</t>
  </si>
  <si>
    <t>Грин Рэй Кубань ООО (Овощеводство)</t>
  </si>
  <si>
    <t>Сайко Василий Викторович</t>
  </si>
  <si>
    <t>А816ЕВ</t>
  </si>
  <si>
    <t>Оскар</t>
  </si>
  <si>
    <t>Горох овощной свежий 10.01</t>
  </si>
  <si>
    <t>Культура</t>
  </si>
  <si>
    <t>Площадь уборки, га</t>
  </si>
  <si>
    <t>Показатель</t>
  </si>
  <si>
    <t>Количество</t>
  </si>
  <si>
    <t>Регистратор.Номер</t>
  </si>
  <si>
    <t>Регистратор.Вес брутто</t>
  </si>
  <si>
    <t>Регистратор.Вес нетто</t>
  </si>
  <si>
    <t>Регистратор.Вес тары</t>
  </si>
  <si>
    <t>Регистратор.Вес чистый</t>
  </si>
  <si>
    <t>Регистратор.Контрагент</t>
  </si>
  <si>
    <t>Регистратор.Номенклатура</t>
  </si>
  <si>
    <t>Регистратор.Комбайнеры.Поле.Наименование</t>
  </si>
  <si>
    <t>Регистратор.Водитель</t>
  </si>
  <si>
    <t>Регистратор.Время прибытия</t>
  </si>
  <si>
    <t>Регистратор.Время убытия</t>
  </si>
  <si>
    <t>Регистратор.Комбайнеры.Комбайнер.Наименование</t>
  </si>
  <si>
    <t>Регистратор.Номера талонов</t>
  </si>
  <si>
    <t>Регистратор.Номер машины</t>
  </si>
  <si>
    <t>Регистратор.Номер прицепа</t>
  </si>
  <si>
    <t>Степень зрелости</t>
  </si>
  <si>
    <t>18:12:14</t>
  </si>
  <si>
    <t>19:40:31</t>
  </si>
  <si>
    <t>Кубань УОХ</t>
  </si>
  <si>
    <t>10:51:42</t>
  </si>
  <si>
    <t>11:42:14</t>
  </si>
  <si>
    <t>402,002,202,502,001,201</t>
  </si>
  <si>
    <t>ЕС2898</t>
  </si>
  <si>
    <t>А-44</t>
  </si>
  <si>
    <t>Игольницын Сергей Владимирович</t>
  </si>
  <si>
    <t>15:30:03</t>
  </si>
  <si>
    <t>15:50:01</t>
  </si>
  <si>
    <t>В780ТТ</t>
  </si>
  <si>
    <t>МС8607</t>
  </si>
  <si>
    <t>11:31:14</t>
  </si>
  <si>
    <t>12:47:57</t>
  </si>
  <si>
    <t>204,003,408,203,407,105</t>
  </si>
  <si>
    <t>Х514ОК</t>
  </si>
  <si>
    <t>ЕУ4356</t>
  </si>
  <si>
    <t>Сероштан Станислав Викторович</t>
  </si>
  <si>
    <t>23:57:00</t>
  </si>
  <si>
    <t>1:11:23</t>
  </si>
  <si>
    <t>216,016,215,015,418,214</t>
  </si>
  <si>
    <t>Е758РЕ</t>
  </si>
  <si>
    <t>ЕХ4191</t>
  </si>
  <si>
    <t>Чигрин Н.А.</t>
  </si>
  <si>
    <t>17:13:45</t>
  </si>
  <si>
    <t>18:08:52</t>
  </si>
  <si>
    <t>101,301,403,102,302,404</t>
  </si>
  <si>
    <t>А819ЕВ</t>
  </si>
  <si>
    <t>ЕС2899</t>
  </si>
  <si>
    <t>Кулик О В</t>
  </si>
  <si>
    <t>22:28:12</t>
  </si>
  <si>
    <t>23:13:11</t>
  </si>
  <si>
    <t>014,213,416,212,417,013</t>
  </si>
  <si>
    <t>К403ЕМ</t>
  </si>
  <si>
    <t>ЕС6095</t>
  </si>
  <si>
    <t>19:59:17</t>
  </si>
  <si>
    <t>20:21:39</t>
  </si>
  <si>
    <t>704,801,705</t>
  </si>
  <si>
    <t>17:34:52</t>
  </si>
  <si>
    <t>18:31:53</t>
  </si>
  <si>
    <t>210,008,413,209,412,009</t>
  </si>
  <si>
    <t>Р258УХ</t>
  </si>
  <si>
    <t>МО9466</t>
  </si>
  <si>
    <t>21:40:42</t>
  </si>
  <si>
    <t>012,011,415,211,414,010</t>
  </si>
  <si>
    <t>К570ЕО</t>
  </si>
  <si>
    <t>ЕС6735</t>
  </si>
  <si>
    <t>Егоян Артем Владимирович</t>
  </si>
  <si>
    <t>13:56:01</t>
  </si>
  <si>
    <t>14:52:07</t>
  </si>
  <si>
    <t>005,206,500,004,409,205</t>
  </si>
  <si>
    <t>А701СН</t>
  </si>
  <si>
    <t>ЕН9185</t>
  </si>
  <si>
    <t>3:30:03</t>
  </si>
  <si>
    <t>5:27:33</t>
  </si>
  <si>
    <t>020,220,422,019,421,219</t>
  </si>
  <si>
    <t>Мудрак Игорь Вадимович</t>
  </si>
  <si>
    <t>15:13:11</t>
  </si>
  <si>
    <t>16:09:25</t>
  </si>
  <si>
    <t>208,007,410,006,411,207</t>
  </si>
  <si>
    <t>С198УЕ</t>
  </si>
  <si>
    <t>ЕУ4355</t>
  </si>
  <si>
    <t>Фомин Николай Григорьевич</t>
  </si>
  <si>
    <t>2:11:42</t>
  </si>
  <si>
    <t>2:55:07</t>
  </si>
  <si>
    <t>218,018,420,419,217,017</t>
  </si>
  <si>
    <t>А731ВА</t>
  </si>
  <si>
    <t>МО8130</t>
  </si>
  <si>
    <t>Регистратор.Дата</t>
  </si>
  <si>
    <t>Поле</t>
  </si>
  <si>
    <t>Смена</t>
  </si>
  <si>
    <t>Дата отчета</t>
  </si>
  <si>
    <t>Орошение</t>
  </si>
  <si>
    <t>Значение спелости</t>
  </si>
  <si>
    <t>полив</t>
  </si>
  <si>
    <t>Братковский закупка</t>
  </si>
  <si>
    <t>Выборка по КА, орошению</t>
  </si>
  <si>
    <t>Названия строк</t>
  </si>
  <si>
    <t>Общий итог</t>
  </si>
  <si>
    <t xml:space="preserve"> Исполнение, %</t>
  </si>
  <si>
    <t xml:space="preserve"> ФАКТ, т</t>
  </si>
  <si>
    <t xml:space="preserve"> ПЛАН, т</t>
  </si>
  <si>
    <t>ОПЕРАТИВНАЯ ИНФОРМАЦИЯ ПО СБОРУ ГОРОШКА (СЕЗОН 2025 г.)</t>
  </si>
  <si>
    <t>Исполнение плана по валу, %</t>
  </si>
  <si>
    <t>Исполнение плана по площади, %</t>
  </si>
  <si>
    <t>Информация по сырью</t>
  </si>
  <si>
    <t>Переработка</t>
  </si>
  <si>
    <t>Утилизация</t>
  </si>
  <si>
    <t>Реализация</t>
  </si>
  <si>
    <t>Собственное сырье</t>
  </si>
  <si>
    <t>Закупка</t>
  </si>
  <si>
    <t>Извеков Владимир Владимирович</t>
  </si>
  <si>
    <t>21:02:53</t>
  </si>
  <si>
    <t>23:48:44</t>
  </si>
  <si>
    <t>029,431,229,030,230,031</t>
  </si>
  <si>
    <t>Н378ХЕ</t>
  </si>
  <si>
    <t>9:40:06</t>
  </si>
  <si>
    <t>9:51:07</t>
  </si>
  <si>
    <t>8:40:44</t>
  </si>
  <si>
    <t>8:50:06</t>
  </si>
  <si>
    <t>16:08:24</t>
  </si>
  <si>
    <t>16:18:09</t>
  </si>
  <si>
    <t>11:45:06</t>
  </si>
  <si>
    <t>12:01:00</t>
  </si>
  <si>
    <t>709,904,708,903</t>
  </si>
  <si>
    <t>19:04:44</t>
  </si>
  <si>
    <t>19:18:58</t>
  </si>
  <si>
    <t>711,908,712,909,713</t>
  </si>
  <si>
    <t>Богучарский А. И.</t>
  </si>
  <si>
    <t>13:36:43</t>
  </si>
  <si>
    <t>13:59:42</t>
  </si>
  <si>
    <t>916,728,915,727</t>
  </si>
  <si>
    <t>Е404УС</t>
  </si>
  <si>
    <t>4:24:42</t>
  </si>
  <si>
    <t>4:45:36</t>
  </si>
  <si>
    <t>721,913,720,719</t>
  </si>
  <si>
    <t>1:08:40</t>
  </si>
  <si>
    <t>1:34:12</t>
  </si>
  <si>
    <t>912,718,717,911</t>
  </si>
  <si>
    <t>11:06:34</t>
  </si>
  <si>
    <t>11:24:07</t>
  </si>
  <si>
    <t>21:56:51</t>
  </si>
  <si>
    <t>22:29:34</t>
  </si>
  <si>
    <t>716,715,910,714</t>
  </si>
  <si>
    <t>7:14:08</t>
  </si>
  <si>
    <t>7:33:01</t>
  </si>
  <si>
    <t>724,723,914,722</t>
  </si>
  <si>
    <t>21:52:22</t>
  </si>
  <si>
    <t>3:27:11</t>
  </si>
  <si>
    <t>921,730,922,731,923,732</t>
  </si>
  <si>
    <t>Емец Р.А.</t>
  </si>
  <si>
    <t>22:29:35</t>
  </si>
  <si>
    <t>2:09:09</t>
  </si>
  <si>
    <t>032,231,432,232,033,433</t>
  </si>
  <si>
    <t>У315НХ</t>
  </si>
  <si>
    <t>Черевко Александр Владимирович</t>
  </si>
  <si>
    <t>19:05:41</t>
  </si>
  <si>
    <t>23:20:46</t>
  </si>
  <si>
    <t>027,227,429,028,228,430</t>
  </si>
  <si>
    <t>А114МК</t>
  </si>
  <si>
    <t>Грищенко Александр Александрович</t>
  </si>
  <si>
    <t>18:02:55</t>
  </si>
  <si>
    <t>19:22:56</t>
  </si>
  <si>
    <t>428,226,026,427,225,025</t>
  </si>
  <si>
    <t>К416ТН</t>
  </si>
  <si>
    <t>Долгих Николай Петрович</t>
  </si>
  <si>
    <t>23:13:05</t>
  </si>
  <si>
    <t>4:20:42</t>
  </si>
  <si>
    <t>233,034,434,234,035,435</t>
  </si>
  <si>
    <t>У726ЕР</t>
  </si>
  <si>
    <t>Вафин В</t>
  </si>
  <si>
    <t>0:39:44</t>
  </si>
  <si>
    <t>9:01:17</t>
  </si>
  <si>
    <t>235,036,236,037,436,237</t>
  </si>
  <si>
    <t>У383РЕ</t>
  </si>
  <si>
    <t>16:48:47</t>
  </si>
  <si>
    <t>17:54:07</t>
  </si>
  <si>
    <t>426,224,024,023,425,223</t>
  </si>
  <si>
    <t>Титаренко Максим Сергеевич</t>
  </si>
  <si>
    <t>15:33:08</t>
  </si>
  <si>
    <t>16:14:05</t>
  </si>
  <si>
    <t>022,222,424,021,221,423</t>
  </si>
  <si>
    <t>О398ХО</t>
  </si>
  <si>
    <t>3:20:56</t>
  </si>
  <si>
    <t>10:41:54</t>
  </si>
  <si>
    <t>040,440,240,439,041,241</t>
  </si>
  <si>
    <t>Т239УС</t>
  </si>
  <si>
    <t>ЕС6637</t>
  </si>
  <si>
    <t>Огнев Максим Викторович</t>
  </si>
  <si>
    <t>1:29:47</t>
  </si>
  <si>
    <t>11:04:29</t>
  </si>
  <si>
    <t>038,238,437,039,438,239</t>
  </si>
  <si>
    <t>Р755НН</t>
  </si>
  <si>
    <t>РА5550</t>
  </si>
  <si>
    <t xml:space="preserve">День уборки - </t>
  </si>
  <si>
    <t>Физический вес, кг</t>
  </si>
  <si>
    <t>Зачетный вес, кг</t>
  </si>
  <si>
    <t xml:space="preserve"> Площадь уборки, га</t>
  </si>
  <si>
    <t>Значения</t>
  </si>
  <si>
    <t>Сурнин А.В</t>
  </si>
  <si>
    <t>15:30:45</t>
  </si>
  <si>
    <t>13:55:17</t>
  </si>
  <si>
    <t>738,930,739</t>
  </si>
  <si>
    <t>В415ТТ</t>
  </si>
  <si>
    <t>МВ6101</t>
  </si>
  <si>
    <t>Сидоренко Евгений Сергеевич</t>
  </si>
  <si>
    <t>17:39:45</t>
  </si>
  <si>
    <t>15:13:12</t>
  </si>
  <si>
    <t>740,931,741,932</t>
  </si>
  <si>
    <t>М697ХВ</t>
  </si>
  <si>
    <t>ма4170</t>
  </si>
  <si>
    <t>Дмитриев Николай Александрович</t>
  </si>
  <si>
    <t>21:20:18</t>
  </si>
  <si>
    <t>16:30:01</t>
  </si>
  <si>
    <t>744,935,934,743,742,933</t>
  </si>
  <si>
    <t>М202СХ</t>
  </si>
  <si>
    <t>МВ0464</t>
  </si>
  <si>
    <t>Изюминка</t>
  </si>
  <si>
    <t>Мормуль А.Е.</t>
  </si>
  <si>
    <t>х474 ке</t>
  </si>
  <si>
    <t>ЕТ0909</t>
  </si>
  <si>
    <t>Магадиев Александр Сайлаувич</t>
  </si>
  <si>
    <t>4:24:32</t>
  </si>
  <si>
    <t>13:02:01</t>
  </si>
  <si>
    <t>242,042,441,043,243,442</t>
  </si>
  <si>
    <t>У184НО</t>
  </si>
  <si>
    <t>МН7302</t>
  </si>
  <si>
    <t>Бербеницкий Сергей Николаевич</t>
  </si>
  <si>
    <t>16:59:38</t>
  </si>
  <si>
    <t>20:29:39</t>
  </si>
  <si>
    <t>445,306,107,444,106,305</t>
  </si>
  <si>
    <t>С400РР</t>
  </si>
  <si>
    <t>ЕО0811</t>
  </si>
  <si>
    <t>7:51:31</t>
  </si>
  <si>
    <t>15:58:34</t>
  </si>
  <si>
    <t>246,047,247,048,248,049</t>
  </si>
  <si>
    <t>С707ОУ</t>
  </si>
  <si>
    <t>ЕТ8716</t>
  </si>
  <si>
    <t>7:03:43</t>
  </si>
  <si>
    <t>15:36:46</t>
  </si>
  <si>
    <t>735,927,736,928,737,929</t>
  </si>
  <si>
    <t>ЕР7829</t>
  </si>
  <si>
    <t>0:13:03</t>
  </si>
  <si>
    <t>5:29:03</t>
  </si>
  <si>
    <t>924,925,734,733,926</t>
  </si>
  <si>
    <t>Ревенко Андрей Вячеславович</t>
  </si>
  <si>
    <t>6:03:58</t>
  </si>
  <si>
    <t>13:08:09</t>
  </si>
  <si>
    <t>244,044,045,245,443,046</t>
  </si>
  <si>
    <t>А781РР</t>
  </si>
  <si>
    <t>ЕХ4187</t>
  </si>
  <si>
    <t>Кудря Евгений</t>
  </si>
  <si>
    <t>10:50:53</t>
  </si>
  <si>
    <t>17:24:37</t>
  </si>
  <si>
    <t>050,249,052,251,051,250</t>
  </si>
  <si>
    <t>А719ОО</t>
  </si>
  <si>
    <t>ЕУ8087</t>
  </si>
  <si>
    <t>23:14:32</t>
  </si>
  <si>
    <t>23:46:16</t>
  </si>
  <si>
    <t>747,936,746,745</t>
  </si>
  <si>
    <t>23:23:17</t>
  </si>
  <si>
    <t>1:54:38</t>
  </si>
  <si>
    <t>450,114,312,113,311,112</t>
  </si>
  <si>
    <t xml:space="preserve">Погуляй А.Б.       </t>
  </si>
  <si>
    <t>20:23:59</t>
  </si>
  <si>
    <t>21:04:28</t>
  </si>
  <si>
    <t>447,109,446,308,108,307</t>
  </si>
  <si>
    <t>О824ТХ</t>
  </si>
  <si>
    <t>ЕН1867</t>
  </si>
  <si>
    <t>21:36:54</t>
  </si>
  <si>
    <t>22:19:44</t>
  </si>
  <si>
    <t>310,449,309,111,448,110</t>
  </si>
  <si>
    <t>Продажа</t>
  </si>
  <si>
    <t>Юнона</t>
  </si>
  <si>
    <t>Пищевик</t>
  </si>
  <si>
    <t>Акт входного контроля 000000044 от 27.05.2025 18:45:07</t>
  </si>
  <si>
    <t>Акт входного контроля 000000045 от 27.05.2025 18:55:15</t>
  </si>
  <si>
    <t>Акт входного контроля 000000047 от 28.05.2025 7:34:33</t>
  </si>
  <si>
    <t>Акт входного контроля 000000048 от 28.05.2025 13:21:12</t>
  </si>
  <si>
    <t>Акт входного контроля 000000052 от 28.05.2025 17:09:05</t>
  </si>
  <si>
    <t>Акт входного контроля 000000053 от 28.05.2025 17:13:08</t>
  </si>
  <si>
    <t>1/8.1</t>
  </si>
  <si>
    <t>Акт входного контроля 000000054 от 28.05.2025 19:29:40</t>
  </si>
  <si>
    <t>Акт входного контроля 000000055 от 28.05.2025 22:06:53</t>
  </si>
  <si>
    <t>Акт входного контроля 000000056 от 28.05.2025 23:29:32</t>
  </si>
  <si>
    <t>Акт входного контроля 000000057 от 29.05.2025 9:14:34</t>
  </si>
  <si>
    <t>Акт входного контроля 000000058 от 29.05.2025 4:10:27</t>
  </si>
  <si>
    <t>Акт входного контроля 000000059 от 29.05.2025 5:52:59</t>
  </si>
  <si>
    <t>Акт входного контроля 000000072 от 29.05.2025 19:39:53</t>
  </si>
  <si>
    <t>Акт входного контроля 000000073 от 29.05.2025 19:59:18</t>
  </si>
  <si>
    <t>Акт входного контроля 000000074 от 31.05.2025 9:09:53</t>
  </si>
  <si>
    <t>Акт входного контроля 000000075 от 31.05.2025 10:10:45</t>
  </si>
  <si>
    <t>Акт входного контроля 000000076 от 31.05.2025 12:12:45</t>
  </si>
  <si>
    <t>Акт входного контроля 000000077 от 31.05.2025 15:05:03</t>
  </si>
  <si>
    <t>Акт входного контроля 000000078 от 31.05.2025 18:28:58</t>
  </si>
  <si>
    <t>Акт входного контроля 000000079 от 31.05.2025 19:28:06</t>
  </si>
  <si>
    <t>Акт входного контроля 000000080 от 31.05.2025 22:38:49</t>
  </si>
  <si>
    <t>Акт входного контроля 000000081 от 01.06.2025 1:45:14</t>
  </si>
  <si>
    <t>Акт входного контроля 000000082 от 01.06.2025 7:43:49</t>
  </si>
  <si>
    <t>Акт входного контроля 000000083 от 01.06.2025 7:41:16</t>
  </si>
  <si>
    <t>Акт входного контроля 000000084 от 01.06.2025 13:09:02</t>
  </si>
  <si>
    <t>Акт входного контроля 000000085 от 01.06.2025 16:38:06</t>
  </si>
  <si>
    <t>Акт входного контроля 000000086 от 01.06.2025 17:28:27</t>
  </si>
  <si>
    <t>Акт входного контроля 000000087 от 01.06.2025 18:55:59</t>
  </si>
  <si>
    <t>Акт входного контроля 000000088 от 01.06.2025 18:58:25</t>
  </si>
  <si>
    <t>Акт входного контроля 000000089 от 01.06.2025 19:45:59</t>
  </si>
  <si>
    <t>Акт входного контроля 000000090 от 01.06.2025 23:58:21</t>
  </si>
  <si>
    <t>Акт входного контроля 000000091 от 01.06.2025 21:02:54</t>
  </si>
  <si>
    <t>Акт входного контроля 000000092 от 01.06.2025 22:29:36</t>
  </si>
  <si>
    <t>Акт входного контроля 000000093 от 01.06.2025 21:52:23</t>
  </si>
  <si>
    <t>Акт входного контроля 000000094 от 01.06.2025 23:13:06</t>
  </si>
  <si>
    <t>Акт входного контроля 000000096 от 02.06.2025 9:27:29</t>
  </si>
  <si>
    <t>Акт входного контроля 000000097 от 02.06.2025 12:14:28</t>
  </si>
  <si>
    <t>Акт входного контроля 000000098 от 02.06.2025 13:11:34</t>
  </si>
  <si>
    <t>Акт входного контроля 000000099 от 02.06.2025 13:27:43</t>
  </si>
  <si>
    <t>Акт входного контроля 000000100 от 02.06.2025 13:46:32</t>
  </si>
  <si>
    <t>Акт входного контроля 000000101 от 02.06.2025 14:02:35</t>
  </si>
  <si>
    <t>Акт входного контроля 000000102 от 02.06.2025 16:16:07</t>
  </si>
  <si>
    <t>Акт входного контроля 000000103 от 02.06.2025 16:27:22</t>
  </si>
  <si>
    <t>Акт входного контроля 000000104 от 02.06.2025 17:40:49</t>
  </si>
  <si>
    <t>Акт входного контроля 000000105 от 02.06.2025 22:29:18</t>
  </si>
  <si>
    <t>Акт входного контроля 000000106 от 02.06.2025 22:35:44</t>
  </si>
  <si>
    <t>Акт входного контроля 000000107 от 02.06.2025 22:39:20</t>
  </si>
  <si>
    <t>Акт входного контроля 000000108 от 02.06.2025 23:14:33</t>
  </si>
  <si>
    <t>Акт входного контроля 000000109 от 02.06.2025 23:23:18</t>
  </si>
  <si>
    <t>Акт входного контроля 000000110 от 03.06.2025 4:16:18</t>
  </si>
  <si>
    <t>Акт входного контроля 000000111 от 03.06.2025 4:19:08</t>
  </si>
  <si>
    <t>Акт входного контроля 000000112 от 02.06.2025 13:55:19</t>
  </si>
  <si>
    <t>Акт входного контроля 000000113 от 02.06.2025 15:13:13</t>
  </si>
  <si>
    <t>Акт входного контроля 000000114 от 02.06.2025 16:30:02</t>
  </si>
  <si>
    <t>Акт входного контроля 000000115 от 02.06.2025 23:23:19</t>
  </si>
  <si>
    <t>65931 Пищевик продажа</t>
  </si>
  <si>
    <t>По отчету ВА - 01.06.2025</t>
  </si>
  <si>
    <t xml:space="preserve"> 2/4</t>
  </si>
  <si>
    <t>Примечание</t>
  </si>
  <si>
    <t xml:space="preserve"> 40-52</t>
  </si>
  <si>
    <t>67-85</t>
  </si>
  <si>
    <t>Акт входного контроля 000000132 от 03.06.2025 15:56:54</t>
  </si>
  <si>
    <t>А-46</t>
  </si>
  <si>
    <t>Акт входного контроля 000000136 от 03.06.2025 15:58:53</t>
  </si>
  <si>
    <t>Акт входного контроля 000000137 от 03.06.2025 16:36:44</t>
  </si>
  <si>
    <t>Акт входного контроля 000000138 от 03.06.2025 17:31:42</t>
  </si>
  <si>
    <t>Акт входного контроля 000000139 от 03.06.2025 19:03:43</t>
  </si>
  <si>
    <t>Акт входного контроля 000000140 от 03.06.2025 21:20:06</t>
  </si>
  <si>
    <t>Акт входного контроля 000000141 от 03.06.2025 21:38:29</t>
  </si>
  <si>
    <t>Акт входного контроля 000000142 от 03.06.2025 22:22:42</t>
  </si>
  <si>
    <t>Акт входного контроля 000000143 от 03.06.2025 21:53:33</t>
  </si>
  <si>
    <t>Акт входного контроля 000000144 от 03.06.2025 23:12:00</t>
  </si>
  <si>
    <t>Акт входного контроля 000000145 от 03.06.2025 23:52:03</t>
  </si>
  <si>
    <t>Акт входного контроля 000000146 от 04.06.2025 2:13:55</t>
  </si>
  <si>
    <t>Акт входного контроля 000000147 от 04.06.2025 4:04:52</t>
  </si>
  <si>
    <t>Акт входного контроля 000000148 от 04.06.2025 4:35:38</t>
  </si>
  <si>
    <t>Акт входного контроля 000000149 от 04.06.2025 5:28:16</t>
  </si>
  <si>
    <t>Акт входного контроля 000000150 от 04.06.2025 6:50:53</t>
  </si>
  <si>
    <t>Акт входного контроля 000000151 от 03.06.2025 2:10:36</t>
  </si>
  <si>
    <t>Микуц Н.М.</t>
  </si>
  <si>
    <t>В397ОТ</t>
  </si>
  <si>
    <t>Акт входного контроля 000000152 от 03.06.2025 6:08:07</t>
  </si>
  <si>
    <t>Баяк А.А.</t>
  </si>
  <si>
    <t>Р277НН</t>
  </si>
  <si>
    <t>Акт входного контроля 000000153 от 03.06.2025 5:48:22</t>
  </si>
  <si>
    <t>Акт входного контроля 000000154 от 03.06.2025 6:12:30</t>
  </si>
  <si>
    <t>7:42:50</t>
  </si>
  <si>
    <t>2:10:35</t>
  </si>
  <si>
    <t>942,941,940,754,939</t>
  </si>
  <si>
    <t>ЕА4771</t>
  </si>
  <si>
    <t>0:45:18</t>
  </si>
  <si>
    <t>5:48:21</t>
  </si>
  <si>
    <t>953,762,763,954,955,764</t>
  </si>
  <si>
    <t>3:09:09</t>
  </si>
  <si>
    <t>6:12:28</t>
  </si>
  <si>
    <t>956,765,957,766,958,767</t>
  </si>
  <si>
    <t>19:29:37</t>
  </si>
  <si>
    <t>6:08:06</t>
  </si>
  <si>
    <t>760,952,759,951,758,950</t>
  </si>
  <si>
    <t>МН9126</t>
  </si>
  <si>
    <t>2/4</t>
  </si>
  <si>
    <t>16:10:25</t>
  </si>
  <si>
    <t>16:28:03</t>
  </si>
  <si>
    <t>14:45:20</t>
  </si>
  <si>
    <t>15:12:54</t>
  </si>
  <si>
    <t>946,945,944,943</t>
  </si>
  <si>
    <t>15:41:07</t>
  </si>
  <si>
    <t>16:53:44</t>
  </si>
  <si>
    <t>252,053,451,501,253,054</t>
  </si>
  <si>
    <t>20:08:25</t>
  </si>
  <si>
    <t>21:02:26</t>
  </si>
  <si>
    <t>14:16:24</t>
  </si>
  <si>
    <t>14:44:07</t>
  </si>
  <si>
    <t>756,947,755</t>
  </si>
  <si>
    <t>20:47:31</t>
  </si>
  <si>
    <t>21:42:51</t>
  </si>
  <si>
    <t>063,261,262,064,263,065</t>
  </si>
  <si>
    <t>17:57:40</t>
  </si>
  <si>
    <t>20:37:14</t>
  </si>
  <si>
    <t>256,058,257,453,059,258</t>
  </si>
  <si>
    <t>4:19:52</t>
  </si>
  <si>
    <t>5:06:09</t>
  </si>
  <si>
    <t>959,768,961</t>
  </si>
  <si>
    <t>16:56:15</t>
  </si>
  <si>
    <t>18:47:54</t>
  </si>
  <si>
    <t>057,056,255,452,055,254</t>
  </si>
  <si>
    <t>21:53:32</t>
  </si>
  <si>
    <t>23:06:17</t>
  </si>
  <si>
    <t>264,457,265,458,459,066</t>
  </si>
  <si>
    <t>23:11:59</t>
  </si>
  <si>
    <t>23:58:13</t>
  </si>
  <si>
    <t>067,068,461,266,460,069</t>
  </si>
  <si>
    <t>ЕУ4649</t>
  </si>
  <si>
    <t>1:35:43</t>
  </si>
  <si>
    <t>3:49:35</t>
  </si>
  <si>
    <t>074,466,271,075,272,076,</t>
  </si>
  <si>
    <t>0:51:31</t>
  </si>
  <si>
    <t>1:48:09</t>
  </si>
  <si>
    <t>269,072,464,465,270,073</t>
  </si>
  <si>
    <t>МС8480</t>
  </si>
  <si>
    <t>2:31:56</t>
  </si>
  <si>
    <t>3:57:53</t>
  </si>
  <si>
    <t>273,467,077,468,274,078</t>
  </si>
  <si>
    <t>23:52:02</t>
  </si>
  <si>
    <t>1:27:53</t>
  </si>
  <si>
    <t>267,070,463,071,462,268</t>
  </si>
  <si>
    <t>4:45:31</t>
  </si>
  <si>
    <t>6:19:03</t>
  </si>
  <si>
    <t>275,079,470,276,469,080</t>
  </si>
  <si>
    <t>нет данных</t>
  </si>
  <si>
    <t>Акт входного контроля 000000199 от 05.06.2025 12:36:55</t>
  </si>
  <si>
    <t>высший</t>
  </si>
  <si>
    <t>Акт входного контроля 000000200 от 05.06.2025 12:50:10</t>
  </si>
  <si>
    <t>Акт входного контроля 000000201 от 04.06.2025 23:47:56</t>
  </si>
  <si>
    <t>Мышастый С.Н.</t>
  </si>
  <si>
    <t>В725ЕА</t>
  </si>
  <si>
    <t>Акт входного контроля 000000202 от 04.06.2025 23:47:57</t>
  </si>
  <si>
    <t>Желтков Е.М.</t>
  </si>
  <si>
    <t>Е838ВР</t>
  </si>
  <si>
    <t>Акт входного контроля 000000203 от 04.06.2025 23:47:58</t>
  </si>
  <si>
    <t>Акт входного контроля 000000204 от 04.06.2025 23:47:59</t>
  </si>
  <si>
    <t>Радин А.М.</t>
  </si>
  <si>
    <t>Акт входного контроля 000000205 от 05.06.2025 13:31:58</t>
  </si>
  <si>
    <t>А-57</t>
  </si>
  <si>
    <t>Авола</t>
  </si>
  <si>
    <t>Акт входного контроля 000000206 от 05.06.2025 14:25:19</t>
  </si>
  <si>
    <t>Акт входного контроля 000000207 от 04.06.2025 19:19:20</t>
  </si>
  <si>
    <t>Акт входного контроля 000000208 от 05.06.2025 16:03:37</t>
  </si>
  <si>
    <t>20 Юнона продажаОтвес№1</t>
  </si>
  <si>
    <t>21Юнона продажаОтвес№2</t>
  </si>
  <si>
    <t>22Юнона продажаОтвес№3</t>
  </si>
  <si>
    <t>25Юнона продажаОтвес №1ГИА</t>
  </si>
  <si>
    <t>28Юнона ПродажаОтвес№4</t>
  </si>
  <si>
    <t>27Юнона ПродажаОтвес№5</t>
  </si>
  <si>
    <t>29ПродажаЮж.Продукт№2</t>
  </si>
  <si>
    <t>Акт входного контроля 000000155 от 04.06.2025 12:14:16</t>
  </si>
  <si>
    <t>Р383РЕ</t>
  </si>
  <si>
    <t>Акт входного контроля 000000156 от 04.06.2025 12:21:02</t>
  </si>
  <si>
    <t>Акт входного контроля 000000176 от 04.06.2025 16:53:23</t>
  </si>
  <si>
    <t>Акт входного контроля 000000177 от 04.06.2025 16:57:43</t>
  </si>
  <si>
    <t>Акт входного контроля 000000178 от 04.06.2025 17:23:13</t>
  </si>
  <si>
    <t>Акт входного контроля 000000179 от 04.06.2025 17:45:30</t>
  </si>
  <si>
    <t>Акт входного контроля 000000180 от 04.06.2025 20:04:54</t>
  </si>
  <si>
    <t>Акт входного контроля 000000181 от 04.06.2025 20:40:17</t>
  </si>
  <si>
    <t>Акт входного контроля 000000182 от 04.06.2025 21:28:41</t>
  </si>
  <si>
    <t>Акт входного контроля 000000183 от 04.06.2025 22:17:24</t>
  </si>
  <si>
    <t>Акт входного контроля 000000184 от 04.06.2025 23:42:59</t>
  </si>
  <si>
    <t>Акт входного контроля 000000185 от 04.06.2025 23:47:55</t>
  </si>
  <si>
    <t>Акт входного контроля 000000186 от 04.06.2025 1:23:02</t>
  </si>
  <si>
    <t>Акт входного контроля 000000187 от 05.06.2025 2:57:46</t>
  </si>
  <si>
    <t>первый</t>
  </si>
  <si>
    <t>Акт входного контроля 000000188 от 05.06.2025 3:09:26</t>
  </si>
  <si>
    <t>Акт входного контроля 000000189 от 05.06.2025 3:36:20</t>
  </si>
  <si>
    <t>Акт входного контроля 000000190 от 05.06.2025 5:14:37</t>
  </si>
  <si>
    <t>Акт входного контроля 000000191 от 05.06.2025 5:28:43</t>
  </si>
  <si>
    <t>Акт входного контроля 000000192 от 04.06.2025 9:26:25</t>
  </si>
  <si>
    <t>Акт входного контроля 000000193 от 04.06.2025 7:20:20</t>
  </si>
  <si>
    <t>Грин Рэй Кубань ООО</t>
  </si>
  <si>
    <t>Акт входного контроля 000000194 от 04.06.2025 0:18:55</t>
  </si>
  <si>
    <t>33Продажа Юж.продукт№3</t>
  </si>
  <si>
    <t>Акт входного контроля 000000195 от 04.06.2025 19:28:50</t>
  </si>
  <si>
    <t>Акт входного контроля 000000196 от 05.06.2025 10:52:52</t>
  </si>
  <si>
    <t>Акт входного контроля 000000197 от 03.06.2025 23:52:04</t>
  </si>
  <si>
    <t>065946Продажа Пищевик</t>
  </si>
  <si>
    <t>Пивень С.Н.</t>
  </si>
  <si>
    <t>К475 ВМ</t>
  </si>
  <si>
    <t>Акт входного контроля 000000198 от 05.06.2025 11:16:47</t>
  </si>
  <si>
    <t>Характеристика</t>
  </si>
  <si>
    <t>9:28:46</t>
  </si>
  <si>
    <t>0:18:55</t>
  </si>
  <si>
    <t>962,769,963,770,964,771</t>
  </si>
  <si>
    <t>12:08:48</t>
  </si>
  <si>
    <t>7:20:19</t>
  </si>
  <si>
    <t>967,775,966,773,772</t>
  </si>
  <si>
    <t>15:31:41</t>
  </si>
  <si>
    <t>9:26:24</t>
  </si>
  <si>
    <t>776,968,777,969,778,970</t>
  </si>
  <si>
    <t>259,61,455,62,456,60</t>
  </si>
  <si>
    <t>23:18:33</t>
  </si>
  <si>
    <t>19:28:49</t>
  </si>
  <si>
    <t>973,783,972,782,971,781</t>
  </si>
  <si>
    <t>8:35:21</t>
  </si>
  <si>
    <t>12:02:51</t>
  </si>
  <si>
    <t>512,348,154,511,347,153</t>
  </si>
  <si>
    <t>7:08:56</t>
  </si>
  <si>
    <t>11:34:09</t>
  </si>
  <si>
    <t>510,152,346,509,345,151</t>
  </si>
  <si>
    <t>14:06:38</t>
  </si>
  <si>
    <t>16:02:56</t>
  </si>
  <si>
    <t>291,519,095,290,518,094</t>
  </si>
  <si>
    <t>13:04:02</t>
  </si>
  <si>
    <t>15:37:16</t>
  </si>
  <si>
    <t>289,517,093,288,516,092</t>
  </si>
  <si>
    <t>ЕС9682</t>
  </si>
  <si>
    <t>12:30:13</t>
  </si>
  <si>
    <t>13:45:39</t>
  </si>
  <si>
    <t>287,515,286,091,514,090</t>
  </si>
  <si>
    <t>МЕ2744</t>
  </si>
  <si>
    <t>6:00:05</t>
  </si>
  <si>
    <t>11:52:54</t>
  </si>
  <si>
    <t>081,472,277,082,471,278</t>
  </si>
  <si>
    <t>19:19:19</t>
  </si>
  <si>
    <t>21:06:34</t>
  </si>
  <si>
    <t>7:54:48</t>
  </si>
  <si>
    <t>11:46:35</t>
  </si>
  <si>
    <t>279,473,083,474,084,280</t>
  </si>
  <si>
    <t>МА9090</t>
  </si>
  <si>
    <t>9:41:41</t>
  </si>
  <si>
    <t>15:39:34</t>
  </si>
  <si>
    <t>283,087,088,284,089,285</t>
  </si>
  <si>
    <t>11:54:04</t>
  </si>
  <si>
    <t>13:14:02</t>
  </si>
  <si>
    <t>13:40:58</t>
  </si>
  <si>
    <t>16:18:42</t>
  </si>
  <si>
    <t>316,119,478,120,317,479</t>
  </si>
  <si>
    <t>8:31:46</t>
  </si>
  <si>
    <t>13:31:43</t>
  </si>
  <si>
    <t>281,085,475,476,086,282</t>
  </si>
  <si>
    <t>23:47:54</t>
  </si>
  <si>
    <t>0:23:01</t>
  </si>
  <si>
    <t>495,138,334,494,137,136</t>
  </si>
  <si>
    <t>0:00:06</t>
  </si>
  <si>
    <t>1:16:03</t>
  </si>
  <si>
    <t>4:08:03</t>
  </si>
  <si>
    <t>5:22:47</t>
  </si>
  <si>
    <t>146,504,340,145,339,503</t>
  </si>
  <si>
    <t>4:48:18</t>
  </si>
  <si>
    <t>5:01:10</t>
  </si>
  <si>
    <t>16:05:11</t>
  </si>
  <si>
    <t>17:30:29</t>
  </si>
  <si>
    <t>122,321,482,123,322,483</t>
  </si>
  <si>
    <t>4:27:10</t>
  </si>
  <si>
    <t>8:17:51</t>
  </si>
  <si>
    <t>506,148,342,147,341,505</t>
  </si>
  <si>
    <t>19:07:10</t>
  </si>
  <si>
    <t>22:01:29</t>
  </si>
  <si>
    <t>130,489,328,129,488,327</t>
  </si>
  <si>
    <t>2:23:36</t>
  </si>
  <si>
    <t>3:01:19</t>
  </si>
  <si>
    <t>144,143,338,498,142,141</t>
  </si>
  <si>
    <t>22:49:01</t>
  </si>
  <si>
    <t>23:35:21</t>
  </si>
  <si>
    <t>493,135,332,492,134,133</t>
  </si>
  <si>
    <t>17:02:18</t>
  </si>
  <si>
    <t>19:40:29</t>
  </si>
  <si>
    <t>124,323,125,484,324,485,126</t>
  </si>
  <si>
    <t>2:12:08</t>
  </si>
  <si>
    <t>2:27:42</t>
  </si>
  <si>
    <t>3:17:42</t>
  </si>
  <si>
    <t>3:29:56</t>
  </si>
  <si>
    <t>18:16:47</t>
  </si>
  <si>
    <t>20:11:53</t>
  </si>
  <si>
    <t>486,128,487,326,127,325</t>
  </si>
  <si>
    <t>6:51:11</t>
  </si>
  <si>
    <t>9:04:57</t>
  </si>
  <si>
    <t>344,508,150</t>
  </si>
  <si>
    <t>Акт входного контроля 000000209 от 05.06.2025 16:32:31</t>
  </si>
  <si>
    <t>Акт входного контроля 000000210 от 05.06.2025 18:03:23</t>
  </si>
  <si>
    <t>Акт входного контроля 000000211 от 05.06.2025 19:00:08</t>
  </si>
  <si>
    <t>Акт входного контроля 000000212 от 05.06.2025 22:17:38</t>
  </si>
  <si>
    <t>Акт входного контроля 000000213 от 05.06.2025 22:27:20</t>
  </si>
  <si>
    <t>Акт входного контроля 000000214 от 05.06.2025 17:31:06</t>
  </si>
  <si>
    <t>Акт входного контроля 000000215 от 05.06.2025 19:36:33</t>
  </si>
  <si>
    <t>Акт входного контроля 000000216 от 05.06.2025 21:02:41</t>
  </si>
  <si>
    <t>Акт входного контроля 000000217 от 05.06.2025 21:47:45</t>
  </si>
  <si>
    <t>Акт входного контроля 000000218 от 05.06.2025 22:38:50</t>
  </si>
  <si>
    <t>Акт входного контроля 000000219 от 06.06.2025 6:03:52</t>
  </si>
  <si>
    <t>Акт входного контроля 000000220 от 05.06.2025 0:30:29</t>
  </si>
  <si>
    <t>Акт входного контроля 000000221 от 05.06.2025 21:42:33</t>
  </si>
  <si>
    <t>Акт входного контроля 000000222 от 05.06.2025 10:17:34</t>
  </si>
  <si>
    <t>Акт входного контроля 000000223 от 05.06.2025 6:54:20</t>
  </si>
  <si>
    <t>Акт входного контроля 000000224 от 06.06.2025 10:09:13</t>
  </si>
  <si>
    <t>1.8.1</t>
  </si>
  <si>
    <t>130779Продажа ЮнонаОтвес №6</t>
  </si>
  <si>
    <t>130780Продажа ЮнонаОтвес№7</t>
  </si>
  <si>
    <t>Н370ВР</t>
  </si>
  <si>
    <t>36Продажа ЮнонаОтвес№8</t>
  </si>
  <si>
    <t>35Продажа ЮнонаОтвес№4\ГИА</t>
  </si>
  <si>
    <t>16:37:37</t>
  </si>
  <si>
    <t>21:42:32</t>
  </si>
  <si>
    <t>985,984,983,982</t>
  </si>
  <si>
    <t>20:08:20</t>
  </si>
  <si>
    <t>6:54:19</t>
  </si>
  <si>
    <t>987,795,796,988,797,989</t>
  </si>
  <si>
    <t>9:45:06</t>
  </si>
  <si>
    <t>0:30:29</t>
  </si>
  <si>
    <t>791,790,789,979,788,978</t>
  </si>
  <si>
    <t>22:45:04</t>
  </si>
  <si>
    <t>10:17:33</t>
  </si>
  <si>
    <t>798,799,990,602,603,604</t>
  </si>
  <si>
    <t>14:58:19</t>
  </si>
  <si>
    <t>17:47:03</t>
  </si>
  <si>
    <t>521,293,097,520,292,096</t>
  </si>
  <si>
    <t>21:02:41</t>
  </si>
  <si>
    <t>2:12:30</t>
  </si>
  <si>
    <t>1202,1007,529,1203,1008,530</t>
  </si>
  <si>
    <t>21:47:45</t>
  </si>
  <si>
    <t>2:57:59</t>
  </si>
  <si>
    <t>1204,1009,531,1010,1205,532</t>
  </si>
  <si>
    <t>17:04:21</t>
  </si>
  <si>
    <t>21:34:36</t>
  </si>
  <si>
    <t>523,1001,296,524,1002,297</t>
  </si>
  <si>
    <t>0:20:25</t>
  </si>
  <si>
    <t>5:46:34</t>
  </si>
  <si>
    <t>1013,1208,535,1014,1209,536</t>
  </si>
  <si>
    <t>22:38:50</t>
  </si>
  <si>
    <t>4:27:41</t>
  </si>
  <si>
    <t>1206,1011,533,1012,1207,534</t>
  </si>
  <si>
    <t>1:13:16</t>
  </si>
  <si>
    <t>9:49:45</t>
  </si>
  <si>
    <t>1210,1015,537,1016,1211,2130</t>
  </si>
  <si>
    <t>17:31:05</t>
  </si>
  <si>
    <t>23:01:34</t>
  </si>
  <si>
    <t>793,986,794</t>
  </si>
  <si>
    <t>16:07:48</t>
  </si>
  <si>
    <t>18:42:51</t>
  </si>
  <si>
    <t>295,100,522,294,099,098</t>
  </si>
  <si>
    <t>19:36:32</t>
  </si>
  <si>
    <t>0:10:01</t>
  </si>
  <si>
    <t>300,1005,527,1006,1201,528</t>
  </si>
  <si>
    <t>18:15:16</t>
  </si>
  <si>
    <t>21:59:51</t>
  </si>
  <si>
    <t>298,525,1003,526,1004,299</t>
  </si>
  <si>
    <t>Южный продукт</t>
  </si>
  <si>
    <t>53-63</t>
  </si>
  <si>
    <t xml:space="preserve"> 64-66</t>
  </si>
  <si>
    <t>Грин Рэй Кубань(Хоздвор) ООО</t>
  </si>
  <si>
    <t>Хар-ка: Горох овощной свежий 10.01</t>
  </si>
  <si>
    <t>130785Продажа ЮнонаОтвес9</t>
  </si>
  <si>
    <t>130789Продажа ЮнонаОтвес№11</t>
  </si>
  <si>
    <t>43ПродажаЮнонаОтвес5/ГИА</t>
  </si>
  <si>
    <t>46ПродажаЮнонаОтвес12</t>
  </si>
  <si>
    <t>44ПродажаЮнонаОтвес14</t>
  </si>
  <si>
    <t>48ПРодажаЮнонаОтвес13</t>
  </si>
  <si>
    <t>Акт входного контроля 000000225 от 06.06.2025 10:45:13</t>
  </si>
  <si>
    <t>Акт входного контроля 000000226 от 06.06.2025 11:44:43</t>
  </si>
  <si>
    <t>Акт входного контроля 000000227 от 06.06.2025 12:00:09</t>
  </si>
  <si>
    <t>Сайко Владимир Николаевич</t>
  </si>
  <si>
    <t>Т919РВ</t>
  </si>
  <si>
    <t>Акт входного контроля 000000228 от 06.06.2025 13:11:34</t>
  </si>
  <si>
    <t>Акт входного контроля 000000229 от 06.06.2025 17:02:38</t>
  </si>
  <si>
    <t>Акт входного контроля 000000230 от 06.06.2025 17:18:13</t>
  </si>
  <si>
    <t>Акт входного контроля 000000231 от 06.06.2025 17:33:54</t>
  </si>
  <si>
    <t>Акт входного контроля 000000232 от 06.06.2025 17:41:24</t>
  </si>
  <si>
    <t>Акт входного контроля 000000233 от 06.06.2025 18:17:49</t>
  </si>
  <si>
    <t>Акт входного контроля 000000234 от 06.06.2025 19:17:25</t>
  </si>
  <si>
    <t>А-87</t>
  </si>
  <si>
    <t>Увертюра</t>
  </si>
  <si>
    <t>Акт входного контроля 000000235 от 06.06.2025 21:03:45</t>
  </si>
  <si>
    <t>Акт входного контроля 000000236 от 06.06.2025 21:58:36</t>
  </si>
  <si>
    <t>Акт входного контроля 000000237 от 06.06.2025 23:15:20</t>
  </si>
  <si>
    <t>Акт входного контроля 000000238 от 06.06.2025 22:31:41</t>
  </si>
  <si>
    <t>Акт входного контроля 000000239 от 07.06.2025 8:13:05</t>
  </si>
  <si>
    <t>Акт входного контроля 000000240 от 07.06.2025 8:24:42</t>
  </si>
  <si>
    <t>А-67</t>
  </si>
  <si>
    <t>Акт входного контроля 000000241 от 07.06.2025 10:54:55</t>
  </si>
  <si>
    <t>Акт входного контроля 000000242 от 07.06.2025 11:02:14</t>
  </si>
  <si>
    <t>Акт входного контроля 000000243 от 07.06.2025 11:06:51</t>
  </si>
  <si>
    <t>Акт входного контроля 000000244 от 07.06.2025 11:17:31</t>
  </si>
  <si>
    <t>Акт входного контроля 000000245 от 07.06.2025 11:29:00</t>
  </si>
  <si>
    <t>Акт входного контроля 000000246 от 07.06.2025 11:55:06</t>
  </si>
  <si>
    <t>Акт входного контроля 000000247 от 07.06.2025 12:36:15</t>
  </si>
  <si>
    <t>Роговской Роман Алексеевич</t>
  </si>
  <si>
    <t>Т945РВ</t>
  </si>
  <si>
    <t>Акт входного контроля 000000248 от 07.06.2025 13:40:18</t>
  </si>
  <si>
    <t>Акт входного контроля 000000249 от 07.06.2025 15:17:00</t>
  </si>
  <si>
    <t>Акт входного контроля 000000250 от 07.06.2025 18:30:59</t>
  </si>
  <si>
    <t>Х816ЕВ</t>
  </si>
  <si>
    <t>Акт входного контроля 000000251 от 07.06.2025 18:38:38</t>
  </si>
  <si>
    <t>Акт входного контроля 000000252 от 07.06.2025 18:41:19</t>
  </si>
  <si>
    <t>Акт входного контроля 000000253 от 07.06.2025 19:44:21</t>
  </si>
  <si>
    <t>А-66</t>
  </si>
  <si>
    <t>Фалкон</t>
  </si>
  <si>
    <t>Акт входного контроля 000000254 от 07.06.2025 22:29:10</t>
  </si>
  <si>
    <t>Акт входного контроля 000000255 от 07.06.2025 22:38:00</t>
  </si>
  <si>
    <t>Акт входного контроля 000000256 от 07.06.2025 22:48:36</t>
  </si>
  <si>
    <t>Акт входного контроля 000000257 от 07.06.2025 23:32:14</t>
  </si>
  <si>
    <t>Акт входного контроля 000000258 от 08.06.2025 2:01:47</t>
  </si>
  <si>
    <t>Акт входного контроля 000000259 от 08.06.2025 2:43:40</t>
  </si>
  <si>
    <t>Акт входного контроля 000000260 от 08.06.2025 1:10:54</t>
  </si>
  <si>
    <t>Акт входного контроля 000000261 от 08.06.2025 4:22:32</t>
  </si>
  <si>
    <t>Акт входного контроля 000000262 от 08.06.2025 8:24:51</t>
  </si>
  <si>
    <t>Тиара</t>
  </si>
  <si>
    <t>Акт входного контроля 000000263 от 08.06.2025 8:25:41</t>
  </si>
  <si>
    <t>Акт входного контроля 000000264 от 07.06.2025 16:48:55</t>
  </si>
  <si>
    <t>Акт входного контроля 000000265 от 08.06.2025 8:27:48</t>
  </si>
  <si>
    <t>Акт входного контроля 000000266 от 08.06.2025 8:29:29</t>
  </si>
  <si>
    <t>Акт входного контроля 000000267 от 08.06.2025 8:34:09</t>
  </si>
  <si>
    <t>Акт входного контроля 000000268 от 08.06.2025 11:05:56</t>
  </si>
  <si>
    <t>Акт входного контроля 000000269 от 08.06.2025 11:08:13</t>
  </si>
  <si>
    <t>Черевко А В</t>
  </si>
  <si>
    <t>Акт входного контроля 000000270 от 08.06.2025 12:54:11</t>
  </si>
  <si>
    <t>Акт входного контроля 000000271 от 08.06.2025 13:11:37</t>
  </si>
  <si>
    <t>Акт входного контроля 000000272 от 08.06.2025 14:40:55</t>
  </si>
  <si>
    <t>Акт входного контроля 000000273 от 08.06.2025 19:26:33</t>
  </si>
  <si>
    <t>Акт входного контроля 000000274 от 08.06.2025 19:28:39</t>
  </si>
  <si>
    <t>А51</t>
  </si>
  <si>
    <t>Акт входного контроля 000000275 от 08.06.2025 19:32:20</t>
  </si>
  <si>
    <t>Акт входного контроля 000000276 от 08.06.2025 19:34:30</t>
  </si>
  <si>
    <t>К819ЕВ</t>
  </si>
  <si>
    <t>Акт входного контроля 000000277 от 08.06.2025 19:39:50</t>
  </si>
  <si>
    <t>Акт входного контроля 000000278 от 08.06.2025 20:47:28</t>
  </si>
  <si>
    <t>Акт входного контроля 000000279 от 08.06.2025 22:51:31</t>
  </si>
  <si>
    <t>Акт входного контроля 000000280 от 08.06.2025 22:54:04</t>
  </si>
  <si>
    <t>Акт входного контроля 000000281 от 08.06.2025 23:47:53</t>
  </si>
  <si>
    <t>Прима</t>
  </si>
  <si>
    <t>Акт входного контроля 000000282 от 08.06.2025 23:52:18</t>
  </si>
  <si>
    <t>Акт входного контроля 000000283 от 08.06.2025 22:05:15</t>
  </si>
  <si>
    <t>Акт входного контроля 000000284 от 08.06.2025 23:55:55</t>
  </si>
  <si>
    <t>Акт входного контроля 000000285 от 09.06.2025 2:32:44</t>
  </si>
  <si>
    <t>Акт входного контроля 000000286 от 09.06.2025 4:39:11</t>
  </si>
  <si>
    <t>Акт входного контроля 000000287 от 09.06.2025 4:40:52</t>
  </si>
  <si>
    <t>Акт входного контроля 000000288 от 09.06.2025 5:39:49</t>
  </si>
  <si>
    <t>Акт входного контроля 000000289 от 09.06.2025 7:12:12</t>
  </si>
  <si>
    <t>Акт входного контроля 000000290 от 09.06.2025 8:23:51</t>
  </si>
  <si>
    <t>Акт входного контроля 000000291 от 06.06.2025 19:27:21</t>
  </si>
  <si>
    <t>Акт входного контроля 000000292 от 06.06.2025 21:52:47</t>
  </si>
  <si>
    <t>Акт входного контроля 000000293 от 06.06.2025 14:08:32</t>
  </si>
  <si>
    <t>Акт входного контроля 000000294 от 06.06.2025 14:32:02</t>
  </si>
  <si>
    <t>Акт входного контроля 000000295 от 06.06.2025 14:05:55</t>
  </si>
  <si>
    <t>Итого</t>
  </si>
  <si>
    <t>номенклатура</t>
  </si>
  <si>
    <t>документ на удаление</t>
  </si>
  <si>
    <t>Номенклатура: Горох овощной свежий 10.01</t>
  </si>
  <si>
    <t>Номенклатура</t>
  </si>
  <si>
    <t>Базисные нормы, %</t>
  </si>
  <si>
    <t>Результат анализа, %</t>
  </si>
  <si>
    <t>Сверх допусков, %</t>
  </si>
  <si>
    <t>Характеристика номенклатуры</t>
  </si>
  <si>
    <t>Акт входного контроля 000000296 от 07.06.2025 11:08:44</t>
  </si>
  <si>
    <t>Акт входного контроля 000000298 от 07.06.2025 18:26:05</t>
  </si>
  <si>
    <t>Акт входного контроля 000000301 от 09.06.2025 12:50:33</t>
  </si>
  <si>
    <t>Акт входного контроля 000000300 от 09.06.2025 12:47:41</t>
  </si>
  <si>
    <t>второй</t>
  </si>
  <si>
    <t>Акт входного контроля 000000299 от 09.06.2025 12:44:02</t>
  </si>
  <si>
    <t>Акт входного контроля 000000297 от 07.06.2025 4:13:28</t>
  </si>
  <si>
    <t>Итого:</t>
  </si>
  <si>
    <t>№ акта</t>
  </si>
  <si>
    <t>2 строки</t>
  </si>
  <si>
    <t>Степень зрелости вспом</t>
  </si>
  <si>
    <t>А-51</t>
  </si>
  <si>
    <t>в т.ч. Продажа, кг</t>
  </si>
  <si>
    <t>49Продажа ЮнонаОтвес№6\гиа</t>
  </si>
  <si>
    <t>50Юнона ПродажаОтвес№16</t>
  </si>
  <si>
    <t>55ЮнонаПродажаОТвес№18</t>
  </si>
  <si>
    <t>56ЮнонаПродажаОтвес№19</t>
  </si>
  <si>
    <t>54Продажа ЮнонаОтвес№20</t>
  </si>
  <si>
    <t>63Продажа ЮнонаОтвес№10/ГИА</t>
  </si>
  <si>
    <t>57Продажа ЮнонаОтвес№9/ГИА</t>
  </si>
  <si>
    <t>А- 54</t>
  </si>
  <si>
    <t>А816ЕС</t>
  </si>
  <si>
    <t>Акт входного контроля 000000302 от 09.06.2025 12:52:40</t>
  </si>
  <si>
    <t>Акт входного контроля 000000303 от 09.06.2025 13:35:05</t>
  </si>
  <si>
    <t>Акт входного контроля 000000304 от 06.06.2025 23:15:21</t>
  </si>
  <si>
    <t>130769Продажа ЮнонаОтвес№17</t>
  </si>
  <si>
    <t>Желтков Евгений Михайлович</t>
  </si>
  <si>
    <t>Акт входного контроля 000000305 от 06.06.2025 13:42:38</t>
  </si>
  <si>
    <t>130795Продажа ЮнонаОтвес№15</t>
  </si>
  <si>
    <t>Н370Вр</t>
  </si>
  <si>
    <t>Акт входного контроля 000000306 от 09.06.2025 16:46:56</t>
  </si>
  <si>
    <t>Акт входного контроля 000000307 от 09.06.2025 16:49:28</t>
  </si>
  <si>
    <t>Акт входного контроля 000000308 от 09.06.2025 17:22:55</t>
  </si>
  <si>
    <t>Акт входного контроля 000000309 от 09.06.2025 19:30:54</t>
  </si>
  <si>
    <t>38ПродажаЮнонаОтвес№10</t>
  </si>
  <si>
    <t>А-54</t>
  </si>
  <si>
    <t>Акт</t>
  </si>
  <si>
    <t>Акт входного контроля 000000331 от 10.06.2025 17:06:04</t>
  </si>
  <si>
    <t>Акт входного контроля 000000324 от 10.06.2025 21:43:31</t>
  </si>
  <si>
    <t>Акт входного контроля 000000310 от 10.06.2025 7:22:41</t>
  </si>
  <si>
    <t>Акт входного контроля 000000320 от 10.06.2025 19:35:33</t>
  </si>
  <si>
    <t>Акт входного контроля 000000332 от 11.06.2025 8:55:15</t>
  </si>
  <si>
    <t>Акт входного контроля 000000330 от 11.06.2025 5:50:06</t>
  </si>
  <si>
    <t>Акт входного контроля 000000336 от 11.06.2025 13:35:51</t>
  </si>
  <si>
    <t>Акт входного контроля 000000319 от 10.06.2025 19:22:43</t>
  </si>
  <si>
    <t>Акт входного контроля 000000333 от 11.06.2025 9:45:32</t>
  </si>
  <si>
    <t>Акт входного контроля 000000325 от 10.06.2025 22:11:45</t>
  </si>
  <si>
    <t>Акт входного контроля 000000329 от 11.06.2025 4:27:45</t>
  </si>
  <si>
    <t>Акт входного контроля 000000312 от 10.06.2025 11:56:47</t>
  </si>
  <si>
    <t>Акт входного контроля 000000327 от 10.06.2025 23:23:54</t>
  </si>
  <si>
    <t>Акт входного контроля 000000328 от 11.06.2025 4:25:20</t>
  </si>
  <si>
    <t>Акт входного контроля 000000316 от 10.06.2025 16:36:31</t>
  </si>
  <si>
    <t>Акт входного контроля 000000311 от 10.06.2025 11:28:15</t>
  </si>
  <si>
    <t>Акт входного контроля 000000313 от 10.06.2025 13:27:56</t>
  </si>
  <si>
    <t>Акт входного контроля 000000315 от 10.06.2025 13:54:49</t>
  </si>
  <si>
    <t>Акт входного контроля 000000318 от 10.06.2025 19:14:30</t>
  </si>
  <si>
    <t>Акт входного контроля 000000314 от 10.06.2025 13:46:46</t>
  </si>
  <si>
    <t>Акт входного контроля 000000321 от 10.06.2025 19:40:25</t>
  </si>
  <si>
    <t>Акт входного контроля 000000317 от 10.06.2025 19:03:57</t>
  </si>
  <si>
    <t>Акт входного контроля 000000335 от 11.06.2025 13:21:23</t>
  </si>
  <si>
    <t>Акт входного контроля 000000322 от 10.06.2025 20:50:26</t>
  </si>
  <si>
    <t>Акт входного контроля 000000323 от 10.06.2025 23:54:14</t>
  </si>
  <si>
    <t>Акт входного контроля 000000326 от 10.06.2025 22:17:27</t>
  </si>
  <si>
    <t>Акт входного контроля 000000334 от 11.06.2025 11:56:59</t>
  </si>
  <si>
    <t>Маяк</t>
  </si>
  <si>
    <t>Гужва А М.</t>
  </si>
  <si>
    <t>Т285ВЕ</t>
  </si>
  <si>
    <t>Веста</t>
  </si>
  <si>
    <t>Беркут</t>
  </si>
  <si>
    <t>А 54</t>
  </si>
  <si>
    <t>парус</t>
  </si>
  <si>
    <t>Патриот</t>
  </si>
  <si>
    <t>Фаворит</t>
  </si>
  <si>
    <t>б/н</t>
  </si>
  <si>
    <t>Братковский МОК АО</t>
  </si>
  <si>
    <t>А-40</t>
  </si>
  <si>
    <t xml:space="preserve"> Урожайность зач. вес, т/га</t>
  </si>
  <si>
    <t xml:space="preserve"> Урожайность физ.вес, т/га</t>
  </si>
  <si>
    <t>Парус+Женева</t>
  </si>
  <si>
    <t>Акт входного контроля 000000367 от 13.06.2025 10:34:27</t>
  </si>
  <si>
    <t>Тристар</t>
  </si>
  <si>
    <t>Акт входного контроля 000000368 от 13.06.2025 12:24:13</t>
  </si>
  <si>
    <t>Акт входного контроля 000000369 от 13.06.2025 12:52:17</t>
  </si>
  <si>
    <t>Акт входного контроля 000000370 от 13.06.2025 14:18:46</t>
  </si>
  <si>
    <t>Акт входного контроля 000000371 от 13.06.2025 15:27:42</t>
  </si>
  <si>
    <t>Агролидер ООО</t>
  </si>
  <si>
    <t>Акт входного контроля 000000394 от 14.06.2025 16:11:03</t>
  </si>
  <si>
    <t>Вольф</t>
  </si>
  <si>
    <t>Акт входного контроля 000000395 от 14.06.2025 17:56:37</t>
  </si>
  <si>
    <t>Акт входного контроля 000000396 от 14.06.2025 18:54:15</t>
  </si>
  <si>
    <t>Акт входного контроля 000000397 от 14.06.2025 21:15:10</t>
  </si>
  <si>
    <t>Акт входного контроля 000000398 от 14.06.2025 21:26:30</t>
  </si>
  <si>
    <t>Акт входного контроля 000000399 от 14.06.2025 21:41:14</t>
  </si>
  <si>
    <t>Акт входного контроля 000000400 от 14.06.2025 23:21:55</t>
  </si>
  <si>
    <t>Акт входного контроля 000000401 от 14.06.2025 19:50:19</t>
  </si>
  <si>
    <t>Акт входного контроля 000000402 от 14.06.2025 20:37:22</t>
  </si>
  <si>
    <t>Акт входного контроля 000000403 от 14.06.2025 21:56:11</t>
  </si>
  <si>
    <t>Акт входного контроля 000000404 от 14.06.2025 22:30:21</t>
  </si>
  <si>
    <t>Акт входного контроля 000000405 от 15.06.2025 5:20:11</t>
  </si>
  <si>
    <t>Акт входного контроля 000000406 от 14.06.2025 23:49:46</t>
  </si>
  <si>
    <t>Акт входного контроля 000000407 от 15.06.2025 9:13:18</t>
  </si>
  <si>
    <t>Акт входного контроля 000000408 от 15.06.2025 13:21:10</t>
  </si>
  <si>
    <t>Акт входного контроля 000000409 от 15.06.2025 13:23:37</t>
  </si>
  <si>
    <t>Акт входного контроля 000000410 от 15.06.2025 13:26:56</t>
  </si>
  <si>
    <t>Акт входного контроля 000000411 от 15.06.2025 13:29:54</t>
  </si>
  <si>
    <t>Акт входного контроля 000000412 от 15.06.2025 15:08:20</t>
  </si>
  <si>
    <t>Акт входного контроля 000000413 от 15.06.2025 15:30:12</t>
  </si>
  <si>
    <t>Акт входного контроля 000000414 от 15.06.2025 15:45:09</t>
  </si>
  <si>
    <t>Акт входного контроля 000000337 от 11.06.2025 16:40:17</t>
  </si>
  <si>
    <t>Акт входного контроля 000000338 от 11.06.2025 16:41:52</t>
  </si>
  <si>
    <t>Акт входного контроля 000000339 от 11.06.2025 17:52:45</t>
  </si>
  <si>
    <t>Акт входного контроля 000000340 от 11.06.2025 18:49:51</t>
  </si>
  <si>
    <t>Акт входного контроля 000000341 от 11.06.2025 21:21:08</t>
  </si>
  <si>
    <t>Акт входного контроля 000000342 от 11.06.2025 21:50:57</t>
  </si>
  <si>
    <t>Акт входного контроля 000000343 от 12.06.2025 0:56:52</t>
  </si>
  <si>
    <t>Акт входного контроля 000000344 от 12.06.2025 2:17:59</t>
  </si>
  <si>
    <t>Акт входного контроля 000000345 от 12.06.2025 3:20:01</t>
  </si>
  <si>
    <t>Акт входного контроля 000000346 от 12.06.2025 5:43:33</t>
  </si>
  <si>
    <t>Акт входного контроля 000000347 от 12.06.2025 11:05:25</t>
  </si>
  <si>
    <t>Акт входного контроля 000000348 от 12.06.2025 11:18:16</t>
  </si>
  <si>
    <t>Акт входного контроля 000000349 от 12.06.2025 12:36:58</t>
  </si>
  <si>
    <t>Акт входного контроля 000000350 от 12.06.2025 13:30:44</t>
  </si>
  <si>
    <t>Акт входного контроля 000000351 от 12.06.2025 14:52:06</t>
  </si>
  <si>
    <t>Акт входного контроля 000000352 от 12.06.2025 16:02:25</t>
  </si>
  <si>
    <t>Акт входного контроля 000000372 от 13.06.2025 15:29:38</t>
  </si>
  <si>
    <t>Акт входного контроля 000000373 от 13.06.2025 18:05:32</t>
  </si>
  <si>
    <t>Акт входного контроля 000000374 от 13.06.2025 18:07:44</t>
  </si>
  <si>
    <t>Акт входного контроля 000000375 от 13.06.2025 18:25:47</t>
  </si>
  <si>
    <t>А-43</t>
  </si>
  <si>
    <t>Акт входного контроля 000000376 от 13.06.2025 20:24:26</t>
  </si>
  <si>
    <t>Акт входного контроля 000000377 от 13.06.2025 21:42:50</t>
  </si>
  <si>
    <t>Акт входного контроля 000000378 от 13.06.2025 22:04:27</t>
  </si>
  <si>
    <t>Акт входного контроля 000000379 от 13.06.2025 23:45:57</t>
  </si>
  <si>
    <t>Акт входного контроля 000000380 от 13.06.2025 23:11:17</t>
  </si>
  <si>
    <t>Акт входного контроля 000000381 от 14.06.2025 1:17:22</t>
  </si>
  <si>
    <t>Акт входного контроля 000000382 от 13.06.2025 22:25:11</t>
  </si>
  <si>
    <t>Акт входного контроля 000000383 от 14.06.2025 4:41:23</t>
  </si>
  <si>
    <t>Акт входного контроля 000000384 от 14.06.2025 5:31:04</t>
  </si>
  <si>
    <t>А-45</t>
  </si>
  <si>
    <t>Акт входного контроля 000000385 от 14.06.2025 5:59:02</t>
  </si>
  <si>
    <t>Акт входного контроля 000000386 от 14.06.2025 9:45:55</t>
  </si>
  <si>
    <t>н/б</t>
  </si>
  <si>
    <t>Акт входного контроля 000000387 от 14.06.2025 10:59:40</t>
  </si>
  <si>
    <t>Акт входного контроля 000000388 от 14.06.2025 12:09:42</t>
  </si>
  <si>
    <t>Акт входного контроля 000000389 от 14.06.2025 12:21:57</t>
  </si>
  <si>
    <t>Акт входного контроля 000000390 от 14.06.2025 7:47:52</t>
  </si>
  <si>
    <t>Акт входного контроля 000000391 от 14.06.2025 11:31:37</t>
  </si>
  <si>
    <t>Акт входного контроля 000000392 от 14.06.2025 15:41:44</t>
  </si>
  <si>
    <t>Акт входного контроля 000000393 от 14.06.2025 15:54:23</t>
  </si>
  <si>
    <t>Акт входного контроля 000000436 от 16.06.2025 21:28:34</t>
  </si>
  <si>
    <t>Акт входного контроля 000000437 от 17.06.2025 3:00:58</t>
  </si>
  <si>
    <t>Акт входного контроля 000000438 от 17.06.2025 15:18:08</t>
  </si>
  <si>
    <t>Акт входного контроля 000000439 от 17.06.2025 15:38:05</t>
  </si>
  <si>
    <t>Акт входного контроля 000000440 от 17.06.2025 17:37:06</t>
  </si>
  <si>
    <t>Акт входного контроля 000000441 от 17.06.2025 18:13:04</t>
  </si>
  <si>
    <t>Акт входного контроля 000000442 от 17.06.2025 21:10:33</t>
  </si>
  <si>
    <t>Акт входного контроля 000000443 от 17.06.2025 22:41:13</t>
  </si>
  <si>
    <t>Акт входного контроля 000000444 от 17.06.2025 23:58:12</t>
  </si>
  <si>
    <t>Акт входного контроля 000000445 от 18.06.2025 4:47:24</t>
  </si>
  <si>
    <t>Акт входного контроля 000000446 от 18.06.2025 5:08:10</t>
  </si>
  <si>
    <t>Акт входного контроля 000000447 от 18.06.2025 5:45:01</t>
  </si>
  <si>
    <t>Акт входного контроля 000000448 от 18.06.2025 6:57:40</t>
  </si>
  <si>
    <t>Акт входного контроля 000000449 от 16.06.2025 15:35:29</t>
  </si>
  <si>
    <t>87Утилизация</t>
  </si>
  <si>
    <t>Акт входного контроля 000000450 от 16.06.2025 15:54:19</t>
  </si>
  <si>
    <t>б/нУтилизация</t>
  </si>
  <si>
    <t>Акт входного контроля 000000451 от 16.06.2025 19:21:53</t>
  </si>
  <si>
    <t>92 Утилтзация</t>
  </si>
  <si>
    <t>Акт входного контроля 000000452 от 16.06.2025 14:19:35</t>
  </si>
  <si>
    <t>91Утилизация</t>
  </si>
  <si>
    <t>Акт входного контроля 000000453 от 16.06.2025 19:14:11</t>
  </si>
  <si>
    <t>90Утилизация</t>
  </si>
  <si>
    <t>Акт входного контроля 000000454 от 18.06.2025 11:46:05</t>
  </si>
  <si>
    <t>Акт входного контроля 000000455 от 16.06.2025 12:10:14</t>
  </si>
  <si>
    <t>Акт входного контроля 000000456 от 16.06.2025 13:05:41</t>
  </si>
  <si>
    <t>Акт входного контроля 000000457 от 16.06.2025 16:07:34</t>
  </si>
  <si>
    <t>Акт входного контроля 000000458 от 18.06.2025 10:45:25</t>
  </si>
  <si>
    <t>Акт входного контроля 000000459 от 16.06.2025 14:39:26</t>
  </si>
  <si>
    <t>93ПродажаГрандСтар244</t>
  </si>
  <si>
    <t>Акт входного контроля 000000460 от 16.06.2025 21:28:35</t>
  </si>
  <si>
    <t>94ПродажаГрандСтар246</t>
  </si>
  <si>
    <t>А781рр</t>
  </si>
  <si>
    <t>Акт входного контроля 000000461 от 17.06.2025 21:28:36</t>
  </si>
  <si>
    <t>93ПродажаГрандСтар250</t>
  </si>
  <si>
    <t>Акт входного контроля 000000462 от 18.06.2025 12:42:28</t>
  </si>
  <si>
    <t>Акт входного контроля 000000463 от 17.06.2025 23:58:13</t>
  </si>
  <si>
    <t>ПродажаГрандСтар249</t>
  </si>
  <si>
    <t>Акт входного контроля грин00004 от 17.06.2025 23:58:14</t>
  </si>
  <si>
    <t>Акт входного контроля грин00001 от 17.06.2025 15:40:33</t>
  </si>
  <si>
    <t>Акт входного контроля грин00005 от 17.06.2025 23:58:15</t>
  </si>
  <si>
    <t>Акт входного контроля грин00006 от 17.06.2025 23:58:16</t>
  </si>
  <si>
    <t>Акт входного контроля грин00007 от 17.06.2025 23:58:17</t>
  </si>
  <si>
    <t>Акт входного контроля грин00008 от 17.06.2025 23:58:18</t>
  </si>
  <si>
    <t>Фомин Н.Г</t>
  </si>
  <si>
    <t>Акт входного контроля грин00009 от 18.06.2025 13:52:59</t>
  </si>
  <si>
    <t>Акт входного контроля 000000415 от 15.06.2025 18:26:13</t>
  </si>
  <si>
    <t>Акт входного контроля 000000416 от 15.06.2025 18:29:32</t>
  </si>
  <si>
    <t>Акт входного контроля 000000417 от 15.06.2025 19:58:05</t>
  </si>
  <si>
    <t>Акт входного контроля 000000418 от 15.06.2025 21:11:13</t>
  </si>
  <si>
    <t>Акт входного контроля 000000419 от 15.06.2025 21:23:43</t>
  </si>
  <si>
    <t>Акт входного контроля 000000420 от 15.06.2025 23:30:42</t>
  </si>
  <si>
    <t>Акт входного контроля 000000421 от 15.06.2025 21:33:18</t>
  </si>
  <si>
    <t>Акт входного контроля 000000422 от 15.06.2025 21:52:28</t>
  </si>
  <si>
    <t>Акт входного контроля 000000423 от 15.06.2025 22:47:15</t>
  </si>
  <si>
    <t>Акт входного контроля 000000424 от 15.06.2025 23:40:01</t>
  </si>
  <si>
    <t>Акт входного контроля 000000425 от 16.06.2025 5:33:00</t>
  </si>
  <si>
    <t>Акт входного контроля 000000426 от 16.06.2025 6:26:48</t>
  </si>
  <si>
    <t>Акт входного контроля 000000427 от 16.06.2025 7:48:49</t>
  </si>
  <si>
    <t>Акт входного контроля 000000428 от 16.06.2025 9:33:06</t>
  </si>
  <si>
    <t>Акт входного контроля 000000429 от 16.06.2025 11:35:17</t>
  </si>
  <si>
    <t>Акт входного контроля 000000430 от 16.06.2025 13:00:48</t>
  </si>
  <si>
    <t>Акт входного контроля 000000431 от 16.06.2025 13:44:34</t>
  </si>
  <si>
    <t>Акт входного контроля 000000432 от 16.06.2025 14:02:15</t>
  </si>
  <si>
    <t>Акт входного контроля 000000434 от 16.06.2025 18:36:48</t>
  </si>
  <si>
    <t>Акт входного контроля 000000435 от 16.06.2025 18:39:05</t>
  </si>
  <si>
    <t>Акт входного контроля 000000353 от 12.06.2025 17:50:11</t>
  </si>
  <si>
    <t>Акт входного контроля 000000354 от 12.06.2025 18:45:11</t>
  </si>
  <si>
    <t>Акт входного контроля 000000355 от 12.06.2025 20:02:08</t>
  </si>
  <si>
    <t>Акт входного контроля 000000356 от 12.06.2025 21:19:07</t>
  </si>
  <si>
    <t>Акт входного контроля 000000357 от 12.06.2025 22:39:48</t>
  </si>
  <si>
    <t>Акт входного контроля 000000358 от 12.06.2025 22:46:26</t>
  </si>
  <si>
    <t>Акт входного контроля 000000359 от 12.06.2025 21:39:56</t>
  </si>
  <si>
    <t>Акт входного контроля 000000360 от 12.06.2025 21:52:30</t>
  </si>
  <si>
    <t>Акт входного контроля 000000361 от 12.06.2025 3:33:04</t>
  </si>
  <si>
    <t>Акт входного контроля 000000362 от 12.06.2025 5:04:49</t>
  </si>
  <si>
    <t>Акт входного контроля 000000363 от 13.06.2025 5:28:16</t>
  </si>
  <si>
    <t>Акт входного контроля 000000364 от 13.06.2025 6:42:38</t>
  </si>
  <si>
    <t>Акт входного контроля 000000365 от 12.06.2025 7:47:38</t>
  </si>
  <si>
    <t>Акт входного контроля 000000366 от 13.06.2025 10:32:29</t>
  </si>
  <si>
    <t>Дата акта</t>
  </si>
  <si>
    <t>грин00001</t>
  </si>
  <si>
    <t>грин00004</t>
  </si>
  <si>
    <t>грин00005</t>
  </si>
  <si>
    <t>грин00006</t>
  </si>
  <si>
    <t>грин00007</t>
  </si>
  <si>
    <t>грин00008</t>
  </si>
  <si>
    <t>грин00009</t>
  </si>
  <si>
    <t>Время</t>
  </si>
  <si>
    <t>закупка</t>
  </si>
  <si>
    <t>Вх №</t>
  </si>
  <si>
    <t>Гранд Стар</t>
  </si>
  <si>
    <t>ПродажаГрандСтарОтвес266</t>
  </si>
  <si>
    <t>ПродажаГрандСтаротвес№269</t>
  </si>
  <si>
    <t>ПродажаГрандСтарОтвес260</t>
  </si>
  <si>
    <t>Продажа Гранд СтарОтвес251</t>
  </si>
  <si>
    <t xml:space="preserve"> ПЛАН, га</t>
  </si>
  <si>
    <t xml:space="preserve"> ФАКТ, га</t>
  </si>
  <si>
    <t>ПродажаГрандСтар263</t>
  </si>
  <si>
    <t>ПродажаГрандСтар252</t>
  </si>
  <si>
    <t>Акт входного контроля грин00010 от 18.06.2025 15:44:40</t>
  </si>
  <si>
    <t>Акт входного контроля грин00011 от 18.06.2025 16:55:33</t>
  </si>
  <si>
    <t>Акт входного контроля грин00012 от 18.06.2025 19:39:17</t>
  </si>
  <si>
    <t>Акт входного контроля грин00013 от 18.06.2025 20:07:18</t>
  </si>
  <si>
    <t>Акт входного контроля грин00014 от 18.06.2025 21:27:16</t>
  </si>
  <si>
    <t>Акт входного контроля грин00015 от 18.06.2025 23:25:43</t>
  </si>
  <si>
    <t>Акт входного контроля грин00016 от 18.06.2025 23:38:57</t>
  </si>
  <si>
    <t>Акт входного контроля грин00017 от 18.06.2025 23:37:46</t>
  </si>
  <si>
    <t>Акт входного контроля грин00018 от 19.06.2025 2:02:01</t>
  </si>
  <si>
    <t>Акт входного контроля грин00019 от 19.06.2025 2:51:38</t>
  </si>
  <si>
    <t>Акт входного контроля грин00020 от 19.06.2025 3:50:04</t>
  </si>
  <si>
    <t>Акт входного контроля грин00021 от 19.06.2025 5:19:47</t>
  </si>
  <si>
    <t>Акт входного контроля грин00022 от 19.06.2025 6:03:27</t>
  </si>
  <si>
    <t>грин00010</t>
  </si>
  <si>
    <t>грин00011</t>
  </si>
  <si>
    <t>грин00012</t>
  </si>
  <si>
    <t>грин00013</t>
  </si>
  <si>
    <t>грин00014</t>
  </si>
  <si>
    <t>грин00015</t>
  </si>
  <si>
    <t>грин00016</t>
  </si>
  <si>
    <t>грин00017</t>
  </si>
  <si>
    <t>грин00018</t>
  </si>
  <si>
    <t>грин00019</t>
  </si>
  <si>
    <t>грин00020</t>
  </si>
  <si>
    <t>грин00021</t>
  </si>
  <si>
    <t>грин00022</t>
  </si>
  <si>
    <t>Акт входного контроля грин00023 от 19.06.2025 6:47:15</t>
  </si>
  <si>
    <t>Акт входного контроля грин00024 от 19.06.2025 10:08:21</t>
  </si>
  <si>
    <t>Акт входного контроля грин00025 от 19.06.2025 10:54:59</t>
  </si>
  <si>
    <t>Акт входного контроля грин00026 от 19.06.2025 12:12:39</t>
  </si>
  <si>
    <t>Акт входного контроля грин00027 от 19.06.2025 12:52:27</t>
  </si>
  <si>
    <t>Акт входного контроля грин00028 от 19.06.2025 13:47:10</t>
  </si>
  <si>
    <t>Акт входного контроля грин00029 от 19.06.2025 17:45:55</t>
  </si>
  <si>
    <t>Акт входного контроля грин00030 от 19.06.2025 18:15:38</t>
  </si>
  <si>
    <t>Акт входного контроля грин00031 от 19.06.2025 18:43:23</t>
  </si>
  <si>
    <t>Акт входного контроля грин00032 от 19.06.2025 19:59:54</t>
  </si>
  <si>
    <t>Акт входного контроля грин00033 от 19.06.2025 21:37:08</t>
  </si>
  <si>
    <t>Акт входного контроля грин00034 от 19.06.2025 22:05:32</t>
  </si>
  <si>
    <t>Акт входного контроля грин00035 от 19.06.2025 21:38:57</t>
  </si>
  <si>
    <t>Акт входного контроля грин00036 от 19.06.2025 22:30:45</t>
  </si>
  <si>
    <t>Акт входного контроля грин00037 от 19.06.2025 23:38:02</t>
  </si>
  <si>
    <t>Акт входного контроля грин00038 от 19.06.2025 23:05:38</t>
  </si>
  <si>
    <t>Акт входного контроля грин00039 от 20.06.2025 6:41:34</t>
  </si>
  <si>
    <t>Акт входного контроля грин00040 от 20.06.2025 7:53:46</t>
  </si>
  <si>
    <t>Акт входного контроля грин00041 от 20.06.2025 8:04:34</t>
  </si>
  <si>
    <t>Акт входного контроля грин00042 от 20.06.2025 10:36:36</t>
  </si>
  <si>
    <t>Акт входного контроля грин00043 от 20.06.2025 11:14:17</t>
  </si>
  <si>
    <t>Акт входного контроля грин00044 от 20.06.2025 13:27:20</t>
  </si>
  <si>
    <t>Акт входного контроля грин00045 от 20.06.2025 14:09:14</t>
  </si>
  <si>
    <t>грин00023</t>
  </si>
  <si>
    <t>грин00024</t>
  </si>
  <si>
    <t>грин00025</t>
  </si>
  <si>
    <t>грин00026</t>
  </si>
  <si>
    <t>грин00027</t>
  </si>
  <si>
    <t>грин00028</t>
  </si>
  <si>
    <t>грин00029</t>
  </si>
  <si>
    <t>грин00030</t>
  </si>
  <si>
    <t>грин00031</t>
  </si>
  <si>
    <t>грин00032</t>
  </si>
  <si>
    <t>грин00033</t>
  </si>
  <si>
    <t>грин00034</t>
  </si>
  <si>
    <t>грин00035</t>
  </si>
  <si>
    <t>грин00036</t>
  </si>
  <si>
    <t>грин00037</t>
  </si>
  <si>
    <t>грин00038</t>
  </si>
  <si>
    <t>грин00039</t>
  </si>
  <si>
    <t>грин00040</t>
  </si>
  <si>
    <t>грин00041</t>
  </si>
  <si>
    <t>грин00042</t>
  </si>
  <si>
    <t>грин00043</t>
  </si>
  <si>
    <t>грин00044</t>
  </si>
  <si>
    <t>грин00045</t>
  </si>
  <si>
    <t>Значение
финометра</t>
  </si>
  <si>
    <t>Пугачев Сергей Викторович</t>
  </si>
  <si>
    <t>Мудрак Вадим Васильевич</t>
  </si>
  <si>
    <t>Акт входного контроля грин00054 от 20.06.2025 18:31:52</t>
  </si>
  <si>
    <t>Акт входного контроля грин00055 от 20.06.2025 23:40:29</t>
  </si>
  <si>
    <t>Акт входного контроля грин00056 от 21.06.2025 2:26:41</t>
  </si>
  <si>
    <t>Акт входного контроля грин00057 от 21.06.2025 3:40:40</t>
  </si>
  <si>
    <t>Акт входного контроля грин00058 от 21.06.2025 4:56:50</t>
  </si>
  <si>
    <t>Акт входного контроля грин00059 от 21.06.2025 7:41:07</t>
  </si>
  <si>
    <t>Акт входного контроля грин00060 от 21.06.2025 9:20:01</t>
  </si>
  <si>
    <t>Акт входного контроля грин00061 от 21.06.2025 10:22:07</t>
  </si>
  <si>
    <t>Акт входного контроля грин00062 от 21.06.2025 10:24:13</t>
  </si>
  <si>
    <t>Акт входного контроля грин00063 от 21.06.2025 12:49:22</t>
  </si>
  <si>
    <t>Акт входного контроля грин00064 от 21.06.2025 16:10:54</t>
  </si>
  <si>
    <t>Акт входного контроля грин00065 от 21.06.2025 16:12:52</t>
  </si>
  <si>
    <t>Акт входного контроля грин00066 от 21.06.2025 16:14:55</t>
  </si>
  <si>
    <t>Акт входного контроля грин00067 от 22.06.2025 7:21:08</t>
  </si>
  <si>
    <t>Колос ООО</t>
  </si>
  <si>
    <t>4.1</t>
  </si>
  <si>
    <t>Акт входного контроля грин00068 от 22.06.2025 9:51:13</t>
  </si>
  <si>
    <t>Акт входного контроля грин00046 от 20.06.2025 17:16:58</t>
  </si>
  <si>
    <t>Акт входного контроля грин00047 от 20.06.2025 17:24:06</t>
  </si>
  <si>
    <t>Акт входного контроля грин00048 от 20.06.2025 18:23:21</t>
  </si>
  <si>
    <t>Акт входного контроля грин00049 от 20.06.2025 20:42:45</t>
  </si>
  <si>
    <t>Акт входного контроля грин00050 от 20.06.2025 21:06:24</t>
  </si>
  <si>
    <t>Акт входного контроля грин00051 от 20.06.2025 21:37:19</t>
  </si>
  <si>
    <t>Акт входного контроля грин00052 от 20.06.2025 22:54:14</t>
  </si>
  <si>
    <t>Акт входного контроля грин00053 от 20.06.2025 16:45:16</t>
  </si>
  <si>
    <t>Акт входного контроля грин00069 от 22.06.2025 9:53:02</t>
  </si>
  <si>
    <t>Акт входного контроля грин00070 от 22.06.2025 13:07:29</t>
  </si>
  <si>
    <t>Акт входного контроля грин00071 от 22.06.2025 14:26:18</t>
  </si>
  <si>
    <t>Акт входного контроля грин00072 от 22.06.2025 14:28:07</t>
  </si>
  <si>
    <t>Акт входного контроля грин00073 от 22.06.2025 14:43:41</t>
  </si>
  <si>
    <t>Акт входного контроля грин00074 от 22.06.2025 18:09:10</t>
  </si>
  <si>
    <t>4.4</t>
  </si>
  <si>
    <t>Грюнди</t>
  </si>
  <si>
    <t>Акт входного контроля грин00075 от 22.06.2025 18:11:37</t>
  </si>
  <si>
    <t>Акт входного контроля грин00076 от 22.06.2025 17:15:46</t>
  </si>
  <si>
    <t>Акт входного контроля грин00077 от 22.06.2025 19:50:38</t>
  </si>
  <si>
    <t>Акт входного контроля грин00078 от 22.06.2025 19:54:07</t>
  </si>
  <si>
    <t>Акт входного контроля грин00079 от 22.06.2025 21:08:08</t>
  </si>
  <si>
    <t>Акт входного контроля грин00080 от 22.06.2025 23:56:58</t>
  </si>
  <si>
    <t>Акт входного контроля грин00081 от 22.06.2025 23:23:52</t>
  </si>
  <si>
    <t>Акт входного контроля грин00082 от 23.06.2025 2:14:20</t>
  </si>
  <si>
    <t>Акт входного контроля грин00083 от 23.06.2025 2:17:06</t>
  </si>
  <si>
    <t>Акт входного контроля грин00084 от 23.06.2025 4:35:02</t>
  </si>
  <si>
    <t>Акт входного контроля грин00085 от 23.06.2025 4:37:29</t>
  </si>
  <si>
    <t>Акт входного контроля грин00086 от 23.06.2025 5:38:36</t>
  </si>
  <si>
    <t>Акт входного контроля грин00087 от 23.06.2025 7:44:57</t>
  </si>
  <si>
    <t>Акт входного контроля грин00088 от 23.06.2025 8:54:24</t>
  </si>
  <si>
    <t>Акт входного контроля грин00089 от 23.06.2025 9:50:52</t>
  </si>
  <si>
    <t>Акт входного контроля грин00090 от 23.06.2025 11:04:53</t>
  </si>
  <si>
    <t>грин00054</t>
  </si>
  <si>
    <t>грин00055</t>
  </si>
  <si>
    <t>грин00056</t>
  </si>
  <si>
    <t>грин00057</t>
  </si>
  <si>
    <t>грин00058</t>
  </si>
  <si>
    <t>грин00059</t>
  </si>
  <si>
    <t>грин00060</t>
  </si>
  <si>
    <t>грин00061</t>
  </si>
  <si>
    <t>грин00062</t>
  </si>
  <si>
    <t>грин00063</t>
  </si>
  <si>
    <t>грин00064</t>
  </si>
  <si>
    <t>грин00065</t>
  </si>
  <si>
    <t>грин00066</t>
  </si>
  <si>
    <t>грин00067</t>
  </si>
  <si>
    <t>грин00068</t>
  </si>
  <si>
    <t>грин00046</t>
  </si>
  <si>
    <t>грин00047</t>
  </si>
  <si>
    <t>грин00048</t>
  </si>
  <si>
    <t>грин00049</t>
  </si>
  <si>
    <t>грин00050</t>
  </si>
  <si>
    <t>грин00051</t>
  </si>
  <si>
    <t>грин00052</t>
  </si>
  <si>
    <t>грин00053</t>
  </si>
  <si>
    <t>грин00069</t>
  </si>
  <si>
    <t>грин00070</t>
  </si>
  <si>
    <t>грин00071</t>
  </si>
  <si>
    <t>грин00072</t>
  </si>
  <si>
    <t>грин00073</t>
  </si>
  <si>
    <t>грин00074</t>
  </si>
  <si>
    <t>грин00075</t>
  </si>
  <si>
    <t>грин00076</t>
  </si>
  <si>
    <t>грин00077</t>
  </si>
  <si>
    <t>грин00078</t>
  </si>
  <si>
    <t>грин00079</t>
  </si>
  <si>
    <t>грин00080</t>
  </si>
  <si>
    <t>грин00081</t>
  </si>
  <si>
    <t>грин00082</t>
  </si>
  <si>
    <t>грин00083</t>
  </si>
  <si>
    <t>грин00084</t>
  </si>
  <si>
    <t>грин00085</t>
  </si>
  <si>
    <t>грин00086</t>
  </si>
  <si>
    <t>грин00087</t>
  </si>
  <si>
    <t>грин00088</t>
  </si>
  <si>
    <t>грин00089</t>
  </si>
  <si>
    <t>грин00090</t>
  </si>
  <si>
    <t>Акт входного контроля грин00091 от 23.06.2025 13:12:02</t>
  </si>
  <si>
    <t>Показатели (В списке): Степень зрелости,
Степень зрелости</t>
  </si>
  <si>
    <t>грин00091</t>
  </si>
  <si>
    <t>грин00093</t>
  </si>
  <si>
    <t>грин00094</t>
  </si>
  <si>
    <t>грин00095</t>
  </si>
  <si>
    <t>Лазаренко Вятчеслав Владимирович</t>
  </si>
  <si>
    <t>Акт входного контроля грин00093 от 20.06.2025 23:40:30</t>
  </si>
  <si>
    <t>У315НА</t>
  </si>
  <si>
    <t>Акт входного контроля грин00094 от 20.06.2025 23:40:31</t>
  </si>
  <si>
    <t>Акт входного контроля грин00095 от 20.06.2025 23:40:32</t>
  </si>
  <si>
    <t>Акт входного контроля грин00096 от 23.06.2025 14:56:11</t>
  </si>
  <si>
    <t>Акт входного контроля грин00097 от 23.06.2025 16:28:29</t>
  </si>
  <si>
    <t>Акт входного контроля грин00098 от 23.06.2025 18:01:38</t>
  </si>
  <si>
    <t>Акт входного контроля грин00099 от 23.06.2025 19:36:07</t>
  </si>
  <si>
    <t>Акт входного контроля грин00100 от 23.06.2025 19:57:00</t>
  </si>
  <si>
    <t>Акт входного контроля грин00101 от 23.06.2025 22:52:14</t>
  </si>
  <si>
    <t>Акт входного контроля грин00102 от 23.06.2025 22:22:12</t>
  </si>
  <si>
    <t>грин00096</t>
  </si>
  <si>
    <t>грин00097</t>
  </si>
  <si>
    <t>грин00098</t>
  </si>
  <si>
    <t>грин00099</t>
  </si>
  <si>
    <t>грин00100</t>
  </si>
  <si>
    <t>грин00101</t>
  </si>
  <si>
    <t>грин00102</t>
  </si>
  <si>
    <t>Акт входного контроля грин00138 от 24.06.2025 19:39:49</t>
  </si>
  <si>
    <t>Акт входного контроля грин00139 от 24.06.2025 20:22:59</t>
  </si>
  <si>
    <t>Акт входного контроля грин00140 от 24.06.2025 20:25:19</t>
  </si>
  <si>
    <t>Акт входного контроля грин00141 от 24.06.2025 20:59:45</t>
  </si>
  <si>
    <t>Акт входного контроля грин00142 от 24.06.2025 21:50:23</t>
  </si>
  <si>
    <t>ПродажаГрандСтарОтвес№318</t>
  </si>
  <si>
    <t>ПродажаГрандСтарОтвес317</t>
  </si>
  <si>
    <t>ПродажаГрандСтарОтвес№320</t>
  </si>
  <si>
    <t>Акт входного контроля грин00143 от 24.06.2025 22:48:44</t>
  </si>
  <si>
    <t>Акт входного контроля грин00144 от 24.06.2025 22:56:58</t>
  </si>
  <si>
    <t>Акт входного контроля грин00145 от 24.06.2025 23:58:15</t>
  </si>
  <si>
    <t>Акт входного контроля грин00146 от 25.06.2025 1:45:00</t>
  </si>
  <si>
    <t>Акт входного контроля грин00147 от 25.06.2025 2:18:51</t>
  </si>
  <si>
    <t>Акт входного контроля грин00148 от 25.06.2025 3:30:38</t>
  </si>
  <si>
    <t>Акт входного контроля грин00149 от 25.06.2025 4:37:44</t>
  </si>
  <si>
    <t>Акт входного контроля грин00150 от 25.06.2025 5:33:53</t>
  </si>
  <si>
    <t>Акт входного контроля грин00151 от 25.06.2025 7:36:21</t>
  </si>
  <si>
    <t>Акт входного контроля грин00152 от 25.06.2025 7:28:08</t>
  </si>
  <si>
    <t>Акт входного контроля грин00153 от 25.06.2025 8:48:49</t>
  </si>
  <si>
    <t>грин00138</t>
  </si>
  <si>
    <t>грин00139</t>
  </si>
  <si>
    <t>грин00140</t>
  </si>
  <si>
    <t>грин00141</t>
  </si>
  <si>
    <t>грин00142</t>
  </si>
  <si>
    <t>грин00143</t>
  </si>
  <si>
    <t>грин00144</t>
  </si>
  <si>
    <t>грин00145</t>
  </si>
  <si>
    <t>грин00146</t>
  </si>
  <si>
    <t>грин00147</t>
  </si>
  <si>
    <t>грин00148</t>
  </si>
  <si>
    <t>грин00149</t>
  </si>
  <si>
    <t>грин00150</t>
  </si>
  <si>
    <t>грин00151</t>
  </si>
  <si>
    <t>грин00152</t>
  </si>
  <si>
    <t>грин00153</t>
  </si>
  <si>
    <t>Урожайность плановая, т/га</t>
  </si>
  <si>
    <t>Урожайность фактическая, т/га</t>
  </si>
  <si>
    <t>Валовый сбор плановый, т</t>
  </si>
  <si>
    <t>Валовый сбор фактический, т</t>
  </si>
  <si>
    <t>ИЮЛЬ</t>
  </si>
  <si>
    <t>Жданов Андрей Иванович</t>
  </si>
  <si>
    <t>Акт входного контроля грин00162 от 25.06.2025 11:58:47</t>
  </si>
  <si>
    <t>Акт входного контроля грин00163 от 25.06.2025 12:13:20</t>
  </si>
  <si>
    <t>Акт входного контроля грин00165 от 28.06.2025 8:51:06</t>
  </si>
  <si>
    <t>Исток</t>
  </si>
  <si>
    <t>Акт входного контроля грин00166 от 28.06.2025 14:07:38</t>
  </si>
  <si>
    <t>Парус</t>
  </si>
  <si>
    <t>Акт входного контроля грин00167 от 28.06.2025 13:46:13</t>
  </si>
  <si>
    <t>Акт входного контроля грин00168 от 28.06.2025 18:24:24</t>
  </si>
  <si>
    <t>4.2</t>
  </si>
  <si>
    <t>Акт входного контроля грин00169 от 28.06.2025 18:43:52</t>
  </si>
  <si>
    <t>Акт входного контроля грин00170 от 28.06.2025 19:50:38</t>
  </si>
  <si>
    <t>Акт входного контроля грин00171 от 29.06.2025 20:21:37</t>
  </si>
  <si>
    <t>Соломатин А.М.</t>
  </si>
  <si>
    <t>Акт входного контроля грин00172 от 29.06.2025 20:23:19</t>
  </si>
  <si>
    <t>Акт входного контроля грин00173 от 29.06.2025 23:21:43</t>
  </si>
  <si>
    <t>Акт входного контроля грин00174 от 29.06.2025 21:14:13</t>
  </si>
  <si>
    <t>Акт входного контроля грин00175 от 29.06.2025 22:47:04</t>
  </si>
  <si>
    <t>Акт входного контроля грин00176 от 29.06.2025 22:57:42</t>
  </si>
  <si>
    <t>Акт входного контроля грин00177 от 30.06.2025 7:15:52</t>
  </si>
  <si>
    <t>Акт входного контроля грин00182 от 29.06.2025 17:33:03</t>
  </si>
  <si>
    <t>Акт входного контроля грин00183 от 29.06.2025 13:50:07</t>
  </si>
  <si>
    <t>Акт входного контроля грин00184 от 30.06.2025 15:10:01</t>
  </si>
  <si>
    <t>грин00162</t>
  </si>
  <si>
    <t>грин00163</t>
  </si>
  <si>
    <t>грин00165</t>
  </si>
  <si>
    <t>грин00166</t>
  </si>
  <si>
    <t>грин00167</t>
  </si>
  <si>
    <t>грин00168</t>
  </si>
  <si>
    <t>грин00169</t>
  </si>
  <si>
    <t>грин00170</t>
  </si>
  <si>
    <t>грин00171</t>
  </si>
  <si>
    <t>грин00172</t>
  </si>
  <si>
    <t>грин00173</t>
  </si>
  <si>
    <t>грин00174</t>
  </si>
  <si>
    <t>грин00175</t>
  </si>
  <si>
    <t>грин00176</t>
  </si>
  <si>
    <t>грин00177</t>
  </si>
  <si>
    <t>грин00182</t>
  </si>
  <si>
    <t>грин00183</t>
  </si>
  <si>
    <t>грин00184</t>
  </si>
  <si>
    <t>грин00185</t>
  </si>
  <si>
    <t>грин00186</t>
  </si>
  <si>
    <t>по акту сев Истока 8 га на поле 16</t>
  </si>
  <si>
    <t>В отчете 9 га, но сообщение в 11:23, что поле 4.4 закрыли полностью</t>
  </si>
  <si>
    <t>В отчете 1 га, согласовано Никитиным А.А. 2 га (раньше передали больше)</t>
  </si>
  <si>
    <t>По отчету уборка за 29.06.25 - 9 га, по согласованию с Никитиным А.А. уборка за 2 дня 28-29.06.25 - 15 га</t>
  </si>
  <si>
    <t>Акт входного контроля грин00185 от 30.06.2025 13:14:40</t>
  </si>
  <si>
    <t>Акт входного контроля грин00186 от 30.06.2025 1:06:07</t>
  </si>
  <si>
    <t>Акт входного контроля грин00187 от 01.07.2025 20:27:39</t>
  </si>
  <si>
    <t>Акт входного контроля грин00188 от 01.07.2025 20:02:46</t>
  </si>
  <si>
    <t>Акт входного контроля грин00189 от 01.07.2025 20:50:50</t>
  </si>
  <si>
    <t>Акт входного контроля грин00190 от 01.07.2025 22:28:02</t>
  </si>
  <si>
    <t>Акт входного контроля грин00191 от 01.07.2025 23:42:56</t>
  </si>
  <si>
    <t>Акт входного контроля грин00192 от 02.07.2025 3:32:16</t>
  </si>
  <si>
    <t>Чернецов Александр Михайлович</t>
  </si>
  <si>
    <t>Р866РМ</t>
  </si>
  <si>
    <t>Акт входного контроля грин00193 от 02.07.2025 5:56:49</t>
  </si>
  <si>
    <t>Акт входного контроля грин00194 от 02.07.2025 9:11:23</t>
  </si>
  <si>
    <t>Акт входного контроля грин00195 от 02.07.2025 9:13:26</t>
  </si>
  <si>
    <t>Акт входного контроля грин00196 от 02.07.2025 12:52:25</t>
  </si>
  <si>
    <t>Блажко Алексей Николаевич</t>
  </si>
  <si>
    <t>М676КО</t>
  </si>
  <si>
    <t>Акт входного контроля грин00197 от 02.07.2025 14:09:25</t>
  </si>
  <si>
    <t>Дик Илья Александрович</t>
  </si>
  <si>
    <t>М556ХВ</t>
  </si>
  <si>
    <t>Акт входного контроля грин00198 от 02.07.2025 14:14:04</t>
  </si>
  <si>
    <t>Акт входного контроля грин00199 от 02.07.2025 14:17:55</t>
  </si>
  <si>
    <t>грин00187</t>
  </si>
  <si>
    <t>грин00188</t>
  </si>
  <si>
    <t>грин00189</t>
  </si>
  <si>
    <t>грин00190</t>
  </si>
  <si>
    <t>грин00191</t>
  </si>
  <si>
    <t>грин00192</t>
  </si>
  <si>
    <t>грин00193</t>
  </si>
  <si>
    <t>грин00194</t>
  </si>
  <si>
    <t>грин00195</t>
  </si>
  <si>
    <t>грин00196</t>
  </si>
  <si>
    <t>грин00197</t>
  </si>
  <si>
    <t>грин00198</t>
  </si>
  <si>
    <t>грин00199</t>
  </si>
  <si>
    <t>Акт входного контроля грин00200 от 02.07.2025 16:49:06</t>
  </si>
  <si>
    <t>Акт входного контроля грин00201 от 02.07.2025 16:52:24</t>
  </si>
  <si>
    <t>грин00200</t>
  </si>
  <si>
    <t>грин00201</t>
  </si>
  <si>
    <t>Акт входного контроля грин00203 от 02.07.2025 18:13:29</t>
  </si>
  <si>
    <t>Акт входного контроля грин00204 от 02.07.2025 20:15:10</t>
  </si>
  <si>
    <t>Акт входного контроля грин00205 от 02.07.2025 20:50:44</t>
  </si>
  <si>
    <t>Акт входного контроля грин00206 от 02.07.2025 22:13:53</t>
  </si>
  <si>
    <t>Акт входного контроля грин00207 от 02.07.2025 23:01:23</t>
  </si>
  <si>
    <t>Акт входного контроля грин00208 от 02.07.2025 22:26:19</t>
  </si>
  <si>
    <t>Акт входного контроля грин00209 от 02.07.2025 23:20:57</t>
  </si>
  <si>
    <t>Акт входного контроля грин00210 от 03.07.2025 2:57:48</t>
  </si>
  <si>
    <t>Акт входного контроля грин00211 от 03.07.2025 3:52:01</t>
  </si>
  <si>
    <t>Акт входного контроля грин00212 от 03.07.2025 6:17:31</t>
  </si>
  <si>
    <t>Акт входного контроля грин00213 от 03.07.2025 9:00:56</t>
  </si>
  <si>
    <t xml:space="preserve">Пищев Александр Васильевич </t>
  </si>
  <si>
    <t>Т522ОН</t>
  </si>
  <si>
    <t>Акт входного контроля грин00214 от 03.07.2025 9:19:30</t>
  </si>
  <si>
    <t>грин00203</t>
  </si>
  <si>
    <t>грин00204</t>
  </si>
  <si>
    <t>грин00205</t>
  </si>
  <si>
    <t>грин00206</t>
  </si>
  <si>
    <t>грин00207</t>
  </si>
  <si>
    <t>грин00208</t>
  </si>
  <si>
    <t>грин00209</t>
  </si>
  <si>
    <t>грин00210</t>
  </si>
  <si>
    <t>грин00211</t>
  </si>
  <si>
    <t>грин00212</t>
  </si>
  <si>
    <t>грин00213</t>
  </si>
  <si>
    <t>грин00214</t>
  </si>
  <si>
    <t>Акт входного контроля грин00215 от 03.07.2025 10:27:41</t>
  </si>
  <si>
    <t>грин00215</t>
  </si>
  <si>
    <t>Акт входного контроля грин00216 от 03.07.2025 15:44:34</t>
  </si>
  <si>
    <t>Акт входного контроля грин00217 от 03.07.2025 15:51:59</t>
  </si>
  <si>
    <t>Акт входного контроля грин00218 от 03.07.2025 17:59:04</t>
  </si>
  <si>
    <t>Акт входного контроля грин00219 от 03.07.2025 18:11:55</t>
  </si>
  <si>
    <t>Акт входного контроля грин00220 от 03.07.2025 21:14:39</t>
  </si>
  <si>
    <t>Акт входного контроля грин00221 от 03.07.2025 21:17:29</t>
  </si>
  <si>
    <t>Акт входного контроля грин00222 от 03.07.2025 21:53:05</t>
  </si>
  <si>
    <t>Акт входного контроля грин00223 от 03.07.2025 23:17:42</t>
  </si>
  <si>
    <t>Акт входного контроля грин00224 от 04.07.2025 3:34:51</t>
  </si>
  <si>
    <t>Акт входного контроля грин00225 от 04.07.2025 3:37:10</t>
  </si>
  <si>
    <t>Акт входного контроля грин00226 от 04.07.2025 9:25:26</t>
  </si>
  <si>
    <t>Акт входного контроля грин00227 от 04.07.2025 9:47:17</t>
  </si>
  <si>
    <t>Акт входного контроля грин00228 от 04.07.2025 9:50:33</t>
  </si>
  <si>
    <t>Акт входного контроля грин00229 от 04.07.2025 11:26:10</t>
  </si>
  <si>
    <t>Акт входного контроля грин00230 от 04.07.2025 12:04:49</t>
  </si>
  <si>
    <t>Акт входного контроля грин00231 от 04.07.2025 13:48:09</t>
  </si>
  <si>
    <t>Акт входного контроля грин00232 от 04.07.2025 15:20:46</t>
  </si>
  <si>
    <t>Акт входного контроля грин00233 от 04.07.2025 16:30:24</t>
  </si>
  <si>
    <t>грин00216</t>
  </si>
  <si>
    <t>грин00217</t>
  </si>
  <si>
    <t>грин00218</t>
  </si>
  <si>
    <t>грин00219</t>
  </si>
  <si>
    <t>грин00220</t>
  </si>
  <si>
    <t>грин00221</t>
  </si>
  <si>
    <t>грин00222</t>
  </si>
  <si>
    <t>грин00223</t>
  </si>
  <si>
    <t>грин00224</t>
  </si>
  <si>
    <t>грин00225</t>
  </si>
  <si>
    <t>грин00226</t>
  </si>
  <si>
    <t>грин00227</t>
  </si>
  <si>
    <t>грин00228</t>
  </si>
  <si>
    <t>грин00229</t>
  </si>
  <si>
    <t>грин00230</t>
  </si>
  <si>
    <t>грин00231</t>
  </si>
  <si>
    <t>грин00232</t>
  </si>
  <si>
    <t>грин00233</t>
  </si>
  <si>
    <t>Никитась Сергей Анатольевич</t>
  </si>
  <si>
    <t>Акт входного контроля грин00248 от 06.07.2025 3:25:36</t>
  </si>
  <si>
    <t>Акт входного контроля грин00249 от 06.07.2025 4:47:33</t>
  </si>
  <si>
    <t>Акт входного контроля грин00250 от 06.07.2025 6:38:38</t>
  </si>
  <si>
    <t>Акт входного контроля грин00251 от 06.07.2025 10:06:47</t>
  </si>
  <si>
    <t>Акт входного контроля грин00252 от 06.07.2025 11:49:56</t>
  </si>
  <si>
    <t>Акт входного контроля грин00253 от 06.07.2025 13:45:04</t>
  </si>
  <si>
    <t>Акт входного контроля грин00254 от 06.07.2025 15:40:00</t>
  </si>
  <si>
    <t>Акт входного контроля грин00255 от 06.07.2025 17:34:45</t>
  </si>
  <si>
    <t>Акт входного контроля грин00256 от 06.07.2025 19:22:13</t>
  </si>
  <si>
    <t>Акт входного контроля грин00257 от 06.07.2025 21:40:47</t>
  </si>
  <si>
    <t>Акт входного контроля грин00258 от 06.07.2025 22:59:39</t>
  </si>
  <si>
    <t>Акт входного контроля грин00259 от 06.07.2025 17:54:38</t>
  </si>
  <si>
    <t>Акт входного контроля грин00260 от 06.07.2025 18:49:26</t>
  </si>
  <si>
    <t>Акт входного контроля грин00261 от 06.07.2025 20:43:53</t>
  </si>
  <si>
    <t>Акт входного контроля грин00262 от 06.07.2025 22:20:13</t>
  </si>
  <si>
    <t>Акт входного контроля грин00234 от 04.07.2025 17:57:51</t>
  </si>
  <si>
    <t>Акт входного контроля грин00235 от 04.07.2025 19:24:49</t>
  </si>
  <si>
    <t>Акт входного контроля грин00236 от 04.07.2025 21:23:06</t>
  </si>
  <si>
    <t>Акт входного контроля грин00237 от 04.07.2025 22:24:47</t>
  </si>
  <si>
    <t>Акт входного контроля грин00238 от 04.07.2025 22:30:22</t>
  </si>
  <si>
    <t>Акт входного контроля грин00239 от 04.07.2025 21:31:25</t>
  </si>
  <si>
    <t>Акт входного контроля грин00240 от 04.07.2025 22:00:00</t>
  </si>
  <si>
    <t>Акт входного контроля грин00241 от 05.07.2025 6:08:47</t>
  </si>
  <si>
    <t>2.3</t>
  </si>
  <si>
    <t>Акт входного контроля грин00242 от 05.07.2025 8:06:00</t>
  </si>
  <si>
    <t>Акт входного контроля грин00243 от 05.07.2025 17:41:39</t>
  </si>
  <si>
    <t>Акт входного контроля грин00244 от 05.07.2025 17:43:15</t>
  </si>
  <si>
    <t>Акт входного контроля грин00245 от 05.07.2025 20:34:47</t>
  </si>
  <si>
    <t>Акт входного контроля грин00246 от 05.07.2025 23:57:29</t>
  </si>
  <si>
    <t>Акт входного контроля грин00247 от 06.07.2025 1:44:07</t>
  </si>
  <si>
    <t>Акт входного контроля грин00263 от 06.07.2025 23:25:38</t>
  </si>
  <si>
    <t>грин00248</t>
  </si>
  <si>
    <t>грин00249</t>
  </si>
  <si>
    <t>грин00250</t>
  </si>
  <si>
    <t>грин00251</t>
  </si>
  <si>
    <t>грин00252</t>
  </si>
  <si>
    <t>грин00253</t>
  </si>
  <si>
    <t>грин00254</t>
  </si>
  <si>
    <t>грин00255</t>
  </si>
  <si>
    <t>грин00256</t>
  </si>
  <si>
    <t>грин00257</t>
  </si>
  <si>
    <t>грин00258</t>
  </si>
  <si>
    <t>грин00259</t>
  </si>
  <si>
    <t>грин00260</t>
  </si>
  <si>
    <t>грин00261</t>
  </si>
  <si>
    <t>грин00262</t>
  </si>
  <si>
    <t>грин00234</t>
  </si>
  <si>
    <t>грин00235</t>
  </si>
  <si>
    <t>грин00236</t>
  </si>
  <si>
    <t>грин00237</t>
  </si>
  <si>
    <t>грин00238</t>
  </si>
  <si>
    <t>грин00239</t>
  </si>
  <si>
    <t>грин00240</t>
  </si>
  <si>
    <t>грин00241</t>
  </si>
  <si>
    <t>грин00242</t>
  </si>
  <si>
    <t>грин00243</t>
  </si>
  <si>
    <t>грин00244</t>
  </si>
  <si>
    <t>грин00245</t>
  </si>
  <si>
    <t>грин00246</t>
  </si>
  <si>
    <t>грин00247</t>
  </si>
  <si>
    <t>грин00263</t>
  </si>
  <si>
    <t>Акт входного контроля грин00301 от 08.07.2025 19:39:57</t>
  </si>
  <si>
    <t>Акт входного контроля грин00302 от 08.07.2025 20:47:38</t>
  </si>
  <si>
    <t>Акт входного контроля грин00303 от 08.07.2025 21:59:31</t>
  </si>
  <si>
    <t>Акт входного контроля грин00304 от 09.07.2025 1:54:57</t>
  </si>
  <si>
    <t>Акт входного контроля грин00305 от 09.07.2025 4:28:38</t>
  </si>
  <si>
    <t>Акт входного контроля грин00306 от 09.07.2025 4:30:22</t>
  </si>
  <si>
    <t>Акт входного контроля грин00307 от 09.07.2025 7:20:40</t>
  </si>
  <si>
    <t>Бутана</t>
  </si>
  <si>
    <t>Акт входного контроля грин00308 от 09.07.2025 9:57:04</t>
  </si>
  <si>
    <t>Акт входного контроля грин00309 от 09.07.2025 11:26:10</t>
  </si>
  <si>
    <t>грин00301</t>
  </si>
  <si>
    <t>грин00302</t>
  </si>
  <si>
    <t>грин00303</t>
  </si>
  <si>
    <t>грин00304</t>
  </si>
  <si>
    <t>грин00305</t>
  </si>
  <si>
    <t>грин00306</t>
  </si>
  <si>
    <t>грин00307</t>
  </si>
  <si>
    <t>грин00308</t>
  </si>
  <si>
    <t>грин00309</t>
  </si>
  <si>
    <t>грин00310</t>
  </si>
  <si>
    <t>Акт входного контроля грин00310 от 09.07.2025 13:04:49</t>
  </si>
  <si>
    <t>Акт входного контроля грин00311 от 09.07.2025 14:10:41</t>
  </si>
  <si>
    <t>грин00311</t>
  </si>
  <si>
    <t>Входной контроль за 27.05.2025 - 10.07.2025</t>
  </si>
  <si>
    <t>Акт входного контроля грин00312 от 09.07.2025 18:10:06</t>
  </si>
  <si>
    <t>Акт входного контроля грин00313 от 09.07.2025 19:34:30</t>
  </si>
  <si>
    <t>Акт входного контроля грин00314 от 09.07.2025 22:43:17</t>
  </si>
  <si>
    <t>Акт входного контроля грин00315 от 10.07.2025 2:04:11</t>
  </si>
  <si>
    <t>Акт входного контроля грин00316 от 10.07.2025 5:42:10</t>
  </si>
  <si>
    <t>Акт входного контроля грин00317 от 10.07.2025 10:08:10</t>
  </si>
  <si>
    <t>грин00312</t>
  </si>
  <si>
    <t>грин00313</t>
  </si>
  <si>
    <t>грин00314</t>
  </si>
  <si>
    <t>грин00315</t>
  </si>
  <si>
    <t>грин00316</t>
  </si>
  <si>
    <t>грин00317</t>
  </si>
  <si>
    <t>Входной контроль за 27.05.2025 - 10.07.2025 по показателям</t>
  </si>
  <si>
    <t>май</t>
  </si>
  <si>
    <t>июн</t>
  </si>
  <si>
    <t>июл</t>
  </si>
  <si>
    <t>(пусто)</t>
  </si>
  <si>
    <t>Поступление горошка на завод по дням (без учета продажи)</t>
  </si>
  <si>
    <t>Дата акта входного контроля</t>
  </si>
  <si>
    <t>Дата</t>
  </si>
  <si>
    <t>27.май</t>
  </si>
  <si>
    <t>28.май</t>
  </si>
  <si>
    <t>29.май</t>
  </si>
  <si>
    <t>30.май</t>
  </si>
  <si>
    <t>31.май</t>
  </si>
  <si>
    <t>01.июн</t>
  </si>
  <si>
    <t>02.июн</t>
  </si>
  <si>
    <t>03.июн</t>
  </si>
  <si>
    <t>04.июн</t>
  </si>
  <si>
    <t>05.июн</t>
  </si>
  <si>
    <t>06.июн</t>
  </si>
  <si>
    <t>07.июн</t>
  </si>
  <si>
    <t>08.июн</t>
  </si>
  <si>
    <t>09.июн</t>
  </si>
  <si>
    <t>10.июн</t>
  </si>
  <si>
    <t>11.июн</t>
  </si>
  <si>
    <t>12.июн</t>
  </si>
  <si>
    <t>13.июн</t>
  </si>
  <si>
    <t>14.июн</t>
  </si>
  <si>
    <t>15.июн</t>
  </si>
  <si>
    <t>16.июн</t>
  </si>
  <si>
    <t>17.июн</t>
  </si>
  <si>
    <t>18.июн</t>
  </si>
  <si>
    <t>19.июн</t>
  </si>
  <si>
    <t>20.июн</t>
  </si>
  <si>
    <t>21.июн</t>
  </si>
  <si>
    <t>22.июн</t>
  </si>
  <si>
    <t>23.июн</t>
  </si>
  <si>
    <t>24.июн</t>
  </si>
  <si>
    <t>25.июн</t>
  </si>
  <si>
    <t>26.июн</t>
  </si>
  <si>
    <t>27.июн</t>
  </si>
  <si>
    <t>28.июн</t>
  </si>
  <si>
    <t>29.июн</t>
  </si>
  <si>
    <t>30.июн</t>
  </si>
  <si>
    <t>01.июл</t>
  </si>
  <si>
    <t>02.июл</t>
  </si>
  <si>
    <t>03.июл</t>
  </si>
  <si>
    <t>04.июл</t>
  </si>
  <si>
    <t>05.июл</t>
  </si>
  <si>
    <t>06.июл</t>
  </si>
  <si>
    <t>07.июл</t>
  </si>
  <si>
    <t>08.июл</t>
  </si>
  <si>
    <t>09.июл</t>
  </si>
  <si>
    <t>10.июл</t>
  </si>
  <si>
    <t>Физический вес, тонны</t>
  </si>
  <si>
    <t xml:space="preserve"> Физический вес, тонны</t>
  </si>
  <si>
    <t>По дате акта входного контроля</t>
  </si>
  <si>
    <t>В соотв. с актом от 15.07.2025 уточнена площадь уборки (было - 20, стало +0,4 га)</t>
  </si>
  <si>
    <t>Корректировка площади уборки под этап производства горошка ТХЕР-59.1.1 - Горошек собств семена 6,1 га (44,5 га по дню 09.06 + 28,4 га)</t>
  </si>
  <si>
    <t>Корректировка культуры и площади уборки под этап производства горошка ТХЕР-59.1.1 - Горошек собств семена 6,1 га</t>
  </si>
  <si>
    <t xml:space="preserve">  - реализовано по документам отгрузки (ранее было указано в отчете)</t>
  </si>
  <si>
    <t>не указана закупка Брактовского, так как она была запланирована в конвейере</t>
  </si>
  <si>
    <t>Убрали на зерно</t>
  </si>
  <si>
    <t>ОСТАВИЛИ</t>
  </si>
  <si>
    <t>переходящие машины с 03.06.2025</t>
  </si>
  <si>
    <t>Юнона, Исправлено на поле А-46 по факту уборки в соотв. с БУ</t>
  </si>
  <si>
    <t>Было 3,1 га (разнесено на два числа под данные БУ с учетом сорта)</t>
  </si>
  <si>
    <t>Было - 7,6 га (исправлено из-за пересортицы по полю А-87)</t>
  </si>
  <si>
    <t>Сорт уточн</t>
  </si>
  <si>
    <t>Пересортица между полями 22.06.2025</t>
  </si>
  <si>
    <t>Было - 15,9 га на 04.07</t>
  </si>
  <si>
    <t>Было поле 2.3</t>
  </si>
  <si>
    <t>Поле до корр</t>
  </si>
  <si>
    <t>Культура до корр</t>
  </si>
  <si>
    <t>Площадь уборки до корр</t>
  </si>
  <si>
    <t>Сорт до корр</t>
  </si>
  <si>
    <t>Из итогового отчета</t>
  </si>
  <si>
    <t>Площадь, га</t>
  </si>
  <si>
    <t>Отличие</t>
  </si>
  <si>
    <t>Разница по площади</t>
  </si>
  <si>
    <t xml:space="preserve"> Вес нетто, т</t>
  </si>
  <si>
    <t>тыс.р.</t>
  </si>
  <si>
    <t>Вал сбор, тонн</t>
  </si>
  <si>
    <t>Зач.вес</t>
  </si>
  <si>
    <t>СС тыс.руб/Га</t>
  </si>
  <si>
    <t xml:space="preserve">отклонение </t>
  </si>
  <si>
    <t>СС руб/вал вес</t>
  </si>
  <si>
    <t>СС руб/зач вес</t>
  </si>
  <si>
    <t>Сроки сева</t>
  </si>
  <si>
    <t>Сроки уборки</t>
  </si>
  <si>
    <t>Факт 2020</t>
  </si>
  <si>
    <t>Факт 2021</t>
  </si>
  <si>
    <t>Факт 2022</t>
  </si>
  <si>
    <t>Факт 2023</t>
  </si>
  <si>
    <t>Факт 2024</t>
  </si>
  <si>
    <t>БП 2025</t>
  </si>
  <si>
    <t>БП 2024/ Факт 2023</t>
  </si>
  <si>
    <t>БП 2024/ Факт 2022</t>
  </si>
  <si>
    <t>БП 2024/ Факт 2021</t>
  </si>
  <si>
    <t>БП 2025/ Факт 2024</t>
  </si>
  <si>
    <t>Факт 2024/ БП 2024</t>
  </si>
  <si>
    <t>Горох_ГРК_общее</t>
  </si>
  <si>
    <t>01.03 - 03.05</t>
  </si>
  <si>
    <t>01.04 - 21.05</t>
  </si>
  <si>
    <t>22.03 - 15.05</t>
  </si>
  <si>
    <t>08.03 - 18.04</t>
  </si>
  <si>
    <t>05.03 - 30.03</t>
  </si>
  <si>
    <t>28.02 - 12.04</t>
  </si>
  <si>
    <t>06.06 - 14.07</t>
  </si>
  <si>
    <t>13.06 - 18.07</t>
  </si>
  <si>
    <t>09.06 - 19.07</t>
  </si>
  <si>
    <t>02.06 - 23.06</t>
  </si>
  <si>
    <t>21.05 - 16.06</t>
  </si>
  <si>
    <t>04.06 - 12.06</t>
  </si>
  <si>
    <t>Горох_ГРК_полив</t>
  </si>
  <si>
    <t>19.06 - 23.06</t>
  </si>
  <si>
    <t>04.06 - 05.06</t>
  </si>
  <si>
    <t>Горох_ГРК_богара</t>
  </si>
  <si>
    <t>23.03 - 12.04</t>
  </si>
  <si>
    <t>02.06 - 18.06</t>
  </si>
  <si>
    <t>05.06 - 12.06</t>
  </si>
  <si>
    <t>Горох_ГРК_собст.сем</t>
  </si>
  <si>
    <t>28.02 - 25.03</t>
  </si>
  <si>
    <t>Горох_Колос</t>
  </si>
  <si>
    <t>15.04 - 08.05</t>
  </si>
  <si>
    <t>02.04 - 26.04</t>
  </si>
  <si>
    <t>13.04 - 22.04</t>
  </si>
  <si>
    <t>27.06 - 06.07</t>
  </si>
  <si>
    <t>25.06 - 14.07</t>
  </si>
  <si>
    <t>26.09 - 09.07</t>
  </si>
  <si>
    <t>24.06 - 09.07</t>
  </si>
  <si>
    <t>10.06 - 28.06</t>
  </si>
  <si>
    <t>17.06 - 25.06</t>
  </si>
  <si>
    <t>Горох_Колос_полив</t>
  </si>
  <si>
    <t>07.04 - 26.04</t>
  </si>
  <si>
    <t>10.06 - 12.05</t>
  </si>
  <si>
    <t>Горох_Колос_богара</t>
  </si>
  <si>
    <t>02.04 - 06.04</t>
  </si>
  <si>
    <t>16.06 - 28.06</t>
  </si>
  <si>
    <t>Горох_Наконечный</t>
  </si>
  <si>
    <t>16.06 - 28.07</t>
  </si>
  <si>
    <t>09.07 - 10.07</t>
  </si>
  <si>
    <t>Горох_Кубань Хлеб</t>
  </si>
  <si>
    <t>31.03 - 03.04</t>
  </si>
  <si>
    <t>12.06 - 15.06</t>
  </si>
  <si>
    <t>Горох_Учхоз</t>
  </si>
  <si>
    <t>03.03 - 09.03</t>
  </si>
  <si>
    <t>28.02 - 06.03</t>
  </si>
  <si>
    <t>05.03 - 28.03</t>
  </si>
  <si>
    <t>01.06 - 08.06</t>
  </si>
  <si>
    <t>04.06 - 14.06</t>
  </si>
  <si>
    <t>04.06 - 10.06</t>
  </si>
  <si>
    <t>26.05 - 08.06</t>
  </si>
  <si>
    <t>17.05 - 23.05</t>
  </si>
  <si>
    <t>30.05 - 03.06</t>
  </si>
  <si>
    <t>Горох_Братск</t>
  </si>
  <si>
    <t>17.03 - 08.04</t>
  </si>
  <si>
    <t>06.06 - 13.06</t>
  </si>
  <si>
    <t>Горох_Агролидер</t>
  </si>
  <si>
    <t>10.04 - 13.04</t>
  </si>
  <si>
    <t>14.06 - 16.06</t>
  </si>
  <si>
    <t>Горох итого</t>
  </si>
  <si>
    <t>03.03 - 08.05</t>
  </si>
  <si>
    <t>28.02 - 26.04</t>
  </si>
  <si>
    <t>28.02 - 22.04</t>
  </si>
  <si>
    <t>01.06 - 14.07</t>
  </si>
  <si>
    <t xml:space="preserve"> 04.06 - 18.07</t>
  </si>
  <si>
    <t xml:space="preserve"> 04.06 - 19.07</t>
  </si>
  <si>
    <t>26.05 - 10.07</t>
  </si>
  <si>
    <t>21.05 - 28.06</t>
  </si>
  <si>
    <t>30.05 - 25.06</t>
  </si>
  <si>
    <t>Данные по горошку овощному</t>
  </si>
  <si>
    <t>высший сорт</t>
  </si>
  <si>
    <t>первый сорт</t>
  </si>
  <si>
    <t>второй сорт</t>
  </si>
  <si>
    <t>Факт 2025</t>
  </si>
  <si>
    <t>урожайность физ.вес., т/га</t>
  </si>
  <si>
    <t>Прогноз 2025</t>
  </si>
  <si>
    <t>КФХ Наконечное</t>
  </si>
  <si>
    <t>ООО Колос</t>
  </si>
  <si>
    <t>факт</t>
  </si>
  <si>
    <t>весовая</t>
  </si>
  <si>
    <t>Характеристика (сорт)</t>
  </si>
  <si>
    <t>Учхоз</t>
  </si>
  <si>
    <t>КубаньХлеб</t>
  </si>
  <si>
    <t>%</t>
  </si>
  <si>
    <t>Сбор горошка 2023-2025</t>
  </si>
  <si>
    <t>ОПЕРАТИВНАЯ ИНФОРМАЦИЯ ПО СБОРУ ГОРОШКА (СЕЗОН 2024 г.)</t>
  </si>
  <si>
    <t>Сортовые показатели по итогам уборки сезона 2025</t>
  </si>
  <si>
    <t>Урожайность плановая, тн./га</t>
  </si>
  <si>
    <t>Урожайность фактическая, тн./га</t>
  </si>
  <si>
    <t>Валовый сбор плановый</t>
  </si>
  <si>
    <t>Валовый сбор фактический</t>
  </si>
  <si>
    <t>А-20</t>
  </si>
  <si>
    <t>А-21</t>
  </si>
  <si>
    <t>Асана</t>
  </si>
  <si>
    <t>А-28</t>
  </si>
  <si>
    <t>Женева</t>
  </si>
  <si>
    <t>А-33</t>
  </si>
  <si>
    <t>А-48</t>
  </si>
  <si>
    <t>Амалфи</t>
  </si>
  <si>
    <t>Поле-3.5.</t>
  </si>
  <si>
    <t>Сомервуд</t>
  </si>
  <si>
    <t>Поле-3.4.</t>
  </si>
  <si>
    <t>Бинго</t>
  </si>
  <si>
    <t>Донана</t>
  </si>
  <si>
    <t>Поле-1.3.</t>
  </si>
  <si>
    <t>Стандана</t>
  </si>
  <si>
    <t>Поле-1.4.</t>
  </si>
  <si>
    <t>Поле-2.1.</t>
  </si>
  <si>
    <t>Поле-3.1.</t>
  </si>
  <si>
    <t>Поле-3.3.</t>
  </si>
  <si>
    <t>Джоф</t>
  </si>
  <si>
    <t>Фалькон</t>
  </si>
  <si>
    <t>Поле-4.3.</t>
  </si>
  <si>
    <t>ООО Кубань Хлеб</t>
  </si>
  <si>
    <t>Поле-10/12</t>
  </si>
  <si>
    <t>Поле-10/5</t>
  </si>
  <si>
    <t>Поле-9/2</t>
  </si>
  <si>
    <t>Поле-1/1.1.</t>
  </si>
  <si>
    <t>Поле-1/7.1.</t>
  </si>
  <si>
    <t>Поле-2/3.5.</t>
  </si>
  <si>
    <t>Сорт горошка (документы)</t>
  </si>
  <si>
    <t>Урожайность физ.вес, т/га</t>
  </si>
  <si>
    <t>Сорт горошка</t>
  </si>
  <si>
    <t>Культура (КА)</t>
  </si>
  <si>
    <t>Сортовые показатели по итогам уборки сезона 2024</t>
  </si>
  <si>
    <t xml:space="preserve"> Физический вес, кг</t>
  </si>
  <si>
    <t>Акт входного контроля 000000002 от 26.05.2023 10:00:06</t>
  </si>
  <si>
    <t>УОХ Кубань</t>
  </si>
  <si>
    <t>Чигрин Николай Александрович</t>
  </si>
  <si>
    <t>1/4</t>
  </si>
  <si>
    <t>Акт входного контроля 000000003 от 29.05.2023 18:40:06</t>
  </si>
  <si>
    <t>Акт входного контроля 000000004 от 29.05.2023 20:40:25</t>
  </si>
  <si>
    <t>Гуйда Николай Николаевич</t>
  </si>
  <si>
    <t>Акт входного контроля 000000011 от 29.05.2023 10:37:44</t>
  </si>
  <si>
    <t>Гребенников Е.Н.</t>
  </si>
  <si>
    <t>В465ММ</t>
  </si>
  <si>
    <t>Акт входного контроля 000000010 от 29.05.2023 14:22:49</t>
  </si>
  <si>
    <t>Акт входного контроля 000000008 от 29.05.2023 15:57:39</t>
  </si>
  <si>
    <t>Кодола В.А.</t>
  </si>
  <si>
    <t>В639КО</t>
  </si>
  <si>
    <t>Акт входного контроля 000000007 от 29.05.2023 21:37:52</t>
  </si>
  <si>
    <t>Звада Е.Е.</t>
  </si>
  <si>
    <t>А688АМ</t>
  </si>
  <si>
    <t>Акт входного контроля 000000009 от 30.05.2023 12:05:22</t>
  </si>
  <si>
    <t>Дзюба Николай Сергеевич</t>
  </si>
  <si>
    <t>Акт входного контроля 000000006 от 30.05.2023 10:39:53</t>
  </si>
  <si>
    <t>Деревянко Н.Н.</t>
  </si>
  <si>
    <t>Р699ОН</t>
  </si>
  <si>
    <t>Акт входного контроля 000000005 от 30.05.2023 10:20:16</t>
  </si>
  <si>
    <t>Осипов А</t>
  </si>
  <si>
    <t>Е732УС</t>
  </si>
  <si>
    <t>Акт входного контроля 000000012 от 30.05.2023 6:54:39</t>
  </si>
  <si>
    <t>Мосинцев Александр Егорович</t>
  </si>
  <si>
    <t>Т680ОУ</t>
  </si>
  <si>
    <t>Акт входного контроля 000000013 от 30.05.2023 13:57:20</t>
  </si>
  <si>
    <t>Гребенников ЕН</t>
  </si>
  <si>
    <t>Акт входного контроля 000000014 от 30.05.2023 15:42:00</t>
  </si>
  <si>
    <t>Акт входного контроля 000000015 от 30.05.2023 18:46:20</t>
  </si>
  <si>
    <t>Кодола В.Л.</t>
  </si>
  <si>
    <t>Акт входного контроля 000000016 от 30.05.2023 19:04:46</t>
  </si>
  <si>
    <t>Акт входного контроля 000000017 от 30.05.2023 21:43:11</t>
  </si>
  <si>
    <t>Акт входного контроля 000000024 от 31.05.2023 16:55:24</t>
  </si>
  <si>
    <t>Звада Евгений Егеньевич</t>
  </si>
  <si>
    <t>Акт входного контроля 000000019 от 31.05.2023 23:45:47</t>
  </si>
  <si>
    <t>Акт входного контроля 000000020 от 31.05.2023 20:29:02</t>
  </si>
  <si>
    <t>Башкатов И.И</t>
  </si>
  <si>
    <t>Акт входного контроля 000000021 от 31.05.2023 22:10:54</t>
  </si>
  <si>
    <t>Акт входного контроля 000000022 от 31.05.2023 22:21:20</t>
  </si>
  <si>
    <t>Акт входного контроля 000000023 от 01.06.2023 21:23:13</t>
  </si>
  <si>
    <t>КодолаВ.А.</t>
  </si>
  <si>
    <t>Акт входного контроля 000000026 от 01.06.2023 21:22:07</t>
  </si>
  <si>
    <t>Акт входного контроля 000000025 от 01.06.2023 2:32:38</t>
  </si>
  <si>
    <t>Осипов А.</t>
  </si>
  <si>
    <t>Акт входного контроля 000000027 от 01.06.2023 21:21:56</t>
  </si>
  <si>
    <t>Деревянко  А. Н.</t>
  </si>
  <si>
    <t>Акт входного контроля 000000028 от 01.06.2023 21:21:43</t>
  </si>
  <si>
    <t>О793КА</t>
  </si>
  <si>
    <t>Акт входного контроля 000000029 от 01.06.2023 21:20:41</t>
  </si>
  <si>
    <t>Акт входного контроля 000000030 от 01.06.2023 21:20:17</t>
  </si>
  <si>
    <t>Акт входного контроля 000000031 от 01.06.2023 16:57:43</t>
  </si>
  <si>
    <t>Акт входного контроля 000000032 от 01.06.2023 17:23:56</t>
  </si>
  <si>
    <t>Погуляй А.Б.</t>
  </si>
  <si>
    <t>Акт входного контроля 000000034 от 01.06.2023 19:46:14</t>
  </si>
  <si>
    <t>Мудрак В В.</t>
  </si>
  <si>
    <t>Акт входного контроля 000000033 от 01.06.2023 20:31:53</t>
  </si>
  <si>
    <t>Акт входного контроля 000000035 от 01.06.2023 21:30:43</t>
  </si>
  <si>
    <t>Кодола В Л.</t>
  </si>
  <si>
    <t>Акт входного контроля 000000036 от 01.06.2023 23:04:28</t>
  </si>
  <si>
    <t>Акт входного контроля 000000037 от 01.06.2023 23:34:16</t>
  </si>
  <si>
    <t>Акт входного контроля 000000038 от 02.06.2023 11:59:37</t>
  </si>
  <si>
    <t>Башкатов И,И.</t>
  </si>
  <si>
    <t>Акт входного контроля 000000039 от 02.06.2023 1:51:09</t>
  </si>
  <si>
    <t>Акт входного контроля 000000040 от 02.06.2023 15:17:33</t>
  </si>
  <si>
    <t>Акт входного контроля 000000042 от 02.06.2023 17:29:22</t>
  </si>
  <si>
    <t>Акт входного контроля 000000041 от 02.06.2023 14:47:59</t>
  </si>
  <si>
    <t>А-99</t>
  </si>
  <si>
    <t>Акт входного контроля 000000043 от 02.06.2023 16:19:11</t>
  </si>
  <si>
    <t>Акт входного контроля 000000045 от 02.06.2023 17:43:26</t>
  </si>
  <si>
    <t>Акт входного контроля 000000046 от 02.06.2023 19:33:48</t>
  </si>
  <si>
    <t>Акт входного контроля 000000044 от 02.06.2023 19:52:05</t>
  </si>
  <si>
    <t>Акт входного контроля 000000047 от 02.06.2023 22:11:52</t>
  </si>
  <si>
    <t>Акт входного контроля 000000048 от 02.06.2023 22:17:26</t>
  </si>
  <si>
    <t>Акт входного контроля 000000050 от 02.06.2023 0:10:26</t>
  </si>
  <si>
    <t>Акт входного контроля 000000049 от 03.06.2023 12:56:16</t>
  </si>
  <si>
    <t>Акт входного контроля 000000051 от 03.06.2023 8:49:55</t>
  </si>
  <si>
    <t>Акт входного контроля 000000052 от 03.06.2023 9:26:33</t>
  </si>
  <si>
    <t>Богучарский А.И.</t>
  </si>
  <si>
    <t>Акт входного контроля 000000053 от 03.06.2023 10:40:14</t>
  </si>
  <si>
    <t>Акт входного контроля 000000054 от 03.06.2023 12:40:28</t>
  </si>
  <si>
    <t>Акт входного контроля 000000055 от 03.06.2023 13:14:55</t>
  </si>
  <si>
    <t>Акт входного контроля 000000056 от 03.06.2023 13:22:55</t>
  </si>
  <si>
    <t>А-100</t>
  </si>
  <si>
    <t>Акт входного контроля 000000057 от 03.06.2023 15:11:25</t>
  </si>
  <si>
    <t>Акт входного контроля 000000059 от 03.06.2023 16:57:18</t>
  </si>
  <si>
    <t>Акт входного контроля 000000058 от 03.06.2023 16:25:37</t>
  </si>
  <si>
    <t>Акт входного контроля 000000060 от 03.06.2023 18:34:46</t>
  </si>
  <si>
    <t>Башкатов И.И.</t>
  </si>
  <si>
    <t>Акт входного контроля 000000061 от 03.06.2023 22:17:46</t>
  </si>
  <si>
    <t>Акт входного контроля 000000062 от 03.06.2023 22:36:20</t>
  </si>
  <si>
    <t>Акт входного контроля 000000063 от 03.06.2023 18:35:59</t>
  </si>
  <si>
    <t>Звада Евгений Евгеньевич</t>
  </si>
  <si>
    <t>Акт входного контроля 000000064 от 03.06.2023 19:18:37</t>
  </si>
  <si>
    <t>Акт входного контроля 000000065 от 03.06.2023 20:01:54</t>
  </si>
  <si>
    <t>Акт входного контроля 000000066 от 03.06.2023 21:34:30</t>
  </si>
  <si>
    <t>Акт входного контроля 000000068 от 03.06.2023 22:52:27</t>
  </si>
  <si>
    <t>Акт входного контроля 000000067 от 04.06.2023 0:08:45</t>
  </si>
  <si>
    <t>Акт входного контроля 000000069 от 04.06.2023 6:32:11</t>
  </si>
  <si>
    <t>Акт входного контроля 000000070 от 04.06.2023 7:43:26</t>
  </si>
  <si>
    <t>Акт входного контроля 000000071 от 04.06.2023 9:56:34</t>
  </si>
  <si>
    <t>Акт входного контроля 000000072 от 04.06.2023 11:13:15</t>
  </si>
  <si>
    <t>Акт входного контроля 000000073 от 04.06.2023 16:14:50</t>
  </si>
  <si>
    <t>Акт входного контроля 000000074 от 04.06.2023 18:22:02</t>
  </si>
  <si>
    <t>Акт входного контроля 000000075 от 04.06.2023 22:39:51</t>
  </si>
  <si>
    <t>А-25</t>
  </si>
  <si>
    <t>Акт входного контроля 000000076 от 04.06.2023 23:43:24</t>
  </si>
  <si>
    <t>Акт входного контроля 000000077 от 05.06.2023 8:54:10</t>
  </si>
  <si>
    <t>Акт входного контроля 000000078 от 05.06.2023 8:49:46</t>
  </si>
  <si>
    <t>Акт входного контроля 000000079 от 05.06.2023 6:57:24</t>
  </si>
  <si>
    <t>Звага Е.Е.</t>
  </si>
  <si>
    <t>Акт входного контроля 000000080 от 05.06.2023 7:09:59</t>
  </si>
  <si>
    <t>Акт входного контроля 000000081 от 05.06.2023 11:59:44</t>
  </si>
  <si>
    <t>Акт входного контроля 000000082 от 05.06.2023 12:59:20</t>
  </si>
  <si>
    <t>Акт входного контроля 000000083 от 05.06.2023 19:05:04</t>
  </si>
  <si>
    <t>Акт входного контроля 000000084 от 05.06.2023 21:27:04</t>
  </si>
  <si>
    <t>Акт входного контроля 000000085 от 05.06.2023 23:20:33</t>
  </si>
  <si>
    <t>Акт входного контроля 000000086 от 05.06.2023 23:24:12</t>
  </si>
  <si>
    <t>Демченко Сергей Владимирович</t>
  </si>
  <si>
    <t>Н317РТ</t>
  </si>
  <si>
    <t>Акт входного контроля 000000087 от 05.06.2023 21:53:52</t>
  </si>
  <si>
    <t>Акт входного контроля 000000088 от 05.06.2023 22:43:31</t>
  </si>
  <si>
    <t>Акт входного контроля 000000089 от 05.06.2023 3:04:56</t>
  </si>
  <si>
    <t>Акт входного контроля 000000090 от 05.06.2023 11:51:55</t>
  </si>
  <si>
    <t>Акт входного контроля 000000091 от 05.06.2023 9:00:38</t>
  </si>
  <si>
    <t>Акт входного контроля 000000093 от 05.06.2023 11:12:46</t>
  </si>
  <si>
    <t>Акт входного контроля 000000094 от 06.06.2023 11:46:14</t>
  </si>
  <si>
    <t>Акт входного контроля 000000097 от 06.06.2023 14:32:30</t>
  </si>
  <si>
    <t>Акт входного контроля 000000098 от 06.06.2023 15:00:28</t>
  </si>
  <si>
    <t>Эльдорадо</t>
  </si>
  <si>
    <t>Акт входного контроля 000000099 от 06.06.2023 15:32:06</t>
  </si>
  <si>
    <t>Акт входного контроля 000000100 от 06.06.2023 18:37:33</t>
  </si>
  <si>
    <t>Акт входного контроля 000000101 от 06.06.2023 18:52:07</t>
  </si>
  <si>
    <t>Акт входного контроля 000000102 от 06.06.2023 20:44:35</t>
  </si>
  <si>
    <t>Акт входного контроля 000000103 от 06.06.2023 21:00:34</t>
  </si>
  <si>
    <t>Акт входного контроля 000000104 от 06.06.2023 22:40:53</t>
  </si>
  <si>
    <t>А-26</t>
  </si>
  <si>
    <t>Акт входного контроля 000000105 от 06.06.2023 23:03:07</t>
  </si>
  <si>
    <t>Акт входного контроля 000000106 от 06.06.2023 22:11:23</t>
  </si>
  <si>
    <t>Акт входного контроля 000000107 от 06.06.2023 23:05:36</t>
  </si>
  <si>
    <t>1/3</t>
  </si>
  <si>
    <t>Акт входного контроля 000000108 от 06.06.2023 3:27:56</t>
  </si>
  <si>
    <t>Акт входного контроля 000000109 от 06.06.2023 4:42:36</t>
  </si>
  <si>
    <t>Акт входного контроля 000000110 от 07.06.2023 11:08:53</t>
  </si>
  <si>
    <t>Акт входного контроля 000000111 от 07.06.2023 11:11:30</t>
  </si>
  <si>
    <t>Акт входного контроля 000000112 от 07.06.2023 12:34:10</t>
  </si>
  <si>
    <t>Акт входного контроля 000000113 от 07.06.2023 14:46:38</t>
  </si>
  <si>
    <t>Мосенцев Алексей Егорович</t>
  </si>
  <si>
    <t>Акт входного контроля 000000114 от 07.06.2023 7:46:24</t>
  </si>
  <si>
    <t>Акт входного контроля 000000117 от 07.06.2023 13:12:30</t>
  </si>
  <si>
    <t>Акт входного контроля 000000118 от 07.06.2023 14:50:47</t>
  </si>
  <si>
    <t>Акт входного контроля 000000115 от 07.06.2023 21:37:49</t>
  </si>
  <si>
    <t>Акт входного контроля 000000116 от 08.06.2023 8:27:37</t>
  </si>
  <si>
    <t>Акт входного контроля 000000119 от 08.06.2023 3:50:38</t>
  </si>
  <si>
    <t>Акт входного контроля 000000122 от 08.06.2023 11:16:29</t>
  </si>
  <si>
    <t>Акт входного контроля 000000125 от 08.06.2023 14:11:05</t>
  </si>
  <si>
    <t>Акт входного контроля 000000126 от 08.06.2023 16:18:24</t>
  </si>
  <si>
    <t>Кадола В.Л.</t>
  </si>
  <si>
    <t>нет</t>
  </si>
  <si>
    <t>Акт входного контроля 000000127 от 08.06.2023 10:31:02</t>
  </si>
  <si>
    <t>Акт входного контроля 000000131 от 08.06.2023 17:48:12</t>
  </si>
  <si>
    <t>Акт входного контроля 000000128 от 07.06.2023 16:49:35</t>
  </si>
  <si>
    <t>063407Утилизация</t>
  </si>
  <si>
    <t>Акт входного контроля 000000129 от 08.06.2023 17:28:57</t>
  </si>
  <si>
    <t>Акт входного контроля 000000130 от 08.06.2023 17:39:27</t>
  </si>
  <si>
    <t>Акт входного контроля 000000133 от 08.06.2023 23:13:23</t>
  </si>
  <si>
    <t>Акт входного контроля 000000132 от 08.06.2023 22:01:07</t>
  </si>
  <si>
    <t>Акт входного контроля 000000134 от 08.06.2023 23:16:18</t>
  </si>
  <si>
    <t>Акт входного контроля 000000135 от 08.06.2023 21:40:51</t>
  </si>
  <si>
    <t>Акт входного контроля 000000136 от 08.06.2023 22:22:22</t>
  </si>
  <si>
    <t>УСЕ732УС</t>
  </si>
  <si>
    <t>Акт входного контроля 000000137 от 08.06.2023 23:58:28</t>
  </si>
  <si>
    <t>Акт входного контроля 000000138 от 09.06.2023 5:21:23</t>
  </si>
  <si>
    <t>Акт входного контроля 000000139 от 09.06.2023 10:04:21</t>
  </si>
  <si>
    <t>Акт входного контроля 000000140 от 09.06.2023 15:56:33</t>
  </si>
  <si>
    <t>Акт входного контроля 000000141 от 09.06.2023 13:11:50</t>
  </si>
  <si>
    <t>Акт входного контроля 000000142 от 09.06.2023 14:04:13</t>
  </si>
  <si>
    <t>Акт входного контроля 000000143 от 09.06.2023 12:49:31</t>
  </si>
  <si>
    <t>Акт входного контроля 000000144 от 09.06.2023 17:44:35</t>
  </si>
  <si>
    <t>Акт входного контроля 000000145 от 09.06.2023 19:56:21</t>
  </si>
  <si>
    <t>Акт входного контроля 000000146 от 09.06.2023 22:50:25</t>
  </si>
  <si>
    <t>Акт входного контроля 000000147 от 09.06.2023 23:32:29</t>
  </si>
  <si>
    <t>Акт входного контроля 000000148 от 09.06.2023 23:42:49</t>
  </si>
  <si>
    <t>Акт входного контроля 000000149 от 09.06.2023 23:51:13</t>
  </si>
  <si>
    <t>Акт входного контроля 000000150 от 10.06.2023 2:14:56</t>
  </si>
  <si>
    <t>Акт входного контроля 000000151 от 10.06.2023 2:18:13</t>
  </si>
  <si>
    <t>Акт входного контроля 000000152 от 10.06.2023 4:42:22</t>
  </si>
  <si>
    <t>Акт входного контроля 000000153 от 10.06.2023 8:29:44</t>
  </si>
  <si>
    <t>Акт входного контроля 000000154 от 10.06.2023 9:06:49</t>
  </si>
  <si>
    <t>Акт входного контроля 000000155 от 10.06.2023 11:20:51</t>
  </si>
  <si>
    <t>Акт входного контроля 000000156 от 10.06.2023 13:04:05</t>
  </si>
  <si>
    <t>Акт входного контроля 000000157 от 10.06.2023 16:33:48</t>
  </si>
  <si>
    <t>Акт входного контроля 000000158 от 10.06.2023 16:54:57</t>
  </si>
  <si>
    <t>Акт входного контроля 000000159 от 10.06.2023 18:39:36</t>
  </si>
  <si>
    <t>Акт входного контроля 000000175 от 10.06.2023 16:32:17</t>
  </si>
  <si>
    <t>Акт входного контроля 000000161 от 10.06.2023 22:17:55</t>
  </si>
  <si>
    <t>Акт входного контроля 000000160 от 10.06.2023 21:06:47</t>
  </si>
  <si>
    <t>Акт входного контроля 000000162 от 11.06.2023 17:49:43</t>
  </si>
  <si>
    <t>Акт входного контроля 000000163 от 11.06.2023 19:50:55</t>
  </si>
  <si>
    <t>Акт входного контроля 000000165 от 11.06.2023 22:39:46</t>
  </si>
  <si>
    <t>Акт входного контроля 000000164 от 11.06.2023 23:17:32</t>
  </si>
  <si>
    <t>Акт входного контроля 000000166 от 11.06.2023 4:33:23</t>
  </si>
  <si>
    <t>Акт входного контроля 000000167 от 11.06.2023 5:28:38</t>
  </si>
  <si>
    <t>Акт входного контроля 000000168 от 11.06.2023 8:22:57</t>
  </si>
  <si>
    <t>Акт входного контроля 000000169 от 11.06.2023 9:46:36</t>
  </si>
  <si>
    <t>Акт входного контроля 000000170 от 11.06.2023 10:40:13</t>
  </si>
  <si>
    <t>Акт входного контроля 000000171 от 11.06.2023 11:23:20</t>
  </si>
  <si>
    <t>Акт входного контроля 000000172 от 11.06.2023 12:53:21</t>
  </si>
  <si>
    <t>Акт входного контроля 000000173 от 11.06.2023 13:47:17</t>
  </si>
  <si>
    <t>Акт входного контроля 000000174 от 11.06.2023 16:40:48</t>
  </si>
  <si>
    <t>Акт входного контроля 000000176 от 11.06.2023 16:49:28</t>
  </si>
  <si>
    <t>Акт входного контроля 000000178 от 11.06.2023 21:32:15</t>
  </si>
  <si>
    <t>Акт входного контроля 000000177 от 11.06.2023 19:16:39</t>
  </si>
  <si>
    <t>Акт входного контроля 000000179 от 11.06.2023 23:04:58</t>
  </si>
  <si>
    <t>Акт входного контроля 000000180 от 11.06.2023 23:36:41</t>
  </si>
  <si>
    <t>Акт входного контроля 000000181 от 11.06.2023 20:35:45</t>
  </si>
  <si>
    <t>Акт входного контроля 000000182 от 12.06.2023 4:35:40</t>
  </si>
  <si>
    <t>Акт входного контроля 000000183 от 12.06.2023 6:06:22</t>
  </si>
  <si>
    <t>Акт входного контроля 000000186 от 11.06.2023 10:47:52</t>
  </si>
  <si>
    <t>Акт входного контроля 000000184 от 12.06.2023 9:21:23</t>
  </si>
  <si>
    <t>Акт входного контроля 000000185 от 12.06.2023 10:35:52</t>
  </si>
  <si>
    <t>Акт входного контроля 000000187 от 12.06.2023 11:24:20</t>
  </si>
  <si>
    <t>Акт входного контроля 000000188 от 12.06.2023 14:48:51</t>
  </si>
  <si>
    <t>Акт входного контроля 000000189 от 12.06.2023 15:18:21</t>
  </si>
  <si>
    <t>Акт входного контроля 000000190 от 12.06.2023 16:01:12</t>
  </si>
  <si>
    <t>Акт входного контроля 000000195 от 14.06.2023 16:21:22</t>
  </si>
  <si>
    <t>Акт входного контроля 000000196 от 14.06.2023 16:46:04</t>
  </si>
  <si>
    <t>Акт входного контроля 000000197 от 14.06.2023 19:41:32</t>
  </si>
  <si>
    <t>Акт входного контроля 000000198 от 14.06.2023 19:52:45</t>
  </si>
  <si>
    <t>Акт входного контроля 000000199 от 14.06.2023 21:07:47</t>
  </si>
  <si>
    <t>Акт входного контроля 000000200 от 14.06.2023 23:38:28</t>
  </si>
  <si>
    <t>Акт входного контроля 000000201 от 14.06.2023 21:26:02</t>
  </si>
  <si>
    <t>Акт входного контроля 000000202 от 14.06.2023 23:04:49</t>
  </si>
  <si>
    <t>Акт входного контроля 000000203 от 15.06.2023 2:59:02</t>
  </si>
  <si>
    <t>Акт входного контроля 000000204 от 15.06.2023 3:59:49</t>
  </si>
  <si>
    <t>Акт входного контроля 000000205 от 15.06.2023 5:57:39</t>
  </si>
  <si>
    <t>Акт входного контроля 000000206 от 15.06.2023 6:17:03</t>
  </si>
  <si>
    <t>Акт входного контроля 000000207 от 15.06.2023 8:35:26</t>
  </si>
  <si>
    <t>Акт входного контроля 000000208 от 15.06.2023 12:20:21</t>
  </si>
  <si>
    <t>Акт входного контроля 000000209 от 15.06.2023 13:57:23</t>
  </si>
  <si>
    <t>Акт входного контроля 000000210 от 15.06.2023 16:45:45</t>
  </si>
  <si>
    <t>Акт входного контроля 000000211 от 15.06.2023 18:49:11</t>
  </si>
  <si>
    <t>Акт входного контроля 000000212 от 15.06.2023 18:56:58</t>
  </si>
  <si>
    <t>Акт входного контроля 000000213 от 15.06.2023 21:33:24</t>
  </si>
  <si>
    <t>Акт входного контроля 000000214 от 15.06.2023 23:54:19</t>
  </si>
  <si>
    <t>Акт входного контроля 000000215 от 15.06.2023 21:21:06</t>
  </si>
  <si>
    <t>Акт входного контроля 000000216 от 15.06.2023 22:02:03</t>
  </si>
  <si>
    <t>Акт входного контроля 000000217 от 15.06.2023 0:00:00</t>
  </si>
  <si>
    <t>Акт входного контроля 000000218 от 16.06.2023 0:27:24</t>
  </si>
  <si>
    <t>Акт входного контроля 000000219 от 16.06.2023 1:20:06</t>
  </si>
  <si>
    <t>Акт входного контроля 000000220 от 16.06.2023 2:27:28</t>
  </si>
  <si>
    <t>Акт входного контроля 000000221 от 16.06.2023 3:17:13</t>
  </si>
  <si>
    <t>Акт входного контроля 000000222 от 16.06.2023 4:20:20</t>
  </si>
  <si>
    <t>Акт входного контроля 000000223 от 16.06.2023 6:02:57</t>
  </si>
  <si>
    <t>Акт входного контроля 000000224 от 16.06.2023 8:54:44</t>
  </si>
  <si>
    <t>Акт входного контроля 000000225 от 16.06.2023 9:49:55</t>
  </si>
  <si>
    <t>Акт входного контроля 000000226 от 16.06.2023 10:43:06</t>
  </si>
  <si>
    <t>Акт входного контроля 000000227 от 16.06.2023 13:27:15</t>
  </si>
  <si>
    <t>Акт входного контроля 000000228 от 16.06.2023 14:18:22</t>
  </si>
  <si>
    <t>Акт входного контроля 000000229 от 16.06.2023 15:06:09</t>
  </si>
  <si>
    <t>Акт входного контроля 000000230 от 16.06.2023 16:59:53</t>
  </si>
  <si>
    <t>Акт входного контроля 000000231 от 16.06.2023 20:14:50</t>
  </si>
  <si>
    <t>А-78</t>
  </si>
  <si>
    <t>Акт входного контроля 000000232 от 16.06.2023 22:15:09</t>
  </si>
  <si>
    <t>Акт входного контроля 000000233 от 16.06.2023 23:05:47</t>
  </si>
  <si>
    <t>Акт входного контроля 000000235 от 17.06.2023 0:59:17</t>
  </si>
  <si>
    <t>Акт входного контроля 000000237 от 17.06.2023 1:48:13</t>
  </si>
  <si>
    <t>Акт входного контроля 000000234 от 17.06.2023 3:14:21</t>
  </si>
  <si>
    <t>Акт входного контроля 000000236 от 17.06.2023 5:00:22</t>
  </si>
  <si>
    <t>Акт входного контроля 000000238 от 17.06.2023 11:17:35</t>
  </si>
  <si>
    <t>А-56</t>
  </si>
  <si>
    <t>Акт входного контроля 000000239 от 17.06.2023 12:20:35</t>
  </si>
  <si>
    <t>Акт входного контроля 000000240 от 17.06.2023 12:36:48</t>
  </si>
  <si>
    <t>Акт входного контроля 000000242 от 17.06.2023 13:38:33</t>
  </si>
  <si>
    <t>Акт входного контроля 000000241 от 17.06.2023 15:16:06</t>
  </si>
  <si>
    <t>Акт входного контроля 000000243 от 17.06.2023 17:26:18</t>
  </si>
  <si>
    <t>Акт входного контроля 000000244 от 17.06.2023 20:46:58</t>
  </si>
  <si>
    <t>Акт входного контроля 000000245 от 17.06.2023 21:43:25</t>
  </si>
  <si>
    <t>Акт входного контроля 000000246 от 17.06.2023 22:29:00</t>
  </si>
  <si>
    <t>Акт входного контроля 000000247 от 17.06.2023 23:29:47</t>
  </si>
  <si>
    <t>Акт входного контроля 000000248 от 18.06.2023 0:19:19</t>
  </si>
  <si>
    <t>Акт входного контроля 000000249 от 18.06.2023 1:59:54</t>
  </si>
  <si>
    <t>Акт входного контроля 000000250 от 18.06.2023 7:17:21</t>
  </si>
  <si>
    <t>Акт входного контроля 000000251 от 18.06.2023 4:28:27</t>
  </si>
  <si>
    <t>А-55</t>
  </si>
  <si>
    <t>Акт входного контроля 000000252 от 18.06.2023 5:49:00</t>
  </si>
  <si>
    <t>Акт входного контроля 000000253 от 18.06.2023 11:05:45</t>
  </si>
  <si>
    <t>Акт входного контроля 000000254 от 18.06.2023 11:27:25</t>
  </si>
  <si>
    <t>Акт входного контроля 000000255 от 18.06.2023 13:51:20</t>
  </si>
  <si>
    <t>Акт входного контроля 000000256 от 18.06.2023 14:59:26</t>
  </si>
  <si>
    <t>Акт входного контроля 000000257 от 18.06.2023 16:09:00</t>
  </si>
  <si>
    <t>Акт входного контроля 000000258 от 18.06.2023 20:22:19</t>
  </si>
  <si>
    <t>Акт входного контроля 000000259 от 18.06.2023 18:44:40</t>
  </si>
  <si>
    <t>Акт входного контроля 000000260 от 18.06.2023 22:40:52</t>
  </si>
  <si>
    <t>Акт входного контроля 000000261 от 18.06.2023 23:11:03</t>
  </si>
  <si>
    <t>Акт входного контроля 000000262 от 18.06.2023 22:56:31</t>
  </si>
  <si>
    <t>Акт входного контроля 000000263 от 19.06.2023 2:53:56</t>
  </si>
  <si>
    <t>Акт входного контроля 000000264 от 19.06.2023 5:03:44</t>
  </si>
  <si>
    <t>Акт входного контроля 000000265 от 19.06.2023 6:56:54</t>
  </si>
  <si>
    <t>А-111</t>
  </si>
  <si>
    <t>Акт входного контроля 000000266 от 19.06.2023 10:11:27</t>
  </si>
  <si>
    <t>Акт входного контроля 000000267 от 19.06.2023 14:02:04</t>
  </si>
  <si>
    <t>Акт входного контроля 000000269 от 19.06.2023 17:28:52</t>
  </si>
  <si>
    <t>А-108</t>
  </si>
  <si>
    <t>Акт входного контроля 000000270 от 19.06.2023 19:08:58</t>
  </si>
  <si>
    <t>Акт входного контроля 000000271 от 19.06.2023 20:41:17</t>
  </si>
  <si>
    <t>Акт входного контроля 000000272 от 19.06.2023 22:40:48</t>
  </si>
  <si>
    <t>Акт входного контроля 000000273 от 19.06.2023 22:19:39</t>
  </si>
  <si>
    <t>Акт входного контроля 000000274 от 19.06.2023 23:06:17</t>
  </si>
  <si>
    <t>Акт входного контроля 000000275 от 20.06.2023 0:25:05</t>
  </si>
  <si>
    <t>Акт входного контроля 000000276 от 20.06.2023 1:37:44</t>
  </si>
  <si>
    <t>Акт входного контроля 000000277 от 20.06.2023 2:52:37</t>
  </si>
  <si>
    <t>Акт входного контроля 000000279 от 20.06.2023 4:03:17</t>
  </si>
  <si>
    <t>Акт входного контроля 000000278 от 20.06.2023 9:24:02</t>
  </si>
  <si>
    <t>Акт входного контроля 000000282 от 20.06.2023 11:15:52</t>
  </si>
  <si>
    <t>Акт входного контроля 000000283 от 20.06.2023 12:45:09</t>
  </si>
  <si>
    <t>Акт входного контроля 000000284 от 20.06.2023 15:37:48</t>
  </si>
  <si>
    <t>Акт входного контроля 000000285 от 20.06.2023 17:56:08</t>
  </si>
  <si>
    <t>Акт входного контроля 000000286 от 20.06.2023 19:12:29</t>
  </si>
  <si>
    <t>Акт входного контроля 000000287 от 20.06.2023 20:44:12</t>
  </si>
  <si>
    <t>Акт входного контроля 000000288 от 20.06.2023 22:56:02</t>
  </si>
  <si>
    <t>Акт входного контроля 000000290 от 21.06.2023 0:14:40</t>
  </si>
  <si>
    <t>Акт входного контроля 000000292 от 21.06.2023 1:49:07</t>
  </si>
  <si>
    <t>Акт входного контроля 000000293 от 21.06.2023 3:14:22</t>
  </si>
  <si>
    <t>Акт входного контроля 000000294 от 21.06.2023 5:46:30</t>
  </si>
  <si>
    <t>Акт входного контроля 000000295 от 21.06.2023 10:35:27</t>
  </si>
  <si>
    <t>Акт входного контроля 000000296 от 21.06.2023 12:32:36</t>
  </si>
  <si>
    <t>Акт входного контроля 000000297 от 21.06.2023 13:44:07</t>
  </si>
  <si>
    <t>Акт входного контроля 000000298 от 21.06.2023 14:54:01</t>
  </si>
  <si>
    <t>Акт входного контроля 000000299 от 21.06.2023 16:45:02</t>
  </si>
  <si>
    <t>Акт входного контроля 000000300 от 21.06.2023 17:41:43</t>
  </si>
  <si>
    <t>Акт входного контроля 000000302 от 21.06.2023 19:02:24</t>
  </si>
  <si>
    <t>Акт входного контроля 000000303 от 21.06.2023 20:55:59</t>
  </si>
  <si>
    <t>Акт входного контроля 000000304 от 21.06.2023 22:20:59</t>
  </si>
  <si>
    <t>Акт входного контроля 000000305 от 21.06.2023 23:29:19</t>
  </si>
  <si>
    <t>Акт входного контроля 000000306 от 22.06.2023 0:23:30</t>
  </si>
  <si>
    <t>Акт входного контроля 000000307 от 22.06.2023 2:01:37</t>
  </si>
  <si>
    <t>Акт входного контроля 000000309 от 22.06.2023 4:18:22</t>
  </si>
  <si>
    <t>А-109</t>
  </si>
  <si>
    <t>Акт входного контроля 000000311 от 22.06.2023 6:50:28</t>
  </si>
  <si>
    <t>А-106</t>
  </si>
  <si>
    <t>Акт входного контроля 000000313 от 22.06.2023 10:44:57</t>
  </si>
  <si>
    <t>Акт входного контроля 000000314 от 22.06.2023 11:57:44</t>
  </si>
  <si>
    <t>Акт входного контроля 000000317 от 22.06.2023 13:42:10</t>
  </si>
  <si>
    <t>Акт входного контроля 000000318 от 22.06.2023 15:15:02</t>
  </si>
  <si>
    <t>Акт входного контроля 000000320 от 22.06.2023 17:57:35</t>
  </si>
  <si>
    <t>Акт входного контроля 000000321 от 22.06.2023 19:21:58</t>
  </si>
  <si>
    <t>Акт входного контроля 000000323 от 22.06.2023 22:49:24</t>
  </si>
  <si>
    <t>Акт входного контроля 000000324 от 23.06.2023 0:33:28</t>
  </si>
  <si>
    <t>Акт входного контроля 000000325 от 23.06.2023 2:39:33</t>
  </si>
  <si>
    <t>Акт входного контроля 000000327 от 23.06.2023 4:09:01</t>
  </si>
  <si>
    <t>Акт входного контроля 000000328 от 23.06.2023 6:09:12</t>
  </si>
  <si>
    <t>Акт входного контроля 000000329 от 23.06.2023 10:49:36</t>
  </si>
  <si>
    <t>Акт входного контроля 000000330 от 23.06.2023 12:41:00</t>
  </si>
  <si>
    <t>Акт входного контроля 000000331 от 23.06.2023 14:22:25</t>
  </si>
  <si>
    <t>Акт входного контроля 000000332 от 24.06.2023 1:41:10</t>
  </si>
  <si>
    <t>4/4</t>
  </si>
  <si>
    <t>Акт входного контроля 000000333 от 24.06.2023 3:23:36</t>
  </si>
  <si>
    <t>Акт входного контроля 000000334 от 24.06.2023 4:02:45</t>
  </si>
  <si>
    <t>Акт входного контроля 000000335 от 24.06.2023 6:00:12</t>
  </si>
  <si>
    <t>Акт входного контроля 000000336 от 24.06.2023 6:52:56</t>
  </si>
  <si>
    <t>Акт входного контроля 000000338 от 24.06.2023 8:14:50</t>
  </si>
  <si>
    <t>Макуха А.Н,</t>
  </si>
  <si>
    <t>К124УМ</t>
  </si>
  <si>
    <t>Акт входного контроля 000000337 от 24.06.2023 9:11:43</t>
  </si>
  <si>
    <t>Акт входного контроля 000000339 от 24.06.2023 12:06:38</t>
  </si>
  <si>
    <t>Акт входного контроля 000000341 от 24.06.2023 13:57:11</t>
  </si>
  <si>
    <t>Жданов А И</t>
  </si>
  <si>
    <t>Акт входного контроля 000000340 от 24.06.2023 14:44:19</t>
  </si>
  <si>
    <t>Акт входного контроля 000000342 от 24.06.2023 16:46:37</t>
  </si>
  <si>
    <t>Поляков Г,Г.</t>
  </si>
  <si>
    <t>Акт входного контроля 000000343 от 24.06.2023 18:12:48</t>
  </si>
  <si>
    <t>Акт входного контроля 000000344 от 24.06.2023 19:05:19</t>
  </si>
  <si>
    <t>Акт входного контроля 000000345 от 24.06.2023 20:46:24</t>
  </si>
  <si>
    <t>Акт входного контроля 000000346 от 24.06.2023 23:03:13</t>
  </si>
  <si>
    <t>Акт входного контроля 000000347 от 25.06.2023 2:38:41</t>
  </si>
  <si>
    <t>Акт входного контроля 000000348 от 25.06.2023 1:56:09</t>
  </si>
  <si>
    <t>Акт входного контроля 000000349 от 25.06.2023 3:58:06</t>
  </si>
  <si>
    <t>Акт входного контроля 000000350 от 25.06.2023 5:36:52</t>
  </si>
  <si>
    <t>Акт входного контроля 000000351 от 25.06.2023 6:37:30</t>
  </si>
  <si>
    <t>4/2</t>
  </si>
  <si>
    <t>Акт входного контроля 000000353 от 25.06.2023 7:40:39</t>
  </si>
  <si>
    <t>Акт входного контроля 000000352 от 25.06.2023 9:13:54</t>
  </si>
  <si>
    <t>Акт входного контроля 000000354 от 25.06.2023 13:13:18</t>
  </si>
  <si>
    <t>Акт входного контроля 000000355 от 25.06.2023 17:27:10</t>
  </si>
  <si>
    <t>Акт входного контроля 000000356 от 25.06.2023 18:22:48</t>
  </si>
  <si>
    <t>Акт входного контроля 000000357 от 25.06.2023 21:44:53</t>
  </si>
  <si>
    <t>кХ514ОК</t>
  </si>
  <si>
    <t>Акт входного контроля 000000358 от 26.06.2023 0:35:53</t>
  </si>
  <si>
    <t>Акт входного контроля 000000359 от 26.06.2023 1:39:17</t>
  </si>
  <si>
    <t>Акт входного контроля 000000365 от 26.06.2023 15:18:49</t>
  </si>
  <si>
    <t>26отходы Лыков ИП</t>
  </si>
  <si>
    <t>Акт входного контроля 000000360 от 26.06.2023 3:49:42</t>
  </si>
  <si>
    <t>Акт входного контроля 000000361 от 26.06.2023 7:14:10</t>
  </si>
  <si>
    <t>Акт входного контроля 000000362 от 26.06.2023 8:40:01</t>
  </si>
  <si>
    <t>Акт входного контроля 000000363 от 26.06.2023 9:42:15</t>
  </si>
  <si>
    <t>Акт входного контроля 000000366 от 26.06.2023 13:09:40</t>
  </si>
  <si>
    <t>Акт входного контроля 000000367 от 26.06.2023 14:22:10</t>
  </si>
  <si>
    <t>Акт входного контроля 000000368 от 26.06.2023 15:37:43</t>
  </si>
  <si>
    <t>Акт входного контроля 000000369 от 26.06.2023 17:36:48</t>
  </si>
  <si>
    <t>Акт входного контроля 000000370 от 26.06.2023 18:44:23</t>
  </si>
  <si>
    <t>Акт входного контроля 000000371 от 26.06.2023 20:09:49</t>
  </si>
  <si>
    <t>Акт входного контроля 000000372 от 26.06.2023 22:21:02</t>
  </si>
  <si>
    <t>Акт входного контроля 000000373 от 27.06.2023 3:23:11</t>
  </si>
  <si>
    <t>Акт входного контроля 000000380 от 27.06.2023 20:38:55</t>
  </si>
  <si>
    <t>4/1</t>
  </si>
  <si>
    <t>Акт входного контроля 000000381 от 27.06.2023 19:58:36</t>
  </si>
  <si>
    <t>Акт входного контроля 000000382 от 27.06.2023 21:07:09</t>
  </si>
  <si>
    <t>Акт входного контроля 000000383 от 27.06.2023 22:22:59</t>
  </si>
  <si>
    <t>Акт входного контроля 000000384 от 28.06.2023 3:59:10</t>
  </si>
  <si>
    <t>Акт входного контроля 000000385 от 28.06.2023 9:19:43</t>
  </si>
  <si>
    <t>Акт входного контроля 000000386 от 28.06.2023 11:31:55</t>
  </si>
  <si>
    <t>4/3</t>
  </si>
  <si>
    <t>Акт входного контроля 000000387 от 28.06.2023 15:54:05</t>
  </si>
  <si>
    <t>Акт входного контроля 000000388 от 28.06.2023 19:02:40</t>
  </si>
  <si>
    <t>Акт входного контроля 000000389 от 28.06.2023 19:08:42</t>
  </si>
  <si>
    <t>Акт входного контроля 000000390 от 28.06.2023 19:37:46</t>
  </si>
  <si>
    <t>Акт входного контроля 000000391 от 28.06.2023 22:25:05</t>
  </si>
  <si>
    <t>Акт входного контроля 000000392 от 28.06.2023 23:20:33</t>
  </si>
  <si>
    <t>Акт входного контроля 000000393 от 28.06.2023 23:37:35</t>
  </si>
  <si>
    <t>Акт входного контроля 000000394 от 29.06.2023 2:43:32</t>
  </si>
  <si>
    <t>Акт входного контроля 000000395 от 29.06.2023 1:49:40</t>
  </si>
  <si>
    <t>Акт входного контроля 000000396 от 29.06.2023 6:32:42</t>
  </si>
  <si>
    <t>Акт входного контроля 000000397 от 29.06.2023 10:06:44</t>
  </si>
  <si>
    <t>Акт входного контроля 000000398 от 29.06.2023 11:04:43</t>
  </si>
  <si>
    <t>Акт входного контроля 000000399 от 29.06.2023 13:05:11</t>
  </si>
  <si>
    <t>Акт входного контроля 000000401 от 29.06.2023 14:33:50</t>
  </si>
  <si>
    <t>Акт входного контроля 000000402 от 29.06.2023 16:44:30</t>
  </si>
  <si>
    <t>Акт входного контроля 000000403 от 29.06.2023 21:59:21</t>
  </si>
  <si>
    <t>Акт входного контроля 000000416 от 30.06.2023 14:53:59</t>
  </si>
  <si>
    <t>Акт входного контроля 000000405 от 29.06.2023 17:23:54</t>
  </si>
  <si>
    <t>Акт входного контроля 000000406 от 29.06.2023 18:15:50</t>
  </si>
  <si>
    <t>Макаренко Алексей Юрьевич</t>
  </si>
  <si>
    <t>Т565НР</t>
  </si>
  <si>
    <t>Акт входного контроля 000000407 от 29.06.2023 20:49:03</t>
  </si>
  <si>
    <t>Суханов В.Н.</t>
  </si>
  <si>
    <t>А569РР</t>
  </si>
  <si>
    <t>Акт входного контроля 000000408 от 29.06.2023 23:12:38</t>
  </si>
  <si>
    <t>Акт входного контроля 000000409 от 29.06.2023 23:55:16</t>
  </si>
  <si>
    <t>Акт входного контроля 000000410 от 30.06.2023 11:18:31</t>
  </si>
  <si>
    <t>Акт входного контроля 000000411 от 30.06.2023 11:32:44</t>
  </si>
  <si>
    <t>Акт входного контроля 000000412 от 30.06.2023 16:27:17</t>
  </si>
  <si>
    <t>Акт входного контроля 000000413 от 30.06.2023 16:39:32</t>
  </si>
  <si>
    <t>Акт входного контроля 000000414 от 30.06.2023 16:56:59</t>
  </si>
  <si>
    <t>Птащенко Дмитрий Анатольевич</t>
  </si>
  <si>
    <t>Е606ЕК</t>
  </si>
  <si>
    <t>Акт входного контроля 000000415 от 30.06.2023 17:03:48</t>
  </si>
  <si>
    <t>Акт входного контроля 000000443 от 30.06.2023 16:04:07</t>
  </si>
  <si>
    <t>65Продажа Паян отходы</t>
  </si>
  <si>
    <t>Акт входного контроля 000000418 от 30.06.2023 20:36:17</t>
  </si>
  <si>
    <t>Акт входного контроля 000000419 от 30.06.2023 20:41:18</t>
  </si>
  <si>
    <t>Акт входного контроля 000000420 от 30.06.2023 22:13:05</t>
  </si>
  <si>
    <t>Акт входного контроля 000000421 от 30.06.2023 21:18:17</t>
  </si>
  <si>
    <t>Акт входного контроля 000000422 от 30.06.2023 23:33:22</t>
  </si>
  <si>
    <t>Х514 ОК</t>
  </si>
  <si>
    <t>Акт входного контроля 000000423 от 01.07.2023 3:05:15</t>
  </si>
  <si>
    <t>Акт входного контроля 000000424 от 01.07.2023 5:13:51</t>
  </si>
  <si>
    <t>Акт входного контроля 000000425 от 01.07.2023 7:03:28</t>
  </si>
  <si>
    <t>Акт входного контроля 000000426 от 01.07.2023 12:45:03</t>
  </si>
  <si>
    <t>Акт входного контроля 000000427 от 01.07.2023 12:51:48</t>
  </si>
  <si>
    <t>Акт входного контроля 000000428 от 01.07.2023 15:11:46</t>
  </si>
  <si>
    <t>3/2</t>
  </si>
  <si>
    <t>Акт входного контроля 000000429 от 01.07.2023 18:59:28</t>
  </si>
  <si>
    <t>Акт входного контроля 000000431 от 01.07.2023 15:54:46</t>
  </si>
  <si>
    <t>Акт входного контроля 000000430 от 01.07.2023 22:09:55</t>
  </si>
  <si>
    <t>Акт входного контроля 000000432 от 01.07.2023 17:20:47</t>
  </si>
  <si>
    <t>Акт входного контроля 000000439 от 01.07.2023 21:37:42</t>
  </si>
  <si>
    <t>49Славянский КК</t>
  </si>
  <si>
    <t>Акт входного контроля 000000440 от 02.07.2023 21:47:18</t>
  </si>
  <si>
    <t>215Утилизация</t>
  </si>
  <si>
    <t>Акт входного контроля 000000442 от 02.07.2023 8:22:17</t>
  </si>
  <si>
    <t>92Продажа Частных отходы</t>
  </si>
  <si>
    <t>Акт входного контроля 000000433 от 02.07.2023 23:25:19</t>
  </si>
  <si>
    <t>Акт входного контроля 000000434 от 02.07.2023 23:48:42</t>
  </si>
  <si>
    <t>Акт входного контроля 000000435 от 02.07.2023 22:10:52</t>
  </si>
  <si>
    <t>Акт входного контроля 000000436 от 02.07.2023 23:28:20</t>
  </si>
  <si>
    <t>Акт входного контроля 000000437 от 03.07.2023 1:29:53</t>
  </si>
  <si>
    <t>Акт входного контроля 000000438 от 03.07.2023 10:15:32</t>
  </si>
  <si>
    <t>Акт входного контроля 000000441 от 03.07.2023 11:01:03</t>
  </si>
  <si>
    <t>1/6</t>
  </si>
  <si>
    <t>Твинсет</t>
  </si>
  <si>
    <t>Акт входного контроля 000000446 от 03.07.2023 13:56:54</t>
  </si>
  <si>
    <t>Акт входного контроля 000000447 от 03.07.2023 15:17:29</t>
  </si>
  <si>
    <t>Акт входного контроля 000000448 от 03.07.2023 16:27:38</t>
  </si>
  <si>
    <t>Акт входного контроля 000000449 от 03.07.2023 21:11:33</t>
  </si>
  <si>
    <t>Акт входного контроля 000000450 от 03.07.2023 21:25:43</t>
  </si>
  <si>
    <t>Акт входного контроля 000000452 от 03.07.2023 23:31:03</t>
  </si>
  <si>
    <t>Вивадо</t>
  </si>
  <si>
    <t>Акт входного контроля 000000453 от 03.07.2023 19:43:18</t>
  </si>
  <si>
    <t>Акт входного контроля 000000454 от 03.07.2023 23:02:02</t>
  </si>
  <si>
    <t>Акт входного контроля 000000456 от 04.07.2023 11:50:14</t>
  </si>
  <si>
    <t>Акт входного контроля 000000457 от 04.07.2023 11:55:12</t>
  </si>
  <si>
    <t>Акт входного контроля 000000458 от 04.07.2023 13:02:41</t>
  </si>
  <si>
    <t>Акт входного контроля 000000460 от 04.07.2023 17:13:45</t>
  </si>
  <si>
    <t>Акт входного контроля 000000461 от 04.07.2023 17:31:02</t>
  </si>
  <si>
    <t>Акт входного контроля 000000462 от 04.07.2023 20:34:57</t>
  </si>
  <si>
    <t>Акт входного контроля 000000463 от 04.07.2023 20:45:11</t>
  </si>
  <si>
    <t>Акт входного контроля 000000473 от 04.07.2023 16:57:25</t>
  </si>
  <si>
    <t>122Продажа Ктоян</t>
  </si>
  <si>
    <t>Акт входного контроля 000000465 от 04.07.2023 23:34:25</t>
  </si>
  <si>
    <t>1/7</t>
  </si>
  <si>
    <t>Акт входного контроля 000000464 от 04.07.2023 21:47:51</t>
  </si>
  <si>
    <t>Акт входного контроля 000000468 от 04.07.2023 19:36:07</t>
  </si>
  <si>
    <t>Акт входного контроля 000000469 от 04.07.2023 21:24:45</t>
  </si>
  <si>
    <t>Акт входного контроля 000000470 от 04.07.2023 23:05:17</t>
  </si>
  <si>
    <t>Акт входного контроля 000000471 от 05.07.2023 9:05:09</t>
  </si>
  <si>
    <t>Акт входного контроля 000000472 от 05.07.2023 9:28:02</t>
  </si>
  <si>
    <t>Акт входного контроля 000000481 от 05.07.2023 13:36:25</t>
  </si>
  <si>
    <t>Акт входного контроля 000000482 от 05.07.2023 13:44:46</t>
  </si>
  <si>
    <t>Акт входного контроля 000000486 от 05.07.2023 8:26:20</t>
  </si>
  <si>
    <t>Акт входного контроля 000000493 от 05.07.2023 11:32:57</t>
  </si>
  <si>
    <t>134Утилизация</t>
  </si>
  <si>
    <t>Акт входного контроля 000000492 от 05.07.2023 14:20:31</t>
  </si>
  <si>
    <t>135Утилизация</t>
  </si>
  <si>
    <t>Акт входного контроля 000000491 от 05.07.2023 15:28:14</t>
  </si>
  <si>
    <t>136 Утилизация</t>
  </si>
  <si>
    <t>Акт входного контроля 000000490 от 05.07.2023 18:02:55</t>
  </si>
  <si>
    <t>137ИП Макарцов Продажа</t>
  </si>
  <si>
    <t>Акт входного контроля 000000497 от 06.07.2023 18:12:00</t>
  </si>
  <si>
    <t>142Отвес491Славянский Продажа</t>
  </si>
  <si>
    <t>Богданов О.В.</t>
  </si>
  <si>
    <t>3/6</t>
  </si>
  <si>
    <t>Акт входного контроля 000000498 от 06.07.2023 18:12:01</t>
  </si>
  <si>
    <t>144отвес492Продажа Славянский</t>
  </si>
  <si>
    <t>Сахно А.А.</t>
  </si>
  <si>
    <t>Акт входного контроля 000000511 от 06.07.2023 18:12:06</t>
  </si>
  <si>
    <t>145Славянский Продажа494</t>
  </si>
  <si>
    <t>Тарасов А.Л.</t>
  </si>
  <si>
    <t>щ577мк</t>
  </si>
  <si>
    <t>Акт входного контроля 000000095 от 02.06.2023 22:17:28</t>
  </si>
  <si>
    <t>063355 Юнона отвес 11</t>
  </si>
  <si>
    <t>Акт входного контроля 000000096 от 02.06.2023 22:17:29</t>
  </si>
  <si>
    <t>063356 Юнона  отвес 10</t>
  </si>
  <si>
    <t>Акт входного контроля 000000120 от 05.06.2023 23:24:13</t>
  </si>
  <si>
    <t>063389 Юнона отвес 26</t>
  </si>
  <si>
    <t>в725еа</t>
  </si>
  <si>
    <t>Акт входного контроля 000000121 от 05.06.2023 11:02:12</t>
  </si>
  <si>
    <t>063383 Юнона  0твес 25</t>
  </si>
  <si>
    <t>н370вр</t>
  </si>
  <si>
    <t>Акт входного контроля 000000123 от 05.06.2023 23:24:14</t>
  </si>
  <si>
    <t>063375Юнона отвес 24</t>
  </si>
  <si>
    <t>Акт входного контроля 000000124 от 04.06.2023 23:43:25</t>
  </si>
  <si>
    <t>063375Юнонаотвес17</t>
  </si>
  <si>
    <t>Акт входного контроля 000000536 от 09.07.2023 23:30:26</t>
  </si>
  <si>
    <t>2Бондюэль</t>
  </si>
  <si>
    <t>Порубаев Н.А.</t>
  </si>
  <si>
    <t>с716са</t>
  </si>
  <si>
    <t>Акт входного контроля 000000537 от 10.07.2023 16:11:12</t>
  </si>
  <si>
    <t>3Агрохолод</t>
  </si>
  <si>
    <t>Пушкин А.С.</t>
  </si>
  <si>
    <t>Е539Кт</t>
  </si>
  <si>
    <t>Акт входного контроля 000000515 от 08.07.2023 12:00:00</t>
  </si>
  <si>
    <t>152Бондюэль Продажа</t>
  </si>
  <si>
    <t>Митьков В.А.</t>
  </si>
  <si>
    <t>е077ар</t>
  </si>
  <si>
    <t>2/2</t>
  </si>
  <si>
    <t>Акт входного контроля 000000516 от 08.07.2023 12:00:01</t>
  </si>
  <si>
    <t>153Бондюэль Продажа</t>
  </si>
  <si>
    <t>Зверев О.В.</t>
  </si>
  <si>
    <t>в077ху</t>
  </si>
  <si>
    <t>Акт входного контроля 000000517 от 08.07.2023 12:00:02</t>
  </si>
  <si>
    <t>151Бондюэль Продажа</t>
  </si>
  <si>
    <t>Пркопец А.Р.</t>
  </si>
  <si>
    <t>А077ре</t>
  </si>
  <si>
    <t>Акт входного контроля 000000518 от 09.07.2023 23:30:23</t>
  </si>
  <si>
    <t>154БондюэльПродажа</t>
  </si>
  <si>
    <t>а077ре</t>
  </si>
  <si>
    <t>Акт входного контроля 000000519 от 09.07.2023 23:30:24</t>
  </si>
  <si>
    <t>155Бондюэль продажа</t>
  </si>
  <si>
    <t>Акт входного контроля 000000535 от 09.07.2023 23:30:25</t>
  </si>
  <si>
    <t>1Бондюэль</t>
  </si>
  <si>
    <t>В077ху</t>
  </si>
  <si>
    <t>Акт входного контроля 000000501 от 06.07.2023 18:12:03</t>
  </si>
  <si>
    <t>143Альянс отвес2</t>
  </si>
  <si>
    <t>Акт входного контроля 000000502 от 06.07.2023 18:12:04</t>
  </si>
  <si>
    <t>147Альянс отвес3</t>
  </si>
  <si>
    <t>Акт входного контроля 000000503 от 06.07.2023 18:12:05</t>
  </si>
  <si>
    <t>148Альянс4 отвес</t>
  </si>
  <si>
    <t>Акт входного контроля 000000512 от 06.07.2023 18:12:07</t>
  </si>
  <si>
    <t>146Славянский Продажа 495</t>
  </si>
  <si>
    <t>Тарасов Т.Л.</t>
  </si>
  <si>
    <t>о640мк</t>
  </si>
  <si>
    <t>Акт входного контроля 000000513 от 07.07.2023 19:45:36</t>
  </si>
  <si>
    <t>149Альянс Продажа 5</t>
  </si>
  <si>
    <t>Радован</t>
  </si>
  <si>
    <t>Акт входного контроля 000000514 от 07.07.2023 19:45:37</t>
  </si>
  <si>
    <t>150АльянсПродажа6</t>
  </si>
  <si>
    <t>В415Та</t>
  </si>
  <si>
    <t>Акт входного контроля 000000476 от 02.07.2023 23:48:45</t>
  </si>
  <si>
    <t>97Продажа Бондюэль</t>
  </si>
  <si>
    <t>к077ех</t>
  </si>
  <si>
    <t>Акт входного контроля 000000477 от 02.07.2023 23:48:46</t>
  </si>
  <si>
    <t>98Продажа Бондюэль</t>
  </si>
  <si>
    <t>Акт входного контроля 000000478 от 02.07.2023 23:48:47</t>
  </si>
  <si>
    <t>102Продажа Бондюэль</t>
  </si>
  <si>
    <t>Туровский А,С.</t>
  </si>
  <si>
    <t>Е077ОР</t>
  </si>
  <si>
    <t>Акт входного контроля 000000479 от 02.07.2023 23:48:48</t>
  </si>
  <si>
    <t>103пРОДАЖА БОНДЮЭЛЬ</t>
  </si>
  <si>
    <t>Демус С.В.</t>
  </si>
  <si>
    <t>а077ае</t>
  </si>
  <si>
    <t>Акт входного контроля 000000480 от 02.07.2023 23:48:49</t>
  </si>
  <si>
    <t>109Продажа бондюэль</t>
  </si>
  <si>
    <t>Круц М.М.</t>
  </si>
  <si>
    <t>Акт входного контроля 000000500 от 05.07.2023 18:12:02</t>
  </si>
  <si>
    <t>139Продажа Альянс1</t>
  </si>
  <si>
    <t>Акт входного контроля 000000192 от 09.06.2023 23:51:14</t>
  </si>
  <si>
    <t>35Продажа Бабенышев</t>
  </si>
  <si>
    <t>Власенко Вячеслав Михайлович</t>
  </si>
  <si>
    <t>В550КК</t>
  </si>
  <si>
    <t>Акт входного контроля 000000193 от 11.06.2023 23:36:42</t>
  </si>
  <si>
    <t>73 Юнона</t>
  </si>
  <si>
    <t>Лунев В.В.</t>
  </si>
  <si>
    <t>р303 тм</t>
  </si>
  <si>
    <t>Акт входного контроля 000000194 от 11.06.2023 23:36:43</t>
  </si>
  <si>
    <t>70 Юнона</t>
  </si>
  <si>
    <t>Орешин В.Н.</t>
  </si>
  <si>
    <t>р277нн</t>
  </si>
  <si>
    <t>Акт входного контроля 000000316 от 09.06.2023 23:51:15</t>
  </si>
  <si>
    <t>39отходы</t>
  </si>
  <si>
    <t>а688ам</t>
  </si>
  <si>
    <t>Акт входного контроля 000000474 от 02.07.2023 23:48:43</t>
  </si>
  <si>
    <t>95Продажа Бондюэль</t>
  </si>
  <si>
    <t>Пркопец К.В.</t>
  </si>
  <si>
    <t>Акт входного контроля 000000475 от 02.07.2023 23:48:44</t>
  </si>
  <si>
    <t>96Продажа Бонд.юэль</t>
  </si>
  <si>
    <t>Иванчук А.В.</t>
  </si>
  <si>
    <t>Год урожая</t>
  </si>
  <si>
    <t>Акт входного контроля 000000144 от 17.05.2024 20:10:49</t>
  </si>
  <si>
    <t>Акт входного контроля 000000145 от 17.05.2024 20:19:34</t>
  </si>
  <si>
    <t>Акт входного контроля 000000146 от 17.05.2024 22:33:15</t>
  </si>
  <si>
    <t>Акт входного контроля 000000147 от 18.05.2024 7:10:58</t>
  </si>
  <si>
    <t>Акт входного контроля 000000148 от 18.05.2024 19:41:18</t>
  </si>
  <si>
    <t>Акт входного контроля 000000149 от 18.05.2024 19:40:12</t>
  </si>
  <si>
    <t>Акт входного контроля 000000150 от 18.05.2024 13:06:58</t>
  </si>
  <si>
    <t>Акт входного контроля 000000151 от 18.05.2024 17:20:30</t>
  </si>
  <si>
    <t>Акт входного контроля 000000152 от 18.05.2024 21:27:25</t>
  </si>
  <si>
    <t>Акт входного контроля 000000153 от 18.05.2024 4:47:36</t>
  </si>
  <si>
    <t>Акт входного контроля 000000154 от 20.05.2024 21:38:54</t>
  </si>
  <si>
    <t>Акт входного контроля 000000155 от 20.05.2024 21:41:26</t>
  </si>
  <si>
    <t>Акт входного контроля 000000156 от 20.05.2024 23:01:38</t>
  </si>
  <si>
    <t>Акт входного контроля 000000157 от 20.05.2024 23:09:23</t>
  </si>
  <si>
    <t>Акт входного контроля 000000158 от 21.05.2024 6:56:36</t>
  </si>
  <si>
    <t>Акт входного контроля 000000159 от 21.05.2024 8:31:07</t>
  </si>
  <si>
    <t>Акт входного контроля 000000160 от 21.05.2024 8:41:23</t>
  </si>
  <si>
    <t>Акт входного контроля 000000161 от 21.05.2024 11:54:41</t>
  </si>
  <si>
    <t>Акт входного контроля 000000175 от 21.05.2024 19:01:13</t>
  </si>
  <si>
    <t>Акт входного контроля 000000176 от 21.05.2024 19:12:17</t>
  </si>
  <si>
    <t>Акт входного контроля 000000177 от 21.05.2024 19:59:27</t>
  </si>
  <si>
    <t>Акт входного контроля 000000178 от 21.05.2024 22:40:56</t>
  </si>
  <si>
    <t>Акт входного контроля 000000179 от 21.05.2024 22:44:21</t>
  </si>
  <si>
    <t>Акт входного контроля 000000181 от 21.05.2024 23:18:37</t>
  </si>
  <si>
    <t>Акт входного контроля 000000180 от 21.05.2024 23:49:24</t>
  </si>
  <si>
    <t>Акт входного контроля 000000183 от 22.05.2024 9:44:52</t>
  </si>
  <si>
    <t>Акт входного контроля 000000184 от 22.05.2024 10:57:21</t>
  </si>
  <si>
    <t>Акт входного контроля 000000182 от 22.05.2024 9:27:34</t>
  </si>
  <si>
    <t>Акт входного контроля 000000185 от 22.05.2024 15:16:30</t>
  </si>
  <si>
    <t>Акт входного контроля 000000186 от 22.05.2024 15:35:34</t>
  </si>
  <si>
    <t>Акт входного контроля 000000187 от 22.05.2024 16:57:53</t>
  </si>
  <si>
    <t>Акт входного контроля 000000188 от 22.05.2024 18:58:36</t>
  </si>
  <si>
    <t>Акт входного контроля 000000190 от 22.05.2024 23:19:02</t>
  </si>
  <si>
    <t>Акт входного контроля 000000189 от 22.05.2024 20:38:25</t>
  </si>
  <si>
    <t>Акт входного контроля 000000191 от 22.05.2024 23:23:22</t>
  </si>
  <si>
    <t>Акт входного контроля 000000192 от 22.05.2024 23:26:09</t>
  </si>
  <si>
    <t>Акт входного контроля 000000193 от 22.05.2024 23:31:13</t>
  </si>
  <si>
    <t>Акт входного контроля 000000194 от 22.05.2024 8:38:11</t>
  </si>
  <si>
    <t>Акт входного контроля 000000198 от 23.05.2024 13:00:39</t>
  </si>
  <si>
    <t>Акт входного контроля 000000199 от 23.05.2024 10:38:07</t>
  </si>
  <si>
    <t>Акт входного контроля 000000195 от 23.05.2024 12:50:02</t>
  </si>
  <si>
    <t>Акт входного контроля 000000196 от 23.05.2024 12:54:48</t>
  </si>
  <si>
    <t>Акт входного контроля 000000197 от 23.05.2024 12:57:23</t>
  </si>
  <si>
    <t>Акт входного контроля 000000238 от 22.05.2024 11:00:54</t>
  </si>
  <si>
    <t>Акт входного контроля 000000200 от 23.05.2024 22:00:34</t>
  </si>
  <si>
    <t>Акт входного контроля 000000201 от 23.05.2024 22:33:35</t>
  </si>
  <si>
    <t>Акт входного контроля 000000202 от 23.05.2024 23:09:14</t>
  </si>
  <si>
    <t>Акт входного контроля 000000203 от 23.05.2024 23:22:36</t>
  </si>
  <si>
    <t>Акт входного контроля 000000204 от 23.05.2024 23:30:40</t>
  </si>
  <si>
    <t>Акт входного контроля 000000205 от 23.05.2024 23:40:12</t>
  </si>
  <si>
    <t>Акт входного контроля 000000206 от 23.05.2024 23:49:47</t>
  </si>
  <si>
    <t>Акт входного контроля 000000207 от 23.05.2024 21:26:10</t>
  </si>
  <si>
    <t>Акт входного контроля 000000208 от 23.05.2024 22:42:43</t>
  </si>
  <si>
    <t>Акт входного контроля 000000209 от 24.05.2024 16:41:41</t>
  </si>
  <si>
    <t>Акт входного контроля 000000210 от 24.05.2024 4:03:23</t>
  </si>
  <si>
    <t>Акт входного контроля 000000211 от 24.05.2024 6:08:01</t>
  </si>
  <si>
    <t>Акт входного контроля 000000212 от 24.05.2024 7:35:48</t>
  </si>
  <si>
    <t>Акт входного контроля 000000213 от 24.05.2024 8:19:32</t>
  </si>
  <si>
    <t>Акт входного контроля 000000214 от 24.05.2024 10:31:29</t>
  </si>
  <si>
    <t>Акт входного контроля 000000215 от 24.05.2024 12:18:28</t>
  </si>
  <si>
    <t>Акт входного контроля 000000216 от 24.05.2024 15:49:48</t>
  </si>
  <si>
    <t>Акт входного контроля 000000217 от 24.05.2024 18:35:57</t>
  </si>
  <si>
    <t>Акт входного контроля 000000218 от 24.05.2024 18:57:11</t>
  </si>
  <si>
    <t>Акт входного контроля 000000220 от 24.05.2024 21:18:00</t>
  </si>
  <si>
    <t>Акт входного контроля 000000219 от 24.05.2024 19:07:09</t>
  </si>
  <si>
    <t>Акт входного контроля 000000221 от 24.05.2024 22:37:08</t>
  </si>
  <si>
    <t>Акт входного контроля 000000222 от 24.05.2024 22:42:12</t>
  </si>
  <si>
    <t>Акт входного контроля 000000223 от 24.05.2024 23:06:46</t>
  </si>
  <si>
    <t>Акт входного контроля 000000224 от 25.05.2024 6:45:15</t>
  </si>
  <si>
    <t>Акт входного контроля 000000225 от 25.05.2024 6:47:48</t>
  </si>
  <si>
    <t>Акт входного контроля 000000226 от 25.05.2024 8:00:07</t>
  </si>
  <si>
    <t>Акт входного контроля 000000227 от 25.05.2024 10:35:32</t>
  </si>
  <si>
    <t>Акт входного контроля 000000228 от 25.05.2024 13:00:21</t>
  </si>
  <si>
    <t>Акт входного контроля 000000229 от 25.05.2024 15:06:22</t>
  </si>
  <si>
    <t>Акт входного контроля 000000230 от 25.05.2024 15:15:41</t>
  </si>
  <si>
    <t>Акт входного контроля 000000231 от 25.05.2024 17:24:37</t>
  </si>
  <si>
    <t>Акт входного контроля 000000232 от 25.05.2024 18:16:36</t>
  </si>
  <si>
    <t>Акт входного контроля 000000233 от 25.05.2024 19:38:39</t>
  </si>
  <si>
    <t>Акт входного контроля 000000234 от 25.05.2024 22:23:03</t>
  </si>
  <si>
    <t>Акт входного контроля 000000235 от 25.05.2024 20:09:07</t>
  </si>
  <si>
    <t>Акт входного контроля 000000236 от 25.05.2024 21:27:51</t>
  </si>
  <si>
    <t>Акт входного контроля 000000237 от 25.05.2024 23:47:02</t>
  </si>
  <si>
    <t>Акт входного контроля 000000239 от 28.05.2024 20:51:17</t>
  </si>
  <si>
    <t>Акт входного контроля 000000240 от 28.05.2024 20:55:41</t>
  </si>
  <si>
    <t>Акт входного контроля 000000241 от 28.05.2024 22:23:23</t>
  </si>
  <si>
    <t>Акт входного контроля 000000242 от 29.05.2024 0:02:42</t>
  </si>
  <si>
    <t>Акт входного контроля 000000243 от 29.05.2024 7:56:21</t>
  </si>
  <si>
    <t>Акт входного контроля 000000244 от 29.05.2024 9:04:52</t>
  </si>
  <si>
    <t>Акт входного контроля 000000245 от 29.05.2024 11:06:56</t>
  </si>
  <si>
    <t>Акт входного контроля 000000246 от 29.05.2024 15:01:33</t>
  </si>
  <si>
    <t>Акт входного контроля 000000247 от 29.05.2024 17:07:38</t>
  </si>
  <si>
    <t>Акт входного контроля 000000248 от 29.05.2024 20:33:23</t>
  </si>
  <si>
    <t>Акт входного контроля 000000249 от 29.05.2024 21:42:37</t>
  </si>
  <si>
    <t>Акт входного контроля 000000250 от 29.05.2024 23:32:39</t>
  </si>
  <si>
    <t>Акт входного контроля 000000251 от 29.05.2024 21:43:53</t>
  </si>
  <si>
    <t>Акт входного контроля 000000252 от 30.05.2024 4:51:33</t>
  </si>
  <si>
    <t>Акт входного контроля 000000253 от 30.05.2024 5:45:11</t>
  </si>
  <si>
    <t>Акт входного контроля 000000254 от 03.06.2024 11:19:13</t>
  </si>
  <si>
    <t>Акт входного контроля 000000255 от 03.06.2024 11:25:07</t>
  </si>
  <si>
    <t>Акт входного контроля 000000256 от 03.06.2024 13:01:35</t>
  </si>
  <si>
    <t>Акт входного контроля 000000257 от 03.06.2024 11:15:23</t>
  </si>
  <si>
    <t>Акт входного контроля 000000258 от 03.06.2024 12:28:35</t>
  </si>
  <si>
    <t>Акт входного контроля 000000259 от 03.06.2024 18:31:25</t>
  </si>
  <si>
    <t>Акт входного контроля 000000260 от 03.06.2024 20:39:32</t>
  </si>
  <si>
    <t>Акт входного контроля 000000261 от 03.06.2024 17:11:10</t>
  </si>
  <si>
    <t>Акт входного контроля 000000262 от 03.06.2024 20:08:23</t>
  </si>
  <si>
    <t>Акт входного контроля 000000263 от 03.06.2024 22:08:47</t>
  </si>
  <si>
    <t>Акт входного контроля 000000264 от 03.06.2024 23:21:15</t>
  </si>
  <si>
    <t>Акт входного контроля 000000265 от 04.06.2024 6:21:58</t>
  </si>
  <si>
    <t>Акт входного контроля 000000266 от 04.06.2024 13:39:54</t>
  </si>
  <si>
    <t>Акт входного контроля 000000267 от 04.06.2024 13:51:50</t>
  </si>
  <si>
    <t>Акт входного контроля 000000268 от 04.06.2024 14:34:17</t>
  </si>
  <si>
    <t>Акт входного контроля 000000269 от 04.06.2024 18:09:12</t>
  </si>
  <si>
    <t>Акт входного контроля 000000270 от 04.06.2024 18:20:47</t>
  </si>
  <si>
    <t>Акт входного контроля 000000271 от 04.06.2024 18:22:38</t>
  </si>
  <si>
    <t>Акт входного контроля 000000272 от 04.06.2024 19:29:02</t>
  </si>
  <si>
    <t>Акт входного контроля 000000273 от 04.06.2024 16:59:34</t>
  </si>
  <si>
    <t>Акт входного контроля 000000274 от 04.06.2024 18:33:00</t>
  </si>
  <si>
    <t>Акт входного контроля 000000275 от 04.06.2024 20:31:34</t>
  </si>
  <si>
    <t>Акт входного контроля 000000276 от 05.06.2024 13:17:27</t>
  </si>
  <si>
    <t>Акт входного контроля 000000277 от 05.06.2024 15:52:38</t>
  </si>
  <si>
    <t>Акт входного контроля 000000278 от 05.06.2024 17:56:40</t>
  </si>
  <si>
    <t>Акт входного контроля 000000279 от 05.06.2024 18:40:40</t>
  </si>
  <si>
    <t>Акт входного контроля 000000280 от 05.06.2024 18:47:14</t>
  </si>
  <si>
    <t>Акт входного контроля 000000281 от 05.06.2024 20:54:00</t>
  </si>
  <si>
    <t>Акт входного контроля 000000282 от 05.06.2024 22:08:36</t>
  </si>
  <si>
    <t>Акт входного контроля 000000283 от 05.06.2024 23:40:53</t>
  </si>
  <si>
    <t>Акт входного контроля 000000284 от 05.06.2024 23:04:26</t>
  </si>
  <si>
    <t>Акт входного контроля 000000285 от 06.06.2024 1:54:36</t>
  </si>
  <si>
    <t>Акт входного контроля 000000286 от 06.06.2024 3:58:57</t>
  </si>
  <si>
    <t>Акт входного контроля 000000287 от 06.06.2024 6:50:07</t>
  </si>
  <si>
    <t>Акт входного контроля 000000288 от 06.06.2024 6:51:30</t>
  </si>
  <si>
    <t>Акт входного контроля 000000289 от 06.06.2024 9:19:30</t>
  </si>
  <si>
    <t>Акт входного контроля 000000290 от 06.06.2024 10:47:46</t>
  </si>
  <si>
    <t>Акт входного контроля 000000291 от 06.06.2024 13:56:38</t>
  </si>
  <si>
    <t>Акт входного контроля 000000292 от 06.06.2024 13:58:48</t>
  </si>
  <si>
    <t>Акт входного контроля 000000293 от 06.06.2024 14:02:28</t>
  </si>
  <si>
    <t>Акт входного контроля 000000294 от 06.06.2024 16:20:29</t>
  </si>
  <si>
    <t>Акт входного контроля 000000295 от 06.06.2024 19:35:17</t>
  </si>
  <si>
    <t>Акт входного контроля 000000296 от 06.06.2024 19:37:38</t>
  </si>
  <si>
    <t>Акт входного контроля 000000297 от 06.06.2024 22:53:06</t>
  </si>
  <si>
    <t>Акт входного контроля 000000298 от 06.06.2024 18:47:32</t>
  </si>
  <si>
    <t>Акт входного контроля 000000299 от 06.06.2024 20:37:37</t>
  </si>
  <si>
    <t>Акт входного контроля 000000300 от 06.06.2024 23:17:05</t>
  </si>
  <si>
    <t>Акт входного контроля 000000301 от 07.06.2024 4:48:49</t>
  </si>
  <si>
    <t>Акт входного контроля 000000302 от 07.06.2024 4:12:12</t>
  </si>
  <si>
    <t>Акт входного контроля 000000303 от 07.06.2024 6:41:49</t>
  </si>
  <si>
    <t>Акт входного контроля 000000304 от 07.06.2024 10:31:16</t>
  </si>
  <si>
    <t>Акт входного контроля 000000305 от 07.06.2024 14:57:54</t>
  </si>
  <si>
    <t>Акт входного контроля 000000306 от 07.06.2024 15:00:22</t>
  </si>
  <si>
    <t>Акт входного контроля 000000307 от 07.06.2024 15:02:43</t>
  </si>
  <si>
    <t>Акт входного контроля 000000308 от 07.06.2024 16:39:29</t>
  </si>
  <si>
    <t>Акт входного контроля 000000309 от 07.06.2024 18:16:06</t>
  </si>
  <si>
    <t>Акт входного контроля 000000310 от 07.06.2024 19:47:06</t>
  </si>
  <si>
    <t>Акт входного контроля 000000311 от 07.06.2024 19:49:55</t>
  </si>
  <si>
    <t>Акт входного контроля 000000312 от 07.06.2024 22:22:34</t>
  </si>
  <si>
    <t>Акт входного контроля 000000313 от 07.06.2024 22:46:09</t>
  </si>
  <si>
    <t>Акт входного контроля 000000315 от 08.06.2024 1:51:32</t>
  </si>
  <si>
    <t>Акт входного контроля 000000314 от 08.06.2024 1:48:58</t>
  </si>
  <si>
    <t>Акт входного контроля 000000316 от 08.06.2024 4:03:14</t>
  </si>
  <si>
    <t>Акт входного контроля 000000317 от 08.06.2024 4:44:07</t>
  </si>
  <si>
    <t>Акт входного контроля 000000318 от 08.06.2024 7:08:30</t>
  </si>
  <si>
    <t>Акт входного контроля 000000319 от 08.06.2024 7:51:20</t>
  </si>
  <si>
    <t>Акт входного контроля 000000320 от 08.06.2024 13:24:22</t>
  </si>
  <si>
    <t>Акт входного контроля 000000321 от 08.06.2024 13:30:57</t>
  </si>
  <si>
    <t>Акт входного контроля 000000322 от 08.06.2024 19:30:10</t>
  </si>
  <si>
    <t>Акт входного контроля 000000323 от 08.06.2024 21:28:13</t>
  </si>
  <si>
    <t>Акт входного контроля 000000324 от 08.06.2024 21:37:37</t>
  </si>
  <si>
    <t>Акт входного контроля 000000325 от 08.06.2024 22:43:05</t>
  </si>
  <si>
    <t>Акт входного контроля 000000326 от 08.06.2024 22:49:21</t>
  </si>
  <si>
    <t>Акт входного контроля 000000327 от 09.06.2024 8:34:43</t>
  </si>
  <si>
    <t>Акт входного контроля 000000328 от 09.06.2024 10:52:26</t>
  </si>
  <si>
    <t>Акт входного контроля 000000329 от 09.06.2024 14:02:38</t>
  </si>
  <si>
    <t>Акт входного контроля 000000330 от 09.06.2024 16:32:55</t>
  </si>
  <si>
    <t>Акт входного контроля 000000331 от 09.06.2024 19:34:16</t>
  </si>
  <si>
    <t>Акт входного контроля 000000332 от 09.06.2024 20:01:36</t>
  </si>
  <si>
    <t>Акт входного контроля 000000333 от 09.06.2024 22:36:53</t>
  </si>
  <si>
    <t>Акт входного контроля 000000334 от 10.06.2024 5:50:30</t>
  </si>
  <si>
    <t>Акт входного контроля 000000335 от 10.06.2024 5:52:35</t>
  </si>
  <si>
    <t>Акт входного контроля 000000336 от 10.06.2024 7:51:38</t>
  </si>
  <si>
    <t>Акт входного контроля 000000337 от 10.06.2024 9:37:07</t>
  </si>
  <si>
    <t>Акт входного контроля 000000338 от 10.06.2024 11:18:11</t>
  </si>
  <si>
    <t>Акт входного контроля 000000339 от 10.06.2024 12:31:37</t>
  </si>
  <si>
    <t>Акт входного контроля 000000340 от 10.06.2024 15:13:11</t>
  </si>
  <si>
    <t>Акт входного контроля 000000341 от 10.06.2024 18:15:49</t>
  </si>
  <si>
    <t>Акт входного контроля 000000342 от 10.06.2024 18:17:37</t>
  </si>
  <si>
    <t>Акт входного контроля 000000343 от 10.06.2024 19:33:55</t>
  </si>
  <si>
    <t>Акт входного контроля 000000344 от 10.06.2024 19:39:50</t>
  </si>
  <si>
    <t>Акт входного контроля 000000345 от 10.06.2024 21:12:38</t>
  </si>
  <si>
    <t>Акт входного контроля 000000346 от 10.06.2024 23:21:27</t>
  </si>
  <si>
    <t>Акт входного контроля 000000347 от 10.06.2024 23:27:11</t>
  </si>
  <si>
    <t>Акт входного контроля 000000348 от 10.06.2024 23:46:13</t>
  </si>
  <si>
    <t>Акт входного контроля 000000349 от 11.06.2024 2:40:18</t>
  </si>
  <si>
    <t>Акт входного контроля 000000350 от 11.06.2024 6:50:36</t>
  </si>
  <si>
    <t>Акт входного контроля 000000351 от 11.06.2024 7:49:25</t>
  </si>
  <si>
    <t>Акт входного контроля 000000352 от 11.06.2024 6:02:51</t>
  </si>
  <si>
    <t>Акт входного контроля 000000359 от 11.06.2024 7:05:17</t>
  </si>
  <si>
    <t>Акт входного контроля 000000360 от 11.06.2024 10:06:53</t>
  </si>
  <si>
    <t>Акт входного контроля 000000361 от 11.06.2024 10:21:32</t>
  </si>
  <si>
    <t>Акт входного контроля 000000368 от 11.06.2024 22:52:53</t>
  </si>
  <si>
    <t>Акт входного контроля 000000369 от 11.06.2024 23:42:20</t>
  </si>
  <si>
    <t>Акт входного контроля 000000370 от 12.06.2024 3:49:48</t>
  </si>
  <si>
    <t>Акт входного контроля 000000371 от 12.06.2024 4:10:03</t>
  </si>
  <si>
    <t>Акт входного контроля 000000372 от 12.06.2024 5:49:43</t>
  </si>
  <si>
    <t>Акт входного контроля 000000373 от 12.06.2024 11:55:32</t>
  </si>
  <si>
    <t>Акт входного контроля 000000374 от 12.06.2024 12:01:49</t>
  </si>
  <si>
    <t>Акт входного контроля 000000375 от 12.06.2024 12:07:56</t>
  </si>
  <si>
    <t>Акт входного контроля 000000376 от 12.06.2024 13:31:45</t>
  </si>
  <si>
    <t>Акт входного контроля 000000377 от 12.06.2024 13:46:23</t>
  </si>
  <si>
    <t>Акт входного контроля 000000378 от 12.06.2024 16:08:13</t>
  </si>
  <si>
    <t>Акт входного контроля 000000379 от 12.06.2024 18:28:52</t>
  </si>
  <si>
    <t>Акт входного контроля 000000380 от 12.06.2024 18:46:50</t>
  </si>
  <si>
    <t>Акт входного контроля 000000381 от 12.06.2024 20:51:24</t>
  </si>
  <si>
    <t>Акт входного контроля 000000382 от 12.06.2024 23:19:26</t>
  </si>
  <si>
    <t>Акт входного контроля 000000383 от 12.06.2024 23:43:58</t>
  </si>
  <si>
    <t>Акт входного контроля 000000384 от 12.06.2024 22:40:38</t>
  </si>
  <si>
    <t>Акт входного контроля 000000389 от 13.06.2024 9:09:33</t>
  </si>
  <si>
    <t>Акт входного контроля 000000385 от 13.06.2024 4:48:00</t>
  </si>
  <si>
    <t>Акт входного контроля 000000386 от 13.06.2024 5:23:02</t>
  </si>
  <si>
    <t>Акт входного контроля 000000387 от 13.06.2024 6:32:20</t>
  </si>
  <si>
    <t>Акт входного контроля 000000388 от 13.06.2024 7:43:29</t>
  </si>
  <si>
    <t>Акт входного контроля 000000390 от 13.06.2024 10:51:34</t>
  </si>
  <si>
    <t>Акт входного контроля 000000393 от 13.06.2024 11:28:28</t>
  </si>
  <si>
    <t>Акт входного контроля 000000416 от 13.06.2024 17:03:10</t>
  </si>
  <si>
    <t>Акт входного контроля 000000417 от 13.06.2024 17:45:48</t>
  </si>
  <si>
    <t>Акт входного контроля 000000418 от 13.06.2024 19:36:54</t>
  </si>
  <si>
    <t>Акт входного контроля 000000419 от 13.06.2024 20:28:23</t>
  </si>
  <si>
    <t>Акт входного контроля 000000420 от 13.06.2024 23:51:32</t>
  </si>
  <si>
    <t>Акт входного контроля 000000421 от 13.06.2024 21:53:32</t>
  </si>
  <si>
    <t>Акт входного контроля 000000422 от 13.06.2024 23:20:54</t>
  </si>
  <si>
    <t>Акт входного контроля 000000423 от 14.06.2024 4:59:49</t>
  </si>
  <si>
    <t>Акт входного контроля 000000424 от 14.06.2024 1:53:39</t>
  </si>
  <si>
    <t>Акт входного контроля 000000425 от 14.06.2024 7:46:46</t>
  </si>
  <si>
    <t>Акт входного контроля 000000426 от 14.06.2024 7:49:13</t>
  </si>
  <si>
    <t>Акт входного контроля 000000427 от 14.06.2024 7:51:23</t>
  </si>
  <si>
    <t>Акт входного контроля 000000434 от 14.06.2024 13:29:20</t>
  </si>
  <si>
    <t>Акт входного контроля 000000435 от 14.06.2024 13:33:32</t>
  </si>
  <si>
    <t>Акт входного контроля 000000470 от 14.06.2024 15:26:19</t>
  </si>
  <si>
    <t>Акт входного контроля 000000473 от 14.06.2024 17:12:56</t>
  </si>
  <si>
    <t>Акт входного контроля 000000474 от 14.06.2024 20:02:30</t>
  </si>
  <si>
    <t>Акт входного контроля 000000475 от 14.06.2024 21:28:46</t>
  </si>
  <si>
    <t>Акт входного контроля 000000476 от 14.06.2024 23:23:16</t>
  </si>
  <si>
    <t>Акт входного контроля 000000477 от 14.06.2024 23:37:26</t>
  </si>
  <si>
    <t>Акт входного контроля 000000478 от 15.06.2024 1:46:18</t>
  </si>
  <si>
    <t>Акт входного контроля 000000479 от 15.06.2024 4:35:53</t>
  </si>
  <si>
    <t>Акт входного контроля 000000480 от 15.06.2024 10:16:23</t>
  </si>
  <si>
    <t>Акт входного контроля 000000481 от 15.06.2024 16:08:03</t>
  </si>
  <si>
    <t>Акт входного контроля 000000482 от 15.06.2024 16:20:35</t>
  </si>
  <si>
    <t>Акт входного контроля 000000483 от 15.06.2024 16:27:49</t>
  </si>
  <si>
    <t>Акт входного контроля 000000484 от 15.06.2024 10:44:50</t>
  </si>
  <si>
    <t>Акт входного контроля 000000485 от 16.06.2024 15:00:37</t>
  </si>
  <si>
    <t>Акт входного контроля 000000486 от 16.06.2024 17:46:30</t>
  </si>
  <si>
    <t>Акт входного контроля 000000487 от 16.06.2024 18:38:12</t>
  </si>
  <si>
    <t>Акт входного контроля 000000488 от 16.06.2024 19:52:29</t>
  </si>
  <si>
    <t>Акт входного контроля 000000489 от 16.06.2024 22:50:25</t>
  </si>
  <si>
    <t>Акт входного контроля 000000490 от 16.06.2024 23:31:48</t>
  </si>
  <si>
    <t>Акт входного контроля 000000491 от 17.06.2024 2:13:19</t>
  </si>
  <si>
    <t>Акт входного контроля 000000492 от 17.06.2024 6:15:00</t>
  </si>
  <si>
    <t>Акт входного контроля 000000493 от 17.06.2024 9:04:19</t>
  </si>
  <si>
    <t>Акт входного контроля 000000494 от 17.06.2024 11:22:16</t>
  </si>
  <si>
    <t>Акт входного контроля 000000495 от 18.06.2024 20:49:27</t>
  </si>
  <si>
    <t>Акт входного контроля 000000496 от 18.06.2024 22:50:27</t>
  </si>
  <si>
    <t>Акт входного контроля 000000497 от 18.06.2024 23:45:19</t>
  </si>
  <si>
    <t>Акт входного контроля 000000498 от 19.06.2024 3:07:47</t>
  </si>
  <si>
    <t>Акт входного контроля 000000499 от 19.06.2024 6:15:19</t>
  </si>
  <si>
    <t>Акт входного контроля 000000500 от 19.06.2024 6:18:53</t>
  </si>
  <si>
    <t>Акт входного контроля 000000501 от 19.06.2024 9:51:58</t>
  </si>
  <si>
    <t>Акт входного контроля 000000502 от 19.06.2024 14:32:16</t>
  </si>
  <si>
    <t>Акт входного контроля 000000503 от 19.06.2024 22:28:42</t>
  </si>
  <si>
    <t>Акт входного контроля 000000504 от 19.06.2024 22:30:54</t>
  </si>
  <si>
    <t>Акт входного контроля 000000505 от 19.06.2024 20:52:24</t>
  </si>
  <si>
    <t>Акт входного контроля 000000506 от 19.06.2024 21:47:12</t>
  </si>
  <si>
    <t>Акт входного контроля 000000507 от 19.06.2024 2:30:38</t>
  </si>
  <si>
    <t>Акт входного контроля 000000508 от 20.06.2024 6:08:07</t>
  </si>
  <si>
    <t>Акт входного контроля 000000509 от 20.06.2024 6:24:29</t>
  </si>
  <si>
    <t>Акт входного контроля 000000510 от 20.06.2024 12:07:28</t>
  </si>
  <si>
    <t>Акт входного контроля 000000511 от 20.06.2024 18:34:11</t>
  </si>
  <si>
    <t>Акт входного контроля 000000512 от 20.06.2024 13:03:50</t>
  </si>
  <si>
    <t>Акт входного контроля 000000513 от 20.06.2024 18:38:20</t>
  </si>
  <si>
    <t>Акт входного контроля 000000514 от 20.06.2024 18:40:03</t>
  </si>
  <si>
    <t>Акт входного контроля 000000515 от 20.06.2024 23:27:16</t>
  </si>
  <si>
    <t>Акт входного контроля 000000516 от 20.06.2024 19:01:51</t>
  </si>
  <si>
    <t>Акт входного контроля 000000517 от 20.06.2024 20:38:50</t>
  </si>
  <si>
    <t>Акт входного контроля 000000518 от 20.06.2024 22:23:19</t>
  </si>
  <si>
    <t>Акт входного контроля 000000519 от 21.06.2024 6:01:07</t>
  </si>
  <si>
    <t>Акт входного контроля 000000520 от 21.06.2024 7:37:57</t>
  </si>
  <si>
    <t>Акт входного контроля 000000521 от 21.06.2024 9:46:52</t>
  </si>
  <si>
    <t>Акт входного контроля 000000522 от 21.06.2024 11:32:12</t>
  </si>
  <si>
    <t>Акт входного контроля 000000523 от 21.06.2024 16:40:23</t>
  </si>
  <si>
    <t>Акт входного контроля 000000524 от 21.06.2024 22:53:27</t>
  </si>
  <si>
    <t>Акт входного контроля 000000525 от 21.06.2024 19:32:03</t>
  </si>
  <si>
    <t>Акт входного контроля 000000526 от 21.06.2024 20:53:27</t>
  </si>
  <si>
    <t>Акт входного контроля 000000527 от 22.06.2024 16:51:30</t>
  </si>
  <si>
    <t>Акт входного контроля 000000528 от 24.06.2024 10:09:54</t>
  </si>
  <si>
    <t>Акт входного контроля 000000529 от 24.06.2024 19:06:50</t>
  </si>
  <si>
    <t>Акт входного контроля 000000530 от 24.06.2024 19:16:42</t>
  </si>
  <si>
    <t>Акт входного контроля 000000531 от 24.06.2024 19:30:40</t>
  </si>
  <si>
    <t>Акт входного контроля 000000532 от 24.06.2024 20:39:09</t>
  </si>
  <si>
    <t>Акт входного контроля 000000533 от 24.06.2024 21:44:38</t>
  </si>
  <si>
    <t>Акт входного контроля 000000534 от 25.06.2024 0:51:30</t>
  </si>
  <si>
    <t>Акт входного контроля 000000535 от 25.06.2024 9:36:32</t>
  </si>
  <si>
    <t>Акт входного контроля 000000536 от 25.06.2024 17:52:23</t>
  </si>
  <si>
    <t>Акт входного контроля 000000537 от 25.06.2024 16:27:50</t>
  </si>
  <si>
    <t>Акт входного контроля 000000538 от 25.06.2024 19:18:28</t>
  </si>
  <si>
    <t>Акт входного контроля 000000539 от 25.06.2024 19:56:34</t>
  </si>
  <si>
    <t>Акт входного контроля 000000540 от 25.06.2024 4:08:25</t>
  </si>
  <si>
    <t>Акт входного контроля 000000541 от 26.06.2024 4:14:36</t>
  </si>
  <si>
    <t>Акт входного контроля 000000542 от 26.06.2024 7:44:53</t>
  </si>
  <si>
    <t>Акт входного контроля 000000543 от 26.06.2024 9:36:06</t>
  </si>
  <si>
    <t>Акт входного контроля 000000544 от 26.06.2024 15:29:40</t>
  </si>
  <si>
    <t>Акт входного контроля 000000545 от 26.06.2024 18:10:42</t>
  </si>
  <si>
    <t>Акт входного контроля 000000546 от 26.06.2024 21:33:36</t>
  </si>
  <si>
    <t>Акт входного контроля 000000547 от 26.06.2024 23:58:10</t>
  </si>
  <si>
    <t>Акт входного контроля 000000548 от 27.06.2024 3:01:41</t>
  </si>
  <si>
    <t>Акт входного контроля 000000549 от 27.06.2024 4:49:38</t>
  </si>
  <si>
    <t>Акт входного контроля 000000550 от 27.06.2024 9:23:28</t>
  </si>
  <si>
    <t>Акт входного контроля 000000551 от 27.06.2024 11:02:42</t>
  </si>
  <si>
    <t>Акт входного контроля 000000552 от 27.06.2024 15:28:37</t>
  </si>
  <si>
    <t>Акт входного контроля 000000553 от 27.06.2024 15:50:24</t>
  </si>
  <si>
    <t>Акт входного контроля 000000554 от 27.06.2024 19:40:42</t>
  </si>
  <si>
    <t>Акт входного контроля 000000555 от 27.06.2024 21:41:01</t>
  </si>
  <si>
    <t>Акт входного контроля 000000556 от 27.06.2024 21:52:20</t>
  </si>
  <si>
    <t>Акт входного контроля 000000557 от 28.06.2024 3:10:34</t>
  </si>
  <si>
    <t>Акт входного контроля 000000558 от 28.06.2024 5:18:01</t>
  </si>
  <si>
    <t>Акт входного контроля 000000559 от 28.06.2024 9:58:34</t>
  </si>
  <si>
    <t>Акт входного контроля 000000560 от 28.06.2024 15:11:57</t>
  </si>
  <si>
    <t>Акт входного контроля 000000561 от 28.06.2024 20:06:03</t>
  </si>
  <si>
    <t>Акт входного контроля 000000562 от 28.06.2024 20:05:57</t>
  </si>
  <si>
    <t>Акт входного контроля 000000563 от 28.06.2024 20:11:48</t>
  </si>
  <si>
    <t>1/7,1</t>
  </si>
  <si>
    <t>1/1.1</t>
  </si>
  <si>
    <t>Аладин Василий Сергеевич</t>
  </si>
  <si>
    <t>Т110ТМ</t>
  </si>
  <si>
    <t>Лазаренко В.В</t>
  </si>
  <si>
    <t>Кириченко В.Н.</t>
  </si>
  <si>
    <t>А957РР</t>
  </si>
  <si>
    <t>2/3.5</t>
  </si>
  <si>
    <t>117522 Утилизация</t>
  </si>
  <si>
    <t>Колос г.Гулькевичи ООО</t>
  </si>
  <si>
    <t>3.4</t>
  </si>
  <si>
    <t>3.5</t>
  </si>
  <si>
    <t>Годлевский Олег Владимирович</t>
  </si>
  <si>
    <t>А613МА</t>
  </si>
  <si>
    <t>Баталов З.А.</t>
  </si>
  <si>
    <t>Т425ТХ</t>
  </si>
  <si>
    <t>Никитась С.А.</t>
  </si>
  <si>
    <t>Пугачев С.В.</t>
  </si>
  <si>
    <t>Кубаньагро-Фаста ООО</t>
  </si>
  <si>
    <t>9/2</t>
  </si>
  <si>
    <t>10.5</t>
  </si>
  <si>
    <t>4.3</t>
  </si>
  <si>
    <t>3.3</t>
  </si>
  <si>
    <t>2.1</t>
  </si>
  <si>
    <t>3.1</t>
  </si>
  <si>
    <t>1.3</t>
  </si>
  <si>
    <t>1.4</t>
  </si>
  <si>
    <t>Бутано</t>
  </si>
  <si>
    <t>Отход</t>
  </si>
  <si>
    <t>Отход %</t>
  </si>
  <si>
    <t>Месяц</t>
  </si>
  <si>
    <t>Число</t>
  </si>
  <si>
    <t>Названия столбцов</t>
  </si>
  <si>
    <t xml:space="preserve"> Вал. вес, т</t>
  </si>
  <si>
    <t xml:space="preserve"> Зач. вес, т</t>
  </si>
  <si>
    <t xml:space="preserve"> Отходы (вх контр), т</t>
  </si>
  <si>
    <t>учет</t>
  </si>
  <si>
    <t>Поступление горошка на завод по дням (без учета закупки) 2023-2025 гг.</t>
  </si>
  <si>
    <t>Средний валовый сбор горошка (без учета закупки) 2023-2025 гг.</t>
  </si>
  <si>
    <t xml:space="preserve"> Вес нетто, кг</t>
  </si>
  <si>
    <t>Валовый сбор, кг</t>
  </si>
  <si>
    <t>Количество дней уборки (по поступлению на завод)</t>
  </si>
  <si>
    <t>Средний валовый сбор в сутки, кг</t>
  </si>
  <si>
    <t>Регистратор</t>
  </si>
  <si>
    <t>Механизатор</t>
  </si>
  <si>
    <t>Техника</t>
  </si>
  <si>
    <t>Оборудование</t>
  </si>
  <si>
    <t>Вид работы</t>
  </si>
  <si>
    <t>Характеристика работы</t>
  </si>
  <si>
    <t>Тип затрат</t>
  </si>
  <si>
    <t>Аналитика расходов</t>
  </si>
  <si>
    <t>Гектаров</t>
  </si>
  <si>
    <t>Тонн</t>
  </si>
  <si>
    <t>Отработано дней</t>
  </si>
  <si>
    <t>Часов По факту</t>
  </si>
  <si>
    <t>Часов По норме</t>
  </si>
  <si>
    <t>Смен</t>
  </si>
  <si>
    <t>Основная з/п, руб</t>
  </si>
  <si>
    <t>Дополнительная з/п, руб</t>
  </si>
  <si>
    <t>Доплата за ночные часы</t>
  </si>
  <si>
    <t>Доплата за праздничные часы</t>
  </si>
  <si>
    <t>Доплата за вредность</t>
  </si>
  <si>
    <t>Итого з/п, руб</t>
  </si>
  <si>
    <t>Фактический расход ГСМ</t>
  </si>
  <si>
    <t>Нормативный расход ГСМ</t>
  </si>
  <si>
    <t>ПУЛ тракториста ТХЕР-001154 на 06.06.2024 08:00 - 18:00</t>
  </si>
  <si>
    <t>Амбарян Айк Суренович</t>
  </si>
  <si>
    <t>Комбайн горохоуборочный , Гос.№49-49</t>
  </si>
  <si>
    <t>Уборка овощного гороха</t>
  </si>
  <si>
    <t>&lt;характеристики не используются&gt;</t>
  </si>
  <si>
    <t>Горошек овощной (богара)</t>
  </si>
  <si>
    <t>Прямые затраты</t>
  </si>
  <si>
    <t>А-28, Горошек овощной (богара) 2024 г.</t>
  </si>
  <si>
    <t>ПУЛ тракториста ТХЕР-001058 на 18.05.2024 08:00 - 23.05 18:00</t>
  </si>
  <si>
    <t>Комбайн горохоуборочный , Гос.№16-18</t>
  </si>
  <si>
    <t>1/1.1 Учхоз Кубань</t>
  </si>
  <si>
    <t>Горошек овощной Учхоз-Кубань (богара)</t>
  </si>
  <si>
    <t>1/1.1 Учхоз Кубань, Горошек овощной Учхоз-Кубань (богара) Без характеристики 2024 г.</t>
  </si>
  <si>
    <t>ПУЛ тракториста ТХЕР-001059 на 18.05.2024 08:00 - 23.05 18:00</t>
  </si>
  <si>
    <t>Лебедь Василий Николаевич</t>
  </si>
  <si>
    <t>Комбайн горохоуборочный, Гос.№66-74</t>
  </si>
  <si>
    <t>1/7.1 Учхоз Кубань</t>
  </si>
  <si>
    <t>1/7.1 Учхоз Кубань, Горошек овощной Учхоз-Кубань (богара) Без характеристики 2024 г.</t>
  </si>
  <si>
    <t>2/3.5 Учхоз Кубань</t>
  </si>
  <si>
    <t>2/3.5 Учхоз Кубань, Горошек овощной Учхоз-Кубань (богара) Без характеристики 2024 г.</t>
  </si>
  <si>
    <t>ПУЛ тракториста ТХЕР-001227 на 18.06.2024 08:00 - 18:00</t>
  </si>
  <si>
    <t>9/2 КубаньХлеб</t>
  </si>
  <si>
    <t>Горошек овощной Кубань Хлеб (полив)</t>
  </si>
  <si>
    <t>9/2 КубаньХлеб, Горошек овощной Кубань Хлеб ООО (полив) Без характеристики 2024 г.</t>
  </si>
  <si>
    <t>ПУЛ тракториста ТХЕР-001156 на 03.06.2024 08:00 - 08.06 18:00</t>
  </si>
  <si>
    <t>А-33, Горошек овощной (богара) 2024 г.</t>
  </si>
  <si>
    <t>А-48/2</t>
  </si>
  <si>
    <t>А-48/2, Горошек овощной (богара) 2024 г.</t>
  </si>
  <si>
    <t>ПУЛ тракториста ТХЕР-001081 на 23.05.2024 19:00 - 30.05 18:00</t>
  </si>
  <si>
    <t>А-20/1</t>
  </si>
  <si>
    <t>А-20/1, Горошек овощной (богара) 2024 г.</t>
  </si>
  <si>
    <t>А-17/1</t>
  </si>
  <si>
    <t>А-17/1, Горошек овощной (богара) 2024 г.</t>
  </si>
  <si>
    <t>ПУЛ тракториста ТХЕР-000999 на 21.05.2024 08:00 - 31.05 20:00</t>
  </si>
  <si>
    <t>Мажаров Юрий Григорьевич</t>
  </si>
  <si>
    <t>Комбайн горохоуборочный , Гос.№60-56</t>
  </si>
  <si>
    <t>А-21/1</t>
  </si>
  <si>
    <t>А-21/1, Горошек овощной (богара) 2024 г.</t>
  </si>
  <si>
    <t>ПУЛ тракториста ТХЕР-001240 на 19.06.2024 08:00 - 18:00</t>
  </si>
  <si>
    <t>Комбайн горохоуборочный , Гос.№60-55</t>
  </si>
  <si>
    <t>ПУЛ тракториста ТХЕР-001152 на 04.06.2024 08:00 - 08.06 23:00</t>
  </si>
  <si>
    <t>Наконечный Александр Николаевич</t>
  </si>
  <si>
    <t>ПУЛ тракториста ТХЕР-001082 на 22.05.2024 19:00 - 30.05 18:00</t>
  </si>
  <si>
    <t>ПУЛ тракториста ТХЕР-001229 на 18.06.2024 08:00 - 18:00</t>
  </si>
  <si>
    <t>10/5 КубаньХлеб</t>
  </si>
  <si>
    <t>10/5 КубаньХлеб, Горошек овощной Кубань Хлеб (полив) 2024 г.</t>
  </si>
  <si>
    <t>ПУЛ тракториста ТХЕР-001001 на 18.05.2024 08:00 - 22.05 18:00</t>
  </si>
  <si>
    <t>ПУЛ тракториста ТХЕР-001155 на 03.06.2024 08:00 - 08.06 18:00</t>
  </si>
  <si>
    <t>Руденко Андрей Александрович</t>
  </si>
  <si>
    <t>ПУЛ тракториста ТХЕР-001083 на 23.05.2024 19:00 - 30.05 18:00</t>
  </si>
  <si>
    <t>ПУЛ тракториста ТХЕР-001228 на 18.06.2024 08:00 - 18:00</t>
  </si>
  <si>
    <t>Чалый Сергей Владимирович</t>
  </si>
  <si>
    <t>ПУЛ тракториста ТХЕР-001153 на 04.06.2024 08:00 - 06.06 20:00</t>
  </si>
  <si>
    <t>ПУЛ тракториста ТХЕР-001341 на 27.05.2025 08:00 - 31.05 18:00</t>
  </si>
  <si>
    <t>ПУЛ тракториста ТХЕР-001391 на 28.05.2025 08:00 - 23:00</t>
  </si>
  <si>
    <t>2/4 Учхоз Кубань</t>
  </si>
  <si>
    <t>ПУЛ тракториста ТХЕР-001392 на 07.06.2025 08:00 - 23:00</t>
  </si>
  <si>
    <t>1/81 Учхоз Кубань</t>
  </si>
  <si>
    <t>ПУЛ тракториста ТХЕР-001393 на 28.05.2025 08:00 - 18:00</t>
  </si>
  <si>
    <t>Борка Алексей Васильевич</t>
  </si>
  <si>
    <t>ПУЛ тракториста ТХЕР-001394 на 06.06.2025 08:00 - 23:00</t>
  </si>
  <si>
    <t>ПУЛ тракториста ТХЕР-001395 на 28.05.2025 08:00 - 18:00</t>
  </si>
  <si>
    <t>Ляшко Сергей Николаевич</t>
  </si>
  <si>
    <t>ПУЛ тракториста ТХЕР-001396 на 07.06.2025 08:00 - 23:00</t>
  </si>
  <si>
    <t>ПУЛ тракториста ТХЕР-001489 на 01.06.2025 08:00 - 10.06 23:00</t>
  </si>
  <si>
    <t>А-46/1</t>
  </si>
  <si>
    <t>А-66/1</t>
  </si>
  <si>
    <t>А-51/1</t>
  </si>
  <si>
    <t>А-57/5</t>
  </si>
  <si>
    <t>ПУЛ тракториста ТХЕР-001490 на 07.06.2025 08:00 - 10.06 23:00</t>
  </si>
  <si>
    <t>ПУЛ тракториста ТХЕР-001491 на 08.06.2025 08:00 - 10.06 23:00</t>
  </si>
  <si>
    <t>А-67/1</t>
  </si>
  <si>
    <t>ПУЛ тракториста ТХЕР-001492 на 08.06.2025 08:00 - 10.06 23:00</t>
  </si>
  <si>
    <t>ПУЛ тракториста ТХЕР-001493 на 01.06.2025 08:00 - 10.06 23:00</t>
  </si>
  <si>
    <t>А-54/4</t>
  </si>
  <si>
    <t>ПУЛ тракториста ТХЕР-001340 на 31.05.2025 08:00 - 23:00</t>
  </si>
  <si>
    <t>Тепляшин Семен Александрович</t>
  </si>
  <si>
    <t>ПУЛ тракториста ТХЕР-001339 на 29.05.2025 08:00 - 18:00</t>
  </si>
  <si>
    <t>ПУЛ тракториста ТХЕР-001528 на 20.06.2025 08:00 - 18:00</t>
  </si>
  <si>
    <t>ПУЛ тракториста ТХЕР-001606 на 11.06.2025 08:00 - 17.06 23:00</t>
  </si>
  <si>
    <t>40 Братковский</t>
  </si>
  <si>
    <t>41 Братковский</t>
  </si>
  <si>
    <t>50 Братковский</t>
  </si>
  <si>
    <t>ПУЛ тракториста ТХЕР-001607 на 11.06.2025 08:00 - 17.06 23:00</t>
  </si>
  <si>
    <t>ПУЛ тракториста ТХЕР-001608 на 11.06.2025 08:00 - 17.06 23:00</t>
  </si>
  <si>
    <t>ПУЛ тракториста ТХЕР-001609 на 11.06.2025 08:00 - 18.06 23:00</t>
  </si>
  <si>
    <t>Климов Дмитрий Владимирович</t>
  </si>
  <si>
    <t>ПУЛ тракториста ТХЕР-001629 на 18.06.2025 08:00 - 20.06 23:00</t>
  </si>
  <si>
    <t>16 Агролидер</t>
  </si>
  <si>
    <t>ПУЛ тракториста ТХЕР-001630 на 18.06.2025 08:00 - 20.06 23:00</t>
  </si>
  <si>
    <t>15 Агролидер</t>
  </si>
  <si>
    <t>ПУЛ тракториста ТХЕР-001631 на 18.06.2025 08:00 - 20.06 23:00</t>
  </si>
  <si>
    <t>ПУЛ тракториста ТХЕР-001632 на 11.06.2025 08:00 - 20.06 23:00</t>
  </si>
  <si>
    <t>14 Агролидер</t>
  </si>
  <si>
    <t>ПУЛ тракториста ТХЕР-001696 на 21.06.2025 08:00 - 30.06 23:00</t>
  </si>
  <si>
    <t>ПУЛ тракториста ТХЕР-001697 на 21.06.2025 08:00 - 23:00</t>
  </si>
  <si>
    <t>ПУЛ тракториста ТХЕР-001698 на 21.06.2025 08:00 - 23.06 23:00</t>
  </si>
  <si>
    <t>ПУЛ тракториста ТХЕР-001699 на 21.06.2025 08:00 - 23.06 23:00</t>
  </si>
  <si>
    <t>Горошек овощной (богара) собств. сем.</t>
  </si>
  <si>
    <t>А-44, Горошек овощной (богара) собств. сем. 2025 г.</t>
  </si>
  <si>
    <t>2/4 Учхоз Кубань, Горошек овощной Учхоз-Кубань (богара) 2025 г.</t>
  </si>
  <si>
    <t>1/81 Учхоз Кубань, Горошек овощной Учхоз-Кубань (богара) 2025 г.</t>
  </si>
  <si>
    <t>А-46/1, Горошек овощной (богара) собств. сем. 2025 г.</t>
  </si>
  <si>
    <t>А-66/1, Горошек овощной (богара) собств. сем. 2025 г.</t>
  </si>
  <si>
    <t>Горошек овощной (богара) демо</t>
  </si>
  <si>
    <t>А-51/1, Горошек овощной (богара) демо 2025 г.</t>
  </si>
  <si>
    <t>А-57/5, Горошек овощной (богара) 2025 г.</t>
  </si>
  <si>
    <t>А-87, Горошек овощной (богара) 2025 г.</t>
  </si>
  <si>
    <t>А-67/1, Горошек овощной (богара) 2025 г.</t>
  </si>
  <si>
    <t>А-66/1, Горошек овощной (богара) 2025 г.</t>
  </si>
  <si>
    <t>А-54/4, Горошек овощной (богара) 2025 г.</t>
  </si>
  <si>
    <t>А-51/1, Горошек овощной (богара) собств. сем. 2025 г.</t>
  </si>
  <si>
    <t>Горошек овощной Братковский (полив)</t>
  </si>
  <si>
    <t>40 Братковский, Горошек овощной Братковский (полив) 2025 г.</t>
  </si>
  <si>
    <t>41 Братковский, Горошек овощной Братковский (полив) 2025 г.</t>
  </si>
  <si>
    <t>50 Братковский, Горошек овощной Братковский (полив) 2025 г.</t>
  </si>
  <si>
    <t>Горошек овощной Агролидер (полив)</t>
  </si>
  <si>
    <t>16 Агролидер, Горошек овощной Агролидер (полив) 2025 г.</t>
  </si>
  <si>
    <t>15 Агролидер, Горошек овощной Агролидер (полив) 2025 г.</t>
  </si>
  <si>
    <t>14 Агролидер, Горошек овощной Агролидер (полив) 2025 г.</t>
  </si>
  <si>
    <t>ОПЕРАТИВНАЯ ИНФОРМАЦИЯ ПО СБОРУ ГОРОШКА (СЕЗОН 2026 г.)</t>
  </si>
  <si>
    <t xml:space="preserve">  - реализовано по документам отгрузки (зач вес)</t>
  </si>
  <si>
    <t>ГРК (полив)</t>
  </si>
  <si>
    <t xml:space="preserve">  Исполнение плана по валу, %</t>
  </si>
  <si>
    <t>Вытянуть номер из столбца A</t>
  </si>
  <si>
    <t>А-4/1</t>
  </si>
  <si>
    <t>Уборка гороха овощного в 2026 году на</t>
  </si>
  <si>
    <t>Входной контроль за 01.06.2026 - 30.06.2026 по показателям</t>
  </si>
  <si>
    <t>Показатели (В списке): Степень зрелости</t>
  </si>
  <si>
    <t>Горошек овощной 2026 (богара)</t>
  </si>
  <si>
    <t>Высший</t>
  </si>
  <si>
    <t>Акт входного контроля 000000020 от 03.06.2026 23:06:25</t>
  </si>
  <si>
    <t>Акт входного контроля 000000030 от 04.06.2026 17:59:39</t>
  </si>
  <si>
    <t>Акт входного контроля 000000022 от 04.06.2026 17:37:00</t>
  </si>
  <si>
    <t>Акт входного контроля 000000025 от 04.06.2026 17:46:09</t>
  </si>
  <si>
    <t>Акт входного контроля 000000017 от 03.06.2026 16:03:51</t>
  </si>
  <si>
    <t>Акт входного контроля 000000029 от 04.06.2026 17:57:09</t>
  </si>
  <si>
    <t>Акт входного контроля 000000024 от 04.06.2026 17:42:52</t>
  </si>
  <si>
    <t>Акт входного контроля 000000019 от 03.06.2026 21:13:14</t>
  </si>
  <si>
    <t>Акт входного контроля 000000014 от 03.06.2026 10:03:32</t>
  </si>
  <si>
    <t>Акт входного контроля 000000033 от 04.06.2026 18:12:57</t>
  </si>
  <si>
    <t>Акт входного контроля 000000023 от 04.06.2026 17:40:17</t>
  </si>
  <si>
    <t>Акт входного контроля 000000028 от 04.06.2026 17:54:15</t>
  </si>
  <si>
    <t>Акт входного контроля 000000026 от 04.06.2026 17:49:15</t>
  </si>
  <si>
    <t>Акт входного контроля 000000016 от 03.06.2026 14:58:01</t>
  </si>
  <si>
    <t>Акт входного контроля 000000021 от 03.06.2026 23:55:41</t>
  </si>
  <si>
    <t>Акт входного контроля 000000032 от 04.06.2026 18:04:52</t>
  </si>
  <si>
    <t>Акт входного контроля 000000027 от 04.06.2026 17:52:02</t>
  </si>
  <si>
    <t>Акт входного контроля 000000036 от 04.06.2026 19:52:03</t>
  </si>
  <si>
    <t>Акт входного контроля 000000018 от 03.06.2026 20:02:51</t>
  </si>
  <si>
    <t>Акт входного контроля 000000031 от 04.06.2026 18:02:17</t>
  </si>
  <si>
    <t>Акт входного контроля 000000034 от 04.06.2026 19:26:01</t>
  </si>
  <si>
    <t>Акт входного контроля 000000015 от 03.06.2026 13:58:27</t>
  </si>
  <si>
    <t>Акт входного контроля 000000035 от 04.06.2026 18:46:44</t>
  </si>
  <si>
    <t>ГРИН РЭЙ КУБАНЬ ООО</t>
  </si>
  <si>
    <t>А718ВХ</t>
  </si>
  <si>
    <t>А-4</t>
  </si>
  <si>
    <t>Осипов Александр Николаевич</t>
  </si>
  <si>
    <t>А-3</t>
  </si>
  <si>
    <t>Акт входного контроля 000000051 от 06.06.2026 18:18:59</t>
  </si>
  <si>
    <t>Акт входного контроля 000000052 от 06.06.2026 21:01:41</t>
  </si>
  <si>
    <t>Акт входного контроля 000000053 от 06.06.2026 21:38:07</t>
  </si>
  <si>
    <t>Акт входного контроля 000000054 от 06.06.2026 22:21:00</t>
  </si>
  <si>
    <t>Акт входного контроля 000000041 от 06.06.2026 22:43:38</t>
  </si>
  <si>
    <t>А-22/1</t>
  </si>
  <si>
    <t>Акт входного контроля 000000037 от 06.06.2026 22:45:56</t>
  </si>
  <si>
    <t>Акт входного контроля 000000042 от 06.06.2026 22:49:39</t>
  </si>
  <si>
    <t>Акт входного контроля 000000043 от 06.06.2026 22:52:49</t>
  </si>
  <si>
    <t>Акт входного контроля 000000044 от 06.06.2026 22:58:14</t>
  </si>
  <si>
    <t>Акт входного контроля 000000045 от 06.06.2026 23:00:18</t>
  </si>
  <si>
    <t>Акт входного контроля 000000046 от 06.06.2026 23:04:26</t>
  </si>
  <si>
    <t>Акт входного контроля 000000047 от 06.06.2026 23:06:34</t>
  </si>
  <si>
    <t>Акт входного контроля 000000048 от 06.06.2026 23:08:47</t>
  </si>
  <si>
    <t>Акт входного контроля 000000049 от 06.06.2026 23:11:10</t>
  </si>
  <si>
    <t>Акт входного контроля 000000039 от 06.06.2026 23:13:19</t>
  </si>
  <si>
    <t>Акт входного контроля 000000038 от 06.06.2026 23:15:22</t>
  </si>
  <si>
    <t>Акт входного контроля 000000040 от 06.06.2026 23:17:27</t>
  </si>
  <si>
    <t>Акт входного контроля 000000055 от 06.06.2026 23:21:51</t>
  </si>
  <si>
    <t>Акт входного контроля 000000058 от 07.06.2026 1:51:09</t>
  </si>
  <si>
    <t>Акт входного контроля 000000056 от 07.06.2026 5:15:22</t>
  </si>
  <si>
    <t>Акт входного контроля 000000057 от 07.06.2026 5:26:16</t>
  </si>
  <si>
    <t>Акт входного контроля 000000059 от 07.06.2026 10:03:01</t>
  </si>
  <si>
    <t>Акт входного контроля 000000060 от 07.06.2026 11:16:28</t>
  </si>
  <si>
    <t>Акт входного контроля 000000061 от 07.06.2026 11:35:05</t>
  </si>
  <si>
    <t>Акт входного контроля 000000062 от 07.06.2026 11:49:58</t>
  </si>
  <si>
    <t>Акт входного контроля 000000063 от 07.06.2026 12:39:47</t>
  </si>
  <si>
    <t>Акт входного контроля 000000064 от 07.06.2026 14:47:06</t>
  </si>
  <si>
    <t>Акт входного контроля 000000065 от 07.06.2026 16:23:34</t>
  </si>
  <si>
    <t>Акт входного контроля 000000066 от 07.06.2026 16:33:17</t>
  </si>
  <si>
    <t>Акт входного контроля 000000067 от 07.06.2026 17:07:55</t>
  </si>
  <si>
    <t>Акт входного контроля 000000068 от 07.06.2026 19:43:05</t>
  </si>
  <si>
    <t>Акт входного контроля 000000069 от 07.06.2026 20:09:12</t>
  </si>
  <si>
    <t>Акт входного контроля 000000070 от 07.06.2026 20:15:13</t>
  </si>
  <si>
    <t>Акт входного контроля 000000071 от 07.06.2026 21:30:12</t>
  </si>
  <si>
    <t>Акт входного контроля 000000072 от 07.06.2026 22:10:56</t>
  </si>
  <si>
    <t>Акт входного контроля 000000073 от 07.06.2026 22:27:40</t>
  </si>
  <si>
    <t>Акт входного контроля 000000075 от 07.06.2026 23:37:31</t>
  </si>
  <si>
    <t>Акт входного контроля 000000074 от 07.06.2026 23:52:42</t>
  </si>
  <si>
    <t>Акт входного контроля 000000076 от 08.06.2026 2:28:52</t>
  </si>
  <si>
    <t>Акт входного контроля 000000077 от 08.06.2026 3:33:17</t>
  </si>
  <si>
    <t>Акт входного контроля 000000078 от 08.06.2026 4:07:52</t>
  </si>
  <si>
    <t>Акт входного контроля 000000079 от 08.06.2026 5:50:44</t>
  </si>
  <si>
    <t>Акт входного контроля 000000080 от 08.06.2026 7:02:28</t>
  </si>
  <si>
    <t>Номер акта</t>
  </si>
  <si>
    <t>Структура посевных площадей</t>
  </si>
  <si>
    <t>Отбор:</t>
  </si>
  <si>
    <t>Год урожая Равно "2026 г." И
Участок не используется Равно "Нет"</t>
  </si>
  <si>
    <t>Площадь общая</t>
  </si>
  <si>
    <t>Подразделение</t>
  </si>
  <si>
    <t>2026 г.</t>
  </si>
  <si>
    <t>2. Растениеводство (20)</t>
  </si>
  <si>
    <t>Кукуруза на зерно</t>
  </si>
  <si>
    <t>А-102/1</t>
  </si>
  <si>
    <t>А-103/1</t>
  </si>
  <si>
    <t>А-108/3</t>
  </si>
  <si>
    <t>А-109/1</t>
  </si>
  <si>
    <t>А-11</t>
  </si>
  <si>
    <t>А-110/1</t>
  </si>
  <si>
    <t>А-68/1</t>
  </si>
  <si>
    <t>А-84/1</t>
  </si>
  <si>
    <t>Подсолнечник</t>
  </si>
  <si>
    <t>А-12</t>
  </si>
  <si>
    <t>А-18/1</t>
  </si>
  <si>
    <t>А-19/2</t>
  </si>
  <si>
    <t>А-32/1</t>
  </si>
  <si>
    <t>А-35/1</t>
  </si>
  <si>
    <t>А-36/1</t>
  </si>
  <si>
    <t>Подсолнечник (гибрид)</t>
  </si>
  <si>
    <t>А-107/1</t>
  </si>
  <si>
    <t>А-111/2</t>
  </si>
  <si>
    <t>А-87/11</t>
  </si>
  <si>
    <t>Пшеница озимая</t>
  </si>
  <si>
    <t>А-1/1</t>
  </si>
  <si>
    <t>А-100/4</t>
  </si>
  <si>
    <t>А-101/1</t>
  </si>
  <si>
    <t>А-101/2</t>
  </si>
  <si>
    <t>А-117/2</t>
  </si>
  <si>
    <t>А-118</t>
  </si>
  <si>
    <t>А-119/2</t>
  </si>
  <si>
    <t>А-120/2</t>
  </si>
  <si>
    <t>А-121/1</t>
  </si>
  <si>
    <t>А-122/2</t>
  </si>
  <si>
    <t>А-123/1</t>
  </si>
  <si>
    <t>А-124/2</t>
  </si>
  <si>
    <t>А-125/2</t>
  </si>
  <si>
    <t>А-126/1</t>
  </si>
  <si>
    <t>А-13</t>
  </si>
  <si>
    <t>А-14/1</t>
  </si>
  <si>
    <t>А-15/1</t>
  </si>
  <si>
    <t>А-16/1</t>
  </si>
  <si>
    <t>А-2/1</t>
  </si>
  <si>
    <t>А-27</t>
  </si>
  <si>
    <t>А-31</t>
  </si>
  <si>
    <t>А-37/3</t>
  </si>
  <si>
    <t>А-39/3</t>
  </si>
  <si>
    <t>А-43/3</t>
  </si>
  <si>
    <t>А-49/1</t>
  </si>
  <si>
    <t>А-52/1</t>
  </si>
  <si>
    <t>А-53/4</t>
  </si>
  <si>
    <t>А-55/5</t>
  </si>
  <si>
    <t>А-56/3</t>
  </si>
  <si>
    <t>А-58/5</t>
  </si>
  <si>
    <t>А-59/1</t>
  </si>
  <si>
    <t>А-6/1</t>
  </si>
  <si>
    <t>А-62/1</t>
  </si>
  <si>
    <t>А-63/1</t>
  </si>
  <si>
    <t>А-64/1</t>
  </si>
  <si>
    <t>А-65/1</t>
  </si>
  <si>
    <t>А-66/2</t>
  </si>
  <si>
    <t>А-7</t>
  </si>
  <si>
    <t>А-75</t>
  </si>
  <si>
    <t>А-78/4</t>
  </si>
  <si>
    <t>А-85</t>
  </si>
  <si>
    <t>А-86/4</t>
  </si>
  <si>
    <t>А-87/4</t>
  </si>
  <si>
    <t>А-89/1</t>
  </si>
  <si>
    <t>А-96</t>
  </si>
  <si>
    <t>А-98/1</t>
  </si>
  <si>
    <t>А-99/1</t>
  </si>
  <si>
    <t>Рапс озимый</t>
  </si>
  <si>
    <t>А-56/1</t>
  </si>
  <si>
    <t>4. Овощеводство (20)</t>
  </si>
  <si>
    <t>А-104/1</t>
  </si>
  <si>
    <t>А-105/1</t>
  </si>
  <si>
    <t>А-111/1</t>
  </si>
  <si>
    <t>А-112/1</t>
  </si>
  <si>
    <t>А-114</t>
  </si>
  <si>
    <t>А-115/1</t>
  </si>
  <si>
    <t>А-116/1</t>
  </si>
  <si>
    <t>А-23</t>
  </si>
  <si>
    <t>А-24/1</t>
  </si>
  <si>
    <t>А-38</t>
  </si>
  <si>
    <t>А-5/1</t>
  </si>
  <si>
    <t>А-76/3</t>
  </si>
  <si>
    <t>А-76/5</t>
  </si>
  <si>
    <t>А-83/1</t>
  </si>
  <si>
    <t>А-83/2</t>
  </si>
  <si>
    <t>Горошек овощной (полив)</t>
  </si>
  <si>
    <t>А-108/7</t>
  </si>
  <si>
    <t>А-112/2</t>
  </si>
  <si>
    <t>А-113/1</t>
  </si>
  <si>
    <t>А-79</t>
  </si>
  <si>
    <t>А-81/1</t>
  </si>
  <si>
    <t>А-82/1</t>
  </si>
  <si>
    <t>12 Агролидер</t>
  </si>
  <si>
    <t>17 Агролидер</t>
  </si>
  <si>
    <t>18 Агролидер</t>
  </si>
  <si>
    <t>Горошек овощной Колос ООО (полив)</t>
  </si>
  <si>
    <t>1.6 Колос</t>
  </si>
  <si>
    <t>1.7 Колос</t>
  </si>
  <si>
    <t>2.2 Колос</t>
  </si>
  <si>
    <t>3.1 Колос</t>
  </si>
  <si>
    <t>3.3 Колос</t>
  </si>
  <si>
    <t>3.6 Колос</t>
  </si>
  <si>
    <t>Кукуруза сахарная</t>
  </si>
  <si>
    <t>А-106/1</t>
  </si>
  <si>
    <t>А-112/2 (2 сев)</t>
  </si>
  <si>
    <t>А-54 (2 сев)</t>
  </si>
  <si>
    <t>А-54/4 (2 сев)</t>
  </si>
  <si>
    <t>А-81/1 (2 сев)</t>
  </si>
  <si>
    <t>А-82/1 (2 сев)</t>
  </si>
  <si>
    <t>Кукуруза сахарная Агролидер</t>
  </si>
  <si>
    <t>14/1 Агролидер</t>
  </si>
  <si>
    <t>15/1 Агролидер</t>
  </si>
  <si>
    <t>16/1 Агролидер</t>
  </si>
  <si>
    <t>17/1 Агролидер</t>
  </si>
  <si>
    <t>Кукуруза сахарная Колос ООО</t>
  </si>
  <si>
    <t>1.3 Колос</t>
  </si>
  <si>
    <t>1.4 Колос</t>
  </si>
  <si>
    <t>2.1 Колос</t>
  </si>
  <si>
    <t>Семена гороха ( п.е.)</t>
  </si>
  <si>
    <t>Женева 100 т.с.</t>
  </si>
  <si>
    <t>Семена гороха овощного протравленные</t>
  </si>
  <si>
    <t>Тристар 100 тыс.с (лот D0021 15 T25-3033ST)</t>
  </si>
  <si>
    <t>Семена гороха овощного протравленные (кг)</t>
  </si>
  <si>
    <t>Патриот ЭС</t>
  </si>
  <si>
    <t>Авола 100 тыс.с (лот D0021 15 K25-6011ST)</t>
  </si>
  <si>
    <t>Авола 100 тыс.с (лот D0021 15 K25-6012ST)</t>
  </si>
  <si>
    <t>Авола 100 тыс.с (лот Kl1038104)</t>
  </si>
  <si>
    <t>Тристар 100 тыс.с (лот ES1038103)</t>
  </si>
  <si>
    <t>Фаворит 100 т.с.(партия Н-Х/4402)</t>
  </si>
  <si>
    <t>Фаворит 100 т.с.(партия Н-Х/5126)</t>
  </si>
  <si>
    <t>Фаворит 100 т.с.(партия Н-Х/5128)</t>
  </si>
  <si>
    <t>Увертюра 100 000</t>
  </si>
  <si>
    <t>Тиара 100 т.с.(партия Н-Х/5120)</t>
  </si>
  <si>
    <t>Фаворит 100 т.с.(партия Н-Х/5121)</t>
  </si>
  <si>
    <t>Тиара 100 т.с.(партия Н-Х/5116)</t>
  </si>
  <si>
    <t>Тиара 100 т.с.(партия Н-Х/5119)</t>
  </si>
  <si>
    <t>Акт входного контроля 000000081 от 08.06.2026 10:42:45</t>
  </si>
  <si>
    <t>Акт входного контроля 000000082 от 08.06.2026 10:45:50</t>
  </si>
  <si>
    <t>Акт входного контроля 000000083 от 08.06.2026 10:48:36</t>
  </si>
  <si>
    <t>Акт входного контроля 000000084 от 08.06.2026 10:53:11</t>
  </si>
  <si>
    <t>Акт входного контроля 000000085 от 08.06.2026 11:43:20</t>
  </si>
  <si>
    <t>Акт входного контроля 000000086 от 08.06.2026 13:56:23</t>
  </si>
  <si>
    <t>Акт входного контроля 000000087 от 08.06.2026 14:07:35</t>
  </si>
  <si>
    <t>Акт входного контроля 000000088 от 08.06.2026 14:15:38</t>
  </si>
  <si>
    <t>Акт входного контроля 000000089 от 08.06.2026 16:33:42</t>
  </si>
  <si>
    <t>Акт входного контроля 000000090 от 08.06.2026 18:01:13</t>
  </si>
  <si>
    <t>Акт входного контроля 000000091 от 08.06.2026 19:02:16</t>
  </si>
  <si>
    <t>Акт входного контроля 000000095 от 08.06.2026 21:04:23</t>
  </si>
  <si>
    <t>Акт входного контроля 000000096 от 08.06.2026 22:00:41</t>
  </si>
  <si>
    <t>Акт входного контроля 000000092 от 08.06.2026 22:44:17</t>
  </si>
  <si>
    <t>Акт входного контроля 000000093 от 08.06.2026 23:38:04</t>
  </si>
  <si>
    <t>Акт входного контроля 000000094 от 08.06.2026 23:57:47</t>
  </si>
  <si>
    <t>Акт входного контроля 000000097 от 09.06.2026 3:27:48</t>
  </si>
  <si>
    <t>Акт входного контроля 000000098 от 09.06.2026 4:55:34</t>
  </si>
  <si>
    <t>Акт входного контроля 000000099 от 09.06.2026 5:04:34</t>
  </si>
  <si>
    <t>Акт входного контроля 000000100 от 09.06.2026 7:23:03</t>
  </si>
  <si>
    <t>протянуть формулу на след день</t>
  </si>
  <si>
    <t>Акт входного контроля 000000111 от 09.06.2026 18:36:34</t>
  </si>
  <si>
    <t>Акт входного контроля 000000103 от 09.06.2026 12:09:54</t>
  </si>
  <si>
    <t>Акт входного контроля 000000102 от 09.06.2026 12:07:31</t>
  </si>
  <si>
    <t>Акт входного контроля 000000114 от 09.06.2026 21:36:40</t>
  </si>
  <si>
    <t>Акт входного контроля 000000105 от 09.06.2026 15:54:34</t>
  </si>
  <si>
    <t>Акт входного контроля 000000106 от 09.06.2026 14:14:36</t>
  </si>
  <si>
    <t>Акт входного контроля 000000101 от 09.06.2026 12:00:42</t>
  </si>
  <si>
    <t>Акт входного контроля 000000121 от 10.06.2026 8:08:30</t>
  </si>
  <si>
    <t>Акт входного контроля 000000109 от 09.06.2026 15:58:10</t>
  </si>
  <si>
    <t>Акт входного контроля 000000112 от 09.06.2026 20:10:27</t>
  </si>
  <si>
    <t>Акт входного контроля 000000110 от 09.06.2026 18:31:29</t>
  </si>
  <si>
    <t>Акт входного контроля 000000107 от 09.06.2026 14:16:56</t>
  </si>
  <si>
    <t>Акт входного контроля 000000108 от 09.06.2026 15:07:46</t>
  </si>
  <si>
    <t>Акт входного контроля 000000122 от 10.06.2026 8:11:11</t>
  </si>
  <si>
    <t>Акт входного контроля 000000104 от 09.06.2026 12:16:34</t>
  </si>
  <si>
    <t>А-22</t>
  </si>
  <si>
    <t>Рудик Александр Иванович</t>
  </si>
  <si>
    <t>А309АТ</t>
  </si>
  <si>
    <t>Акт входного контроля 000000113 от 09.06.2026 17:58:29</t>
  </si>
  <si>
    <t>Акт входного контроля 000000115 от 09.06.2026 20:44:19</t>
  </si>
  <si>
    <t>Акт входного контроля 000000116 от 09.06.2026 21:48:23</t>
  </si>
  <si>
    <t>Акт входного контроля 000000117 от 09.06.2026 22:11:25</t>
  </si>
  <si>
    <t>Акт входного контроля 000000118 от 09.06.2026 22:55:55</t>
  </si>
  <si>
    <t>Баранов Николай Александрович</t>
  </si>
  <si>
    <t>Алтадуков Заур Баталбиевич</t>
  </si>
  <si>
    <t>Кулинич Евгений Владимирович</t>
  </si>
  <si>
    <t>ТПК ЮЖНЫЙ ПРОДУКТ ООО</t>
  </si>
  <si>
    <t>ГРАНД-СТАР ООО</t>
  </si>
  <si>
    <t>Акт входного контроля 000000128 от 10.06.2026 14:22:31</t>
  </si>
  <si>
    <t>Акт входного контроля 000000123 от 10.06.2026 14:10:50</t>
  </si>
  <si>
    <t>Акт входного контроля 000000142 от 11.06.2026 5:07:25</t>
  </si>
  <si>
    <t>Акт входного контроля 000000126 от 10.06.2026 14:16:42</t>
  </si>
  <si>
    <t>Акт входного контроля 000000125 от 10.06.2026 14:14:55</t>
  </si>
  <si>
    <t>Акт входного контроля 000000133 от 10.06.2026 18:45:11</t>
  </si>
  <si>
    <t>Акт входного контроля 000000127 от 10.06.2026 14:20:06</t>
  </si>
  <si>
    <t>Акт входного контроля 000000132 от 10.06.2026 18:42:20</t>
  </si>
  <si>
    <t>Акт входного контроля 000000136 от 10.06.2026 22:40:31</t>
  </si>
  <si>
    <t>Акт входного контроля 000000124 от 10.06.2026 14:13:00</t>
  </si>
  <si>
    <t>Акт входного контроля 000000135 от 10.06.2026 21:38:45</t>
  </si>
  <si>
    <t>Акт входного контроля 000000140 от 11.06.2026 2:15:46</t>
  </si>
  <si>
    <t>Акт входного контроля 000000119 от 10.06.2026 14:17:41</t>
  </si>
  <si>
    <t>Акт входного контроля 000000137 от 10.06.2026 23:28:05</t>
  </si>
  <si>
    <t>Акт входного контроля 000000143 от 11.06.2026 5:11:57</t>
  </si>
  <si>
    <t>Акт входного контроля 000000138 от 10.06.2026 22:01:01</t>
  </si>
  <si>
    <t>Акт входного контроля 000000134 от 10.06.2026 19:58:18</t>
  </si>
  <si>
    <t>Акт входного контроля 000000139 от 11.06.2026 1:36:20</t>
  </si>
  <si>
    <t>Акт входного контроля 000000120 от 10.06.2026 14:18:09</t>
  </si>
  <si>
    <t>Акт входного контроля 000000130 от 10.06.2026 17:17:52</t>
  </si>
  <si>
    <t>Акт входного контроля 000000141 от 11.06.2026 3:51:21</t>
  </si>
  <si>
    <t>Акт входного контроля 000000144 от 11.06.2026 7:52:24</t>
  </si>
  <si>
    <t>Акт входного контроля 000000131 от 10.06.2026 17:19:58</t>
  </si>
  <si>
    <t>Первый</t>
  </si>
  <si>
    <t>Акт входного контроля 000000129 от 10.06.2026 15:29:51</t>
  </si>
  <si>
    <t>А-112</t>
  </si>
  <si>
    <t>Кучеренко К А</t>
  </si>
  <si>
    <t>Шаповалов Олег Анатольевич</t>
  </si>
  <si>
    <t>Безменов Александр Борисович</t>
  </si>
  <si>
    <t>Пищевик ООО</t>
  </si>
  <si>
    <t>Акт входного контроля 000000150 от 11.06.2026 13:09:42</t>
  </si>
  <si>
    <t>А-5</t>
  </si>
  <si>
    <t>Акт входного контроля 000000145 от 11.06.2026 13:56:03</t>
  </si>
  <si>
    <t>Акт входного контроля 000000146 от 11.06.2026 13:59:46</t>
  </si>
  <si>
    <t>Акт входного контроля 000000147 от 11.06.2026 14:02:18</t>
  </si>
  <si>
    <t>Акт входного контроля 000000148 от 11.06.2026 14:08:05</t>
  </si>
  <si>
    <t>Акт входного контроля 000000149 от 11.06.2026 14:10:13</t>
  </si>
  <si>
    <t>Акт входного контроля 000000153 от 11.06.2026 15:59:34</t>
  </si>
  <si>
    <t>Акт входного контроля 000000151 от 11.06.2026 16:37:32</t>
  </si>
  <si>
    <t>Акт входного контроля 000000152 от 11.06.2026 18:18:02</t>
  </si>
  <si>
    <t>Акт входного контроля 000000156 от 11.06.2026 21:26:14</t>
  </si>
  <si>
    <t>А-24</t>
  </si>
  <si>
    <t>Акт входного контроля 000000157 от 11.06.2026 21:48:40</t>
  </si>
  <si>
    <t>Акт входного контроля 000000155 от 11.06.2026 22:20:42</t>
  </si>
  <si>
    <t>Акт входного контроля 000000154 от 11.06.2026 22:43:16</t>
  </si>
  <si>
    <t>Акт входного контроля 000000158 от 11.06.2026 23:14:18</t>
  </si>
  <si>
    <t>Акт входного контроля 000000159 от 12.06.2026 0:03:56</t>
  </si>
  <si>
    <t>Акт входного контроля 000000160 от 12.06.2026 0:30:55</t>
  </si>
  <si>
    <t>Акт входного контроля 000000161 от 12.06.2026 1:30:46</t>
  </si>
  <si>
    <t>Акт входного контроля 000000162 от 12.06.2026 2:10:19</t>
  </si>
  <si>
    <t>Акт входного контроля 000000163 от 12.06.2026 2:57:56</t>
  </si>
  <si>
    <t>Акт входного контроля 000000164 от 12.06.2026 7:50:56</t>
  </si>
  <si>
    <t>Акт входного контроля 000000165 от 12.06.2026 9:58:34</t>
  </si>
  <si>
    <t>Акт входного контроля 000000166 от 12.06.2026 10:21:46</t>
  </si>
  <si>
    <t>Акт входного контроля 000000167 от 12.06.2026 10:27:13</t>
  </si>
  <si>
    <t>Акт входного контроля 000000168 от 12.06.2026 12:08:46</t>
  </si>
  <si>
    <t>Акт входного контроля 000000169 от 12.06.2026 12:36:14</t>
  </si>
  <si>
    <t>Акт входного контроля 000000170 от 12.06.2026 13:25:02</t>
  </si>
  <si>
    <t>Акт входного контроля 000000171 от 12.06.2026 15:49:51</t>
  </si>
  <si>
    <t>Акт входного контроля 000000172 от 12.06.2026 15:57:19</t>
  </si>
  <si>
    <t>Акт входного контроля 000000173 от 12.06.2026 17:54:28</t>
  </si>
  <si>
    <t>Акт входного контроля 000000174 от 12.06.2026 18:00:08</t>
  </si>
  <si>
    <t>Акт входного контроля 000000175 от 12.06.2026 19:56:24</t>
  </si>
  <si>
    <t>Акт входного контроля 000000176 от 12.06.2026 22:07:04</t>
  </si>
  <si>
    <t>Акт входного контроля 000000180 от 12.06.2026 22:10:18</t>
  </si>
  <si>
    <t>Акт входного контроля 000000181 от 12.06.2026 22:14:14</t>
  </si>
  <si>
    <t>Второй</t>
  </si>
  <si>
    <t>Акт входного контроля 000000177 от 12.06.2026 23:08:52</t>
  </si>
  <si>
    <t>Акт входного контроля 000000178 от 12.06.2026 23:13:05</t>
  </si>
  <si>
    <t>Акт входного контроля 000000182 от 12.06.2026 23:15:08</t>
  </si>
  <si>
    <t>Акт входного контроля 000000179 от 12.06.2026 23:55:28</t>
  </si>
  <si>
    <t>Акт входного контроля 000000183 от 12.06.2026 23:58:10</t>
  </si>
  <si>
    <t>Акт входного контроля 000000186 от 13.06.2026 2:42:55</t>
  </si>
  <si>
    <t>Акт входного контроля 000000187 от 13.06.2026 4:03:46</t>
  </si>
  <si>
    <t>Акт входного контроля 000000184 от 13.06.2026 4:48:48</t>
  </si>
  <si>
    <t>Акт входного контроля 000000188 от 13.06.2026 5:05:13</t>
  </si>
  <si>
    <t>Акт входного контроля 000000185 от 13.06.2026 6:48:26</t>
  </si>
  <si>
    <t>Акт входного контроля 000000189 от 13.06.2026 9:04:14</t>
  </si>
  <si>
    <t>Акт входного контроля 000000190 от 13.06.2026 9:50:34</t>
  </si>
  <si>
    <t>Акт входного контроля 000000192 от 13.06.2026 10:28:00</t>
  </si>
  <si>
    <t>Акт входного контроля 000000191 от 13.06.2026 10:49:43</t>
  </si>
  <si>
    <t>Акт входного контроля 000000193 от 13.06.2026 11:59:55</t>
  </si>
  <si>
    <t>Акт входного контроля 000000194 от 13.06.2026 14:04:38</t>
  </si>
  <si>
    <t>Акт входного контроля 000000195 от 13.06.2026 14:45:49</t>
  </si>
  <si>
    <t>Акт входного контроля 000000196 от 13.06.2026 20:17:27</t>
  </si>
  <si>
    <t>Акт входного контроля 000000197 от 13.06.2026 20:32:46</t>
  </si>
  <si>
    <t>Акт входного контроля 000000198 от 13.06.2026 20:39:34</t>
  </si>
  <si>
    <t>Акт входного контроля 000000199 от 13.06.2026 20:47:33</t>
  </si>
  <si>
    <t>Акт входного контроля 000000200 от 13.06.2026 21:08:32</t>
  </si>
  <si>
    <t>Акт входного контроля 000000203 от 13.06.2026 21:12:40</t>
  </si>
  <si>
    <t>Акт входного контроля 000000201 от 13.06.2026 22:42:08</t>
  </si>
  <si>
    <t>Акт входного контроля 000000202 от 13.06.2026 22:45:37</t>
  </si>
  <si>
    <t>Акт входного контроля 000000208 от 14.06.2026 10:46:35</t>
  </si>
  <si>
    <t>А-105</t>
  </si>
  <si>
    <t>Акт входного контроля 000000204 от 14.06.2026 11:42:44</t>
  </si>
  <si>
    <t>Акт входного контроля 000000205 от 14.06.2026 11:45:23</t>
  </si>
  <si>
    <t>У801СТ</t>
  </si>
  <si>
    <t>Акт входного контроля 000000206 от 14.06.2026 11:47:19</t>
  </si>
  <si>
    <t>Акт входного контроля 000000207 от 14.06.2026 11:49:07</t>
  </si>
  <si>
    <t>Акт входного контроля 000000209 от 14.06.2026 13:58:29</t>
  </si>
  <si>
    <t>Акт входного контроля 000000210 от 14.06.2026 16:48:03</t>
  </si>
  <si>
    <t>Акт входного контроля 000000211 от 14.06.2026 16:53:47</t>
  </si>
  <si>
    <t>Акт входного контроля 000000212 от 14.06.2026 16:59:19</t>
  </si>
  <si>
    <t>Акт входного контроля 000000213 от 14.06.2026 17:39:46</t>
  </si>
  <si>
    <t>Акт входного контроля 000000214 от 14.06.2026 18:10:19</t>
  </si>
  <si>
    <t>Акт входного контроля 000000215 от 14.06.2026 18:55:31</t>
  </si>
  <si>
    <t>Акт входного контроля 000000216 от 14.06.2026 20:25:13</t>
  </si>
  <si>
    <t>Акт входного контроля 000000217 от 14.06.2026 21:12:42</t>
  </si>
  <si>
    <t>Акт входного контроля 000000218 от 14.06.2026 21:54:58</t>
  </si>
  <si>
    <t>Акт входного контроля 000000219 от 14.06.2026 22:27:09</t>
  </si>
  <si>
    <t>А-83</t>
  </si>
  <si>
    <t>Акт входного контроля 000000220 от 14.06.2026 23:02:21</t>
  </si>
  <si>
    <t>Акт входного контроля 000000221 от 14.06.2026 23:42:47</t>
  </si>
  <si>
    <t>Акт входного контроля 000000222 от 15.06.2026 0:17:22</t>
  </si>
  <si>
    <t>Акт входного контроля 000000223 от 15.06.2026 1:35:35</t>
  </si>
  <si>
    <t>Акт входного контроля 000000224 от 15.06.2026 2:31:58</t>
  </si>
  <si>
    <t>Акт входного контроля 000000225 от 15.06.2026 3:54:32</t>
  </si>
  <si>
    <t>Акт входного контроля 000000226 от 15.06.2026 8:39:42</t>
  </si>
  <si>
    <t>Акт входного контроля 000000227 от 15.06.2026 9:59:27</t>
  </si>
  <si>
    <t>Акт входного контроля 000000229 от 15.06.2026 10:46:13</t>
  </si>
  <si>
    <t>Акт входного контроля 000000230 от 15.06.2026 12:04:22</t>
  </si>
  <si>
    <t>Славянский консервный комбинат</t>
  </si>
  <si>
    <t>Володин Евгений Сергеевич</t>
  </si>
  <si>
    <t>Милахин Андрей Юрьевич</t>
  </si>
  <si>
    <t>Станкевич Сергей Алексеевич</t>
  </si>
  <si>
    <t>Акт входного контроля 000000246 от 16.06.2026 4:31:23</t>
  </si>
  <si>
    <t>Акт входного контроля 000000235 от 15.06.2026 18:00:49</t>
  </si>
  <si>
    <t>Акт входного контроля 000000236 от 15.06.2026 21:54:34</t>
  </si>
  <si>
    <t>Акт входного контроля 000000248 от 16.06.2026 7:22:10</t>
  </si>
  <si>
    <t>Акт входного контроля 000000238 от 15.06.2026 23:09:21</t>
  </si>
  <si>
    <t>Акт входного контроля 000000245 от 16.06.2026 3:18:35</t>
  </si>
  <si>
    <t>Акт входного контроля 000000231 от 15.06.2026 13:43:25</t>
  </si>
  <si>
    <t>Акт входного контроля 000000228 от 15.06.2026 12:40:59</t>
  </si>
  <si>
    <t>Акт входного контроля 000000244 от 16.06.2026 2:49:36</t>
  </si>
  <si>
    <t>Акт входного контроля 000000243 от 15.06.2026 23:22:01</t>
  </si>
  <si>
    <t>Акт входного контроля 000000247 от 16.06.2026 5:43:35</t>
  </si>
  <si>
    <t>Акт входного контроля 000000240 от 15.06.2026 23:50:03</t>
  </si>
  <si>
    <t>Акт входного контроля 000000233 от 15.06.2026 14:44:16</t>
  </si>
  <si>
    <t>Акт входного контроля 000000232 от 15.06.2026 13:49:23</t>
  </si>
  <si>
    <t>Акт входного контроля 000000237 от 15.06.2026 22:02:22</t>
  </si>
  <si>
    <t>Акт входного контроля 000000234 от 15.06.2026 15:34:59</t>
  </si>
  <si>
    <t>Акт входного контроля 000000239 от 15.06.2026 23:17:34</t>
  </si>
  <si>
    <t>Акт входного контроля 000000242 от 15.06.2026 22:34:42</t>
  </si>
  <si>
    <t>Акт входного контроля 000000241 от 15.06.2026 22:16:06</t>
  </si>
  <si>
    <t>Хар-ка вспом</t>
  </si>
  <si>
    <t>Акт входного контроля 000000253 от 16.06.2026 11:30:52</t>
  </si>
  <si>
    <t>Акт входного контроля 000000254 от 16.06.2026 12:11:01</t>
  </si>
  <si>
    <t>Акт входного контроля 000000251 от 16.06.2026 12:56:07</t>
  </si>
  <si>
    <t>Акт входного контроля 000000252 от 16.06.2026 12:57:22</t>
  </si>
  <si>
    <t>Акт входного контроля 000000249 от 16.06.2026 12:58:25</t>
  </si>
  <si>
    <t>Акт входного контроля 000000250 от 16.06.2026 12:59:11</t>
  </si>
  <si>
    <t>Акт входного контроля 000000255 от 16.06.2026 18:32:45</t>
  </si>
  <si>
    <t>Акт входного контроля 000000256 от 16.06.2026 18:39:48</t>
  </si>
  <si>
    <t>Акт входного контроля 000000257 от 16.06.2026 18:47:40</t>
  </si>
  <si>
    <t>Акт входного контроля 000000258 от 16.06.2026 19:00:54</t>
  </si>
  <si>
    <t>Акт входного контроля 000000259 от 16.06.2026 19:35:50</t>
  </si>
  <si>
    <t>Акт входного контроля 000000263 от 16.06.2026 19:47:53</t>
  </si>
  <si>
    <t>Акт входного контроля 000000260 от 16.06.2026 20:53:36</t>
  </si>
  <si>
    <t>Акт входного контроля 000000264 от 16.06.2026 21:07:15</t>
  </si>
  <si>
    <t>Акт входного контроля 000000261 от 16.06.2026 22:53:05</t>
  </si>
  <si>
    <t>Акт входного контроля 000000262 от 16.06.2026 23:21:38</t>
  </si>
  <si>
    <t>Акт входного контроля 000000265 от 16.06.2026 23:51:56</t>
  </si>
  <si>
    <t>Акт входного контроля 000000266 от 17.06.2026 4:02:43</t>
  </si>
  <si>
    <t>Акт входного контроля 000000267 от 17.06.2026 5:09:55</t>
  </si>
  <si>
    <t>Акт входного контроля 000000268 от 17.06.2026 8:02:23</t>
  </si>
  <si>
    <t>Акт входного контроля 000000269 от 17.06.2026 9:01:06</t>
  </si>
  <si>
    <t>Акт входного контроля 000000273 от 17.06.2026 10:59:40</t>
  </si>
  <si>
    <t>Акт входного контроля 000000275 от 17.06.2026 13:00:41</t>
  </si>
  <si>
    <t>Горошек овощной 2026 (полив)</t>
  </si>
  <si>
    <t>ГРК (полив) Итог</t>
  </si>
  <si>
    <t>Рудик АИ</t>
  </si>
  <si>
    <t>В841АН</t>
  </si>
  <si>
    <t>Х474КЕ</t>
  </si>
  <si>
    <t>К475ВМ</t>
  </si>
  <si>
    <t>М351СК</t>
  </si>
  <si>
    <t>А268ОХ</t>
  </si>
  <si>
    <t>М540АС</t>
  </si>
  <si>
    <t>Н300УМ</t>
  </si>
  <si>
    <t>Акт входного контроля 000000278 от 15.06.2026 15:21:45</t>
  </si>
  <si>
    <t>Акт входного контроля 000000311 от 18.06.2026 12:05:46</t>
  </si>
  <si>
    <t>Акт входного контроля 000000328 от 18.06.2026 21:30:37</t>
  </si>
  <si>
    <t>Акт входного контроля 000000297 от 17.06.2026 21:40:11</t>
  </si>
  <si>
    <t>Акт входного контроля 000000331 от 18.06.2026 23:17:18</t>
  </si>
  <si>
    <t>Акт входного контроля 000000322 от 18.06.2026 19:30:59</t>
  </si>
  <si>
    <t>Акт входного контроля 000000313 от 18.06.2026 12:13:37</t>
  </si>
  <si>
    <t>Акт входного контроля 000000296 от 17.06.2026 20:11:32</t>
  </si>
  <si>
    <t>Акт входного контроля 000000334 от 19.06.2026 5:20:47</t>
  </si>
  <si>
    <t>Акт входного контроля 000000319 от 18.06.2026 18:51:29</t>
  </si>
  <si>
    <t>Акт входного контроля 000000325 от 18.06.2026 22:28:36</t>
  </si>
  <si>
    <t>Акт входного контроля 000000320 от 18.06.2026 18:53:24</t>
  </si>
  <si>
    <t>Акт входного контроля 000000302 от 18.06.2026 3:41:03</t>
  </si>
  <si>
    <t>Акт входного контроля 000000323 от 18.06.2026 19:34:31</t>
  </si>
  <si>
    <t>Акт входного контроля 000000295 от 17.06.2026 19:30:06</t>
  </si>
  <si>
    <t>Акт входного контроля 000000309 от 18.06.2026 12:02:25</t>
  </si>
  <si>
    <t>Акт входного контроля 000000316 от 18.06.2026 13:41:59</t>
  </si>
  <si>
    <t>Акт входного контроля 000000304 от 18.06.2026 5:58:32</t>
  </si>
  <si>
    <t>Акт входного контроля 000000292 от 17.06.2026 19:57:38</t>
  </si>
  <si>
    <t>Акт входного контроля 000000298 от 17.06.2026 22:30:48</t>
  </si>
  <si>
    <t>Акт входного контроля 000000317 от 18.06.2026 13:43:59</t>
  </si>
  <si>
    <t>Акт входного контроля 000000330 от 18.06.2026 23:05:24</t>
  </si>
  <si>
    <t>Акт входного контроля 000000301 от 18.06.2026 3:38:08</t>
  </si>
  <si>
    <t>Акт входного контроля 000000327 от 18.06.2026 23:14:06</t>
  </si>
  <si>
    <t>Акт входного контроля 000000332 от 19.06.2026 4:12:40</t>
  </si>
  <si>
    <t>Акт входного контроля 000000336 от 19.06.2026 8:03:49</t>
  </si>
  <si>
    <t>Акт входного контроля 000000300 от 17.06.2026 23:36:49</t>
  </si>
  <si>
    <t>Акт входного контроля 000000337 от 19.06.2026 8:08:06</t>
  </si>
  <si>
    <t>Акт входного контроля 000000312 от 18.06.2026 12:09:30</t>
  </si>
  <si>
    <t>Акт входного контроля 000000290 от 17.06.2026 18:44:47</t>
  </si>
  <si>
    <t>Акт входного контроля 000000338 от 19.06.2026 10:23:34</t>
  </si>
  <si>
    <t>Акт входного контроля 000000279 от 16.06.2026 16:19:28</t>
  </si>
  <si>
    <t>Акт входного контроля 000000289 от 17.06.2026 18:21:34</t>
  </si>
  <si>
    <t>Акт входного контроля 000000333 от 19.06.2026 5:14:46</t>
  </si>
  <si>
    <t>Акт входного контроля 000000335 от 19.06.2026 6:28:02</t>
  </si>
  <si>
    <t>Акт входного контроля 000000326 от 18.06.2026 22:58:16</t>
  </si>
  <si>
    <t>Акт входного контроля 000000321 от 18.06.2026 19:28:24</t>
  </si>
  <si>
    <t>Акт входного контроля 000000329 от 18.06.2026 22:18:52</t>
  </si>
  <si>
    <t>Акт входного контроля 000000294 от 17.06.2026 21:13:25</t>
  </si>
  <si>
    <t>Акт входного контроля 000000303 от 18.06.2026 5:55:07</t>
  </si>
  <si>
    <t>Акт входного контроля 000000291 от 17.06.2026 18:54:45</t>
  </si>
  <si>
    <t>Акт входного контроля 000000339 от 19.06.2026 10:27:44</t>
  </si>
  <si>
    <t>Акт входного контроля 000000308 от 18.06.2026 11:57:25</t>
  </si>
  <si>
    <t>Акт входного контроля 000000324 от 18.06.2026 21:58:55</t>
  </si>
  <si>
    <t>Акт входного контроля 000000293 от 17.06.2026 20:36:43</t>
  </si>
  <si>
    <t>Акт входного контроля 000000318 от 18.06.2026 18:48:48</t>
  </si>
  <si>
    <t>Акт входного контроля 000000299 от 17.06.2026 23:14:48</t>
  </si>
  <si>
    <t>Акт входного контроля 000000277 от 17.06.2026 13:18:13</t>
  </si>
  <si>
    <t>Акт входного контроля 000000285 от 17.06.2026 15:06:12</t>
  </si>
  <si>
    <t>Акт входного контроля 000000283 от 17.06.2026 14:36:01</t>
  </si>
  <si>
    <t>Акт входного контроля 000000343 от 19.06.2026 19:35:36</t>
  </si>
  <si>
    <t>Акт входного контроля 000000344 от 19.06.2026 20:41:43</t>
  </si>
  <si>
    <t>Акт входного контроля 000000346 от 19.06.2026 22:33:12</t>
  </si>
  <si>
    <t>Акт входного контроля 000000403 от 23.06.2026 4:04:37</t>
  </si>
  <si>
    <t>Акт входного контроля 000000368 от 21.06.2026 21:26:34</t>
  </si>
  <si>
    <t>Акт входного контроля 000000408 от 23.06.2026 10:53:25</t>
  </si>
  <si>
    <t>Акт входного контроля 000000401 от 23.06.2026 3:44:34</t>
  </si>
  <si>
    <t>Акт входного контроля 000000387 от 22.06.2026 13:43:40</t>
  </si>
  <si>
    <t>Акт входного контроля 000000391 от 22.06.2026 16:55:15</t>
  </si>
  <si>
    <t>Акт входного контроля 000000411 от 23.06.2026 15:23:35</t>
  </si>
  <si>
    <t>Акт входного контроля 000000397 от 22.06.2026 23:41:04</t>
  </si>
  <si>
    <t>Акт входного контроля 000000359 от 21.06.2026 18:22:34</t>
  </si>
  <si>
    <t>Акт входного контроля 000000361 от 21.06.2026 18:26:23</t>
  </si>
  <si>
    <t>Акт входного контроля 000000414 от 23.06.2026 16:33:25</t>
  </si>
  <si>
    <t>Акт входного контроля 000000366 от 21.06.2026 19:10:24</t>
  </si>
  <si>
    <t>Акт входного контроля 000000396 от 22.06.2026 21:59:13</t>
  </si>
  <si>
    <t>Акт входного контроля 000000358 от 21.06.2026 11:34:23</t>
  </si>
  <si>
    <t>Акт входного контроля 000000392 от 22.06.2026 17:19:21</t>
  </si>
  <si>
    <t>Акт входного контроля 000000379 от 22.06.2026 4:43:19</t>
  </si>
  <si>
    <t>Акт входного контроля 000000370 от 21.06.2026 22:27:09</t>
  </si>
  <si>
    <t>Акт входного контроля 000000348 от 20.06.2026 18:37:52</t>
  </si>
  <si>
    <t>Акт входного контроля 000000375 от 22.06.2026 1:29:28</t>
  </si>
  <si>
    <t>Акт входного контроля 000000365 от 21.06.2026 19:08:31</t>
  </si>
  <si>
    <t>Акт входного контроля 000000363 от 21.06.2026 19:00:59</t>
  </si>
  <si>
    <t>Акт входного контроля 000000372 от 21.06.2026 23:42:22</t>
  </si>
  <si>
    <t>Акт входного контроля 000000385 от 22.06.2026 13:11:54</t>
  </si>
  <si>
    <t>Акт входного контроля 000000376 от 22.06.2026 2:41:29</t>
  </si>
  <si>
    <t>Акт входного контроля 000000373 от 21.06.2026 23:45:06</t>
  </si>
  <si>
    <t>Акт входного контроля 000000381 от 22.06.2026 6:02:24</t>
  </si>
  <si>
    <t>Горошек овощной 2026 Агролидер (полив)</t>
  </si>
  <si>
    <t>Акт входного контроля 000000374 от 22.06.2026 1:27:20</t>
  </si>
  <si>
    <t>Акт входного контроля 000000390 от 22.06.2026 15:56:35</t>
  </si>
  <si>
    <t>Акт входного контроля 000000378 от 22.06.2026 4:41:01</t>
  </si>
  <si>
    <t>Акт входного контроля 000000360 от 21.06.2026 18:24:47</t>
  </si>
  <si>
    <t>Акт входного контроля 000000352 от 21.06.2026 3:29:43</t>
  </si>
  <si>
    <t>Акт входного контроля 000000349 от 20.06.2026 21:23:38</t>
  </si>
  <si>
    <t>Акт входного контроля 000000380 от 22.06.2026 4:57:23</t>
  </si>
  <si>
    <t>Акт входного контроля 000000347 от 19.06.2026 22:59:38</t>
  </si>
  <si>
    <t>Акт входного контроля 000000354 от 20.06.2026 21:08:10</t>
  </si>
  <si>
    <t>Акт входного контроля 000000410 от 23.06.2026 15:16:10</t>
  </si>
  <si>
    <t>Акт входного контроля 000000371 от 21.06.2026 22:35:13</t>
  </si>
  <si>
    <t>Акт входного контроля 000000412 от 23.06.2026 15:45:02</t>
  </si>
  <si>
    <t>Акт входного контроля 000000413 от 23.06.2026 16:22:19</t>
  </si>
  <si>
    <t>Акт входного контроля 000000388 от 22.06.2026 13:56:38</t>
  </si>
  <si>
    <t>Акт входного контроля 000000351 от 21.06.2026 2:37:18</t>
  </si>
  <si>
    <t>Акт входного контроля 000000362 от 21.06.2026 18:58:55</t>
  </si>
  <si>
    <t>Акт входного контроля 000000398 от 22.06.2026 23:51:42</t>
  </si>
  <si>
    <t>Акт входного контроля 000000399 от 22.06.2026 23:11:28</t>
  </si>
  <si>
    <t>Акт входного контроля 000000350 от 20.06.2026 23:47:21</t>
  </si>
  <si>
    <t>Акт входного контроля 000000382 от 22.06.2026 8:43:56</t>
  </si>
  <si>
    <t>Акт входного контроля 000000395 от 22.06.2026 21:47:49</t>
  </si>
  <si>
    <t>Акт входного контроля 000000356 от 21.06.2026 10:09:01</t>
  </si>
  <si>
    <t>Акт входного контроля 000000386 от 22.06.2026 13:37:47</t>
  </si>
  <si>
    <t>Акт входного контроля 000000355 от 21.06.2026 10:04:04</t>
  </si>
  <si>
    <t>Акт входного контроля 000000353 от 21.06.2026 4:31:29</t>
  </si>
  <si>
    <t>Акт входного контроля 000000406 от 23.06.2026 8:52:26</t>
  </si>
  <si>
    <t>Акт входного контроля 000000345 от 19.06.2026 23:39:28</t>
  </si>
  <si>
    <t>Акт входного контроля 000000364 от 21.06.2026 19:04:11</t>
  </si>
  <si>
    <t>Акт входного контроля 000000377 от 22.06.2026 2:44:20</t>
  </si>
  <si>
    <t>Акт входного контроля 000000407 от 23.06.2026 10:04:04</t>
  </si>
  <si>
    <t>Акт входного контроля 000000357 от 21.06.2026 11:31:33</t>
  </si>
  <si>
    <t>Акт входного контроля 000000383 от 22.06.2026 8:54:41</t>
  </si>
  <si>
    <t>Акт входного контроля 000000409 от 23.06.2026 11:43:01</t>
  </si>
  <si>
    <t>Акт входного контроля 000000384 от 22.06.2026 10:58:02</t>
  </si>
  <si>
    <t>Акт входного контроля 000000394 от 22.06.2026 19:36:17</t>
  </si>
  <si>
    <t>Акт входного контроля 000000405 от 23.06.2026 6:12:22</t>
  </si>
  <si>
    <t>Акт входного контроля 000000389 от 22.06.2026 14:49:13</t>
  </si>
  <si>
    <t>Акт входного контроля 000000400 от 23.06.2026 3:35:03</t>
  </si>
  <si>
    <t>Акт входного контроля 000000404 от 23.06.2026 5:13:38</t>
  </si>
  <si>
    <t>Акт входного контроля 000000393 от 22.06.2026 18:12:36</t>
  </si>
  <si>
    <t>Акт входного контроля 000000402 от 23.06.2026 3:54:19</t>
  </si>
  <si>
    <t>Акт входного контроля 000000369 от 21.06.2026 21:30:04</t>
  </si>
  <si>
    <t>Акт входного контроля 000000367 от 21.06.2026 20:25:56</t>
  </si>
  <si>
    <t>Акт входного контроля 000000272 от 09.06.2026 12:59:53</t>
  </si>
  <si>
    <t>165/2</t>
  </si>
  <si>
    <t>Акт входного контроля 000000271 от 09.06.2026 21:21:48</t>
  </si>
  <si>
    <t>177/4</t>
  </si>
  <si>
    <t>176/3</t>
  </si>
  <si>
    <t>Акт входного контроля 000000274 от 10.06.2026 12:13:16</t>
  </si>
  <si>
    <t>194/5</t>
  </si>
  <si>
    <t>Акт входного контроля 000000276 от 10.06.2026 12:14:43</t>
  </si>
  <si>
    <t>195/6</t>
  </si>
  <si>
    <t>Акт входного контроля 000000280 от 10.06.2026 15:08:39</t>
  </si>
  <si>
    <t>200/7</t>
  </si>
  <si>
    <t>Акт входного контроля 000000281 от 10.06.2026 17:29:20</t>
  </si>
  <si>
    <t>203/8</t>
  </si>
  <si>
    <t>Акт входного контроля 000000287 от 10.06.2026 18:12:05</t>
  </si>
  <si>
    <t>205/9</t>
  </si>
  <si>
    <t>Акт входного контроля 000000288 от 10.06.2026 22:25:09</t>
  </si>
  <si>
    <t>213/10</t>
  </si>
  <si>
    <t>Акт входного контроля 000000305 от 11.06.2026 0:01:23</t>
  </si>
  <si>
    <t>214/11</t>
  </si>
  <si>
    <t>Акт входного контроля 000000306 от 11.06.2026 0:06:03</t>
  </si>
  <si>
    <t>215/12</t>
  </si>
  <si>
    <t>Акт входного контроля 000000284 от 11.06.2026 0:22:55</t>
  </si>
  <si>
    <t>217/15</t>
  </si>
  <si>
    <t>Акт входного контроля 000000307 от 11.06.2026 9:09:53</t>
  </si>
  <si>
    <t>225/14</t>
  </si>
  <si>
    <t>Акт входного контроля 000000286 от 11.06.2026 16:23:16</t>
  </si>
  <si>
    <t>241/16</t>
  </si>
  <si>
    <t>207/13</t>
  </si>
  <si>
    <t>Акт входного контроля 000000314 от 12.06.2026 13:44:57</t>
  </si>
  <si>
    <t>264/17</t>
  </si>
  <si>
    <t>Акт входного контроля 000000315 от 12.06.2026 18:11:09</t>
  </si>
  <si>
    <t>269/18</t>
  </si>
  <si>
    <t>Акт входного контроля 000000310 от 13.06.2026 0:07:12</t>
  </si>
  <si>
    <t>277/19</t>
  </si>
  <si>
    <t>Акт входного контроля 000000340 от 13.06.2026 9:24:41</t>
  </si>
  <si>
    <t>285/20</t>
  </si>
  <si>
    <t>Акт входного контроля 000000341 от 13.06.2026 12:20:53</t>
  </si>
  <si>
    <t>292/21</t>
  </si>
  <si>
    <t>Т911ТХ</t>
  </si>
  <si>
    <t>Акт входного контроля 000000342 от 13.06.2026 17:20:40</t>
  </si>
  <si>
    <t>298/22</t>
  </si>
  <si>
    <t>Н591УХ</t>
  </si>
  <si>
    <t>А-115</t>
  </si>
  <si>
    <t>АГРОЛИДЕР ООО</t>
  </si>
  <si>
    <t>Чернецов Александр</t>
  </si>
  <si>
    <t>В577ЕТ</t>
  </si>
  <si>
    <t>Ушаков С Е.</t>
  </si>
  <si>
    <t>О212РТ</t>
  </si>
  <si>
    <t>Акт входного контроля 000000415 от 23.06.2026 17:17:31</t>
  </si>
  <si>
    <t>40-52</t>
  </si>
  <si>
    <t>до 40</t>
  </si>
  <si>
    <t>64-66</t>
  </si>
  <si>
    <t>Семена горчицы</t>
  </si>
  <si>
    <t>Без характеристики</t>
  </si>
  <si>
    <t>Стандана 6 000 000</t>
  </si>
  <si>
    <t>Тристар 100 тыс.с (лот LE1038105)</t>
  </si>
  <si>
    <t>Тристар 100 тыс.с (лот D0021 15 T25-3034ST)</t>
  </si>
  <si>
    <t>Тристар 100 тыс.с (лот D0021 15 T25-3032ST)</t>
  </si>
  <si>
    <t>Тристар 100 тыс.с (лот D0021 15 T25-3035ST)</t>
  </si>
  <si>
    <t>Фаворит 100 т.с.(партия Н-Х/5125)</t>
  </si>
  <si>
    <t>Фаворит 100 т.с.(партия Н-Х/5130)</t>
  </si>
  <si>
    <t>Беркут ЭС</t>
  </si>
  <si>
    <t>Площадь поля</t>
  </si>
  <si>
    <t>Площадь внесения</t>
  </si>
  <si>
    <t>ГРК (богара) Итог</t>
  </si>
  <si>
    <t>Агролидер (полив) Итог</t>
  </si>
  <si>
    <t>Колос (полив) Итог</t>
  </si>
  <si>
    <t>сев</t>
  </si>
  <si>
    <t>уборка</t>
  </si>
  <si>
    <t>Акт входного контроля 000000416 от 23.06.2026 18:26:45</t>
  </si>
  <si>
    <t>Акт входного контроля 000000417 от 23.06.2026 19:37:46</t>
  </si>
  <si>
    <t>Акт входного контроля 000000418 от 23.06.2026 20:31:19</t>
  </si>
  <si>
    <t>Акт входного контроля 000000419 от 23.06.2026 21:29:33</t>
  </si>
  <si>
    <t>Акт входного контроля 000000420 от 23.06.2026 22:19:51</t>
  </si>
  <si>
    <t>Акт входного контроля 000000421 от 23.06.2026 22:40:00</t>
  </si>
  <si>
    <t>Акт входного контроля 000000422 от 23.06.2026 23:34:47</t>
  </si>
  <si>
    <t>Акт входного контроля 000000423 от 23.06.2026 23:38:54</t>
  </si>
  <si>
    <t>Акт входного контроля 000000424 от 24.06.2026 0:45:21</t>
  </si>
  <si>
    <t>Акт входного контроля 000000426 от 24.06.2026 2:05:19</t>
  </si>
  <si>
    <t>Акт входного контроля 000000425 от 24.06.2026 2:31:31</t>
  </si>
  <si>
    <t>Акт входного контроля 000000427 от 24.06.2026 4:49:03</t>
  </si>
  <si>
    <t>Акт входного контроля 000000428 от 24.06.2026 4:59:16</t>
  </si>
  <si>
    <t>Акт входного контроля 000000429 от 24.06.2026 5:22:51</t>
  </si>
  <si>
    <t>Акт входного контроля 000000430 от 24.06.2026 8:59:24</t>
  </si>
  <si>
    <t>Акт входного контроля 000000431 от 24.06.2026 9:04:14</t>
  </si>
  <si>
    <t>Акт входного контроля 000000432 от 24.06.2026 9:16:21</t>
  </si>
  <si>
    <t>Акт входного контроля 000000438 от 24.06.2026 14:50:47</t>
  </si>
  <si>
    <t>Акт входного контроля 000000435 от 24.06.2026 14:10:45</t>
  </si>
  <si>
    <t>Акт входного контроля 000000437 от 24.06.2026 14:41:18</t>
  </si>
  <si>
    <t>Акт входного контроля 000000433 от 24.06.2026 11:37:42</t>
  </si>
  <si>
    <t>Акт входного контроля 000000436 от 24.06.2026 14:38:36</t>
  </si>
  <si>
    <t>Акт входного контроля 000000434 от 24.06.2026 14:07:58</t>
  </si>
  <si>
    <t>Панченко О.М.</t>
  </si>
  <si>
    <t>О791СР</t>
  </si>
  <si>
    <t>Акт входного контроля 000000439 от 24.06.2026 17:33:14</t>
  </si>
  <si>
    <t>Акт входного контроля 000000440 от 24.06.2026 17:40:09</t>
  </si>
  <si>
    <t>Акт входного контроля 000000441 от 24.06.2026 18:49:15</t>
  </si>
  <si>
    <t>Акт входного контроля 000000442 от 24.06.2026 22:30:43</t>
  </si>
  <si>
    <t>Акт входного контроля 000000443 от 24.06.2026 22:37:18</t>
  </si>
  <si>
    <t>Акт входного контроля 000000447 от 24.06.2026 22:38:45</t>
  </si>
  <si>
    <t>Акт входного контроля 000000444 от 24.06.2026 23:13:12</t>
  </si>
  <si>
    <t>Акт входного контроля 000000445 от 24.06.2026 23:22:17</t>
  </si>
  <si>
    <t>Акт входного контроля 000000446 от 24.06.2026 23:28:29</t>
  </si>
  <si>
    <t>Акт входного контроля 000000448 от 25.06.2026 1:17:58</t>
  </si>
  <si>
    <t>Акт входного контроля 000000449 от 25.06.2026 2:16:48</t>
  </si>
  <si>
    <t>Акт входного контроля 000000450 от 25.06.2026 4:16:35</t>
  </si>
  <si>
    <t>Акт входного контроля 000000451 от 25.06.2026 7:18:21</t>
  </si>
  <si>
    <t>Акт входного контроля 000000456 от 25.06.2026 7:33:28</t>
  </si>
  <si>
    <t>Акт входного контроля 000000452 от 25.06.2026 8:35:41</t>
  </si>
  <si>
    <t>Акт входного контроля 000000453 от 25.06.2026 9:14:16</t>
  </si>
  <si>
    <t>Акт входного контроля 000000454 от 25.06.2026 10:27:10</t>
  </si>
  <si>
    <t>Акт входного контроля 000000455 от 25.06.2026 10:38:54</t>
  </si>
  <si>
    <t>остаток</t>
  </si>
  <si>
    <t>166/1</t>
  </si>
  <si>
    <t>А-81</t>
  </si>
  <si>
    <t>Ушаков С.Е.</t>
  </si>
  <si>
    <t>А731ВА 123</t>
  </si>
  <si>
    <t>КОЛОС ООО</t>
  </si>
  <si>
    <t>Акт входного контроля 000000461 от 25.06.2026 15:21:10</t>
  </si>
  <si>
    <t>Акт входного контроля 000000471 от 26.06.2026 15:45:57</t>
  </si>
  <si>
    <t>Акт входного контроля 000000459 от 25.06.2026 12:16:56</t>
  </si>
  <si>
    <t>Акт входного контроля 000000463 от 25.06.2026 16:29:50</t>
  </si>
  <si>
    <t>Акт входного контроля 000000466 от 25.06.2026 20:19:42</t>
  </si>
  <si>
    <t>Акт входного контроля 000000468 от 25.06.2026 22:30:24</t>
  </si>
  <si>
    <t>Акт входного контроля 000000477 от 26.06.2026 16:33:11</t>
  </si>
  <si>
    <t>Акт входного контроля 000000480 от 26.06.2026 16:49:46</t>
  </si>
  <si>
    <t>Акт входного контроля 000000457 от 25.06.2026 9:56:22</t>
  </si>
  <si>
    <t>Акт входного контроля 000000473 от 26.06.2026 15:54:34</t>
  </si>
  <si>
    <t>Акт входного контроля 000000474 от 26.06.2026 16:05:46</t>
  </si>
  <si>
    <t>Акт входного контроля 000000460 от 25.06.2026 13:07:08</t>
  </si>
  <si>
    <t>Акт входного контроля 000000458 от 25.06.2026 10:55:32</t>
  </si>
  <si>
    <t>Акт входного контроля 000000478 от 26.06.2026 16:36:17</t>
  </si>
  <si>
    <t>Акт входного контроля 000000464 от 25.06.2026 17:12:31</t>
  </si>
  <si>
    <t>Акт входного контроля 000000472 от 26.06.2026 15:47:52</t>
  </si>
  <si>
    <t>Акт входного контроля 000000476 от 26.06.2026 16:09:59</t>
  </si>
  <si>
    <t>Акт входного контроля 000000465 от 25.06.2026 19:10:48</t>
  </si>
  <si>
    <t>Акт входного контроля 000000462 от 25.06.2026 15:01:56</t>
  </si>
  <si>
    <t>Горошек овощной 2026 Колос ООО (полив)</t>
  </si>
  <si>
    <t>Акт входного контроля 000000469 от 25.06.2026 22:56:11</t>
  </si>
  <si>
    <t>Акт входного контроля 000000467 от 25.06.2026 20:46:19</t>
  </si>
  <si>
    <t>Акт входного контроля 000000470 от 26.06.2026 15:43:46</t>
  </si>
  <si>
    <t>Акт входного контроля 000000479 от 26.06.2026 16:42:41</t>
  </si>
  <si>
    <t>Акт входного контроля 000000475 от 26.06.2026 16:08:09</t>
  </si>
  <si>
    <t>Емец</t>
  </si>
  <si>
    <t>Сорт/Поле/Дата уборки</t>
  </si>
  <si>
    <t xml:space="preserve"> Валовый сбор, т</t>
  </si>
  <si>
    <t>Степень зрелости (финометр), %</t>
  </si>
  <si>
    <t>Сорт "Авола"</t>
  </si>
  <si>
    <t>Валовый сбор, тонны</t>
  </si>
  <si>
    <t>Урожайность вал.вес, т/га</t>
  </si>
  <si>
    <t>Степень зрелости, %</t>
  </si>
  <si>
    <t>Среднее значение финометра, %</t>
  </si>
  <si>
    <t>Сорт "Женева"</t>
  </si>
  <si>
    <t>Сорт "Патриот"</t>
  </si>
  <si>
    <t>Сорт "Тиара"</t>
  </si>
  <si>
    <t>Сорт "Тристар"</t>
  </si>
  <si>
    <t>Сорт "Увертюра"</t>
  </si>
  <si>
    <t>Сорт "Фаворит"</t>
  </si>
  <si>
    <t xml:space="preserve"> Урожайность вал.вес, т/га</t>
  </si>
  <si>
    <t>Акт входного контроля 000000270 от 09.06.2026 21:13:10</t>
  </si>
  <si>
    <t>Акт входного контроля 000000282 от 10.06.2026 19:19:01</t>
  </si>
  <si>
    <t>Акт входного контроля 000000487 от 26.06.2026 17:25:13</t>
  </si>
  <si>
    <t>А-104</t>
  </si>
  <si>
    <t>Акт входного контроля 000000488 от 26.06.2026 17:30:18</t>
  </si>
  <si>
    <t>Акт входного контроля 000000489 от 26.06.2026 20:18:22</t>
  </si>
  <si>
    <t>Акт входного контроля 000000490 от 26.06.2026 20:28:24</t>
  </si>
  <si>
    <t>Акт входного контроля 000000526 от 26.06.2026 18:33:13</t>
  </si>
  <si>
    <t>Акт входного контроля 000000491 от 26.06.2026 23:31:48</t>
  </si>
  <si>
    <t>Акт входного контроля 000000492 от 26.06.2026 20:36:48</t>
  </si>
  <si>
    <t>Акт входного контроля 000000494 от 27.06.2026 7:51:18</t>
  </si>
  <si>
    <t>Акт входного контроля 000000495 от 27.06.2026 7:55:20</t>
  </si>
  <si>
    <t>0212РТ</t>
  </si>
  <si>
    <t>Акт входного контроля 000000496 от 27.06.2026 7:58:43</t>
  </si>
  <si>
    <t>Акт входного контроля 000000497 от 27.06.2026 11:36:26</t>
  </si>
  <si>
    <t>Акт входного контроля 000000498 от 27.06.2026 14:44:57</t>
  </si>
  <si>
    <t>Акт входного контроля 000000515 от 29.06.2026 3:03:29</t>
  </si>
  <si>
    <t>Акт входного контроля 000000516 от 29.06.2026 4:11:06</t>
  </si>
  <si>
    <t>Акт входного контроля 000000517 от 29.06.2026 4:59:42</t>
  </si>
  <si>
    <t>Акт входного контроля 000000518 от 29.06.2026 7:39:11</t>
  </si>
  <si>
    <t>Акт входного контроля 000000519 от 29.06.2026 8:12:44</t>
  </si>
  <si>
    <t>Акт входного контроля 000000521 от 29.06.2026 10:09:27</t>
  </si>
  <si>
    <t>Акт входного контроля 000000520 от 29.06.2026 9:57:36</t>
  </si>
  <si>
    <t>Акт входного контроля 000000522 от 29.06.2026 9:02:06</t>
  </si>
  <si>
    <t>Акт входного контроля 000000523 от 29.06.2026 16:11:56</t>
  </si>
  <si>
    <t>Акт входного контроля 000000524 от 29.06.2026 16:18:07</t>
  </si>
  <si>
    <t>Акт входного контроля 000000525 от 29.06.2026 16:24:19</t>
  </si>
  <si>
    <t>Акт входного контроля 000000527 от 29.06.2026 17:41:53</t>
  </si>
  <si>
    <t>Акт входного контроля 000000528 от 29.06.2026 20:18:20</t>
  </si>
  <si>
    <t>Акт входного контроля 000000529 от 29.06.2026 20:20:42</t>
  </si>
  <si>
    <t>Акт входного контроля 000000545 от 30.06.2026 13:10:01</t>
  </si>
  <si>
    <t>Акт входного контроля 000000547 от 30.06.2026 14:36:43</t>
  </si>
  <si>
    <t>Акт входного контроля 000000549 от 30.06.2026 16:31:19</t>
  </si>
  <si>
    <t>Акт входного контроля 000000548 от 30.06.2026 15:09:15</t>
  </si>
  <si>
    <t>Акт входного контроля 000000551 от 30.06.2026 17:34:49</t>
  </si>
  <si>
    <t>Акт входного контроля 000000481 от 26.06.2026 16:51:47</t>
  </si>
  <si>
    <t>Акт входного контроля 000000482 от 26.06.2026 16:54:05</t>
  </si>
  <si>
    <t>Акт входного контроля 000000483 от 26.06.2026 17:03:38</t>
  </si>
  <si>
    <t>Акт входного контроля 000000484 от 26.06.2026 17:06:56</t>
  </si>
  <si>
    <t>Акт входного контроля 000000485 от 26.06.2026 17:09:57</t>
  </si>
  <si>
    <t>Акт входного контроля 000000486 от 26.06.2026 17:21:04</t>
  </si>
  <si>
    <t>Акт входного контроля 000000499 от 27.06.2026 15:55:41</t>
  </si>
  <si>
    <t>Акт входного контроля 000000500 от 27.06.2026 20:21:54</t>
  </si>
  <si>
    <t>Акт входного контроля 000000501 от 27.06.2026 23:32:23</t>
  </si>
  <si>
    <t>Акт входного контроля 000000502 от 28.06.2026 1:41:02</t>
  </si>
  <si>
    <t>Акт входного контроля 000000503 от 28.06.2026 3:54:48</t>
  </si>
  <si>
    <t>Акт входного контроля 000000504 от 28.06.2026 6:18:12</t>
  </si>
  <si>
    <t>Акт входного контроля 000000505 от 28.06.2026 10:54:22</t>
  </si>
  <si>
    <t>Акт входного контроля 000000506 от 28.06.2026 10:56:33</t>
  </si>
  <si>
    <t>Акт входного контроля 000000507 от 28.06.2026 16:39:22</t>
  </si>
  <si>
    <t>Акт входного контроля 000000508 от 28.06.2026 19:07:34</t>
  </si>
  <si>
    <t>Акт входного контроля 000000509 от 28.06.2026 21:28:03</t>
  </si>
  <si>
    <t>Акт входного контроля 000000510 от 28.06.2026 21:34:52</t>
  </si>
  <si>
    <t>Акт входного контроля 000000511 от 28.06.2026 23:17:04</t>
  </si>
  <si>
    <t>Акт входного контроля 000000512 от 28.06.2026 23:32:09</t>
  </si>
  <si>
    <t>Акт входного контроля 000000513 от 28.06.2026 22:13:33</t>
  </si>
  <si>
    <t>Акт входного контроля 000000514 от 28.06.2026 23:54:36</t>
  </si>
  <si>
    <t>Акт входного контроля 000000530 от 29.06.2026 20:22:56</t>
  </si>
  <si>
    <t>Акт входного контроля 000000532 от 29.06.2026 22:23:29</t>
  </si>
  <si>
    <t>Акт входного контроля 000000531 от 29.06.2026 21:20:57</t>
  </si>
  <si>
    <t>Акт входного контроля 000000533 от 29.06.2026 23:38:11</t>
  </si>
  <si>
    <t>Акт входного контроля 000000534 от 29.06.2026 20:40:07</t>
  </si>
  <si>
    <t>Акт входного контроля 000000535 от 29.06.2026 21:38:14</t>
  </si>
  <si>
    <t>Акт входного контроля 000000536 от 29.06.2026 23:04:47</t>
  </si>
  <si>
    <t>Акт входного контроля 000000537 от 30.06.2026 4:18:42</t>
  </si>
  <si>
    <t>Акт входного контроля 000000538 от 30.06.2026 4:21:17</t>
  </si>
  <si>
    <t>Акт входного контроля 000000539 от 30.06.2026 6:53:27</t>
  </si>
  <si>
    <t>Акт входного контроля 000000540 от 30.06.2026 8:36:46</t>
  </si>
  <si>
    <t>Акт входного контроля 000000541 от 30.06.2026 8:56:05</t>
  </si>
  <si>
    <t>Акт входного контроля 000000542 от 30.06.2026 10:01:28</t>
  </si>
  <si>
    <t>Акт входного контроля 000000543 от 30.06.2026 10:51:58</t>
  </si>
  <si>
    <t>Акт входного контроля 000000544 от 30.06.2026 13:07:16</t>
  </si>
  <si>
    <t>Акт входного контроля 000000550 от 27.06.2026 23:32:24</t>
  </si>
  <si>
    <t>Продажа Гранд Стар отвес №327</t>
  </si>
  <si>
    <t>О791СР 123</t>
  </si>
  <si>
    <t>Культура акт</t>
  </si>
  <si>
    <t>Сорт акт</t>
  </si>
  <si>
    <t>Поле акт</t>
  </si>
  <si>
    <t>Звада Е.Е</t>
  </si>
  <si>
    <t>РевенкоАВ</t>
  </si>
  <si>
    <t>Грищенко А.А</t>
  </si>
  <si>
    <t>Кобельников Б.Б</t>
  </si>
  <si>
    <t>Извеков ВВ</t>
  </si>
  <si>
    <t>Павленко Е.Е</t>
  </si>
  <si>
    <t>Глебов А.Ю</t>
  </si>
  <si>
    <t>Емец Р.А</t>
  </si>
  <si>
    <t>КА416ТН</t>
  </si>
  <si>
    <t>О766ОР</t>
  </si>
  <si>
    <t>Н378ХЕ93</t>
  </si>
  <si>
    <t>О776СР</t>
  </si>
  <si>
    <t>Беркут Итог</t>
  </si>
  <si>
    <t>Сорт "Беркут"</t>
  </si>
  <si>
    <t>12 Агролидер Итог</t>
  </si>
  <si>
    <t>Итог</t>
  </si>
  <si>
    <t>17 Агролидер Итог</t>
  </si>
  <si>
    <t>18 Агролидер Итог</t>
  </si>
  <si>
    <t>2.2 Колос Итог</t>
  </si>
  <si>
    <t>3.3 Колос Итог</t>
  </si>
  <si>
    <t>А-104/1 Итог</t>
  </si>
  <si>
    <t>А-105/1 Итог</t>
  </si>
  <si>
    <t>А-111/1 Итог</t>
  </si>
  <si>
    <t>А-112/1 Итог</t>
  </si>
  <si>
    <t>А-114 Итог</t>
  </si>
  <si>
    <t>А-115/1 Итог</t>
  </si>
  <si>
    <t>А-22/1 Итог</t>
  </si>
  <si>
    <t>А-23 Итог</t>
  </si>
  <si>
    <t>А-24/1 Итог</t>
  </si>
  <si>
    <t>А-3 Итог</t>
  </si>
  <si>
    <t>А-38 Итог</t>
  </si>
  <si>
    <t>А-4/1 Итог</t>
  </si>
  <si>
    <t>А-5/1 Итог</t>
  </si>
  <si>
    <t>А-76/3 Итог</t>
  </si>
  <si>
    <t>А-83/1 Итог</t>
  </si>
  <si>
    <t>А-83/2 Итог</t>
  </si>
  <si>
    <t>Поле ОТЧЕТ</t>
  </si>
  <si>
    <t>№ акта входного контроля</t>
  </si>
  <si>
    <t>А-76/5 Итог</t>
  </si>
  <si>
    <t>Исправить культуру</t>
  </si>
  <si>
    <t>Исправить культуру и поле</t>
  </si>
  <si>
    <t>Исправить поле</t>
  </si>
  <si>
    <t>Исправить (уточнить) поле</t>
  </si>
  <si>
    <t>Исправить (уточнить) поле в АВК? Взвешивание загрузилось верно</t>
  </si>
  <si>
    <t xml:space="preserve"> Регистратор.Вес нетто</t>
  </si>
  <si>
    <t>Поле акт/ТТН</t>
  </si>
  <si>
    <t>№ взвешивания</t>
  </si>
  <si>
    <t>Акт входного контроля 000000561 от 01.07.2026 2:40:30</t>
  </si>
  <si>
    <t>Акт входного контроля 000000578 от 01.07.2026 16:36:37</t>
  </si>
  <si>
    <t>Акт входного контроля 000000555 от 30.06.2026 22:36:16</t>
  </si>
  <si>
    <t>Акт входного контроля 000000557 от 30.06.2026 18:57:58</t>
  </si>
  <si>
    <t>Акт входного контроля 000000553 от 30.06.2026 22:22:28</t>
  </si>
  <si>
    <t>Акт входного контроля 000000552 от 30.06.2026 22:17:07</t>
  </si>
  <si>
    <t>Акт входного контроля 000000558 от 30.06.2026 21:00:52</t>
  </si>
  <si>
    <t>Акт входного контроля 000000562 от 01.07.2026 3:26:43</t>
  </si>
  <si>
    <t>Акт входного контроля 000000564 от 01.07.2026 5:18:09</t>
  </si>
  <si>
    <t>Акт входного контроля 000000567 от 27.06.2026 0:00:00</t>
  </si>
  <si>
    <t>Акт входного контроля 000000568 от 27.06.2026 23:32:25</t>
  </si>
  <si>
    <t>Акт входного контроля 000000569 от 27.06.2026 23:32:26</t>
  </si>
  <si>
    <t>Акт входного контроля 000000571 от 27.06.2026 23:32:27</t>
  </si>
  <si>
    <t>Акт входного контроля 000000572 от 27.06.2026 23:32:28</t>
  </si>
  <si>
    <t>Акт входного контроля 000000573 от 27.06.2026 23:32:29</t>
  </si>
  <si>
    <t>Акт входного контроля 000000574 от 27.06.2026 23:32:30</t>
  </si>
  <si>
    <t>Акт входного контроля 000000546 от 30.06.2026 19:20:57</t>
  </si>
  <si>
    <t>Акт входного контроля 000000559 от 01.07.2026 1:27:26</t>
  </si>
  <si>
    <t>Акт входного контроля 000000565 от 01.07.2026 6:12:13</t>
  </si>
  <si>
    <t>Акт входного контроля 000000579 от 25.06.2026 12:49:49</t>
  </si>
  <si>
    <t>Акт входного контроля 000000563 от 01.07.2026 4:18:04</t>
  </si>
  <si>
    <t>Акт входного контроля 000000576 от 01.07.2026 12:41:15</t>
  </si>
  <si>
    <t>Акт входного контроля 000000560 от 01.07.2026 1:45:52</t>
  </si>
  <si>
    <t>Акт входного контроля 000000580 от 01.07.2026 18:01:23</t>
  </si>
  <si>
    <t>Акт входного контроля 000000575 от 01.07.2026 12:34:31</t>
  </si>
  <si>
    <t>Акт входного контроля 000000554 от 30.06.2026 22:28:49</t>
  </si>
  <si>
    <t>Акт входного контроля 000000556 от 30.06.2026 23:55:37</t>
  </si>
  <si>
    <t>Акт входного контроля 000000566 от 01.07.2026 9:58:36</t>
  </si>
  <si>
    <t>Акт входного контроля 000000577 от 01.07.2026 13:36:31</t>
  </si>
  <si>
    <t>3.6 Колос Итог</t>
  </si>
  <si>
    <t>Акт входного контроля 000000581 от 01.07.2026 19:54:16</t>
  </si>
  <si>
    <t>Акт входного контроля 000000587 от 01.07.2026 21:45:27</t>
  </si>
  <si>
    <t>Акт входного контроля 000000582 от 01.07.2026 21:59:57</t>
  </si>
  <si>
    <t>Акт входного контроля 000000583 от 01.07.2026 22:01:25</t>
  </si>
  <si>
    <t>Акт входного контроля 000000584 от 01.07.2026 22:03:49</t>
  </si>
  <si>
    <t>Акт входного контроля 000000585 от 01.07.2026 22:26:58</t>
  </si>
  <si>
    <t>Акт входного контроля 000000586 от 01.07.2026 23:38:55</t>
  </si>
  <si>
    <t>Акт входного контроля 000000588 от 01.07.2026 23:59:08</t>
  </si>
  <si>
    <t>Акт входного контроля 000000589 от 02.07.2026 3:35:14</t>
  </si>
  <si>
    <t>Акт входного контроля 000000590 от 02.07.2026 5:21:00</t>
  </si>
  <si>
    <t>Акт входного контроля 000000591 от 02.07.2026 6:09:08</t>
  </si>
  <si>
    <t>Акт входного контроля 000000593 от 02.07.2026 8:16:58</t>
  </si>
  <si>
    <t>Акт входного контроля 000000596 от 02.07.2026 8:34:16</t>
  </si>
  <si>
    <t>Акт входного контроля 000000600 от 02.07.2026 11:10:39</t>
  </si>
  <si>
    <t>Акт входного контроля 000000601 от 02.07.2026 11:14:24</t>
  </si>
  <si>
    <t>Акт входного контроля 000000602 от 02.07.2026 11:30:43</t>
  </si>
  <si>
    <t>Лазаренко Вячеслав Владимирович</t>
  </si>
  <si>
    <t>3.1 Колос Итог</t>
  </si>
  <si>
    <t>убрали на зерно</t>
  </si>
  <si>
    <t>Акт входного контроля 000000603 от 02.07.2026 12:45:06</t>
  </si>
  <si>
    <t>Акт входного контроля 000000594 от 28.06.2026 23:54:37</t>
  </si>
  <si>
    <t>Акт входного контроля 000000595 от 28.06.2026 23:54:38</t>
  </si>
  <si>
    <t>Акт входного контроля 000000597 от 28.06.2026 23:54:39</t>
  </si>
  <si>
    <t>Акт входного контроля 000000606 от 27.06.2026 23:32:31</t>
  </si>
  <si>
    <t>Акт входного контроля 000000607 от 27.06.2026 23:32:32</t>
  </si>
  <si>
    <t>Акт входного контроля 000000608 от 26.06.2026 23:31:49</t>
  </si>
  <si>
    <t>Акт входного контроля 000000598 от 23.06.2026 23:38:55</t>
  </si>
  <si>
    <t>Акт входного контроля 000000599 от 23.06.2026 23:38:56</t>
  </si>
  <si>
    <t>Акт входного контроля 000000605 от 02.07.2026 14:59:46</t>
  </si>
  <si>
    <t>Акт входного контроля 000000592 от 25.06.2026 14:24:11</t>
  </si>
  <si>
    <t>Акт входного контроля 000000604 от 02.07.2026 14:57:39</t>
  </si>
  <si>
    <t xml:space="preserve">Зателепа Вячеслав Анатольевич </t>
  </si>
  <si>
    <t>Х775ХА</t>
  </si>
  <si>
    <t>1.6 Колос Итог</t>
  </si>
  <si>
    <t>1.7 Колос Итог</t>
  </si>
  <si>
    <t>Сведения о уборка - Поле: А-108/7, Культура: ГРК (полив)</t>
  </si>
  <si>
    <t>Сведения о уборка - Культура: ГРК (полив)</t>
  </si>
  <si>
    <t>Акт входного контроля 000000620 от 02.07.2026 23:42:57</t>
  </si>
  <si>
    <t>Акт входного контроля 000000636 от 03.07.2026 12:18:17</t>
  </si>
  <si>
    <t>Акт входного контроля 000000640 от 03.07.2026 15:59:31</t>
  </si>
  <si>
    <t>Акт входного контроля 000000609 от 02.07.2026 16:36:35</t>
  </si>
  <si>
    <t>Акт входного контроля 000000622 от 03.07.2026 4:15:56</t>
  </si>
  <si>
    <t>Акт входного контроля 000000615 от 02.07.2026 21:15:51</t>
  </si>
  <si>
    <t>Акт входного контроля 000000612 от 02.07.2026 19:20:34</t>
  </si>
  <si>
    <t>Акт входного контроля 000000624 от 03.07.2026 7:45:30</t>
  </si>
  <si>
    <t>Акт входного контроля 000000631 от 03.07.2026 10:54:26</t>
  </si>
  <si>
    <t>Акт входного контроля 000000617 от 02.07.2026 23:21:56</t>
  </si>
  <si>
    <t>Акт входного контроля 000000613 от 02.07.2026 19:30:34</t>
  </si>
  <si>
    <t>Акт входного контроля 000000570 от 27.06.2026 0:00:00</t>
  </si>
  <si>
    <t>Акт входного контроля 000000626 от 24.06.2026 23:28:32</t>
  </si>
  <si>
    <t>Акт входного контроля 000000629 от 26.06.2026 23:31:51</t>
  </si>
  <si>
    <t>Акт входного контроля 000000635 от 28.06.2026 23:54:40</t>
  </si>
  <si>
    <t>Акт входного контроля 000000611 от 24.06.2026 23:28:30</t>
  </si>
  <si>
    <t>Акт входного контроля 000000625 от 24.06.2026 23:28:31</t>
  </si>
  <si>
    <t>Акт входного контроля 000000628 от 26.06.2026 23:31:50</t>
  </si>
  <si>
    <t>Акт входного контроля 000000630 от 26.06.2026 23:31:52</t>
  </si>
  <si>
    <t>Акт входного контроля 000000632 от 26.06.2026 23:31:53</t>
  </si>
  <si>
    <t>Акт входного контроля 000000633 от 26.06.2026 23:31:54</t>
  </si>
  <si>
    <t>Акт входного контроля 000000634 от 26.06.2026 23:31:55</t>
  </si>
  <si>
    <t>Акт входного контроля 000000621 от 03.07.2026 3:57:31</t>
  </si>
  <si>
    <t>Акт входного контроля 000000623 от 03.07.2026 6:37:25</t>
  </si>
  <si>
    <t>Акт входного контроля 000000637 от 03.07.2026 12:22:34</t>
  </si>
  <si>
    <t>Акт входного контроля 000000616 от 02.07.2026 23:14:23</t>
  </si>
  <si>
    <t>Акт входного контроля 000000618 от 02.07.2026 20:16:47</t>
  </si>
  <si>
    <t>Акт входного контроля 000000639 от 03.07.2026 15:56:11</t>
  </si>
  <si>
    <t>Акт входного контроля 000000627 от 03.07.2026 8:51:32</t>
  </si>
  <si>
    <t>Акт входного контроля 000000641 от 03.07.2026 16:02:14</t>
  </si>
  <si>
    <t>Акт входного контроля 000000610 от 02.07.2026 16:41:56</t>
  </si>
  <si>
    <t>Акт входного контроля 000000638 от 03.07.2026 12:24:04</t>
  </si>
  <si>
    <t>Акт входного контроля 000000619 от 02.07.2026 22:32:28</t>
  </si>
  <si>
    <t xml:space="preserve">Пугачев Владимир Сергеевич </t>
  </si>
  <si>
    <t>оставили на зерно</t>
  </si>
  <si>
    <t>А-116/1 Итог</t>
  </si>
  <si>
    <t>Акт входного контроля 000000672 от 05.07.2026 1:04:24</t>
  </si>
  <si>
    <t>Акт входного контроля 000000660 от 04.07.2026 12:25:21</t>
  </si>
  <si>
    <t>Акт входного контроля 000000661 от 04.07.2026 14:12:34</t>
  </si>
  <si>
    <t>Акт входного контроля 000000665 от 04.07.2026 18:05:08</t>
  </si>
  <si>
    <t>Акт входного контроля 000000675 от 05.07.2026 2:55:45</t>
  </si>
  <si>
    <t>Акт входного контроля 000000658 от 04.07.2026 10:45:44</t>
  </si>
  <si>
    <t>Акт входного контроля 000000664 от 04.07.2026 16:08:45</t>
  </si>
  <si>
    <t>Акт входного контроля 000000669 от 04.07.2026 22:48:22</t>
  </si>
  <si>
    <t>Акт входного контроля 000000667 от 04.07.2026 22:44:44</t>
  </si>
  <si>
    <t>Акт входного контроля 000000671 от 04.07.2026 19:19:53</t>
  </si>
  <si>
    <t>Акт входного контроля 000000670 от 04.07.2026 21:49:38</t>
  </si>
  <si>
    <t>Акт входного контроля 000000662 от 04.07.2026 14:24:43</t>
  </si>
  <si>
    <t>Акт входного контроля 000000673 от 04.07.2026 23:39:48</t>
  </si>
  <si>
    <t>Акт входного контроля 000000666 от 04.07.2026 18:28:29</t>
  </si>
  <si>
    <t>Акт входного контроля 000000674 от 05.07.2026 2:43:09</t>
  </si>
  <si>
    <t>Акт входного контроля 000000676 от 05.07.2026 4:12:01</t>
  </si>
  <si>
    <t>Акт входного контроля 000000651 от 03.07.2026 22:29:30</t>
  </si>
  <si>
    <t>Акт входного контроля 000000663 от 04.07.2026 14:38:32</t>
  </si>
  <si>
    <t>Акт входного контроля 000000677 от 05.07.2026 6:37:54</t>
  </si>
  <si>
    <t>Акт входного контроля 000000668 от 04.07.2026 21:49:19</t>
  </si>
  <si>
    <t>Акт входного контроля 000000657 от 04.07.2026 9:00:02</t>
  </si>
  <si>
    <t>Акт входного контроля 000000655 от 04.07.2026 7:37:55</t>
  </si>
  <si>
    <t>Акт входного контроля 000000647 от 03.07.2026 23:04:21</t>
  </si>
  <si>
    <t>Акт входного контроля 000000659 от 04.07.2026 10:57:45</t>
  </si>
  <si>
    <t>Акт входного контроля 000000648 от 03.07.2026 23:22:00</t>
  </si>
  <si>
    <t>Акт входного контроля 000000687 от 05.07.2026 17:35:23</t>
  </si>
  <si>
    <t>Акт входного контроля 000000680 от 05.07.2026 9:58:04</t>
  </si>
  <si>
    <t>Акт входного контроля 000000644 от 03.07.2026 19:34:58</t>
  </si>
  <si>
    <t>Акт входного контроля 000000686 от 05.07.2026 16:13:29</t>
  </si>
  <si>
    <t>Акт входного контроля 000000683 от 05.07.2026 12:59:48</t>
  </si>
  <si>
    <t>Акт входного контроля 000000646 от 03.07.2026 20:54:00</t>
  </si>
  <si>
    <t>Акт входного контроля 000000642 от 03.07.2026 18:18:39</t>
  </si>
  <si>
    <t>Акт входного контроля 000000692 от 05.07.2026 22:01:52</t>
  </si>
  <si>
    <t>Акт входного контроля 000000697 от 05.07.2026 22:43:37</t>
  </si>
  <si>
    <t>Акт входного контроля 000000701 от 06.07.2026 10:28:24</t>
  </si>
  <si>
    <t>Акт входного контроля 000000698 от 06.07.2026 5:40:26</t>
  </si>
  <si>
    <t>Акт входного контроля 000000691 от 05.07.2026 20:48:03</t>
  </si>
  <si>
    <t>Акт входного контроля 000000707 от 06.07.2026 16:40:09</t>
  </si>
  <si>
    <t>Акт входного контроля 000000653 от 04.07.2026 4:06:00</t>
  </si>
  <si>
    <t>Акт входного контроля 000000694 от 05.07.2026 20:09:37</t>
  </si>
  <si>
    <t>Акт входного контроля 000000700 от 06.07.2026 10:20:10</t>
  </si>
  <si>
    <t>Акт входного контроля 000000706 от 06.07.2026 16:07:26</t>
  </si>
  <si>
    <t>Акт входного контроля 000000681 от 05.07.2026 11:18:52</t>
  </si>
  <si>
    <t>Акт входного контроля 000000704 от 06.07.2026 13:50:19</t>
  </si>
  <si>
    <t>Акт входного контроля 000000649 от 03.07.2026 23:23:50</t>
  </si>
  <si>
    <t>Акт входного контроля 000000643 от 03.07.2026 18:21:06</t>
  </si>
  <si>
    <t>Акт входного контроля 000000684 от 05.07.2026 14:26:33</t>
  </si>
  <si>
    <t>Акт входного контроля 000000679 от 05.07.2026 9:14:12</t>
  </si>
  <si>
    <t>Акт входного контроля 000000652 от 04.07.2026 4:03:38</t>
  </si>
  <si>
    <t>Акт входного контроля 000000650 от 03.07.2026 21:44:16</t>
  </si>
  <si>
    <t>Акт входного контроля 000000678 от 05.07.2026 7:49:10</t>
  </si>
  <si>
    <t>Акт входного контроля 000000656 от 04.07.2026 8:57:14</t>
  </si>
  <si>
    <t>Акт входного контроля 000000685 от 05.07.2026 14:28:22</t>
  </si>
  <si>
    <t>Акт входного контроля 000000695 от 05.07.2026 21:50:08</t>
  </si>
  <si>
    <t>Акт входного контроля 000000699 от 06.07.2026 9:00:10</t>
  </si>
  <si>
    <t>Акт входного контроля 000000689 от 05.07.2026 19:49:20</t>
  </si>
  <si>
    <t>Акт входного контроля 000000696 от 05.07.2026 23:01:01</t>
  </si>
  <si>
    <t>Акт входного контроля 000000682 от 05.07.2026 11:39:30</t>
  </si>
  <si>
    <t>Акт входного контроля 000000705 от 06.07.2026 15:57:10</t>
  </si>
  <si>
    <t>Акт входного контроля 000000703 от 06.07.2026 13:40:48</t>
  </si>
  <si>
    <t>Акт входного контроля 000000693 от 05.07.2026 23:00:10</t>
  </si>
  <si>
    <t>Акт входного контроля 000000708 от 06.07.2026 16:54:26</t>
  </si>
  <si>
    <t>Акт входного контроля 000000654 от 04.07.2026 5:03:56</t>
  </si>
  <si>
    <t>Акт входного контроля 000000702 от 06.07.2026 13:31:53</t>
  </si>
  <si>
    <t>Акт входного контроля 000000688 от 05.07.2026 17:37:43</t>
  </si>
  <si>
    <t>Акт входного контроля 000000690 от 05.07.2026 19:57:37</t>
  </si>
  <si>
    <t>7 га оставлено (вымочки)</t>
  </si>
  <si>
    <t>15 га оставлено (вымочки)</t>
  </si>
  <si>
    <t>А-54 (не 2026 года)</t>
  </si>
  <si>
    <t xml:space="preserve">592/62 Продажа Гранд Стар </t>
  </si>
  <si>
    <t>595/63Продажа Гранд Стар</t>
  </si>
  <si>
    <t>Акт входного контроля 000000614 от 02.07.2026 17:20:05</t>
  </si>
  <si>
    <t>Акт входного контроля 000000645 от 03.07.2026 17:19:02</t>
  </si>
  <si>
    <t>Акт входного контроля 000000709 от 06.07.2026 19:01:17</t>
  </si>
  <si>
    <t>Акт входного контроля 000000710 от 06.07.2026 20:52:25</t>
  </si>
  <si>
    <t>Акт входного контроля 000000711 от 06.07.2026 21:27:33</t>
  </si>
  <si>
    <t>Акт входного контроля 000000712 от 06.07.2026 22:50:49</t>
  </si>
  <si>
    <t>Акт входного контроля 000000713 от 06.07.2026 23:55:15</t>
  </si>
  <si>
    <t>Акт входного контроля 000000714 от 06.07.2026 20:17:07</t>
  </si>
  <si>
    <t>Акт входного контроля 000000715 от 06.07.2026 23:09:06</t>
  </si>
  <si>
    <t>Акт входного контроля 000000716 от 06.07.2026 23:18:21</t>
  </si>
  <si>
    <t>Акт входного контроля 000000717 от 07.07.2026 4:09:42</t>
  </si>
  <si>
    <t>Акт входного контроля 000000718 от 07.07.2026 8:14:42</t>
  </si>
  <si>
    <t>Продажа Гранд Стар отвес №326</t>
  </si>
  <si>
    <t>Ревенко А.В.</t>
  </si>
  <si>
    <t>А781РР 123</t>
  </si>
  <si>
    <t>Продажа Гранд Стар отвес №325</t>
  </si>
  <si>
    <t>Глебов А Ю.</t>
  </si>
  <si>
    <t>О766ОР 123</t>
  </si>
  <si>
    <t>Продажа Гранд Стар отвес №324</t>
  </si>
  <si>
    <t>Н378ХЕ 93</t>
  </si>
  <si>
    <t>Продажа Гранд Стар отвес №323</t>
  </si>
  <si>
    <t>А688АМ 193</t>
  </si>
  <si>
    <t>Продажа Гранд Стар отвес №310</t>
  </si>
  <si>
    <t>А731ВА123</t>
  </si>
  <si>
    <t>Продажа Гранд Стар отвес №306</t>
  </si>
  <si>
    <t>У184НО 123</t>
  </si>
  <si>
    <t>Продажа Гранд Стар отвес №313</t>
  </si>
  <si>
    <t>Продажа Гранд Стар отвес №330</t>
  </si>
  <si>
    <t>АП688АМ 193</t>
  </si>
  <si>
    <t>Продажа Гранд Стар отвес №283</t>
  </si>
  <si>
    <t>Продажа Гранд Стар отвес №284</t>
  </si>
  <si>
    <t>о791ср 123</t>
  </si>
  <si>
    <t>Продажа Гранд Стар отвес №287</t>
  </si>
  <si>
    <t>А731ВЛ 123</t>
  </si>
  <si>
    <t>Продажа Гранд Стар отвес №317</t>
  </si>
  <si>
    <t>Продажа Гранд Стар отвес №319</t>
  </si>
  <si>
    <t>КА416ТН 123</t>
  </si>
  <si>
    <t>Продажа Гранд Стар отвес №316</t>
  </si>
  <si>
    <t>Продажа Гранд Стар отвес №331</t>
  </si>
  <si>
    <t>Продажа Гранд Стар отвес №277</t>
  </si>
  <si>
    <t>Продажа Гранд Стар отвес №278</t>
  </si>
  <si>
    <t>Продажа Гранд Стар отвес №329</t>
  </si>
  <si>
    <t>Продажа Гранд Стар отвес №328</t>
  </si>
  <si>
    <t>У315НХ 123</t>
  </si>
  <si>
    <t>Продажа Гранд Стар отвес №315</t>
  </si>
  <si>
    <t>Продажа Гранд Стар отвес №322</t>
  </si>
  <si>
    <t>Продажа Гранд Стар отвес №321</t>
  </si>
  <si>
    <t>Павленко Е.Е.</t>
  </si>
  <si>
    <t>Продажа Гранд Стар отвес №320</t>
  </si>
  <si>
    <t>Кобельков Б.Б.</t>
  </si>
  <si>
    <t>Продажа Гранд Стар отвес №333</t>
  </si>
  <si>
    <t>Культура акт
8</t>
  </si>
  <si>
    <t>Сорт акт
9</t>
  </si>
  <si>
    <t>Поле акт
10</t>
  </si>
  <si>
    <t>Поле
15</t>
  </si>
  <si>
    <t>Сорт уточн
16</t>
  </si>
  <si>
    <t>Площадь уборки, га
17</t>
  </si>
  <si>
    <t>Культура
18</t>
  </si>
  <si>
    <t>Орошение
19</t>
  </si>
  <si>
    <t>Смена
20</t>
  </si>
  <si>
    <t>Дата отчета
21</t>
  </si>
  <si>
    <t>Примечание
23</t>
  </si>
  <si>
    <t>Продажа Гранд Стар отвес №312</t>
  </si>
  <si>
    <t>Продажа Гранд Стар отвес №304</t>
  </si>
  <si>
    <t>Продажа Гранд Стар отвес №308</t>
  </si>
  <si>
    <t>Продажа Гранд Стар отвес №309</t>
  </si>
  <si>
    <t>О766СР 123</t>
  </si>
  <si>
    <t>А688АМ 123</t>
  </si>
  <si>
    <t>Акт входного контроля 000000723 от 25.06.2026 22:56:14</t>
  </si>
  <si>
    <t>Акт входного контроля 000000724 от 25.06.2026 22:56:15</t>
  </si>
  <si>
    <t>Акт входного контроля 000000721 от 25.06.2026 22:56:12</t>
  </si>
  <si>
    <t>Акт входного контроля 000000722 от 25.06.2026 22:56:13</t>
  </si>
  <si>
    <t>-</t>
  </si>
  <si>
    <t>уберем на зерно</t>
  </si>
  <si>
    <t>Акт входного контроля 000000726 от 07.07.2026 13:51:41</t>
  </si>
  <si>
    <t>Акт входного контроля 000000720 от 07.07.2026 10:29:15</t>
  </si>
  <si>
    <t>Акт входного контроля 000000719 от 07.07.2026 9:52:08</t>
  </si>
  <si>
    <t>Акт входного контроля 000000728 от 07.07.2026 15:59:53</t>
  </si>
  <si>
    <t>Акт входного контроля 000000727 от 07.07.2026 14:39:04</t>
  </si>
  <si>
    <t>Уборка горошка в 2026 году на 06.07.2026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</si>
</sst>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0">
    <numFmt numFmtId="43" formatCode="_-* #,##0.00_-;\-* #,##0.00_-;_-* &quot;-&quot;??_-;_-@_-"/>
    <numFmt numFmtId="164" formatCode="dd"/>
    <numFmt numFmtId="165" formatCode="#,##0.0"/>
    <numFmt numFmtId="166" formatCode="0.0%"/>
    <numFmt numFmtId="167" formatCode="#,##0.000"/>
    <numFmt numFmtId="168" formatCode="000000000"/>
    <numFmt numFmtId="169" formatCode="#,##0.0000"/>
    <numFmt numFmtId="170" formatCode="0.000"/>
    <numFmt numFmtId="171" formatCode="dd/mm/yy;@"/>
    <numFmt numFmtId="172" formatCode="000&quot; тн&quot;"/>
    <numFmt numFmtId="173" formatCode="0.0&quot; тн/га&quot;"/>
    <numFmt numFmtId="174" formatCode="0,000&quot; тн&quot;"/>
    <numFmt numFmtId="175" formatCode="0,000.0&quot; га&quot;"/>
    <numFmt numFmtId="176" formatCode="000.0&quot; га&quot;"/>
    <numFmt numFmtId="177" formatCode="00.0&quot; га&quot;"/>
    <numFmt numFmtId="178" formatCode="00000000000"/>
    <numFmt numFmtId="179" formatCode="0.0"/>
    <numFmt numFmtId="180" formatCode="000000"/>
    <numFmt numFmtId="181" formatCode="0&quot; тн&quot;"/>
    <numFmt numFmtId="182" formatCode="0&quot; га&quot;"/>
    <numFmt numFmtId="183" formatCode="[$-F400]h:mm:ss\ AM/PM"/>
    <numFmt numFmtId="184" formatCode="_-* #,##0.0_-;\-* #,##0.0_-;_-* &quot;-&quot;??_-;_-@_-"/>
    <numFmt numFmtId="185" formatCode="_-* #,##0_-;\-* #,##0_-;_-* &quot;-&quot;??_-;_-@_-"/>
    <numFmt numFmtId="186" formatCode="_-* #,##0.00\ _₽_-;\-* #,##0.00\ _₽_-;_-* &quot;-&quot;??\ _₽_-;_-@_-"/>
    <numFmt numFmtId="187" formatCode="[$-419]d\ mmm;@"/>
    <numFmt numFmtId="188" formatCode="000.00&quot; га&quot;"/>
    <numFmt numFmtId="189" formatCode="0&quot; Га&quot;"/>
    <numFmt numFmtId="190" formatCode="0.00&quot; Га&quot;"/>
    <numFmt numFmtId="191" formatCode="0.0&quot; Га&quot;"/>
    <numFmt numFmtId="192" formatCode="_-* #,##0.000\ _₽_-;\-* #,##0.000\ _₽_-;_-* &quot;-&quot;???\ _₽_-;_-@_-"/>
  </numFmts>
  <fonts count="7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Bahnschrift Light Condensed"/>
      <family val="2"/>
      <charset val="204"/>
    </font>
    <font>
      <b/>
      <sz val="24"/>
      <color theme="1" tint="0.249977111117893"/>
      <name val="Bahnschrift Light SemiCondensed"/>
      <family val="2"/>
      <charset val="204"/>
    </font>
    <font>
      <sz val="22"/>
      <color theme="1"/>
      <name val="Bahnschrift Light Condensed"/>
      <family val="2"/>
      <charset val="204"/>
    </font>
    <font>
      <b/>
      <sz val="16"/>
      <color theme="1"/>
      <name val="Bahnschrift Light Condensed"/>
      <family val="2"/>
      <charset val="204"/>
    </font>
    <font>
      <sz val="12"/>
      <color theme="1"/>
      <name val="Bahnschrift Light Condensed"/>
      <family val="2"/>
      <charset val="204"/>
    </font>
    <font>
      <b/>
      <sz val="12"/>
      <color theme="1"/>
      <name val="Bahnschrift Light Condensed"/>
      <family val="2"/>
      <charset val="204"/>
    </font>
    <font>
      <b/>
      <sz val="11"/>
      <color theme="1"/>
      <name val="Bahnschrift Light SemiCondensed"/>
      <family val="2"/>
      <charset val="204"/>
    </font>
    <font>
      <sz val="11"/>
      <color theme="1"/>
      <name val="Bahnschrift Light SemiCondensed"/>
      <family val="2"/>
      <charset val="204"/>
    </font>
    <font>
      <b/>
      <sz val="11"/>
      <color theme="1"/>
      <name val="Bahnschrift Light Condensed"/>
      <family val="2"/>
      <charset val="204"/>
    </font>
    <font>
      <sz val="14"/>
      <color theme="1"/>
      <name val="Bahnschrift Light Condensed"/>
      <family val="2"/>
      <charset val="204"/>
    </font>
    <font>
      <b/>
      <sz val="14"/>
      <color theme="1"/>
      <name val="Bahnschrift Light Condensed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8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5"/>
      <color theme="3"/>
      <name val="Arial"/>
      <family val="2"/>
      <charset val="204"/>
    </font>
    <font>
      <sz val="10"/>
      <name val="Arial Cyr"/>
      <charset val="204"/>
    </font>
    <font>
      <sz val="8"/>
      <color theme="1"/>
      <name val="Calibri"/>
      <family val="2"/>
      <charset val="204"/>
      <scheme val="minor"/>
    </font>
    <font>
      <sz val="8"/>
      <color rgb="FF0000FF"/>
      <name val="Calibri"/>
      <family val="2"/>
      <charset val="204"/>
      <scheme val="minor"/>
    </font>
    <font>
      <b/>
      <sz val="10"/>
      <color theme="3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rgb="FF0000FF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 tint="0.499984740745262"/>
      <name val="Calibri"/>
      <family val="2"/>
      <charset val="204"/>
      <scheme val="minor"/>
    </font>
    <font>
      <sz val="10"/>
      <color theme="1" tint="0.34998626667073579"/>
      <name val="Calibri"/>
      <family val="2"/>
      <charset val="204"/>
      <scheme val="minor"/>
    </font>
    <font>
      <b/>
      <sz val="10"/>
      <color rgb="FF0000FF"/>
      <name val="Calibri"/>
      <family val="2"/>
      <charset val="204"/>
      <scheme val="minor"/>
    </font>
    <font>
      <sz val="10"/>
      <color rgb="FF0070C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 tint="0.34998626667073579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b/>
      <sz val="7"/>
      <name val="Calibri"/>
      <family val="2"/>
      <charset val="204"/>
      <scheme val="minor"/>
    </font>
    <font>
      <sz val="7"/>
      <color rgb="FF0000FF"/>
      <name val="Calibri"/>
      <family val="2"/>
      <charset val="204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rgb="FFFF0000"/>
      <name val="Arial"/>
      <family val="2"/>
      <charset val="204"/>
    </font>
    <font>
      <b/>
      <sz val="7"/>
      <color theme="0"/>
      <name val="Arial"/>
      <family val="2"/>
      <charset val="204"/>
    </font>
    <font>
      <sz val="7"/>
      <color theme="1"/>
      <name val="Arial"/>
      <family val="2"/>
      <charset val="204"/>
    </font>
    <font>
      <sz val="7"/>
      <color rgb="FFC0C0C0"/>
      <name val="Arial"/>
      <family val="2"/>
      <charset val="204"/>
    </font>
    <font>
      <i/>
      <sz val="11"/>
      <color theme="0" tint="-0.34998626667073579"/>
      <name val="Calibri"/>
      <family val="2"/>
      <charset val="204"/>
      <scheme val="minor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9"/>
      <color theme="1"/>
      <name val="Calibri"/>
      <family val="2"/>
      <charset val="204"/>
      <scheme val="minor"/>
    </font>
    <font>
      <i/>
      <sz val="8"/>
      <color rgb="FFFF000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E7EFD1"/>
        <bgColor indexed="64"/>
      </patternFill>
    </fill>
    <fill>
      <patternFill patternType="solid">
        <fgColor rgb="FFC8D99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79998168889431442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rgb="FFFFBF00"/>
      </patternFill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/>
      <top/>
      <bottom/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tted">
        <color theme="0" tint="-0.14993743705557422"/>
      </bottom>
      <diagonal/>
    </border>
    <border>
      <left/>
      <right/>
      <top/>
      <bottom style="dotted">
        <color theme="0" tint="-0.14993743705557422"/>
      </bottom>
      <diagonal/>
    </border>
    <border>
      <left/>
      <right style="thin">
        <color indexed="64"/>
      </right>
      <top style="dotted">
        <color theme="0" tint="-0.14993743705557422"/>
      </top>
      <bottom style="dotted">
        <color theme="0" tint="-0.14993743705557422"/>
      </bottom>
      <diagonal/>
    </border>
    <border>
      <left/>
      <right/>
      <top style="dotted">
        <color theme="0" tint="-0.14993743705557422"/>
      </top>
      <bottom style="dotted">
        <color theme="0" tint="-0.14993743705557422"/>
      </bottom>
      <diagonal/>
    </border>
    <border>
      <left/>
      <right/>
      <top style="dotted">
        <color theme="0" tint="-0.14993743705557422"/>
      </top>
      <bottom style="dotted">
        <color theme="0" tint="-0.14996795556505021"/>
      </bottom>
      <diagonal/>
    </border>
    <border>
      <left/>
      <right/>
      <top style="dotted">
        <color theme="0" tint="-0.14993743705557422"/>
      </top>
      <bottom style="thin">
        <color indexed="64"/>
      </bottom>
      <diagonal/>
    </border>
    <border>
      <left/>
      <right/>
      <top style="dotted">
        <color theme="0" tint="-0.14996795556505021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9">
    <xf numFmtId="0" fontId="0" fillId="0" borderId="0"/>
    <xf numFmtId="9" fontId="7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43" fontId="7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7" fillId="0" borderId="0"/>
    <xf numFmtId="0" fontId="7" fillId="0" borderId="0"/>
    <xf numFmtId="0" fontId="38" fillId="0" borderId="13" applyNumberFormat="0" applyFill="0" applyAlignment="0" applyProtection="0"/>
    <xf numFmtId="0" fontId="3" fillId="0" borderId="0"/>
    <xf numFmtId="0" fontId="36" fillId="0" borderId="0"/>
    <xf numFmtId="0" fontId="3" fillId="0" borderId="0"/>
    <xf numFmtId="0" fontId="39" fillId="0" borderId="0"/>
    <xf numFmtId="0" fontId="22" fillId="0" borderId="0"/>
    <xf numFmtId="0" fontId="3" fillId="0" borderId="0"/>
    <xf numFmtId="9" fontId="3" fillId="0" borderId="0" applyFont="0" applyFill="0" applyBorder="0" applyAlignment="0" applyProtection="0"/>
    <xf numFmtId="0" fontId="36" fillId="0" borderId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0" fillId="19" borderId="33"/>
    <xf numFmtId="9" fontId="60" fillId="0" borderId="0" applyBorder="0" applyProtection="0"/>
    <xf numFmtId="0" fontId="60" fillId="0" borderId="0"/>
    <xf numFmtId="0" fontId="70" fillId="0" borderId="0"/>
    <xf numFmtId="0" fontId="22" fillId="0" borderId="0"/>
  </cellStyleXfs>
  <cellXfs count="582">
    <xf numFmtId="0" fontId="0" fillId="0" borderId="0" xfId="0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11" fillId="2" borderId="0" xfId="0" applyFont="1" applyFill="1"/>
    <xf numFmtId="0" fontId="9" fillId="2" borderId="0" xfId="0" applyFont="1" applyFill="1" applyAlignment="1">
      <alignment horizontal="center" vertical="center" wrapText="1"/>
    </xf>
    <xf numFmtId="0" fontId="12" fillId="2" borderId="0" xfId="0" applyFont="1" applyFill="1"/>
    <xf numFmtId="0" fontId="13" fillId="2" borderId="0" xfId="0" applyFont="1" applyFill="1" applyAlignment="1">
      <alignment horizontal="left" indent="1"/>
    </xf>
    <xf numFmtId="0" fontId="13" fillId="2" borderId="0" xfId="0" applyFont="1" applyFill="1"/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 indent="1"/>
    </xf>
    <xf numFmtId="0" fontId="15" fillId="4" borderId="2" xfId="0" applyFont="1" applyFill="1" applyBorder="1" applyAlignment="1">
      <alignment horizontal="center"/>
    </xf>
    <xf numFmtId="164" fontId="16" fillId="4" borderId="2" xfId="0" applyNumberFormat="1" applyFont="1" applyFill="1" applyBorder="1"/>
    <xf numFmtId="2" fontId="17" fillId="2" borderId="0" xfId="0" applyNumberFormat="1" applyFont="1" applyFill="1"/>
    <xf numFmtId="0" fontId="18" fillId="2" borderId="0" xfId="0" applyFont="1" applyFill="1" applyAlignment="1">
      <alignment horizontal="left" indent="1"/>
    </xf>
    <xf numFmtId="0" fontId="18" fillId="2" borderId="0" xfId="0" applyFont="1" applyFill="1"/>
    <xf numFmtId="0" fontId="19" fillId="2" borderId="0" xfId="0" applyFont="1" applyFill="1" applyAlignment="1">
      <alignment horizontal="left" indent="1"/>
    </xf>
    <xf numFmtId="0" fontId="20" fillId="3" borderId="6" xfId="0" applyFont="1" applyFill="1" applyBorder="1" applyAlignment="1">
      <alignment horizontal="center" vertical="center" wrapText="1"/>
    </xf>
    <xf numFmtId="165" fontId="20" fillId="3" borderId="6" xfId="0" applyNumberFormat="1" applyFont="1" applyFill="1" applyBorder="1" applyAlignment="1">
      <alignment horizontal="center" vertical="center" wrapText="1"/>
    </xf>
    <xf numFmtId="166" fontId="20" fillId="3" borderId="6" xfId="1" applyNumberFormat="1" applyFont="1" applyFill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165" fontId="21" fillId="0" borderId="6" xfId="0" applyNumberFormat="1" applyFont="1" applyBorder="1" applyAlignment="1">
      <alignment horizontal="center" vertical="center" wrapText="1"/>
    </xf>
    <xf numFmtId="166" fontId="21" fillId="0" borderId="6" xfId="1" applyNumberFormat="1" applyFont="1" applyBorder="1" applyAlignment="1">
      <alignment horizontal="center" vertical="center" wrapText="1"/>
    </xf>
    <xf numFmtId="165" fontId="20" fillId="0" borderId="6" xfId="0" applyNumberFormat="1" applyFont="1" applyBorder="1" applyAlignment="1">
      <alignment horizontal="center" vertical="center" wrapText="1"/>
    </xf>
    <xf numFmtId="0" fontId="8" fillId="0" borderId="0" xfId="0" applyFont="1"/>
    <xf numFmtId="0" fontId="0" fillId="0" borderId="0" xfId="0" applyAlignment="1">
      <alignment horizontal="left"/>
    </xf>
    <xf numFmtId="0" fontId="8" fillId="5" borderId="0" xfId="0" applyFont="1" applyFill="1" applyAlignment="1">
      <alignment horizontal="left"/>
    </xf>
    <xf numFmtId="16" fontId="8" fillId="5" borderId="0" xfId="0" applyNumberFormat="1" applyFont="1" applyFill="1" applyAlignment="1">
      <alignment horizontal="left"/>
    </xf>
    <xf numFmtId="0" fontId="0" fillId="6" borderId="0" xfId="0" applyFill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3" fontId="0" fillId="0" borderId="0" xfId="0" applyNumberFormat="1"/>
    <xf numFmtId="3" fontId="8" fillId="0" borderId="0" xfId="0" applyNumberFormat="1" applyFont="1"/>
    <xf numFmtId="3" fontId="0" fillId="6" borderId="0" xfId="0" applyNumberFormat="1" applyFill="1"/>
    <xf numFmtId="14" fontId="0" fillId="0" borderId="0" xfId="0" applyNumberFormat="1"/>
    <xf numFmtId="0" fontId="22" fillId="0" borderId="0" xfId="4" applyAlignment="1">
      <alignment vertical="top" wrapText="1"/>
    </xf>
    <xf numFmtId="167" fontId="22" fillId="0" borderId="0" xfId="4" applyNumberFormat="1" applyAlignment="1">
      <alignment horizontal="right" vertical="top" wrapText="1"/>
    </xf>
    <xf numFmtId="168" fontId="22" fillId="0" borderId="0" xfId="4" applyNumberFormat="1" applyAlignment="1">
      <alignment horizontal="left" vertical="top" wrapText="1"/>
    </xf>
    <xf numFmtId="169" fontId="22" fillId="0" borderId="0" xfId="4" applyNumberFormat="1" applyAlignment="1">
      <alignment horizontal="right" vertical="top" wrapText="1"/>
    </xf>
    <xf numFmtId="1" fontId="22" fillId="0" borderId="0" xfId="4" applyNumberFormat="1" applyAlignment="1">
      <alignment horizontal="left" vertical="top" wrapText="1"/>
    </xf>
    <xf numFmtId="0" fontId="22" fillId="0" borderId="0" xfId="0" applyFont="1" applyAlignment="1">
      <alignment vertical="top" wrapText="1"/>
    </xf>
    <xf numFmtId="167" fontId="22" fillId="0" borderId="0" xfId="0" applyNumberFormat="1" applyFont="1" applyAlignment="1">
      <alignment horizontal="right" vertical="top" wrapText="1"/>
    </xf>
    <xf numFmtId="168" fontId="22" fillId="0" borderId="0" xfId="0" applyNumberFormat="1" applyFont="1" applyAlignment="1">
      <alignment horizontal="left" vertical="top" wrapText="1"/>
    </xf>
    <xf numFmtId="14" fontId="22" fillId="0" borderId="0" xfId="4" applyNumberFormat="1" applyAlignment="1">
      <alignment vertical="top" wrapText="1"/>
    </xf>
    <xf numFmtId="165" fontId="22" fillId="0" borderId="0" xfId="4" applyNumberFormat="1" applyAlignment="1">
      <alignment vertical="top" wrapText="1"/>
    </xf>
    <xf numFmtId="165" fontId="22" fillId="0" borderId="0" xfId="0" applyNumberFormat="1" applyFont="1" applyAlignment="1">
      <alignment vertical="top" wrapText="1"/>
    </xf>
    <xf numFmtId="165" fontId="0" fillId="0" borderId="0" xfId="0" applyNumberFormat="1"/>
    <xf numFmtId="166" fontId="0" fillId="0" borderId="0" xfId="0" applyNumberFormat="1"/>
    <xf numFmtId="166" fontId="8" fillId="0" borderId="0" xfId="0" applyNumberFormat="1" applyFont="1"/>
    <xf numFmtId="172" fontId="0" fillId="6" borderId="0" xfId="0" applyNumberFormat="1" applyFill="1"/>
    <xf numFmtId="0" fontId="0" fillId="0" borderId="0" xfId="0" pivotButton="1"/>
    <xf numFmtId="166" fontId="8" fillId="0" borderId="0" xfId="0" applyNumberFormat="1" applyFont="1" applyAlignment="1">
      <alignment horizontal="center" vertical="center"/>
    </xf>
    <xf numFmtId="172" fontId="0" fillId="0" borderId="0" xfId="0" applyNumberFormat="1"/>
    <xf numFmtId="173" fontId="0" fillId="6" borderId="0" xfId="0" applyNumberFormat="1" applyFill="1"/>
    <xf numFmtId="173" fontId="0" fillId="0" borderId="0" xfId="0" applyNumberFormat="1"/>
    <xf numFmtId="2" fontId="0" fillId="0" borderId="0" xfId="0" applyNumberFormat="1" applyAlignment="1">
      <alignment horizontal="center" vertical="center" wrapText="1"/>
    </xf>
    <xf numFmtId="174" fontId="0" fillId="0" borderId="0" xfId="0" applyNumberFormat="1"/>
    <xf numFmtId="2" fontId="8" fillId="0" borderId="0" xfId="0" applyNumberFormat="1" applyFont="1" applyAlignment="1">
      <alignment horizontal="center" vertical="center" wrapText="1"/>
    </xf>
    <xf numFmtId="176" fontId="0" fillId="0" borderId="0" xfId="0" applyNumberFormat="1"/>
    <xf numFmtId="177" fontId="0" fillId="0" borderId="0" xfId="0" applyNumberFormat="1"/>
    <xf numFmtId="175" fontId="0" fillId="0" borderId="0" xfId="0" applyNumberFormat="1"/>
    <xf numFmtId="0" fontId="26" fillId="5" borderId="0" xfId="0" applyFont="1" applyFill="1" applyAlignment="1">
      <alignment horizontal="left"/>
    </xf>
    <xf numFmtId="0" fontId="27" fillId="0" borderId="0" xfId="0" applyFont="1"/>
    <xf numFmtId="0" fontId="26" fillId="0" borderId="0" xfId="0" applyFont="1"/>
    <xf numFmtId="0" fontId="27" fillId="6" borderId="0" xfId="0" applyFont="1" applyFill="1"/>
    <xf numFmtId="16" fontId="26" fillId="5" borderId="0" xfId="0" applyNumberFormat="1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2" borderId="0" xfId="0" applyFont="1" applyFill="1" applyAlignment="1">
      <alignment horizontal="left"/>
    </xf>
    <xf numFmtId="16" fontId="22" fillId="0" borderId="0" xfId="4" applyNumberFormat="1" applyAlignment="1">
      <alignment vertical="top" wrapText="1"/>
    </xf>
    <xf numFmtId="169" fontId="22" fillId="0" borderId="0" xfId="0" applyNumberFormat="1" applyFont="1" applyAlignment="1">
      <alignment horizontal="right" vertical="top" wrapText="1"/>
    </xf>
    <xf numFmtId="16" fontId="22" fillId="0" borderId="0" xfId="0" applyNumberFormat="1" applyFont="1" applyAlignment="1">
      <alignment vertical="top" wrapText="1"/>
    </xf>
    <xf numFmtId="14" fontId="22" fillId="0" borderId="0" xfId="3" applyNumberFormat="1" applyAlignment="1">
      <alignment vertical="top" wrapText="1"/>
    </xf>
    <xf numFmtId="0" fontId="22" fillId="0" borderId="0" xfId="3" applyAlignment="1">
      <alignment vertical="top" wrapText="1"/>
    </xf>
    <xf numFmtId="167" fontId="22" fillId="0" borderId="0" xfId="3" applyNumberFormat="1" applyAlignment="1">
      <alignment horizontal="right" vertical="top" wrapText="1"/>
    </xf>
    <xf numFmtId="2" fontId="22" fillId="0" borderId="0" xfId="3" applyNumberFormat="1" applyAlignment="1">
      <alignment horizontal="right" vertical="top" wrapText="1"/>
    </xf>
    <xf numFmtId="168" fontId="22" fillId="0" borderId="0" xfId="3" applyNumberFormat="1" applyAlignment="1">
      <alignment horizontal="left" vertical="top" wrapText="1"/>
    </xf>
    <xf numFmtId="171" fontId="22" fillId="0" borderId="0" xfId="3" applyNumberFormat="1" applyAlignment="1">
      <alignment vertical="top"/>
    </xf>
    <xf numFmtId="169" fontId="22" fillId="0" borderId="0" xfId="3" applyNumberFormat="1" applyAlignment="1">
      <alignment horizontal="right" vertical="top" wrapText="1"/>
    </xf>
    <xf numFmtId="165" fontId="22" fillId="0" borderId="0" xfId="3" applyNumberFormat="1" applyAlignment="1">
      <alignment vertical="top" wrapText="1"/>
    </xf>
    <xf numFmtId="170" fontId="22" fillId="0" borderId="0" xfId="4" applyNumberFormat="1" applyAlignment="1">
      <alignment horizontal="left" vertical="top" wrapText="1"/>
    </xf>
    <xf numFmtId="16" fontId="22" fillId="0" borderId="0" xfId="3" applyNumberFormat="1" applyAlignment="1">
      <alignment vertical="top" wrapText="1"/>
    </xf>
    <xf numFmtId="0" fontId="24" fillId="0" borderId="0" xfId="4" applyFont="1" applyAlignment="1">
      <alignment horizontal="center" vertical="center" wrapText="1"/>
    </xf>
    <xf numFmtId="0" fontId="24" fillId="7" borderId="0" xfId="4" applyFont="1" applyFill="1" applyAlignment="1">
      <alignment horizontal="center" vertical="center" wrapText="1"/>
    </xf>
    <xf numFmtId="16" fontId="24" fillId="0" borderId="0" xfId="4" applyNumberFormat="1" applyFont="1" applyAlignment="1">
      <alignment horizontal="center" vertical="center" wrapText="1"/>
    </xf>
    <xf numFmtId="165" fontId="24" fillId="0" borderId="0" xfId="4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3" fontId="8" fillId="0" borderId="0" xfId="0" applyNumberFormat="1" applyFont="1" applyAlignment="1">
      <alignment horizontal="center"/>
    </xf>
    <xf numFmtId="0" fontId="24" fillId="7" borderId="0" xfId="0" applyFont="1" applyFill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181" fontId="0" fillId="6" borderId="0" xfId="0" applyNumberFormat="1" applyFill="1"/>
    <xf numFmtId="182" fontId="0" fillId="6" borderId="0" xfId="0" applyNumberFormat="1" applyFill="1"/>
    <xf numFmtId="182" fontId="0" fillId="8" borderId="0" xfId="0" applyNumberFormat="1" applyFill="1"/>
    <xf numFmtId="167" fontId="22" fillId="0" borderId="0" xfId="3" applyNumberFormat="1" applyAlignment="1">
      <alignment vertical="top" wrapText="1"/>
    </xf>
    <xf numFmtId="167" fontId="22" fillId="0" borderId="0" xfId="0" applyNumberFormat="1" applyFont="1" applyAlignment="1">
      <alignment vertical="top" wrapText="1"/>
    </xf>
    <xf numFmtId="165" fontId="0" fillId="6" borderId="0" xfId="0" applyNumberFormat="1" applyFill="1"/>
    <xf numFmtId="165" fontId="8" fillId="0" borderId="0" xfId="0" applyNumberFormat="1" applyFont="1"/>
    <xf numFmtId="179" fontId="0" fillId="6" borderId="0" xfId="0" applyNumberFormat="1" applyFill="1" applyAlignment="1">
      <alignment horizontal="center"/>
    </xf>
    <xf numFmtId="0" fontId="32" fillId="0" borderId="0" xfId="0" applyFont="1"/>
    <xf numFmtId="179" fontId="0" fillId="0" borderId="0" xfId="0" applyNumberFormat="1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24" fillId="9" borderId="0" xfId="4" applyFont="1" applyFill="1" applyAlignment="1">
      <alignment horizontal="center" vertical="center" wrapText="1"/>
    </xf>
    <xf numFmtId="14" fontId="22" fillId="0" borderId="0" xfId="0" applyNumberFormat="1" applyFont="1" applyAlignment="1">
      <alignment vertical="top" wrapText="1"/>
    </xf>
    <xf numFmtId="9" fontId="8" fillId="0" borderId="0" xfId="1" applyFont="1"/>
    <xf numFmtId="0" fontId="23" fillId="0" borderId="0" xfId="0" applyFont="1"/>
    <xf numFmtId="1" fontId="22" fillId="0" borderId="0" xfId="0" applyNumberFormat="1" applyFont="1" applyAlignment="1">
      <alignment vertical="top" wrapText="1"/>
    </xf>
    <xf numFmtId="0" fontId="23" fillId="10" borderId="7" xfId="0" applyFont="1" applyFill="1" applyBorder="1" applyAlignment="1">
      <alignment vertical="top" wrapText="1"/>
    </xf>
    <xf numFmtId="0" fontId="23" fillId="10" borderId="9" xfId="0" applyFont="1" applyFill="1" applyBorder="1" applyAlignment="1">
      <alignment vertical="top" wrapText="1"/>
    </xf>
    <xf numFmtId="0" fontId="23" fillId="10" borderId="12" xfId="0" applyFont="1" applyFill="1" applyBorder="1" applyAlignment="1">
      <alignment vertical="top" wrapText="1"/>
    </xf>
    <xf numFmtId="0" fontId="23" fillId="10" borderId="11" xfId="0" applyFont="1" applyFill="1" applyBorder="1" applyAlignment="1">
      <alignment vertical="top" wrapText="1"/>
    </xf>
    <xf numFmtId="0" fontId="23" fillId="0" borderId="7" xfId="0" applyFont="1" applyBorder="1"/>
    <xf numFmtId="165" fontId="0" fillId="0" borderId="7" xfId="0" applyNumberFormat="1" applyBorder="1" applyAlignment="1">
      <alignment horizontal="right"/>
    </xf>
    <xf numFmtId="0" fontId="0" fillId="0" borderId="7" xfId="0" applyBorder="1"/>
    <xf numFmtId="0" fontId="31" fillId="0" borderId="7" xfId="0" applyFont="1" applyBorder="1" applyAlignment="1">
      <alignment horizontal="right"/>
    </xf>
    <xf numFmtId="0" fontId="23" fillId="11" borderId="7" xfId="0" applyFont="1" applyFill="1" applyBorder="1" applyAlignment="1">
      <alignment vertical="top" wrapText="1"/>
    </xf>
    <xf numFmtId="179" fontId="0" fillId="0" borderId="7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0" fontId="23" fillId="0" borderId="0" xfId="0" applyFont="1" applyAlignment="1">
      <alignment wrapText="1"/>
    </xf>
    <xf numFmtId="0" fontId="22" fillId="0" borderId="0" xfId="4" applyAlignment="1">
      <alignment horizontal="right" vertical="top" wrapText="1"/>
    </xf>
    <xf numFmtId="0" fontId="22" fillId="0" borderId="0" xfId="3" applyAlignment="1">
      <alignment horizontal="right" vertical="top" wrapText="1"/>
    </xf>
    <xf numFmtId="0" fontId="22" fillId="0" borderId="0" xfId="0" applyFont="1" applyAlignment="1">
      <alignment horizontal="right" vertical="top" wrapText="1"/>
    </xf>
    <xf numFmtId="166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right" vertical="top" wrapText="1"/>
    </xf>
    <xf numFmtId="183" fontId="0" fillId="0" borderId="0" xfId="0" applyNumberFormat="1"/>
    <xf numFmtId="0" fontId="23" fillId="0" borderId="0" xfId="0" applyFont="1" applyAlignment="1">
      <alignment vertical="top" wrapText="1"/>
    </xf>
    <xf numFmtId="165" fontId="23" fillId="0" borderId="0" xfId="0" applyNumberFormat="1" applyFont="1" applyAlignment="1">
      <alignment horizontal="right" vertical="top" wrapText="1"/>
    </xf>
    <xf numFmtId="0" fontId="23" fillId="0" borderId="0" xfId="0" applyFont="1" applyAlignment="1">
      <alignment horizontal="right" vertical="top" wrapText="1"/>
    </xf>
    <xf numFmtId="3" fontId="23" fillId="0" borderId="0" xfId="0" applyNumberFormat="1" applyFont="1" applyAlignment="1">
      <alignment horizontal="right" vertical="top" wrapText="1"/>
    </xf>
    <xf numFmtId="14" fontId="23" fillId="0" borderId="0" xfId="0" applyNumberFormat="1" applyFont="1" applyAlignment="1">
      <alignment horizontal="right" vertical="top" wrapText="1"/>
    </xf>
    <xf numFmtId="0" fontId="23" fillId="0" borderId="0" xfId="0" applyFont="1" applyAlignment="1">
      <alignment horizontal="center" vertical="center" wrapText="1"/>
    </xf>
    <xf numFmtId="167" fontId="23" fillId="0" borderId="0" xfId="0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14" fontId="23" fillId="0" borderId="0" xfId="0" applyNumberFormat="1" applyFont="1" applyAlignment="1">
      <alignment horizontal="center" vertical="center" wrapText="1"/>
    </xf>
    <xf numFmtId="183" fontId="2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78" fontId="23" fillId="0" borderId="0" xfId="0" applyNumberFormat="1" applyFont="1" applyAlignment="1">
      <alignment horizontal="left" vertical="top" wrapText="1"/>
    </xf>
    <xf numFmtId="1" fontId="23" fillId="0" borderId="0" xfId="0" applyNumberFormat="1" applyFont="1" applyAlignment="1">
      <alignment horizontal="left" vertical="top" wrapText="1"/>
    </xf>
    <xf numFmtId="179" fontId="23" fillId="0" borderId="0" xfId="0" applyNumberFormat="1" applyFont="1" applyAlignment="1">
      <alignment horizontal="right" vertical="top" wrapText="1"/>
    </xf>
    <xf numFmtId="183" fontId="23" fillId="0" borderId="0" xfId="0" applyNumberFormat="1" applyFont="1" applyAlignment="1">
      <alignment horizontal="right" vertical="top" wrapText="1"/>
    </xf>
    <xf numFmtId="167" fontId="23" fillId="0" borderId="0" xfId="0" applyNumberFormat="1" applyFont="1" applyAlignment="1">
      <alignment horizontal="right" vertical="top" wrapText="1"/>
    </xf>
    <xf numFmtId="180" fontId="23" fillId="0" borderId="0" xfId="0" applyNumberFormat="1" applyFont="1" applyAlignment="1">
      <alignment horizontal="left" vertical="top" wrapText="1"/>
    </xf>
    <xf numFmtId="167" fontId="0" fillId="0" borderId="0" xfId="0" applyNumberFormat="1"/>
    <xf numFmtId="49" fontId="22" fillId="0" borderId="0" xfId="0" applyNumberFormat="1" applyFont="1" applyAlignment="1">
      <alignment vertical="top" wrapText="1"/>
    </xf>
    <xf numFmtId="14" fontId="24" fillId="0" borderId="0" xfId="4" applyNumberFormat="1" applyFont="1" applyAlignment="1">
      <alignment horizontal="center" vertical="center" wrapText="1"/>
    </xf>
    <xf numFmtId="14" fontId="22" fillId="0" borderId="0" xfId="4" applyNumberFormat="1" applyAlignment="1">
      <alignment vertical="top"/>
    </xf>
    <xf numFmtId="14" fontId="22" fillId="0" borderId="0" xfId="3" applyNumberFormat="1" applyAlignment="1">
      <alignment vertical="top"/>
    </xf>
    <xf numFmtId="14" fontId="22" fillId="0" borderId="0" xfId="0" applyNumberFormat="1" applyFont="1" applyAlignment="1">
      <alignment vertical="top"/>
    </xf>
    <xf numFmtId="14" fontId="22" fillId="0" borderId="0" xfId="0" applyNumberFormat="1" applyFont="1" applyAlignment="1">
      <alignment horizontal="right" vertical="top" wrapText="1"/>
    </xf>
    <xf numFmtId="0" fontId="33" fillId="0" borderId="0" xfId="0" applyFont="1" applyAlignment="1">
      <alignment horizontal="left"/>
    </xf>
    <xf numFmtId="0" fontId="23" fillId="0" borderId="7" xfId="0" applyFont="1" applyBorder="1" applyAlignment="1">
      <alignment vertical="center" wrapText="1"/>
    </xf>
    <xf numFmtId="0" fontId="23" fillId="0" borderId="7" xfId="0" applyFont="1" applyBorder="1" applyAlignment="1">
      <alignment vertical="top" wrapText="1"/>
    </xf>
    <xf numFmtId="178" fontId="23" fillId="0" borderId="7" xfId="0" applyNumberFormat="1" applyFont="1" applyBorder="1" applyAlignment="1">
      <alignment horizontal="left" vertical="top" wrapText="1"/>
    </xf>
    <xf numFmtId="1" fontId="23" fillId="0" borderId="7" xfId="0" applyNumberFormat="1" applyFont="1" applyBorder="1" applyAlignment="1">
      <alignment horizontal="left" vertical="top" wrapText="1"/>
    </xf>
    <xf numFmtId="165" fontId="23" fillId="0" borderId="7" xfId="0" applyNumberFormat="1" applyFont="1" applyBorder="1" applyAlignment="1">
      <alignment horizontal="right" vertical="top" wrapText="1"/>
    </xf>
    <xf numFmtId="179" fontId="23" fillId="0" borderId="7" xfId="0" applyNumberFormat="1" applyFont="1" applyBorder="1" applyAlignment="1">
      <alignment horizontal="right" vertical="top" wrapText="1"/>
    </xf>
    <xf numFmtId="0" fontId="23" fillId="0" borderId="7" xfId="0" applyFont="1" applyBorder="1" applyAlignment="1">
      <alignment horizontal="right" vertical="top" wrapText="1"/>
    </xf>
    <xf numFmtId="180" fontId="23" fillId="0" borderId="7" xfId="0" applyNumberFormat="1" applyFont="1" applyBorder="1" applyAlignment="1">
      <alignment horizontal="left" vertical="top" wrapText="1"/>
    </xf>
    <xf numFmtId="0" fontId="23" fillId="9" borderId="0" xfId="0" applyFont="1" applyFill="1" applyAlignment="1">
      <alignment vertical="top" wrapText="1"/>
    </xf>
    <xf numFmtId="0" fontId="0" fillId="9" borderId="0" xfId="0" applyFill="1"/>
    <xf numFmtId="165" fontId="23" fillId="9" borderId="0" xfId="0" applyNumberFormat="1" applyFont="1" applyFill="1" applyAlignment="1">
      <alignment horizontal="right" vertical="top" wrapText="1"/>
    </xf>
    <xf numFmtId="0" fontId="23" fillId="9" borderId="0" xfId="0" applyFont="1" applyFill="1" applyAlignment="1">
      <alignment horizontal="right" vertical="top" wrapText="1"/>
    </xf>
    <xf numFmtId="3" fontId="23" fillId="9" borderId="0" xfId="0" applyNumberFormat="1" applyFont="1" applyFill="1" applyAlignment="1">
      <alignment horizontal="right" vertical="top" wrapText="1"/>
    </xf>
    <xf numFmtId="14" fontId="23" fillId="9" borderId="0" xfId="0" applyNumberFormat="1" applyFont="1" applyFill="1" applyAlignment="1">
      <alignment horizontal="right" vertical="top" wrapText="1"/>
    </xf>
    <xf numFmtId="183" fontId="23" fillId="9" borderId="0" xfId="0" applyNumberFormat="1" applyFont="1" applyFill="1" applyAlignment="1">
      <alignment horizontal="right" vertical="top" wrapText="1"/>
    </xf>
    <xf numFmtId="3" fontId="4" fillId="0" borderId="0" xfId="0" applyNumberFormat="1" applyFont="1"/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0" fillId="0" borderId="0" xfId="0" applyAlignment="1">
      <alignment horizontal="left" indent="1"/>
    </xf>
    <xf numFmtId="167" fontId="22" fillId="12" borderId="0" xfId="3" applyNumberFormat="1" applyFill="1" applyAlignment="1">
      <alignment horizontal="right" vertical="top" wrapText="1"/>
    </xf>
    <xf numFmtId="181" fontId="0" fillId="0" borderId="0" xfId="0" applyNumberFormat="1"/>
    <xf numFmtId="182" fontId="0" fillId="0" borderId="0" xfId="0" applyNumberFormat="1"/>
    <xf numFmtId="0" fontId="22" fillId="13" borderId="0" xfId="0" applyFont="1" applyFill="1" applyAlignment="1">
      <alignment vertical="top" wrapText="1"/>
    </xf>
    <xf numFmtId="167" fontId="22" fillId="13" borderId="0" xfId="0" applyNumberFormat="1" applyFont="1" applyFill="1" applyAlignment="1">
      <alignment horizontal="right" vertical="top" wrapText="1"/>
    </xf>
    <xf numFmtId="14" fontId="22" fillId="13" borderId="0" xfId="0" applyNumberFormat="1" applyFont="1" applyFill="1" applyAlignment="1">
      <alignment horizontal="right" vertical="top" wrapText="1"/>
    </xf>
    <xf numFmtId="0" fontId="22" fillId="13" borderId="0" xfId="4" applyFill="1" applyAlignment="1">
      <alignment vertical="top" wrapText="1"/>
    </xf>
    <xf numFmtId="165" fontId="22" fillId="13" borderId="0" xfId="0" applyNumberFormat="1" applyFont="1" applyFill="1" applyAlignment="1">
      <alignment vertical="top" wrapText="1"/>
    </xf>
    <xf numFmtId="14" fontId="22" fillId="13" borderId="0" xfId="0" applyNumberFormat="1" applyFont="1" applyFill="1" applyAlignment="1">
      <alignment vertical="top" wrapText="1"/>
    </xf>
    <xf numFmtId="0" fontId="0" fillId="13" borderId="0" xfId="0" applyFill="1"/>
    <xf numFmtId="0" fontId="24" fillId="14" borderId="0" xfId="0" applyFont="1" applyFill="1" applyAlignment="1">
      <alignment horizontal="center" vertical="center" wrapText="1"/>
    </xf>
    <xf numFmtId="165" fontId="24" fillId="14" borderId="0" xfId="0" applyNumberFormat="1" applyFont="1" applyFill="1" applyAlignment="1">
      <alignment horizontal="center" vertical="center" wrapText="1"/>
    </xf>
    <xf numFmtId="0" fontId="24" fillId="15" borderId="0" xfId="0" applyFont="1" applyFill="1" applyAlignment="1">
      <alignment horizontal="center" vertical="center" wrapText="1"/>
    </xf>
    <xf numFmtId="0" fontId="42" fillId="0" borderId="13" xfId="13" applyFont="1" applyFill="1"/>
    <xf numFmtId="0" fontId="43" fillId="0" borderId="17" xfId="6" applyFont="1" applyBorder="1"/>
    <xf numFmtId="0" fontId="43" fillId="0" borderId="0" xfId="6" applyFont="1"/>
    <xf numFmtId="0" fontId="44" fillId="0" borderId="17" xfId="6" applyFont="1" applyBorder="1"/>
    <xf numFmtId="185" fontId="43" fillId="0" borderId="17" xfId="6" applyNumberFormat="1" applyFont="1" applyBorder="1" applyAlignment="1">
      <alignment vertical="center"/>
    </xf>
    <xf numFmtId="9" fontId="43" fillId="0" borderId="17" xfId="8" applyFont="1" applyFill="1" applyBorder="1" applyAlignment="1">
      <alignment vertical="center"/>
    </xf>
    <xf numFmtId="0" fontId="43" fillId="0" borderId="17" xfId="6" applyFont="1" applyBorder="1" applyAlignment="1">
      <alignment vertical="center"/>
    </xf>
    <xf numFmtId="185" fontId="43" fillId="0" borderId="17" xfId="6" applyNumberFormat="1" applyFont="1" applyBorder="1"/>
    <xf numFmtId="9" fontId="43" fillId="0" borderId="17" xfId="8" applyFont="1" applyFill="1" applyBorder="1"/>
    <xf numFmtId="0" fontId="43" fillId="0" borderId="0" xfId="0" applyFont="1"/>
    <xf numFmtId="0" fontId="43" fillId="0" borderId="23" xfId="6" applyFont="1" applyBorder="1" applyAlignment="1">
      <alignment vertical="top"/>
    </xf>
    <xf numFmtId="0" fontId="43" fillId="0" borderId="24" xfId="6" applyFont="1" applyBorder="1" applyAlignment="1">
      <alignment vertical="top"/>
    </xf>
    <xf numFmtId="0" fontId="45" fillId="0" borderId="24" xfId="6" applyFont="1" applyBorder="1" applyAlignment="1">
      <alignment vertical="top"/>
    </xf>
    <xf numFmtId="0" fontId="44" fillId="0" borderId="24" xfId="6" applyFont="1" applyBorder="1" applyAlignment="1">
      <alignment vertical="top"/>
    </xf>
    <xf numFmtId="0" fontId="43" fillId="0" borderId="24" xfId="6" applyFont="1" applyBorder="1" applyAlignment="1">
      <alignment vertical="center"/>
    </xf>
    <xf numFmtId="0" fontId="43" fillId="0" borderId="0" xfId="6" applyFont="1" applyAlignment="1">
      <alignment vertical="top"/>
    </xf>
    <xf numFmtId="0" fontId="43" fillId="0" borderId="26" xfId="0" applyFont="1" applyBorder="1"/>
    <xf numFmtId="185" fontId="43" fillId="0" borderId="27" xfId="5" applyNumberFormat="1" applyFont="1" applyBorder="1"/>
    <xf numFmtId="185" fontId="46" fillId="0" borderId="27" xfId="5" applyNumberFormat="1" applyFont="1" applyBorder="1"/>
    <xf numFmtId="185" fontId="44" fillId="0" borderId="27" xfId="5" applyNumberFormat="1" applyFont="1" applyBorder="1"/>
    <xf numFmtId="185" fontId="46" fillId="0" borderId="29" xfId="5" applyNumberFormat="1" applyFont="1" applyBorder="1"/>
    <xf numFmtId="185" fontId="44" fillId="0" borderId="29" xfId="5" applyNumberFormat="1" applyFont="1" applyBorder="1"/>
    <xf numFmtId="43" fontId="43" fillId="0" borderId="27" xfId="5" applyFont="1" applyBorder="1"/>
    <xf numFmtId="43" fontId="46" fillId="0" borderId="27" xfId="5" applyFont="1" applyBorder="1"/>
    <xf numFmtId="43" fontId="44" fillId="0" borderId="27" xfId="5" applyFont="1" applyBorder="1"/>
    <xf numFmtId="9" fontId="48" fillId="0" borderId="27" xfId="8" applyFont="1" applyBorder="1" applyAlignment="1"/>
    <xf numFmtId="43" fontId="46" fillId="0" borderId="27" xfId="5" applyFont="1" applyFill="1" applyBorder="1"/>
    <xf numFmtId="43" fontId="44" fillId="0" borderId="27" xfId="5" applyFont="1" applyFill="1" applyBorder="1"/>
    <xf numFmtId="43" fontId="46" fillId="4" borderId="27" xfId="5" applyFont="1" applyFill="1" applyBorder="1"/>
    <xf numFmtId="43" fontId="44" fillId="18" borderId="29" xfId="5" applyFont="1" applyFill="1" applyBorder="1"/>
    <xf numFmtId="43" fontId="43" fillId="0" borderId="29" xfId="5" applyFont="1" applyBorder="1"/>
    <xf numFmtId="43" fontId="46" fillId="4" borderId="29" xfId="5" applyFont="1" applyFill="1" applyBorder="1"/>
    <xf numFmtId="0" fontId="49" fillId="0" borderId="28" xfId="0" applyFont="1" applyBorder="1" applyAlignment="1">
      <alignment horizontal="left" indent="3"/>
    </xf>
    <xf numFmtId="185" fontId="49" fillId="0" borderId="29" xfId="5" applyNumberFormat="1" applyFont="1" applyBorder="1"/>
    <xf numFmtId="185" fontId="49" fillId="0" borderId="29" xfId="5" applyNumberFormat="1" applyFont="1" applyFill="1" applyBorder="1"/>
    <xf numFmtId="185" fontId="44" fillId="0" borderId="29" xfId="5" applyNumberFormat="1" applyFont="1" applyFill="1" applyBorder="1"/>
    <xf numFmtId="43" fontId="49" fillId="0" borderId="29" xfId="5" applyFont="1" applyBorder="1"/>
    <xf numFmtId="43" fontId="46" fillId="0" borderId="29" xfId="5" applyFont="1" applyBorder="1"/>
    <xf numFmtId="43" fontId="44" fillId="0" borderId="29" xfId="5" applyFont="1" applyBorder="1"/>
    <xf numFmtId="9" fontId="48" fillId="0" borderId="29" xfId="8" applyFont="1" applyBorder="1" applyAlignment="1"/>
    <xf numFmtId="43" fontId="46" fillId="0" borderId="29" xfId="5" applyFont="1" applyFill="1" applyBorder="1"/>
    <xf numFmtId="43" fontId="44" fillId="0" borderId="29" xfId="5" applyFont="1" applyFill="1" applyBorder="1"/>
    <xf numFmtId="0" fontId="49" fillId="0" borderId="0" xfId="0" applyFont="1"/>
    <xf numFmtId="0" fontId="43" fillId="0" borderId="28" xfId="0" applyFont="1" applyBorder="1"/>
    <xf numFmtId="185" fontId="43" fillId="0" borderId="29" xfId="5" applyNumberFormat="1" applyFont="1" applyBorder="1"/>
    <xf numFmtId="185" fontId="46" fillId="0" borderId="29" xfId="5" applyNumberFormat="1" applyFont="1" applyFill="1" applyBorder="1"/>
    <xf numFmtId="185" fontId="43" fillId="0" borderId="29" xfId="5" applyNumberFormat="1" applyFont="1" applyFill="1" applyBorder="1"/>
    <xf numFmtId="185" fontId="43" fillId="0" borderId="30" xfId="5" applyNumberFormat="1" applyFont="1" applyBorder="1"/>
    <xf numFmtId="185" fontId="43" fillId="0" borderId="30" xfId="5" applyNumberFormat="1" applyFont="1" applyFill="1" applyBorder="1"/>
    <xf numFmtId="185" fontId="44" fillId="0" borderId="30" xfId="5" applyNumberFormat="1" applyFont="1" applyFill="1" applyBorder="1"/>
    <xf numFmtId="185" fontId="46" fillId="0" borderId="30" xfId="5" applyNumberFormat="1" applyFont="1" applyBorder="1"/>
    <xf numFmtId="185" fontId="44" fillId="0" borderId="30" xfId="5" applyNumberFormat="1" applyFont="1" applyBorder="1"/>
    <xf numFmtId="43" fontId="43" fillId="0" borderId="30" xfId="5" applyFont="1" applyBorder="1"/>
    <xf numFmtId="43" fontId="46" fillId="0" borderId="30" xfId="5" applyFont="1" applyBorder="1"/>
    <xf numFmtId="43" fontId="44" fillId="0" borderId="30" xfId="5" applyFont="1" applyBorder="1"/>
    <xf numFmtId="9" fontId="48" fillId="0" borderId="30" xfId="8" applyFont="1" applyBorder="1" applyAlignment="1"/>
    <xf numFmtId="43" fontId="46" fillId="0" borderId="30" xfId="5" applyFont="1" applyFill="1" applyBorder="1"/>
    <xf numFmtId="43" fontId="44" fillId="0" borderId="30" xfId="5" applyFont="1" applyFill="1" applyBorder="1"/>
    <xf numFmtId="43" fontId="46" fillId="4" borderId="30" xfId="5" applyFont="1" applyFill="1" applyBorder="1"/>
    <xf numFmtId="43" fontId="44" fillId="18" borderId="30" xfId="5" applyFont="1" applyFill="1" applyBorder="1"/>
    <xf numFmtId="0" fontId="43" fillId="0" borderId="21" xfId="0" applyFont="1" applyBorder="1"/>
    <xf numFmtId="185" fontId="43" fillId="0" borderId="20" xfId="5" applyNumberFormat="1" applyFont="1" applyBorder="1"/>
    <xf numFmtId="185" fontId="43" fillId="0" borderId="20" xfId="5" applyNumberFormat="1" applyFont="1" applyFill="1" applyBorder="1"/>
    <xf numFmtId="185" fontId="46" fillId="0" borderId="20" xfId="5" applyNumberFormat="1" applyFont="1" applyBorder="1"/>
    <xf numFmtId="185" fontId="44" fillId="0" borderId="20" xfId="5" applyNumberFormat="1" applyFont="1" applyBorder="1"/>
    <xf numFmtId="185" fontId="46" fillId="0" borderId="31" xfId="5" applyNumberFormat="1" applyFont="1" applyBorder="1"/>
    <xf numFmtId="43" fontId="43" fillId="0" borderId="20" xfId="5" applyFont="1" applyBorder="1"/>
    <xf numFmtId="43" fontId="46" fillId="0" borderId="20" xfId="5" applyFont="1" applyFill="1" applyBorder="1"/>
    <xf numFmtId="43" fontId="44" fillId="0" borderId="20" xfId="5" applyFont="1" applyFill="1" applyBorder="1"/>
    <xf numFmtId="9" fontId="48" fillId="0" borderId="20" xfId="8" applyFont="1" applyBorder="1" applyAlignment="1"/>
    <xf numFmtId="43" fontId="46" fillId="0" borderId="20" xfId="5" applyFont="1" applyBorder="1"/>
    <xf numFmtId="43" fontId="44" fillId="18" borderId="20" xfId="5" applyFont="1" applyFill="1" applyBorder="1"/>
    <xf numFmtId="0" fontId="46" fillId="0" borderId="17" xfId="6" applyFont="1" applyBorder="1"/>
    <xf numFmtId="43" fontId="43" fillId="0" borderId="17" xfId="6" applyNumberFormat="1" applyFont="1" applyBorder="1"/>
    <xf numFmtId="43" fontId="45" fillId="0" borderId="17" xfId="6" applyNumberFormat="1" applyFont="1" applyBorder="1"/>
    <xf numFmtId="185" fontId="46" fillId="0" borderId="17" xfId="6" applyNumberFormat="1" applyFont="1" applyBorder="1"/>
    <xf numFmtId="185" fontId="44" fillId="0" borderId="17" xfId="6" applyNumberFormat="1" applyFont="1" applyBorder="1"/>
    <xf numFmtId="185" fontId="47" fillId="0" borderId="17" xfId="6" applyNumberFormat="1" applyFont="1" applyBorder="1"/>
    <xf numFmtId="0" fontId="50" fillId="0" borderId="17" xfId="6" applyFont="1" applyBorder="1"/>
    <xf numFmtId="0" fontId="45" fillId="0" borderId="17" xfId="6" applyFont="1" applyBorder="1"/>
    <xf numFmtId="0" fontId="43" fillId="0" borderId="27" xfId="6" applyFont="1" applyBorder="1"/>
    <xf numFmtId="185" fontId="43" fillId="0" borderId="27" xfId="6" applyNumberFormat="1" applyFont="1" applyBorder="1"/>
    <xf numFmtId="185" fontId="46" fillId="0" borderId="27" xfId="6" applyNumberFormat="1" applyFont="1" applyBorder="1"/>
    <xf numFmtId="185" fontId="44" fillId="0" borderId="27" xfId="6" applyNumberFormat="1" applyFont="1" applyBorder="1"/>
    <xf numFmtId="43" fontId="43" fillId="0" borderId="27" xfId="6" applyNumberFormat="1" applyFont="1" applyBorder="1"/>
    <xf numFmtId="43" fontId="46" fillId="0" borderId="27" xfId="6" applyNumberFormat="1" applyFont="1" applyBorder="1"/>
    <xf numFmtId="43" fontId="44" fillId="0" borderId="27" xfId="6" applyNumberFormat="1" applyFont="1" applyBorder="1"/>
    <xf numFmtId="185" fontId="43" fillId="0" borderId="27" xfId="7" applyNumberFormat="1" applyFont="1" applyFill="1" applyBorder="1"/>
    <xf numFmtId="185" fontId="46" fillId="0" borderId="27" xfId="7" applyNumberFormat="1" applyFont="1" applyFill="1" applyBorder="1"/>
    <xf numFmtId="185" fontId="44" fillId="0" borderId="27" xfId="7" applyNumberFormat="1" applyFont="1" applyFill="1" applyBorder="1"/>
    <xf numFmtId="9" fontId="48" fillId="0" borderId="27" xfId="8" applyFont="1" applyFill="1" applyBorder="1" applyAlignment="1"/>
    <xf numFmtId="43" fontId="43" fillId="0" borderId="27" xfId="7" applyFont="1" applyFill="1" applyBorder="1"/>
    <xf numFmtId="43" fontId="46" fillId="0" borderId="27" xfId="7" applyFont="1" applyFill="1" applyBorder="1"/>
    <xf numFmtId="43" fontId="44" fillId="0" borderId="27" xfId="7" applyFont="1" applyFill="1" applyBorder="1"/>
    <xf numFmtId="185" fontId="43" fillId="0" borderId="0" xfId="7" applyNumberFormat="1" applyFont="1" applyFill="1"/>
    <xf numFmtId="185" fontId="43" fillId="0" borderId="0" xfId="6" applyNumberFormat="1" applyFont="1"/>
    <xf numFmtId="185" fontId="44" fillId="0" borderId="0" xfId="6" applyNumberFormat="1" applyFont="1"/>
    <xf numFmtId="185" fontId="43" fillId="0" borderId="32" xfId="5" applyNumberFormat="1" applyFont="1" applyBorder="1"/>
    <xf numFmtId="185" fontId="44" fillId="0" borderId="32" xfId="5" applyNumberFormat="1" applyFont="1" applyFill="1" applyBorder="1"/>
    <xf numFmtId="185" fontId="51" fillId="0" borderId="27" xfId="5" applyNumberFormat="1" applyFont="1" applyBorder="1"/>
    <xf numFmtId="185" fontId="51" fillId="0" borderId="29" xfId="5" applyNumberFormat="1" applyFont="1" applyBorder="1"/>
    <xf numFmtId="185" fontId="51" fillId="0" borderId="29" xfId="5" applyNumberFormat="1" applyFont="1" applyFill="1" applyBorder="1"/>
    <xf numFmtId="185" fontId="51" fillId="0" borderId="30" xfId="5" applyNumberFormat="1" applyFont="1" applyFill="1" applyBorder="1"/>
    <xf numFmtId="185" fontId="51" fillId="0" borderId="20" xfId="5" applyNumberFormat="1" applyFont="1" applyFill="1" applyBorder="1"/>
    <xf numFmtId="0" fontId="51" fillId="0" borderId="17" xfId="6" applyFont="1" applyBorder="1"/>
    <xf numFmtId="185" fontId="51" fillId="0" borderId="27" xfId="6" applyNumberFormat="1" applyFont="1" applyBorder="1"/>
    <xf numFmtId="0" fontId="40" fillId="0" borderId="17" xfId="6" applyFont="1" applyBorder="1"/>
    <xf numFmtId="14" fontId="40" fillId="0" borderId="17" xfId="6" applyNumberFormat="1" applyFont="1" applyBorder="1"/>
    <xf numFmtId="0" fontId="40" fillId="0" borderId="0" xfId="6" applyFont="1"/>
    <xf numFmtId="0" fontId="52" fillId="0" borderId="24" xfId="6" applyFont="1" applyBorder="1" applyAlignment="1">
      <alignment vertical="top"/>
    </xf>
    <xf numFmtId="0" fontId="40" fillId="0" borderId="24" xfId="6" applyFont="1" applyBorder="1" applyAlignment="1">
      <alignment vertical="top"/>
    </xf>
    <xf numFmtId="0" fontId="40" fillId="0" borderId="0" xfId="6" applyFont="1" applyAlignment="1">
      <alignment vertical="top"/>
    </xf>
    <xf numFmtId="43" fontId="40" fillId="0" borderId="29" xfId="5" applyFont="1" applyBorder="1"/>
    <xf numFmtId="0" fontId="40" fillId="0" borderId="0" xfId="0" applyFont="1"/>
    <xf numFmtId="0" fontId="53" fillId="0" borderId="0" xfId="0" applyFont="1"/>
    <xf numFmtId="43" fontId="41" fillId="0" borderId="29" xfId="5" applyFont="1" applyBorder="1"/>
    <xf numFmtId="43" fontId="40" fillId="0" borderId="31" xfId="5" applyFont="1" applyBorder="1"/>
    <xf numFmtId="43" fontId="40" fillId="0" borderId="29" xfId="7" applyFont="1" applyFill="1" applyBorder="1"/>
    <xf numFmtId="43" fontId="41" fillId="0" borderId="29" xfId="7" applyFont="1" applyFill="1" applyBorder="1"/>
    <xf numFmtId="43" fontId="41" fillId="0" borderId="31" xfId="5" applyFont="1" applyBorder="1"/>
    <xf numFmtId="0" fontId="54" fillId="0" borderId="17" xfId="6" applyFont="1" applyBorder="1" applyAlignment="1">
      <alignment horizontal="center" vertical="center"/>
    </xf>
    <xf numFmtId="0" fontId="54" fillId="0" borderId="0" xfId="6" applyFont="1"/>
    <xf numFmtId="0" fontId="55" fillId="0" borderId="17" xfId="6" applyFont="1" applyBorder="1" applyAlignment="1">
      <alignment horizontal="center" vertical="center"/>
    </xf>
    <xf numFmtId="0" fontId="56" fillId="0" borderId="17" xfId="6" applyFont="1" applyBorder="1" applyAlignment="1">
      <alignment horizontal="center" vertical="center"/>
    </xf>
    <xf numFmtId="0" fontId="54" fillId="0" borderId="25" xfId="6" applyFont="1" applyBorder="1" applyAlignment="1">
      <alignment vertical="center" wrapText="1"/>
    </xf>
    <xf numFmtId="0" fontId="54" fillId="0" borderId="0" xfId="6" applyFont="1" applyAlignment="1">
      <alignment horizontal="center" vertical="center"/>
    </xf>
    <xf numFmtId="0" fontId="54" fillId="0" borderId="0" xfId="0" applyFont="1"/>
    <xf numFmtId="0" fontId="44" fillId="0" borderId="0" xfId="6" applyFont="1"/>
    <xf numFmtId="0" fontId="44" fillId="0" borderId="0" xfId="6" applyFont="1" applyAlignment="1">
      <alignment vertical="top"/>
    </xf>
    <xf numFmtId="0" fontId="55" fillId="0" borderId="0" xfId="6" applyFont="1" applyAlignment="1">
      <alignment horizontal="center" vertical="center"/>
    </xf>
    <xf numFmtId="43" fontId="44" fillId="0" borderId="0" xfId="5" applyFont="1" applyBorder="1"/>
    <xf numFmtId="43" fontId="44" fillId="0" borderId="0" xfId="5" applyFont="1" applyFill="1" applyBorder="1"/>
    <xf numFmtId="43" fontId="45" fillId="0" borderId="0" xfId="6" applyNumberFormat="1" applyFont="1"/>
    <xf numFmtId="43" fontId="44" fillId="0" borderId="0" xfId="6" applyNumberFormat="1" applyFont="1"/>
    <xf numFmtId="0" fontId="3" fillId="0" borderId="0" xfId="0" applyFont="1"/>
    <xf numFmtId="165" fontId="3" fillId="0" borderId="0" xfId="0" applyNumberFormat="1" applyFont="1"/>
    <xf numFmtId="3" fontId="3" fillId="0" borderId="0" xfId="0" applyNumberFormat="1" applyFont="1"/>
    <xf numFmtId="0" fontId="8" fillId="16" borderId="14" xfId="0" applyFont="1" applyFill="1" applyBorder="1"/>
    <xf numFmtId="0" fontId="8" fillId="16" borderId="15" xfId="0" applyFont="1" applyFill="1" applyBorder="1"/>
    <xf numFmtId="165" fontId="8" fillId="16" borderId="15" xfId="0" applyNumberFormat="1" applyFont="1" applyFill="1" applyBorder="1"/>
    <xf numFmtId="3" fontId="8" fillId="16" borderId="15" xfId="0" applyNumberFormat="1" applyFont="1" applyFill="1" applyBorder="1"/>
    <xf numFmtId="0" fontId="57" fillId="16" borderId="14" xfId="0" applyFont="1" applyFill="1" applyBorder="1"/>
    <xf numFmtId="0" fontId="57" fillId="16" borderId="14" xfId="0" applyFont="1" applyFill="1" applyBorder="1" applyAlignment="1">
      <alignment horizontal="center" vertical="center" wrapText="1"/>
    </xf>
    <xf numFmtId="0" fontId="58" fillId="0" borderId="0" xfId="0" applyFont="1"/>
    <xf numFmtId="3" fontId="34" fillId="17" borderId="16" xfId="0" applyNumberFormat="1" applyFont="1" applyFill="1" applyBorder="1"/>
    <xf numFmtId="185" fontId="0" fillId="0" borderId="0" xfId="5" applyNumberFormat="1" applyFont="1"/>
    <xf numFmtId="3" fontId="59" fillId="0" borderId="0" xfId="0" applyNumberFormat="1" applyFont="1"/>
    <xf numFmtId="0" fontId="59" fillId="16" borderId="14" xfId="0" applyFont="1" applyFill="1" applyBorder="1"/>
    <xf numFmtId="3" fontId="59" fillId="16" borderId="15" xfId="0" applyNumberFormat="1" applyFont="1" applyFill="1" applyBorder="1"/>
    <xf numFmtId="185" fontId="8" fillId="0" borderId="0" xfId="0" applyNumberFormat="1" applyFont="1"/>
    <xf numFmtId="9" fontId="0" fillId="0" borderId="0" xfId="0" applyNumberFormat="1"/>
    <xf numFmtId="0" fontId="0" fillId="0" borderId="18" xfId="0" applyBorder="1"/>
    <xf numFmtId="0" fontId="8" fillId="0" borderId="18" xfId="0" applyFont="1" applyBorder="1"/>
    <xf numFmtId="185" fontId="0" fillId="0" borderId="18" xfId="5" applyNumberFormat="1" applyFont="1" applyBorder="1"/>
    <xf numFmtId="185" fontId="8" fillId="0" borderId="18" xfId="0" applyNumberFormat="1" applyFont="1" applyBorder="1"/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165" fontId="21" fillId="0" borderId="0" xfId="0" applyNumberFormat="1" applyFont="1" applyAlignment="1">
      <alignment vertical="center" wrapText="1"/>
    </xf>
    <xf numFmtId="165" fontId="21" fillId="0" borderId="0" xfId="0" applyNumberFormat="1" applyFont="1" applyAlignment="1">
      <alignment horizontal="center" vertical="center" wrapText="1"/>
    </xf>
    <xf numFmtId="165" fontId="2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166" fontId="21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61" fillId="0" borderId="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1" fillId="0" borderId="34" xfId="0" applyFont="1" applyBorder="1" applyAlignment="1">
      <alignment vertical="center" wrapText="1"/>
    </xf>
    <xf numFmtId="166" fontId="21" fillId="0" borderId="35" xfId="1" applyNumberFormat="1" applyFont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0" fontId="20" fillId="3" borderId="37" xfId="0" applyFont="1" applyFill="1" applyBorder="1" applyAlignment="1">
      <alignment horizontal="center" vertical="center" wrapText="1"/>
    </xf>
    <xf numFmtId="165" fontId="20" fillId="3" borderId="37" xfId="0" applyNumberFormat="1" applyFont="1" applyFill="1" applyBorder="1" applyAlignment="1">
      <alignment horizontal="center" vertical="center" wrapText="1"/>
    </xf>
    <xf numFmtId="166" fontId="20" fillId="3" borderId="38" xfId="1" applyNumberFormat="1" applyFont="1" applyFill="1" applyBorder="1" applyAlignment="1">
      <alignment horizontal="center" vertical="center" wrapText="1"/>
    </xf>
    <xf numFmtId="0" fontId="21" fillId="0" borderId="39" xfId="0" applyFont="1" applyBorder="1" applyAlignment="1">
      <alignment vertical="center" wrapText="1"/>
    </xf>
    <xf numFmtId="0" fontId="21" fillId="0" borderId="40" xfId="0" applyFont="1" applyBorder="1" applyAlignment="1">
      <alignment vertical="center" wrapText="1"/>
    </xf>
    <xf numFmtId="165" fontId="21" fillId="0" borderId="40" xfId="0" applyNumberFormat="1" applyFont="1" applyBorder="1" applyAlignment="1">
      <alignment horizontal="center" vertical="center" wrapText="1"/>
    </xf>
    <xf numFmtId="166" fontId="21" fillId="0" borderId="40" xfId="1" applyNumberFormat="1" applyFont="1" applyBorder="1" applyAlignment="1">
      <alignment horizontal="center" vertical="center" wrapText="1"/>
    </xf>
    <xf numFmtId="165" fontId="20" fillId="0" borderId="40" xfId="0" applyNumberFormat="1" applyFont="1" applyBorder="1" applyAlignment="1">
      <alignment horizontal="center" vertical="center" wrapText="1"/>
    </xf>
    <xf numFmtId="166" fontId="21" fillId="0" borderId="41" xfId="1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178" fontId="22" fillId="0" borderId="0" xfId="0" applyNumberFormat="1" applyFont="1" applyAlignment="1">
      <alignment horizontal="left" vertical="top" wrapText="1"/>
    </xf>
    <xf numFmtId="1" fontId="22" fillId="0" borderId="0" xfId="0" applyNumberFormat="1" applyFont="1" applyAlignment="1">
      <alignment horizontal="left" vertical="top" wrapText="1"/>
    </xf>
    <xf numFmtId="165" fontId="22" fillId="0" borderId="0" xfId="0" applyNumberFormat="1" applyFont="1" applyAlignment="1">
      <alignment horizontal="right" vertical="top" wrapText="1"/>
    </xf>
    <xf numFmtId="179" fontId="22" fillId="0" borderId="0" xfId="0" applyNumberFormat="1" applyFont="1" applyAlignment="1">
      <alignment horizontal="right" vertical="top" wrapText="1"/>
    </xf>
    <xf numFmtId="9" fontId="22" fillId="0" borderId="0" xfId="1" applyFont="1" applyFill="1" applyAlignment="1">
      <alignment horizontal="right" vertical="top" wrapText="1"/>
    </xf>
    <xf numFmtId="180" fontId="22" fillId="0" borderId="0" xfId="0" applyNumberFormat="1" applyFont="1" applyAlignment="1">
      <alignment horizontal="left" vertical="top" wrapText="1"/>
    </xf>
    <xf numFmtId="187" fontId="0" fillId="0" borderId="0" xfId="0" applyNumberFormat="1" applyAlignment="1">
      <alignment horizontal="left"/>
    </xf>
    <xf numFmtId="0" fontId="0" fillId="0" borderId="0" xfId="0" pivotButton="1" applyAlignment="1">
      <alignment horizontal="center" wrapText="1"/>
    </xf>
    <xf numFmtId="0" fontId="0" fillId="0" borderId="0" xfId="0" applyAlignment="1">
      <alignment horizontal="center" wrapText="1"/>
    </xf>
    <xf numFmtId="0" fontId="34" fillId="16" borderId="14" xfId="0" applyFont="1" applyFill="1" applyBorder="1"/>
    <xf numFmtId="3" fontId="34" fillId="16" borderId="15" xfId="0" applyNumberFormat="1" applyFont="1" applyFill="1" applyBorder="1"/>
    <xf numFmtId="0" fontId="63" fillId="0" borderId="0" xfId="0" applyFont="1"/>
    <xf numFmtId="0" fontId="21" fillId="0" borderId="0" xfId="0" applyFont="1"/>
    <xf numFmtId="0" fontId="62" fillId="0" borderId="0" xfId="0" applyFont="1" applyAlignment="1">
      <alignment vertical="top" wrapText="1"/>
    </xf>
    <xf numFmtId="0" fontId="62" fillId="0" borderId="0" xfId="0" applyFont="1" applyAlignment="1">
      <alignment horizontal="left" vertical="top" wrapText="1"/>
    </xf>
    <xf numFmtId="0" fontId="63" fillId="0" borderId="0" xfId="0" applyFont="1" applyAlignment="1">
      <alignment vertical="top" wrapText="1"/>
    </xf>
    <xf numFmtId="0" fontId="63" fillId="0" borderId="0" xfId="0" applyFont="1" applyAlignment="1">
      <alignment horizontal="left" vertical="top" wrapText="1"/>
    </xf>
    <xf numFmtId="0" fontId="64" fillId="0" borderId="0" xfId="0" applyFont="1" applyAlignment="1">
      <alignment horizontal="left" vertical="top" wrapText="1"/>
    </xf>
    <xf numFmtId="170" fontId="63" fillId="0" borderId="0" xfId="0" applyNumberFormat="1" applyFont="1" applyAlignment="1">
      <alignment horizontal="right" vertical="top"/>
    </xf>
    <xf numFmtId="0" fontId="63" fillId="0" borderId="0" xfId="0" applyFont="1" applyAlignment="1">
      <alignment horizontal="right" vertical="top"/>
    </xf>
    <xf numFmtId="1" fontId="63" fillId="0" borderId="0" xfId="0" applyNumberFormat="1" applyFont="1" applyAlignment="1">
      <alignment horizontal="right" vertical="top"/>
    </xf>
    <xf numFmtId="179" fontId="63" fillId="0" borderId="0" xfId="0" applyNumberFormat="1" applyFont="1" applyAlignment="1">
      <alignment horizontal="right" vertical="top"/>
    </xf>
    <xf numFmtId="167" fontId="63" fillId="0" borderId="0" xfId="0" applyNumberFormat="1" applyFont="1" applyAlignment="1">
      <alignment horizontal="right" vertical="top"/>
    </xf>
    <xf numFmtId="3" fontId="0" fillId="9" borderId="0" xfId="0" applyNumberFormat="1" applyFill="1"/>
    <xf numFmtId="4" fontId="0" fillId="0" borderId="0" xfId="0" applyNumberFormat="1"/>
    <xf numFmtId="188" fontId="0" fillId="0" borderId="0" xfId="0" applyNumberFormat="1"/>
    <xf numFmtId="175" fontId="8" fillId="0" borderId="0" xfId="0" applyNumberFormat="1" applyFont="1"/>
    <xf numFmtId="0" fontId="65" fillId="0" borderId="0" xfId="0" applyFont="1"/>
    <xf numFmtId="14" fontId="8" fillId="0" borderId="0" xfId="0" applyNumberFormat="1" applyFont="1" applyAlignment="1">
      <alignment horizontal="left"/>
    </xf>
    <xf numFmtId="14" fontId="58" fillId="0" borderId="0" xfId="0" applyNumberFormat="1" applyFont="1"/>
    <xf numFmtId="21" fontId="58" fillId="0" borderId="0" xfId="0" applyNumberFormat="1" applyFont="1"/>
    <xf numFmtId="9" fontId="22" fillId="0" borderId="0" xfId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 wrapText="1"/>
    </xf>
    <xf numFmtId="9" fontId="22" fillId="0" borderId="0" xfId="1" applyFont="1" applyFill="1" applyBorder="1" applyAlignment="1">
      <alignment horizontal="center" vertical="center" wrapText="1"/>
    </xf>
    <xf numFmtId="0" fontId="58" fillId="0" borderId="0" xfId="0" applyFont="1" applyAlignment="1">
      <alignment horizontal="center"/>
    </xf>
    <xf numFmtId="9" fontId="0" fillId="0" borderId="0" xfId="1" applyFont="1" applyBorder="1"/>
    <xf numFmtId="0" fontId="22" fillId="5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left"/>
    </xf>
    <xf numFmtId="0" fontId="66" fillId="0" borderId="0" xfId="0" applyFont="1" applyAlignment="1">
      <alignment horizontal="left" vertical="top"/>
    </xf>
    <xf numFmtId="0" fontId="25" fillId="0" borderId="0" xfId="0" applyFont="1"/>
    <xf numFmtId="0" fontId="67" fillId="0" borderId="0" xfId="0" applyFont="1" applyAlignment="1">
      <alignment horizontal="left" vertical="top"/>
    </xf>
    <xf numFmtId="4" fontId="67" fillId="21" borderId="43" xfId="0" applyNumberFormat="1" applyFont="1" applyFill="1" applyBorder="1" applyAlignment="1">
      <alignment horizontal="right" vertical="top"/>
    </xf>
    <xf numFmtId="3" fontId="67" fillId="22" borderId="43" xfId="0" applyNumberFormat="1" applyFont="1" applyFill="1" applyBorder="1" applyAlignment="1">
      <alignment horizontal="right" vertical="top"/>
    </xf>
    <xf numFmtId="1" fontId="25" fillId="0" borderId="43" xfId="0" applyNumberFormat="1" applyFont="1" applyBorder="1" applyAlignment="1">
      <alignment horizontal="right" vertical="top"/>
    </xf>
    <xf numFmtId="1" fontId="67" fillId="0" borderId="43" xfId="0" applyNumberFormat="1" applyFont="1" applyBorder="1" applyAlignment="1">
      <alignment horizontal="right" vertical="top"/>
    </xf>
    <xf numFmtId="3" fontId="25" fillId="0" borderId="43" xfId="0" applyNumberFormat="1" applyFont="1" applyBorder="1" applyAlignment="1">
      <alignment horizontal="right" vertical="top"/>
    </xf>
    <xf numFmtId="4" fontId="67" fillId="22" borderId="43" xfId="0" applyNumberFormat="1" applyFont="1" applyFill="1" applyBorder="1" applyAlignment="1">
      <alignment horizontal="right" vertical="top"/>
    </xf>
    <xf numFmtId="2" fontId="67" fillId="0" borderId="43" xfId="0" applyNumberFormat="1" applyFont="1" applyBorder="1" applyAlignment="1">
      <alignment horizontal="right" vertical="top"/>
    </xf>
    <xf numFmtId="2" fontId="25" fillId="0" borderId="43" xfId="0" applyNumberFormat="1" applyFont="1" applyBorder="1" applyAlignment="1">
      <alignment horizontal="right" vertical="top"/>
    </xf>
    <xf numFmtId="179" fontId="67" fillId="0" borderId="43" xfId="0" applyNumberFormat="1" applyFont="1" applyBorder="1" applyAlignment="1">
      <alignment horizontal="right" vertical="top"/>
    </xf>
    <xf numFmtId="179" fontId="25" fillId="0" borderId="43" xfId="0" applyNumberFormat="1" applyFont="1" applyBorder="1" applyAlignment="1">
      <alignment horizontal="right" vertical="top"/>
    </xf>
    <xf numFmtId="4" fontId="67" fillId="20" borderId="43" xfId="0" applyNumberFormat="1" applyFont="1" applyFill="1" applyBorder="1" applyAlignment="1">
      <alignment horizontal="right" vertical="top"/>
    </xf>
    <xf numFmtId="1" fontId="68" fillId="5" borderId="43" xfId="0" applyNumberFormat="1" applyFont="1" applyFill="1" applyBorder="1" applyAlignment="1">
      <alignment horizontal="right" vertical="top"/>
    </xf>
    <xf numFmtId="0" fontId="69" fillId="0" borderId="0" xfId="0" applyFont="1"/>
    <xf numFmtId="174" fontId="0" fillId="6" borderId="0" xfId="0" applyNumberFormat="1" applyFill="1"/>
    <xf numFmtId="165" fontId="58" fillId="0" borderId="0" xfId="0" applyNumberFormat="1" applyFont="1"/>
    <xf numFmtId="0" fontId="22" fillId="5" borderId="0" xfId="0" applyFont="1" applyFill="1" applyAlignment="1">
      <alignment vertical="top" wrapText="1"/>
    </xf>
    <xf numFmtId="167" fontId="22" fillId="5" borderId="0" xfId="0" applyNumberFormat="1" applyFont="1" applyFill="1" applyAlignment="1">
      <alignment horizontal="right" vertical="top" wrapText="1"/>
    </xf>
    <xf numFmtId="0" fontId="71" fillId="10" borderId="50" xfId="28" applyFont="1" applyFill="1" applyBorder="1" applyAlignment="1">
      <alignment vertical="top" wrapText="1" indent="2"/>
    </xf>
    <xf numFmtId="0" fontId="71" fillId="10" borderId="50" xfId="28" applyFont="1" applyFill="1" applyBorder="1" applyAlignment="1">
      <alignment vertical="top" wrapText="1"/>
    </xf>
    <xf numFmtId="189" fontId="71" fillId="10" borderId="50" xfId="28" applyNumberFormat="1" applyFont="1" applyFill="1" applyBorder="1" applyAlignment="1">
      <alignment horizontal="right" vertical="top"/>
    </xf>
    <xf numFmtId="1" fontId="71" fillId="10" borderId="50" xfId="28" applyNumberFormat="1" applyFont="1" applyFill="1" applyBorder="1" applyAlignment="1">
      <alignment horizontal="right" vertical="top"/>
    </xf>
    <xf numFmtId="0" fontId="22" fillId="0" borderId="50" xfId="28" applyBorder="1" applyAlignment="1">
      <alignment vertical="top" wrapText="1" indent="4"/>
    </xf>
    <xf numFmtId="0" fontId="22" fillId="0" borderId="50" xfId="28" applyBorder="1" applyAlignment="1">
      <alignment vertical="top" wrapText="1"/>
    </xf>
    <xf numFmtId="189" fontId="22" fillId="0" borderId="50" xfId="28" applyNumberFormat="1" applyBorder="1" applyAlignment="1">
      <alignment horizontal="right" vertical="top"/>
    </xf>
    <xf numFmtId="179" fontId="22" fillId="0" borderId="50" xfId="28" applyNumberFormat="1" applyBorder="1" applyAlignment="1">
      <alignment horizontal="right" vertical="top"/>
    </xf>
    <xf numFmtId="1" fontId="22" fillId="0" borderId="50" xfId="28" applyNumberFormat="1" applyBorder="1" applyAlignment="1">
      <alignment horizontal="right" vertical="top"/>
    </xf>
    <xf numFmtId="190" fontId="71" fillId="10" borderId="50" xfId="28" applyNumberFormat="1" applyFont="1" applyFill="1" applyBorder="1" applyAlignment="1">
      <alignment horizontal="right" vertical="top"/>
    </xf>
    <xf numFmtId="2" fontId="71" fillId="10" borderId="50" xfId="28" applyNumberFormat="1" applyFont="1" applyFill="1" applyBorder="1" applyAlignment="1">
      <alignment horizontal="right" vertical="top"/>
    </xf>
    <xf numFmtId="190" fontId="22" fillId="0" borderId="50" xfId="28" applyNumberFormat="1" applyBorder="1" applyAlignment="1">
      <alignment horizontal="right" vertical="top"/>
    </xf>
    <xf numFmtId="2" fontId="22" fillId="0" borderId="50" xfId="28" applyNumberFormat="1" applyBorder="1" applyAlignment="1">
      <alignment horizontal="right" vertical="top"/>
    </xf>
    <xf numFmtId="191" fontId="71" fillId="10" borderId="50" xfId="28" applyNumberFormat="1" applyFont="1" applyFill="1" applyBorder="1" applyAlignment="1">
      <alignment horizontal="right" vertical="top"/>
    </xf>
    <xf numFmtId="179" fontId="71" fillId="10" borderId="50" xfId="28" applyNumberFormat="1" applyFont="1" applyFill="1" applyBorder="1" applyAlignment="1">
      <alignment horizontal="right" vertical="top"/>
    </xf>
    <xf numFmtId="191" fontId="22" fillId="0" borderId="50" xfId="28" applyNumberFormat="1" applyBorder="1" applyAlignment="1">
      <alignment horizontal="right" vertical="top"/>
    </xf>
    <xf numFmtId="0" fontId="71" fillId="0" borderId="0" xfId="28" applyFont="1" applyAlignment="1">
      <alignment vertical="top" wrapText="1"/>
    </xf>
    <xf numFmtId="0" fontId="71" fillId="0" borderId="0" xfId="28" applyFont="1" applyAlignment="1">
      <alignment vertical="top" wrapText="1" indent="2"/>
    </xf>
    <xf numFmtId="0" fontId="22" fillId="0" borderId="0" xfId="28" applyAlignment="1">
      <alignment vertical="top" wrapText="1"/>
    </xf>
    <xf numFmtId="189" fontId="22" fillId="0" borderId="0" xfId="28" applyNumberFormat="1" applyAlignment="1">
      <alignment horizontal="right" vertical="top"/>
    </xf>
    <xf numFmtId="179" fontId="22" fillId="0" borderId="0" xfId="28" applyNumberFormat="1" applyAlignment="1">
      <alignment horizontal="right" vertical="top"/>
    </xf>
    <xf numFmtId="190" fontId="22" fillId="0" borderId="0" xfId="28" applyNumberFormat="1" applyAlignment="1">
      <alignment horizontal="right" vertical="top"/>
    </xf>
    <xf numFmtId="191" fontId="22" fillId="0" borderId="0" xfId="28" applyNumberFormat="1" applyAlignment="1">
      <alignment horizontal="right" vertical="top"/>
    </xf>
    <xf numFmtId="0" fontId="72" fillId="0" borderId="50" xfId="28" applyFont="1" applyBorder="1" applyAlignment="1">
      <alignment vertical="top" wrapText="1" indent="4"/>
    </xf>
    <xf numFmtId="0" fontId="72" fillId="0" borderId="50" xfId="28" applyFont="1" applyBorder="1" applyAlignment="1">
      <alignment vertical="top" wrapText="1"/>
    </xf>
    <xf numFmtId="189" fontId="72" fillId="0" borderId="50" xfId="28" applyNumberFormat="1" applyFont="1" applyBorder="1" applyAlignment="1">
      <alignment horizontal="right" vertical="top"/>
    </xf>
    <xf numFmtId="1" fontId="72" fillId="0" borderId="50" xfId="28" applyNumberFormat="1" applyFont="1" applyBorder="1" applyAlignment="1">
      <alignment horizontal="right" vertical="top"/>
    </xf>
    <xf numFmtId="2" fontId="71" fillId="0" borderId="0" xfId="28" applyNumberFormat="1" applyFont="1" applyAlignment="1">
      <alignment horizontal="center" vertical="center" wrapText="1"/>
    </xf>
    <xf numFmtId="2" fontId="36" fillId="0" borderId="0" xfId="28" applyNumberFormat="1" applyFont="1" applyAlignment="1">
      <alignment horizontal="center" vertical="center" wrapText="1"/>
    </xf>
    <xf numFmtId="0" fontId="23" fillId="23" borderId="7" xfId="0" applyFont="1" applyFill="1" applyBorder="1"/>
    <xf numFmtId="165" fontId="0" fillId="23" borderId="7" xfId="0" applyNumberFormat="1" applyFill="1" applyBorder="1" applyAlignment="1">
      <alignment horizontal="right"/>
    </xf>
    <xf numFmtId="0" fontId="0" fillId="23" borderId="7" xfId="0" applyFill="1" applyBorder="1"/>
    <xf numFmtId="0" fontId="31" fillId="23" borderId="7" xfId="0" applyFont="1" applyFill="1" applyBorder="1" applyAlignment="1">
      <alignment horizontal="right"/>
    </xf>
    <xf numFmtId="0" fontId="23" fillId="23" borderId="7" xfId="0" applyFont="1" applyFill="1" applyBorder="1" applyAlignment="1">
      <alignment vertical="top" wrapText="1"/>
    </xf>
    <xf numFmtId="179" fontId="0" fillId="23" borderId="7" xfId="0" applyNumberFormat="1" applyFill="1" applyBorder="1" applyAlignment="1">
      <alignment horizontal="right"/>
    </xf>
    <xf numFmtId="192" fontId="58" fillId="0" borderId="0" xfId="0" applyNumberFormat="1" applyFont="1"/>
    <xf numFmtId="179" fontId="0" fillId="24" borderId="0" xfId="0" applyNumberFormat="1" applyFill="1"/>
    <xf numFmtId="0" fontId="0" fillId="24" borderId="0" xfId="0" applyFill="1" applyAlignment="1">
      <alignment horizontal="center"/>
    </xf>
    <xf numFmtId="1" fontId="58" fillId="0" borderId="0" xfId="0" applyNumberFormat="1" applyFont="1" applyAlignment="1">
      <alignment horizontal="center"/>
    </xf>
    <xf numFmtId="1" fontId="58" fillId="0" borderId="0" xfId="0" applyNumberFormat="1" applyFont="1"/>
    <xf numFmtId="1" fontId="0" fillId="0" borderId="0" xfId="0" applyNumberFormat="1"/>
    <xf numFmtId="0" fontId="0" fillId="5" borderId="0" xfId="0" applyFill="1"/>
    <xf numFmtId="14" fontId="0" fillId="0" borderId="0" xfId="0" applyNumberFormat="1" applyAlignment="1">
      <alignment horizontal="left" indent="2"/>
    </xf>
    <xf numFmtId="21" fontId="0" fillId="0" borderId="0" xfId="0" applyNumberFormat="1"/>
    <xf numFmtId="9" fontId="22" fillId="0" borderId="0" xfId="0" applyNumberFormat="1" applyFont="1" applyAlignment="1">
      <alignment horizontal="right" vertical="top" wrapText="1"/>
    </xf>
    <xf numFmtId="0" fontId="73" fillId="0" borderId="0" xfId="0" applyFont="1"/>
    <xf numFmtId="0" fontId="28" fillId="0" borderId="0" xfId="0" applyFont="1"/>
    <xf numFmtId="16" fontId="24" fillId="5" borderId="0" xfId="4" applyNumberFormat="1" applyFont="1" applyFill="1" applyAlignment="1">
      <alignment horizontal="center" vertical="center" wrapText="1"/>
    </xf>
    <xf numFmtId="2" fontId="0" fillId="24" borderId="0" xfId="0" applyNumberFormat="1" applyFill="1"/>
    <xf numFmtId="0" fontId="0" fillId="23" borderId="7" xfId="0" applyFill="1" applyBorder="1" applyAlignment="1">
      <alignment horizontal="right"/>
    </xf>
    <xf numFmtId="0" fontId="0" fillId="25" borderId="0" xfId="0" applyFill="1"/>
    <xf numFmtId="2" fontId="0" fillId="0" borderId="0" xfId="0" applyNumberFormat="1"/>
    <xf numFmtId="4" fontId="22" fillId="0" borderId="0" xfId="0" applyNumberFormat="1" applyFont="1" applyAlignment="1">
      <alignment vertical="top" wrapText="1"/>
    </xf>
    <xf numFmtId="165" fontId="0" fillId="5" borderId="0" xfId="0" applyNumberFormat="1" applyFill="1"/>
    <xf numFmtId="167" fontId="0" fillId="5" borderId="0" xfId="0" applyNumberFormat="1" applyFill="1"/>
    <xf numFmtId="0" fontId="34" fillId="0" borderId="0" xfId="0" applyFont="1"/>
    <xf numFmtId="0" fontId="59" fillId="0" borderId="0" xfId="0" applyFont="1"/>
    <xf numFmtId="14" fontId="25" fillId="0" borderId="0" xfId="0" applyNumberFormat="1" applyFont="1" applyAlignment="1">
      <alignment horizontal="center" vertical="center" wrapText="1"/>
    </xf>
    <xf numFmtId="14" fontId="0" fillId="5" borderId="0" xfId="0" applyNumberFormat="1" applyFill="1"/>
    <xf numFmtId="14" fontId="0" fillId="25" borderId="0" xfId="0" applyNumberFormat="1" applyFill="1"/>
    <xf numFmtId="0" fontId="25" fillId="5" borderId="0" xfId="0" applyFont="1" applyFill="1" applyAlignment="1">
      <alignment horizontal="center" vertical="center" wrapText="1"/>
    </xf>
    <xf numFmtId="14" fontId="25" fillId="5" borderId="0" xfId="0" applyNumberFormat="1" applyFont="1" applyFill="1" applyAlignment="1">
      <alignment horizontal="center" vertical="center" wrapText="1"/>
    </xf>
    <xf numFmtId="16" fontId="36" fillId="0" borderId="0" xfId="4" applyNumberFormat="1" applyFont="1" applyAlignment="1">
      <alignment vertical="top" wrapText="1"/>
    </xf>
    <xf numFmtId="16" fontId="28" fillId="0" borderId="0" xfId="0" applyNumberFormat="1" applyFont="1"/>
    <xf numFmtId="165" fontId="28" fillId="0" borderId="0" xfId="0" applyNumberFormat="1" applyFont="1"/>
    <xf numFmtId="3" fontId="22" fillId="0" borderId="0" xfId="4" applyNumberFormat="1" applyAlignment="1">
      <alignment vertical="top" wrapText="1"/>
    </xf>
    <xf numFmtId="3" fontId="22" fillId="5" borderId="0" xfId="4" applyNumberFormat="1" applyFill="1" applyAlignment="1">
      <alignment vertical="top" wrapText="1"/>
    </xf>
    <xf numFmtId="3" fontId="22" fillId="0" borderId="0" xfId="0" applyNumberFormat="1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/>
    <xf numFmtId="3" fontId="2" fillId="0" borderId="0" xfId="0" applyNumberFormat="1" applyFont="1"/>
    <xf numFmtId="171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6" fillId="0" borderId="0" xfId="4" applyFont="1" applyAlignment="1">
      <alignment vertical="top" wrapText="1"/>
    </xf>
    <xf numFmtId="167" fontId="36" fillId="0" borderId="0" xfId="4" applyNumberFormat="1" applyFont="1" applyAlignment="1">
      <alignment horizontal="right" vertical="top" wrapText="1"/>
    </xf>
    <xf numFmtId="0" fontId="36" fillId="0" borderId="0" xfId="4" applyFont="1" applyAlignment="1">
      <alignment horizontal="right" vertical="top" wrapText="1"/>
    </xf>
    <xf numFmtId="168" fontId="36" fillId="0" borderId="0" xfId="4" applyNumberFormat="1" applyFont="1" applyAlignment="1">
      <alignment horizontal="left" vertical="top" wrapText="1"/>
    </xf>
    <xf numFmtId="14" fontId="36" fillId="0" borderId="0" xfId="4" applyNumberFormat="1" applyFont="1" applyAlignment="1">
      <alignment vertical="top"/>
    </xf>
    <xf numFmtId="169" fontId="36" fillId="0" borderId="0" xfId="4" applyNumberFormat="1" applyFont="1" applyAlignment="1">
      <alignment horizontal="right" vertical="top" wrapText="1"/>
    </xf>
    <xf numFmtId="0" fontId="36" fillId="0" borderId="0" xfId="0" applyFont="1" applyAlignment="1">
      <alignment vertical="top"/>
    </xf>
    <xf numFmtId="165" fontId="36" fillId="0" borderId="0" xfId="4" applyNumberFormat="1" applyFont="1" applyAlignment="1">
      <alignment vertical="top" wrapText="1"/>
    </xf>
    <xf numFmtId="3" fontId="36" fillId="0" borderId="0" xfId="4" applyNumberFormat="1" applyFont="1" applyAlignment="1">
      <alignment vertical="top" wrapText="1"/>
    </xf>
    <xf numFmtId="14" fontId="36" fillId="0" borderId="0" xfId="4" applyNumberFormat="1" applyFont="1" applyAlignment="1">
      <alignment vertical="top" wrapText="1"/>
    </xf>
    <xf numFmtId="0" fontId="36" fillId="0" borderId="0" xfId="0" applyFont="1" applyAlignment="1">
      <alignment vertical="top" wrapText="1"/>
    </xf>
    <xf numFmtId="0" fontId="36" fillId="0" borderId="0" xfId="0" applyFont="1" applyAlignment="1">
      <alignment horizontal="left" vertical="top" wrapText="1"/>
    </xf>
    <xf numFmtId="14" fontId="36" fillId="0" borderId="0" xfId="0" applyNumberFormat="1" applyFont="1" applyAlignment="1">
      <alignment vertical="top" wrapText="1"/>
    </xf>
    <xf numFmtId="0" fontId="74" fillId="0" borderId="0" xfId="0" applyFont="1"/>
    <xf numFmtId="14" fontId="74" fillId="0" borderId="0" xfId="0" applyNumberFormat="1" applyFont="1"/>
    <xf numFmtId="0" fontId="36" fillId="5" borderId="0" xfId="0" applyFont="1" applyFill="1" applyAlignment="1">
      <alignment vertical="top" wrapText="1"/>
    </xf>
    <xf numFmtId="167" fontId="36" fillId="0" borderId="0" xfId="0" applyNumberFormat="1" applyFont="1" applyAlignment="1">
      <alignment horizontal="right" vertical="top" wrapText="1"/>
    </xf>
    <xf numFmtId="168" fontId="36" fillId="0" borderId="0" xfId="0" applyNumberFormat="1" applyFont="1" applyAlignment="1">
      <alignment horizontal="left" vertical="top" wrapText="1"/>
    </xf>
    <xf numFmtId="14" fontId="36" fillId="0" borderId="0" xfId="0" applyNumberFormat="1" applyFont="1" applyAlignment="1">
      <alignment vertical="top"/>
    </xf>
    <xf numFmtId="169" fontId="36" fillId="0" borderId="0" xfId="0" applyNumberFormat="1" applyFont="1" applyAlignment="1">
      <alignment horizontal="right" vertical="top" wrapText="1"/>
    </xf>
    <xf numFmtId="0" fontId="36" fillId="0" borderId="0" xfId="0" applyFont="1" applyAlignment="1">
      <alignment horizontal="right" vertical="top" wrapText="1"/>
    </xf>
    <xf numFmtId="165" fontId="36" fillId="0" borderId="0" xfId="0" applyNumberFormat="1" applyFont="1" applyAlignment="1">
      <alignment vertical="top" wrapText="1"/>
    </xf>
    <xf numFmtId="0" fontId="75" fillId="0" borderId="0" xfId="0" applyFont="1"/>
    <xf numFmtId="14" fontId="75" fillId="0" borderId="0" xfId="0" applyNumberFormat="1" applyFont="1"/>
    <xf numFmtId="14" fontId="2" fillId="0" borderId="0" xfId="0" applyNumberFormat="1" applyFont="1"/>
    <xf numFmtId="16" fontId="36" fillId="0" borderId="0" xfId="0" applyNumberFormat="1" applyFont="1" applyAlignment="1">
      <alignment vertical="top" wrapText="1"/>
    </xf>
    <xf numFmtId="167" fontId="36" fillId="5" borderId="0" xfId="0" applyNumberFormat="1" applyFont="1" applyFill="1" applyAlignment="1">
      <alignment horizontal="right" vertical="top" wrapText="1"/>
    </xf>
    <xf numFmtId="0" fontId="2" fillId="5" borderId="0" xfId="0" applyFont="1" applyFill="1"/>
    <xf numFmtId="14" fontId="2" fillId="5" borderId="0" xfId="0" applyNumberFormat="1" applyFont="1" applyFill="1"/>
    <xf numFmtId="0" fontId="2" fillId="25" borderId="0" xfId="0" applyFont="1" applyFill="1"/>
    <xf numFmtId="14" fontId="2" fillId="25" borderId="0" xfId="0" applyNumberFormat="1" applyFont="1" applyFill="1"/>
    <xf numFmtId="0" fontId="10" fillId="2" borderId="1" xfId="0" applyFont="1" applyFill="1" applyBorder="1" applyAlignment="1">
      <alignment horizontal="center" vertical="center"/>
    </xf>
    <xf numFmtId="164" fontId="15" fillId="3" borderId="3" xfId="0" applyNumberFormat="1" applyFont="1" applyFill="1" applyBorder="1" applyAlignment="1">
      <alignment horizontal="center"/>
    </xf>
    <xf numFmtId="164" fontId="15" fillId="3" borderId="4" xfId="0" applyNumberFormat="1" applyFont="1" applyFill="1" applyBorder="1" applyAlignment="1">
      <alignment horizontal="center"/>
    </xf>
    <xf numFmtId="164" fontId="15" fillId="3" borderId="5" xfId="0" applyNumberFormat="1" applyFont="1" applyFill="1" applyBorder="1" applyAlignment="1">
      <alignment horizontal="center"/>
    </xf>
    <xf numFmtId="0" fontId="67" fillId="0" borderId="0" xfId="0" applyFont="1" applyAlignment="1">
      <alignment horizontal="left" vertical="top" wrapText="1"/>
    </xf>
    <xf numFmtId="0" fontId="67" fillId="0" borderId="0" xfId="0" applyFont="1" applyAlignment="1">
      <alignment horizontal="left" vertical="top"/>
    </xf>
    <xf numFmtId="0" fontId="67" fillId="20" borderId="43" xfId="0" applyFont="1" applyFill="1" applyBorder="1" applyAlignment="1">
      <alignment horizontal="left" vertical="top" wrapText="1"/>
    </xf>
    <xf numFmtId="0" fontId="67" fillId="20" borderId="44" xfId="0" applyFont="1" applyFill="1" applyBorder="1" applyAlignment="1">
      <alignment horizontal="left" vertical="top" wrapText="1"/>
    </xf>
    <xf numFmtId="0" fontId="67" fillId="20" borderId="42" xfId="0" applyFont="1" applyFill="1" applyBorder="1" applyAlignment="1">
      <alignment horizontal="left" vertical="top" wrapText="1"/>
    </xf>
    <xf numFmtId="0" fontId="67" fillId="20" borderId="47" xfId="0" applyFont="1" applyFill="1" applyBorder="1" applyAlignment="1">
      <alignment horizontal="left" vertical="top" wrapText="1"/>
    </xf>
    <xf numFmtId="0" fontId="67" fillId="20" borderId="45" xfId="0" applyFont="1" applyFill="1" applyBorder="1" applyAlignment="1">
      <alignment horizontal="left" vertical="top" wrapText="1"/>
    </xf>
    <xf numFmtId="0" fontId="67" fillId="20" borderId="46" xfId="0" applyFont="1" applyFill="1" applyBorder="1" applyAlignment="1">
      <alignment horizontal="left" vertical="top" wrapText="1"/>
    </xf>
    <xf numFmtId="0" fontId="67" fillId="20" borderId="48" xfId="0" applyFont="1" applyFill="1" applyBorder="1" applyAlignment="1">
      <alignment horizontal="left" vertical="top" wrapText="1"/>
    </xf>
    <xf numFmtId="0" fontId="67" fillId="20" borderId="49" xfId="0" applyFont="1" applyFill="1" applyBorder="1" applyAlignment="1">
      <alignment horizontal="left" vertical="top" wrapText="1"/>
    </xf>
    <xf numFmtId="0" fontId="67" fillId="0" borderId="43" xfId="0" applyFont="1" applyBorder="1" applyAlignment="1">
      <alignment horizontal="left" vertical="top" wrapText="1" indent="6"/>
    </xf>
    <xf numFmtId="1" fontId="67" fillId="0" borderId="43" xfId="0" applyNumberFormat="1" applyFont="1" applyBorder="1" applyAlignment="1">
      <alignment horizontal="right" vertical="top"/>
    </xf>
    <xf numFmtId="0" fontId="67" fillId="21" borderId="43" xfId="0" applyFont="1" applyFill="1" applyBorder="1" applyAlignment="1">
      <alignment horizontal="left" vertical="top" wrapText="1"/>
    </xf>
    <xf numFmtId="4" fontId="67" fillId="21" borderId="43" xfId="0" applyNumberFormat="1" applyFont="1" applyFill="1" applyBorder="1" applyAlignment="1">
      <alignment horizontal="right" vertical="top"/>
    </xf>
    <xf numFmtId="0" fontId="67" fillId="22" borderId="43" xfId="0" applyFont="1" applyFill="1" applyBorder="1" applyAlignment="1">
      <alignment horizontal="left" vertical="top" wrapText="1" indent="2"/>
    </xf>
    <xf numFmtId="3" fontId="67" fillId="22" borderId="43" xfId="0" applyNumberFormat="1" applyFont="1" applyFill="1" applyBorder="1" applyAlignment="1">
      <alignment horizontal="right" vertical="top"/>
    </xf>
    <xf numFmtId="0" fontId="25" fillId="0" borderId="43" xfId="0" applyFont="1" applyBorder="1" applyAlignment="1">
      <alignment horizontal="left" vertical="top" wrapText="1" indent="4"/>
    </xf>
    <xf numFmtId="1" fontId="25" fillId="0" borderId="43" xfId="0" applyNumberFormat="1" applyFont="1" applyBorder="1" applyAlignment="1">
      <alignment horizontal="right" vertical="top"/>
    </xf>
    <xf numFmtId="3" fontId="25" fillId="0" borderId="43" xfId="0" applyNumberFormat="1" applyFont="1" applyBorder="1" applyAlignment="1">
      <alignment horizontal="right" vertical="top"/>
    </xf>
    <xf numFmtId="4" fontId="67" fillId="22" borderId="43" xfId="0" applyNumberFormat="1" applyFont="1" applyFill="1" applyBorder="1" applyAlignment="1">
      <alignment horizontal="right" vertical="top"/>
    </xf>
    <xf numFmtId="0" fontId="68" fillId="5" borderId="43" xfId="0" applyFont="1" applyFill="1" applyBorder="1" applyAlignment="1">
      <alignment horizontal="left" vertical="top" wrapText="1" indent="4"/>
    </xf>
    <xf numFmtId="1" fontId="68" fillId="5" borderId="43" xfId="0" applyNumberFormat="1" applyFont="1" applyFill="1" applyBorder="1" applyAlignment="1">
      <alignment horizontal="right" vertical="top"/>
    </xf>
    <xf numFmtId="2" fontId="67" fillId="0" borderId="43" xfId="0" applyNumberFormat="1" applyFont="1" applyBorder="1" applyAlignment="1">
      <alignment horizontal="right" vertical="top"/>
    </xf>
    <xf numFmtId="2" fontId="25" fillId="0" borderId="43" xfId="0" applyNumberFormat="1" applyFont="1" applyBorder="1" applyAlignment="1">
      <alignment horizontal="right" vertical="top"/>
    </xf>
    <xf numFmtId="179" fontId="67" fillId="0" borderId="43" xfId="0" applyNumberFormat="1" applyFont="1" applyBorder="1" applyAlignment="1">
      <alignment horizontal="right" vertical="top"/>
    </xf>
    <xf numFmtId="179" fontId="25" fillId="0" borderId="43" xfId="0" applyNumberFormat="1" applyFont="1" applyBorder="1" applyAlignment="1">
      <alignment horizontal="right" vertical="top"/>
    </xf>
    <xf numFmtId="0" fontId="67" fillId="20" borderId="43" xfId="0" applyFont="1" applyFill="1" applyBorder="1" applyAlignment="1">
      <alignment horizontal="left" vertical="top"/>
    </xf>
    <xf numFmtId="4" fontId="67" fillId="20" borderId="43" xfId="0" applyNumberFormat="1" applyFont="1" applyFill="1" applyBorder="1" applyAlignment="1">
      <alignment horizontal="right" vertical="top"/>
    </xf>
    <xf numFmtId="0" fontId="15" fillId="3" borderId="3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164" fontId="15" fillId="3" borderId="2" xfId="0" applyNumberFormat="1" applyFont="1" applyFill="1" applyBorder="1" applyAlignment="1">
      <alignment horizontal="center"/>
    </xf>
    <xf numFmtId="0" fontId="43" fillId="0" borderId="22" xfId="6" applyFont="1" applyBorder="1" applyAlignment="1">
      <alignment horizontal="center"/>
    </xf>
    <xf numFmtId="0" fontId="43" fillId="0" borderId="19" xfId="6" applyFont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wrapText="1"/>
    </xf>
    <xf numFmtId="0" fontId="23" fillId="10" borderId="9" xfId="0" applyFont="1" applyFill="1" applyBorder="1" applyAlignment="1">
      <alignment vertical="top" wrapText="1"/>
    </xf>
    <xf numFmtId="0" fontId="23" fillId="10" borderId="12" xfId="0" applyFont="1" applyFill="1" applyBorder="1" applyAlignment="1">
      <alignment vertical="top" wrapText="1"/>
    </xf>
    <xf numFmtId="0" fontId="23" fillId="10" borderId="11" xfId="0" applyFont="1" applyFill="1" applyBorder="1" applyAlignment="1">
      <alignment vertical="top" wrapText="1"/>
    </xf>
    <xf numFmtId="0" fontId="23" fillId="0" borderId="7" xfId="0" applyFont="1" applyBorder="1" applyAlignment="1">
      <alignment vertical="top" wrapText="1"/>
    </xf>
    <xf numFmtId="0" fontId="23" fillId="0" borderId="7" xfId="0" applyFont="1" applyBorder="1" applyAlignment="1">
      <alignment vertical="top"/>
    </xf>
    <xf numFmtId="0" fontId="23" fillId="0" borderId="9" xfId="0" applyFont="1" applyBorder="1" applyAlignment="1">
      <alignment vertical="center" wrapText="1"/>
    </xf>
    <xf numFmtId="0" fontId="23" fillId="0" borderId="11" xfId="0" applyFont="1" applyBorder="1" applyAlignment="1">
      <alignment vertical="center" wrapText="1"/>
    </xf>
    <xf numFmtId="0" fontId="23" fillId="0" borderId="8" xfId="0" applyFont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32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 vertical="center" wrapText="1"/>
    </xf>
    <xf numFmtId="165" fontId="1" fillId="0" borderId="0" xfId="0" applyNumberFormat="1" applyFont="1" applyFill="1"/>
    <xf numFmtId="3" fontId="1" fillId="0" borderId="0" xfId="0" applyNumberFormat="1" applyFont="1" applyFill="1"/>
  </cellXfs>
  <cellStyles count="29">
    <cellStyle name="% выполнения" xfId="24" xr:uid="{F29104C1-F54C-4B55-825F-DCE16987E8AA}"/>
    <cellStyle name="Заголовок 1 2" xfId="13" xr:uid="{EDFC42DE-CC7E-472A-9005-5E55F6C70ECA}"/>
    <cellStyle name="Обычный" xfId="0" builtinId="0"/>
    <cellStyle name="Обычный 2" xfId="2" xr:uid="{E32EF495-B081-45B1-AE83-969833200DC1}"/>
    <cellStyle name="Обычный 2 2" xfId="17" xr:uid="{B7055773-FA12-41E7-9636-7A3550CDB92F}"/>
    <cellStyle name="Обычный 2 3" xfId="11" xr:uid="{1978CCF2-469C-466B-98B5-1C52A90ECE32}"/>
    <cellStyle name="Обычный 2 3 2" xfId="18" xr:uid="{68597CB3-1429-4835-B08A-B8349E923942}"/>
    <cellStyle name="Обычный 2 4 2" xfId="14" xr:uid="{64ADEAB2-43C2-4D67-A830-3CBA096FC4EA}"/>
    <cellStyle name="Обычный 3" xfId="16" xr:uid="{22DA1C4C-8A22-4906-B269-4C72FEE11923}"/>
    <cellStyle name="Обычный 3 2" xfId="12" xr:uid="{68146428-12ED-4551-8F72-E20E7738940A}"/>
    <cellStyle name="Обычный 3 2 3" xfId="19" xr:uid="{3F2D9E1E-8E79-4024-B97D-7D1012AC0158}"/>
    <cellStyle name="Обычный 3 3" xfId="26" xr:uid="{F4A3B9AA-7909-4CED-9608-38984C40AC96}"/>
    <cellStyle name="Обычный 4" xfId="21" xr:uid="{66DDA499-EAB3-454D-8D18-0ED46B62690D}"/>
    <cellStyle name="Обычный 4 2" xfId="15" xr:uid="{498D41E1-7483-4F74-B490-126E2510F0B3}"/>
    <cellStyle name="Обычный 5" xfId="6" xr:uid="{6D98DBA9-49F8-47E0-9EC2-454F76934325}"/>
    <cellStyle name="Обычный 6" xfId="27" xr:uid="{F28B1F24-38D3-4D69-AC74-7F712F07D273}"/>
    <cellStyle name="Обычный_Лист5" xfId="4" xr:uid="{A8A79623-3D08-4C50-873E-BA13CCD5038E}"/>
    <cellStyle name="Обычный_Уборка по полям 2026" xfId="28" xr:uid="{C1E4B35B-D6D6-4054-B027-9D48EDB3BCA5}"/>
    <cellStyle name="Процентный" xfId="1" builtinId="5"/>
    <cellStyle name="Процентный 2" xfId="20" xr:uid="{6B4AC30C-8B56-4867-906C-81CF4DF0A4D0}"/>
    <cellStyle name="Процентный 2 2" xfId="25" xr:uid="{62C3D63C-E4D9-4C1B-91AC-A4CBD60D171F}"/>
    <cellStyle name="Процентный 3" xfId="8" xr:uid="{0DFAB43B-3300-4AB1-8426-DDB448A2FCAD}"/>
    <cellStyle name="Финансовый" xfId="5" builtinId="3"/>
    <cellStyle name="Финансовый [0]_Лист4" xfId="3" xr:uid="{703C7115-CA87-407D-9362-576D4EA494EA}"/>
    <cellStyle name="Финансовый 2" xfId="9" xr:uid="{ED18B142-2C25-42C2-932D-5502A0AC6D9E}"/>
    <cellStyle name="Финансовый 2 2" xfId="23" xr:uid="{26B68E1D-2DE0-4D1F-BC13-58EBC2589AF6}"/>
    <cellStyle name="Финансовый 3" xfId="22" xr:uid="{6AF40056-23AE-4907-98AB-291F74DBCC02}"/>
    <cellStyle name="Финансовый 4" xfId="10" xr:uid="{6CBF9590-C8C4-41E5-A335-3ABEF0C38C18}"/>
    <cellStyle name="Финансовый 5" xfId="7" xr:uid="{1E108CA3-E203-45C8-B372-F2DE7F6BC971}"/>
  </cellStyles>
  <dxfs count="1205">
    <dxf>
      <font>
        <b/>
        <charset val="204"/>
      </font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alignment vertical="center"/>
    </dxf>
    <dxf>
      <alignment horizontal="center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numFmt numFmtId="165" formatCode="#,##0.0"/>
    </dxf>
    <dxf>
      <alignment horizontal="center"/>
    </dxf>
    <dxf>
      <alignment vertical="center"/>
    </dxf>
    <dxf>
      <alignment wrapText="1"/>
    </dxf>
    <dxf>
      <numFmt numFmtId="165" formatCode="#,##0.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#,##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horizontal="center" vertical="center" wrapText="1"/>
    </dxf>
    <dxf>
      <font>
        <b/>
        <charset val="204"/>
      </font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alignment vertical="center"/>
    </dxf>
    <dxf>
      <alignment horizontal="center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numFmt numFmtId="165" formatCode="#,##0.0"/>
    </dxf>
    <dxf>
      <alignment horizontal="center"/>
    </dxf>
    <dxf>
      <alignment vertical="center"/>
    </dxf>
    <dxf>
      <alignment wrapText="1"/>
    </dxf>
    <dxf>
      <numFmt numFmtId="165" formatCode="#,##0.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#,##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horizontal="center" vertical="center" wrapText="1"/>
    </dxf>
    <dxf>
      <font>
        <b/>
        <charset val="204"/>
      </font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alignment vertical="center"/>
    </dxf>
    <dxf>
      <alignment horizontal="center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numFmt numFmtId="165" formatCode="#,##0.0"/>
    </dxf>
    <dxf>
      <alignment horizontal="center"/>
    </dxf>
    <dxf>
      <alignment vertical="center"/>
    </dxf>
    <dxf>
      <alignment wrapText="1"/>
    </dxf>
    <dxf>
      <numFmt numFmtId="165" formatCode="#,##0.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#,##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horizontal="center" vertical="center" wrapText="1"/>
    </dxf>
    <dxf>
      <font>
        <b/>
        <charset val="204"/>
      </font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alignment vertical="center"/>
    </dxf>
    <dxf>
      <alignment horizontal="center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numFmt numFmtId="165" formatCode="#,##0.0"/>
    </dxf>
    <dxf>
      <alignment horizontal="center"/>
    </dxf>
    <dxf>
      <alignment vertical="center"/>
    </dxf>
    <dxf>
      <alignment wrapText="1"/>
    </dxf>
    <dxf>
      <numFmt numFmtId="165" formatCode="#,##0.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#,##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horizontal="center" vertical="center" wrapText="1"/>
    </dxf>
    <dxf>
      <font>
        <b/>
        <charset val="204"/>
      </font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alignment vertical="center"/>
    </dxf>
    <dxf>
      <alignment horizontal="center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numFmt numFmtId="165" formatCode="#,##0.0"/>
    </dxf>
    <dxf>
      <alignment horizontal="center"/>
    </dxf>
    <dxf>
      <alignment vertical="center"/>
    </dxf>
    <dxf>
      <alignment wrapText="1"/>
    </dxf>
    <dxf>
      <numFmt numFmtId="165" formatCode="#,##0.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#,##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horizontal="center" vertical="center" wrapText="1"/>
    </dxf>
    <dxf>
      <font>
        <b/>
        <charset val="204"/>
      </font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alignment vertical="center"/>
    </dxf>
    <dxf>
      <alignment horizontal="center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numFmt numFmtId="165" formatCode="#,##0.0"/>
    </dxf>
    <dxf>
      <alignment horizontal="center"/>
    </dxf>
    <dxf>
      <alignment vertical="center"/>
    </dxf>
    <dxf>
      <alignment wrapText="1"/>
    </dxf>
    <dxf>
      <numFmt numFmtId="165" formatCode="#,##0.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#,##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horizontal="center" vertical="center" wrapText="1"/>
    </dxf>
    <dxf>
      <font>
        <b/>
        <charset val="204"/>
      </font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alignment vertical="center"/>
    </dxf>
    <dxf>
      <alignment horizontal="center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numFmt numFmtId="165" formatCode="#,##0.0"/>
    </dxf>
    <dxf>
      <alignment horizontal="center"/>
    </dxf>
    <dxf>
      <alignment vertical="center"/>
    </dxf>
    <dxf>
      <alignment wrapText="1"/>
    </dxf>
    <dxf>
      <numFmt numFmtId="165" formatCode="#,##0.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#,##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horizontal="center" vertical="center" wrapText="1"/>
    </dxf>
    <dxf>
      <font>
        <b/>
        <charset val="204"/>
      </font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alignment vertical="center"/>
    </dxf>
    <dxf>
      <alignment horizontal="center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numFmt numFmtId="165" formatCode="#,##0.0"/>
    </dxf>
    <dxf>
      <alignment horizontal="center"/>
    </dxf>
    <dxf>
      <alignment vertical="center"/>
    </dxf>
    <dxf>
      <alignment wrapText="1"/>
    </dxf>
    <dxf>
      <numFmt numFmtId="165" formatCode="#,##0.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#,##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alignment horizontal="center" vertical="center" wrapText="1"/>
    </dxf>
    <dxf>
      <font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color theme="0"/>
      </font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fill>
        <patternFill patternType="lightDown">
          <fgColor theme="0" tint="-0.24994659260841701"/>
        </patternFill>
      </fill>
    </dxf>
    <dxf>
      <numFmt numFmtId="183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83" formatCode="[$-F400]h:mm:ss\ AM/PM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6" formatCode="0.0%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6" formatCode="0.0%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outline="0">
        <top style="thin">
          <color theme="0" tint="-0.499984740745262"/>
        </top>
      </border>
    </dxf>
    <dxf>
      <border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numFmt numFmtId="165" formatCode="#,##0.0"/>
      <fill>
        <patternFill patternType="solid">
          <fgColor indexed="64"/>
          <bgColor rgb="FFC8D99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alignment vertical="center"/>
    </dxf>
    <dxf>
      <alignment horizontal="general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#,##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numFmt numFmtId="165" formatCode="#,##0.0"/>
    </dxf>
    <dxf>
      <alignment wrapText="1"/>
    </dxf>
    <dxf>
      <alignment vertical="center"/>
    </dxf>
    <dxf>
      <alignment horizontal="center"/>
    </dxf>
    <dxf>
      <numFmt numFmtId="165" formatCode="#,##0.0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3" formatCode="#,##0"/>
    </dxf>
    <dxf>
      <numFmt numFmtId="3" formatCode="#,##0"/>
    </dxf>
    <dxf>
      <font>
        <b/>
        <charset val="204"/>
      </font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3" formatCode="0%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085"/>
        </left>
        <right style="thin">
          <color rgb="FFCCC085"/>
        </right>
        <top/>
        <bottom/>
      </border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7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0"/>
        <name val="Arial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3" formatCode="#,##0"/>
    </dxf>
    <dxf>
      <alignment vertical="bottom"/>
    </dxf>
    <dxf>
      <alignment horizontal="center"/>
    </dxf>
    <dxf>
      <alignment wrapText="1"/>
    </dxf>
    <dxf>
      <fill>
        <patternFill patternType="solid">
          <bgColor theme="0" tint="-4.9989318521683403E-2"/>
        </patternFill>
      </fill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9" formatCode="#,##0.0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8" formatCode="0000000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8" formatCode="0000000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84" formatCode="_-* #,##0.0_-;\-* #,##0.0_-;_-* &quot;-&quot;??_-;_-@_-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indexed="5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</font>
      <numFmt numFmtId="165" formatCode="#,##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21" formatCode="dd/mmm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</font>
      <numFmt numFmtId="21" formatCode="dd/mmm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9" formatCode="#,##0.00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8" formatCode="0000000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8" formatCode="00000000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84" formatCode="_-* #,##0.0_-;\-* #,##0.0_-;_-* &quot;-&quot;??_-;_-@_-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7" formatCode="#,##0.00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indexed="51"/>
        </patternFill>
      </fill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#,##0.0"/>
    </dxf>
    <dxf>
      <alignment horizontal="center" vertical="center"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5" formatCode="#,##0.0"/>
    </dxf>
    <dxf>
      <alignment horizontal="center" vertical="center"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5" formatCode="#,##0.0"/>
    </dxf>
    <dxf>
      <alignment horizontal="center" vertical="center"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5" formatCode="#,##0.0"/>
    </dxf>
    <dxf>
      <alignment horizontal="center" vertical="center"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5" formatCode="#,##0.0"/>
    </dxf>
    <dxf>
      <alignment horizontal="center" vertical="center"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5" formatCode="#,##0.0"/>
    </dxf>
    <dxf>
      <alignment horizontal="center" vertical="center"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5" formatCode="#,##0.0"/>
    </dxf>
    <dxf>
      <alignment horizontal="center" vertical="center"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5" formatCode="#,##0.0"/>
    </dxf>
    <dxf>
      <alignment horizontal="center" vertical="center"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3" formatCode="#,##0"/>
    </dxf>
    <dxf>
      <numFmt numFmtId="179" formatCode="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3" formatCode="#,##0"/>
    </dxf>
    <dxf>
      <numFmt numFmtId="3" formatCode="#,##0"/>
    </dxf>
    <dxf>
      <font>
        <b/>
        <charset val="204"/>
      </font>
    </dxf>
    <dxf>
      <numFmt numFmtId="166" formatCode="0.0%"/>
    </dxf>
    <dxf>
      <numFmt numFmtId="165" formatCode="#,##0.0"/>
      <fill>
        <patternFill patternType="solid">
          <fgColor indexed="64"/>
          <bgColor theme="4" tint="0.79998168889431442"/>
        </patternFill>
      </fill>
    </dxf>
    <dxf>
      <numFmt numFmtId="176" formatCode="000.0&quot; га&quot;"/>
      <fill>
        <patternFill patternType="none">
          <fgColor indexed="64"/>
          <bgColor auto="1"/>
        </patternFill>
      </fill>
    </dxf>
    <dxf>
      <numFmt numFmtId="166" formatCode="0.0%"/>
    </dxf>
    <dxf>
      <numFmt numFmtId="3" formatCode="#,##0"/>
      <fill>
        <patternFill patternType="solid">
          <fgColor indexed="64"/>
          <bgColor theme="4" tint="0.79998168889431442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2" formatCode="0.0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numFmt numFmtId="165" formatCode="#,##0.0"/>
    </dxf>
    <dxf>
      <numFmt numFmtId="165" formatCode="#,##0.0"/>
    </dxf>
    <dxf>
      <numFmt numFmtId="166" formatCode="0.0%"/>
    </dxf>
    <dxf>
      <numFmt numFmtId="165" formatCode="#,##0.0"/>
      <fill>
        <patternFill patternType="solid">
          <fgColor indexed="64"/>
          <bgColor theme="4" tint="0.79998168889431442"/>
        </patternFill>
      </fill>
    </dxf>
    <dxf>
      <numFmt numFmtId="176" formatCode="000.0&quot; га&quot;"/>
      <fill>
        <patternFill patternType="none">
          <fgColor indexed="64"/>
          <bgColor auto="1"/>
        </patternFill>
      </fill>
    </dxf>
    <dxf>
      <numFmt numFmtId="166" formatCode="0.0%"/>
    </dxf>
    <dxf>
      <numFmt numFmtId="3" formatCode="#,##0"/>
      <fill>
        <patternFill patternType="solid">
          <fgColor indexed="64"/>
          <bgColor theme="4" tint="0.79998168889431442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2" formatCode="0.0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sz val="8"/>
        <color auto="1"/>
        <name val="Arial"/>
        <family val="2"/>
        <scheme val="none"/>
      </font>
      <numFmt numFmtId="179" formatCode="0.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</dxf>
    <dxf>
      <numFmt numFmtId="179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0" formatCode="0.00&quot; Га&quot;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border outline="0">
        <right style="thin">
          <color indexed="60"/>
        </right>
        <top style="thin">
          <color indexed="60"/>
        </top>
        <bottom style="thin">
          <color indexed="6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0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2" formatCode="0.00"/>
    </dxf>
    <dxf>
      <numFmt numFmtId="165" formatCode="#,##0.0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 vertical="center" wrapText="1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#,##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numFmt numFmtId="165" formatCode="#,##0.0"/>
    </dxf>
    <dxf>
      <alignment wrapText="1"/>
    </dxf>
    <dxf>
      <alignment vertical="center"/>
    </dxf>
    <dxf>
      <alignment horizontal="center"/>
    </dxf>
    <dxf>
      <numFmt numFmtId="165" formatCode="#,##0.0"/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font>
        <b val="0"/>
        <charset val="204"/>
      </font>
    </dxf>
    <dxf>
      <alignment horizontal="center"/>
    </dxf>
    <dxf>
      <alignment vertical="center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3" formatCode="#,##0"/>
    </dxf>
    <dxf>
      <numFmt numFmtId="3" formatCode="#,##0"/>
    </dxf>
    <dxf>
      <font>
        <b/>
        <charset val="204"/>
      </font>
    </dxf>
    <dxf>
      <font>
        <name val="Bahnschrift Light SemiCondensed"/>
        <family val="2"/>
        <charset val="204"/>
        <scheme val="none"/>
      </font>
    </dxf>
    <dxf>
      <font>
        <name val="Bahnschrift Light"/>
        <family val="2"/>
        <charset val="204"/>
        <scheme val="none"/>
      </font>
    </dxf>
    <dxf>
      <font>
        <b/>
        <i val="0"/>
      </font>
      <fill>
        <patternFill>
          <bgColor rgb="FFD6E6E5"/>
        </patternFill>
      </fill>
    </dxf>
    <dxf>
      <font>
        <b/>
        <i val="0"/>
        <color theme="0"/>
      </font>
      <fill>
        <patternFill>
          <bgColor rgb="FF61929F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horizontal style="thin">
          <color theme="0" tint="-0.14996795556505021"/>
        </horizontal>
      </border>
    </dxf>
    <dxf>
      <font>
        <b/>
        <i val="0"/>
      </font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EFF5F7"/>
        </patternFill>
      </fill>
    </dxf>
    <dxf>
      <font>
        <b/>
        <i val="0"/>
        <color theme="0"/>
      </font>
      <fill>
        <patternFill>
          <bgColor rgb="FF54798A"/>
        </patternFill>
      </fill>
    </dxf>
    <dxf>
      <font>
        <b/>
        <i val="0"/>
        <color theme="0"/>
      </font>
      <fill>
        <patternFill>
          <bgColor rgb="FF63869D"/>
        </patternFill>
      </fill>
    </dxf>
    <dxf>
      <font>
        <b val="0"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EFF5F7"/>
        </patternFill>
      </fill>
    </dxf>
    <dxf>
      <font>
        <b/>
        <i val="0"/>
        <color theme="0"/>
      </font>
      <fill>
        <patternFill>
          <bgColor rgb="FF54798A"/>
        </patternFill>
      </fill>
    </dxf>
    <dxf>
      <font>
        <b/>
        <i val="0"/>
        <color theme="0"/>
      </font>
      <fill>
        <patternFill>
          <bgColor rgb="FF63869D"/>
        </patternFill>
      </fill>
    </dxf>
    <dxf>
      <font>
        <color theme="1"/>
        <name val="Bahnschrift Light SemiCondensed"/>
        <family val="2"/>
        <charset val="204"/>
        <scheme val="none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</dxfs>
  <tableStyles count="6" defaultTableStyle="TableStyleMedium2" defaultPivotStyle="PivotStyleLight16">
    <tableStyle name="ДАШБОРД" pivot="0" table="0" count="10" xr9:uid="{8CEE2DEB-4240-4559-B923-68734F2B5BE5}">
      <tableStyleElement type="wholeTable" dxfId="1204"/>
      <tableStyleElement type="headerRow" dxfId="1203"/>
    </tableStyle>
    <tableStyle name="Стиль сводной таблицы 1" table="0" count="4" xr9:uid="{8C3EB6E1-4F9D-4DB3-8481-11D485F21713}">
      <tableStyleElement type="headerRow" dxfId="1202"/>
      <tableStyleElement type="totalRow" dxfId="1201"/>
      <tableStyleElement type="firstColumn" dxfId="1200"/>
      <tableStyleElement type="firstRowStripe" dxfId="1199"/>
    </tableStyle>
    <tableStyle name="Стиль сводной таблицы 1 2" table="0" count="5" xr9:uid="{00B9E73C-ED7E-475B-BB35-56CF83E1FA83}">
      <tableStyleElement type="headerRow" dxfId="1198"/>
      <tableStyleElement type="totalRow" dxfId="1197"/>
      <tableStyleElement type="firstColumn" dxfId="1196"/>
      <tableStyleElement type="firstRowStripe" dxfId="1195"/>
      <tableStyleElement type="firstSubtotalRow" dxfId="1194"/>
    </tableStyle>
    <tableStyle name="Стиль сводной таблицы 2" table="0" count="3" xr9:uid="{F1BE4AB7-0B04-499A-B778-8145DCEEFB21}">
      <tableStyleElement type="wholeTable" dxfId="1193"/>
      <tableStyleElement type="headerRow" dxfId="1192"/>
      <tableStyleElement type="firstColumnStripe" dxfId="1191"/>
    </tableStyle>
    <tableStyle name="Стиль среза 1" pivot="0" table="0" count="1" xr9:uid="{F0FDFC67-9588-49E8-8133-86D6692F064B}">
      <tableStyleElement type="headerRow" dxfId="1190"/>
    </tableStyle>
    <tableStyle name="Стиль среза 2" pivot="0" table="0" count="1" xr9:uid="{B4A8EE7F-431B-4A57-B169-397196AD306E}">
      <tableStyleElement type="headerRow" dxfId="1189"/>
    </tableStyle>
  </tableStyles>
  <colors>
    <mruColors>
      <color rgb="FFFF9999"/>
      <color rgb="FFAECF85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  <name val="Bahnschrift Light SemiCondensed"/>
            <family val="2"/>
            <charset val="204"/>
            <scheme val="none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  <name val="Bahnschrift Light SemiCondensed"/>
            <family val="2"/>
            <charset val="204"/>
            <scheme val="none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  <name val="Bahnschrift Light SemiCondensed"/>
            <family val="2"/>
            <charset val="204"/>
            <scheme val="none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ДАШБОРД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2.xml"/><Relationship Id="rId42" Type="http://schemas.microsoft.com/office/2007/relationships/slicerCache" Target="slicerCaches/slicerCache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1.xml"/><Relationship Id="rId38" Type="http://schemas.openxmlformats.org/officeDocument/2006/relationships/pivotCacheDefinition" Target="pivotCache/pivotCacheDefinition6.xml"/><Relationship Id="rId46" Type="http://schemas.microsoft.com/office/2007/relationships/slicerCache" Target="slicerCaches/slicerCache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5.xml"/><Relationship Id="rId40" Type="http://schemas.openxmlformats.org/officeDocument/2006/relationships/pivotCacheDefinition" Target="pivotCache/pivotCacheDefinition8.xml"/><Relationship Id="rId45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4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3.xml"/><Relationship Id="rId43" Type="http://schemas.microsoft.com/office/2007/relationships/slicerCache" Target="slicerCaches/slicerCache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 sz="1400"/>
              <a:t>СТАТИСТИКА УБОРКИ ОВОЩНОГО ГОРОШКА 2019-2026 гг.</a:t>
            </a:r>
          </a:p>
        </c:rich>
      </c:tx>
      <c:layout>
        <c:manualLayout>
          <c:xMode val="edge"/>
          <c:yMode val="edge"/>
          <c:x val="0.19943520862091399"/>
          <c:y val="1.0011375129379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3940481704492822E-2"/>
          <c:y val="0.13287962642435769"/>
          <c:w val="0.92644778410531581"/>
          <c:h val="0.75181264911496992"/>
        </c:manualLayout>
      </c:layout>
      <c:barChart>
        <c:barDir val="col"/>
        <c:grouping val="clustered"/>
        <c:varyColors val="0"/>
        <c:ser>
          <c:idx val="0"/>
          <c:order val="0"/>
          <c:tx>
            <c:v>Валовый сбор, т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7E1-4D82-8546-230024CE5D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7E1-4D82-8546-230024CE5D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7E1-4D82-8546-230024CE5D9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7E1-4D82-8546-230024CE5D9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7E1-4D82-8546-230024CE5D9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7E1-4D82-8546-230024CE5D9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7E1-4D82-8546-230024CE5D94}"/>
                </c:ext>
              </c:extLst>
            </c:dLbl>
            <c:dLbl>
              <c:idx val="7"/>
              <c:layout>
                <c:manualLayout>
                  <c:x val="-1.3481887323156445E-16"/>
                  <c:y val="0.15120481299341337"/>
                </c:manualLayout>
              </c:layout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7E1-4D82-8546-230024CE5D9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'Данные 2026'!$D$15:$D$22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'Данные 2026'!$G$15:$G$22</c:f>
              <c:numCache>
                <c:formatCode>0\ 000" тн"</c:formatCode>
                <c:ptCount val="8"/>
                <c:pt idx="0">
                  <c:v>6813</c:v>
                </c:pt>
                <c:pt idx="1">
                  <c:v>12761</c:v>
                </c:pt>
                <c:pt idx="2">
                  <c:v>10161</c:v>
                </c:pt>
                <c:pt idx="3">
                  <c:v>6505</c:v>
                </c:pt>
                <c:pt idx="4">
                  <c:v>6656</c:v>
                </c:pt>
                <c:pt idx="5">
                  <c:v>4371.8999999999996</c:v>
                </c:pt>
                <c:pt idx="6">
                  <c:v>7098.14</c:v>
                </c:pt>
                <c:pt idx="7">
                  <c:v>8234.91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2026'!$F$15:$F$22</c15:f>
                <c15:dlblRangeCache>
                  <c:ptCount val="8"/>
                  <c:pt idx="0">
                    <c:v>3,3 тн/га</c:v>
                  </c:pt>
                  <c:pt idx="1">
                    <c:v>4,6 тн/га</c:v>
                  </c:pt>
                  <c:pt idx="2">
                    <c:v>4,2 тн/га</c:v>
                  </c:pt>
                  <c:pt idx="3">
                    <c:v>3,0 тн/га</c:v>
                  </c:pt>
                  <c:pt idx="4">
                    <c:v>5,6 тн/га</c:v>
                  </c:pt>
                  <c:pt idx="5">
                    <c:v>2,7 тн/га</c:v>
                  </c:pt>
                  <c:pt idx="6">
                    <c:v>4,8 тн/га</c:v>
                  </c:pt>
                  <c:pt idx="7">
                    <c:v>4,9 тн/га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27E1-4D82-8546-230024CE5D9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620307416"/>
        <c:axId val="620307776"/>
      </c:barChart>
      <c:catAx>
        <c:axId val="62030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0307776"/>
        <c:crosses val="autoZero"/>
        <c:auto val="1"/>
        <c:lblAlgn val="ctr"/>
        <c:lblOffset val="100"/>
        <c:noMultiLvlLbl val="0"/>
      </c:catAx>
      <c:valAx>
        <c:axId val="620307776"/>
        <c:scaling>
          <c:orientation val="minMax"/>
        </c:scaling>
        <c:delete val="0"/>
        <c:axPos val="l"/>
        <c:numFmt formatCode="0\ 000&quot; тн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0307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 sz="1000">
          <a:solidFill>
            <a:schemeClr val="dk1"/>
          </a:solidFill>
          <a:latin typeface="Bahnschrift Light SemiCondensed" panose="020B0502040204020203" pitchFamily="34" charset="0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 sz="1400"/>
              <a:t>ЕЖЕДНЕВНЫЙ СБОР СЫРЬЯ СО СРЕДНИМ ПОКАЗАТЕЛЕМ ФИНОМЕТРА</a:t>
            </a:r>
          </a:p>
        </c:rich>
      </c:tx>
      <c:layout>
        <c:manualLayout>
          <c:xMode val="edge"/>
          <c:yMode val="edge"/>
          <c:x val="0.33944453120753998"/>
          <c:y val="1.12368497889772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B1D6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</c:pivotFmt>
      <c:pivotFmt>
        <c:idx val="3"/>
        <c:spPr>
          <a:solidFill>
            <a:srgbClr val="B1D6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100000">
                <a:srgbClr val="96B34D"/>
              </a:gs>
              <a:gs pos="1000">
                <a:schemeClr val="accent6">
                  <a:lumMod val="5000"/>
                  <a:lumOff val="95000"/>
                </a:schemeClr>
              </a:gs>
              <a:gs pos="48000">
                <a:schemeClr val="accent6">
                  <a:lumMod val="45000"/>
                  <a:lumOff val="55000"/>
                </a:schemeClr>
              </a:gs>
              <a:gs pos="100000">
                <a:srgbClr val="789034"/>
              </a:gs>
              <a:gs pos="100000">
                <a:schemeClr val="accent6">
                  <a:lumMod val="30000"/>
                  <a:lumOff val="7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0.0&quot; тн.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2700" cap="rnd">
            <a:solidFill>
              <a:srgbClr val="FF9393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0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FF0000"/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2700" cap="rnd">
            <a:solidFill>
              <a:srgbClr val="FF9393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0">
              <a:solidFill>
                <a:srgbClr val="FF0000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2"/>
          <c:order val="0"/>
          <c:spPr>
            <a:gradFill flip="none" rotWithShape="1">
              <a:gsLst>
                <a:gs pos="100000">
                  <a:srgbClr val="96B34D"/>
                </a:gs>
                <a:gs pos="1000">
                  <a:schemeClr val="accent6">
                    <a:lumMod val="5000"/>
                    <a:lumOff val="95000"/>
                  </a:schemeClr>
                </a:gs>
                <a:gs pos="48000">
                  <a:schemeClr val="accent6">
                    <a:lumMod val="45000"/>
                    <a:lumOff val="55000"/>
                  </a:schemeClr>
                </a:gs>
                <a:gs pos="100000">
                  <a:srgbClr val="789034"/>
                </a:gs>
                <a:gs pos="100000">
                  <a:schemeClr val="accent6">
                    <a:lumMod val="30000"/>
                    <a:lumOff val="7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dLbl>
              <c:idx val="2"/>
              <c:numFmt formatCode="000&quot; тн&quot;" sourceLinked="0"/>
              <c:spPr>
                <a:solidFill>
                  <a:schemeClr val="bg1"/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Bahnschrift Light SemiCondensed" panose="020B0502040204020203" pitchFamily="34" charset="0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178-4280-9934-CCDEBA80FC72}"/>
                </c:ext>
              </c:extLst>
            </c:dLbl>
            <c:dLbl>
              <c:idx val="16"/>
              <c:numFmt formatCode="00&quot; тн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Bahnschrift Light SemiCondensed" panose="020B0502040204020203" pitchFamily="34" charset="0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F28-486A-8A2A-6011E94285C4}"/>
                </c:ext>
              </c:extLst>
            </c:dLbl>
            <c:dLbl>
              <c:idx val="17"/>
              <c:numFmt formatCode="00&quot; тн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Bahnschrift Light SemiCondensed" panose="020B0502040204020203" pitchFamily="34" charset="0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F28-486A-8A2A-6011E94285C4}"/>
                </c:ext>
              </c:extLst>
            </c:dLbl>
            <c:numFmt formatCode="000&quot; тн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'Данные 2026'!$J$4:$J$48</c:f>
              <c:numCache>
                <c:formatCode>m/d/yyyy</c:formatCode>
                <c:ptCount val="45"/>
                <c:pt idx="0">
                  <c:v>46176</c:v>
                </c:pt>
                <c:pt idx="1">
                  <c:v>46177</c:v>
                </c:pt>
                <c:pt idx="2">
                  <c:v>46178</c:v>
                </c:pt>
                <c:pt idx="3">
                  <c:v>46179</c:v>
                </c:pt>
                <c:pt idx="4">
                  <c:v>46180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46184</c:v>
                </c:pt>
                <c:pt idx="9">
                  <c:v>46185</c:v>
                </c:pt>
                <c:pt idx="10">
                  <c:v>46186</c:v>
                </c:pt>
                <c:pt idx="11">
                  <c:v>46187</c:v>
                </c:pt>
                <c:pt idx="12">
                  <c:v>46188</c:v>
                </c:pt>
                <c:pt idx="13">
                  <c:v>46189</c:v>
                </c:pt>
                <c:pt idx="14">
                  <c:v>46190</c:v>
                </c:pt>
                <c:pt idx="15">
                  <c:v>46191</c:v>
                </c:pt>
                <c:pt idx="16">
                  <c:v>46192</c:v>
                </c:pt>
                <c:pt idx="17">
                  <c:v>46193</c:v>
                </c:pt>
                <c:pt idx="18">
                  <c:v>46194</c:v>
                </c:pt>
                <c:pt idx="19">
                  <c:v>46195</c:v>
                </c:pt>
                <c:pt idx="20">
                  <c:v>46196</c:v>
                </c:pt>
                <c:pt idx="21">
                  <c:v>46197</c:v>
                </c:pt>
                <c:pt idx="22">
                  <c:v>46198</c:v>
                </c:pt>
                <c:pt idx="23">
                  <c:v>46199</c:v>
                </c:pt>
                <c:pt idx="24">
                  <c:v>46200</c:v>
                </c:pt>
                <c:pt idx="25">
                  <c:v>46201</c:v>
                </c:pt>
                <c:pt idx="26">
                  <c:v>46202</c:v>
                </c:pt>
                <c:pt idx="27">
                  <c:v>46203</c:v>
                </c:pt>
                <c:pt idx="28">
                  <c:v>46204</c:v>
                </c:pt>
                <c:pt idx="29">
                  <c:v>46205</c:v>
                </c:pt>
                <c:pt idx="30">
                  <c:v>46206</c:v>
                </c:pt>
                <c:pt idx="31">
                  <c:v>46207</c:v>
                </c:pt>
                <c:pt idx="32">
                  <c:v>46208</c:v>
                </c:pt>
                <c:pt idx="33">
                  <c:v>46209</c:v>
                </c:pt>
                <c:pt idx="34">
                  <c:v>46210</c:v>
                </c:pt>
                <c:pt idx="35">
                  <c:v>46211</c:v>
                </c:pt>
                <c:pt idx="36">
                  <c:v>46212</c:v>
                </c:pt>
                <c:pt idx="37">
                  <c:v>46213</c:v>
                </c:pt>
                <c:pt idx="38">
                  <c:v>46214</c:v>
                </c:pt>
                <c:pt idx="39">
                  <c:v>46215</c:v>
                </c:pt>
                <c:pt idx="40">
                  <c:v>46216</c:v>
                </c:pt>
                <c:pt idx="41">
                  <c:v>46217</c:v>
                </c:pt>
                <c:pt idx="42">
                  <c:v>46218</c:v>
                </c:pt>
                <c:pt idx="43">
                  <c:v>46219</c:v>
                </c:pt>
                <c:pt idx="44">
                  <c:v>46220</c:v>
                </c:pt>
              </c:numCache>
            </c:numRef>
          </c:cat>
          <c:val>
            <c:numRef>
              <c:f>'Данные 2026'!$K$4:$K$48</c:f>
              <c:numCache>
                <c:formatCode>General</c:formatCode>
                <c:ptCount val="45"/>
                <c:pt idx="0">
                  <c:v>191.51</c:v>
                </c:pt>
                <c:pt idx="1">
                  <c:v>117.37</c:v>
                </c:pt>
                <c:pt idx="3">
                  <c:v>268.92</c:v>
                </c:pt>
                <c:pt idx="4">
                  <c:v>222.31</c:v>
                </c:pt>
                <c:pt idx="5">
                  <c:v>246.5</c:v>
                </c:pt>
                <c:pt idx="6">
                  <c:v>309.81</c:v>
                </c:pt>
                <c:pt idx="7">
                  <c:v>373.68</c:v>
                </c:pt>
                <c:pt idx="8">
                  <c:v>314.52999999999997</c:v>
                </c:pt>
                <c:pt idx="9">
                  <c:v>275.87</c:v>
                </c:pt>
                <c:pt idx="10">
                  <c:v>210.12</c:v>
                </c:pt>
                <c:pt idx="11">
                  <c:v>283.77</c:v>
                </c:pt>
                <c:pt idx="12">
                  <c:v>274.72000000000003</c:v>
                </c:pt>
                <c:pt idx="13">
                  <c:v>224.44</c:v>
                </c:pt>
                <c:pt idx="14">
                  <c:v>260.14</c:v>
                </c:pt>
                <c:pt idx="15">
                  <c:v>276.54000000000002</c:v>
                </c:pt>
                <c:pt idx="16">
                  <c:v>48.93</c:v>
                </c:pt>
                <c:pt idx="17">
                  <c:v>53.81</c:v>
                </c:pt>
                <c:pt idx="18">
                  <c:v>305.45</c:v>
                </c:pt>
                <c:pt idx="19">
                  <c:v>278.12</c:v>
                </c:pt>
                <c:pt idx="20">
                  <c:v>283.39</c:v>
                </c:pt>
                <c:pt idx="21">
                  <c:v>228.04</c:v>
                </c:pt>
                <c:pt idx="22">
                  <c:v>399.44</c:v>
                </c:pt>
                <c:pt idx="23">
                  <c:v>245.87</c:v>
                </c:pt>
                <c:pt idx="24">
                  <c:v>277.62</c:v>
                </c:pt>
                <c:pt idx="25">
                  <c:v>344.28</c:v>
                </c:pt>
                <c:pt idx="26">
                  <c:v>262.10000000000002</c:v>
                </c:pt>
                <c:pt idx="27">
                  <c:v>185.66</c:v>
                </c:pt>
                <c:pt idx="28">
                  <c:v>254.57</c:v>
                </c:pt>
                <c:pt idx="29">
                  <c:v>283.02999999999997</c:v>
                </c:pt>
                <c:pt idx="30">
                  <c:v>221.76</c:v>
                </c:pt>
                <c:pt idx="31">
                  <c:v>255.78</c:v>
                </c:pt>
                <c:pt idx="32">
                  <c:v>241.54</c:v>
                </c:pt>
                <c:pt idx="33">
                  <c:v>215.29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7-4321-8717-F0B8B3B92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716168"/>
        <c:axId val="926716528"/>
      </c:barChart>
      <c:lineChart>
        <c:grouping val="standard"/>
        <c:varyColors val="0"/>
        <c:ser>
          <c:idx val="3"/>
          <c:order val="1"/>
          <c:spPr>
            <a:ln w="12700" cap="rnd">
              <a:solidFill>
                <a:srgbClr val="FF9999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bg1"/>
                </a:solidFill>
                <a:ln w="9525"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178-4280-9934-CCDEBA80FC72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78-4280-9934-CCDEBA80FC72}"/>
                </c:ext>
              </c:extLst>
            </c:dLbl>
            <c:dLbl>
              <c:idx val="3"/>
              <c:layout>
                <c:manualLayout>
                  <c:x val="-1.6063043777926365E-2"/>
                  <c:y val="-5.55035924165728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CE-49CC-AB73-2960CFFAD6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'Данные 2026'!$J$4:$J$48</c:f>
              <c:numCache>
                <c:formatCode>m/d/yyyy</c:formatCode>
                <c:ptCount val="45"/>
                <c:pt idx="0">
                  <c:v>46176</c:v>
                </c:pt>
                <c:pt idx="1">
                  <c:v>46177</c:v>
                </c:pt>
                <c:pt idx="2">
                  <c:v>46178</c:v>
                </c:pt>
                <c:pt idx="3">
                  <c:v>46179</c:v>
                </c:pt>
                <c:pt idx="4">
                  <c:v>46180</c:v>
                </c:pt>
                <c:pt idx="5">
                  <c:v>46181</c:v>
                </c:pt>
                <c:pt idx="6">
                  <c:v>46182</c:v>
                </c:pt>
                <c:pt idx="7">
                  <c:v>46183</c:v>
                </c:pt>
                <c:pt idx="8">
                  <c:v>46184</c:v>
                </c:pt>
                <c:pt idx="9">
                  <c:v>46185</c:v>
                </c:pt>
                <c:pt idx="10">
                  <c:v>46186</c:v>
                </c:pt>
                <c:pt idx="11">
                  <c:v>46187</c:v>
                </c:pt>
                <c:pt idx="12">
                  <c:v>46188</c:v>
                </c:pt>
                <c:pt idx="13">
                  <c:v>46189</c:v>
                </c:pt>
                <c:pt idx="14">
                  <c:v>46190</c:v>
                </c:pt>
                <c:pt idx="15">
                  <c:v>46191</c:v>
                </c:pt>
                <c:pt idx="16">
                  <c:v>46192</c:v>
                </c:pt>
                <c:pt idx="17">
                  <c:v>46193</c:v>
                </c:pt>
                <c:pt idx="18">
                  <c:v>46194</c:v>
                </c:pt>
                <c:pt idx="19">
                  <c:v>46195</c:v>
                </c:pt>
                <c:pt idx="20">
                  <c:v>46196</c:v>
                </c:pt>
                <c:pt idx="21">
                  <c:v>46197</c:v>
                </c:pt>
                <c:pt idx="22">
                  <c:v>46198</c:v>
                </c:pt>
                <c:pt idx="23">
                  <c:v>46199</c:v>
                </c:pt>
                <c:pt idx="24">
                  <c:v>46200</c:v>
                </c:pt>
                <c:pt idx="25">
                  <c:v>46201</c:v>
                </c:pt>
                <c:pt idx="26">
                  <c:v>46202</c:v>
                </c:pt>
                <c:pt idx="27">
                  <c:v>46203</c:v>
                </c:pt>
                <c:pt idx="28">
                  <c:v>46204</c:v>
                </c:pt>
                <c:pt idx="29">
                  <c:v>46205</c:v>
                </c:pt>
                <c:pt idx="30">
                  <c:v>46206</c:v>
                </c:pt>
                <c:pt idx="31">
                  <c:v>46207</c:v>
                </c:pt>
                <c:pt idx="32">
                  <c:v>46208</c:v>
                </c:pt>
                <c:pt idx="33">
                  <c:v>46209</c:v>
                </c:pt>
                <c:pt idx="34">
                  <c:v>46210</c:v>
                </c:pt>
                <c:pt idx="35">
                  <c:v>46211</c:v>
                </c:pt>
                <c:pt idx="36">
                  <c:v>46212</c:v>
                </c:pt>
                <c:pt idx="37">
                  <c:v>46213</c:v>
                </c:pt>
                <c:pt idx="38">
                  <c:v>46214</c:v>
                </c:pt>
                <c:pt idx="39">
                  <c:v>46215</c:v>
                </c:pt>
                <c:pt idx="40">
                  <c:v>46216</c:v>
                </c:pt>
                <c:pt idx="41">
                  <c:v>46217</c:v>
                </c:pt>
                <c:pt idx="42">
                  <c:v>46218</c:v>
                </c:pt>
                <c:pt idx="43">
                  <c:v>46219</c:v>
                </c:pt>
                <c:pt idx="44">
                  <c:v>46220</c:v>
                </c:pt>
              </c:numCache>
            </c:numRef>
          </c:cat>
          <c:val>
            <c:numRef>
              <c:f>'Данные 2026'!$L$4:$L$48</c:f>
              <c:numCache>
                <c:formatCode>0.0</c:formatCode>
                <c:ptCount val="45"/>
                <c:pt idx="0">
                  <c:v>52.285714285714285</c:v>
                </c:pt>
                <c:pt idx="1">
                  <c:v>52</c:v>
                </c:pt>
                <c:pt idx="3">
                  <c:v>47.826086956521742</c:v>
                </c:pt>
                <c:pt idx="4">
                  <c:v>51.2</c:v>
                </c:pt>
                <c:pt idx="5">
                  <c:v>49.55</c:v>
                </c:pt>
                <c:pt idx="6">
                  <c:v>53.269230769230766</c:v>
                </c:pt>
                <c:pt idx="7">
                  <c:v>55.58064516129032</c:v>
                </c:pt>
                <c:pt idx="8">
                  <c:v>61.192307692307693</c:v>
                </c:pt>
                <c:pt idx="9">
                  <c:v>63.083333333333336</c:v>
                </c:pt>
                <c:pt idx="10">
                  <c:v>60.833333333333336</c:v>
                </c:pt>
                <c:pt idx="11">
                  <c:v>62.375</c:v>
                </c:pt>
                <c:pt idx="12">
                  <c:v>61.826086956521742</c:v>
                </c:pt>
                <c:pt idx="13">
                  <c:v>61.61904761904762</c:v>
                </c:pt>
                <c:pt idx="14">
                  <c:v>56.391304347826086</c:v>
                </c:pt>
                <c:pt idx="15">
                  <c:v>52.84</c:v>
                </c:pt>
                <c:pt idx="16">
                  <c:v>47.333333333333336</c:v>
                </c:pt>
                <c:pt idx="17">
                  <c:v>51.428571428571431</c:v>
                </c:pt>
                <c:pt idx="18">
                  <c:v>55.93333333333333</c:v>
                </c:pt>
                <c:pt idx="19">
                  <c:v>58.8</c:v>
                </c:pt>
                <c:pt idx="20">
                  <c:v>59.230769230769234</c:v>
                </c:pt>
                <c:pt idx="21">
                  <c:v>61.217391304347828</c:v>
                </c:pt>
                <c:pt idx="22">
                  <c:v>59.529411764705884</c:v>
                </c:pt>
                <c:pt idx="23">
                  <c:v>64.681818181818187</c:v>
                </c:pt>
                <c:pt idx="24">
                  <c:v>63.263157894736842</c:v>
                </c:pt>
                <c:pt idx="25">
                  <c:v>59.72</c:v>
                </c:pt>
                <c:pt idx="26">
                  <c:v>56.25</c:v>
                </c:pt>
                <c:pt idx="27">
                  <c:v>55.157894736842103</c:v>
                </c:pt>
                <c:pt idx="28">
                  <c:v>54.61904761904762</c:v>
                </c:pt>
                <c:pt idx="29">
                  <c:v>54.043478260869563</c:v>
                </c:pt>
                <c:pt idx="30">
                  <c:v>59.05263157894737</c:v>
                </c:pt>
                <c:pt idx="31">
                  <c:v>60.5</c:v>
                </c:pt>
                <c:pt idx="32">
                  <c:v>60.75</c:v>
                </c:pt>
                <c:pt idx="33">
                  <c:v>67.470588235294116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7-4321-8717-F0B8B3B92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194952"/>
        <c:axId val="291975464"/>
      </c:lineChart>
      <c:catAx>
        <c:axId val="9267161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[$-419]d\ mmm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926716528"/>
        <c:crosses val="autoZero"/>
        <c:auto val="0"/>
        <c:lblAlgn val="ctr"/>
        <c:lblOffset val="100"/>
        <c:tickMarkSkip val="2"/>
        <c:noMultiLvlLbl val="0"/>
      </c:catAx>
      <c:valAx>
        <c:axId val="926716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926716168"/>
        <c:crossesAt val="1"/>
        <c:crossBetween val="between"/>
      </c:valAx>
      <c:valAx>
        <c:axId val="29197546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752194952"/>
        <c:crosses val="max"/>
        <c:crossBetween val="between"/>
        <c:majorUnit val="5"/>
      </c:valAx>
      <c:dateAx>
        <c:axId val="7521949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9197546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6"/>
      </a:solidFill>
      <a:round/>
    </a:ln>
    <a:effectLst/>
  </c:spPr>
  <c:txPr>
    <a:bodyPr/>
    <a:lstStyle/>
    <a:p>
      <a:pPr>
        <a:defRPr>
          <a:latin typeface="Bahnschrift Light SemiCondensed" panose="020B0502040204020203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/>
              <a:t>РАСПРЕДЕЛЕНИЕ СЫРЬЯ ПО ФИНОМЕТРУ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5"/>
        <c:dLbl>
          <c:idx val="0"/>
          <c:layout>
            <c:manualLayout>
              <c:x val="0.19245561616640733"/>
              <c:y val="0.1181039113652245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3555297083588116"/>
                  <c:h val="0.23464806442920871"/>
                </c:manualLayout>
              </c15:layout>
            </c:ext>
          </c:extLst>
        </c:dLbl>
      </c:pivotFmt>
      <c:pivotFmt>
        <c:idx val="6"/>
      </c:pivotFmt>
      <c:pivotFmt>
        <c:idx val="7"/>
        <c:dLbl>
          <c:idx val="0"/>
          <c:layout>
            <c:manualLayout>
              <c:x val="-0.11741339204637335"/>
              <c:y val="0.16020310545293986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7612991504024084"/>
                  <c:h val="0.18413062853124668"/>
                </c:manualLayout>
              </c15:layout>
            </c:ext>
          </c:extLst>
        </c:dLbl>
      </c:pivotFmt>
      <c:pivotFmt>
        <c:idx val="8"/>
        <c:dLbl>
          <c:idx val="0"/>
          <c:layout>
            <c:manualLayout>
              <c:x val="-0.10235498998644127"/>
              <c:y val="0.1474560306129956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882088791033822"/>
                  <c:h val="0.15251943974292931"/>
                </c:manualLayout>
              </c15:layout>
            </c:ext>
          </c:extLst>
        </c:dLbl>
      </c:pivotFmt>
      <c:pivotFmt>
        <c:idx val="9"/>
        <c:dLbl>
          <c:idx val="0"/>
          <c:layout>
            <c:manualLayout>
              <c:x val="-0.16745655608214849"/>
              <c:y val="-0.12876427829698861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0.13902053712480253"/>
              <c:y val="-0.1619937694704049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0.1575144150210698"/>
              <c:y val="2.0279033561869393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1514994421056296"/>
                  <c:h val="0.19074558645948722"/>
                </c:manualLayout>
              </c15:layout>
            </c:ext>
          </c:extLst>
        </c:dLbl>
      </c:pivotFmt>
      <c:pivotFmt>
        <c:idx val="12"/>
        <c:dLbl>
          <c:idx val="0"/>
          <c:layout>
            <c:manualLayout>
              <c:x val="-0.13583811937596846"/>
              <c:y val="-0.1673003802281369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0.13583811937596846"/>
              <c:y val="-0.1875792141951837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  <c:spPr>
          <a:solidFill>
            <a:srgbClr val="677C2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797683355859233"/>
              <c:y val="0.124208057642984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249098072664406"/>
                  <c:h val="0.21609412891829582"/>
                </c:manualLayout>
              </c15:layout>
            </c:ext>
          </c:extLst>
        </c:dLbl>
      </c:pivotFmt>
      <c:pivotFmt>
        <c:idx val="16"/>
        <c:spPr>
          <a:solidFill>
            <a:srgbClr val="A1BF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294794662328829"/>
              <c:y val="-0.16730038022813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SemiLight SemiConde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7"/>
        <c:spPr>
          <a:solidFill>
            <a:srgbClr val="A6C25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43930329996284"/>
              <c:y val="-0.152091055158029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SemiLight SemiConde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909946313334323"/>
                  <c:h val="0.21102442042653413"/>
                </c:manualLayout>
              </c15:layout>
            </c:ext>
          </c:extLst>
        </c:dLbl>
      </c:pivotFmt>
      <c:pivotFmt>
        <c:idx val="18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583811937596846"/>
              <c:y val="-0.19264892268694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9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462424226838964"/>
              <c:y val="-0.14195143857968323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519318073979774"/>
                  <c:h val="0.21102442042653413"/>
                </c:manualLayout>
              </c15:layout>
            </c:ext>
          </c:extLst>
        </c:dLbl>
      </c:pivotFmt>
      <c:pivotFmt>
        <c:idx val="20"/>
        <c:spPr>
          <a:solidFill>
            <a:srgbClr val="A1BF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161846488132881"/>
              <c:y val="-0.162230472141552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541870069211674"/>
                  <c:h val="0.2515820883606279"/>
                </c:manualLayout>
              </c15:layout>
            </c:ext>
          </c:extLst>
        </c:dLbl>
      </c:pivotFmt>
      <c:pivotFmt>
        <c:idx val="21"/>
        <c:spPr>
          <a:solidFill>
            <a:srgbClr val="F8ED8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37571790639526"/>
              <c:y val="3.29531051964512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862360870611062"/>
                  <c:h val="0.23637296288534276"/>
                </c:manualLayout>
              </c15:layout>
            </c:ext>
          </c:extLst>
        </c:dLbl>
      </c:pivotFmt>
      <c:pivotFmt>
        <c:idx val="22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017349229131756"/>
              <c:y val="-0.179974451862718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027260018374216"/>
                  <c:h val="0.22623354590181927"/>
                </c:manualLayout>
              </c15:layout>
            </c:ext>
          </c:extLst>
        </c:dLbl>
      </c:pivotFmt>
      <c:pivotFmt>
        <c:idx val="23"/>
        <c:spPr>
          <a:solidFill>
            <a:srgbClr val="677C2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16760111792791"/>
              <c:y val="0.240811352953504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491371696469962"/>
                  <c:h val="0.23637296288534276"/>
                </c:manualLayout>
              </c15:layout>
            </c:ext>
          </c:extLst>
        </c:dLbl>
      </c:pivotFmt>
      <c:pivotFmt>
        <c:idx val="24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39881038668917"/>
              <c:y val="-0.228136882129277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5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450863763400901"/>
              <c:y val="-3.295290560162874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79527245112365"/>
                  <c:h val="0.2446625350538407"/>
                </c:manualLayout>
              </c15:layout>
            </c:ext>
          </c:extLst>
        </c:dLbl>
      </c:pivotFmt>
      <c:pivotFmt>
        <c:idx val="26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849719664621623"/>
              <c:y val="-0.230671736375158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606250374072555"/>
                  <c:h val="0.26494136902088761"/>
                </c:manualLayout>
              </c15:layout>
            </c:ext>
          </c:extLst>
        </c:dLbl>
      </c:pivotFmt>
      <c:pivotFmt>
        <c:idx val="27"/>
        <c:spPr>
          <a:solidFill>
            <a:srgbClr val="F8ED8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473984690277016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8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473973311644147E-2"/>
              <c:y val="-0.182509505703422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9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8265873591126124E-2"/>
              <c:y val="-0.162230671736375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0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16760111792783"/>
              <c:y val="-0.167300380228136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1"/>
        <c:spPr>
          <a:solidFill>
            <a:srgbClr val="FFFFA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763001965545035"/>
              <c:y val="4.6471790995053965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7359522616556614"/>
          <c:y val="0.16514623338020518"/>
          <c:w val="0.40969807325775548"/>
          <c:h val="0.72463446158008982"/>
        </c:manualLayout>
      </c:layout>
      <c:doughnutChart>
        <c:varyColors val="0"/>
        <c:ser>
          <c:idx val="1"/>
          <c:order val="0"/>
          <c:spPr>
            <a:solidFill>
              <a:schemeClr val="accent6">
                <a:shade val="76000"/>
              </a:schemeClr>
            </a:solidFill>
            <a:ln w="19050">
              <a:solidFill>
                <a:schemeClr val="lt1"/>
              </a:solidFill>
            </a:ln>
            <a:effectLst/>
          </c:spPr>
          <c:explosion val="5"/>
          <c:dPt>
            <c:idx val="0"/>
            <c:bubble3D val="0"/>
            <c:spPr>
              <a:solidFill>
                <a:srgbClr val="677C2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08-492D-9E28-BD1C8A3E7C59}"/>
              </c:ext>
            </c:extLst>
          </c:dPt>
          <c:dPt>
            <c:idx val="1"/>
            <c:bubble3D val="0"/>
            <c:spPr>
              <a:solidFill>
                <a:srgbClr val="97B54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08-492D-9E28-BD1C8A3E7C59}"/>
              </c:ext>
            </c:extLst>
          </c:dPt>
          <c:dPt>
            <c:idx val="2"/>
            <c:bubble3D val="0"/>
            <c:spPr>
              <a:solidFill>
                <a:srgbClr val="CDDD9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08-492D-9E28-BD1C8A3E7C59}"/>
              </c:ext>
            </c:extLst>
          </c:dPt>
          <c:dPt>
            <c:idx val="3"/>
            <c:bubble3D val="0"/>
            <c:spPr>
              <a:solidFill>
                <a:srgbClr val="FFFF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108-492D-9E28-BD1C8A3E7C59}"/>
              </c:ext>
            </c:extLst>
          </c:dPt>
          <c:dPt>
            <c:idx val="4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108-492D-9E28-BD1C8A3E7C59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108-492D-9E28-BD1C8A3E7C5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2529243601844059"/>
                      <c:h val="0.192668269697664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108-492D-9E28-BD1C8A3E7C59}"/>
                </c:ext>
              </c:extLst>
            </c:dLbl>
            <c:dLbl>
              <c:idx val="1"/>
              <c:layout>
                <c:manualLayout>
                  <c:x val="0.15167033369335764"/>
                  <c:y val="9.1834930868984838E-2"/>
                </c:manualLayout>
              </c:layout>
              <c:tx>
                <c:rich>
                  <a:bodyPr/>
                  <a:lstStyle/>
                  <a:p>
                    <a:fld id="{FAEB28EB-4201-40D4-BE28-4C549CFD2B12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9E332769-D053-45BC-91DB-70BFBCC51EB9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6B8C3EE6-7336-4788-92ED-40A457C53E0E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79527245112365"/>
                      <c:h val="0.244662535053840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108-492D-9E28-BD1C8A3E7C59}"/>
                </c:ext>
              </c:extLst>
            </c:dLbl>
            <c:dLbl>
              <c:idx val="2"/>
              <c:layout>
                <c:manualLayout>
                  <c:x val="-0.13685261261372503"/>
                  <c:y val="-6.2685972174894147E-2"/>
                </c:manualLayout>
              </c:layout>
              <c:tx>
                <c:rich>
                  <a:bodyPr/>
                  <a:lstStyle/>
                  <a:p>
                    <a:fld id="{344700FC-B0B6-40D0-9366-70DD01B147F7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0DF61061-6674-43CD-A804-95CC3E50EA3F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B2DFCCF3-91FA-4725-A409-CBC7EC01C6E1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799723109658312"/>
                      <c:h val="0.2077382077821217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108-492D-9E28-BD1C8A3E7C59}"/>
                </c:ext>
              </c:extLst>
            </c:dLbl>
            <c:dLbl>
              <c:idx val="3"/>
              <c:layout>
                <c:manualLayout>
                  <c:x val="0.12358687539519059"/>
                  <c:y val="-0.11219218869523143"/>
                </c:manualLayout>
              </c:layout>
              <c:tx>
                <c:rich>
                  <a:bodyPr/>
                  <a:lstStyle/>
                  <a:p>
                    <a:fld id="{363F3AE0-9CEA-4ED0-835E-E5F781457D33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981ECC15-7AF3-4A68-B85F-A48359D9090E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FE706D39-1B2F-4D86-8C04-D5CCDD2657EE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921292245990892"/>
                      <c:h val="0.2335579857320313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108-492D-9E28-BD1C8A3E7C59}"/>
                </c:ext>
              </c:extLst>
            </c:dLbl>
            <c:dLbl>
              <c:idx val="4"/>
              <c:layout>
                <c:manualLayout>
                  <c:x val="0.14171681729310759"/>
                  <c:y val="-1.019922358400286E-2"/>
                </c:manualLayout>
              </c:layout>
              <c:tx>
                <c:rich>
                  <a:bodyPr/>
                  <a:lstStyle/>
                  <a:p>
                    <a:fld id="{6DDAD436-D98C-4920-91EA-A60169D41733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86F370F3-E936-4848-9364-3B7CA89C8A03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8B96AFB9-11A3-4D57-8C49-741A50E941B3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108-492D-9E28-BD1C8A3E7C5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108-492D-9E28-BD1C8A3E7C5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'Данные 2026'!$D$27:$D$32</c:f>
              <c:strCache>
                <c:ptCount val="6"/>
                <c:pt idx="0">
                  <c:v>до 40</c:v>
                </c:pt>
                <c:pt idx="1">
                  <c:v>40-52</c:v>
                </c:pt>
                <c:pt idx="2">
                  <c:v>53-63</c:v>
                </c:pt>
                <c:pt idx="3">
                  <c:v>64-66</c:v>
                </c:pt>
                <c:pt idx="4">
                  <c:v>67-85</c:v>
                </c:pt>
                <c:pt idx="5">
                  <c:v>нет данных</c:v>
                </c:pt>
              </c:strCache>
            </c:strRef>
          </c:cat>
          <c:val>
            <c:numRef>
              <c:f>'Данные 2026'!$F$27:$F$32</c:f>
              <c:numCache>
                <c:formatCode>0" тн"</c:formatCode>
                <c:ptCount val="6"/>
                <c:pt idx="0">
                  <c:v>0</c:v>
                </c:pt>
                <c:pt idx="1">
                  <c:v>1549.04</c:v>
                </c:pt>
                <c:pt idx="2">
                  <c:v>4786.51</c:v>
                </c:pt>
                <c:pt idx="3">
                  <c:v>1097.02</c:v>
                </c:pt>
                <c:pt idx="4">
                  <c:v>802.34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2026'!$G$27:$G$32</c15:f>
                <c15:dlblRangeCache>
                  <c:ptCount val="6"/>
                  <c:pt idx="0">
                    <c:v>0,0%</c:v>
                  </c:pt>
                  <c:pt idx="1">
                    <c:v>19%</c:v>
                  </c:pt>
                  <c:pt idx="2">
                    <c:v>58%</c:v>
                  </c:pt>
                  <c:pt idx="3">
                    <c:v>13%</c:v>
                  </c:pt>
                  <c:pt idx="4">
                    <c:v>10%</c:v>
                  </c:pt>
                  <c:pt idx="5">
                    <c:v>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A108-492D-9E28-BD1C8A3E7C59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107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6"/>
      </a:solidFill>
      <a:round/>
    </a:ln>
    <a:effectLst/>
  </c:spPr>
  <c:txPr>
    <a:bodyPr/>
    <a:lstStyle/>
    <a:p>
      <a:pPr>
        <a:defRPr>
          <a:latin typeface="Bahnschrift Light SemiCondensed" panose="020B0502040204020203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/>
              <a:t>ВЫПОЛНЕНИЕ ПЛАНА ПО СБОРУ</a:t>
            </a:r>
          </a:p>
        </c:rich>
      </c:tx>
      <c:layout>
        <c:manualLayout>
          <c:xMode val="edge"/>
          <c:yMode val="edge"/>
          <c:x val="0.2085421591804570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24170733977401762"/>
          <c:y val="0.10978386091000369"/>
          <c:w val="0.66688210073031662"/>
          <c:h val="0.85740480426523868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dkUpDiag">
              <a:fgClr>
                <a:srgbClr val="AECF85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/>
                      </a:solidFill>
                      <a:latin typeface="Bahnschrift Light SemiCondensed" panose="020B0502040204020203" pitchFamily="34" charset="0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008538285187085"/>
                      <c:h val="3.53740717182364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5EA-4B27-935A-7975E2B4B5D8}"/>
                </c:ext>
              </c:extLst>
            </c:dLbl>
            <c:dLbl>
              <c:idx val="2"/>
              <c:layout>
                <c:manualLayout>
                  <c:x val="0.1137575471364797"/>
                  <c:y val="1.1836176895924734E-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EA-4B27-935A-7975E2B4B5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'Данные 2026'!$D$4:$D$11</c15:sqref>
                  </c15:fullRef>
                </c:ext>
              </c:extLst>
              <c:f>'Данные 2026'!$D$4:$D$7</c:f>
              <c:strCache>
                <c:ptCount val="4"/>
                <c:pt idx="0">
                  <c:v>ГРК (богара)</c:v>
                </c:pt>
                <c:pt idx="1">
                  <c:v>ГРК (полив)</c:v>
                </c:pt>
                <c:pt idx="2">
                  <c:v>Агролидер (полив)</c:v>
                </c:pt>
                <c:pt idx="3">
                  <c:v>Колос (полив)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'Данные 2026'!$E$4:$E$11</c15:sqref>
                  </c15:fullRef>
                </c:ext>
              </c:extLst>
              <c:f>'Данные 2026'!$E$4:$E$7</c:f>
              <c:numCache>
                <c:formatCode>0\ 000" тн"</c:formatCode>
                <c:ptCount val="4"/>
                <c:pt idx="0">
                  <c:v>3890</c:v>
                </c:pt>
                <c:pt idx="1">
                  <c:v>2100</c:v>
                </c:pt>
                <c:pt idx="2">
                  <c:v>1345</c:v>
                </c:pt>
                <c:pt idx="3">
                  <c:v>2200.8000000000002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A-4B27-935A-7975E2B4B5D8}"/>
            </c:ext>
          </c:extLst>
        </c:ser>
        <c:ser>
          <c:idx val="1"/>
          <c:order val="1"/>
          <c:spPr>
            <a:solidFill>
              <a:srgbClr val="AECF8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C3A7381-5DAC-44C2-9FAA-BD4614EB23BB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EB5B8847-1E5B-4469-B483-43D8847D6B72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813115657984895"/>
                      <c:h val="9.563323191307890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5EA-4B27-935A-7975E2B4B5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B2274A-957D-48C1-B278-53A2D3C95033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E5630B16-5919-4ED9-BFEA-DBA4F6724BA7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5EA-4B27-935A-7975E2B4B5D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06A0D6A-D57F-494E-8A46-A9D226F3E067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5796742A-AC88-41F0-B959-D0AE8D2354E0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5EA-4B27-935A-7975E2B4B5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FF653B2-E9EA-4086-8CED-1676537F7564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B330B161-E05E-44D8-85A0-AE4AB80BEF6C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5EA-4B27-935A-7975E2B4B5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l">
                  <a:defRPr sz="11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'Данные 2026'!$D$4:$D$11</c15:sqref>
                  </c15:fullRef>
                </c:ext>
              </c:extLst>
              <c:f>'Данные 2026'!$D$4:$D$7</c:f>
              <c:strCache>
                <c:ptCount val="4"/>
                <c:pt idx="0">
                  <c:v>ГРК (богара)</c:v>
                </c:pt>
                <c:pt idx="1">
                  <c:v>ГРК (полив)</c:v>
                </c:pt>
                <c:pt idx="2">
                  <c:v>Агролидер (полив)</c:v>
                </c:pt>
                <c:pt idx="3">
                  <c:v>Колос (полив)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'Данные 2026'!$F$4:$F$11</c15:sqref>
                  </c15:fullRef>
                </c:ext>
              </c:extLst>
              <c:f>'Данные 2026'!$F$4:$F$7</c:f>
              <c:numCache>
                <c:formatCode>0" тн"</c:formatCode>
                <c:ptCount val="4"/>
                <c:pt idx="0">
                  <c:v>3918.2</c:v>
                </c:pt>
                <c:pt idx="1">
                  <c:v>1284.55</c:v>
                </c:pt>
                <c:pt idx="2">
                  <c:v>1397.32</c:v>
                </c:pt>
                <c:pt idx="3">
                  <c:v>1634.84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2026'!$G$4:$G$11</c15:f>
                <c15:dlblRangeCache>
                  <c:ptCount val="8"/>
                  <c:pt idx="0">
                    <c:v>101%</c:v>
                  </c:pt>
                  <c:pt idx="1">
                    <c:v>61%</c:v>
                  </c:pt>
                  <c:pt idx="2">
                    <c:v>104%</c:v>
                  </c:pt>
                  <c:pt idx="3">
                    <c:v>74%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05EA-4B27-935A-7975E2B4B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overlap val="100"/>
        <c:axId val="622943696"/>
        <c:axId val="622938296"/>
      </c:barChart>
      <c:catAx>
        <c:axId val="622943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2938296"/>
        <c:crosses val="autoZero"/>
        <c:auto val="1"/>
        <c:lblAlgn val="ctr"/>
        <c:lblOffset val="100"/>
        <c:noMultiLvlLbl val="0"/>
      </c:catAx>
      <c:valAx>
        <c:axId val="622938296"/>
        <c:scaling>
          <c:orientation val="minMax"/>
        </c:scaling>
        <c:delete val="1"/>
        <c:axPos val="t"/>
        <c:numFmt formatCode="0\ 000&quot; тн&quot;" sourceLinked="1"/>
        <c:majorTickMark val="none"/>
        <c:minorTickMark val="none"/>
        <c:tickLblPos val="nextTo"/>
        <c:crossAx val="62294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Bahnschrift Light SemiCondensed" panose="020B0502040204020203" pitchFamily="34" charset="0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 sz="1400"/>
              <a:t>СТАТИСТИКА УБОРКИ ОВОЩНОГО ГОРОШКА 2019-2025 гг.</a:t>
            </a:r>
          </a:p>
        </c:rich>
      </c:tx>
      <c:layout>
        <c:manualLayout>
          <c:xMode val="edge"/>
          <c:yMode val="edge"/>
          <c:x val="0.19943520862091399"/>
          <c:y val="1.0011375129379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3940481704492822E-2"/>
          <c:y val="0.13287962642435769"/>
          <c:w val="0.92644778410531581"/>
          <c:h val="0.75181264911496992"/>
        </c:manualLayout>
      </c:layout>
      <c:barChart>
        <c:barDir val="col"/>
        <c:grouping val="clustered"/>
        <c:varyColors val="0"/>
        <c:ser>
          <c:idx val="0"/>
          <c:order val="0"/>
          <c:tx>
            <c:v>Валовый сбор, т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4734199-41E1-4A1F-9DB6-F784F6F16617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C106CD73-1DD3-4D51-A246-0990703A8C37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6FA-498A-A116-BC72E895C18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CAB2574-5401-4CD2-8EA3-8FE5249FDD0D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E968D410-7B86-4AD6-9C5E-F22CD7217EDE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F6FA-498A-A116-BC72E895C18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1C2C9AD-18B2-403B-8668-DA2E558636AD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A7181A7A-2B0A-4FE2-8AF9-BD0EF5F8DA57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6FA-498A-A116-BC72E895C18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1399B78-740B-4097-8D73-22C0B29C7B5B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3CA9A5FA-D423-45D6-9D2F-DE4E7B182BB4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F6FA-498A-A116-BC72E895C18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791C3CC-B1A6-442B-893E-635A8940B829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E1EE4938-E12A-49FF-8613-D9B74002F70E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F6FA-498A-A116-BC72E895C18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6B92E47-6DB9-4DBA-A29A-7971BB5E30C8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3C898081-5284-40FA-806D-11853D8B510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F6FA-498A-A116-BC72E895C18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682C57E-ED46-420F-9132-2C55F6531A5C}" type="CELLRANGE">
                      <a:rPr lang="ru-RU"/>
                      <a:pPr/>
                      <a:t>[ДИАПАЗОН ЯЧЕЕК]</a:t>
                    </a:fld>
                    <a:endParaRPr lang="ru-RU" baseline="0"/>
                  </a:p>
                  <a:p>
                    <a:fld id="{225E4949-B7B8-40DD-B0A8-605D1C7F2669}" type="VALUE">
                      <a:rPr lang="ru-RU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6FA-498A-A116-BC72E895C1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'Данные 2025'!$D$15:$D$21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'Данные 2025'!$G$15:$G$21</c:f>
              <c:numCache>
                <c:formatCode>0\ 000" тн"</c:formatCode>
                <c:ptCount val="7"/>
                <c:pt idx="0">
                  <c:v>6813</c:v>
                </c:pt>
                <c:pt idx="1">
                  <c:v>12761</c:v>
                </c:pt>
                <c:pt idx="2">
                  <c:v>10161</c:v>
                </c:pt>
                <c:pt idx="3">
                  <c:v>6505</c:v>
                </c:pt>
                <c:pt idx="4">
                  <c:v>6656</c:v>
                </c:pt>
                <c:pt idx="5">
                  <c:v>4371.8999999999996</c:v>
                </c:pt>
                <c:pt idx="6" formatCode="000&quot; тн&quot;">
                  <c:v>7098.14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2025'!$F$15:$F$21</c15:f>
                <c15:dlblRangeCache>
                  <c:ptCount val="7"/>
                  <c:pt idx="0">
                    <c:v>3,3 тн/га</c:v>
                  </c:pt>
                  <c:pt idx="1">
                    <c:v>4,6 тн/га</c:v>
                  </c:pt>
                  <c:pt idx="2">
                    <c:v>4,2 тн/га</c:v>
                  </c:pt>
                  <c:pt idx="3">
                    <c:v>3,0 тн/га</c:v>
                  </c:pt>
                  <c:pt idx="4">
                    <c:v>5,6 тн/га</c:v>
                  </c:pt>
                  <c:pt idx="5">
                    <c:v>2,7 тн/га</c:v>
                  </c:pt>
                  <c:pt idx="6">
                    <c:v>4,8 тн/га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F6FA-498A-A116-BC72E895C18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620307416"/>
        <c:axId val="620307776"/>
      </c:barChart>
      <c:catAx>
        <c:axId val="62030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0307776"/>
        <c:crosses val="autoZero"/>
        <c:auto val="1"/>
        <c:lblAlgn val="ctr"/>
        <c:lblOffset val="100"/>
        <c:noMultiLvlLbl val="0"/>
      </c:catAx>
      <c:valAx>
        <c:axId val="620307776"/>
        <c:scaling>
          <c:orientation val="minMax"/>
        </c:scaling>
        <c:delete val="0"/>
        <c:axPos val="l"/>
        <c:numFmt formatCode="0\ 000&quot; тн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0307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 sz="1000">
          <a:solidFill>
            <a:schemeClr val="dk1"/>
          </a:solidFill>
          <a:latin typeface="Bahnschrift Light SemiCondensed" panose="020B0502040204020203" pitchFamily="34" charset="0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 sz="1400"/>
              <a:t>ЕЖЕДНЕВНЫЙ СБОР СЫРЬЯ СО СРЕДНИМ ПОКАЗАТЕЛЕМ ФИНОМЕТРА</a:t>
            </a:r>
          </a:p>
        </c:rich>
      </c:tx>
      <c:layout>
        <c:manualLayout>
          <c:xMode val="edge"/>
          <c:yMode val="edge"/>
          <c:x val="0.33944453120753998"/>
          <c:y val="1.12368497889772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B1D6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</c:pivotFmt>
      <c:pivotFmt>
        <c:idx val="3"/>
        <c:spPr>
          <a:solidFill>
            <a:srgbClr val="B1D6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100000">
                <a:srgbClr val="96B34D"/>
              </a:gs>
              <a:gs pos="1000">
                <a:schemeClr val="accent6">
                  <a:lumMod val="5000"/>
                  <a:lumOff val="95000"/>
                </a:schemeClr>
              </a:gs>
              <a:gs pos="48000">
                <a:schemeClr val="accent6">
                  <a:lumMod val="45000"/>
                  <a:lumOff val="55000"/>
                </a:schemeClr>
              </a:gs>
              <a:gs pos="100000">
                <a:srgbClr val="789034"/>
              </a:gs>
              <a:gs pos="100000">
                <a:schemeClr val="accent6">
                  <a:lumMod val="30000"/>
                  <a:lumOff val="7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0.0&quot; тн.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2700" cap="rnd">
            <a:solidFill>
              <a:srgbClr val="FF9393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0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FF0000"/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2700" cap="rnd">
            <a:solidFill>
              <a:srgbClr val="FF9393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0">
              <a:solidFill>
                <a:srgbClr val="FF0000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2"/>
          <c:order val="0"/>
          <c:spPr>
            <a:gradFill flip="none" rotWithShape="1">
              <a:gsLst>
                <a:gs pos="100000">
                  <a:srgbClr val="96B34D"/>
                </a:gs>
                <a:gs pos="1000">
                  <a:schemeClr val="accent6">
                    <a:lumMod val="5000"/>
                    <a:lumOff val="95000"/>
                  </a:schemeClr>
                </a:gs>
                <a:gs pos="48000">
                  <a:schemeClr val="accent6">
                    <a:lumMod val="45000"/>
                    <a:lumOff val="55000"/>
                  </a:schemeClr>
                </a:gs>
                <a:gs pos="100000">
                  <a:srgbClr val="789034"/>
                </a:gs>
                <a:gs pos="100000">
                  <a:schemeClr val="accent6">
                    <a:lumMod val="30000"/>
                    <a:lumOff val="7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numFmt formatCode="0.0&quot; тн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'Данные 2025'!$J$4:$J$48</c:f>
              <c:numCache>
                <c:formatCode>m/d/yyyy</c:formatCode>
                <c:ptCount val="45"/>
                <c:pt idx="0">
                  <c:v>45804</c:v>
                </c:pt>
                <c:pt idx="1">
                  <c:v>45805</c:v>
                </c:pt>
                <c:pt idx="2">
                  <c:v>45806</c:v>
                </c:pt>
                <c:pt idx="3">
                  <c:v>45807</c:v>
                </c:pt>
                <c:pt idx="4">
                  <c:v>45808</c:v>
                </c:pt>
                <c:pt idx="5">
                  <c:v>45809</c:v>
                </c:pt>
                <c:pt idx="6">
                  <c:v>45810</c:v>
                </c:pt>
                <c:pt idx="7">
                  <c:v>45811</c:v>
                </c:pt>
                <c:pt idx="8">
                  <c:v>45812</c:v>
                </c:pt>
                <c:pt idx="9">
                  <c:v>45813</c:v>
                </c:pt>
                <c:pt idx="10">
                  <c:v>45814</c:v>
                </c:pt>
                <c:pt idx="11">
                  <c:v>45815</c:v>
                </c:pt>
                <c:pt idx="12">
                  <c:v>45816</c:v>
                </c:pt>
                <c:pt idx="13">
                  <c:v>45817</c:v>
                </c:pt>
                <c:pt idx="14">
                  <c:v>45818</c:v>
                </c:pt>
                <c:pt idx="15">
                  <c:v>45819</c:v>
                </c:pt>
                <c:pt idx="16">
                  <c:v>45820</c:v>
                </c:pt>
                <c:pt idx="17">
                  <c:v>45821</c:v>
                </c:pt>
                <c:pt idx="18">
                  <c:v>45822</c:v>
                </c:pt>
                <c:pt idx="19">
                  <c:v>45823</c:v>
                </c:pt>
                <c:pt idx="20">
                  <c:v>45824</c:v>
                </c:pt>
                <c:pt idx="21">
                  <c:v>45825</c:v>
                </c:pt>
                <c:pt idx="22">
                  <c:v>45826</c:v>
                </c:pt>
                <c:pt idx="23">
                  <c:v>45827</c:v>
                </c:pt>
                <c:pt idx="24">
                  <c:v>45828</c:v>
                </c:pt>
                <c:pt idx="25">
                  <c:v>45829</c:v>
                </c:pt>
                <c:pt idx="26">
                  <c:v>45830</c:v>
                </c:pt>
                <c:pt idx="27">
                  <c:v>45831</c:v>
                </c:pt>
                <c:pt idx="28">
                  <c:v>45832</c:v>
                </c:pt>
                <c:pt idx="29">
                  <c:v>45833</c:v>
                </c:pt>
                <c:pt idx="30">
                  <c:v>45834</c:v>
                </c:pt>
                <c:pt idx="31">
                  <c:v>45835</c:v>
                </c:pt>
                <c:pt idx="32">
                  <c:v>45836</c:v>
                </c:pt>
                <c:pt idx="33">
                  <c:v>45837</c:v>
                </c:pt>
                <c:pt idx="34">
                  <c:v>45838</c:v>
                </c:pt>
                <c:pt idx="35">
                  <c:v>45839</c:v>
                </c:pt>
                <c:pt idx="36">
                  <c:v>45840</c:v>
                </c:pt>
                <c:pt idx="37">
                  <c:v>45841</c:v>
                </c:pt>
                <c:pt idx="38">
                  <c:v>45842</c:v>
                </c:pt>
                <c:pt idx="39">
                  <c:v>45843</c:v>
                </c:pt>
                <c:pt idx="40">
                  <c:v>45844</c:v>
                </c:pt>
                <c:pt idx="41">
                  <c:v>45845</c:v>
                </c:pt>
                <c:pt idx="42">
                  <c:v>45846</c:v>
                </c:pt>
                <c:pt idx="43">
                  <c:v>45847</c:v>
                </c:pt>
                <c:pt idx="44">
                  <c:v>45848</c:v>
                </c:pt>
              </c:numCache>
            </c:numRef>
          </c:cat>
          <c:val>
            <c:numRef>
              <c:f>'Данные 2025'!$K$4:$K$48</c:f>
              <c:numCache>
                <c:formatCode>General</c:formatCode>
                <c:ptCount val="45"/>
                <c:pt idx="0">
                  <c:v>71.349999999999994</c:v>
                </c:pt>
                <c:pt idx="1">
                  <c:v>98.78</c:v>
                </c:pt>
                <c:pt idx="2">
                  <c:v>10.74</c:v>
                </c:pt>
                <c:pt idx="4">
                  <c:v>55.61</c:v>
                </c:pt>
                <c:pt idx="5">
                  <c:v>206.19</c:v>
                </c:pt>
                <c:pt idx="6">
                  <c:v>198.3</c:v>
                </c:pt>
                <c:pt idx="7">
                  <c:v>285.91000000000003</c:v>
                </c:pt>
                <c:pt idx="8">
                  <c:v>339.79</c:v>
                </c:pt>
                <c:pt idx="9">
                  <c:v>240.45</c:v>
                </c:pt>
                <c:pt idx="10">
                  <c:v>417.43</c:v>
                </c:pt>
                <c:pt idx="11">
                  <c:v>163.35</c:v>
                </c:pt>
                <c:pt idx="12">
                  <c:v>233.26</c:v>
                </c:pt>
                <c:pt idx="13">
                  <c:v>100.73</c:v>
                </c:pt>
                <c:pt idx="14">
                  <c:v>243.58</c:v>
                </c:pt>
                <c:pt idx="15">
                  <c:v>127.99</c:v>
                </c:pt>
                <c:pt idx="16">
                  <c:v>302.41000000000003</c:v>
                </c:pt>
                <c:pt idx="17">
                  <c:v>251.82</c:v>
                </c:pt>
                <c:pt idx="18">
                  <c:v>260.19</c:v>
                </c:pt>
                <c:pt idx="19">
                  <c:v>251.63</c:v>
                </c:pt>
                <c:pt idx="20">
                  <c:v>182.08</c:v>
                </c:pt>
                <c:pt idx="21">
                  <c:v>231.15</c:v>
                </c:pt>
                <c:pt idx="22">
                  <c:v>157.44999999999999</c:v>
                </c:pt>
                <c:pt idx="23">
                  <c:v>304.92</c:v>
                </c:pt>
                <c:pt idx="24">
                  <c:v>252.94</c:v>
                </c:pt>
                <c:pt idx="25">
                  <c:v>123.3</c:v>
                </c:pt>
                <c:pt idx="26">
                  <c:v>272.42</c:v>
                </c:pt>
                <c:pt idx="27">
                  <c:v>109.28</c:v>
                </c:pt>
                <c:pt idx="28">
                  <c:v>200.28</c:v>
                </c:pt>
                <c:pt idx="29">
                  <c:v>19.23</c:v>
                </c:pt>
                <c:pt idx="31">
                  <c:v>17.559999999999999</c:v>
                </c:pt>
                <c:pt idx="32">
                  <c:v>43.19</c:v>
                </c:pt>
                <c:pt idx="33">
                  <c:v>71.97</c:v>
                </c:pt>
                <c:pt idx="34">
                  <c:v>25.63</c:v>
                </c:pt>
                <c:pt idx="35">
                  <c:v>176.53</c:v>
                </c:pt>
                <c:pt idx="36">
                  <c:v>192.78</c:v>
                </c:pt>
                <c:pt idx="37">
                  <c:v>204.08</c:v>
                </c:pt>
                <c:pt idx="38">
                  <c:v>147.51</c:v>
                </c:pt>
                <c:pt idx="39">
                  <c:v>163.16999999999999</c:v>
                </c:pt>
                <c:pt idx="40">
                  <c:v>120.94</c:v>
                </c:pt>
                <c:pt idx="42">
                  <c:v>131.84</c:v>
                </c:pt>
                <c:pt idx="43">
                  <c:v>63.8</c:v>
                </c:pt>
                <c:pt idx="44">
                  <c:v>26.58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4AB-44BC-B4A7-9C15A874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716168"/>
        <c:axId val="926716528"/>
      </c:barChart>
      <c:lineChart>
        <c:grouping val="standard"/>
        <c:varyColors val="0"/>
        <c:ser>
          <c:idx val="3"/>
          <c:order val="1"/>
          <c:spPr>
            <a:ln w="12700" cap="rnd">
              <a:solidFill>
                <a:srgbClr val="FF9999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'Данные 2025'!$J$4:$J$48</c:f>
              <c:numCache>
                <c:formatCode>m/d/yyyy</c:formatCode>
                <c:ptCount val="45"/>
                <c:pt idx="0">
                  <c:v>45804</c:v>
                </c:pt>
                <c:pt idx="1">
                  <c:v>45805</c:v>
                </c:pt>
                <c:pt idx="2">
                  <c:v>45806</c:v>
                </c:pt>
                <c:pt idx="3">
                  <c:v>45807</c:v>
                </c:pt>
                <c:pt idx="4">
                  <c:v>45808</c:v>
                </c:pt>
                <c:pt idx="5">
                  <c:v>45809</c:v>
                </c:pt>
                <c:pt idx="6">
                  <c:v>45810</c:v>
                </c:pt>
                <c:pt idx="7">
                  <c:v>45811</c:v>
                </c:pt>
                <c:pt idx="8">
                  <c:v>45812</c:v>
                </c:pt>
                <c:pt idx="9">
                  <c:v>45813</c:v>
                </c:pt>
                <c:pt idx="10">
                  <c:v>45814</c:v>
                </c:pt>
                <c:pt idx="11">
                  <c:v>45815</c:v>
                </c:pt>
                <c:pt idx="12">
                  <c:v>45816</c:v>
                </c:pt>
                <c:pt idx="13">
                  <c:v>45817</c:v>
                </c:pt>
                <c:pt idx="14">
                  <c:v>45818</c:v>
                </c:pt>
                <c:pt idx="15">
                  <c:v>45819</c:v>
                </c:pt>
                <c:pt idx="16">
                  <c:v>45820</c:v>
                </c:pt>
                <c:pt idx="17">
                  <c:v>45821</c:v>
                </c:pt>
                <c:pt idx="18">
                  <c:v>45822</c:v>
                </c:pt>
                <c:pt idx="19">
                  <c:v>45823</c:v>
                </c:pt>
                <c:pt idx="20">
                  <c:v>45824</c:v>
                </c:pt>
                <c:pt idx="21">
                  <c:v>45825</c:v>
                </c:pt>
                <c:pt idx="22">
                  <c:v>45826</c:v>
                </c:pt>
                <c:pt idx="23">
                  <c:v>45827</c:v>
                </c:pt>
                <c:pt idx="24">
                  <c:v>45828</c:v>
                </c:pt>
                <c:pt idx="25">
                  <c:v>45829</c:v>
                </c:pt>
                <c:pt idx="26">
                  <c:v>45830</c:v>
                </c:pt>
                <c:pt idx="27">
                  <c:v>45831</c:v>
                </c:pt>
                <c:pt idx="28">
                  <c:v>45832</c:v>
                </c:pt>
                <c:pt idx="29">
                  <c:v>45833</c:v>
                </c:pt>
                <c:pt idx="30">
                  <c:v>45834</c:v>
                </c:pt>
                <c:pt idx="31">
                  <c:v>45835</c:v>
                </c:pt>
                <c:pt idx="32">
                  <c:v>45836</c:v>
                </c:pt>
                <c:pt idx="33">
                  <c:v>45837</c:v>
                </c:pt>
                <c:pt idx="34">
                  <c:v>45838</c:v>
                </c:pt>
                <c:pt idx="35">
                  <c:v>45839</c:v>
                </c:pt>
                <c:pt idx="36">
                  <c:v>45840</c:v>
                </c:pt>
                <c:pt idx="37">
                  <c:v>45841</c:v>
                </c:pt>
                <c:pt idx="38">
                  <c:v>45842</c:v>
                </c:pt>
                <c:pt idx="39">
                  <c:v>45843</c:v>
                </c:pt>
                <c:pt idx="40">
                  <c:v>45844</c:v>
                </c:pt>
                <c:pt idx="41">
                  <c:v>45845</c:v>
                </c:pt>
                <c:pt idx="42">
                  <c:v>45846</c:v>
                </c:pt>
                <c:pt idx="43">
                  <c:v>45847</c:v>
                </c:pt>
                <c:pt idx="44">
                  <c:v>45848</c:v>
                </c:pt>
              </c:numCache>
            </c:numRef>
          </c:cat>
          <c:val>
            <c:numRef>
              <c:f>'Данные 2025'!$L$4:$L$48</c:f>
              <c:numCache>
                <c:formatCode>0.0</c:formatCode>
                <c:ptCount val="45"/>
                <c:pt idx="0">
                  <c:v>41.333333333333336</c:v>
                </c:pt>
                <c:pt idx="1">
                  <c:v>44</c:v>
                </c:pt>
                <c:pt idx="2">
                  <c:v>42.5</c:v>
                </c:pt>
                <c:pt idx="4">
                  <c:v>45.625</c:v>
                </c:pt>
                <c:pt idx="5">
                  <c:v>51.588235294117645</c:v>
                </c:pt>
                <c:pt idx="6">
                  <c:v>52.9375</c:v>
                </c:pt>
                <c:pt idx="7">
                  <c:v>54.666666666666664</c:v>
                </c:pt>
                <c:pt idx="8">
                  <c:v>57.666666666666664</c:v>
                </c:pt>
                <c:pt idx="9">
                  <c:v>53.473684210526315</c:v>
                </c:pt>
                <c:pt idx="10">
                  <c:v>57.228571428571428</c:v>
                </c:pt>
                <c:pt idx="11">
                  <c:v>60.93333333333333</c:v>
                </c:pt>
                <c:pt idx="12">
                  <c:v>60.869565217391305</c:v>
                </c:pt>
                <c:pt idx="13">
                  <c:v>68.099999999999994</c:v>
                </c:pt>
                <c:pt idx="14">
                  <c:v>62.541666666666664</c:v>
                </c:pt>
                <c:pt idx="15">
                  <c:v>65.090909090909093</c:v>
                </c:pt>
                <c:pt idx="16">
                  <c:v>54.217391304347828</c:v>
                </c:pt>
                <c:pt idx="17">
                  <c:v>53.583333333333336</c:v>
                </c:pt>
                <c:pt idx="18">
                  <c:v>63.15</c:v>
                </c:pt>
                <c:pt idx="19">
                  <c:v>67.095238095238102</c:v>
                </c:pt>
                <c:pt idx="20">
                  <c:v>61.375</c:v>
                </c:pt>
                <c:pt idx="21">
                  <c:v>58.117647058823529</c:v>
                </c:pt>
                <c:pt idx="22">
                  <c:v>55.5</c:v>
                </c:pt>
                <c:pt idx="23">
                  <c:v>62.826086956521742</c:v>
                </c:pt>
                <c:pt idx="24">
                  <c:v>64.526315789473685</c:v>
                </c:pt>
                <c:pt idx="25">
                  <c:v>60</c:v>
                </c:pt>
                <c:pt idx="26">
                  <c:v>49.4</c:v>
                </c:pt>
                <c:pt idx="27">
                  <c:v>52.875</c:v>
                </c:pt>
                <c:pt idx="28">
                  <c:v>49.375</c:v>
                </c:pt>
                <c:pt idx="29">
                  <c:v>48.5</c:v>
                </c:pt>
                <c:pt idx="31">
                  <c:v>46</c:v>
                </c:pt>
                <c:pt idx="32">
                  <c:v>48</c:v>
                </c:pt>
                <c:pt idx="33">
                  <c:v>48.444444444444443</c:v>
                </c:pt>
                <c:pt idx="34">
                  <c:v>52</c:v>
                </c:pt>
                <c:pt idx="35">
                  <c:v>54</c:v>
                </c:pt>
                <c:pt idx="36">
                  <c:v>52.357142857142854</c:v>
                </c:pt>
                <c:pt idx="37">
                  <c:v>55.6875</c:v>
                </c:pt>
                <c:pt idx="38">
                  <c:v>61.363636363636367</c:v>
                </c:pt>
                <c:pt idx="39">
                  <c:v>61.25</c:v>
                </c:pt>
                <c:pt idx="40">
                  <c:v>53.222222222222221</c:v>
                </c:pt>
                <c:pt idx="42">
                  <c:v>67.099999999999994</c:v>
                </c:pt>
                <c:pt idx="43">
                  <c:v>71.400000000000006</c:v>
                </c:pt>
                <c:pt idx="44">
                  <c:v>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4AB-44BC-B4A7-9C15A874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379136"/>
        <c:axId val="649389576"/>
      </c:lineChart>
      <c:catAx>
        <c:axId val="9267161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[$-419]d\ mmm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926716528"/>
        <c:crosses val="autoZero"/>
        <c:auto val="0"/>
        <c:lblAlgn val="ctr"/>
        <c:lblOffset val="100"/>
        <c:tickMarkSkip val="2"/>
        <c:noMultiLvlLbl val="0"/>
      </c:catAx>
      <c:valAx>
        <c:axId val="926716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926716168"/>
        <c:crossesAt val="1"/>
        <c:crossBetween val="between"/>
      </c:valAx>
      <c:valAx>
        <c:axId val="649389576"/>
        <c:scaling>
          <c:orientation val="minMax"/>
          <c:max val="72"/>
          <c:min val="30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49379136"/>
        <c:crosses val="max"/>
        <c:crossBetween val="between"/>
      </c:valAx>
      <c:dateAx>
        <c:axId val="6493791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49389576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6"/>
      </a:solidFill>
      <a:round/>
    </a:ln>
    <a:effectLst/>
  </c:spPr>
  <c:txPr>
    <a:bodyPr/>
    <a:lstStyle/>
    <a:p>
      <a:pPr>
        <a:defRPr>
          <a:latin typeface="Bahnschrift Light SemiCondensed" panose="020B0502040204020203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/>
              <a:t>РАСПРЕДЕЛЕНИЕ СЫРЬЯ ПО ФИНОМЕТРУ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5"/>
        <c:dLbl>
          <c:idx val="0"/>
          <c:layout>
            <c:manualLayout>
              <c:x val="0.19245561616640733"/>
              <c:y val="0.1181039113652245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3555297083588116"/>
                  <c:h val="0.23464806442920871"/>
                </c:manualLayout>
              </c15:layout>
            </c:ext>
          </c:extLst>
        </c:dLbl>
      </c:pivotFmt>
      <c:pivotFmt>
        <c:idx val="6"/>
      </c:pivotFmt>
      <c:pivotFmt>
        <c:idx val="7"/>
        <c:dLbl>
          <c:idx val="0"/>
          <c:layout>
            <c:manualLayout>
              <c:x val="-0.11741339204637335"/>
              <c:y val="0.16020310545293986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7612991504024084"/>
                  <c:h val="0.18413062853124668"/>
                </c:manualLayout>
              </c15:layout>
            </c:ext>
          </c:extLst>
        </c:dLbl>
      </c:pivotFmt>
      <c:pivotFmt>
        <c:idx val="8"/>
        <c:dLbl>
          <c:idx val="0"/>
          <c:layout>
            <c:manualLayout>
              <c:x val="-0.10235498998644127"/>
              <c:y val="0.1474560306129956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882088791033822"/>
                  <c:h val="0.15251943974292931"/>
                </c:manualLayout>
              </c15:layout>
            </c:ext>
          </c:extLst>
        </c:dLbl>
      </c:pivotFmt>
      <c:pivotFmt>
        <c:idx val="9"/>
        <c:dLbl>
          <c:idx val="0"/>
          <c:layout>
            <c:manualLayout>
              <c:x val="-0.16745655608214849"/>
              <c:y val="-0.12876427829698861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0.13902053712480253"/>
              <c:y val="-0.1619937694704049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0.1575144150210698"/>
              <c:y val="2.0279033561869393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1514994421056296"/>
                  <c:h val="0.19074558645948722"/>
                </c:manualLayout>
              </c15:layout>
            </c:ext>
          </c:extLst>
        </c:dLbl>
      </c:pivotFmt>
      <c:pivotFmt>
        <c:idx val="12"/>
        <c:dLbl>
          <c:idx val="0"/>
          <c:layout>
            <c:manualLayout>
              <c:x val="-0.13583811937596846"/>
              <c:y val="-0.1673003802281369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0.13583811937596846"/>
              <c:y val="-0.1875792141951837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  <c:spPr>
          <a:solidFill>
            <a:srgbClr val="677C2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797683355859233"/>
              <c:y val="0.124208057642984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249098072664406"/>
                  <c:h val="0.21609412891829582"/>
                </c:manualLayout>
              </c15:layout>
            </c:ext>
          </c:extLst>
        </c:dLbl>
      </c:pivotFmt>
      <c:pivotFmt>
        <c:idx val="16"/>
        <c:spPr>
          <a:solidFill>
            <a:srgbClr val="A1BF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294794662328829"/>
              <c:y val="-0.16730038022813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SemiLight SemiConde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7"/>
        <c:spPr>
          <a:solidFill>
            <a:srgbClr val="A6C25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43930329996284"/>
              <c:y val="-0.152091055158029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SemiLight SemiConde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909946313334323"/>
                  <c:h val="0.21102442042653413"/>
                </c:manualLayout>
              </c15:layout>
            </c:ext>
          </c:extLst>
        </c:dLbl>
      </c:pivotFmt>
      <c:pivotFmt>
        <c:idx val="18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583811937596846"/>
              <c:y val="-0.19264892268694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9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462424226838964"/>
              <c:y val="-0.14195143857968323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519318073979774"/>
                  <c:h val="0.21102442042653413"/>
                </c:manualLayout>
              </c15:layout>
            </c:ext>
          </c:extLst>
        </c:dLbl>
      </c:pivotFmt>
      <c:pivotFmt>
        <c:idx val="20"/>
        <c:spPr>
          <a:solidFill>
            <a:srgbClr val="A1BF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161846488132881"/>
              <c:y val="-0.162230472141552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541870069211674"/>
                  <c:h val="0.2515820883606279"/>
                </c:manualLayout>
              </c15:layout>
            </c:ext>
          </c:extLst>
        </c:dLbl>
      </c:pivotFmt>
      <c:pivotFmt>
        <c:idx val="21"/>
        <c:spPr>
          <a:solidFill>
            <a:srgbClr val="F8ED8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37571790639526"/>
              <c:y val="3.29531051964512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862360870611062"/>
                  <c:h val="0.23637296288534276"/>
                </c:manualLayout>
              </c15:layout>
            </c:ext>
          </c:extLst>
        </c:dLbl>
      </c:pivotFmt>
      <c:pivotFmt>
        <c:idx val="22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017349229131756"/>
              <c:y val="-0.179974451862718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027260018374216"/>
                  <c:h val="0.22623354590181927"/>
                </c:manualLayout>
              </c15:layout>
            </c:ext>
          </c:extLst>
        </c:dLbl>
      </c:pivotFmt>
      <c:pivotFmt>
        <c:idx val="23"/>
        <c:spPr>
          <a:solidFill>
            <a:srgbClr val="677C2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16760111792791"/>
              <c:y val="0.240811352953504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491371696469962"/>
                  <c:h val="0.23637296288534276"/>
                </c:manualLayout>
              </c15:layout>
            </c:ext>
          </c:extLst>
        </c:dLbl>
      </c:pivotFmt>
      <c:pivotFmt>
        <c:idx val="24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39881038668917"/>
              <c:y val="-0.228136882129277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5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450863763400901"/>
              <c:y val="-3.295290560162874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379527245112365"/>
                  <c:h val="0.2446625350538407"/>
                </c:manualLayout>
              </c15:layout>
            </c:ext>
          </c:extLst>
        </c:dLbl>
      </c:pivotFmt>
      <c:pivotFmt>
        <c:idx val="26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849719664621623"/>
              <c:y val="-0.230671736375158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>
                <c:manualLayout>
                  <c:w val="0.14606250374072555"/>
                  <c:h val="0.26494136902088761"/>
                </c:manualLayout>
              </c15:layout>
            </c:ext>
          </c:extLst>
        </c:dLbl>
      </c:pivotFmt>
      <c:pivotFmt>
        <c:idx val="27"/>
        <c:spPr>
          <a:solidFill>
            <a:srgbClr val="F8ED8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473984690277016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8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473973311644147E-2"/>
              <c:y val="-0.182509505703422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9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8265873591126124E-2"/>
              <c:y val="-0.162230671736375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0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16760111792783"/>
              <c:y val="-0.167300380228136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1"/>
        <c:spPr>
          <a:solidFill>
            <a:srgbClr val="FFFFA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763001965545035"/>
              <c:y val="4.6471790995053965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7359522616556614"/>
          <c:y val="0.16514623338020518"/>
          <c:w val="0.40969807325775548"/>
          <c:h val="0.72463446158008982"/>
        </c:manualLayout>
      </c:layout>
      <c:doughnutChart>
        <c:varyColors val="0"/>
        <c:ser>
          <c:idx val="1"/>
          <c:order val="0"/>
          <c:tx>
            <c:v>Итоговый показатель финометра</c:v>
          </c:tx>
          <c:spPr>
            <a:solidFill>
              <a:schemeClr val="accent6">
                <a:shade val="76000"/>
              </a:schemeClr>
            </a:solidFill>
            <a:ln w="19050">
              <a:solidFill>
                <a:schemeClr val="lt1"/>
              </a:solidFill>
            </a:ln>
            <a:effectLst/>
          </c:spPr>
          <c:explosion val="5"/>
          <c:dPt>
            <c:idx val="0"/>
            <c:bubble3D val="0"/>
            <c:spPr>
              <a:solidFill>
                <a:srgbClr val="677C2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9D-41DE-9DBB-25A00DB17823}"/>
              </c:ext>
            </c:extLst>
          </c:dPt>
          <c:dPt>
            <c:idx val="1"/>
            <c:bubble3D val="0"/>
            <c:spPr>
              <a:solidFill>
                <a:srgbClr val="97B54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805-41B6-8015-6F80515AAE91}"/>
              </c:ext>
            </c:extLst>
          </c:dPt>
          <c:dPt>
            <c:idx val="2"/>
            <c:bubble3D val="0"/>
            <c:spPr>
              <a:solidFill>
                <a:srgbClr val="CDDD9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9D-41DE-9DBB-25A00DB17823}"/>
              </c:ext>
            </c:extLst>
          </c:dPt>
          <c:dPt>
            <c:idx val="3"/>
            <c:bubble3D val="0"/>
            <c:spPr>
              <a:solidFill>
                <a:srgbClr val="FFFF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9D-41DE-9DBB-25A00DB17823}"/>
              </c:ext>
            </c:extLst>
          </c:dPt>
          <c:dPt>
            <c:idx val="4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BE-440F-881D-8D5EDC4704F2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1BE-440F-881D-8D5EDC4704F2}"/>
              </c:ext>
            </c:extLst>
          </c:dPt>
          <c:dLbls>
            <c:dLbl>
              <c:idx val="0"/>
              <c:layout>
                <c:manualLayout>
                  <c:x val="0.12405034249570379"/>
                  <c:y val="0.15786916004024393"/>
                </c:manualLayout>
              </c:layout>
              <c:tx>
                <c:rich>
                  <a:bodyPr/>
                  <a:lstStyle/>
                  <a:p>
                    <a:fld id="{669841E4-66B9-43EE-8E55-02DC0E72734E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7FEF462D-D51E-4BBC-BBA3-E52404F3C185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EAB34322-00B0-4C86-981C-2BF2ADF117B5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529243601844059"/>
                      <c:h val="0.1926682696976642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D9D-41DE-9DBB-25A00DB17823}"/>
                </c:ext>
              </c:extLst>
            </c:dLbl>
            <c:dLbl>
              <c:idx val="1"/>
              <c:layout>
                <c:manualLayout>
                  <c:x val="-0.24429963740909769"/>
                  <c:y val="-1.0166709295637314E-2"/>
                </c:manualLayout>
              </c:layout>
              <c:tx>
                <c:rich>
                  <a:bodyPr/>
                  <a:lstStyle/>
                  <a:p>
                    <a:fld id="{73789007-6BF4-40D9-A3BF-578648FEEAC2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B6BF8948-B9CC-406C-AB05-F7CE63FA24E5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AF7BF7D6-158C-4087-A424-DC73AA7B260F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79527245112365"/>
                      <c:h val="0.244662535053840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805-41B6-8015-6F80515AAE91}"/>
                </c:ext>
              </c:extLst>
            </c:dLbl>
            <c:dLbl>
              <c:idx val="2"/>
              <c:layout>
                <c:manualLayout>
                  <c:x val="-0.14225956004792301"/>
                  <c:y val="-8.08063159723348E-2"/>
                </c:manualLayout>
              </c:layout>
              <c:tx>
                <c:rich>
                  <a:bodyPr/>
                  <a:lstStyle/>
                  <a:p>
                    <a:fld id="{E122D570-212F-4D4B-9149-3255123AE8AC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510DA3A1-9946-46EF-BFF0-2F14C378E46C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80809BBD-C4BA-40EB-B096-D4D80C1E4A9E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799723109658312"/>
                      <c:h val="0.2077382077821217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D9D-41DE-9DBB-25A00DB17823}"/>
                </c:ext>
              </c:extLst>
            </c:dLbl>
            <c:dLbl>
              <c:idx val="3"/>
              <c:layout>
                <c:manualLayout>
                  <c:x val="0.16521630060261933"/>
                  <c:y val="-2.49124199911601E-2"/>
                </c:manualLayout>
              </c:layout>
              <c:tx>
                <c:rich>
                  <a:bodyPr/>
                  <a:lstStyle/>
                  <a:p>
                    <a:fld id="{5978A72B-4940-4103-96AA-B676A245ED04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C71E35F2-90F8-4F4B-9C77-47235A74993C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E1910084-E60A-4D8B-8BA9-AD4D05591CE4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921292245990892"/>
                      <c:h val="0.2335579857320313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D9D-41DE-9DBB-25A00DB17823}"/>
                </c:ext>
              </c:extLst>
            </c:dLbl>
            <c:dLbl>
              <c:idx val="4"/>
              <c:layout>
                <c:manualLayout>
                  <c:x val="0.20299727027121231"/>
                  <c:y val="-1.0232153771703202E-2"/>
                </c:manualLayout>
              </c:layout>
              <c:tx>
                <c:rich>
                  <a:bodyPr/>
                  <a:lstStyle/>
                  <a:p>
                    <a:fld id="{424928C0-F8C5-48EC-90C1-84D43F976234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3CCAAD08-FF99-4FEA-B301-9B92F59EC96B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2C9B909D-4FDC-46FC-922E-84B9A3EDBD2C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1BE-440F-881D-8D5EDC4704F2}"/>
                </c:ext>
              </c:extLst>
            </c:dLbl>
            <c:dLbl>
              <c:idx val="5"/>
              <c:layout>
                <c:manualLayout>
                  <c:x val="0.27953467860702141"/>
                  <c:y val="3.2138998477581157E-2"/>
                </c:manualLayout>
              </c:layout>
              <c:tx>
                <c:rich>
                  <a:bodyPr/>
                  <a:lstStyle/>
                  <a:p>
                    <a:fld id="{B6C5F844-619A-40EF-88A3-E5D82CE1D65E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
</a:t>
                    </a:r>
                    <a:fld id="{D9E8EAC5-16D0-4FDB-9E1E-222BF002A4EC}" type="CATEGORYNAME">
                      <a:rPr lang="en-US" baseline="0"/>
                      <a:pPr/>
                      <a:t>[ИМЯ КАТЕГОРИИ]</a:t>
                    </a:fld>
                    <a:r>
                      <a:rPr lang="en-US" baseline="0"/>
                      <a:t>
</a:t>
                    </a:r>
                    <a:fld id="{513DADBA-E66F-4E6D-B4E5-4B33B60DF88A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1BE-440F-881D-8D5EDC4704F2}"/>
                </c:ext>
              </c:extLst>
            </c:dLbl>
            <c:spPr>
              <a:noFill/>
              <a:ln>
                <a:solidFill>
                  <a:schemeClr val="bg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</c:ext>
            </c:extLst>
          </c:dLbls>
          <c:cat>
            <c:strRef>
              <c:f>'Данные 2025'!$D$27:$D$32</c:f>
              <c:strCache>
                <c:ptCount val="6"/>
                <c:pt idx="0">
                  <c:v> до 40</c:v>
                </c:pt>
                <c:pt idx="1">
                  <c:v> 40-52</c:v>
                </c:pt>
                <c:pt idx="2">
                  <c:v>53-63</c:v>
                </c:pt>
                <c:pt idx="3">
                  <c:v> 64-66</c:v>
                </c:pt>
                <c:pt idx="4">
                  <c:v>67-85</c:v>
                </c:pt>
                <c:pt idx="5">
                  <c:v>нет данных</c:v>
                </c:pt>
              </c:strCache>
            </c:strRef>
          </c:cat>
          <c:val>
            <c:numRef>
              <c:f>'Данные 2025'!$F$27:$F$32</c:f>
              <c:numCache>
                <c:formatCode>0" тн"</c:formatCode>
                <c:ptCount val="6"/>
                <c:pt idx="0">
                  <c:v>15.6</c:v>
                </c:pt>
                <c:pt idx="1">
                  <c:v>1875.175</c:v>
                </c:pt>
                <c:pt idx="2">
                  <c:v>3153.7849999999999</c:v>
                </c:pt>
                <c:pt idx="3">
                  <c:v>570.75</c:v>
                </c:pt>
                <c:pt idx="4">
                  <c:v>1443.44</c:v>
                </c:pt>
                <c:pt idx="5">
                  <c:v>39.39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2025'!$G$27:$G$32</c15:f>
                <c15:dlblRangeCache>
                  <c:ptCount val="6"/>
                  <c:pt idx="0">
                    <c:v>0,2%</c:v>
                  </c:pt>
                  <c:pt idx="1">
                    <c:v>26%</c:v>
                  </c:pt>
                  <c:pt idx="2">
                    <c:v>44%</c:v>
                  </c:pt>
                  <c:pt idx="3">
                    <c:v>8%</c:v>
                  </c:pt>
                  <c:pt idx="4">
                    <c:v>20%</c:v>
                  </c:pt>
                  <c:pt idx="5">
                    <c:v>0,6%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F805-41B6-8015-6F80515AAE91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132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6"/>
      </a:solidFill>
      <a:round/>
    </a:ln>
    <a:effectLst/>
  </c:spPr>
  <c:txPr>
    <a:bodyPr/>
    <a:lstStyle/>
    <a:p>
      <a:pPr>
        <a:defRPr>
          <a:latin typeface="Bahnschrift Light SemiCondensed" panose="020B0502040204020203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/>
              <a:t>ВЫПОЛНЕНИЕ ПЛАНА ПО СБОРУ</a:t>
            </a:r>
          </a:p>
        </c:rich>
      </c:tx>
      <c:layout>
        <c:manualLayout>
          <c:xMode val="edge"/>
          <c:yMode val="edge"/>
          <c:x val="0.2085421591804570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24170733977401762"/>
          <c:y val="0.10978386091000369"/>
          <c:w val="0.66688210073031662"/>
          <c:h val="0.85740480426523868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dkUpDiag">
              <a:fgClr>
                <a:srgbClr val="AECF85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7.7345671450514034E-2"/>
                  <c:y val="5.6683131999804375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Bahnschrift Light SemiCondensed" panose="020B0502040204020203" pitchFamily="34" charset="0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04676658306115"/>
                      <c:h val="3.23676374598059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6C5-4175-99AC-5EC559BE113C}"/>
                </c:ext>
              </c:extLst>
            </c:dLbl>
            <c:dLbl>
              <c:idx val="2"/>
              <c:layout>
                <c:manualLayout>
                  <c:x val="9.307288448900124E-3"/>
                  <c:y val="-2.6971851293879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9B6-4500-B724-8BCBE85F45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'Данные 2025'!$D$4:$D$11</c:f>
              <c:strCache>
                <c:ptCount val="8"/>
                <c:pt idx="0">
                  <c:v>Учхоз Кубань (богара)</c:v>
                </c:pt>
                <c:pt idx="1">
                  <c:v>ГРК собственные семена (богара)</c:v>
                </c:pt>
                <c:pt idx="2">
                  <c:v>ГРК демо (богара)</c:v>
                </c:pt>
                <c:pt idx="3">
                  <c:v>ГРК (богара)</c:v>
                </c:pt>
                <c:pt idx="4">
                  <c:v>Братковский (полив)</c:v>
                </c:pt>
                <c:pt idx="5">
                  <c:v>Братковский закупка (полив)</c:v>
                </c:pt>
                <c:pt idx="6">
                  <c:v>Агролидер (полив)</c:v>
                </c:pt>
                <c:pt idx="7">
                  <c:v>Колос (полив)</c:v>
                </c:pt>
              </c:strCache>
            </c:strRef>
          </c:cat>
          <c:val>
            <c:numRef>
              <c:f>'Данные 2025'!$E$4:$E$11</c:f>
              <c:numCache>
                <c:formatCode>000" тн"</c:formatCode>
                <c:ptCount val="8"/>
                <c:pt idx="0" formatCode="0\ 000&quot; тн&quot;">
                  <c:v>1157.4000000000001</c:v>
                </c:pt>
                <c:pt idx="1">
                  <c:v>910</c:v>
                </c:pt>
                <c:pt idx="2">
                  <c:v>136.5</c:v>
                </c:pt>
                <c:pt idx="3">
                  <c:v>936.2</c:v>
                </c:pt>
                <c:pt idx="4">
                  <c:v>765</c:v>
                </c:pt>
                <c:pt idx="5">
                  <c:v>522.32500000000005</c:v>
                </c:pt>
                <c:pt idx="6">
                  <c:v>586.5</c:v>
                </c:pt>
                <c:pt idx="7" formatCode="0\ 000&quot; тн&quot;">
                  <c:v>1784.12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6-4500-B724-8BCBE85F451F}"/>
            </c:ext>
          </c:extLst>
        </c:ser>
        <c:ser>
          <c:idx val="1"/>
          <c:order val="1"/>
          <c:spPr>
            <a:solidFill>
              <a:srgbClr val="AECF8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57B6332-9954-4A57-A645-E4780F5EA393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D1B3CF88-D6F1-4713-844E-3709D3E2FBAB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9B6-4500-B724-8BCBE85F451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E43058C-9084-4891-AEE6-51FBCDCBC18A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89319844-8AA8-495C-92D3-2E34E14D6115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9B6-4500-B724-8BCBE85F451F}"/>
                </c:ext>
              </c:extLst>
            </c:dLbl>
            <c:dLbl>
              <c:idx val="2"/>
              <c:layout>
                <c:manualLayout>
                  <c:x val="-1.0026509268398372E-2"/>
                  <c:y val="2.9972394530256834E-3"/>
                </c:manualLayout>
              </c:layout>
              <c:tx>
                <c:rich>
                  <a:bodyPr/>
                  <a:lstStyle/>
                  <a:p>
                    <a:fld id="{792FD9E8-2A27-4A67-8302-219CA12C1B32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71DF1416-7EBD-4D1A-88B2-2E511F548DAF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9B6-4500-B724-8BCBE85F451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6CE04FE-6478-4AFB-840A-66BAE6A26519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8B2FEAD0-9520-4864-B2AE-C12C7D99F57C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9B6-4500-B724-8BCBE85F451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9FE95A7-FEE1-4597-8F25-2E0648E374DB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0F4C110F-F35F-4FF1-BD02-77431BE9465F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9B6-4500-B724-8BCBE85F451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8D4136D-C464-4337-A75B-504681C16956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3FDF49DB-6D65-478F-B7BA-315191C658CE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9B6-4500-B724-8BCBE85F451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000486C-C3B6-4758-8A07-51A8422D98E2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115A3E71-FB4F-4E22-B4E2-1D7C693715C5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9B6-4500-B724-8BCBE85F451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6B3FF0D-1146-418B-B9BF-EE28EC23FB1D}" type="CELLRANGE">
                      <a:rPr lang="ru-RU"/>
                      <a:pPr/>
                      <a:t>[ДИАПАЗОН ЯЧЕЕК]</a:t>
                    </a:fld>
                    <a:r>
                      <a:rPr lang="ru-RU" baseline="0"/>
                      <a:t> </a:t>
                    </a:r>
                    <a:fld id="{4BD4A72C-B6F1-4535-B5D8-BAFB4028F592}" type="VALUE">
                      <a:rPr lang="ru-RU" baseline="0"/>
                      <a:pPr/>
                      <a:t>[ЗНАЧЕНИЕ]</a:t>
                    </a:fld>
                    <a:endParaRPr lang="ru-RU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9B6-4500-B724-8BCBE85F45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'Данные 2025'!$D$4:$D$11</c:f>
              <c:strCache>
                <c:ptCount val="8"/>
                <c:pt idx="0">
                  <c:v>Учхоз Кубань (богара)</c:v>
                </c:pt>
                <c:pt idx="1">
                  <c:v>ГРК собственные семена (богара)</c:v>
                </c:pt>
                <c:pt idx="2">
                  <c:v>ГРК демо (богара)</c:v>
                </c:pt>
                <c:pt idx="3">
                  <c:v>ГРК (богара)</c:v>
                </c:pt>
                <c:pt idx="4">
                  <c:v>Братковский (полив)</c:v>
                </c:pt>
                <c:pt idx="5">
                  <c:v>Братковский закупка (полив)</c:v>
                </c:pt>
                <c:pt idx="6">
                  <c:v>Агролидер (полив)</c:v>
                </c:pt>
                <c:pt idx="7">
                  <c:v>Колос (полив)</c:v>
                </c:pt>
              </c:strCache>
            </c:strRef>
          </c:cat>
          <c:val>
            <c:numRef>
              <c:f>'Данные 2025'!$F$4:$F$11</c:f>
              <c:numCache>
                <c:formatCode>0" тн"</c:formatCode>
                <c:ptCount val="8"/>
                <c:pt idx="0">
                  <c:v>1320.13</c:v>
                </c:pt>
                <c:pt idx="1">
                  <c:v>503.65</c:v>
                </c:pt>
                <c:pt idx="2">
                  <c:v>91.8</c:v>
                </c:pt>
                <c:pt idx="3">
                  <c:v>769.25</c:v>
                </c:pt>
                <c:pt idx="4">
                  <c:v>842.08</c:v>
                </c:pt>
                <c:pt idx="5">
                  <c:v>561.29999999999995</c:v>
                </c:pt>
                <c:pt idx="6">
                  <c:v>1017.73</c:v>
                </c:pt>
                <c:pt idx="7">
                  <c:v>1992.2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'Данные 2025'!$G$4:$G$11</c15:f>
                <c15:dlblRangeCache>
                  <c:ptCount val="8"/>
                  <c:pt idx="0">
                    <c:v>114,1%</c:v>
                  </c:pt>
                  <c:pt idx="1">
                    <c:v>55,3%</c:v>
                  </c:pt>
                  <c:pt idx="2">
                    <c:v>67,3%</c:v>
                  </c:pt>
                  <c:pt idx="3">
                    <c:v>82,2%</c:v>
                  </c:pt>
                  <c:pt idx="4">
                    <c:v>110,1%</c:v>
                  </c:pt>
                  <c:pt idx="5">
                    <c:v>107,5%</c:v>
                  </c:pt>
                  <c:pt idx="6">
                    <c:v>173,5%</c:v>
                  </c:pt>
                  <c:pt idx="7">
                    <c:v>111,7%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79B6-4500-B724-8BCBE85F4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622943696"/>
        <c:axId val="622938296"/>
      </c:barChart>
      <c:catAx>
        <c:axId val="622943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2938296"/>
        <c:crosses val="autoZero"/>
        <c:auto val="1"/>
        <c:lblAlgn val="ctr"/>
        <c:lblOffset val="100"/>
        <c:noMultiLvlLbl val="0"/>
      </c:catAx>
      <c:valAx>
        <c:axId val="622938296"/>
        <c:scaling>
          <c:orientation val="minMax"/>
        </c:scaling>
        <c:delete val="1"/>
        <c:axPos val="t"/>
        <c:numFmt formatCode="0\ 000&quot; тн&quot;" sourceLinked="1"/>
        <c:majorTickMark val="none"/>
        <c:minorTickMark val="none"/>
        <c:tickLblPos val="nextTo"/>
        <c:crossAx val="62294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Bahnschrift Light SemiCondensed" panose="020B0502040204020203" pitchFamily="34" charset="0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 sz="1400"/>
              <a:t>СТАТИСТИКА УБОРКИ ОВОЩНОГО ГОРОШКА 2019-2024 гг.</a:t>
            </a:r>
          </a:p>
        </c:rich>
      </c:tx>
      <c:layout>
        <c:manualLayout>
          <c:xMode val="edge"/>
          <c:yMode val="edge"/>
          <c:x val="0.19943520862091399"/>
          <c:y val="1.0011375129379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3940481704492822E-2"/>
          <c:y val="0.13287962642435769"/>
          <c:w val="0.92644778410531581"/>
          <c:h val="0.75181264911496992"/>
        </c:manualLayout>
      </c:layout>
      <c:barChart>
        <c:barDir val="col"/>
        <c:grouping val="clustered"/>
        <c:varyColors val="0"/>
        <c:ser>
          <c:idx val="0"/>
          <c:order val="0"/>
          <c:tx>
            <c:v>Валовый сбор, тн.</c:v>
          </c:tx>
          <c:spPr>
            <a:solidFill>
              <a:srgbClr val="C8D997"/>
            </a:solidFill>
            <a:ln w="12700">
              <a:solidFill>
                <a:schemeClr val="bg1">
                  <a:lumMod val="65000"/>
                </a:schemeClr>
              </a:solidFill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2A4BE8D-8BFA-4031-907F-F575FDF39371}" type="CELLRANGE">
                      <a:rPr lang="en-US"/>
                      <a:pPr/>
                      <a:t>[ДИАПАЗОН ЯЧЕЕК]</a:t>
                    </a:fld>
                    <a:endParaRPr lang="en-US" baseline="0"/>
                  </a:p>
                  <a:p>
                    <a:fld id="{7645A776-E5A8-4267-B125-376690D2A516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8F4-405E-8DCD-BF3B1AB3976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68524C8-F045-450D-9B8B-290433CA96EB}" type="CELLRANGE">
                      <a:rPr lang="en-US"/>
                      <a:pPr/>
                      <a:t>[ДИАПАЗОН ЯЧЕЕК]</a:t>
                    </a:fld>
                    <a:endParaRPr lang="en-US" baseline="0"/>
                  </a:p>
                  <a:p>
                    <a:fld id="{0025459B-5CFC-4D36-B72B-51C26194FF7F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8F4-405E-8DCD-BF3B1AB3976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E09B2C2-D9B6-4C14-A4CB-9B05227F4D41}" type="CELLRANGE">
                      <a:rPr lang="en-US"/>
                      <a:pPr/>
                      <a:t>[ДИАПАЗОН ЯЧЕЕК]</a:t>
                    </a:fld>
                    <a:endParaRPr lang="en-US" baseline="0"/>
                  </a:p>
                  <a:p>
                    <a:fld id="{4EC66CBC-F363-41D9-A1EE-202E2DE6A2EC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8F4-405E-8DCD-BF3B1AB3976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5EC7016-AD22-4B3D-BA75-7B1FD8F43F25}" type="CELLRANGE">
                      <a:rPr lang="en-US"/>
                      <a:pPr/>
                      <a:t>[ДИАПАЗОН ЯЧЕЕК]</a:t>
                    </a:fld>
                    <a:endParaRPr lang="en-US" baseline="0"/>
                  </a:p>
                  <a:p>
                    <a:fld id="{8463BDF0-1B4C-4EB4-8316-6EA242983FB7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8F4-405E-8DCD-BF3B1AB3976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7C5B082-2FB3-42FE-B32C-E94B0669349B}" type="CELLRANGE">
                      <a:rPr lang="en-US"/>
                      <a:pPr/>
                      <a:t>[ДИАПАЗОН ЯЧЕЕК]</a:t>
                    </a:fld>
                    <a:endParaRPr lang="en-US" baseline="0"/>
                  </a:p>
                  <a:p>
                    <a:fld id="{8ABFEC5C-4E8C-423B-9402-00BD8F7F5509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8F4-405E-8DCD-BF3B1AB3976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A8B53B3-38F9-4597-BAEF-D44BFCD65BB4}" type="CELLRANGE">
                      <a:rPr lang="en-US"/>
                      <a:pPr/>
                      <a:t>[ДИАПАЗОН ЯЧЕЕК]</a:t>
                    </a:fld>
                    <a:endParaRPr lang="en-US" baseline="0"/>
                  </a:p>
                  <a:p>
                    <a:fld id="{19824502-3286-4777-BB9D-977A940587EB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8F4-405E-8DCD-BF3B1AB39763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Lit>
              <c:ptCount val="6"/>
              <c:pt idx="0">
                <c:v>2019 г.</c:v>
              </c:pt>
              <c:pt idx="1">
                <c:v>2020 г.</c:v>
              </c:pt>
              <c:pt idx="2">
                <c:v>2021 г.</c:v>
              </c:pt>
              <c:pt idx="3">
                <c:v>2022 г.</c:v>
              </c:pt>
              <c:pt idx="4">
                <c:v>2023 г.</c:v>
              </c:pt>
              <c:pt idx="5">
                <c:v>2024 г.</c:v>
              </c:pt>
            </c:strLit>
          </c:cat>
          <c:val>
            <c:numLit>
              <c:formatCode>General</c:formatCode>
              <c:ptCount val="6"/>
              <c:pt idx="0">
                <c:v>6813</c:v>
              </c:pt>
              <c:pt idx="1">
                <c:v>12761</c:v>
              </c:pt>
              <c:pt idx="2">
                <c:v>10161</c:v>
              </c:pt>
              <c:pt idx="3">
                <c:v>6505</c:v>
              </c:pt>
              <c:pt idx="4">
                <c:v>6656.01</c:v>
              </c:pt>
              <c:pt idx="5">
                <c:v>4371.92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{"3,304073715","4,564020029","4,152431549","2,990942112","5,624955633","2,743595858"}</c15:f>
                <c15:dlblRangeCache>
                  <c:ptCount val="6"/>
                  <c:pt idx="0">
                    <c:v>3,304073715</c:v>
                  </c:pt>
                  <c:pt idx="1">
                    <c:v>4,564020029</c:v>
                  </c:pt>
                  <c:pt idx="2">
                    <c:v>4,152431549</c:v>
                  </c:pt>
                  <c:pt idx="3">
                    <c:v>2,990942112</c:v>
                  </c:pt>
                  <c:pt idx="4">
                    <c:v>5,624955633</c:v>
                  </c:pt>
                  <c:pt idx="5">
                    <c:v>2,743595858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C8F4-405E-8DCD-BF3B1AB3976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620307416"/>
        <c:axId val="620307776"/>
      </c:barChart>
      <c:lineChart>
        <c:grouping val="standard"/>
        <c:varyColors val="0"/>
        <c:ser>
          <c:idx val="1"/>
          <c:order val="1"/>
          <c:tx>
            <c:v>Урожайность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Lit>
              <c:formatCode>General</c:formatCode>
              <c:ptCount val="6"/>
              <c:pt idx="0">
                <c:v>3.3040737148399613</c:v>
              </c:pt>
              <c:pt idx="1">
                <c:v>4.5640200286123029</c:v>
              </c:pt>
              <c:pt idx="2">
                <c:v>4.1524315488353087</c:v>
              </c:pt>
              <c:pt idx="3">
                <c:v>2.9909421122810245</c:v>
              </c:pt>
              <c:pt idx="4">
                <c:v>5.6249556325530303</c:v>
              </c:pt>
              <c:pt idx="5">
                <c:v>2.7435958581738311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C8F4-405E-8DCD-BF3B1AB397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01325048"/>
        <c:axId val="1201326128"/>
      </c:lineChart>
      <c:catAx>
        <c:axId val="62030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0307776"/>
        <c:crosses val="autoZero"/>
        <c:auto val="1"/>
        <c:lblAlgn val="ctr"/>
        <c:lblOffset val="100"/>
        <c:noMultiLvlLbl val="0"/>
      </c:catAx>
      <c:valAx>
        <c:axId val="620307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0307416"/>
        <c:crosses val="autoZero"/>
        <c:crossBetween val="between"/>
      </c:valAx>
      <c:valAx>
        <c:axId val="1201326128"/>
        <c:scaling>
          <c:orientation val="minMax"/>
          <c:max val="8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1201325048"/>
        <c:crosses val="max"/>
        <c:crossBetween val="between"/>
      </c:valAx>
      <c:catAx>
        <c:axId val="1201325048"/>
        <c:scaling>
          <c:orientation val="minMax"/>
        </c:scaling>
        <c:delete val="1"/>
        <c:axPos val="b"/>
        <c:majorTickMark val="out"/>
        <c:minorTickMark val="none"/>
        <c:tickLblPos val="nextTo"/>
        <c:crossAx val="120132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 sz="1000">
          <a:solidFill>
            <a:schemeClr val="dk1"/>
          </a:solidFill>
          <a:latin typeface="Bahnschrift Light SemiCondensed" panose="020B0502040204020203" pitchFamily="34" charset="0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 sz="1400"/>
              <a:t>ЕЖЕДНЕВНЫЙ СБОР СЫРЬЯ СО СРЕДНИМ ПОКАЗАТЕЛЕМ ФИНОМЕТРА</a:t>
            </a:r>
          </a:p>
        </c:rich>
      </c:tx>
      <c:layout>
        <c:manualLayout>
          <c:xMode val="edge"/>
          <c:yMode val="edge"/>
          <c:x val="0.1891131498470947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rgbClr val="B1D6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</c:pivotFmt>
      <c:pivotFmt>
        <c:idx val="3"/>
        <c:spPr>
          <a:solidFill>
            <a:srgbClr val="B1D69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5875" cap="rnd">
            <a:solidFill>
              <a:schemeClr val="bg1">
                <a:lumMod val="65000"/>
              </a:schemeClr>
            </a:solidFill>
            <a:prstDash val="sysDash"/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100000">
                <a:srgbClr val="96B34D"/>
              </a:gs>
              <a:gs pos="1000">
                <a:schemeClr val="accent6">
                  <a:lumMod val="5000"/>
                  <a:lumOff val="95000"/>
                </a:schemeClr>
              </a:gs>
              <a:gs pos="48000">
                <a:schemeClr val="accent6">
                  <a:lumMod val="45000"/>
                  <a:lumOff val="55000"/>
                </a:schemeClr>
              </a:gs>
              <a:gs pos="100000">
                <a:srgbClr val="789034"/>
              </a:gs>
              <a:gs pos="100000">
                <a:schemeClr val="accent6">
                  <a:lumMod val="30000"/>
                  <a:lumOff val="7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0.0&quot; тн.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2700" cap="rnd">
            <a:solidFill>
              <a:srgbClr val="FF9393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0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FF0000"/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2700" cap="rnd">
            <a:solidFill>
              <a:srgbClr val="FF9393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0">
              <a:solidFill>
                <a:srgbClr val="FF0000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Валовый сбор</c:v>
          </c:tx>
          <c:spPr>
            <a:gradFill flip="none" rotWithShape="1">
              <a:gsLst>
                <a:gs pos="100000">
                  <a:srgbClr val="96B34D"/>
                </a:gs>
                <a:gs pos="1000">
                  <a:schemeClr val="accent6">
                    <a:lumMod val="5000"/>
                    <a:lumOff val="95000"/>
                  </a:schemeClr>
                </a:gs>
                <a:gs pos="48000">
                  <a:schemeClr val="accent6">
                    <a:lumMod val="45000"/>
                    <a:lumOff val="55000"/>
                  </a:schemeClr>
                </a:gs>
                <a:gs pos="100000">
                  <a:srgbClr val="789034"/>
                </a:gs>
                <a:gs pos="100000">
                  <a:schemeClr val="accent6">
                    <a:lumMod val="30000"/>
                    <a:lumOff val="7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numFmt formatCode="0.0&quot; тн.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12</c:v>
              </c:pt>
              <c:pt idx="9">
                <c:v>13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  <c:pt idx="13">
                <c:v>21</c:v>
              </c:pt>
              <c:pt idx="14">
                <c:v>22</c:v>
              </c:pt>
              <c:pt idx="15">
                <c:v>23</c:v>
              </c:pt>
              <c:pt idx="16">
                <c:v>24</c:v>
              </c:pt>
              <c:pt idx="17">
                <c:v>25</c:v>
              </c:pt>
              <c:pt idx="18">
                <c:v>26</c:v>
              </c:pt>
              <c:pt idx="19">
                <c:v>27</c:v>
              </c:pt>
              <c:pt idx="20">
                <c:v>28</c:v>
              </c:pt>
              <c:pt idx="21">
                <c:v>29</c:v>
              </c:pt>
              <c:pt idx="22">
                <c:v>30</c:v>
              </c:pt>
              <c:pt idx="23">
                <c:v>31</c:v>
              </c:pt>
              <c:pt idx="24">
                <c:v>33</c:v>
              </c:pt>
              <c:pt idx="25">
                <c:v>34</c:v>
              </c:pt>
              <c:pt idx="26">
                <c:v>35</c:v>
              </c:pt>
              <c:pt idx="27">
                <c:v>36</c:v>
              </c:pt>
              <c:pt idx="28">
                <c:v>37</c:v>
              </c:pt>
              <c:pt idx="29">
                <c:v>39</c:v>
              </c:pt>
              <c:pt idx="30">
                <c:v>40</c:v>
              </c:pt>
              <c:pt idx="31">
                <c:v>41</c:v>
              </c:pt>
              <c:pt idx="32">
                <c:v>42</c:v>
              </c:pt>
              <c:pt idx="33">
                <c:v>43</c:v>
              </c:pt>
            </c:strLit>
          </c:cat>
          <c:val>
            <c:numLit>
              <c:formatCode>General</c:formatCode>
              <c:ptCount val="34"/>
              <c:pt idx="0">
                <c:v>64.89</c:v>
              </c:pt>
              <c:pt idx="1">
                <c:v>35.46</c:v>
              </c:pt>
              <c:pt idx="2">
                <c:v>86.6</c:v>
              </c:pt>
              <c:pt idx="3">
                <c:v>153.85999999999999</c:v>
              </c:pt>
              <c:pt idx="4">
                <c:v>130.93</c:v>
              </c:pt>
              <c:pt idx="5">
                <c:v>160.48999999999998</c:v>
              </c:pt>
              <c:pt idx="6">
                <c:v>173.54000000000002</c:v>
              </c:pt>
              <c:pt idx="7">
                <c:v>135.61999999999998</c:v>
              </c:pt>
              <c:pt idx="8">
                <c:v>108.44000000000001</c:v>
              </c:pt>
              <c:pt idx="9">
                <c:v>100.25999999999999</c:v>
              </c:pt>
              <c:pt idx="10">
                <c:v>195.04000000000002</c:v>
              </c:pt>
              <c:pt idx="11">
                <c:v>92.269999999999982</c:v>
              </c:pt>
              <c:pt idx="12">
                <c:v>196.11</c:v>
              </c:pt>
              <c:pt idx="13">
                <c:v>208.6</c:v>
              </c:pt>
              <c:pt idx="14">
                <c:v>193.39000000000004</c:v>
              </c:pt>
              <c:pt idx="15">
                <c:v>85.61</c:v>
              </c:pt>
              <c:pt idx="16">
                <c:v>185.19</c:v>
              </c:pt>
              <c:pt idx="17">
                <c:v>212.20000000000002</c:v>
              </c:pt>
              <c:pt idx="18">
                <c:v>120.87</c:v>
              </c:pt>
              <c:pt idx="19">
                <c:v>220.08</c:v>
              </c:pt>
              <c:pt idx="20">
                <c:v>195.01999999999995</c:v>
              </c:pt>
              <c:pt idx="21">
                <c:v>203.04999999999998</c:v>
              </c:pt>
              <c:pt idx="22">
                <c:v>27.77</c:v>
              </c:pt>
              <c:pt idx="23">
                <c:v>116.4</c:v>
              </c:pt>
              <c:pt idx="24">
                <c:v>84.639999999999986</c:v>
              </c:pt>
              <c:pt idx="25">
                <c:v>134.76999999999998</c:v>
              </c:pt>
              <c:pt idx="26">
                <c:v>163.99</c:v>
              </c:pt>
              <c:pt idx="27">
                <c:v>71.260000000000005</c:v>
              </c:pt>
              <c:pt idx="28">
                <c:v>9.2200000000000006</c:v>
              </c:pt>
              <c:pt idx="29">
                <c:v>106.61999999999999</c:v>
              </c:pt>
              <c:pt idx="30">
                <c:v>107</c:v>
              </c:pt>
              <c:pt idx="31">
                <c:v>124.51999999999998</c:v>
              </c:pt>
              <c:pt idx="32">
                <c:v>133.79</c:v>
              </c:pt>
              <c:pt idx="33">
                <c:v>34.42</c:v>
              </c:pt>
            </c:numLit>
          </c:val>
          <c:extLst>
            <c:ext xmlns:c16="http://schemas.microsoft.com/office/drawing/2014/chart" uri="{C3380CC4-5D6E-409C-BE32-E72D297353CC}">
              <c16:uniqueId val="{00000000-20D0-4BD2-B339-E74FEDC61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overlap val="-14"/>
        <c:axId val="926716168"/>
        <c:axId val="926716528"/>
      </c:barChart>
      <c:lineChart>
        <c:grouping val="standard"/>
        <c:varyColors val="0"/>
        <c:ser>
          <c:idx val="1"/>
          <c:order val="1"/>
          <c:tx>
            <c:v> Фср.</c:v>
          </c:tx>
          <c:spPr>
            <a:ln w="12700" cap="rnd">
              <a:solidFill>
                <a:srgbClr val="FF939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0">
                <a:solidFill>
                  <a:srgbClr val="FF0000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4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12</c:v>
              </c:pt>
              <c:pt idx="9">
                <c:v>13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  <c:pt idx="13">
                <c:v>21</c:v>
              </c:pt>
              <c:pt idx="14">
                <c:v>22</c:v>
              </c:pt>
              <c:pt idx="15">
                <c:v>23</c:v>
              </c:pt>
              <c:pt idx="16">
                <c:v>24</c:v>
              </c:pt>
              <c:pt idx="17">
                <c:v>25</c:v>
              </c:pt>
              <c:pt idx="18">
                <c:v>26</c:v>
              </c:pt>
              <c:pt idx="19">
                <c:v>27</c:v>
              </c:pt>
              <c:pt idx="20">
                <c:v>28</c:v>
              </c:pt>
              <c:pt idx="21">
                <c:v>29</c:v>
              </c:pt>
              <c:pt idx="22">
                <c:v>30</c:v>
              </c:pt>
              <c:pt idx="23">
                <c:v>31</c:v>
              </c:pt>
              <c:pt idx="24">
                <c:v>33</c:v>
              </c:pt>
              <c:pt idx="25">
                <c:v>34</c:v>
              </c:pt>
              <c:pt idx="26">
                <c:v>35</c:v>
              </c:pt>
              <c:pt idx="27">
                <c:v>36</c:v>
              </c:pt>
              <c:pt idx="28">
                <c:v>37</c:v>
              </c:pt>
              <c:pt idx="29">
                <c:v>39</c:v>
              </c:pt>
              <c:pt idx="30">
                <c:v>40</c:v>
              </c:pt>
              <c:pt idx="31">
                <c:v>41</c:v>
              </c:pt>
              <c:pt idx="32">
                <c:v>42</c:v>
              </c:pt>
              <c:pt idx="33">
                <c:v>43</c:v>
              </c:pt>
            </c:strLit>
          </c:cat>
          <c:val>
            <c:numLit>
              <c:formatCode>General</c:formatCode>
              <c:ptCount val="34"/>
              <c:pt idx="0">
                <c:v>47.666666666666664</c:v>
              </c:pt>
              <c:pt idx="1">
                <c:v>34.5</c:v>
              </c:pt>
              <c:pt idx="2">
                <c:v>45</c:v>
              </c:pt>
              <c:pt idx="3">
                <c:v>45</c:v>
              </c:pt>
              <c:pt idx="4">
                <c:v>46.727272727272727</c:v>
              </c:pt>
              <c:pt idx="5">
                <c:v>47.6</c:v>
              </c:pt>
              <c:pt idx="6">
                <c:v>52.230769230769234</c:v>
              </c:pt>
              <c:pt idx="7">
                <c:v>50.31818181818182</c:v>
              </c:pt>
              <c:pt idx="8">
                <c:v>50.642857142857146</c:v>
              </c:pt>
              <c:pt idx="9">
                <c:v>51.0625</c:v>
              </c:pt>
              <c:pt idx="10">
                <c:v>59.714285714285715</c:v>
              </c:pt>
              <c:pt idx="11">
                <c:v>59.125</c:v>
              </c:pt>
              <c:pt idx="12">
                <c:v>45.535714285714285</c:v>
              </c:pt>
              <c:pt idx="13">
                <c:v>47.733333333333334</c:v>
              </c:pt>
              <c:pt idx="14">
                <c:v>53.9</c:v>
              </c:pt>
              <c:pt idx="15">
                <c:v>52.071428571428569</c:v>
              </c:pt>
              <c:pt idx="16">
                <c:v>47.03846153846154</c:v>
              </c:pt>
              <c:pt idx="17">
                <c:v>46.6875</c:v>
              </c:pt>
              <c:pt idx="18">
                <c:v>58.9375</c:v>
              </c:pt>
              <c:pt idx="19">
                <c:v>56.46875</c:v>
              </c:pt>
              <c:pt idx="20">
                <c:v>59.615384615384613</c:v>
              </c:pt>
              <c:pt idx="21">
                <c:v>64.807692307692307</c:v>
              </c:pt>
              <c:pt idx="22">
                <c:v>70.5</c:v>
              </c:pt>
              <c:pt idx="23">
                <c:v>52.9</c:v>
              </c:pt>
              <c:pt idx="24">
                <c:v>48.142857142857146</c:v>
              </c:pt>
              <c:pt idx="25">
                <c:v>51.444444444444443</c:v>
              </c:pt>
              <c:pt idx="26">
                <c:v>52.666666666666664</c:v>
              </c:pt>
              <c:pt idx="27">
                <c:v>59.75</c:v>
              </c:pt>
              <c:pt idx="28">
                <c:v>55.5</c:v>
              </c:pt>
              <c:pt idx="29">
                <c:v>56.375</c:v>
              </c:pt>
              <c:pt idx="30">
                <c:v>55</c:v>
              </c:pt>
              <c:pt idx="31">
                <c:v>59.125</c:v>
              </c:pt>
              <c:pt idx="32">
                <c:v>65.1875</c:v>
              </c:pt>
              <c:pt idx="33">
                <c:v>64.375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0D0-4BD2-B339-E74FEDC61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107040"/>
        <c:axId val="931107760"/>
      </c:lineChart>
      <c:catAx>
        <c:axId val="926716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926716528"/>
        <c:crosses val="autoZero"/>
        <c:auto val="1"/>
        <c:lblAlgn val="ctr"/>
        <c:lblOffset val="100"/>
        <c:noMultiLvlLbl val="0"/>
      </c:catAx>
      <c:valAx>
        <c:axId val="926716528"/>
        <c:scaling>
          <c:orientation val="minMax"/>
          <c:max val="2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926716168"/>
        <c:crosses val="autoZero"/>
        <c:crossBetween val="between"/>
      </c:valAx>
      <c:valAx>
        <c:axId val="931107760"/>
        <c:scaling>
          <c:orientation val="minMax"/>
          <c:max val="8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931107040"/>
        <c:crosses val="max"/>
        <c:crossBetween val="between"/>
      </c:valAx>
      <c:catAx>
        <c:axId val="9311070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931107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6"/>
      </a:solidFill>
      <a:round/>
    </a:ln>
    <a:effectLst/>
  </c:spPr>
  <c:txPr>
    <a:bodyPr/>
    <a:lstStyle/>
    <a:p>
      <a:pPr>
        <a:defRPr>
          <a:latin typeface="Bahnschrift Light SemiCondensed" panose="020B0502040204020203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/>
              <a:t>РАСПРЕДЕЛЕНИЕ СЫРЬЯ ПО ФИНОМЕТРУ</a:t>
            </a:r>
          </a:p>
        </c:rich>
      </c:tx>
      <c:layout>
        <c:manualLayout>
          <c:xMode val="edge"/>
          <c:yMode val="edge"/>
          <c:x val="0.10974008699192414"/>
          <c:y val="2.441443868946041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dLbl>
          <c:idx val="0"/>
          <c:layout>
            <c:manualLayout>
              <c:x val="0.19245561616640733"/>
              <c:y val="0.1181039113652245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3555297083588116"/>
                  <c:h val="0.23464806442920871"/>
                </c:manualLayout>
              </c15:layout>
            </c:ext>
          </c:extLst>
        </c:dLbl>
      </c:pivotFmt>
      <c:pivotFmt>
        <c:idx val="6"/>
      </c:pivotFmt>
      <c:pivotFmt>
        <c:idx val="7"/>
        <c:dLbl>
          <c:idx val="0"/>
          <c:layout>
            <c:manualLayout>
              <c:x val="-0.11741339204637335"/>
              <c:y val="0.16020310545293986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7612991504024084"/>
                  <c:h val="0.18413062853124668"/>
                </c:manualLayout>
              </c15:layout>
            </c:ext>
          </c:extLst>
        </c:dLbl>
      </c:pivotFmt>
      <c:pivotFmt>
        <c:idx val="8"/>
        <c:dLbl>
          <c:idx val="0"/>
          <c:layout>
            <c:manualLayout>
              <c:x val="-0.10235498998644127"/>
              <c:y val="0.1474560306129956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882088791033822"/>
                  <c:h val="0.15251943974292931"/>
                </c:manualLayout>
              </c15:layout>
            </c:ext>
          </c:extLst>
        </c:dLbl>
      </c:pivotFmt>
      <c:pivotFmt>
        <c:idx val="9"/>
        <c:dLbl>
          <c:idx val="0"/>
          <c:layout>
            <c:manualLayout>
              <c:x val="-0.16745655608214849"/>
              <c:y val="-0.12876427829698861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0.13902053712480253"/>
              <c:y val="-0.16199376947040497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0.1575144150210698"/>
              <c:y val="2.0279033561869393E-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1514994421056296"/>
                  <c:h val="0.19074558645948722"/>
                </c:manualLayout>
              </c15:layout>
            </c:ext>
          </c:extLst>
        </c:dLbl>
      </c:pivotFmt>
      <c:pivotFmt>
        <c:idx val="12"/>
        <c:dLbl>
          <c:idx val="0"/>
          <c:layout>
            <c:manualLayout>
              <c:x val="-0.13583811937596846"/>
              <c:y val="-0.16730038022813692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0.13583811937596846"/>
              <c:y val="-0.18757921419518375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  <c:spPr>
          <a:solidFill>
            <a:srgbClr val="677C2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797683355859233"/>
              <c:y val="0.124208057642984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249098072664406"/>
                  <c:h val="0.21609412891829582"/>
                </c:manualLayout>
              </c15:layout>
            </c:ext>
          </c:extLst>
        </c:dLbl>
      </c:pivotFmt>
      <c:pivotFmt>
        <c:idx val="16"/>
        <c:spPr>
          <a:solidFill>
            <a:srgbClr val="A1BF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294794662328829"/>
              <c:y val="-0.167300380228136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SemiLight SemiConde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A6C25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43930329996284"/>
              <c:y val="-0.152091055158029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SemiLight SemiConde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909946313334323"/>
                  <c:h val="0.21102442042653413"/>
                </c:manualLayout>
              </c15:layout>
            </c:ext>
          </c:extLst>
        </c:dLbl>
      </c:pivotFmt>
      <c:pivotFmt>
        <c:idx val="18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583811937596846"/>
              <c:y val="-0.19264892268694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462424226838964"/>
              <c:y val="-0.14195143857968323"/>
            </c:manualLayout>
          </c:layout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12519318073979774"/>
                  <c:h val="0.21102442042653413"/>
                </c:manualLayout>
              </c15:layout>
            </c:ext>
          </c:extLst>
        </c:dLbl>
      </c:pivotFmt>
      <c:pivotFmt>
        <c:idx val="20"/>
        <c:spPr>
          <a:solidFill>
            <a:srgbClr val="A1BF4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161846488132881"/>
              <c:y val="-0.162230472141552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541870069211674"/>
                  <c:h val="0.2515820883606279"/>
                </c:manualLayout>
              </c15:layout>
            </c:ext>
          </c:extLst>
        </c:dLbl>
      </c:pivotFmt>
      <c:pivotFmt>
        <c:idx val="21"/>
        <c:spPr>
          <a:solidFill>
            <a:srgbClr val="F8ED8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37571790639526"/>
              <c:y val="3.29531051964512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862360870611062"/>
                  <c:h val="0.23637296288534276"/>
                </c:manualLayout>
              </c15:layout>
            </c:ext>
          </c:extLst>
        </c:dLbl>
      </c:pivotFmt>
      <c:pivotFmt>
        <c:idx val="22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017349229131756"/>
              <c:y val="-0.1799744518627187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027260018374216"/>
                  <c:h val="0.22623354590181927"/>
                </c:manualLayout>
              </c15:layout>
            </c:ext>
          </c:extLst>
        </c:dLbl>
      </c:pivotFmt>
      <c:pivotFmt>
        <c:idx val="23"/>
        <c:spPr>
          <a:solidFill>
            <a:srgbClr val="677C2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16760111792791"/>
              <c:y val="0.2408113529535042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491371696469962"/>
                  <c:h val="0.23637296288534276"/>
                </c:manualLayout>
              </c15:layout>
            </c:ext>
          </c:extLst>
        </c:dLbl>
      </c:pivotFmt>
      <c:pivotFmt>
        <c:idx val="24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39881038668917"/>
              <c:y val="-0.228136882129277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rgbClr val="97B54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450863763400901"/>
              <c:y val="-3.295290560162874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79527245112365"/>
                  <c:h val="0.2446625350538407"/>
                </c:manualLayout>
              </c15:layout>
            </c:ext>
          </c:extLst>
        </c:dLbl>
      </c:pivotFmt>
      <c:pivotFmt>
        <c:idx val="26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849719664621623"/>
              <c:y val="-0.230671736375158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606250374072555"/>
                  <c:h val="0.26494136902088761"/>
                </c:manualLayout>
              </c15:layout>
            </c:ext>
          </c:extLst>
        </c:dLbl>
      </c:pivotFmt>
      <c:pivotFmt>
        <c:idx val="27"/>
        <c:spPr>
          <a:solidFill>
            <a:srgbClr val="F8ED88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473984690277016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473973311644147E-2"/>
              <c:y val="-0.182509505703422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8265873591126124E-2"/>
              <c:y val="-0.1622306717363751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solidFill>
            <a:srgbClr val="CDDD9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16760111792783"/>
              <c:y val="-0.167300380228136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solidFill>
            <a:srgbClr val="FFFFA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763001965545035"/>
              <c:y val="4.6471790995053965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0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Bahnschrift Light SemiCondensed" panose="020B0502040204020203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2399507896885008E-2"/>
          <c:y val="0.13723062183766951"/>
          <c:w val="0.64496647634685478"/>
          <c:h val="0.84789985363979037"/>
        </c:manualLayout>
      </c:layout>
      <c:doughnutChart>
        <c:varyColors val="0"/>
        <c:ser>
          <c:idx val="0"/>
          <c:order val="0"/>
          <c:tx>
            <c:v>Итог</c:v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explosion val="9"/>
          <c:dPt>
            <c:idx val="0"/>
            <c:bubble3D val="0"/>
            <c:explosion val="11"/>
            <c:spPr>
              <a:solidFill>
                <a:srgbClr val="677C2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E-4045-BEF1-1F97A76AFD7B}"/>
              </c:ext>
            </c:extLst>
          </c:dPt>
          <c:dPt>
            <c:idx val="1"/>
            <c:bubble3D val="0"/>
            <c:spPr>
              <a:solidFill>
                <a:srgbClr val="97B54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E-4045-BEF1-1F97A76AFD7B}"/>
              </c:ext>
            </c:extLst>
          </c:dPt>
          <c:dPt>
            <c:idx val="2"/>
            <c:bubble3D val="0"/>
            <c:spPr>
              <a:solidFill>
                <a:srgbClr val="CDDD9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E-4045-BEF1-1F97A76AFD7B}"/>
              </c:ext>
            </c:extLst>
          </c:dPt>
          <c:dPt>
            <c:idx val="3"/>
            <c:bubble3D val="0"/>
            <c:spPr>
              <a:solidFill>
                <a:srgbClr val="FFFF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DE-4045-BEF1-1F97A76AFD7B}"/>
              </c:ext>
            </c:extLst>
          </c:dPt>
          <c:dLbls>
            <c:dLbl>
              <c:idx val="0"/>
              <c:layout>
                <c:manualLayout>
                  <c:x val="0.12716760111792791"/>
                  <c:y val="0.2408113529535042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4491371696469962"/>
                      <c:h val="0.236372962885342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DE-4045-BEF1-1F97A76AFD7B}"/>
                </c:ext>
              </c:extLst>
            </c:dLbl>
            <c:dLbl>
              <c:idx val="1"/>
              <c:layout>
                <c:manualLayout>
                  <c:x val="-0.14450863763400901"/>
                  <c:y val="-3.295290560162874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79527245112365"/>
                      <c:h val="0.24466253505384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1DE-4045-BEF1-1F97A76AFD7B}"/>
                </c:ext>
              </c:extLst>
            </c:dLbl>
            <c:dLbl>
              <c:idx val="2"/>
              <c:layout>
                <c:manualLayout>
                  <c:x val="0.12716760111792783"/>
                  <c:y val="-0.1673003802281368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DE-4045-BEF1-1F97A76AFD7B}"/>
                </c:ext>
              </c:extLst>
            </c:dLbl>
            <c:dLbl>
              <c:idx val="3"/>
              <c:layout>
                <c:manualLayout>
                  <c:x val="0.16763001965545035"/>
                  <c:y val="4.6471790995053965E-1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DE-4045-BEF1-1F97A76AFD7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0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4"/>
              <c:pt idx="0">
                <c:v>до 40</c:v>
              </c:pt>
              <c:pt idx="1">
                <c:v>40-62</c:v>
              </c:pt>
              <c:pt idx="2">
                <c:v>63-66</c:v>
              </c:pt>
              <c:pt idx="3">
                <c:v>67-85</c:v>
              </c:pt>
            </c:strLit>
          </c:cat>
          <c:val>
            <c:numLit>
              <c:formatCode>General</c:formatCode>
              <c:ptCount val="4"/>
              <c:pt idx="0">
                <c:v>169.90999999999997</c:v>
              </c:pt>
              <c:pt idx="1">
                <c:v>3695.8300000000008</c:v>
              </c:pt>
              <c:pt idx="2">
                <c:v>305.91000000000003</c:v>
              </c:pt>
              <c:pt idx="3">
                <c:v>200.26999999999998</c:v>
              </c:pt>
            </c:numLit>
          </c:val>
          <c:extLst>
            <c:ext xmlns:c16="http://schemas.microsoft.com/office/drawing/2014/chart" uri="{C3380CC4-5D6E-409C-BE32-E72D297353CC}">
              <c16:uniqueId val="{00000008-81DE-4045-BEF1-1F97A76AFD7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9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6"/>
      </a:solidFill>
      <a:round/>
    </a:ln>
    <a:effectLst/>
  </c:spPr>
  <c:txPr>
    <a:bodyPr/>
    <a:lstStyle/>
    <a:p>
      <a:pPr>
        <a:defRPr>
          <a:latin typeface="Bahnschrift Light SemiCondensed" panose="020B0502040204020203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r>
              <a:rPr lang="ru-RU"/>
              <a:t>ВЫПОЛНЕНИЕ ПЛАНА ПО СБОРУ</a:t>
            </a:r>
          </a:p>
        </c:rich>
      </c:tx>
      <c:layout>
        <c:manualLayout>
          <c:xMode val="edge"/>
          <c:yMode val="edge"/>
          <c:x val="0.2085421591804570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Bahnschrift Light SemiCondensed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24170733977401762"/>
          <c:y val="0.10978386091000369"/>
          <c:w val="0.66688210073031662"/>
          <c:h val="0.85740480426523868"/>
        </c:manualLayout>
      </c:layout>
      <c:barChart>
        <c:barDir val="bar"/>
        <c:grouping val="clustered"/>
        <c:varyColors val="0"/>
        <c:ser>
          <c:idx val="0"/>
          <c:order val="0"/>
          <c:tx>
            <c:v>План</c:v>
          </c:tx>
          <c:spPr>
            <a:pattFill prst="ltDnDiag">
              <a:fgClr>
                <a:schemeClr val="accent6">
                  <a:lumMod val="40000"/>
                  <a:lumOff val="60000"/>
                </a:schemeClr>
              </a:fgClr>
              <a:bgClr>
                <a:schemeClr val="bg1"/>
              </a:bgClr>
            </a:pattFill>
            <a:ln>
              <a:solidFill>
                <a:srgbClr val="97B54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softEdge rad="1270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ООО Кубань Хлеб</c:v>
              </c:pt>
              <c:pt idx="1">
                <c:v>Учхоз</c:v>
              </c:pt>
              <c:pt idx="2">
                <c:v>ООО ГРК</c:v>
              </c:pt>
              <c:pt idx="3">
                <c:v>ООО Колос</c:v>
              </c:pt>
            </c:strLit>
          </c:cat>
          <c:val>
            <c:numLit>
              <c:formatCode>General</c:formatCode>
              <c:ptCount val="4"/>
              <c:pt idx="0">
                <c:v>929.5</c:v>
              </c:pt>
              <c:pt idx="1">
                <c:v>1328.85</c:v>
              </c:pt>
              <c:pt idx="2">
                <c:v>2184.6</c:v>
              </c:pt>
              <c:pt idx="3">
                <c:v>3467.65</c:v>
              </c:pt>
            </c:numLit>
          </c:val>
          <c:extLst>
            <c:ext xmlns:c16="http://schemas.microsoft.com/office/drawing/2014/chart" uri="{C3380CC4-5D6E-409C-BE32-E72D297353CC}">
              <c16:uniqueId val="{00000000-4428-4E4C-8835-768ED13906C8}"/>
            </c:ext>
          </c:extLst>
        </c:ser>
        <c:ser>
          <c:idx val="1"/>
          <c:order val="1"/>
          <c:tx>
            <c:v>Факт</c:v>
          </c:tx>
          <c:spPr>
            <a:solidFill>
              <a:srgbClr val="CDDD9F"/>
            </a:solidFill>
            <a:ln>
              <a:solidFill>
                <a:srgbClr val="97B541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softEdge rad="12700"/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AA7B4D0-E3D3-4427-8D05-48B153CDB02A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327D64BB-2586-4F61-9763-56DC136EEB2A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484633569739957"/>
                      <c:h val="9.843400447427293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428-4E4C-8835-768ED13906C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C64EBE-88E2-447F-A47E-540614C2EA86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38F29676-357D-446B-AE09-260F3A62E7EA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196205084293542"/>
                      <c:h val="8.414615958240118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428-4E4C-8835-768ED13906C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8DA4236-209A-4332-A4FB-F693AF431E67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6E0DAC81-74FD-4668-A174-36D8A68D28A8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591804570527976"/>
                      <c:h val="0.1020432513049962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428-4E4C-8835-768ED13906C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62CDE6-120C-4128-AFB8-0ABB78EE0583}" type="CELLRANGE">
                      <a:rPr lang="en-US" baseline="0"/>
                      <a:pPr/>
                      <a:t>[ДИАПАЗОН ЯЧЕЕК]</a:t>
                    </a:fld>
                    <a:r>
                      <a:rPr lang="en-US" baseline="0"/>
                      <a:t> </a:t>
                    </a:r>
                    <a:fld id="{F1C10B46-F30A-46BA-8B9F-EACAE4B4C485}" type="VALUE">
                      <a:rPr lang="en-US" baseline="0"/>
                      <a:pPr/>
                      <a:t>[ЗНАЧЕНИЕ]</a:t>
                    </a:fld>
                    <a:endParaRPr lang="en-US" baseline="0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545323678511815"/>
                      <c:h val="8.414615958240118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428-4E4C-8835-768ED13906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Bahnschrift Light Semi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Lit>
              <c:ptCount val="4"/>
              <c:pt idx="0">
                <c:v>ООО Кубань Хлеб</c:v>
              </c:pt>
              <c:pt idx="1">
                <c:v>Учхоз</c:v>
              </c:pt>
              <c:pt idx="2">
                <c:v>ООО ГРК</c:v>
              </c:pt>
              <c:pt idx="3">
                <c:v>ООО Колос</c:v>
              </c:pt>
            </c:strLit>
          </c:cat>
          <c:val>
            <c:numLit>
              <c:formatCode>General</c:formatCode>
              <c:ptCount val="4"/>
              <c:pt idx="0">
                <c:v>495.04000000009989</c:v>
              </c:pt>
              <c:pt idx="1">
                <c:v>498.63</c:v>
              </c:pt>
              <c:pt idx="2">
                <c:v>1640.7699999999998</c:v>
              </c:pt>
              <c:pt idx="3">
                <c:v>1737.4800000002001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{"53,3 % -","37,6 % -","75,2 % -","50,2 % -"}</c15:f>
                <c15:dlblRangeCache>
                  <c:ptCount val="4"/>
                  <c:pt idx="0">
                    <c:v>53,3 % -</c:v>
                  </c:pt>
                  <c:pt idx="1">
                    <c:v>37,6 % -</c:v>
                  </c:pt>
                  <c:pt idx="2">
                    <c:v>75,2 % -</c:v>
                  </c:pt>
                  <c:pt idx="3">
                    <c:v>50,2 % 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4428-4E4C-8835-768ED1390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622943696"/>
        <c:axId val="622938296"/>
      </c:barChart>
      <c:catAx>
        <c:axId val="622943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Bahnschrift Light Semi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622938296"/>
        <c:crosses val="autoZero"/>
        <c:auto val="1"/>
        <c:lblAlgn val="ctr"/>
        <c:lblOffset val="100"/>
        <c:noMultiLvlLbl val="0"/>
      </c:catAx>
      <c:valAx>
        <c:axId val="622938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294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Bahnschrift Light SemiCondensed" panose="020B0502040204020203" pitchFamily="34" charset="0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по уборке (горошек овощной) 06.07.2026.xlsx]Поступление на завод по дням!Сводная таблица8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Поступление сырья на завод (без учета продаж)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'Поступление на завод по дням'!$J$4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'Поступление на завод по дням'!$I$5:$I$53</c:f>
              <c:multiLvlStrCache>
                <c:ptCount val="45"/>
                <c:lvl>
                  <c:pt idx="0">
                    <c:v>27.май</c:v>
                  </c:pt>
                  <c:pt idx="1">
                    <c:v>28.май</c:v>
                  </c:pt>
                  <c:pt idx="2">
                    <c:v>29.май</c:v>
                  </c:pt>
                  <c:pt idx="3">
                    <c:v>30.май</c:v>
                  </c:pt>
                  <c:pt idx="4">
                    <c:v>31.май</c:v>
                  </c:pt>
                  <c:pt idx="5">
                    <c:v>01.июн</c:v>
                  </c:pt>
                  <c:pt idx="6">
                    <c:v>02.июн</c:v>
                  </c:pt>
                  <c:pt idx="7">
                    <c:v>03.июн</c:v>
                  </c:pt>
                  <c:pt idx="8">
                    <c:v>04.июн</c:v>
                  </c:pt>
                  <c:pt idx="9">
                    <c:v>05.июн</c:v>
                  </c:pt>
                  <c:pt idx="10">
                    <c:v>06.июн</c:v>
                  </c:pt>
                  <c:pt idx="11">
                    <c:v>07.июн</c:v>
                  </c:pt>
                  <c:pt idx="12">
                    <c:v>08.июн</c:v>
                  </c:pt>
                  <c:pt idx="13">
                    <c:v>09.июн</c:v>
                  </c:pt>
                  <c:pt idx="14">
                    <c:v>10.июн</c:v>
                  </c:pt>
                  <c:pt idx="15">
                    <c:v>11.июн</c:v>
                  </c:pt>
                  <c:pt idx="16">
                    <c:v>12.июн</c:v>
                  </c:pt>
                  <c:pt idx="17">
                    <c:v>13.июн</c:v>
                  </c:pt>
                  <c:pt idx="18">
                    <c:v>14.июн</c:v>
                  </c:pt>
                  <c:pt idx="19">
                    <c:v>15.июн</c:v>
                  </c:pt>
                  <c:pt idx="20">
                    <c:v>16.июн</c:v>
                  </c:pt>
                  <c:pt idx="21">
                    <c:v>17.июн</c:v>
                  </c:pt>
                  <c:pt idx="22">
                    <c:v>18.июн</c:v>
                  </c:pt>
                  <c:pt idx="23">
                    <c:v>19.июн</c:v>
                  </c:pt>
                  <c:pt idx="24">
                    <c:v>20.июн</c:v>
                  </c:pt>
                  <c:pt idx="25">
                    <c:v>21.июн</c:v>
                  </c:pt>
                  <c:pt idx="26">
                    <c:v>22.июн</c:v>
                  </c:pt>
                  <c:pt idx="27">
                    <c:v>23.июн</c:v>
                  </c:pt>
                  <c:pt idx="28">
                    <c:v>24.июн</c:v>
                  </c:pt>
                  <c:pt idx="29">
                    <c:v>25.июн</c:v>
                  </c:pt>
                  <c:pt idx="30">
                    <c:v>26.июн</c:v>
                  </c:pt>
                  <c:pt idx="31">
                    <c:v>27.июн</c:v>
                  </c:pt>
                  <c:pt idx="32">
                    <c:v>28.июн</c:v>
                  </c:pt>
                  <c:pt idx="33">
                    <c:v>29.июн</c:v>
                  </c:pt>
                  <c:pt idx="34">
                    <c:v>30.июн</c:v>
                  </c:pt>
                  <c:pt idx="35">
                    <c:v>01.июл</c:v>
                  </c:pt>
                  <c:pt idx="36">
                    <c:v>02.июл</c:v>
                  </c:pt>
                  <c:pt idx="37">
                    <c:v>03.июл</c:v>
                  </c:pt>
                  <c:pt idx="38">
                    <c:v>04.июл</c:v>
                  </c:pt>
                  <c:pt idx="39">
                    <c:v>05.июл</c:v>
                  </c:pt>
                  <c:pt idx="40">
                    <c:v>06.июл</c:v>
                  </c:pt>
                  <c:pt idx="41">
                    <c:v>07.июл</c:v>
                  </c:pt>
                  <c:pt idx="42">
                    <c:v>08.июл</c:v>
                  </c:pt>
                  <c:pt idx="43">
                    <c:v>09.июл</c:v>
                  </c:pt>
                  <c:pt idx="44">
                    <c:v>10.июл</c:v>
                  </c:pt>
                </c:lvl>
                <c:lvl>
                  <c:pt idx="0">
                    <c:v>май</c:v>
                  </c:pt>
                  <c:pt idx="5">
                    <c:v>июн</c:v>
                  </c:pt>
                  <c:pt idx="35">
                    <c:v>июл</c:v>
                  </c:pt>
                </c:lvl>
              </c:multiLvlStrCache>
            </c:multiLvlStrRef>
          </c:cat>
          <c:val>
            <c:numRef>
              <c:f>'Поступление на завод по дням'!$J$5:$J$53</c:f>
              <c:numCache>
                <c:formatCode>#,##0</c:formatCode>
                <c:ptCount val="45"/>
                <c:pt idx="0">
                  <c:v>29.45</c:v>
                </c:pt>
                <c:pt idx="1">
                  <c:v>98.79</c:v>
                </c:pt>
                <c:pt idx="2">
                  <c:v>52.63</c:v>
                </c:pt>
                <c:pt idx="3">
                  <c:v>46.31</c:v>
                </c:pt>
                <c:pt idx="5">
                  <c:v>163.69999999999999</c:v>
                </c:pt>
                <c:pt idx="6">
                  <c:v>181.62</c:v>
                </c:pt>
                <c:pt idx="7">
                  <c:v>137.38</c:v>
                </c:pt>
                <c:pt idx="8">
                  <c:v>218.34</c:v>
                </c:pt>
                <c:pt idx="9">
                  <c:v>257.7</c:v>
                </c:pt>
                <c:pt idx="10">
                  <c:v>187.54</c:v>
                </c:pt>
                <c:pt idx="11">
                  <c:v>222.75</c:v>
                </c:pt>
                <c:pt idx="12">
                  <c:v>244.84</c:v>
                </c:pt>
                <c:pt idx="13">
                  <c:v>152.51</c:v>
                </c:pt>
                <c:pt idx="14">
                  <c:v>185.62</c:v>
                </c:pt>
                <c:pt idx="15">
                  <c:v>159.63</c:v>
                </c:pt>
                <c:pt idx="16">
                  <c:v>269.58</c:v>
                </c:pt>
                <c:pt idx="17">
                  <c:v>214.02</c:v>
                </c:pt>
                <c:pt idx="18">
                  <c:v>288.24</c:v>
                </c:pt>
                <c:pt idx="19">
                  <c:v>239.3</c:v>
                </c:pt>
                <c:pt idx="20">
                  <c:v>167.58</c:v>
                </c:pt>
                <c:pt idx="21">
                  <c:v>71.010000000000005</c:v>
                </c:pt>
                <c:pt idx="22">
                  <c:v>212.04</c:v>
                </c:pt>
                <c:pt idx="23">
                  <c:v>277.55</c:v>
                </c:pt>
                <c:pt idx="24">
                  <c:v>220.8</c:v>
                </c:pt>
                <c:pt idx="25">
                  <c:v>148.15</c:v>
                </c:pt>
                <c:pt idx="26">
                  <c:v>204.71</c:v>
                </c:pt>
                <c:pt idx="27">
                  <c:v>228.57</c:v>
                </c:pt>
                <c:pt idx="28">
                  <c:v>94.08</c:v>
                </c:pt>
                <c:pt idx="29">
                  <c:v>125.43</c:v>
                </c:pt>
                <c:pt idx="32">
                  <c:v>60.75</c:v>
                </c:pt>
                <c:pt idx="33">
                  <c:v>69.23</c:v>
                </c:pt>
                <c:pt idx="34">
                  <c:v>28.37</c:v>
                </c:pt>
                <c:pt idx="35">
                  <c:v>69.19</c:v>
                </c:pt>
                <c:pt idx="36">
                  <c:v>218.92</c:v>
                </c:pt>
                <c:pt idx="37">
                  <c:v>192.37</c:v>
                </c:pt>
                <c:pt idx="38">
                  <c:v>213.73</c:v>
                </c:pt>
                <c:pt idx="39">
                  <c:v>84.68</c:v>
                </c:pt>
                <c:pt idx="40">
                  <c:v>226.12</c:v>
                </c:pt>
                <c:pt idx="42">
                  <c:v>40.51</c:v>
                </c:pt>
                <c:pt idx="43">
                  <c:v>143.24</c:v>
                </c:pt>
                <c:pt idx="44">
                  <c:v>38.47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2-4EC7-9A7E-DA240AF2C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297952"/>
        <c:axId val="781300472"/>
      </c:barChart>
      <c:catAx>
        <c:axId val="78129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1300472"/>
        <c:crosses val="autoZero"/>
        <c:auto val="1"/>
        <c:lblAlgn val="ctr"/>
        <c:lblOffset val="100"/>
        <c:noMultiLvlLbl val="0"/>
      </c:catAx>
      <c:valAx>
        <c:axId val="7813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129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по уборке (горошек овощной) 06.07.2026.xlsx]Показатели по полям 2026!Сводная таблица1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'Показатели по полям 2026'!$B$10</c:f>
              <c:strCache>
                <c:ptCount val="1"/>
                <c:pt idx="0">
                  <c:v>Степень зрелости (финометр),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2026'!$A$11:$A$36</c:f>
              <c:multiLvlStrCache>
                <c:ptCount val="15"/>
                <c:lvl>
                  <c:pt idx="0">
                    <c:v>14.06.2026</c:v>
                  </c:pt>
                  <c:pt idx="1">
                    <c:v>15.06.2026</c:v>
                  </c:pt>
                  <c:pt idx="2">
                    <c:v>10.06.2026</c:v>
                  </c:pt>
                  <c:pt idx="3">
                    <c:v>10.06.2026</c:v>
                  </c:pt>
                  <c:pt idx="4">
                    <c:v>04.06.2026</c:v>
                  </c:pt>
                  <c:pt idx="5">
                    <c:v>07.06.2026</c:v>
                  </c:pt>
                  <c:pt idx="6">
                    <c:v>08.06.2026</c:v>
                  </c:pt>
                  <c:pt idx="7">
                    <c:v>09.06.2026</c:v>
                  </c:pt>
                  <c:pt idx="8">
                    <c:v>10.06.2026</c:v>
                  </c:pt>
                  <c:pt idx="9">
                    <c:v>11.06.2026</c:v>
                  </c:pt>
                  <c:pt idx="10">
                    <c:v>12.06.2026</c:v>
                  </c:pt>
                  <c:pt idx="11">
                    <c:v>13.06.2026</c:v>
                  </c:pt>
                  <c:pt idx="12">
                    <c:v>12.06.2026</c:v>
                  </c:pt>
                  <c:pt idx="13">
                    <c:v>14.06.2026</c:v>
                  </c:pt>
                  <c:pt idx="14">
                    <c:v>15.06.2026</c:v>
                  </c:pt>
                </c:lvl>
                <c:lvl>
                  <c:pt idx="0">
                    <c:v>А-105/1</c:v>
                  </c:pt>
                  <c:pt idx="2">
                    <c:v>А-111/1</c:v>
                  </c:pt>
                  <c:pt idx="3">
                    <c:v>А-112/1</c:v>
                  </c:pt>
                  <c:pt idx="4">
                    <c:v>А-3</c:v>
                  </c:pt>
                  <c:pt idx="8">
                    <c:v>А-38</c:v>
                  </c:pt>
                  <c:pt idx="9">
                    <c:v>А-5/1</c:v>
                  </c:pt>
                  <c:pt idx="10">
                    <c:v>А-76/3</c:v>
                  </c:pt>
                  <c:pt idx="12">
                    <c:v>А-76/5</c:v>
                  </c:pt>
                  <c:pt idx="13">
                    <c:v>А-83/2</c:v>
                  </c:pt>
                </c:lvl>
                <c:lvl>
                  <c:pt idx="0">
                    <c:v>Авола</c:v>
                  </c:pt>
                </c:lvl>
              </c:multiLvlStrCache>
            </c:multiLvlStrRef>
          </c:cat>
          <c:val>
            <c:numRef>
              <c:f>'Показатели по полям 2026'!$B$11:$B$36</c:f>
              <c:numCache>
                <c:formatCode>#,##0</c:formatCode>
                <c:ptCount val="15"/>
                <c:pt idx="0">
                  <c:v>57.833333333333336</c:v>
                </c:pt>
                <c:pt idx="1">
                  <c:v>61.058823529411768</c:v>
                </c:pt>
                <c:pt idx="2">
                  <c:v>55.5</c:v>
                </c:pt>
                <c:pt idx="3">
                  <c:v>63</c:v>
                </c:pt>
                <c:pt idx="4">
                  <c:v>42</c:v>
                </c:pt>
                <c:pt idx="5">
                  <c:v>50.428571428571431</c:v>
                </c:pt>
                <c:pt idx="6">
                  <c:v>49.55</c:v>
                </c:pt>
                <c:pt idx="7">
                  <c:v>49.333333333333336</c:v>
                </c:pt>
                <c:pt idx="8">
                  <c:v>55.272727272727273</c:v>
                </c:pt>
                <c:pt idx="9">
                  <c:v>63.636363636363633</c:v>
                </c:pt>
                <c:pt idx="10">
                  <c:v>48.75</c:v>
                </c:pt>
                <c:pt idx="11">
                  <c:v>60.833333333333336</c:v>
                </c:pt>
                <c:pt idx="12">
                  <c:v>67.833333333333329</c:v>
                </c:pt>
                <c:pt idx="13">
                  <c:v>63.888888888888886</c:v>
                </c:pt>
                <c:pt idx="14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C6-4EBE-93F6-519EADFC91EC}"/>
            </c:ext>
          </c:extLst>
        </c:ser>
        <c:ser>
          <c:idx val="2"/>
          <c:order val="2"/>
          <c:tx>
            <c:strRef>
              <c:f>'Показатели по полям 2026'!$D$10</c:f>
              <c:strCache>
                <c:ptCount val="1"/>
                <c:pt idx="0">
                  <c:v> Урожайность вал.вес, т/га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'Показатели по полям 2026'!$A$11:$A$36</c:f>
              <c:multiLvlStrCache>
                <c:ptCount val="15"/>
                <c:lvl>
                  <c:pt idx="0">
                    <c:v>14.06.2026</c:v>
                  </c:pt>
                  <c:pt idx="1">
                    <c:v>15.06.2026</c:v>
                  </c:pt>
                  <c:pt idx="2">
                    <c:v>10.06.2026</c:v>
                  </c:pt>
                  <c:pt idx="3">
                    <c:v>10.06.2026</c:v>
                  </c:pt>
                  <c:pt idx="4">
                    <c:v>04.06.2026</c:v>
                  </c:pt>
                  <c:pt idx="5">
                    <c:v>07.06.2026</c:v>
                  </c:pt>
                  <c:pt idx="6">
                    <c:v>08.06.2026</c:v>
                  </c:pt>
                  <c:pt idx="7">
                    <c:v>09.06.2026</c:v>
                  </c:pt>
                  <c:pt idx="8">
                    <c:v>10.06.2026</c:v>
                  </c:pt>
                  <c:pt idx="9">
                    <c:v>11.06.2026</c:v>
                  </c:pt>
                  <c:pt idx="10">
                    <c:v>12.06.2026</c:v>
                  </c:pt>
                  <c:pt idx="11">
                    <c:v>13.06.2026</c:v>
                  </c:pt>
                  <c:pt idx="12">
                    <c:v>12.06.2026</c:v>
                  </c:pt>
                  <c:pt idx="13">
                    <c:v>14.06.2026</c:v>
                  </c:pt>
                  <c:pt idx="14">
                    <c:v>15.06.2026</c:v>
                  </c:pt>
                </c:lvl>
                <c:lvl>
                  <c:pt idx="0">
                    <c:v>А-105/1</c:v>
                  </c:pt>
                  <c:pt idx="2">
                    <c:v>А-111/1</c:v>
                  </c:pt>
                  <c:pt idx="3">
                    <c:v>А-112/1</c:v>
                  </c:pt>
                  <c:pt idx="4">
                    <c:v>А-3</c:v>
                  </c:pt>
                  <c:pt idx="8">
                    <c:v>А-38</c:v>
                  </c:pt>
                  <c:pt idx="9">
                    <c:v>А-5/1</c:v>
                  </c:pt>
                  <c:pt idx="10">
                    <c:v>А-76/3</c:v>
                  </c:pt>
                  <c:pt idx="12">
                    <c:v>А-76/5</c:v>
                  </c:pt>
                  <c:pt idx="13">
                    <c:v>А-83/2</c:v>
                  </c:pt>
                </c:lvl>
                <c:lvl>
                  <c:pt idx="0">
                    <c:v>Авола</c:v>
                  </c:pt>
                </c:lvl>
              </c:multiLvlStrCache>
            </c:multiLvlStrRef>
          </c:cat>
          <c:val>
            <c:numRef>
              <c:f>'Показатели по полям 2026'!$D$11:$D$36</c:f>
              <c:numCache>
                <c:formatCode>#\ ##0.0</c:formatCode>
                <c:ptCount val="15"/>
                <c:pt idx="0">
                  <c:v>7.6466666666666674</c:v>
                </c:pt>
                <c:pt idx="1">
                  <c:v>4.4806593406593409</c:v>
                </c:pt>
                <c:pt idx="2">
                  <c:v>5.71</c:v>
                </c:pt>
                <c:pt idx="3">
                  <c:v>4.43</c:v>
                </c:pt>
                <c:pt idx="4">
                  <c:v>3.06</c:v>
                </c:pt>
                <c:pt idx="5">
                  <c:v>5.3643333333333327</c:v>
                </c:pt>
                <c:pt idx="6">
                  <c:v>6.0121951219512173</c:v>
                </c:pt>
                <c:pt idx="7">
                  <c:v>5.583333333333333</c:v>
                </c:pt>
                <c:pt idx="8">
                  <c:v>7.7028947368421044</c:v>
                </c:pt>
                <c:pt idx="9">
                  <c:v>5.3138461538461543</c:v>
                </c:pt>
                <c:pt idx="10">
                  <c:v>6.754666666666667</c:v>
                </c:pt>
                <c:pt idx="11">
                  <c:v>8.0815384615384609</c:v>
                </c:pt>
                <c:pt idx="12">
                  <c:v>5.0707142857142857</c:v>
                </c:pt>
                <c:pt idx="13">
                  <c:v>6.1414285714285697</c:v>
                </c:pt>
                <c:pt idx="14">
                  <c:v>4.1676470588235288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4C6-4EBE-93F6-519EADFC9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66424384"/>
        <c:axId val="1266424024"/>
      </c:barChart>
      <c:barChart>
        <c:barDir val="col"/>
        <c:grouping val="clustered"/>
        <c:varyColors val="0"/>
        <c:ser>
          <c:idx val="1"/>
          <c:order val="1"/>
          <c:tx>
            <c:strRef>
              <c:f>'Показатели по полям 2026'!$C$10</c:f>
              <c:strCache>
                <c:ptCount val="1"/>
                <c:pt idx="0">
                  <c:v> Валовый сбор, т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2026'!$A$11:$A$36</c:f>
              <c:multiLvlStrCache>
                <c:ptCount val="15"/>
                <c:lvl>
                  <c:pt idx="0">
                    <c:v>14.06.2026</c:v>
                  </c:pt>
                  <c:pt idx="1">
                    <c:v>15.06.2026</c:v>
                  </c:pt>
                  <c:pt idx="2">
                    <c:v>10.06.2026</c:v>
                  </c:pt>
                  <c:pt idx="3">
                    <c:v>10.06.2026</c:v>
                  </c:pt>
                  <c:pt idx="4">
                    <c:v>04.06.2026</c:v>
                  </c:pt>
                  <c:pt idx="5">
                    <c:v>07.06.2026</c:v>
                  </c:pt>
                  <c:pt idx="6">
                    <c:v>08.06.2026</c:v>
                  </c:pt>
                  <c:pt idx="7">
                    <c:v>09.06.2026</c:v>
                  </c:pt>
                  <c:pt idx="8">
                    <c:v>10.06.2026</c:v>
                  </c:pt>
                  <c:pt idx="9">
                    <c:v>11.06.2026</c:v>
                  </c:pt>
                  <c:pt idx="10">
                    <c:v>12.06.2026</c:v>
                  </c:pt>
                  <c:pt idx="11">
                    <c:v>13.06.2026</c:v>
                  </c:pt>
                  <c:pt idx="12">
                    <c:v>12.06.2026</c:v>
                  </c:pt>
                  <c:pt idx="13">
                    <c:v>14.06.2026</c:v>
                  </c:pt>
                  <c:pt idx="14">
                    <c:v>15.06.2026</c:v>
                  </c:pt>
                </c:lvl>
                <c:lvl>
                  <c:pt idx="0">
                    <c:v>А-105/1</c:v>
                  </c:pt>
                  <c:pt idx="2">
                    <c:v>А-111/1</c:v>
                  </c:pt>
                  <c:pt idx="3">
                    <c:v>А-112/1</c:v>
                  </c:pt>
                  <c:pt idx="4">
                    <c:v>А-3</c:v>
                  </c:pt>
                  <c:pt idx="8">
                    <c:v>А-38</c:v>
                  </c:pt>
                  <c:pt idx="9">
                    <c:v>А-5/1</c:v>
                  </c:pt>
                  <c:pt idx="10">
                    <c:v>А-76/3</c:v>
                  </c:pt>
                  <c:pt idx="12">
                    <c:v>А-76/5</c:v>
                  </c:pt>
                  <c:pt idx="13">
                    <c:v>А-83/2</c:v>
                  </c:pt>
                </c:lvl>
                <c:lvl>
                  <c:pt idx="0">
                    <c:v>Авола</c:v>
                  </c:pt>
                </c:lvl>
              </c:multiLvlStrCache>
            </c:multiLvlStrRef>
          </c:cat>
          <c:val>
            <c:numRef>
              <c:f>'Показатели по полям 2026'!$C$11:$C$36</c:f>
              <c:numCache>
                <c:formatCode>#,##0</c:formatCode>
                <c:ptCount val="15"/>
                <c:pt idx="0">
                  <c:v>68.819999999999993</c:v>
                </c:pt>
                <c:pt idx="1">
                  <c:v>203.87</c:v>
                </c:pt>
                <c:pt idx="2">
                  <c:v>11.42</c:v>
                </c:pt>
                <c:pt idx="3">
                  <c:v>4.43</c:v>
                </c:pt>
                <c:pt idx="4">
                  <c:v>6.12</c:v>
                </c:pt>
                <c:pt idx="5">
                  <c:v>160.93</c:v>
                </c:pt>
                <c:pt idx="6">
                  <c:v>246.5</c:v>
                </c:pt>
                <c:pt idx="7">
                  <c:v>33.5</c:v>
                </c:pt>
                <c:pt idx="8">
                  <c:v>292.70999999999998</c:v>
                </c:pt>
                <c:pt idx="9">
                  <c:v>138.16</c:v>
                </c:pt>
                <c:pt idx="10">
                  <c:v>101.32</c:v>
                </c:pt>
                <c:pt idx="11">
                  <c:v>210.12</c:v>
                </c:pt>
                <c:pt idx="12">
                  <c:v>70.989999999999995</c:v>
                </c:pt>
                <c:pt idx="13">
                  <c:v>214.95</c:v>
                </c:pt>
                <c:pt idx="14">
                  <c:v>70.849999999999994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C6-4EBE-93F6-519EADFC9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66431224"/>
        <c:axId val="1266428704"/>
      </c:barChart>
      <c:catAx>
        <c:axId val="126642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6424024"/>
        <c:crosses val="autoZero"/>
        <c:auto val="1"/>
        <c:lblAlgn val="ctr"/>
        <c:lblOffset val="100"/>
        <c:noMultiLvlLbl val="0"/>
      </c:catAx>
      <c:valAx>
        <c:axId val="126642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Финометр,%</a:t>
                </a:r>
              </a:p>
            </c:rich>
          </c:tx>
          <c:layout>
            <c:manualLayout>
              <c:xMode val="edge"/>
              <c:yMode val="edge"/>
              <c:x val="8.1748070324715705E-2"/>
              <c:y val="0.31208870319781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6424384"/>
        <c:crosses val="autoZero"/>
        <c:crossBetween val="between"/>
      </c:valAx>
      <c:valAx>
        <c:axId val="12664287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Валовый сбор, тонны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6431224"/>
        <c:crosses val="max"/>
        <c:crossBetween val="between"/>
      </c:valAx>
      <c:catAx>
        <c:axId val="126643122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 уборки / Поле / Сорт / Показатели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crossAx val="126642870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по уборке (горошек овощной) 06.07.2026.xlsx]Показатели по полям 2026!Сводная таблица2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'Показатели по полям 2026'!$G$45</c:f>
              <c:strCache>
                <c:ptCount val="1"/>
                <c:pt idx="0">
                  <c:v>Степень зрелости (финометр),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2026'!$F$46:$F$64</c:f>
              <c:multiLvlStrCache>
                <c:ptCount val="12"/>
                <c:lvl>
                  <c:pt idx="0">
                    <c:v>19.06.2026</c:v>
                  </c:pt>
                  <c:pt idx="1">
                    <c:v>23.06.2026</c:v>
                  </c:pt>
                  <c:pt idx="2">
                    <c:v>24.06.2026</c:v>
                  </c:pt>
                  <c:pt idx="3">
                    <c:v>18.06.2026</c:v>
                  </c:pt>
                  <c:pt idx="4">
                    <c:v>18.06.2026</c:v>
                  </c:pt>
                  <c:pt idx="5">
                    <c:v>19.06.2026</c:v>
                  </c:pt>
                  <c:pt idx="6">
                    <c:v>20.06.2026</c:v>
                  </c:pt>
                  <c:pt idx="7">
                    <c:v>21.06.2026</c:v>
                  </c:pt>
                  <c:pt idx="8">
                    <c:v>22.06.2026</c:v>
                  </c:pt>
                  <c:pt idx="9">
                    <c:v>23.06.2026</c:v>
                  </c:pt>
                  <c:pt idx="10">
                    <c:v>24.06.2026</c:v>
                  </c:pt>
                  <c:pt idx="11">
                    <c:v>22.06.2026</c:v>
                  </c:pt>
                </c:lvl>
                <c:lvl>
                  <c:pt idx="0">
                    <c:v>12 Агролидер</c:v>
                  </c:pt>
                  <c:pt idx="3">
                    <c:v>А-105/1</c:v>
                  </c:pt>
                  <c:pt idx="4">
                    <c:v>А-114</c:v>
                  </c:pt>
                  <c:pt idx="5">
                    <c:v>А-54</c:v>
                  </c:pt>
                  <c:pt idx="11">
                    <c:v>А-82/1</c:v>
                  </c:pt>
                </c:lvl>
                <c:lvl>
                  <c:pt idx="0">
                    <c:v>Женева</c:v>
                  </c:pt>
                </c:lvl>
              </c:multiLvlStrCache>
            </c:multiLvlStrRef>
          </c:cat>
          <c:val>
            <c:numRef>
              <c:f>'Показатели по полям 2026'!$G$46:$G$64</c:f>
              <c:numCache>
                <c:formatCode>#,##0</c:formatCode>
                <c:ptCount val="12"/>
                <c:pt idx="0">
                  <c:v>44</c:v>
                </c:pt>
                <c:pt idx="1">
                  <c:v>54.18181818181818</c:v>
                </c:pt>
                <c:pt idx="2">
                  <c:v>63.2</c:v>
                </c:pt>
                <c:pt idx="3">
                  <c:v>57</c:v>
                </c:pt>
                <c:pt idx="4">
                  <c:v>49.5</c:v>
                </c:pt>
                <c:pt idx="5">
                  <c:v>42</c:v>
                </c:pt>
                <c:pt idx="6">
                  <c:v>47</c:v>
                </c:pt>
                <c:pt idx="7">
                  <c:v>52.571428571428569</c:v>
                </c:pt>
                <c:pt idx="8">
                  <c:v>51.285714285714285</c:v>
                </c:pt>
                <c:pt idx="9">
                  <c:v>58.9</c:v>
                </c:pt>
                <c:pt idx="10">
                  <c:v>66</c:v>
                </c:pt>
                <c:pt idx="1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2-48BD-9252-AC941C260EF9}"/>
            </c:ext>
          </c:extLst>
        </c:ser>
        <c:ser>
          <c:idx val="2"/>
          <c:order val="2"/>
          <c:tx>
            <c:strRef>
              <c:f>'Показатели по полям 2026'!$I$45</c:f>
              <c:strCache>
                <c:ptCount val="1"/>
                <c:pt idx="0">
                  <c:v> Урожайность вал.вес, т/га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'Показатели по полям 2026'!$F$46:$F$64</c:f>
              <c:multiLvlStrCache>
                <c:ptCount val="12"/>
                <c:lvl>
                  <c:pt idx="0">
                    <c:v>19.06.2026</c:v>
                  </c:pt>
                  <c:pt idx="1">
                    <c:v>23.06.2026</c:v>
                  </c:pt>
                  <c:pt idx="2">
                    <c:v>24.06.2026</c:v>
                  </c:pt>
                  <c:pt idx="3">
                    <c:v>18.06.2026</c:v>
                  </c:pt>
                  <c:pt idx="4">
                    <c:v>18.06.2026</c:v>
                  </c:pt>
                  <c:pt idx="5">
                    <c:v>19.06.2026</c:v>
                  </c:pt>
                  <c:pt idx="6">
                    <c:v>20.06.2026</c:v>
                  </c:pt>
                  <c:pt idx="7">
                    <c:v>21.06.2026</c:v>
                  </c:pt>
                  <c:pt idx="8">
                    <c:v>22.06.2026</c:v>
                  </c:pt>
                  <c:pt idx="9">
                    <c:v>23.06.2026</c:v>
                  </c:pt>
                  <c:pt idx="10">
                    <c:v>24.06.2026</c:v>
                  </c:pt>
                  <c:pt idx="11">
                    <c:v>22.06.2026</c:v>
                  </c:pt>
                </c:lvl>
                <c:lvl>
                  <c:pt idx="0">
                    <c:v>12 Агролидер</c:v>
                  </c:pt>
                  <c:pt idx="3">
                    <c:v>А-105/1</c:v>
                  </c:pt>
                  <c:pt idx="4">
                    <c:v>А-114</c:v>
                  </c:pt>
                  <c:pt idx="5">
                    <c:v>А-54</c:v>
                  </c:pt>
                  <c:pt idx="11">
                    <c:v>А-82/1</c:v>
                  </c:pt>
                </c:lvl>
                <c:lvl>
                  <c:pt idx="0">
                    <c:v>Женева</c:v>
                  </c:pt>
                </c:lvl>
              </c:multiLvlStrCache>
            </c:multiLvlStrRef>
          </c:cat>
          <c:val>
            <c:numRef>
              <c:f>'Показатели по полям 2026'!$I$46:$I$64</c:f>
              <c:numCache>
                <c:formatCode>#\ ##0.0</c:formatCode>
                <c:ptCount val="12"/>
                <c:pt idx="0">
                  <c:v>4.49</c:v>
                </c:pt>
                <c:pt idx="1">
                  <c:v>4.8362459546925569</c:v>
                </c:pt>
                <c:pt idx="2">
                  <c:v>4.834507042253521</c:v>
                </c:pt>
                <c:pt idx="3">
                  <c:v>3.7533333333333334</c:v>
                </c:pt>
                <c:pt idx="4">
                  <c:v>5.64</c:v>
                </c:pt>
                <c:pt idx="5">
                  <c:v>4.59</c:v>
                </c:pt>
                <c:pt idx="6">
                  <c:v>4.7</c:v>
                </c:pt>
                <c:pt idx="7">
                  <c:v>5.1348258706467647</c:v>
                </c:pt>
                <c:pt idx="8">
                  <c:v>6.5525000000000002</c:v>
                </c:pt>
                <c:pt idx="9">
                  <c:v>4.6527397260273968</c:v>
                </c:pt>
                <c:pt idx="10">
                  <c:v>3.665</c:v>
                </c:pt>
                <c:pt idx="11">
                  <c:v>2.3050000000000002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C2-48BD-9252-AC941C260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91371888"/>
        <c:axId val="1191376208"/>
      </c:barChart>
      <c:barChart>
        <c:barDir val="col"/>
        <c:grouping val="clustered"/>
        <c:varyColors val="0"/>
        <c:ser>
          <c:idx val="1"/>
          <c:order val="1"/>
          <c:tx>
            <c:strRef>
              <c:f>'Показатели по полям 2026'!$H$45</c:f>
              <c:strCache>
                <c:ptCount val="1"/>
                <c:pt idx="0">
                  <c:v> Валовый сбор, т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2026'!$F$46:$F$64</c:f>
              <c:multiLvlStrCache>
                <c:ptCount val="12"/>
                <c:lvl>
                  <c:pt idx="0">
                    <c:v>19.06.2026</c:v>
                  </c:pt>
                  <c:pt idx="1">
                    <c:v>23.06.2026</c:v>
                  </c:pt>
                  <c:pt idx="2">
                    <c:v>24.06.2026</c:v>
                  </c:pt>
                  <c:pt idx="3">
                    <c:v>18.06.2026</c:v>
                  </c:pt>
                  <c:pt idx="4">
                    <c:v>18.06.2026</c:v>
                  </c:pt>
                  <c:pt idx="5">
                    <c:v>19.06.2026</c:v>
                  </c:pt>
                  <c:pt idx="6">
                    <c:v>20.06.2026</c:v>
                  </c:pt>
                  <c:pt idx="7">
                    <c:v>21.06.2026</c:v>
                  </c:pt>
                  <c:pt idx="8">
                    <c:v>22.06.2026</c:v>
                  </c:pt>
                  <c:pt idx="9">
                    <c:v>23.06.2026</c:v>
                  </c:pt>
                  <c:pt idx="10">
                    <c:v>24.06.2026</c:v>
                  </c:pt>
                  <c:pt idx="11">
                    <c:v>22.06.2026</c:v>
                  </c:pt>
                </c:lvl>
                <c:lvl>
                  <c:pt idx="0">
                    <c:v>12 Агролидер</c:v>
                  </c:pt>
                  <c:pt idx="3">
                    <c:v>А-105/1</c:v>
                  </c:pt>
                  <c:pt idx="4">
                    <c:v>А-114</c:v>
                  </c:pt>
                  <c:pt idx="5">
                    <c:v>А-54</c:v>
                  </c:pt>
                  <c:pt idx="11">
                    <c:v>А-82/1</c:v>
                  </c:pt>
                </c:lvl>
                <c:lvl>
                  <c:pt idx="0">
                    <c:v>Женева</c:v>
                  </c:pt>
                </c:lvl>
              </c:multiLvlStrCache>
            </c:multiLvlStrRef>
          </c:cat>
          <c:val>
            <c:numRef>
              <c:f>'Показатели по полям 2026'!$H$46:$H$64</c:f>
              <c:numCache>
                <c:formatCode>#,##0</c:formatCode>
                <c:ptCount val="12"/>
                <c:pt idx="0">
                  <c:v>4.49</c:v>
                </c:pt>
                <c:pt idx="1">
                  <c:v>149.44</c:v>
                </c:pt>
                <c:pt idx="2">
                  <c:v>68.650000000000006</c:v>
                </c:pt>
                <c:pt idx="3">
                  <c:v>5.63</c:v>
                </c:pt>
                <c:pt idx="4">
                  <c:v>22.56</c:v>
                </c:pt>
                <c:pt idx="5">
                  <c:v>4.59</c:v>
                </c:pt>
                <c:pt idx="6">
                  <c:v>2.35</c:v>
                </c:pt>
                <c:pt idx="7">
                  <c:v>103.21</c:v>
                </c:pt>
                <c:pt idx="8">
                  <c:v>52.42</c:v>
                </c:pt>
                <c:pt idx="9">
                  <c:v>67.930000000000007</c:v>
                </c:pt>
                <c:pt idx="10">
                  <c:v>7.33</c:v>
                </c:pt>
                <c:pt idx="11">
                  <c:v>13.83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C2-48BD-9252-AC941C260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38658608"/>
        <c:axId val="438658248"/>
      </c:barChart>
      <c:catAx>
        <c:axId val="119137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1376208"/>
        <c:crosses val="autoZero"/>
        <c:auto val="1"/>
        <c:lblAlgn val="ctr"/>
        <c:lblOffset val="100"/>
        <c:noMultiLvlLbl val="0"/>
      </c:catAx>
      <c:valAx>
        <c:axId val="119137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Финометр,</a:t>
                </a:r>
                <a:r>
                  <a:rPr lang="ru-RU" baseline="0"/>
                  <a:t> %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8.6605980020970474E-2"/>
              <c:y val="0.292489027557897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1371888"/>
        <c:crosses val="autoZero"/>
        <c:crossBetween val="between"/>
      </c:valAx>
      <c:valAx>
        <c:axId val="4386582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Валовый сбор, тонны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8658608"/>
        <c:crosses val="max"/>
        <c:crossBetween val="between"/>
      </c:valAx>
      <c:catAx>
        <c:axId val="438658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86582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по уборке (горошек овощной) 06.07.2026.xlsx]Показатели по полям 2026!Сводная таблица3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'Показатели по полям 2026'!$L$75</c:f>
              <c:strCache>
                <c:ptCount val="1"/>
                <c:pt idx="0">
                  <c:v>Степень зрелости (финометр),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2026'!$K$76:$K$83</c:f>
              <c:multiLvlStrCache>
                <c:ptCount val="4"/>
                <c:lvl>
                  <c:pt idx="0">
                    <c:v>19.06.2026</c:v>
                  </c:pt>
                  <c:pt idx="1">
                    <c:v>26.06.2026</c:v>
                  </c:pt>
                  <c:pt idx="2">
                    <c:v>05.07.2026</c:v>
                  </c:pt>
                  <c:pt idx="3">
                    <c:v>06.07.2026</c:v>
                  </c:pt>
                </c:lvl>
                <c:lvl>
                  <c:pt idx="0">
                    <c:v>А-104/1</c:v>
                  </c:pt>
                  <c:pt idx="2">
                    <c:v>А-108/7</c:v>
                  </c:pt>
                </c:lvl>
                <c:lvl>
                  <c:pt idx="0">
                    <c:v>Патриот</c:v>
                  </c:pt>
                </c:lvl>
              </c:multiLvlStrCache>
            </c:multiLvlStrRef>
          </c:cat>
          <c:val>
            <c:numRef>
              <c:f>'Показатели по полям 2026'!$L$76:$L$83</c:f>
              <c:numCache>
                <c:formatCode>#,##0</c:formatCode>
                <c:ptCount val="4"/>
                <c:pt idx="0">
                  <c:v>51</c:v>
                </c:pt>
                <c:pt idx="1">
                  <c:v>64.400000000000006</c:v>
                </c:pt>
                <c:pt idx="2">
                  <c:v>63.833333333333336</c:v>
                </c:pt>
                <c:pt idx="3">
                  <c:v>57.625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B-413E-8103-1D1FAC1A446F}"/>
            </c:ext>
          </c:extLst>
        </c:ser>
        <c:ser>
          <c:idx val="2"/>
          <c:order val="2"/>
          <c:tx>
            <c:strRef>
              <c:f>'Показатели по полям 2026'!$N$75</c:f>
              <c:strCache>
                <c:ptCount val="1"/>
                <c:pt idx="0">
                  <c:v> Урожайность вал.вес, т/га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'Показатели по полям 2026'!$K$76:$K$83</c:f>
              <c:multiLvlStrCache>
                <c:ptCount val="4"/>
                <c:lvl>
                  <c:pt idx="0">
                    <c:v>19.06.2026</c:v>
                  </c:pt>
                  <c:pt idx="1">
                    <c:v>26.06.2026</c:v>
                  </c:pt>
                  <c:pt idx="2">
                    <c:v>05.07.2026</c:v>
                  </c:pt>
                  <c:pt idx="3">
                    <c:v>06.07.2026</c:v>
                  </c:pt>
                </c:lvl>
                <c:lvl>
                  <c:pt idx="0">
                    <c:v>А-104/1</c:v>
                  </c:pt>
                  <c:pt idx="2">
                    <c:v>А-108/7</c:v>
                  </c:pt>
                </c:lvl>
                <c:lvl>
                  <c:pt idx="0">
                    <c:v>Патриот</c:v>
                  </c:pt>
                </c:lvl>
              </c:multiLvlStrCache>
            </c:multiLvlStrRef>
          </c:cat>
          <c:val>
            <c:numRef>
              <c:f>'Показатели по полям 2026'!$N$76:$N$83</c:f>
              <c:numCache>
                <c:formatCode>#\ ##0.0</c:formatCode>
                <c:ptCount val="4"/>
                <c:pt idx="0">
                  <c:v>3.2067346938775514</c:v>
                </c:pt>
                <c:pt idx="1">
                  <c:v>3.2067346938775509</c:v>
                </c:pt>
                <c:pt idx="2">
                  <c:v>3.1464646464646462</c:v>
                </c:pt>
                <c:pt idx="3">
                  <c:v>3.3828671328671325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0B-413E-8103-1D1FAC1A4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0480016"/>
        <c:axId val="1420480736"/>
      </c:barChart>
      <c:barChart>
        <c:barDir val="col"/>
        <c:grouping val="clustered"/>
        <c:varyColors val="0"/>
        <c:ser>
          <c:idx val="1"/>
          <c:order val="1"/>
          <c:tx>
            <c:strRef>
              <c:f>'Показатели по полям 2026'!$M$75</c:f>
              <c:strCache>
                <c:ptCount val="1"/>
                <c:pt idx="0">
                  <c:v> Валовый сбор, т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2026'!$K$76:$K$83</c:f>
              <c:multiLvlStrCache>
                <c:ptCount val="4"/>
                <c:lvl>
                  <c:pt idx="0">
                    <c:v>19.06.2026</c:v>
                  </c:pt>
                  <c:pt idx="1">
                    <c:v>26.06.2026</c:v>
                  </c:pt>
                  <c:pt idx="2">
                    <c:v>05.07.2026</c:v>
                  </c:pt>
                  <c:pt idx="3">
                    <c:v>06.07.2026</c:v>
                  </c:pt>
                </c:lvl>
                <c:lvl>
                  <c:pt idx="0">
                    <c:v>А-104/1</c:v>
                  </c:pt>
                  <c:pt idx="2">
                    <c:v>А-108/7</c:v>
                  </c:pt>
                </c:lvl>
                <c:lvl>
                  <c:pt idx="0">
                    <c:v>Патриот</c:v>
                  </c:pt>
                </c:lvl>
              </c:multiLvlStrCache>
            </c:multiLvlStrRef>
          </c:cat>
          <c:val>
            <c:numRef>
              <c:f>'Показатели по полям 2026'!$M$76:$M$83</c:f>
              <c:numCache>
                <c:formatCode>#,##0</c:formatCode>
                <c:ptCount val="4"/>
                <c:pt idx="0">
                  <c:v>10.7</c:v>
                </c:pt>
                <c:pt idx="1">
                  <c:v>21.24</c:v>
                </c:pt>
                <c:pt idx="2">
                  <c:v>62.3</c:v>
                </c:pt>
                <c:pt idx="3">
                  <c:v>193.5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0B-413E-8103-1D1FAC1A4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3850192"/>
        <c:axId val="633852712"/>
      </c:barChart>
      <c:catAx>
        <c:axId val="142048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0480736"/>
        <c:crosses val="autoZero"/>
        <c:auto val="1"/>
        <c:lblAlgn val="ctr"/>
        <c:lblOffset val="100"/>
        <c:noMultiLvlLbl val="0"/>
      </c:catAx>
      <c:valAx>
        <c:axId val="14204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Финометр,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0480016"/>
        <c:crosses val="autoZero"/>
        <c:crossBetween val="between"/>
      </c:valAx>
      <c:valAx>
        <c:axId val="6338527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Валовый сбор, тонны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3850192"/>
        <c:crosses val="max"/>
        <c:crossBetween val="between"/>
      </c:valAx>
      <c:catAx>
        <c:axId val="633850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38527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по уборке (горошек овощной) 06.07.2026.xlsx]Показатели по полям 2026!Сводная таблица4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'Показатели по полям 2026'!$Q$103</c:f>
              <c:strCache>
                <c:ptCount val="1"/>
                <c:pt idx="0">
                  <c:v>Степень зрелости (финометр),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2026'!$P$104:$P$112</c:f>
              <c:multiLvlStrCache>
                <c:ptCount val="5"/>
                <c:lvl>
                  <c:pt idx="0">
                    <c:v>06.06.2026</c:v>
                  </c:pt>
                  <c:pt idx="1">
                    <c:v>03.06.2026</c:v>
                  </c:pt>
                  <c:pt idx="2">
                    <c:v>04.06.2026</c:v>
                  </c:pt>
                  <c:pt idx="3">
                    <c:v>06.06.2026</c:v>
                  </c:pt>
                  <c:pt idx="4">
                    <c:v>07.06.2026</c:v>
                  </c:pt>
                </c:lvl>
                <c:lvl>
                  <c:pt idx="0">
                    <c:v>А-22/1</c:v>
                  </c:pt>
                  <c:pt idx="1">
                    <c:v>А-4/1</c:v>
                  </c:pt>
                </c:lvl>
                <c:lvl>
                  <c:pt idx="0">
                    <c:v>Тиара</c:v>
                  </c:pt>
                </c:lvl>
              </c:multiLvlStrCache>
            </c:multiLvlStrRef>
          </c:cat>
          <c:val>
            <c:numRef>
              <c:f>'Показатели по полям 2026'!$Q$104:$Q$112</c:f>
              <c:numCache>
                <c:formatCode>#,##0</c:formatCode>
                <c:ptCount val="5"/>
                <c:pt idx="0">
                  <c:v>52</c:v>
                </c:pt>
                <c:pt idx="1">
                  <c:v>52.285714285714285</c:v>
                </c:pt>
                <c:pt idx="2">
                  <c:v>53.25</c:v>
                </c:pt>
                <c:pt idx="3">
                  <c:v>47.428571428571431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E-4C67-A08E-B20042C25951}"/>
            </c:ext>
          </c:extLst>
        </c:ser>
        <c:ser>
          <c:idx val="2"/>
          <c:order val="2"/>
          <c:tx>
            <c:strRef>
              <c:f>'Показатели по полям 2026'!$S$103</c:f>
              <c:strCache>
                <c:ptCount val="1"/>
                <c:pt idx="0">
                  <c:v> Урожайность вал.вес, т/га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'Показатели по полям 2026'!$P$104:$P$112</c:f>
              <c:multiLvlStrCache>
                <c:ptCount val="5"/>
                <c:lvl>
                  <c:pt idx="0">
                    <c:v>06.06.2026</c:v>
                  </c:pt>
                  <c:pt idx="1">
                    <c:v>03.06.2026</c:v>
                  </c:pt>
                  <c:pt idx="2">
                    <c:v>04.06.2026</c:v>
                  </c:pt>
                  <c:pt idx="3">
                    <c:v>06.06.2026</c:v>
                  </c:pt>
                  <c:pt idx="4">
                    <c:v>07.06.2026</c:v>
                  </c:pt>
                </c:lvl>
                <c:lvl>
                  <c:pt idx="0">
                    <c:v>А-22/1</c:v>
                  </c:pt>
                  <c:pt idx="1">
                    <c:v>А-4/1</c:v>
                  </c:pt>
                </c:lvl>
                <c:lvl>
                  <c:pt idx="0">
                    <c:v>Тиара</c:v>
                  </c:pt>
                </c:lvl>
              </c:multiLvlStrCache>
            </c:multiLvlStrRef>
          </c:cat>
          <c:val>
            <c:numRef>
              <c:f>'Показатели по полям 2026'!$S$104:$S$112</c:f>
              <c:numCache>
                <c:formatCode>#\ ##0.0</c:formatCode>
                <c:ptCount val="5"/>
                <c:pt idx="0">
                  <c:v>4.93</c:v>
                </c:pt>
                <c:pt idx="1">
                  <c:v>5.3197222222222225</c:v>
                </c:pt>
                <c:pt idx="2">
                  <c:v>5.5625</c:v>
                </c:pt>
                <c:pt idx="3">
                  <c:v>5.8159523809523828</c:v>
                </c:pt>
                <c:pt idx="4">
                  <c:v>4.7215384615384615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CE-4C67-A08E-B20042C25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0481816"/>
        <c:axId val="1420473176"/>
      </c:barChart>
      <c:barChart>
        <c:barDir val="col"/>
        <c:grouping val="clustered"/>
        <c:varyColors val="0"/>
        <c:ser>
          <c:idx val="1"/>
          <c:order val="1"/>
          <c:tx>
            <c:strRef>
              <c:f>'Показатели по полям 2026'!$R$103</c:f>
              <c:strCache>
                <c:ptCount val="1"/>
                <c:pt idx="0">
                  <c:v> Валовый сбор, т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2026'!$P$104:$P$112</c:f>
              <c:multiLvlStrCache>
                <c:ptCount val="5"/>
                <c:lvl>
                  <c:pt idx="0">
                    <c:v>06.06.2026</c:v>
                  </c:pt>
                  <c:pt idx="1">
                    <c:v>03.06.2026</c:v>
                  </c:pt>
                  <c:pt idx="2">
                    <c:v>04.06.2026</c:v>
                  </c:pt>
                  <c:pt idx="3">
                    <c:v>06.06.2026</c:v>
                  </c:pt>
                  <c:pt idx="4">
                    <c:v>07.06.2026</c:v>
                  </c:pt>
                </c:lvl>
                <c:lvl>
                  <c:pt idx="0">
                    <c:v>А-22/1</c:v>
                  </c:pt>
                  <c:pt idx="1">
                    <c:v>А-4/1</c:v>
                  </c:pt>
                </c:lvl>
                <c:lvl>
                  <c:pt idx="0">
                    <c:v>Тиара</c:v>
                  </c:pt>
                </c:lvl>
              </c:multiLvlStrCache>
            </c:multiLvlStrRef>
          </c:cat>
          <c:val>
            <c:numRef>
              <c:f>'Показатели по полям 2026'!$R$104:$R$112</c:f>
              <c:numCache>
                <c:formatCode>#,##0</c:formatCode>
                <c:ptCount val="5"/>
                <c:pt idx="0">
                  <c:v>24.65</c:v>
                </c:pt>
                <c:pt idx="1">
                  <c:v>191.51</c:v>
                </c:pt>
                <c:pt idx="2">
                  <c:v>111.25</c:v>
                </c:pt>
                <c:pt idx="3">
                  <c:v>244.27</c:v>
                </c:pt>
                <c:pt idx="4">
                  <c:v>61.38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CE-4C67-A08E-B20042C25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6586112"/>
        <c:axId val="86585392"/>
      </c:barChart>
      <c:catAx>
        <c:axId val="1420481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0473176"/>
        <c:crosses val="autoZero"/>
        <c:auto val="1"/>
        <c:lblAlgn val="ctr"/>
        <c:lblOffset val="100"/>
        <c:noMultiLvlLbl val="0"/>
      </c:catAx>
      <c:valAx>
        <c:axId val="142047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Финометр,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0481816"/>
        <c:crosses val="autoZero"/>
        <c:crossBetween val="between"/>
      </c:valAx>
      <c:valAx>
        <c:axId val="865853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Валовый сбор, тонны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586112"/>
        <c:crosses val="max"/>
        <c:crossBetween val="between"/>
      </c:valAx>
      <c:catAx>
        <c:axId val="86586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5853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по уборке (горошек овощной) 06.07.2026.xlsx]Показатели по полям 2026!Сводная таблица5</c:name>
    <c:fmtId val="2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'Показатели по полям 2026'!$V$129</c:f>
              <c:strCache>
                <c:ptCount val="1"/>
                <c:pt idx="0">
                  <c:v>Степень зрелости (финометр),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2026'!$U$130:$U$166</c:f>
              <c:multiLvlStrCache>
                <c:ptCount val="26"/>
                <c:lvl>
                  <c:pt idx="0">
                    <c:v>19.06.2026</c:v>
                  </c:pt>
                  <c:pt idx="1">
                    <c:v>20.06.2026</c:v>
                  </c:pt>
                  <c:pt idx="2">
                    <c:v>22.06.2026</c:v>
                  </c:pt>
                  <c:pt idx="3">
                    <c:v>24.06.2026</c:v>
                  </c:pt>
                  <c:pt idx="4">
                    <c:v>25.06.2026</c:v>
                  </c:pt>
                  <c:pt idx="5">
                    <c:v>26.06.2026</c:v>
                  </c:pt>
                  <c:pt idx="6">
                    <c:v>27.06.2026</c:v>
                  </c:pt>
                  <c:pt idx="7">
                    <c:v>28.06.2026</c:v>
                  </c:pt>
                  <c:pt idx="8">
                    <c:v>20.06.2026</c:v>
                  </c:pt>
                  <c:pt idx="9">
                    <c:v>21.06.2026</c:v>
                  </c:pt>
                  <c:pt idx="10">
                    <c:v>22.06.2026</c:v>
                  </c:pt>
                  <c:pt idx="11">
                    <c:v>23.06.2026</c:v>
                  </c:pt>
                  <c:pt idx="12">
                    <c:v>25.06.2026</c:v>
                  </c:pt>
                  <c:pt idx="13">
                    <c:v>26.06.2026</c:v>
                  </c:pt>
                  <c:pt idx="14">
                    <c:v>27.06.2026</c:v>
                  </c:pt>
                  <c:pt idx="15">
                    <c:v>28.06.2026</c:v>
                  </c:pt>
                  <c:pt idx="16">
                    <c:v>16.06.2026</c:v>
                  </c:pt>
                  <c:pt idx="17">
                    <c:v>17.06.2026</c:v>
                  </c:pt>
                  <c:pt idx="18">
                    <c:v>17.06.2026</c:v>
                  </c:pt>
                  <c:pt idx="19">
                    <c:v>18.06.2026</c:v>
                  </c:pt>
                  <c:pt idx="20">
                    <c:v>19.06.2026</c:v>
                  </c:pt>
                  <c:pt idx="21">
                    <c:v>25.06.2026</c:v>
                  </c:pt>
                  <c:pt idx="22">
                    <c:v>16.06.2026</c:v>
                  </c:pt>
                  <c:pt idx="23">
                    <c:v>24.06.2026</c:v>
                  </c:pt>
                  <c:pt idx="24">
                    <c:v>25.06.2026</c:v>
                  </c:pt>
                  <c:pt idx="25">
                    <c:v>25.06.2026</c:v>
                  </c:pt>
                </c:lvl>
                <c:lvl>
                  <c:pt idx="0">
                    <c:v>12 Агролидер</c:v>
                  </c:pt>
                  <c:pt idx="3">
                    <c:v>17 Агролидер</c:v>
                  </c:pt>
                  <c:pt idx="8">
                    <c:v>18 Агролидер</c:v>
                  </c:pt>
                  <c:pt idx="16">
                    <c:v>А-112/1</c:v>
                  </c:pt>
                  <c:pt idx="17">
                    <c:v>А-112/2</c:v>
                  </c:pt>
                  <c:pt idx="18">
                    <c:v>А-115/1</c:v>
                  </c:pt>
                  <c:pt idx="21">
                    <c:v>А-54</c:v>
                  </c:pt>
                  <c:pt idx="22">
                    <c:v>А-54/4</c:v>
                  </c:pt>
                  <c:pt idx="25">
                    <c:v>А-81/1</c:v>
                  </c:pt>
                </c:lvl>
                <c:lvl>
                  <c:pt idx="0">
                    <c:v>Тристар</c:v>
                  </c:pt>
                </c:lvl>
              </c:multiLvlStrCache>
            </c:multiLvlStrRef>
          </c:cat>
          <c:val>
            <c:numRef>
              <c:f>'Показатели по полям 2026'!$V$130:$V$166</c:f>
              <c:numCache>
                <c:formatCode>#,##0</c:formatCode>
                <c:ptCount val="26"/>
                <c:pt idx="0">
                  <c:v>45</c:v>
                </c:pt>
                <c:pt idx="1">
                  <c:v>52.6</c:v>
                </c:pt>
                <c:pt idx="2">
                  <c:v>62</c:v>
                </c:pt>
                <c:pt idx="3">
                  <c:v>55.333333333333336</c:v>
                </c:pt>
                <c:pt idx="4">
                  <c:v>57.6</c:v>
                </c:pt>
                <c:pt idx="5">
                  <c:v>66</c:v>
                </c:pt>
                <c:pt idx="6">
                  <c:v>54.5</c:v>
                </c:pt>
                <c:pt idx="7">
                  <c:v>66</c:v>
                </c:pt>
                <c:pt idx="8">
                  <c:v>50</c:v>
                </c:pt>
                <c:pt idx="9">
                  <c:v>58.875</c:v>
                </c:pt>
                <c:pt idx="10">
                  <c:v>62.583333333333336</c:v>
                </c:pt>
                <c:pt idx="11">
                  <c:v>60.2</c:v>
                </c:pt>
                <c:pt idx="12">
                  <c:v>55</c:v>
                </c:pt>
                <c:pt idx="13">
                  <c:v>66.333333333333329</c:v>
                </c:pt>
                <c:pt idx="14">
                  <c:v>65.333333333333329</c:v>
                </c:pt>
                <c:pt idx="15">
                  <c:v>78</c:v>
                </c:pt>
                <c:pt idx="16">
                  <c:v>62.733333333333334</c:v>
                </c:pt>
                <c:pt idx="17">
                  <c:v>57.666666666666664</c:v>
                </c:pt>
                <c:pt idx="18">
                  <c:v>55</c:v>
                </c:pt>
                <c:pt idx="19">
                  <c:v>52.954545454545453</c:v>
                </c:pt>
                <c:pt idx="20">
                  <c:v>51</c:v>
                </c:pt>
                <c:pt idx="21">
                  <c:v>65</c:v>
                </c:pt>
                <c:pt idx="22">
                  <c:v>61</c:v>
                </c:pt>
                <c:pt idx="23">
                  <c:v>61.428571428571431</c:v>
                </c:pt>
                <c:pt idx="24">
                  <c:v>62</c:v>
                </c:pt>
                <c:pt idx="25">
                  <c:v>66.7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E-40A4-93C1-002DDA677A91}"/>
            </c:ext>
          </c:extLst>
        </c:ser>
        <c:ser>
          <c:idx val="2"/>
          <c:order val="2"/>
          <c:tx>
            <c:strRef>
              <c:f>'Показатели по полям 2026'!$X$129</c:f>
              <c:strCache>
                <c:ptCount val="1"/>
                <c:pt idx="0">
                  <c:v> Урожайность вал.вес, т/га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'Показатели по полям 2026'!$U$130:$U$166</c:f>
              <c:multiLvlStrCache>
                <c:ptCount val="26"/>
                <c:lvl>
                  <c:pt idx="0">
                    <c:v>19.06.2026</c:v>
                  </c:pt>
                  <c:pt idx="1">
                    <c:v>20.06.2026</c:v>
                  </c:pt>
                  <c:pt idx="2">
                    <c:v>22.06.2026</c:v>
                  </c:pt>
                  <c:pt idx="3">
                    <c:v>24.06.2026</c:v>
                  </c:pt>
                  <c:pt idx="4">
                    <c:v>25.06.2026</c:v>
                  </c:pt>
                  <c:pt idx="5">
                    <c:v>26.06.2026</c:v>
                  </c:pt>
                  <c:pt idx="6">
                    <c:v>27.06.2026</c:v>
                  </c:pt>
                  <c:pt idx="7">
                    <c:v>28.06.2026</c:v>
                  </c:pt>
                  <c:pt idx="8">
                    <c:v>20.06.2026</c:v>
                  </c:pt>
                  <c:pt idx="9">
                    <c:v>21.06.2026</c:v>
                  </c:pt>
                  <c:pt idx="10">
                    <c:v>22.06.2026</c:v>
                  </c:pt>
                  <c:pt idx="11">
                    <c:v>23.06.2026</c:v>
                  </c:pt>
                  <c:pt idx="12">
                    <c:v>25.06.2026</c:v>
                  </c:pt>
                  <c:pt idx="13">
                    <c:v>26.06.2026</c:v>
                  </c:pt>
                  <c:pt idx="14">
                    <c:v>27.06.2026</c:v>
                  </c:pt>
                  <c:pt idx="15">
                    <c:v>28.06.2026</c:v>
                  </c:pt>
                  <c:pt idx="16">
                    <c:v>16.06.2026</c:v>
                  </c:pt>
                  <c:pt idx="17">
                    <c:v>17.06.2026</c:v>
                  </c:pt>
                  <c:pt idx="18">
                    <c:v>17.06.2026</c:v>
                  </c:pt>
                  <c:pt idx="19">
                    <c:v>18.06.2026</c:v>
                  </c:pt>
                  <c:pt idx="20">
                    <c:v>19.06.2026</c:v>
                  </c:pt>
                  <c:pt idx="21">
                    <c:v>25.06.2026</c:v>
                  </c:pt>
                  <c:pt idx="22">
                    <c:v>16.06.2026</c:v>
                  </c:pt>
                  <c:pt idx="23">
                    <c:v>24.06.2026</c:v>
                  </c:pt>
                  <c:pt idx="24">
                    <c:v>25.06.2026</c:v>
                  </c:pt>
                  <c:pt idx="25">
                    <c:v>25.06.2026</c:v>
                  </c:pt>
                </c:lvl>
                <c:lvl>
                  <c:pt idx="0">
                    <c:v>12 Агролидер</c:v>
                  </c:pt>
                  <c:pt idx="3">
                    <c:v>17 Агролидер</c:v>
                  </c:pt>
                  <c:pt idx="8">
                    <c:v>18 Агролидер</c:v>
                  </c:pt>
                  <c:pt idx="16">
                    <c:v>А-112/1</c:v>
                  </c:pt>
                  <c:pt idx="17">
                    <c:v>А-112/2</c:v>
                  </c:pt>
                  <c:pt idx="18">
                    <c:v>А-115/1</c:v>
                  </c:pt>
                  <c:pt idx="21">
                    <c:v>А-54</c:v>
                  </c:pt>
                  <c:pt idx="22">
                    <c:v>А-54/4</c:v>
                  </c:pt>
                  <c:pt idx="25">
                    <c:v>А-81/1</c:v>
                  </c:pt>
                </c:lvl>
                <c:lvl>
                  <c:pt idx="0">
                    <c:v>Тристар</c:v>
                  </c:pt>
                </c:lvl>
              </c:multiLvlStrCache>
            </c:multiLvlStrRef>
          </c:cat>
          <c:val>
            <c:numRef>
              <c:f>'Показатели по полям 2026'!$X$130:$X$166</c:f>
              <c:numCache>
                <c:formatCode>#\ ##0.0</c:formatCode>
                <c:ptCount val="26"/>
                <c:pt idx="0">
                  <c:v>4.59</c:v>
                </c:pt>
                <c:pt idx="1">
                  <c:v>3.6153846153846159</c:v>
                </c:pt>
                <c:pt idx="2">
                  <c:v>3.7787671232876714</c:v>
                </c:pt>
                <c:pt idx="3">
                  <c:v>6.9947368421052634</c:v>
                </c:pt>
                <c:pt idx="4">
                  <c:v>6.5898734177215177</c:v>
                </c:pt>
                <c:pt idx="5">
                  <c:v>8.7866666666666653</c:v>
                </c:pt>
                <c:pt idx="6">
                  <c:v>3.8007380073800738</c:v>
                </c:pt>
                <c:pt idx="7">
                  <c:v>4.2732026143790849</c:v>
                </c:pt>
                <c:pt idx="8">
                  <c:v>4.46</c:v>
                </c:pt>
                <c:pt idx="9">
                  <c:v>6.3398119122257039</c:v>
                </c:pt>
                <c:pt idx="10">
                  <c:v>7.4265402843601889</c:v>
                </c:pt>
                <c:pt idx="11">
                  <c:v>6.6020000000000003</c:v>
                </c:pt>
                <c:pt idx="12">
                  <c:v>6.5317073170731712</c:v>
                </c:pt>
                <c:pt idx="13">
                  <c:v>3.8622871046228715</c:v>
                </c:pt>
                <c:pt idx="14">
                  <c:v>6.7218749999999998</c:v>
                </c:pt>
                <c:pt idx="15">
                  <c:v>6.602898550724638</c:v>
                </c:pt>
                <c:pt idx="16">
                  <c:v>4.1394871794871797</c:v>
                </c:pt>
                <c:pt idx="17">
                  <c:v>6.6695000000000011</c:v>
                </c:pt>
                <c:pt idx="18">
                  <c:v>6.0071090047393376</c:v>
                </c:pt>
                <c:pt idx="19">
                  <c:v>6.3679487179487166</c:v>
                </c:pt>
                <c:pt idx="20">
                  <c:v>5.3034482758620687</c:v>
                </c:pt>
                <c:pt idx="21">
                  <c:v>4.0749999999999993</c:v>
                </c:pt>
                <c:pt idx="22">
                  <c:v>3.06</c:v>
                </c:pt>
                <c:pt idx="23">
                  <c:v>3.8139817629179342</c:v>
                </c:pt>
                <c:pt idx="24">
                  <c:v>6.4904761904761896</c:v>
                </c:pt>
                <c:pt idx="25">
                  <c:v>5.2984210526315794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EE-40A4-93C1-002DDA677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0483256"/>
        <c:axId val="1420482536"/>
      </c:barChart>
      <c:barChart>
        <c:barDir val="col"/>
        <c:grouping val="clustered"/>
        <c:varyColors val="0"/>
        <c:ser>
          <c:idx val="1"/>
          <c:order val="1"/>
          <c:tx>
            <c:strRef>
              <c:f>'Показатели по полям 2026'!$W$129</c:f>
              <c:strCache>
                <c:ptCount val="1"/>
                <c:pt idx="0">
                  <c:v> Валовый сбор, т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2026'!$U$130:$U$166</c:f>
              <c:multiLvlStrCache>
                <c:ptCount val="26"/>
                <c:lvl>
                  <c:pt idx="0">
                    <c:v>19.06.2026</c:v>
                  </c:pt>
                  <c:pt idx="1">
                    <c:v>20.06.2026</c:v>
                  </c:pt>
                  <c:pt idx="2">
                    <c:v>22.06.2026</c:v>
                  </c:pt>
                  <c:pt idx="3">
                    <c:v>24.06.2026</c:v>
                  </c:pt>
                  <c:pt idx="4">
                    <c:v>25.06.2026</c:v>
                  </c:pt>
                  <c:pt idx="5">
                    <c:v>26.06.2026</c:v>
                  </c:pt>
                  <c:pt idx="6">
                    <c:v>27.06.2026</c:v>
                  </c:pt>
                  <c:pt idx="7">
                    <c:v>28.06.2026</c:v>
                  </c:pt>
                  <c:pt idx="8">
                    <c:v>20.06.2026</c:v>
                  </c:pt>
                  <c:pt idx="9">
                    <c:v>21.06.2026</c:v>
                  </c:pt>
                  <c:pt idx="10">
                    <c:v>22.06.2026</c:v>
                  </c:pt>
                  <c:pt idx="11">
                    <c:v>23.06.2026</c:v>
                  </c:pt>
                  <c:pt idx="12">
                    <c:v>25.06.2026</c:v>
                  </c:pt>
                  <c:pt idx="13">
                    <c:v>26.06.2026</c:v>
                  </c:pt>
                  <c:pt idx="14">
                    <c:v>27.06.2026</c:v>
                  </c:pt>
                  <c:pt idx="15">
                    <c:v>28.06.2026</c:v>
                  </c:pt>
                  <c:pt idx="16">
                    <c:v>16.06.2026</c:v>
                  </c:pt>
                  <c:pt idx="17">
                    <c:v>17.06.2026</c:v>
                  </c:pt>
                  <c:pt idx="18">
                    <c:v>17.06.2026</c:v>
                  </c:pt>
                  <c:pt idx="19">
                    <c:v>18.06.2026</c:v>
                  </c:pt>
                  <c:pt idx="20">
                    <c:v>19.06.2026</c:v>
                  </c:pt>
                  <c:pt idx="21">
                    <c:v>25.06.2026</c:v>
                  </c:pt>
                  <c:pt idx="22">
                    <c:v>16.06.2026</c:v>
                  </c:pt>
                  <c:pt idx="23">
                    <c:v>24.06.2026</c:v>
                  </c:pt>
                  <c:pt idx="24">
                    <c:v>25.06.2026</c:v>
                  </c:pt>
                  <c:pt idx="25">
                    <c:v>25.06.2026</c:v>
                  </c:pt>
                </c:lvl>
                <c:lvl>
                  <c:pt idx="0">
                    <c:v>12 Агролидер</c:v>
                  </c:pt>
                  <c:pt idx="3">
                    <c:v>17 Агролидер</c:v>
                  </c:pt>
                  <c:pt idx="8">
                    <c:v>18 Агролидер</c:v>
                  </c:pt>
                  <c:pt idx="16">
                    <c:v>А-112/1</c:v>
                  </c:pt>
                  <c:pt idx="17">
                    <c:v>А-112/2</c:v>
                  </c:pt>
                  <c:pt idx="18">
                    <c:v>А-115/1</c:v>
                  </c:pt>
                  <c:pt idx="21">
                    <c:v>А-54</c:v>
                  </c:pt>
                  <c:pt idx="22">
                    <c:v>А-54/4</c:v>
                  </c:pt>
                  <c:pt idx="25">
                    <c:v>А-81/1</c:v>
                  </c:pt>
                </c:lvl>
                <c:lvl>
                  <c:pt idx="0">
                    <c:v>Тристар</c:v>
                  </c:pt>
                </c:lvl>
              </c:multiLvlStrCache>
            </c:multiLvlStrRef>
          </c:cat>
          <c:val>
            <c:numRef>
              <c:f>'Показатели по полям 2026'!$W$130:$W$166</c:f>
              <c:numCache>
                <c:formatCode>#,##0</c:formatCode>
                <c:ptCount val="26"/>
                <c:pt idx="0">
                  <c:v>13.77</c:v>
                </c:pt>
                <c:pt idx="1">
                  <c:v>47</c:v>
                </c:pt>
                <c:pt idx="2">
                  <c:v>55.17</c:v>
                </c:pt>
                <c:pt idx="3">
                  <c:v>26.58</c:v>
                </c:pt>
                <c:pt idx="4">
                  <c:v>104.12</c:v>
                </c:pt>
                <c:pt idx="5">
                  <c:v>13.18</c:v>
                </c:pt>
                <c:pt idx="6">
                  <c:v>103</c:v>
                </c:pt>
                <c:pt idx="7">
                  <c:v>65.38</c:v>
                </c:pt>
                <c:pt idx="8">
                  <c:v>4.46</c:v>
                </c:pt>
                <c:pt idx="9">
                  <c:v>202.24</c:v>
                </c:pt>
                <c:pt idx="10">
                  <c:v>156.69999999999999</c:v>
                </c:pt>
                <c:pt idx="11">
                  <c:v>66.02</c:v>
                </c:pt>
                <c:pt idx="12">
                  <c:v>26.78</c:v>
                </c:pt>
                <c:pt idx="13">
                  <c:v>158.74</c:v>
                </c:pt>
                <c:pt idx="14">
                  <c:v>86.04</c:v>
                </c:pt>
                <c:pt idx="15">
                  <c:v>45.56</c:v>
                </c:pt>
                <c:pt idx="16">
                  <c:v>161.44</c:v>
                </c:pt>
                <c:pt idx="17">
                  <c:v>133.38999999999999</c:v>
                </c:pt>
                <c:pt idx="18">
                  <c:v>126.75</c:v>
                </c:pt>
                <c:pt idx="19">
                  <c:v>248.35</c:v>
                </c:pt>
                <c:pt idx="20">
                  <c:v>15.38</c:v>
                </c:pt>
                <c:pt idx="21">
                  <c:v>35.86</c:v>
                </c:pt>
                <c:pt idx="22">
                  <c:v>12.24</c:v>
                </c:pt>
                <c:pt idx="23">
                  <c:v>125.48</c:v>
                </c:pt>
                <c:pt idx="24">
                  <c:v>13.63</c:v>
                </c:pt>
                <c:pt idx="25">
                  <c:v>100.67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EE-40A4-93C1-002DDA677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4109976"/>
        <c:axId val="634111056"/>
      </c:barChart>
      <c:catAx>
        <c:axId val="1420483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0482536"/>
        <c:crosses val="autoZero"/>
        <c:auto val="1"/>
        <c:lblAlgn val="ctr"/>
        <c:lblOffset val="100"/>
        <c:noMultiLvlLbl val="0"/>
      </c:catAx>
      <c:valAx>
        <c:axId val="1420482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Финомертр,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0483256"/>
        <c:crosses val="autoZero"/>
        <c:crossBetween val="between"/>
      </c:valAx>
      <c:valAx>
        <c:axId val="6341110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Валовый сбор, тонны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4109976"/>
        <c:crosses val="max"/>
        <c:crossBetween val="between"/>
      </c:valAx>
      <c:catAx>
        <c:axId val="634109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411105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по уборке (горошек овощной) 06.07.2026.xlsx]Показатели по полям 2026!Сводная таблица6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'Показатели по полям 2026'!$AA$153</c:f>
              <c:strCache>
                <c:ptCount val="1"/>
                <c:pt idx="0">
                  <c:v>Степень зрелости (финометр),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2026'!$Z$154:$Z$163</c:f>
              <c:multiLvlStrCache>
                <c:ptCount val="5"/>
                <c:lvl>
                  <c:pt idx="0">
                    <c:v>09.06.2026</c:v>
                  </c:pt>
                  <c:pt idx="1">
                    <c:v>09.06.2026</c:v>
                  </c:pt>
                  <c:pt idx="2">
                    <c:v>10.06.2026</c:v>
                  </c:pt>
                  <c:pt idx="3">
                    <c:v>30.06.2026</c:v>
                  </c:pt>
                  <c:pt idx="4">
                    <c:v>01.07.2026</c:v>
                  </c:pt>
                </c:lvl>
                <c:lvl>
                  <c:pt idx="0">
                    <c:v>А-22/1</c:v>
                  </c:pt>
                  <c:pt idx="1">
                    <c:v>А-23</c:v>
                  </c:pt>
                  <c:pt idx="3">
                    <c:v>А-79</c:v>
                  </c:pt>
                </c:lvl>
                <c:lvl>
                  <c:pt idx="0">
                    <c:v>Увертюра</c:v>
                  </c:pt>
                </c:lvl>
              </c:multiLvlStrCache>
            </c:multiLvlStrRef>
          </c:cat>
          <c:val>
            <c:numRef>
              <c:f>'Показатели по полям 2026'!$AA$154:$AA$163</c:f>
              <c:numCache>
                <c:formatCode>#,##0</c:formatCode>
                <c:ptCount val="5"/>
                <c:pt idx="0">
                  <c:v>53.941176470588232</c:v>
                </c:pt>
                <c:pt idx="1">
                  <c:v>53.333333333333336</c:v>
                </c:pt>
                <c:pt idx="2">
                  <c:v>55.5</c:v>
                </c:pt>
                <c:pt idx="3">
                  <c:v>55.555555555555557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B-4A51-862A-FE6F5DF08F5A}"/>
            </c:ext>
          </c:extLst>
        </c:ser>
        <c:ser>
          <c:idx val="2"/>
          <c:order val="2"/>
          <c:tx>
            <c:strRef>
              <c:f>'Показатели по полям 2026'!$AC$153</c:f>
              <c:strCache>
                <c:ptCount val="1"/>
                <c:pt idx="0">
                  <c:v> Урожайность вал.вес, т/га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'Показатели по полям 2026'!$Z$154:$Z$163</c:f>
              <c:multiLvlStrCache>
                <c:ptCount val="5"/>
                <c:lvl>
                  <c:pt idx="0">
                    <c:v>09.06.2026</c:v>
                  </c:pt>
                  <c:pt idx="1">
                    <c:v>09.06.2026</c:v>
                  </c:pt>
                  <c:pt idx="2">
                    <c:v>10.06.2026</c:v>
                  </c:pt>
                  <c:pt idx="3">
                    <c:v>30.06.2026</c:v>
                  </c:pt>
                  <c:pt idx="4">
                    <c:v>01.07.2026</c:v>
                  </c:pt>
                </c:lvl>
                <c:lvl>
                  <c:pt idx="0">
                    <c:v>А-22/1</c:v>
                  </c:pt>
                  <c:pt idx="1">
                    <c:v>А-23</c:v>
                  </c:pt>
                  <c:pt idx="3">
                    <c:v>А-79</c:v>
                  </c:pt>
                </c:lvl>
                <c:lvl>
                  <c:pt idx="0">
                    <c:v>Увертюра</c:v>
                  </c:pt>
                </c:lvl>
              </c:multiLvlStrCache>
            </c:multiLvlStrRef>
          </c:cat>
          <c:val>
            <c:numRef>
              <c:f>'Показатели по полям 2026'!$AC$154:$AC$163</c:f>
              <c:numCache>
                <c:formatCode>#\ ##0.0</c:formatCode>
                <c:ptCount val="5"/>
                <c:pt idx="0">
                  <c:v>6.6722580645161287</c:v>
                </c:pt>
                <c:pt idx="1">
                  <c:v>6.9470000000000001</c:v>
                </c:pt>
                <c:pt idx="2">
                  <c:v>6.5119999999999996</c:v>
                </c:pt>
                <c:pt idx="3">
                  <c:v>1.9409252669039143</c:v>
                </c:pt>
                <c:pt idx="4">
                  <c:v>4.3163265306122449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6B-4A51-862A-FE6F5DF08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19781688"/>
        <c:axId val="1419780248"/>
      </c:barChart>
      <c:barChart>
        <c:barDir val="col"/>
        <c:grouping val="clustered"/>
        <c:varyColors val="0"/>
        <c:ser>
          <c:idx val="1"/>
          <c:order val="1"/>
          <c:tx>
            <c:strRef>
              <c:f>'Показатели по полям 2026'!$AB$153</c:f>
              <c:strCache>
                <c:ptCount val="1"/>
                <c:pt idx="0">
                  <c:v> Валовый сбор, т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2026'!$Z$154:$Z$163</c:f>
              <c:multiLvlStrCache>
                <c:ptCount val="5"/>
                <c:lvl>
                  <c:pt idx="0">
                    <c:v>09.06.2026</c:v>
                  </c:pt>
                  <c:pt idx="1">
                    <c:v>09.06.2026</c:v>
                  </c:pt>
                  <c:pt idx="2">
                    <c:v>10.06.2026</c:v>
                  </c:pt>
                  <c:pt idx="3">
                    <c:v>30.06.2026</c:v>
                  </c:pt>
                  <c:pt idx="4">
                    <c:v>01.07.2026</c:v>
                  </c:pt>
                </c:lvl>
                <c:lvl>
                  <c:pt idx="0">
                    <c:v>А-22/1</c:v>
                  </c:pt>
                  <c:pt idx="1">
                    <c:v>А-23</c:v>
                  </c:pt>
                  <c:pt idx="3">
                    <c:v>А-79</c:v>
                  </c:pt>
                </c:lvl>
                <c:lvl>
                  <c:pt idx="0">
                    <c:v>Увертюра</c:v>
                  </c:pt>
                </c:lvl>
              </c:multiLvlStrCache>
            </c:multiLvlStrRef>
          </c:cat>
          <c:val>
            <c:numRef>
              <c:f>'Показатели по полям 2026'!$AB$154:$AB$163</c:f>
              <c:numCache>
                <c:formatCode>#,##0</c:formatCode>
                <c:ptCount val="5"/>
                <c:pt idx="0">
                  <c:v>206.84</c:v>
                </c:pt>
                <c:pt idx="1">
                  <c:v>69.47</c:v>
                </c:pt>
                <c:pt idx="2">
                  <c:v>65.12</c:v>
                </c:pt>
                <c:pt idx="3">
                  <c:v>54.54</c:v>
                </c:pt>
                <c:pt idx="4">
                  <c:v>21.15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6B-4A51-862A-FE6F5DF08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3390424"/>
        <c:axId val="633390064"/>
      </c:barChart>
      <c:catAx>
        <c:axId val="141978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9780248"/>
        <c:crosses val="autoZero"/>
        <c:auto val="1"/>
        <c:lblAlgn val="ctr"/>
        <c:lblOffset val="100"/>
        <c:noMultiLvlLbl val="0"/>
      </c:catAx>
      <c:valAx>
        <c:axId val="141978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Финометр,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9781688"/>
        <c:crosses val="autoZero"/>
        <c:crossBetween val="between"/>
      </c:valAx>
      <c:valAx>
        <c:axId val="6333900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Валовый сбор, тонны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3390424"/>
        <c:crosses val="max"/>
        <c:crossBetween val="between"/>
      </c:valAx>
      <c:catAx>
        <c:axId val="633390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33900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по уборке (горошек овощной) 06.07.2026.xlsx]Показатели по полям 2026!Сводная таблица7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'Показатели по полям 2026'!$AF$172</c:f>
              <c:strCache>
                <c:ptCount val="1"/>
                <c:pt idx="0">
                  <c:v>Степень зрелости (финометр),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2026'!$AE$173:$AE$211</c:f>
              <c:multiLvlStrCache>
                <c:ptCount val="25"/>
                <c:lvl>
                  <c:pt idx="0">
                    <c:v>25.06.2026</c:v>
                  </c:pt>
                  <c:pt idx="1">
                    <c:v>26.06.2026</c:v>
                  </c:pt>
                  <c:pt idx="2">
                    <c:v>27.06.2026</c:v>
                  </c:pt>
                  <c:pt idx="3">
                    <c:v>01.07.2026</c:v>
                  </c:pt>
                  <c:pt idx="4">
                    <c:v>06.07.2026</c:v>
                  </c:pt>
                  <c:pt idx="5">
                    <c:v>11.06.2026</c:v>
                  </c:pt>
                  <c:pt idx="6">
                    <c:v>12.06.2026</c:v>
                  </c:pt>
                  <c:pt idx="7">
                    <c:v>16.06.2026</c:v>
                  </c:pt>
                  <c:pt idx="8">
                    <c:v>16.06.2026</c:v>
                  </c:pt>
                  <c:pt idx="9">
                    <c:v>28.06.2026</c:v>
                  </c:pt>
                  <c:pt idx="10">
                    <c:v>30.06.2026</c:v>
                  </c:pt>
                  <c:pt idx="11">
                    <c:v>04.07.2026</c:v>
                  </c:pt>
                  <c:pt idx="12">
                    <c:v>05.07.2026</c:v>
                  </c:pt>
                  <c:pt idx="13">
                    <c:v>06.07.2026</c:v>
                  </c:pt>
                  <c:pt idx="14">
                    <c:v>01.07.2026</c:v>
                  </c:pt>
                  <c:pt idx="15">
                    <c:v>02.07.2026</c:v>
                  </c:pt>
                  <c:pt idx="16">
                    <c:v>06.07.2026</c:v>
                  </c:pt>
                  <c:pt idx="17">
                    <c:v>02.07.2026</c:v>
                  </c:pt>
                  <c:pt idx="18">
                    <c:v>03.07.2026</c:v>
                  </c:pt>
                  <c:pt idx="19">
                    <c:v>06.07.2026</c:v>
                  </c:pt>
                  <c:pt idx="20">
                    <c:v>02.07.2026</c:v>
                  </c:pt>
                  <c:pt idx="21">
                    <c:v>03.07.2026</c:v>
                  </c:pt>
                  <c:pt idx="22">
                    <c:v>06.07.2026</c:v>
                  </c:pt>
                  <c:pt idx="23">
                    <c:v>04.07.2026</c:v>
                  </c:pt>
                  <c:pt idx="24">
                    <c:v>06.07.2026</c:v>
                  </c:pt>
                </c:lvl>
                <c:lvl>
                  <c:pt idx="0">
                    <c:v>2.2 Колос</c:v>
                  </c:pt>
                  <c:pt idx="3">
                    <c:v>А-104/1</c:v>
                  </c:pt>
                  <c:pt idx="5">
                    <c:v>А-24/1</c:v>
                  </c:pt>
                  <c:pt idx="7">
                    <c:v>А-83/1</c:v>
                  </c:pt>
                  <c:pt idx="8">
                    <c:v>А-83/2</c:v>
                  </c:pt>
                  <c:pt idx="9">
                    <c:v>3.3 Колос</c:v>
                  </c:pt>
                  <c:pt idx="10">
                    <c:v>3.6 Колос</c:v>
                  </c:pt>
                  <c:pt idx="14">
                    <c:v>3.1 Колос</c:v>
                  </c:pt>
                  <c:pt idx="15">
                    <c:v>1.6 Колос</c:v>
                  </c:pt>
                  <c:pt idx="17">
                    <c:v>А-113/1</c:v>
                  </c:pt>
                  <c:pt idx="20">
                    <c:v>1.7 Колос</c:v>
                  </c:pt>
                  <c:pt idx="23">
                    <c:v>А-116/1</c:v>
                  </c:pt>
                </c:lvl>
                <c:lvl>
                  <c:pt idx="0">
                    <c:v>Фаворит</c:v>
                  </c:pt>
                </c:lvl>
              </c:multiLvlStrCache>
            </c:multiLvlStrRef>
          </c:cat>
          <c:val>
            <c:numRef>
              <c:f>'Показатели по полям 2026'!$AF$173:$AF$211</c:f>
              <c:numCache>
                <c:formatCode>#,##0</c:formatCode>
                <c:ptCount val="25"/>
                <c:pt idx="0">
                  <c:v>53.222222222222221</c:v>
                </c:pt>
                <c:pt idx="1">
                  <c:v>59.75</c:v>
                </c:pt>
                <c:pt idx="2">
                  <c:v>65.5</c:v>
                </c:pt>
                <c:pt idx="3">
                  <c:v>55.571428571428569</c:v>
                </c:pt>
                <c:pt idx="4">
                  <c:v>55.666666666666664</c:v>
                </c:pt>
                <c:pt idx="5">
                  <c:v>59.4</c:v>
                </c:pt>
                <c:pt idx="6">
                  <c:v>59.4</c:v>
                </c:pt>
                <c:pt idx="7">
                  <c:v>57.666666666666664</c:v>
                </c:pt>
                <c:pt idx="8">
                  <c:v>59.5</c:v>
                </c:pt>
                <c:pt idx="9">
                  <c:v>55.277777777777779</c:v>
                </c:pt>
                <c:pt idx="10">
                  <c:v>51</c:v>
                </c:pt>
                <c:pt idx="11">
                  <c:v>58.5</c:v>
                </c:pt>
                <c:pt idx="12">
                  <c:v>56.5</c:v>
                </c:pt>
                <c:pt idx="13">
                  <c:v>63.833333333333336</c:v>
                </c:pt>
                <c:pt idx="14">
                  <c:v>52.3</c:v>
                </c:pt>
                <c:pt idx="15">
                  <c:v>55</c:v>
                </c:pt>
                <c:pt idx="16">
                  <c:v>55</c:v>
                </c:pt>
                <c:pt idx="17">
                  <c:v>50.5</c:v>
                </c:pt>
                <c:pt idx="18">
                  <c:v>53.5</c:v>
                </c:pt>
                <c:pt idx="19">
                  <c:v>50.714285714285715</c:v>
                </c:pt>
                <c:pt idx="20">
                  <c:v>57.5</c:v>
                </c:pt>
                <c:pt idx="21">
                  <c:v>60.5</c:v>
                </c:pt>
                <c:pt idx="22">
                  <c:v>61.333333333333336</c:v>
                </c:pt>
                <c:pt idx="23">
                  <c:v>60</c:v>
                </c:pt>
                <c:pt idx="24">
                  <c:v>60.666666666666664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8-4C72-940E-7673196B7B13}"/>
            </c:ext>
          </c:extLst>
        </c:ser>
        <c:ser>
          <c:idx val="2"/>
          <c:order val="2"/>
          <c:tx>
            <c:strRef>
              <c:f>'Показатели по полям 2026'!$AH$172</c:f>
              <c:strCache>
                <c:ptCount val="1"/>
                <c:pt idx="0">
                  <c:v> Урожайность вал.вес, т/га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'Показатели по полям 2026'!$AE$173:$AE$211</c:f>
              <c:multiLvlStrCache>
                <c:ptCount val="25"/>
                <c:lvl>
                  <c:pt idx="0">
                    <c:v>25.06.2026</c:v>
                  </c:pt>
                  <c:pt idx="1">
                    <c:v>26.06.2026</c:v>
                  </c:pt>
                  <c:pt idx="2">
                    <c:v>27.06.2026</c:v>
                  </c:pt>
                  <c:pt idx="3">
                    <c:v>01.07.2026</c:v>
                  </c:pt>
                  <c:pt idx="4">
                    <c:v>06.07.2026</c:v>
                  </c:pt>
                  <c:pt idx="5">
                    <c:v>11.06.2026</c:v>
                  </c:pt>
                  <c:pt idx="6">
                    <c:v>12.06.2026</c:v>
                  </c:pt>
                  <c:pt idx="7">
                    <c:v>16.06.2026</c:v>
                  </c:pt>
                  <c:pt idx="8">
                    <c:v>16.06.2026</c:v>
                  </c:pt>
                  <c:pt idx="9">
                    <c:v>28.06.2026</c:v>
                  </c:pt>
                  <c:pt idx="10">
                    <c:v>30.06.2026</c:v>
                  </c:pt>
                  <c:pt idx="11">
                    <c:v>04.07.2026</c:v>
                  </c:pt>
                  <c:pt idx="12">
                    <c:v>05.07.2026</c:v>
                  </c:pt>
                  <c:pt idx="13">
                    <c:v>06.07.2026</c:v>
                  </c:pt>
                  <c:pt idx="14">
                    <c:v>01.07.2026</c:v>
                  </c:pt>
                  <c:pt idx="15">
                    <c:v>02.07.2026</c:v>
                  </c:pt>
                  <c:pt idx="16">
                    <c:v>06.07.2026</c:v>
                  </c:pt>
                  <c:pt idx="17">
                    <c:v>02.07.2026</c:v>
                  </c:pt>
                  <c:pt idx="18">
                    <c:v>03.07.2026</c:v>
                  </c:pt>
                  <c:pt idx="19">
                    <c:v>06.07.2026</c:v>
                  </c:pt>
                  <c:pt idx="20">
                    <c:v>02.07.2026</c:v>
                  </c:pt>
                  <c:pt idx="21">
                    <c:v>03.07.2026</c:v>
                  </c:pt>
                  <c:pt idx="22">
                    <c:v>06.07.2026</c:v>
                  </c:pt>
                  <c:pt idx="23">
                    <c:v>04.07.2026</c:v>
                  </c:pt>
                  <c:pt idx="24">
                    <c:v>06.07.2026</c:v>
                  </c:pt>
                </c:lvl>
                <c:lvl>
                  <c:pt idx="0">
                    <c:v>2.2 Колос</c:v>
                  </c:pt>
                  <c:pt idx="3">
                    <c:v>А-104/1</c:v>
                  </c:pt>
                  <c:pt idx="5">
                    <c:v>А-24/1</c:v>
                  </c:pt>
                  <c:pt idx="7">
                    <c:v>А-83/1</c:v>
                  </c:pt>
                  <c:pt idx="8">
                    <c:v>А-83/2</c:v>
                  </c:pt>
                  <c:pt idx="9">
                    <c:v>3.3 Колос</c:v>
                  </c:pt>
                  <c:pt idx="10">
                    <c:v>3.6 Колос</c:v>
                  </c:pt>
                  <c:pt idx="14">
                    <c:v>3.1 Колос</c:v>
                  </c:pt>
                  <c:pt idx="15">
                    <c:v>1.6 Колос</c:v>
                  </c:pt>
                  <c:pt idx="17">
                    <c:v>А-113/1</c:v>
                  </c:pt>
                  <c:pt idx="20">
                    <c:v>1.7 Колос</c:v>
                  </c:pt>
                  <c:pt idx="23">
                    <c:v>А-116/1</c:v>
                  </c:pt>
                </c:lvl>
                <c:lvl>
                  <c:pt idx="0">
                    <c:v>Фаворит</c:v>
                  </c:pt>
                </c:lvl>
              </c:multiLvlStrCache>
            </c:multiLvlStrRef>
          </c:cat>
          <c:val>
            <c:numRef>
              <c:f>'Показатели по полям 2026'!$AH$173:$AH$211</c:f>
              <c:numCache>
                <c:formatCode>#\ ##0.0</c:formatCode>
                <c:ptCount val="25"/>
                <c:pt idx="0">
                  <c:v>3.9460000000000006</c:v>
                </c:pt>
                <c:pt idx="1">
                  <c:v>2.0916666666666663</c:v>
                </c:pt>
                <c:pt idx="2">
                  <c:v>2.092468619246862</c:v>
                </c:pt>
                <c:pt idx="3">
                  <c:v>3.2067346938775509</c:v>
                </c:pt>
                <c:pt idx="4">
                  <c:v>3.2067346938775509</c:v>
                </c:pt>
                <c:pt idx="5">
                  <c:v>8.0168181818181807</c:v>
                </c:pt>
                <c:pt idx="6">
                  <c:v>6.091764705882353</c:v>
                </c:pt>
                <c:pt idx="7">
                  <c:v>7.8066666666666666</c:v>
                </c:pt>
                <c:pt idx="8">
                  <c:v>5.468</c:v>
                </c:pt>
                <c:pt idx="9">
                  <c:v>6.6668571428571433</c:v>
                </c:pt>
                <c:pt idx="10">
                  <c:v>5.3409982174688064</c:v>
                </c:pt>
                <c:pt idx="11">
                  <c:v>5.3409982174688055</c:v>
                </c:pt>
                <c:pt idx="12">
                  <c:v>5.3409982174688055</c:v>
                </c:pt>
                <c:pt idx="13">
                  <c:v>5.3409982174688055</c:v>
                </c:pt>
                <c:pt idx="14">
                  <c:v>4.9819188191881913</c:v>
                </c:pt>
                <c:pt idx="15">
                  <c:v>3.3047619047619046</c:v>
                </c:pt>
                <c:pt idx="16">
                  <c:v>2.6186046511627912</c:v>
                </c:pt>
                <c:pt idx="17">
                  <c:v>2.5006993006993006</c:v>
                </c:pt>
                <c:pt idx="18">
                  <c:v>2.4793478260869564</c:v>
                </c:pt>
                <c:pt idx="19">
                  <c:v>2.5045454545454544</c:v>
                </c:pt>
                <c:pt idx="20">
                  <c:v>3.0176363636363641</c:v>
                </c:pt>
                <c:pt idx="21">
                  <c:v>3.0176363636363637</c:v>
                </c:pt>
                <c:pt idx="22">
                  <c:v>3.0176363636363632</c:v>
                </c:pt>
                <c:pt idx="23">
                  <c:v>5.1965116279069763</c:v>
                </c:pt>
                <c:pt idx="24">
                  <c:v>5.1951612903225808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D8-4C72-940E-7673196B7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84182704"/>
        <c:axId val="283856032"/>
      </c:barChart>
      <c:barChart>
        <c:barDir val="col"/>
        <c:grouping val="clustered"/>
        <c:varyColors val="0"/>
        <c:ser>
          <c:idx val="1"/>
          <c:order val="1"/>
          <c:tx>
            <c:strRef>
              <c:f>'Показатели по полям 2026'!$AG$172</c:f>
              <c:strCache>
                <c:ptCount val="1"/>
                <c:pt idx="0">
                  <c:v> Валовый сбор, т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2026'!$AE$173:$AE$211</c:f>
              <c:multiLvlStrCache>
                <c:ptCount val="25"/>
                <c:lvl>
                  <c:pt idx="0">
                    <c:v>25.06.2026</c:v>
                  </c:pt>
                  <c:pt idx="1">
                    <c:v>26.06.2026</c:v>
                  </c:pt>
                  <c:pt idx="2">
                    <c:v>27.06.2026</c:v>
                  </c:pt>
                  <c:pt idx="3">
                    <c:v>01.07.2026</c:v>
                  </c:pt>
                  <c:pt idx="4">
                    <c:v>06.07.2026</c:v>
                  </c:pt>
                  <c:pt idx="5">
                    <c:v>11.06.2026</c:v>
                  </c:pt>
                  <c:pt idx="6">
                    <c:v>12.06.2026</c:v>
                  </c:pt>
                  <c:pt idx="7">
                    <c:v>16.06.2026</c:v>
                  </c:pt>
                  <c:pt idx="8">
                    <c:v>16.06.2026</c:v>
                  </c:pt>
                  <c:pt idx="9">
                    <c:v>28.06.2026</c:v>
                  </c:pt>
                  <c:pt idx="10">
                    <c:v>30.06.2026</c:v>
                  </c:pt>
                  <c:pt idx="11">
                    <c:v>04.07.2026</c:v>
                  </c:pt>
                  <c:pt idx="12">
                    <c:v>05.07.2026</c:v>
                  </c:pt>
                  <c:pt idx="13">
                    <c:v>06.07.2026</c:v>
                  </c:pt>
                  <c:pt idx="14">
                    <c:v>01.07.2026</c:v>
                  </c:pt>
                  <c:pt idx="15">
                    <c:v>02.07.2026</c:v>
                  </c:pt>
                  <c:pt idx="16">
                    <c:v>06.07.2026</c:v>
                  </c:pt>
                  <c:pt idx="17">
                    <c:v>02.07.2026</c:v>
                  </c:pt>
                  <c:pt idx="18">
                    <c:v>03.07.2026</c:v>
                  </c:pt>
                  <c:pt idx="19">
                    <c:v>06.07.2026</c:v>
                  </c:pt>
                  <c:pt idx="20">
                    <c:v>02.07.2026</c:v>
                  </c:pt>
                  <c:pt idx="21">
                    <c:v>03.07.2026</c:v>
                  </c:pt>
                  <c:pt idx="22">
                    <c:v>06.07.2026</c:v>
                  </c:pt>
                  <c:pt idx="23">
                    <c:v>04.07.2026</c:v>
                  </c:pt>
                  <c:pt idx="24">
                    <c:v>06.07.2026</c:v>
                  </c:pt>
                </c:lvl>
                <c:lvl>
                  <c:pt idx="0">
                    <c:v>2.2 Колос</c:v>
                  </c:pt>
                  <c:pt idx="3">
                    <c:v>А-104/1</c:v>
                  </c:pt>
                  <c:pt idx="5">
                    <c:v>А-24/1</c:v>
                  </c:pt>
                  <c:pt idx="7">
                    <c:v>А-83/1</c:v>
                  </c:pt>
                  <c:pt idx="8">
                    <c:v>А-83/2</c:v>
                  </c:pt>
                  <c:pt idx="9">
                    <c:v>3.3 Колос</c:v>
                  </c:pt>
                  <c:pt idx="10">
                    <c:v>3.6 Колос</c:v>
                  </c:pt>
                  <c:pt idx="14">
                    <c:v>3.1 Колос</c:v>
                  </c:pt>
                  <c:pt idx="15">
                    <c:v>1.6 Колос</c:v>
                  </c:pt>
                  <c:pt idx="17">
                    <c:v>А-113/1</c:v>
                  </c:pt>
                  <c:pt idx="20">
                    <c:v>1.7 Колос</c:v>
                  </c:pt>
                  <c:pt idx="23">
                    <c:v>А-116/1</c:v>
                  </c:pt>
                </c:lvl>
                <c:lvl>
                  <c:pt idx="0">
                    <c:v>Фаворит</c:v>
                  </c:pt>
                </c:lvl>
              </c:multiLvlStrCache>
            </c:multiLvlStrRef>
          </c:cat>
          <c:val>
            <c:numRef>
              <c:f>'Показатели по полям 2026'!$AG$173:$AG$211</c:f>
              <c:numCache>
                <c:formatCode>#,##0</c:formatCode>
                <c:ptCount val="25"/>
                <c:pt idx="0">
                  <c:v>118.38</c:v>
                </c:pt>
                <c:pt idx="1">
                  <c:v>52.71</c:v>
                </c:pt>
                <c:pt idx="2">
                  <c:v>50.01</c:v>
                </c:pt>
                <c:pt idx="3">
                  <c:v>84.41</c:v>
                </c:pt>
                <c:pt idx="4">
                  <c:v>40.78</c:v>
                </c:pt>
                <c:pt idx="5">
                  <c:v>176.37</c:v>
                </c:pt>
                <c:pt idx="6">
                  <c:v>103.56</c:v>
                </c:pt>
                <c:pt idx="7">
                  <c:v>23.42</c:v>
                </c:pt>
                <c:pt idx="8">
                  <c:v>27.34</c:v>
                </c:pt>
                <c:pt idx="9">
                  <c:v>233.34</c:v>
                </c:pt>
                <c:pt idx="10">
                  <c:v>51.29</c:v>
                </c:pt>
                <c:pt idx="11">
                  <c:v>10.45</c:v>
                </c:pt>
                <c:pt idx="12">
                  <c:v>79.180000000000007</c:v>
                </c:pt>
                <c:pt idx="13">
                  <c:v>158.71</c:v>
                </c:pt>
                <c:pt idx="14">
                  <c:v>135.01</c:v>
                </c:pt>
                <c:pt idx="15">
                  <c:v>13.88</c:v>
                </c:pt>
                <c:pt idx="16">
                  <c:v>90.08</c:v>
                </c:pt>
                <c:pt idx="17">
                  <c:v>71.52</c:v>
                </c:pt>
                <c:pt idx="18">
                  <c:v>22.81</c:v>
                </c:pt>
                <c:pt idx="19">
                  <c:v>60.61</c:v>
                </c:pt>
                <c:pt idx="20">
                  <c:v>54.94</c:v>
                </c:pt>
                <c:pt idx="21">
                  <c:v>27.57</c:v>
                </c:pt>
                <c:pt idx="22">
                  <c:v>83.46</c:v>
                </c:pt>
                <c:pt idx="23">
                  <c:v>134.07</c:v>
                </c:pt>
                <c:pt idx="24">
                  <c:v>32.21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8-4C72-940E-7673196B7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8481472"/>
        <c:axId val="638480752"/>
      </c:barChart>
      <c:catAx>
        <c:axId val="28418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3856032"/>
        <c:crosses val="autoZero"/>
        <c:auto val="1"/>
        <c:lblAlgn val="ctr"/>
        <c:lblOffset val="100"/>
        <c:noMultiLvlLbl val="0"/>
      </c:catAx>
      <c:valAx>
        <c:axId val="28385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Финометр,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182704"/>
        <c:crosses val="autoZero"/>
        <c:crossBetween val="between"/>
      </c:valAx>
      <c:valAx>
        <c:axId val="6384807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Валовый сбор, тонны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8481472"/>
        <c:crosses val="max"/>
        <c:crossBetween val="between"/>
      </c:valAx>
      <c:catAx>
        <c:axId val="63848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848075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по уборке (горошек овощной) 06.07.2026.xlsx]Показатели по полям 2026!Сводная таблица8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'Показатели по полям 2026'!$AL$201</c:f>
              <c:strCache>
                <c:ptCount val="1"/>
                <c:pt idx="0">
                  <c:v>Степень зрелости (финометр),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2026'!$AK$202:$AK$210</c:f>
              <c:multiLvlStrCache>
                <c:ptCount val="5"/>
                <c:lvl>
                  <c:pt idx="0">
                    <c:v>27.06.2026</c:v>
                  </c:pt>
                  <c:pt idx="1">
                    <c:v>29.06.2026</c:v>
                  </c:pt>
                  <c:pt idx="2">
                    <c:v>30.06.2026</c:v>
                  </c:pt>
                  <c:pt idx="3">
                    <c:v>01.07.2026</c:v>
                  </c:pt>
                  <c:pt idx="4">
                    <c:v>06.07.2026</c:v>
                  </c:pt>
                </c:lvl>
                <c:lvl>
                  <c:pt idx="0">
                    <c:v>3.3 Колос</c:v>
                  </c:pt>
                  <c:pt idx="3">
                    <c:v>3.1 Колос</c:v>
                  </c:pt>
                </c:lvl>
                <c:lvl>
                  <c:pt idx="0">
                    <c:v>Беркут</c:v>
                  </c:pt>
                </c:lvl>
              </c:multiLvlStrCache>
            </c:multiLvlStrRef>
          </c:cat>
          <c:val>
            <c:numRef>
              <c:f>'Показатели по полям 2026'!$AL$202:$AL$210</c:f>
              <c:numCache>
                <c:formatCode>#,##0</c:formatCode>
                <c:ptCount val="5"/>
                <c:pt idx="0">
                  <c:v>52</c:v>
                </c:pt>
                <c:pt idx="1">
                  <c:v>56.25</c:v>
                </c:pt>
                <c:pt idx="2">
                  <c:v>57.333333333333336</c:v>
                </c:pt>
                <c:pt idx="3">
                  <c:v>58</c:v>
                </c:pt>
                <c:pt idx="4">
                  <c:v>72.333333333333329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0-4909-AEAE-BE2CF2134A16}"/>
            </c:ext>
          </c:extLst>
        </c:ser>
        <c:ser>
          <c:idx val="2"/>
          <c:order val="2"/>
          <c:tx>
            <c:strRef>
              <c:f>'Показатели по полям 2026'!$AN$201</c:f>
              <c:strCache>
                <c:ptCount val="1"/>
                <c:pt idx="0">
                  <c:v> Урожайность вал.вес, т/га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'Показатели по полям 2026'!$AK$202:$AK$210</c:f>
              <c:multiLvlStrCache>
                <c:ptCount val="5"/>
                <c:lvl>
                  <c:pt idx="0">
                    <c:v>27.06.2026</c:v>
                  </c:pt>
                  <c:pt idx="1">
                    <c:v>29.06.2026</c:v>
                  </c:pt>
                  <c:pt idx="2">
                    <c:v>30.06.2026</c:v>
                  </c:pt>
                  <c:pt idx="3">
                    <c:v>01.07.2026</c:v>
                  </c:pt>
                  <c:pt idx="4">
                    <c:v>06.07.2026</c:v>
                  </c:pt>
                </c:lvl>
                <c:lvl>
                  <c:pt idx="0">
                    <c:v>3.3 Колос</c:v>
                  </c:pt>
                  <c:pt idx="3">
                    <c:v>3.1 Колос</c:v>
                  </c:pt>
                </c:lvl>
                <c:lvl>
                  <c:pt idx="0">
                    <c:v>Беркут</c:v>
                  </c:pt>
                </c:lvl>
              </c:multiLvlStrCache>
            </c:multiLvlStrRef>
          </c:cat>
          <c:val>
            <c:numRef>
              <c:f>'Показатели по полям 2026'!$AN$202:$AN$210</c:f>
              <c:numCache>
                <c:formatCode>#\ ##0.0</c:formatCode>
                <c:ptCount val="5"/>
                <c:pt idx="0">
                  <c:v>5.645400593471809</c:v>
                </c:pt>
                <c:pt idx="1">
                  <c:v>5.6454005934718081</c:v>
                </c:pt>
                <c:pt idx="2">
                  <c:v>5.6454005934718099</c:v>
                </c:pt>
                <c:pt idx="3">
                  <c:v>5</c:v>
                </c:pt>
                <c:pt idx="4">
                  <c:v>6.7214876033057855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D0-4909-AEAE-BE2CF2134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30026560"/>
        <c:axId val="1130026920"/>
      </c:barChart>
      <c:barChart>
        <c:barDir val="col"/>
        <c:grouping val="clustered"/>
        <c:varyColors val="0"/>
        <c:ser>
          <c:idx val="1"/>
          <c:order val="1"/>
          <c:tx>
            <c:strRef>
              <c:f>'Показатели по полям 2026'!$AM$201</c:f>
              <c:strCache>
                <c:ptCount val="1"/>
                <c:pt idx="0">
                  <c:v> Валовый сбор, т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'Показатели по полям 2026'!$AK$202:$AK$210</c:f>
              <c:multiLvlStrCache>
                <c:ptCount val="5"/>
                <c:lvl>
                  <c:pt idx="0">
                    <c:v>27.06.2026</c:v>
                  </c:pt>
                  <c:pt idx="1">
                    <c:v>29.06.2026</c:v>
                  </c:pt>
                  <c:pt idx="2">
                    <c:v>30.06.2026</c:v>
                  </c:pt>
                  <c:pt idx="3">
                    <c:v>01.07.2026</c:v>
                  </c:pt>
                  <c:pt idx="4">
                    <c:v>06.07.2026</c:v>
                  </c:pt>
                </c:lvl>
                <c:lvl>
                  <c:pt idx="0">
                    <c:v>3.3 Колос</c:v>
                  </c:pt>
                  <c:pt idx="3">
                    <c:v>3.1 Колос</c:v>
                  </c:pt>
                </c:lvl>
                <c:lvl>
                  <c:pt idx="0">
                    <c:v>Беркут</c:v>
                  </c:pt>
                </c:lvl>
              </c:multiLvlStrCache>
            </c:multiLvlStrRef>
          </c:cat>
          <c:val>
            <c:numRef>
              <c:f>'Показатели по полям 2026'!$AM$202:$AM$210</c:f>
              <c:numCache>
                <c:formatCode>#,##0</c:formatCode>
                <c:ptCount val="5"/>
                <c:pt idx="0">
                  <c:v>38.57</c:v>
                </c:pt>
                <c:pt idx="1">
                  <c:v>262.10000000000002</c:v>
                </c:pt>
                <c:pt idx="2">
                  <c:v>79.83</c:v>
                </c:pt>
                <c:pt idx="3">
                  <c:v>14</c:v>
                </c:pt>
                <c:pt idx="4">
                  <c:v>81.33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0-4909-AEAE-BE2CF2134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77890552"/>
        <c:axId val="777891272"/>
      </c:barChart>
      <c:catAx>
        <c:axId val="113002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0026920"/>
        <c:crosses val="autoZero"/>
        <c:auto val="1"/>
        <c:lblAlgn val="ctr"/>
        <c:lblOffset val="100"/>
        <c:noMultiLvlLbl val="0"/>
      </c:catAx>
      <c:valAx>
        <c:axId val="113002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Финометр,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0026560"/>
        <c:crosses val="autoZero"/>
        <c:crossBetween val="between"/>
      </c:valAx>
      <c:valAx>
        <c:axId val="7778912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Валовый сбор, тонны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7890552"/>
        <c:crosses val="max"/>
        <c:crossBetween val="between"/>
      </c:valAx>
      <c:catAx>
        <c:axId val="777890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789127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Характеристика</a:t>
            </a:r>
            <a:r>
              <a:rPr lang="ru-RU" baseline="0"/>
              <a:t> (сорт)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5971910426090355"/>
          <c:y val="0.15823303586731519"/>
          <c:w val="0.84028089573909648"/>
          <c:h val="0.627776736789788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'Хар-ка качества 2023-2025'!$A$4</c:f>
              <c:strCache>
                <c:ptCount val="1"/>
                <c:pt idx="0">
                  <c:v>высший сорт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37042B7-71D3-4DBB-92A4-9FB1093E5A31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7C2-46F4-9621-6C9DA9D0310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33679FE-A6E9-4895-98E1-746B6E71016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7C2-46F4-9621-6C9DA9D031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0302EA2-DCF1-48A5-AD9E-729947447AC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7C2-46F4-9621-6C9DA9D03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'Хар-ка качества 2023-2025'!$B$3:$D$3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'Хар-ка качества 2023-2025'!$B$4:$D$4</c:f>
              <c:numCache>
                <c:formatCode>_-* #\ ##0_-;\-* #\ ##0_-;_-* "-"??_-;_-@_-</c:formatCode>
                <c:ptCount val="3"/>
                <c:pt idx="0">
                  <c:v>3863.8654939318458</c:v>
                </c:pt>
                <c:pt idx="1">
                  <c:v>3926.09</c:v>
                </c:pt>
                <c:pt idx="2">
                  <c:v>5098.72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2023-2025'!$E$4:$G$4</c15:f>
                <c15:dlblRangeCache>
                  <c:ptCount val="3"/>
                  <c:pt idx="0">
                    <c:v>58%</c:v>
                  </c:pt>
                  <c:pt idx="1">
                    <c:v>90%</c:v>
                  </c:pt>
                  <c:pt idx="2">
                    <c:v>72%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27C2-46F4-9621-6C9DA9D03109}"/>
            </c:ext>
          </c:extLst>
        </c:ser>
        <c:ser>
          <c:idx val="1"/>
          <c:order val="1"/>
          <c:tx>
            <c:strRef>
              <c:f>'Хар-ка качества 2023-2025'!$A$5</c:f>
              <c:strCache>
                <c:ptCount val="1"/>
                <c:pt idx="0">
                  <c:v>первый сорт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34839B8-F1B5-4A30-8B31-EF3EABDC2125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7C2-46F4-9621-6C9DA9D0310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0BD4C3A-E825-4A5A-9511-1C8DCB77C1E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7C2-46F4-9621-6C9DA9D031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D00F2AA-8CD5-47E7-9F96-9F3B054A9A7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7C2-46F4-9621-6C9DA9D03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'Хар-ка качества 2023-2025'!$B$3:$D$3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'Хар-ка качества 2023-2025'!$B$5:$D$5</c:f>
              <c:numCache>
                <c:formatCode>_-* #\ ##0_-;\-* #\ ##0_-;_-* "-"??_-;_-@_-</c:formatCode>
                <c:ptCount val="3"/>
                <c:pt idx="0">
                  <c:v>1760.8106468659857</c:v>
                </c:pt>
                <c:pt idx="1">
                  <c:v>433.13</c:v>
                </c:pt>
                <c:pt idx="2">
                  <c:v>1461.13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2023-2025'!$E$5:$G$5</c15:f>
                <c15:dlblRangeCache>
                  <c:ptCount val="3"/>
                  <c:pt idx="0">
                    <c:v>27%</c:v>
                  </c:pt>
                  <c:pt idx="1">
                    <c:v>10%</c:v>
                  </c:pt>
                  <c:pt idx="2">
                    <c:v>21%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27C2-46F4-9621-6C9DA9D03109}"/>
            </c:ext>
          </c:extLst>
        </c:ser>
        <c:ser>
          <c:idx val="2"/>
          <c:order val="2"/>
          <c:tx>
            <c:strRef>
              <c:f>'Хар-ка качества 2023-2025'!$A$6</c:f>
              <c:strCache>
                <c:ptCount val="1"/>
                <c:pt idx="0">
                  <c:v>второй сорт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B4FFCF3-6D2D-400F-8BD4-C158E1A70038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7C2-46F4-9621-6C9DA9D03109}"/>
                </c:ext>
              </c:extLst>
            </c:dLbl>
            <c:dLbl>
              <c:idx val="1"/>
              <c:layout>
                <c:manualLayout>
                  <c:x val="0"/>
                  <c:y val="-3.0742204655248174E-2"/>
                </c:manualLayout>
              </c:layout>
              <c:tx>
                <c:rich>
                  <a:bodyPr/>
                  <a:lstStyle/>
                  <a:p>
                    <a:fld id="{341008CE-74C6-4F45-84A1-9CB4E47A5154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7C2-46F4-9621-6C9DA9D031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2AA2126-DF83-44A8-8BE0-F95CD55C7C0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7C2-46F4-9621-6C9DA9D031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'Хар-ка качества 2023-2025'!$B$3:$D$3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'Хар-ка качества 2023-2025'!$B$6:$D$6</c:f>
              <c:numCache>
                <c:formatCode>_-* #\ ##0_-;\-* #\ ##0_-;_-* "-"??_-;_-@_-</c:formatCode>
                <c:ptCount val="3"/>
                <c:pt idx="0">
                  <c:v>1018.3538592021685</c:v>
                </c:pt>
                <c:pt idx="1">
                  <c:v>12.7</c:v>
                </c:pt>
                <c:pt idx="2">
                  <c:v>538.29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2023-2025'!$E$6:$G$6</c15:f>
                <c15:dlblRangeCache>
                  <c:ptCount val="3"/>
                  <c:pt idx="0">
                    <c:v>15%</c:v>
                  </c:pt>
                  <c:pt idx="1">
                    <c:v>0,3%</c:v>
                  </c:pt>
                  <c:pt idx="2">
                    <c:v>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27C2-46F4-9621-6C9DA9D03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978319480"/>
        <c:axId val="978319840"/>
      </c:barChart>
      <c:catAx>
        <c:axId val="978319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319840"/>
        <c:crosses val="autoZero"/>
        <c:auto val="1"/>
        <c:lblAlgn val="ctr"/>
        <c:lblOffset val="100"/>
        <c:noMultiLvlLbl val="0"/>
      </c:catAx>
      <c:valAx>
        <c:axId val="9783198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Физ.вес,</a:t>
                </a:r>
                <a:r>
                  <a:rPr lang="ru-RU" baseline="0"/>
                  <a:t> т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319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'Хар-ка качества 2023-2025'!$A$4</c:f>
              <c:strCache>
                <c:ptCount val="1"/>
                <c:pt idx="0">
                  <c:v>высший сорт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07B8D70-BCA8-4955-846A-E58ADF4B0B99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ACF-4753-902B-343857CFDF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E2F6A8-FB3F-4F6A-93C1-D3B0C00796C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ACF-4753-902B-343857CFDF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F2A4EAF-D621-4127-836E-2B13D2894F3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ACF-4753-902B-343857CFDF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'Хар-ка качества 2023-2025'!$B$3:$D$3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'Хар-ка качества 2023-2025'!$B$4:$D$4</c:f>
              <c:numCache>
                <c:formatCode>_-* #\ ##0_-;\-* #\ ##0_-;_-* "-"??_-;_-@_-</c:formatCode>
                <c:ptCount val="3"/>
                <c:pt idx="0">
                  <c:v>3863.8654939318458</c:v>
                </c:pt>
                <c:pt idx="1">
                  <c:v>3926.09</c:v>
                </c:pt>
                <c:pt idx="2">
                  <c:v>5098.72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2023-2025'!$E$4:$G$4</c15:f>
                <c15:dlblRangeCache>
                  <c:ptCount val="3"/>
                  <c:pt idx="0">
                    <c:v>58%</c:v>
                  </c:pt>
                  <c:pt idx="1">
                    <c:v>90%</c:v>
                  </c:pt>
                  <c:pt idx="2">
                    <c:v>72%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ACF-4753-902B-343857CFDFF0}"/>
            </c:ext>
          </c:extLst>
        </c:ser>
        <c:ser>
          <c:idx val="1"/>
          <c:order val="1"/>
          <c:tx>
            <c:strRef>
              <c:f>'Хар-ка качества 2023-2025'!$A$5</c:f>
              <c:strCache>
                <c:ptCount val="1"/>
                <c:pt idx="0">
                  <c:v>первый сорт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7ED23A7-99E9-4EF2-BA22-030936657B8E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ACF-4753-902B-343857CFDF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04EACDD-AAC1-4C66-8E30-062E6F76FD2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ACF-4753-902B-343857CFDF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9146CB8-A76D-450E-8F28-6CDECFEF968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ACF-4753-902B-343857CFDF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'Хар-ка качества 2023-2025'!$B$3:$D$3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'Хар-ка качества 2023-2025'!$B$5:$D$5</c:f>
              <c:numCache>
                <c:formatCode>_-* #\ ##0_-;\-* #\ ##0_-;_-* "-"??_-;_-@_-</c:formatCode>
                <c:ptCount val="3"/>
                <c:pt idx="0">
                  <c:v>1760.8106468659857</c:v>
                </c:pt>
                <c:pt idx="1">
                  <c:v>433.13</c:v>
                </c:pt>
                <c:pt idx="2">
                  <c:v>1461.13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2023-2025'!$E$5:$G$5</c15:f>
                <c15:dlblRangeCache>
                  <c:ptCount val="3"/>
                  <c:pt idx="0">
                    <c:v>27%</c:v>
                  </c:pt>
                  <c:pt idx="1">
                    <c:v>10%</c:v>
                  </c:pt>
                  <c:pt idx="2">
                    <c:v>21%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ACF-4753-902B-343857CFDFF0}"/>
            </c:ext>
          </c:extLst>
        </c:ser>
        <c:ser>
          <c:idx val="2"/>
          <c:order val="2"/>
          <c:tx>
            <c:strRef>
              <c:f>'Хар-ка качества 2023-2025'!$A$6</c:f>
              <c:strCache>
                <c:ptCount val="1"/>
                <c:pt idx="0">
                  <c:v>второй сорт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D04AF91-412C-42A9-A779-45F52DE84B5E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ACF-4753-902B-343857CFDFF0}"/>
                </c:ext>
              </c:extLst>
            </c:dLbl>
            <c:dLbl>
              <c:idx val="1"/>
              <c:layout>
                <c:manualLayout>
                  <c:x val="0"/>
                  <c:y val="-3.0742204655248174E-2"/>
                </c:manualLayout>
              </c:layout>
              <c:tx>
                <c:rich>
                  <a:bodyPr/>
                  <a:lstStyle/>
                  <a:p>
                    <a:fld id="{A5F88264-C5FE-4D88-AC50-3B3B74255187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ACF-4753-902B-343857CFDF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1D5E07E-615D-4667-928E-876B636EFAB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ACF-4753-902B-343857CFDF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'Хар-ка качества 2023-2025'!$B$3:$D$3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'Хар-ка качества 2023-2025'!$B$6:$D$6</c:f>
              <c:numCache>
                <c:formatCode>_-* #\ ##0_-;\-* #\ ##0_-;_-* "-"??_-;_-@_-</c:formatCode>
                <c:ptCount val="3"/>
                <c:pt idx="0">
                  <c:v>1018.3538592021685</c:v>
                </c:pt>
                <c:pt idx="1">
                  <c:v>12.7</c:v>
                </c:pt>
                <c:pt idx="2">
                  <c:v>538.29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'Хар-ка качества 2023-2025'!$E$6:$G$6</c15:f>
                <c15:dlblRangeCache>
                  <c:ptCount val="3"/>
                  <c:pt idx="0">
                    <c:v>15%</c:v>
                  </c:pt>
                  <c:pt idx="1">
                    <c:v>0,3%</c:v>
                  </c:pt>
                  <c:pt idx="2">
                    <c:v>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CACF-4753-902B-343857CFD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978319480"/>
        <c:axId val="978319840"/>
      </c:barChart>
      <c:catAx>
        <c:axId val="978319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319840"/>
        <c:crosses val="autoZero"/>
        <c:auto val="1"/>
        <c:lblAlgn val="ctr"/>
        <c:lblOffset val="100"/>
        <c:noMultiLvlLbl val="0"/>
      </c:catAx>
      <c:valAx>
        <c:axId val="9783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Физ.вес,</a:t>
                </a:r>
                <a:r>
                  <a:rPr lang="ru-RU" baseline="0"/>
                  <a:t> т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8319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chart" Target="../charts/chart4.xml"/><Relationship Id="rId5" Type="http://schemas.openxmlformats.org/officeDocument/2006/relationships/chart" Target="../charts/chart1.xml"/><Relationship Id="rId10" Type="http://schemas.openxmlformats.org/officeDocument/2006/relationships/image" Target="../media/image7.png"/><Relationship Id="rId4" Type="http://schemas.openxmlformats.org/officeDocument/2006/relationships/image" Target="../media/image4.svg"/><Relationship Id="rId9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6.xml"/><Relationship Id="rId11" Type="http://schemas.openxmlformats.org/officeDocument/2006/relationships/chart" Target="../charts/chart8.xml"/><Relationship Id="rId5" Type="http://schemas.openxmlformats.org/officeDocument/2006/relationships/chart" Target="../charts/chart5.xml"/><Relationship Id="rId10" Type="http://schemas.openxmlformats.org/officeDocument/2006/relationships/image" Target="../media/image7.png"/><Relationship Id="rId4" Type="http://schemas.openxmlformats.org/officeDocument/2006/relationships/image" Target="../media/image4.svg"/><Relationship Id="rId9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10.xml"/><Relationship Id="rId11" Type="http://schemas.openxmlformats.org/officeDocument/2006/relationships/chart" Target="../charts/chart12.xml"/><Relationship Id="rId5" Type="http://schemas.openxmlformats.org/officeDocument/2006/relationships/chart" Target="../charts/chart9.xml"/><Relationship Id="rId10" Type="http://schemas.openxmlformats.org/officeDocument/2006/relationships/image" Target="../media/image7.png"/><Relationship Id="rId4" Type="http://schemas.openxmlformats.org/officeDocument/2006/relationships/image" Target="../media/image4.svg"/><Relationship Id="rId9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320040</xdr:colOff>
      <xdr:row>3</xdr:row>
      <xdr:rowOff>57150</xdr:rowOff>
    </xdr:from>
    <xdr:to>
      <xdr:col>10</xdr:col>
      <xdr:colOff>266700</xdr:colOff>
      <xdr:row>4</xdr:row>
      <xdr:rowOff>57150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CA85873C-13F4-4790-9998-0A7FC5BC3110}"/>
            </a:ext>
          </a:extLst>
        </xdr:cNvPr>
        <xdr:cNvSpPr/>
      </xdr:nvSpPr>
      <xdr:spPr>
        <a:xfrm>
          <a:off x="2282190" y="809625"/>
          <a:ext cx="1203960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282575</xdr:colOff>
      <xdr:row>3</xdr:row>
      <xdr:rowOff>17780</xdr:rowOff>
    </xdr:from>
    <xdr:to>
      <xdr:col>19</xdr:col>
      <xdr:colOff>107156</xdr:colOff>
      <xdr:row>12</xdr:row>
      <xdr:rowOff>153950</xdr:rowOff>
    </xdr:to>
    <xdr:grpSp>
      <xdr:nvGrpSpPr>
        <xdr:cNvPr id="3" name="Группа 2">
          <a:extLst>
            <a:ext uri="{FF2B5EF4-FFF2-40B4-BE49-F238E27FC236}">
              <a16:creationId xmlns:a16="http://schemas.microsoft.com/office/drawing/2014/main" id="{C543963C-86F7-4A2E-BEE7-79E870F3883D}"/>
            </a:ext>
          </a:extLst>
        </xdr:cNvPr>
        <xdr:cNvGrpSpPr/>
      </xdr:nvGrpSpPr>
      <xdr:grpSpPr>
        <a:xfrm>
          <a:off x="6819106" y="767874"/>
          <a:ext cx="2253456" cy="1743514"/>
          <a:chOff x="7248525" y="781050"/>
          <a:chExt cx="2088092" cy="1757325"/>
        </a:xfrm>
      </xdr:grpSpPr>
      <xdr:grpSp>
        <xdr:nvGrpSpPr>
          <xdr:cNvPr id="4" name="Группа 3">
            <a:extLst>
              <a:ext uri="{FF2B5EF4-FFF2-40B4-BE49-F238E27FC236}">
                <a16:creationId xmlns:a16="http://schemas.microsoft.com/office/drawing/2014/main" id="{FABC16E8-1751-3402-AE33-B751FF784D9F}"/>
              </a:ext>
            </a:extLst>
          </xdr:cNvPr>
          <xdr:cNvGrpSpPr/>
        </xdr:nvGrpSpPr>
        <xdr:grpSpPr>
          <a:xfrm>
            <a:off x="7248525" y="781050"/>
            <a:ext cx="2088092" cy="1704975"/>
            <a:chOff x="2313819" y="794656"/>
            <a:chExt cx="2089452" cy="1717222"/>
          </a:xfrm>
        </xdr:grpSpPr>
        <xdr:sp macro="" textlink="">
          <xdr:nvSpPr>
            <xdr:cNvPr id="6" name="Прямоугольник 5">
              <a:extLst>
                <a:ext uri="{FF2B5EF4-FFF2-40B4-BE49-F238E27FC236}">
                  <a16:creationId xmlns:a16="http://schemas.microsoft.com/office/drawing/2014/main" id="{751A93B8-0C17-C3CB-8887-1C2C5835299D}"/>
                </a:ext>
              </a:extLst>
            </xdr:cNvPr>
            <xdr:cNvSpPr/>
          </xdr:nvSpPr>
          <xdr:spPr>
            <a:xfrm>
              <a:off x="2313819" y="794656"/>
              <a:ext cx="2089452" cy="1717222"/>
            </a:xfrm>
            <a:prstGeom prst="rect">
              <a:avLst/>
            </a:prstGeom>
            <a:ln w="19050"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ru-RU" sz="1400" b="0">
                  <a:latin typeface="Bahnschrift Light SemiCondensed" panose="020B0502040204020203" pitchFamily="34" charset="0"/>
                </a:rPr>
                <a:t>УРОЖАЙНОСТЬ</a:t>
              </a:r>
              <a:r>
                <a:rPr lang="ru-RU" sz="1400" b="0" baseline="0">
                  <a:latin typeface="Bahnschrift Light SemiCondensed" panose="020B0502040204020203" pitchFamily="34" charset="0"/>
                </a:rPr>
                <a:t> ФИЗ.ВЕС</a:t>
              </a:r>
              <a:endParaRPr lang="ru-RU" sz="1400" b="0">
                <a:latin typeface="Bahnschrift Light SemiCondensed" panose="020B0502040204020203" pitchFamily="34" charset="0"/>
              </a:endParaRPr>
            </a:p>
          </xdr:txBody>
        </xdr:sp>
        <xdr:cxnSp macro="">
          <xdr:nvCxnSpPr>
            <xdr:cNvPr id="7" name="Прямая соединительная линия 6">
              <a:extLst>
                <a:ext uri="{FF2B5EF4-FFF2-40B4-BE49-F238E27FC236}">
                  <a16:creationId xmlns:a16="http://schemas.microsoft.com/office/drawing/2014/main" id="{54AB3888-239D-3543-F8C4-9BAB31AA489A}"/>
                </a:ext>
              </a:extLst>
            </xdr:cNvPr>
            <xdr:cNvCxnSpPr/>
          </xdr:nvCxnSpPr>
          <xdr:spPr>
            <a:xfrm>
              <a:off x="2356153" y="1050774"/>
              <a:ext cx="2011376" cy="0"/>
            </a:xfrm>
            <a:prstGeom prst="line">
              <a:avLst/>
            </a:prstGeom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8" name="Прямоугольник 7">
              <a:extLst>
                <a:ext uri="{FF2B5EF4-FFF2-40B4-BE49-F238E27FC236}">
                  <a16:creationId xmlns:a16="http://schemas.microsoft.com/office/drawing/2014/main" id="{7B5C83B1-43A8-87C1-7AEB-D2FE7FF1DA25}"/>
                </a:ext>
              </a:extLst>
            </xdr:cNvPr>
            <xdr:cNvSpPr/>
          </xdr:nvSpPr>
          <xdr:spPr>
            <a:xfrm>
              <a:off x="2361656" y="1114697"/>
              <a:ext cx="639535" cy="19376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ПЛАН:</a:t>
              </a:r>
            </a:p>
          </xdr:txBody>
        </xdr:sp>
        <xdr:sp macro="" textlink="">
          <xdr:nvSpPr>
            <xdr:cNvPr id="9" name="Прямоугольник 8">
              <a:extLst>
                <a:ext uri="{FF2B5EF4-FFF2-40B4-BE49-F238E27FC236}">
                  <a16:creationId xmlns:a16="http://schemas.microsoft.com/office/drawing/2014/main" id="{92AF3458-5C32-F693-6E88-66E5378A1F08}"/>
                </a:ext>
              </a:extLst>
            </xdr:cNvPr>
            <xdr:cNvSpPr/>
          </xdr:nvSpPr>
          <xdr:spPr>
            <a:xfrm>
              <a:off x="2359539" y="1383272"/>
              <a:ext cx="639535" cy="19376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ФАКТ:</a:t>
              </a:r>
            </a:p>
          </xdr:txBody>
        </xdr:sp>
        <xdr:sp macro="" textlink="'Данные 2026'!B23">
          <xdr:nvSpPr>
            <xdr:cNvPr id="10" name="TextBox 9">
              <a:extLst>
                <a:ext uri="{FF2B5EF4-FFF2-40B4-BE49-F238E27FC236}">
                  <a16:creationId xmlns:a16="http://schemas.microsoft.com/office/drawing/2014/main" id="{E5DA304D-8DD8-4494-4E79-A64FB68D58D9}"/>
                </a:ext>
              </a:extLst>
            </xdr:cNvPr>
            <xdr:cNvSpPr txBox="1"/>
          </xdr:nvSpPr>
          <xdr:spPr>
            <a:xfrm>
              <a:off x="3342236" y="1070882"/>
              <a:ext cx="1023257" cy="2789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16A21587-C628-4045-AC2B-B55602FC535F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5,0 тн/га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  <xdr:sp macro="" textlink="'Данные 2026'!B24">
          <xdr:nvSpPr>
            <xdr:cNvPr id="11" name="TextBox 10">
              <a:extLst>
                <a:ext uri="{FF2B5EF4-FFF2-40B4-BE49-F238E27FC236}">
                  <a16:creationId xmlns:a16="http://schemas.microsoft.com/office/drawing/2014/main" id="{ACC2B568-437E-1B31-77A4-33E58EFC22D8}"/>
                </a:ext>
              </a:extLst>
            </xdr:cNvPr>
            <xdr:cNvSpPr txBox="1"/>
          </xdr:nvSpPr>
          <xdr:spPr>
            <a:xfrm>
              <a:off x="3346863" y="1337174"/>
              <a:ext cx="1018630" cy="2394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D9749B12-16E9-4B68-9724-35681DE4A04F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4,9 тн/га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</xdr:grpSp>
      <xdr:pic>
        <xdr:nvPicPr>
          <xdr:cNvPr id="5" name="Рисунок 4" descr="Открытая ладонь с растением">
            <a:extLst>
              <a:ext uri="{FF2B5EF4-FFF2-40B4-BE49-F238E27FC236}">
                <a16:creationId xmlns:a16="http://schemas.microsoft.com/office/drawing/2014/main" id="{96509939-128D-0F6A-DD39-231C05FB6C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72300" y="1623975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209338</xdr:colOff>
      <xdr:row>3</xdr:row>
      <xdr:rowOff>11906</xdr:rowOff>
    </xdr:from>
    <xdr:to>
      <xdr:col>11</xdr:col>
      <xdr:colOff>381000</xdr:colOff>
      <xdr:row>13</xdr:row>
      <xdr:rowOff>57570</xdr:rowOff>
    </xdr:to>
    <xdr:grpSp>
      <xdr:nvGrpSpPr>
        <xdr:cNvPr id="12" name="Группа 11">
          <a:extLst>
            <a:ext uri="{FF2B5EF4-FFF2-40B4-BE49-F238E27FC236}">
              <a16:creationId xmlns:a16="http://schemas.microsoft.com/office/drawing/2014/main" id="{735A4CD4-CE58-483D-B37D-49BC478ED01D}"/>
            </a:ext>
          </a:extLst>
        </xdr:cNvPr>
        <xdr:cNvGrpSpPr/>
      </xdr:nvGrpSpPr>
      <xdr:grpSpPr>
        <a:xfrm>
          <a:off x="2221494" y="762000"/>
          <a:ext cx="2267162" cy="1831601"/>
          <a:chOff x="2274358" y="801460"/>
          <a:chExt cx="2088092" cy="1839290"/>
        </a:xfrm>
      </xdr:grpSpPr>
      <xdr:grpSp>
        <xdr:nvGrpSpPr>
          <xdr:cNvPr id="13" name="Группа 12">
            <a:extLst>
              <a:ext uri="{FF2B5EF4-FFF2-40B4-BE49-F238E27FC236}">
                <a16:creationId xmlns:a16="http://schemas.microsoft.com/office/drawing/2014/main" id="{24CDF09B-BCE5-C0AF-6994-AA7CC6C70A89}"/>
              </a:ext>
            </a:extLst>
          </xdr:cNvPr>
          <xdr:cNvGrpSpPr/>
        </xdr:nvGrpSpPr>
        <xdr:grpSpPr>
          <a:xfrm>
            <a:off x="2274358" y="801460"/>
            <a:ext cx="2088092" cy="1704975"/>
            <a:chOff x="2313819" y="794656"/>
            <a:chExt cx="2089452" cy="1717222"/>
          </a:xfrm>
        </xdr:grpSpPr>
        <xdr:sp macro="" textlink="">
          <xdr:nvSpPr>
            <xdr:cNvPr id="15" name="Прямоугольник 14">
              <a:extLst>
                <a:ext uri="{FF2B5EF4-FFF2-40B4-BE49-F238E27FC236}">
                  <a16:creationId xmlns:a16="http://schemas.microsoft.com/office/drawing/2014/main" id="{B500943E-282D-F348-A0C8-0C8D83ADB62E}"/>
                </a:ext>
              </a:extLst>
            </xdr:cNvPr>
            <xdr:cNvSpPr/>
          </xdr:nvSpPr>
          <xdr:spPr>
            <a:xfrm>
              <a:off x="2313819" y="794656"/>
              <a:ext cx="2089452" cy="1717222"/>
            </a:xfrm>
            <a:prstGeom prst="rect">
              <a:avLst/>
            </a:prstGeom>
            <a:ln w="19050"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ru-RU" sz="1400" b="0">
                  <a:latin typeface="Bahnschrift Light SemiCondensed" panose="020B0502040204020203" pitchFamily="34" charset="0"/>
                </a:rPr>
                <a:t>ВАЛОВЫЙ СБОР</a:t>
              </a:r>
            </a:p>
          </xdr:txBody>
        </xdr:sp>
        <xdr:cxnSp macro="">
          <xdr:nvCxnSpPr>
            <xdr:cNvPr id="16" name="Прямая соединительная линия 15">
              <a:extLst>
                <a:ext uri="{FF2B5EF4-FFF2-40B4-BE49-F238E27FC236}">
                  <a16:creationId xmlns:a16="http://schemas.microsoft.com/office/drawing/2014/main" id="{77DFDAF1-CA3F-B329-266B-C0CCCFC5DFED}"/>
                </a:ext>
              </a:extLst>
            </xdr:cNvPr>
            <xdr:cNvCxnSpPr/>
          </xdr:nvCxnSpPr>
          <xdr:spPr>
            <a:xfrm>
              <a:off x="2356153" y="1050774"/>
              <a:ext cx="2011376" cy="0"/>
            </a:xfrm>
            <a:prstGeom prst="line">
              <a:avLst/>
            </a:prstGeom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17" name="Прямоугольник 16">
              <a:extLst>
                <a:ext uri="{FF2B5EF4-FFF2-40B4-BE49-F238E27FC236}">
                  <a16:creationId xmlns:a16="http://schemas.microsoft.com/office/drawing/2014/main" id="{447F99DF-F528-02E3-571F-18FDFC832040}"/>
                </a:ext>
              </a:extLst>
            </xdr:cNvPr>
            <xdr:cNvSpPr/>
          </xdr:nvSpPr>
          <xdr:spPr>
            <a:xfrm>
              <a:off x="2361656" y="1114697"/>
              <a:ext cx="639535" cy="19376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ПЛАН:</a:t>
              </a:r>
            </a:p>
          </xdr:txBody>
        </xdr:sp>
        <xdr:sp macro="" textlink="">
          <xdr:nvSpPr>
            <xdr:cNvPr id="18" name="Прямоугольник 17">
              <a:extLst>
                <a:ext uri="{FF2B5EF4-FFF2-40B4-BE49-F238E27FC236}">
                  <a16:creationId xmlns:a16="http://schemas.microsoft.com/office/drawing/2014/main" id="{3B4C96E5-42C7-22B7-47CD-9BF642102908}"/>
                </a:ext>
              </a:extLst>
            </xdr:cNvPr>
            <xdr:cNvSpPr/>
          </xdr:nvSpPr>
          <xdr:spPr>
            <a:xfrm>
              <a:off x="2359539" y="1383272"/>
              <a:ext cx="639535" cy="19376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ФАКТ:</a:t>
              </a:r>
            </a:p>
          </xdr:txBody>
        </xdr:sp>
        <xdr:sp macro="" textlink="'Данные 2026'!B4">
          <xdr:nvSpPr>
            <xdr:cNvPr id="19" name="TextBox 18">
              <a:extLst>
                <a:ext uri="{FF2B5EF4-FFF2-40B4-BE49-F238E27FC236}">
                  <a16:creationId xmlns:a16="http://schemas.microsoft.com/office/drawing/2014/main" id="{9A6D51AF-2DAC-6869-F46B-4F2E99BFECD1}"/>
                </a:ext>
              </a:extLst>
            </xdr:cNvPr>
            <xdr:cNvSpPr txBox="1"/>
          </xdr:nvSpPr>
          <xdr:spPr>
            <a:xfrm>
              <a:off x="3342236" y="1070882"/>
              <a:ext cx="1023257" cy="2789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C6583D1E-D5DB-4FCD-B72A-E25294A4A7CB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9536 тн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  <xdr:sp macro="" textlink="'Данные 2026'!B5">
          <xdr:nvSpPr>
            <xdr:cNvPr id="20" name="TextBox 19">
              <a:extLst>
                <a:ext uri="{FF2B5EF4-FFF2-40B4-BE49-F238E27FC236}">
                  <a16:creationId xmlns:a16="http://schemas.microsoft.com/office/drawing/2014/main" id="{87E03321-7ACF-4A45-C27B-8E326943D61C}"/>
                </a:ext>
              </a:extLst>
            </xdr:cNvPr>
            <xdr:cNvSpPr txBox="1"/>
          </xdr:nvSpPr>
          <xdr:spPr>
            <a:xfrm>
              <a:off x="3346863" y="1337174"/>
              <a:ext cx="1018630" cy="2394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55732411-E129-4862-BAC8-15DCD5C40369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8235 тн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  <xdr:sp macro="" textlink="'Данные 2026'!B6">
          <xdr:nvSpPr>
            <xdr:cNvPr id="21" name="TextBox 20">
              <a:extLst>
                <a:ext uri="{FF2B5EF4-FFF2-40B4-BE49-F238E27FC236}">
                  <a16:creationId xmlns:a16="http://schemas.microsoft.com/office/drawing/2014/main" id="{1F390299-0DDA-69AC-9683-7403E9E5BADD}"/>
                </a:ext>
              </a:extLst>
            </xdr:cNvPr>
            <xdr:cNvSpPr txBox="1"/>
          </xdr:nvSpPr>
          <xdr:spPr>
            <a:xfrm>
              <a:off x="3619360" y="1993446"/>
              <a:ext cx="655507" cy="38562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7F061749-ACCA-4A67-AA02-6ED506E5E02E}" type="TxLink">
                <a:rPr lang="en-US" sz="1600" b="0" i="0" u="none" strike="noStrike">
                  <a:solidFill>
                    <a:srgbClr val="FF0000"/>
                  </a:solidFill>
                  <a:latin typeface="Bahnschrift SemiLight" panose="020B0502040204020203" pitchFamily="34" charset="0"/>
                  <a:cs typeface="Calibri"/>
                </a:rPr>
                <a:pPr algn="r"/>
                <a:t>86%</a:t>
              </a:fld>
              <a:endParaRPr lang="ru-RU" sz="1600" b="0">
                <a:solidFill>
                  <a:srgbClr val="FF0000"/>
                </a:solidFill>
                <a:latin typeface="Bahnschrift SemiLight" panose="020B0502040204020203" pitchFamily="34" charset="0"/>
              </a:endParaRPr>
            </a:p>
          </xdr:txBody>
        </xdr:sp>
      </xdr:grpSp>
      <xdr:pic>
        <xdr:nvPicPr>
          <xdr:cNvPr id="14" name="Рисунок 13" descr="Самосвал">
            <a:extLst>
              <a:ext uri="{FF2B5EF4-FFF2-40B4-BE49-F238E27FC236}">
                <a16:creationId xmlns:a16="http://schemas.microsoft.com/office/drawing/2014/main" id="{3068AE47-FA54-300A-55DE-C149B6353C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316900" y="1726350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201083</xdr:colOff>
      <xdr:row>12</xdr:row>
      <xdr:rowOff>140970</xdr:rowOff>
    </xdr:from>
    <xdr:to>
      <xdr:col>19</xdr:col>
      <xdr:colOff>102870</xdr:colOff>
      <xdr:row>25</xdr:row>
      <xdr:rowOff>167640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D69F548B-E113-4160-803B-91D405557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206798</xdr:colOff>
      <xdr:row>26</xdr:row>
      <xdr:rowOff>15241</xdr:rowOff>
    </xdr:from>
    <xdr:to>
      <xdr:col>33</xdr:col>
      <xdr:colOff>10583</xdr:colOff>
      <xdr:row>36</xdr:row>
      <xdr:rowOff>160656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4631B55B-DA38-44FC-8D0E-905728BB0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423070</xdr:colOff>
      <xdr:row>3</xdr:row>
      <xdr:rowOff>17325</xdr:rowOff>
    </xdr:from>
    <xdr:to>
      <xdr:col>15</xdr:col>
      <xdr:colOff>233597</xdr:colOff>
      <xdr:row>13</xdr:row>
      <xdr:rowOff>0</xdr:rowOff>
    </xdr:to>
    <xdr:grpSp>
      <xdr:nvGrpSpPr>
        <xdr:cNvPr id="24" name="Группа 23">
          <a:extLst>
            <a:ext uri="{FF2B5EF4-FFF2-40B4-BE49-F238E27FC236}">
              <a16:creationId xmlns:a16="http://schemas.microsoft.com/office/drawing/2014/main" id="{2C5B71CC-FA6F-4AA9-8B82-E6C1C0466124}"/>
            </a:ext>
          </a:extLst>
        </xdr:cNvPr>
        <xdr:cNvGrpSpPr/>
      </xdr:nvGrpSpPr>
      <xdr:grpSpPr>
        <a:xfrm>
          <a:off x="4530726" y="767419"/>
          <a:ext cx="2239402" cy="1768612"/>
          <a:chOff x="4800601" y="669470"/>
          <a:chExt cx="2243212" cy="1778455"/>
        </a:xfrm>
      </xdr:grpSpPr>
      <xdr:grpSp>
        <xdr:nvGrpSpPr>
          <xdr:cNvPr id="25" name="Группа 24">
            <a:extLst>
              <a:ext uri="{FF2B5EF4-FFF2-40B4-BE49-F238E27FC236}">
                <a16:creationId xmlns:a16="http://schemas.microsoft.com/office/drawing/2014/main" id="{BE8B76C5-6729-B29C-9392-C06B4173BCCC}"/>
              </a:ext>
            </a:extLst>
          </xdr:cNvPr>
          <xdr:cNvGrpSpPr/>
        </xdr:nvGrpSpPr>
        <xdr:grpSpPr>
          <a:xfrm>
            <a:off x="4800601" y="669470"/>
            <a:ext cx="2243212" cy="1703615"/>
            <a:chOff x="4815566" y="775606"/>
            <a:chExt cx="2089453" cy="1717222"/>
          </a:xfrm>
        </xdr:grpSpPr>
        <xdr:grpSp>
          <xdr:nvGrpSpPr>
            <xdr:cNvPr id="27" name="Группа 26">
              <a:extLst>
                <a:ext uri="{FF2B5EF4-FFF2-40B4-BE49-F238E27FC236}">
                  <a16:creationId xmlns:a16="http://schemas.microsoft.com/office/drawing/2014/main" id="{BDFF9EC9-4409-049D-98A2-684EF07871CF}"/>
                </a:ext>
              </a:extLst>
            </xdr:cNvPr>
            <xdr:cNvGrpSpPr/>
          </xdr:nvGrpSpPr>
          <xdr:grpSpPr>
            <a:xfrm>
              <a:off x="4815566" y="775606"/>
              <a:ext cx="2089453" cy="1717222"/>
              <a:chOff x="2316539" y="786491"/>
              <a:chExt cx="2089452" cy="1717222"/>
            </a:xfrm>
          </xdr:grpSpPr>
          <xdr:sp macro="" textlink="">
            <xdr:nvSpPr>
              <xdr:cNvPr id="30" name="Прямоугольник 29">
                <a:extLst>
                  <a:ext uri="{FF2B5EF4-FFF2-40B4-BE49-F238E27FC236}">
                    <a16:creationId xmlns:a16="http://schemas.microsoft.com/office/drawing/2014/main" id="{11A1AA89-9992-A660-B6B2-B22B3090D741}"/>
                  </a:ext>
                </a:extLst>
              </xdr:cNvPr>
              <xdr:cNvSpPr/>
            </xdr:nvSpPr>
            <xdr:spPr>
              <a:xfrm>
                <a:off x="2316539" y="786491"/>
                <a:ext cx="2089452" cy="1717222"/>
              </a:xfrm>
              <a:prstGeom prst="rect">
                <a:avLst/>
              </a:prstGeom>
              <a:ln w="19050"/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ru-RU" sz="1400" b="0">
                    <a:latin typeface="Bahnschrift Light SemiCondensed" panose="020B0502040204020203" pitchFamily="34" charset="0"/>
                  </a:rPr>
                  <a:t>ПЛОЩАДЬ</a:t>
                </a:r>
                <a:r>
                  <a:rPr lang="ru-RU" sz="1400" b="0" baseline="0">
                    <a:latin typeface="Bahnschrift Light SemiCondensed" panose="020B0502040204020203" pitchFamily="34" charset="0"/>
                  </a:rPr>
                  <a:t> УБОРКИ</a:t>
                </a:r>
                <a:endParaRPr lang="ru-RU" sz="1400" b="0">
                  <a:latin typeface="Bahnschrift Light SemiCondensed" panose="020B0502040204020203" pitchFamily="34" charset="0"/>
                </a:endParaRPr>
              </a:p>
            </xdr:txBody>
          </xdr:sp>
          <xdr:cxnSp macro="">
            <xdr:nvCxnSpPr>
              <xdr:cNvPr id="31" name="Прямая соединительная линия 30">
                <a:extLst>
                  <a:ext uri="{FF2B5EF4-FFF2-40B4-BE49-F238E27FC236}">
                    <a16:creationId xmlns:a16="http://schemas.microsoft.com/office/drawing/2014/main" id="{89918212-1D7F-6C0D-348C-E9EADA819874}"/>
                  </a:ext>
                </a:extLst>
              </xdr:cNvPr>
              <xdr:cNvCxnSpPr/>
            </xdr:nvCxnSpPr>
            <xdr:spPr>
              <a:xfrm flipV="1">
                <a:off x="2356153" y="1047750"/>
                <a:ext cx="1992690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2" name="Прямоугольник 31">
                <a:extLst>
                  <a:ext uri="{FF2B5EF4-FFF2-40B4-BE49-F238E27FC236}">
                    <a16:creationId xmlns:a16="http://schemas.microsoft.com/office/drawing/2014/main" id="{58ED9239-464A-5BB2-6622-E6B0108FDADA}"/>
                  </a:ext>
                </a:extLst>
              </xdr:cNvPr>
              <xdr:cNvSpPr/>
            </xdr:nvSpPr>
            <xdr:spPr>
              <a:xfrm>
                <a:off x="2361656" y="1114697"/>
                <a:ext cx="639535" cy="19376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ПЛАН:</a:t>
                </a:r>
              </a:p>
            </xdr:txBody>
          </xdr:sp>
          <xdr:sp macro="" textlink="">
            <xdr:nvSpPr>
              <xdr:cNvPr id="33" name="Прямоугольник 32">
                <a:extLst>
                  <a:ext uri="{FF2B5EF4-FFF2-40B4-BE49-F238E27FC236}">
                    <a16:creationId xmlns:a16="http://schemas.microsoft.com/office/drawing/2014/main" id="{88FD8651-20F9-E04C-1958-99A05A587DAC}"/>
                  </a:ext>
                </a:extLst>
              </xdr:cNvPr>
              <xdr:cNvSpPr/>
            </xdr:nvSpPr>
            <xdr:spPr>
              <a:xfrm>
                <a:off x="2359539" y="1383272"/>
                <a:ext cx="639535" cy="19376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ФАКТ:</a:t>
                </a:r>
              </a:p>
            </xdr:txBody>
          </xdr:sp>
          <xdr:sp macro="" textlink="'Данные 2026'!B15">
            <xdr:nvSpPr>
              <xdr:cNvPr id="34" name="TextBox 33">
                <a:extLst>
                  <a:ext uri="{FF2B5EF4-FFF2-40B4-BE49-F238E27FC236}">
                    <a16:creationId xmlns:a16="http://schemas.microsoft.com/office/drawing/2014/main" id="{BB4C5DE7-1BD2-C3DC-9F13-CC5E232ED557}"/>
                  </a:ext>
                </a:extLst>
              </xdr:cNvPr>
              <xdr:cNvSpPr txBox="1"/>
            </xdr:nvSpPr>
            <xdr:spPr>
              <a:xfrm>
                <a:off x="3370488" y="1051680"/>
                <a:ext cx="1023257" cy="27894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r"/>
                <a:fld id="{5BC57212-0D6B-4640-AEDF-DCB671740A87}" type="TxLink">
                  <a:rPr lang="en-US" sz="1400" b="0" i="0" u="none" strike="noStrike">
                    <a:solidFill>
                      <a:schemeClr val="accent6">
                        <a:lumMod val="50000"/>
                      </a:schemeClr>
                    </a:solidFill>
                    <a:latin typeface="Bahnschrift Light SemiCondensed"/>
                    <a:ea typeface="+mn-ea"/>
                    <a:cs typeface="+mn-cs"/>
                  </a:rPr>
                  <a:pPr marL="0" indent="0" algn="r"/>
                  <a:t>1907 га</a:t>
                </a:fld>
                <a:endParaRPr lang="ru-RU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endParaRPr>
              </a:p>
            </xdr:txBody>
          </xdr:sp>
          <xdr:sp macro="" textlink="'Данные 2026'!B16">
            <xdr:nvSpPr>
              <xdr:cNvPr id="35" name="TextBox 34">
                <a:extLst>
                  <a:ext uri="{FF2B5EF4-FFF2-40B4-BE49-F238E27FC236}">
                    <a16:creationId xmlns:a16="http://schemas.microsoft.com/office/drawing/2014/main" id="{8FDA98AF-2A17-E330-0B27-096CA6FF3162}"/>
                  </a:ext>
                </a:extLst>
              </xdr:cNvPr>
              <xdr:cNvSpPr txBox="1"/>
            </xdr:nvSpPr>
            <xdr:spPr>
              <a:xfrm>
                <a:off x="3368765" y="1337180"/>
                <a:ext cx="1018630" cy="2394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r"/>
                <a:fld id="{852EFA25-0C5D-4589-A16B-4DED6974DB9E}" type="TxLink">
                  <a:rPr lang="en-US" sz="1400" b="0" i="0" u="none" strike="noStrike">
                    <a:solidFill>
                      <a:schemeClr val="accent6">
                        <a:lumMod val="50000"/>
                      </a:schemeClr>
                    </a:solidFill>
                    <a:latin typeface="Bahnschrift Light SemiCondensed"/>
                    <a:ea typeface="+mn-ea"/>
                    <a:cs typeface="+mn-cs"/>
                  </a:rPr>
                  <a:pPr marL="0" indent="0" algn="r"/>
                  <a:t>1674 га</a:t>
                </a:fld>
                <a:endParaRPr lang="ru-RU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endParaRPr>
              </a:p>
            </xdr:txBody>
          </xdr:sp>
          <xdr:sp macro="" textlink="'Данные 2026'!B18">
            <xdr:nvSpPr>
              <xdr:cNvPr id="36" name="TextBox 35">
                <a:extLst>
                  <a:ext uri="{FF2B5EF4-FFF2-40B4-BE49-F238E27FC236}">
                    <a16:creationId xmlns:a16="http://schemas.microsoft.com/office/drawing/2014/main" id="{B9DEFDA6-93C3-CF72-F13C-CBE4DD6C6D70}"/>
                  </a:ext>
                </a:extLst>
              </xdr:cNvPr>
              <xdr:cNvSpPr txBox="1"/>
            </xdr:nvSpPr>
            <xdr:spPr>
              <a:xfrm>
                <a:off x="3534975" y="1993446"/>
                <a:ext cx="783933" cy="38562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5EFB7A77-F032-455A-B229-890940341FA4}" type="TxLink">
                  <a:rPr lang="en-US" sz="1600" b="0" i="0" u="none" strike="noStrike">
                    <a:solidFill>
                      <a:srgbClr val="FF0000"/>
                    </a:solidFill>
                    <a:latin typeface="Bahnschrift SemiLight" panose="020B0502040204020203" pitchFamily="34" charset="0"/>
                    <a:cs typeface="Calibri"/>
                  </a:rPr>
                  <a:pPr algn="r"/>
                  <a:t>88%</a:t>
                </a:fld>
                <a:endParaRPr lang="ru-RU" sz="1600" b="0">
                  <a:solidFill>
                    <a:srgbClr val="FF0000"/>
                  </a:solidFill>
                  <a:latin typeface="Bahnschrift SemiLight" panose="020B0502040204020203" pitchFamily="34" charset="0"/>
                </a:endParaRPr>
              </a:p>
            </xdr:txBody>
          </xdr:sp>
        </xdr:grpSp>
        <xdr:sp macro="" textlink="">
          <xdr:nvSpPr>
            <xdr:cNvPr id="28" name="Прямоугольник 27">
              <a:extLst>
                <a:ext uri="{FF2B5EF4-FFF2-40B4-BE49-F238E27FC236}">
                  <a16:creationId xmlns:a16="http://schemas.microsoft.com/office/drawing/2014/main" id="{C0D5E8D7-CA0B-3830-5F25-F11DD0B2AD2C}"/>
                </a:ext>
              </a:extLst>
            </xdr:cNvPr>
            <xdr:cNvSpPr/>
          </xdr:nvSpPr>
          <xdr:spPr>
            <a:xfrm>
              <a:off x="4871356" y="1627414"/>
              <a:ext cx="740230" cy="19374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ОСТАТОК:</a:t>
              </a:r>
            </a:p>
          </xdr:txBody>
        </xdr:sp>
        <xdr:sp macro="" textlink="'Данные 2026'!B17">
          <xdr:nvSpPr>
            <xdr:cNvPr id="29" name="TextBox 28">
              <a:extLst>
                <a:ext uri="{FF2B5EF4-FFF2-40B4-BE49-F238E27FC236}">
                  <a16:creationId xmlns:a16="http://schemas.microsoft.com/office/drawing/2014/main" id="{920393CD-8AFC-93FF-D2E8-35DD00DF7A7C}"/>
                </a:ext>
              </a:extLst>
            </xdr:cNvPr>
            <xdr:cNvSpPr txBox="1"/>
          </xdr:nvSpPr>
          <xdr:spPr>
            <a:xfrm>
              <a:off x="6014357" y="1602769"/>
              <a:ext cx="881743" cy="2166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C619250B-84AB-4D36-9ECC-8D575108EE40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233 га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</xdr:grpSp>
      <xdr:pic>
        <xdr:nvPicPr>
          <xdr:cNvPr id="26" name="Рисунок 25" descr="Карта с кнопкой">
            <a:extLst>
              <a:ext uri="{FF2B5EF4-FFF2-40B4-BE49-F238E27FC236}">
                <a16:creationId xmlns:a16="http://schemas.microsoft.com/office/drawing/2014/main" id="{5CCF7AFC-2BB7-F170-D6E3-DCAEDB6825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4857750" y="1533525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142240</xdr:colOff>
      <xdr:row>12</xdr:row>
      <xdr:rowOff>142239</xdr:rowOff>
    </xdr:from>
    <xdr:to>
      <xdr:col>25</xdr:col>
      <xdr:colOff>10161</xdr:colOff>
      <xdr:row>25</xdr:row>
      <xdr:rowOff>166688</xdr:rowOff>
    </xdr:to>
    <xdr:graphicFrame macro="">
      <xdr:nvGraphicFramePr>
        <xdr:cNvPr id="37" name="Диаграмма 36">
          <a:extLst>
            <a:ext uri="{FF2B5EF4-FFF2-40B4-BE49-F238E27FC236}">
              <a16:creationId xmlns:a16="http://schemas.microsoft.com/office/drawing/2014/main" id="{8A33A767-DE07-4BA3-ACF1-A02A2DF4F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137159</xdr:colOff>
      <xdr:row>3</xdr:row>
      <xdr:rowOff>19050</xdr:rowOff>
    </xdr:from>
    <xdr:to>
      <xdr:col>25</xdr:col>
      <xdr:colOff>15240</xdr:colOff>
      <xdr:row>12</xdr:row>
      <xdr:rowOff>95249</xdr:rowOff>
    </xdr:to>
    <xdr:grpSp>
      <xdr:nvGrpSpPr>
        <xdr:cNvPr id="38" name="Группа 37">
          <a:extLst>
            <a:ext uri="{FF2B5EF4-FFF2-40B4-BE49-F238E27FC236}">
              <a16:creationId xmlns:a16="http://schemas.microsoft.com/office/drawing/2014/main" id="{36F3361E-E549-4D10-AB76-E2D6ADAAFABE}"/>
            </a:ext>
          </a:extLst>
        </xdr:cNvPr>
        <xdr:cNvGrpSpPr/>
      </xdr:nvGrpSpPr>
      <xdr:grpSpPr>
        <a:xfrm>
          <a:off x="9102565" y="769144"/>
          <a:ext cx="4402456" cy="1683543"/>
          <a:chOff x="9163049" y="647700"/>
          <a:chExt cx="4400551" cy="1704975"/>
        </a:xfrm>
      </xdr:grpSpPr>
      <xdr:grpSp>
        <xdr:nvGrpSpPr>
          <xdr:cNvPr id="39" name="Группа 38">
            <a:extLst>
              <a:ext uri="{FF2B5EF4-FFF2-40B4-BE49-F238E27FC236}">
                <a16:creationId xmlns:a16="http://schemas.microsoft.com/office/drawing/2014/main" id="{C013E8C5-D5A2-2911-5E6E-B369FC8C5725}"/>
              </a:ext>
            </a:extLst>
          </xdr:cNvPr>
          <xdr:cNvGrpSpPr/>
        </xdr:nvGrpSpPr>
        <xdr:grpSpPr>
          <a:xfrm>
            <a:off x="9163049" y="647700"/>
            <a:ext cx="4400551" cy="1704975"/>
            <a:chOff x="9163049" y="647700"/>
            <a:chExt cx="4400551" cy="1704975"/>
          </a:xfrm>
        </xdr:grpSpPr>
        <xdr:grpSp>
          <xdr:nvGrpSpPr>
            <xdr:cNvPr id="45" name="Группа 44">
              <a:extLst>
                <a:ext uri="{FF2B5EF4-FFF2-40B4-BE49-F238E27FC236}">
                  <a16:creationId xmlns:a16="http://schemas.microsoft.com/office/drawing/2014/main" id="{4FF81354-3803-25F2-B881-964DCD1F049E}"/>
                </a:ext>
              </a:extLst>
            </xdr:cNvPr>
            <xdr:cNvGrpSpPr/>
          </xdr:nvGrpSpPr>
          <xdr:grpSpPr>
            <a:xfrm>
              <a:off x="9163049" y="647700"/>
              <a:ext cx="4400551" cy="1704975"/>
              <a:chOff x="9163049" y="647700"/>
              <a:chExt cx="4400551" cy="1704975"/>
            </a:xfrm>
          </xdr:grpSpPr>
          <xdr:sp macro="" textlink="">
            <xdr:nvSpPr>
              <xdr:cNvPr id="47" name="Прямоугольник 46">
                <a:extLst>
                  <a:ext uri="{FF2B5EF4-FFF2-40B4-BE49-F238E27FC236}">
                    <a16:creationId xmlns:a16="http://schemas.microsoft.com/office/drawing/2014/main" id="{280CE199-93AE-2FE7-669C-BE42864A75EA}"/>
                  </a:ext>
                </a:extLst>
              </xdr:cNvPr>
              <xdr:cNvSpPr/>
            </xdr:nvSpPr>
            <xdr:spPr>
              <a:xfrm>
                <a:off x="9163049" y="647700"/>
                <a:ext cx="4400551" cy="1704975"/>
              </a:xfrm>
              <a:prstGeom prst="rect">
                <a:avLst/>
              </a:prstGeom>
              <a:ln w="19050"/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ru-RU" sz="1400" b="0">
                    <a:latin typeface="Bahnschrift Light SemiCondensed" panose="020B0502040204020203" pitchFamily="34" charset="0"/>
                  </a:rPr>
                  <a:t>ИНФОРМАЦИЯ ПО СЫРЬЮ</a:t>
                </a:r>
              </a:p>
            </xdr:txBody>
          </xdr:sp>
          <xdr:cxnSp macro="">
            <xdr:nvCxnSpPr>
              <xdr:cNvPr id="48" name="Прямая соединительная линия 47">
                <a:extLst>
                  <a:ext uri="{FF2B5EF4-FFF2-40B4-BE49-F238E27FC236}">
                    <a16:creationId xmlns:a16="http://schemas.microsoft.com/office/drawing/2014/main" id="{59F10161-8EBD-49CC-2511-785C5D7B74F7}"/>
                  </a:ext>
                </a:extLst>
              </xdr:cNvPr>
              <xdr:cNvCxnSpPr/>
            </xdr:nvCxnSpPr>
            <xdr:spPr>
              <a:xfrm>
                <a:off x="9252208" y="901991"/>
                <a:ext cx="4236117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49" name="Прямоугольник 48">
                <a:extLst>
                  <a:ext uri="{FF2B5EF4-FFF2-40B4-BE49-F238E27FC236}">
                    <a16:creationId xmlns:a16="http://schemas.microsoft.com/office/drawing/2014/main" id="{EE58925B-49E8-4FBF-D700-AED6C3A6F1E0}"/>
                  </a:ext>
                </a:extLst>
              </xdr:cNvPr>
              <xdr:cNvSpPr/>
            </xdr:nvSpPr>
            <xdr:spPr>
              <a:xfrm>
                <a:off x="9163049" y="965459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Переработка:</a:t>
                </a:r>
              </a:p>
            </xdr:txBody>
          </xdr:sp>
          <xdr:sp macro="" textlink="">
            <xdr:nvSpPr>
              <xdr:cNvPr id="50" name="Прямоугольник 49">
                <a:extLst>
                  <a:ext uri="{FF2B5EF4-FFF2-40B4-BE49-F238E27FC236}">
                    <a16:creationId xmlns:a16="http://schemas.microsoft.com/office/drawing/2014/main" id="{CDEBA45F-40A5-4DDF-29F3-586E74FD5B80}"/>
                  </a:ext>
                </a:extLst>
              </xdr:cNvPr>
              <xdr:cNvSpPr/>
            </xdr:nvSpPr>
            <xdr:spPr>
              <a:xfrm>
                <a:off x="9163049" y="1200150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Утилизация:</a:t>
                </a:r>
              </a:p>
            </xdr:txBody>
          </xdr:sp>
          <xdr:sp macro="" textlink="">
            <xdr:nvSpPr>
              <xdr:cNvPr id="51" name="Прямоугольник 50">
                <a:extLst>
                  <a:ext uri="{FF2B5EF4-FFF2-40B4-BE49-F238E27FC236}">
                    <a16:creationId xmlns:a16="http://schemas.microsoft.com/office/drawing/2014/main" id="{A4FFF935-4BCE-8FDB-B25B-9223A87A1A38}"/>
                  </a:ext>
                </a:extLst>
              </xdr:cNvPr>
              <xdr:cNvSpPr/>
            </xdr:nvSpPr>
            <xdr:spPr>
              <a:xfrm>
                <a:off x="9163049" y="1428750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Реализация:</a:t>
                </a:r>
              </a:p>
            </xdr:txBody>
          </xdr:sp>
          <xdr:cxnSp macro="">
            <xdr:nvCxnSpPr>
              <xdr:cNvPr id="52" name="Прямая соединительная линия 51">
                <a:extLst>
                  <a:ext uri="{FF2B5EF4-FFF2-40B4-BE49-F238E27FC236}">
                    <a16:creationId xmlns:a16="http://schemas.microsoft.com/office/drawing/2014/main" id="{5B81C6FB-77FE-BEB0-5BD2-5554B81A06AA}"/>
                  </a:ext>
                </a:extLst>
              </xdr:cNvPr>
              <xdr:cNvCxnSpPr/>
            </xdr:nvCxnSpPr>
            <xdr:spPr>
              <a:xfrm flipV="1">
                <a:off x="9248775" y="1724025"/>
                <a:ext cx="2066925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3" name="Прямоугольник 52">
                <a:extLst>
                  <a:ext uri="{FF2B5EF4-FFF2-40B4-BE49-F238E27FC236}">
                    <a16:creationId xmlns:a16="http://schemas.microsoft.com/office/drawing/2014/main" id="{3D54AC45-15F1-3804-0428-6578DC6CE0AC}"/>
                  </a:ext>
                </a:extLst>
              </xdr:cNvPr>
              <xdr:cNvSpPr/>
            </xdr:nvSpPr>
            <xdr:spPr>
              <a:xfrm>
                <a:off x="9163049" y="1762125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Собственное</a:t>
                </a:r>
                <a:r>
                  <a:rPr lang="ru-RU" sz="1100" baseline="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 сырье</a:t>
                </a:r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:</a:t>
                </a:r>
              </a:p>
            </xdr:txBody>
          </xdr:sp>
          <xdr:sp macro="" textlink="">
            <xdr:nvSpPr>
              <xdr:cNvPr id="54" name="Прямоугольник 53">
                <a:extLst>
                  <a:ext uri="{FF2B5EF4-FFF2-40B4-BE49-F238E27FC236}">
                    <a16:creationId xmlns:a16="http://schemas.microsoft.com/office/drawing/2014/main" id="{1453B856-B6B9-5419-E9A1-D50CF7A7233C}"/>
                  </a:ext>
                </a:extLst>
              </xdr:cNvPr>
              <xdr:cNvSpPr/>
            </xdr:nvSpPr>
            <xdr:spPr>
              <a:xfrm>
                <a:off x="9163049" y="2009775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Закупка:</a:t>
                </a:r>
              </a:p>
            </xdr:txBody>
          </xdr:sp>
        </xdr:grpSp>
        <xdr:pic>
          <xdr:nvPicPr>
            <xdr:cNvPr id="46" name="Рисунок 45">
              <a:extLst>
                <a:ext uri="{FF2B5EF4-FFF2-40B4-BE49-F238E27FC236}">
                  <a16:creationId xmlns:a16="http://schemas.microsoft.com/office/drawing/2014/main" id="{D56C7BB6-8FFE-E38E-394E-9C7A369C73B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791950" y="1085850"/>
              <a:ext cx="1634002" cy="1117475"/>
            </a:xfrm>
            <a:prstGeom prst="rect">
              <a:avLst/>
            </a:prstGeom>
          </xdr:spPr>
        </xdr:pic>
      </xdr:grpSp>
      <xdr:sp macro="" textlink="'Данные 2026'!B34">
        <xdr:nvSpPr>
          <xdr:cNvPr id="40" name="TextBox 39">
            <a:extLst>
              <a:ext uri="{FF2B5EF4-FFF2-40B4-BE49-F238E27FC236}">
                <a16:creationId xmlns:a16="http://schemas.microsoft.com/office/drawing/2014/main" id="{D0D7CBBD-E5F2-1C3C-6B15-ADD72BA0C513}"/>
              </a:ext>
            </a:extLst>
          </xdr:cNvPr>
          <xdr:cNvSpPr txBox="1"/>
        </xdr:nvSpPr>
        <xdr:spPr>
          <a:xfrm>
            <a:off x="10620375" y="933450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A0B1733C-9421-4D4F-8A1E-30D005C7940B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7425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6'!B35">
        <xdr:nvSpPr>
          <xdr:cNvPr id="41" name="TextBox 40">
            <a:extLst>
              <a:ext uri="{FF2B5EF4-FFF2-40B4-BE49-F238E27FC236}">
                <a16:creationId xmlns:a16="http://schemas.microsoft.com/office/drawing/2014/main" id="{59C19626-7A5A-AAD8-047F-47F2E5391C6D}"/>
              </a:ext>
            </a:extLst>
          </xdr:cNvPr>
          <xdr:cNvSpPr txBox="1"/>
        </xdr:nvSpPr>
        <xdr:spPr>
          <a:xfrm>
            <a:off x="10620375" y="119062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6CF44705-0591-4A0F-B40D-E7B983CB0CE3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0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6'!B36">
        <xdr:nvSpPr>
          <xdr:cNvPr id="42" name="TextBox 41">
            <a:extLst>
              <a:ext uri="{FF2B5EF4-FFF2-40B4-BE49-F238E27FC236}">
                <a16:creationId xmlns:a16="http://schemas.microsoft.com/office/drawing/2014/main" id="{D3B1608C-C305-41B8-40B3-ECE35CE9C35C}"/>
              </a:ext>
            </a:extLst>
          </xdr:cNvPr>
          <xdr:cNvSpPr txBox="1"/>
        </xdr:nvSpPr>
        <xdr:spPr>
          <a:xfrm>
            <a:off x="10620375" y="143827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CA3FEFF0-4BAC-465F-A232-8585C19BFE17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810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6'!B37">
        <xdr:nvSpPr>
          <xdr:cNvPr id="43" name="TextBox 42">
            <a:extLst>
              <a:ext uri="{FF2B5EF4-FFF2-40B4-BE49-F238E27FC236}">
                <a16:creationId xmlns:a16="http://schemas.microsoft.com/office/drawing/2014/main" id="{53327A6E-AF8B-038D-955F-F8E72350231F}"/>
              </a:ext>
            </a:extLst>
          </xdr:cNvPr>
          <xdr:cNvSpPr txBox="1"/>
        </xdr:nvSpPr>
        <xdr:spPr>
          <a:xfrm>
            <a:off x="10629900" y="1752600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2145D57E-4D38-4A55-B64A-F73BD2973FB9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8235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6'!B38">
        <xdr:nvSpPr>
          <xdr:cNvPr id="44" name="TextBox 43">
            <a:extLst>
              <a:ext uri="{FF2B5EF4-FFF2-40B4-BE49-F238E27FC236}">
                <a16:creationId xmlns:a16="http://schemas.microsoft.com/office/drawing/2014/main" id="{34CB23B7-1A07-E81E-2593-CBC7F015BADA}"/>
              </a:ext>
            </a:extLst>
          </xdr:cNvPr>
          <xdr:cNvSpPr txBox="1"/>
        </xdr:nvSpPr>
        <xdr:spPr>
          <a:xfrm>
            <a:off x="10629900" y="199072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34A2ABB0-982A-4A21-8D2A-630DBEBB1D67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0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25</xdr:col>
      <xdr:colOff>64770</xdr:colOff>
      <xdr:row>3</xdr:row>
      <xdr:rowOff>15240</xdr:rowOff>
    </xdr:from>
    <xdr:to>
      <xdr:col>33</xdr:col>
      <xdr:colOff>0</xdr:colOff>
      <xdr:row>25</xdr:row>
      <xdr:rowOff>167640</xdr:rowOff>
    </xdr:to>
    <xdr:graphicFrame macro="">
      <xdr:nvGraphicFramePr>
        <xdr:cNvPr id="55" name="Диаграмма 54">
          <a:extLst>
            <a:ext uri="{FF2B5EF4-FFF2-40B4-BE49-F238E27FC236}">
              <a16:creationId xmlns:a16="http://schemas.microsoft.com/office/drawing/2014/main" id="{BC07DD4A-0EA0-4853-B9C8-CC86D2210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1</xdr:col>
      <xdr:colOff>28575</xdr:colOff>
      <xdr:row>3</xdr:row>
      <xdr:rowOff>47625</xdr:rowOff>
    </xdr:from>
    <xdr:to>
      <xdr:col>8</xdr:col>
      <xdr:colOff>23813</xdr:colOff>
      <xdr:row>11</xdr:row>
      <xdr:rowOff>118532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0" name="Культура 2">
              <a:extLst>
                <a:ext uri="{FF2B5EF4-FFF2-40B4-BE49-F238E27FC236}">
                  <a16:creationId xmlns:a16="http://schemas.microsoft.com/office/drawing/2014/main" id="{47F1EAA0-EB33-4B60-9071-F06B9984E8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ультура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169" y="797720"/>
              <a:ext cx="1828800" cy="14406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35718</xdr:colOff>
      <xdr:row>11</xdr:row>
      <xdr:rowOff>154781</xdr:rowOff>
    </xdr:from>
    <xdr:to>
      <xdr:col>8</xdr:col>
      <xdr:colOff>30956</xdr:colOff>
      <xdr:row>17</xdr:row>
      <xdr:rowOff>47624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1" name="Орошение 2">
              <a:extLst>
                <a:ext uri="{FF2B5EF4-FFF2-40B4-BE49-F238E27FC236}">
                  <a16:creationId xmlns:a16="http://schemas.microsoft.com/office/drawing/2014/main" id="{F21D4891-66A4-4879-812A-A378F6E7D1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Орошение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312" y="2333625"/>
              <a:ext cx="1828800" cy="964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8905472-60C6-CBCF-CF63-8E47FDA35B17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0.02837</cdr:x>
      <cdr:y>0.05593</cdr:y>
    </cdr:from>
    <cdr:to>
      <cdr:x>0.9669</cdr:x>
      <cdr:y>0.05817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EC763449-ABC2-8438-B131-58F6061DFA25}"/>
            </a:ext>
          </a:extLst>
        </cdr:cNvPr>
        <cdr:cNvCxnSpPr/>
      </cdr:nvCxnSpPr>
      <cdr:spPr>
        <a:xfrm xmlns:a="http://schemas.openxmlformats.org/drawingml/2006/main" flipV="1">
          <a:off x="114300" y="238125"/>
          <a:ext cx="3781425" cy="95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320040</xdr:colOff>
      <xdr:row>3</xdr:row>
      <xdr:rowOff>57150</xdr:rowOff>
    </xdr:from>
    <xdr:to>
      <xdr:col>10</xdr:col>
      <xdr:colOff>266700</xdr:colOff>
      <xdr:row>4</xdr:row>
      <xdr:rowOff>57150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AA3077A5-EC87-475D-BDC1-E444256571D1}"/>
            </a:ext>
          </a:extLst>
        </xdr:cNvPr>
        <xdr:cNvSpPr/>
      </xdr:nvSpPr>
      <xdr:spPr>
        <a:xfrm>
          <a:off x="2358390" y="666750"/>
          <a:ext cx="1232535" cy="171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282575</xdr:colOff>
      <xdr:row>3</xdr:row>
      <xdr:rowOff>17780</xdr:rowOff>
    </xdr:from>
    <xdr:to>
      <xdr:col>19</xdr:col>
      <xdr:colOff>92075</xdr:colOff>
      <xdr:row>12</xdr:row>
      <xdr:rowOff>153950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57958AA6-8929-4AA6-A2CF-85BEA89115F7}"/>
            </a:ext>
          </a:extLst>
        </xdr:cNvPr>
        <xdr:cNvGrpSpPr/>
      </xdr:nvGrpSpPr>
      <xdr:grpSpPr>
        <a:xfrm>
          <a:off x="6865408" y="769197"/>
          <a:ext cx="2264834" cy="1755420"/>
          <a:chOff x="7248525" y="781050"/>
          <a:chExt cx="2088092" cy="1757325"/>
        </a:xfrm>
      </xdr:grpSpPr>
      <xdr:grpSp>
        <xdr:nvGrpSpPr>
          <xdr:cNvPr id="7" name="Группа 6">
            <a:extLst>
              <a:ext uri="{FF2B5EF4-FFF2-40B4-BE49-F238E27FC236}">
                <a16:creationId xmlns:a16="http://schemas.microsoft.com/office/drawing/2014/main" id="{3F1565FD-BF4E-057A-A25B-5C969349DDC7}"/>
              </a:ext>
            </a:extLst>
          </xdr:cNvPr>
          <xdr:cNvGrpSpPr/>
        </xdr:nvGrpSpPr>
        <xdr:grpSpPr>
          <a:xfrm>
            <a:off x="7248525" y="781050"/>
            <a:ext cx="2088092" cy="1704975"/>
            <a:chOff x="2313819" y="794656"/>
            <a:chExt cx="2089452" cy="1717222"/>
          </a:xfrm>
        </xdr:grpSpPr>
        <xdr:sp macro="" textlink="">
          <xdr:nvSpPr>
            <xdr:cNvPr id="9" name="Прямоугольник 8">
              <a:extLst>
                <a:ext uri="{FF2B5EF4-FFF2-40B4-BE49-F238E27FC236}">
                  <a16:creationId xmlns:a16="http://schemas.microsoft.com/office/drawing/2014/main" id="{D383C7C7-6A4C-6D04-2C11-8BA6FDED586B}"/>
                </a:ext>
              </a:extLst>
            </xdr:cNvPr>
            <xdr:cNvSpPr/>
          </xdr:nvSpPr>
          <xdr:spPr>
            <a:xfrm>
              <a:off x="2313819" y="794656"/>
              <a:ext cx="2089452" cy="1717222"/>
            </a:xfrm>
            <a:prstGeom prst="rect">
              <a:avLst/>
            </a:prstGeom>
            <a:ln w="19050"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ru-RU" sz="1400" b="0">
                  <a:latin typeface="Bahnschrift Light SemiCondensed" panose="020B0502040204020203" pitchFamily="34" charset="0"/>
                </a:rPr>
                <a:t>УРОЖАЙНОСТЬ</a:t>
              </a:r>
              <a:r>
                <a:rPr lang="ru-RU" sz="1400" b="0" baseline="0">
                  <a:latin typeface="Bahnschrift Light SemiCondensed" panose="020B0502040204020203" pitchFamily="34" charset="0"/>
                </a:rPr>
                <a:t> ФИЗ.ВЕС</a:t>
              </a:r>
              <a:endParaRPr lang="ru-RU" sz="1400" b="0">
                <a:latin typeface="Bahnschrift Light SemiCondensed" panose="020B0502040204020203" pitchFamily="34" charset="0"/>
              </a:endParaRPr>
            </a:p>
          </xdr:txBody>
        </xdr:sp>
        <xdr:cxnSp macro="">
          <xdr:nvCxnSpPr>
            <xdr:cNvPr id="10" name="Прямая соединительная линия 9">
              <a:extLst>
                <a:ext uri="{FF2B5EF4-FFF2-40B4-BE49-F238E27FC236}">
                  <a16:creationId xmlns:a16="http://schemas.microsoft.com/office/drawing/2014/main" id="{21E65F74-B446-D8FD-7008-198CF94FED25}"/>
                </a:ext>
              </a:extLst>
            </xdr:cNvPr>
            <xdr:cNvCxnSpPr/>
          </xdr:nvCxnSpPr>
          <xdr:spPr>
            <a:xfrm>
              <a:off x="2356153" y="1050774"/>
              <a:ext cx="2011376" cy="0"/>
            </a:xfrm>
            <a:prstGeom prst="line">
              <a:avLst/>
            </a:prstGeom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11" name="Прямоугольник 10">
              <a:extLst>
                <a:ext uri="{FF2B5EF4-FFF2-40B4-BE49-F238E27FC236}">
                  <a16:creationId xmlns:a16="http://schemas.microsoft.com/office/drawing/2014/main" id="{12227F3F-1948-4E8F-6277-A9246756C74E}"/>
                </a:ext>
              </a:extLst>
            </xdr:cNvPr>
            <xdr:cNvSpPr/>
          </xdr:nvSpPr>
          <xdr:spPr>
            <a:xfrm>
              <a:off x="2361656" y="1114697"/>
              <a:ext cx="639535" cy="19376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ПЛАН:</a:t>
              </a:r>
            </a:p>
          </xdr:txBody>
        </xdr:sp>
        <xdr:sp macro="" textlink="">
          <xdr:nvSpPr>
            <xdr:cNvPr id="12" name="Прямоугольник 11">
              <a:extLst>
                <a:ext uri="{FF2B5EF4-FFF2-40B4-BE49-F238E27FC236}">
                  <a16:creationId xmlns:a16="http://schemas.microsoft.com/office/drawing/2014/main" id="{B9401593-27C4-EB35-9FAB-E5AF60BBAFEB}"/>
                </a:ext>
              </a:extLst>
            </xdr:cNvPr>
            <xdr:cNvSpPr/>
          </xdr:nvSpPr>
          <xdr:spPr>
            <a:xfrm>
              <a:off x="2359539" y="1383272"/>
              <a:ext cx="639535" cy="19376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ФАКТ:</a:t>
              </a:r>
            </a:p>
          </xdr:txBody>
        </xdr:sp>
        <xdr:sp macro="" textlink="'Данные 2025'!B23">
          <xdr:nvSpPr>
            <xdr:cNvPr id="13" name="TextBox 12">
              <a:extLst>
                <a:ext uri="{FF2B5EF4-FFF2-40B4-BE49-F238E27FC236}">
                  <a16:creationId xmlns:a16="http://schemas.microsoft.com/office/drawing/2014/main" id="{A78596B2-2AEC-B794-8E1A-C5CC143D6DD7}"/>
                </a:ext>
              </a:extLst>
            </xdr:cNvPr>
            <xdr:cNvSpPr txBox="1"/>
          </xdr:nvSpPr>
          <xdr:spPr>
            <a:xfrm>
              <a:off x="3342236" y="1070882"/>
              <a:ext cx="1023257" cy="2789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2E051BC3-FDD9-4276-BDAC-77784D51F4CE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4,1 тн/га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  <xdr:sp macro="" textlink="'Данные 2025'!B24">
          <xdr:nvSpPr>
            <xdr:cNvPr id="14" name="TextBox 13">
              <a:extLst>
                <a:ext uri="{FF2B5EF4-FFF2-40B4-BE49-F238E27FC236}">
                  <a16:creationId xmlns:a16="http://schemas.microsoft.com/office/drawing/2014/main" id="{B55288F0-9FB0-1EE9-4A47-EEC621E7FBC5}"/>
                </a:ext>
              </a:extLst>
            </xdr:cNvPr>
            <xdr:cNvSpPr txBox="1"/>
          </xdr:nvSpPr>
          <xdr:spPr>
            <a:xfrm>
              <a:off x="3346863" y="1337174"/>
              <a:ext cx="1018630" cy="2394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B0F7CF16-BA0B-4066-8B91-7DBDBBDE92BA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4,8 тн/га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</xdr:grpSp>
      <xdr:pic>
        <xdr:nvPicPr>
          <xdr:cNvPr id="8" name="Рисунок 7" descr="Открытая ладонь с растением">
            <a:extLst>
              <a:ext uri="{FF2B5EF4-FFF2-40B4-BE49-F238E27FC236}">
                <a16:creationId xmlns:a16="http://schemas.microsoft.com/office/drawing/2014/main" id="{A0D0A44F-559B-A26D-3BB5-B320848EED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72300" y="1623975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209338</xdr:colOff>
      <xdr:row>3</xdr:row>
      <xdr:rowOff>20410</xdr:rowOff>
    </xdr:from>
    <xdr:to>
      <xdr:col>11</xdr:col>
      <xdr:colOff>381000</xdr:colOff>
      <xdr:row>13</xdr:row>
      <xdr:rowOff>57570</xdr:rowOff>
    </xdr:to>
    <xdr:grpSp>
      <xdr:nvGrpSpPr>
        <xdr:cNvPr id="15" name="Группа 14">
          <a:extLst>
            <a:ext uri="{FF2B5EF4-FFF2-40B4-BE49-F238E27FC236}">
              <a16:creationId xmlns:a16="http://schemas.microsoft.com/office/drawing/2014/main" id="{26427F02-9D03-4A90-98ED-3BC40943BAF7}"/>
            </a:ext>
          </a:extLst>
        </xdr:cNvPr>
        <xdr:cNvGrpSpPr/>
      </xdr:nvGrpSpPr>
      <xdr:grpSpPr>
        <a:xfrm>
          <a:off x="2241338" y="771827"/>
          <a:ext cx="2267162" cy="1836326"/>
          <a:chOff x="2274358" y="801460"/>
          <a:chExt cx="2088092" cy="1839290"/>
        </a:xfrm>
      </xdr:grpSpPr>
      <xdr:grpSp>
        <xdr:nvGrpSpPr>
          <xdr:cNvPr id="16" name="Группа 15">
            <a:extLst>
              <a:ext uri="{FF2B5EF4-FFF2-40B4-BE49-F238E27FC236}">
                <a16:creationId xmlns:a16="http://schemas.microsoft.com/office/drawing/2014/main" id="{5C66AD7E-1893-F24A-1A3D-6B8E19B337D3}"/>
              </a:ext>
            </a:extLst>
          </xdr:cNvPr>
          <xdr:cNvGrpSpPr/>
        </xdr:nvGrpSpPr>
        <xdr:grpSpPr>
          <a:xfrm>
            <a:off x="2274358" y="801460"/>
            <a:ext cx="2088092" cy="1704975"/>
            <a:chOff x="2313819" y="794656"/>
            <a:chExt cx="2089452" cy="1717222"/>
          </a:xfrm>
        </xdr:grpSpPr>
        <xdr:sp macro="" textlink="">
          <xdr:nvSpPr>
            <xdr:cNvPr id="18" name="Прямоугольник 17">
              <a:extLst>
                <a:ext uri="{FF2B5EF4-FFF2-40B4-BE49-F238E27FC236}">
                  <a16:creationId xmlns:a16="http://schemas.microsoft.com/office/drawing/2014/main" id="{B144FDBB-D6B2-A470-183C-A234DCCEFC6A}"/>
                </a:ext>
              </a:extLst>
            </xdr:cNvPr>
            <xdr:cNvSpPr/>
          </xdr:nvSpPr>
          <xdr:spPr>
            <a:xfrm>
              <a:off x="2313819" y="794656"/>
              <a:ext cx="2089452" cy="1717222"/>
            </a:xfrm>
            <a:prstGeom prst="rect">
              <a:avLst/>
            </a:prstGeom>
            <a:ln w="19050"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ru-RU" sz="1400" b="0">
                  <a:latin typeface="Bahnschrift Light SemiCondensed" panose="020B0502040204020203" pitchFamily="34" charset="0"/>
                </a:rPr>
                <a:t>ВАЛОВЫЙ СБОР</a:t>
              </a:r>
            </a:p>
          </xdr:txBody>
        </xdr:sp>
        <xdr:cxnSp macro="">
          <xdr:nvCxnSpPr>
            <xdr:cNvPr id="19" name="Прямая соединительная линия 18">
              <a:extLst>
                <a:ext uri="{FF2B5EF4-FFF2-40B4-BE49-F238E27FC236}">
                  <a16:creationId xmlns:a16="http://schemas.microsoft.com/office/drawing/2014/main" id="{39E5B7D6-C0D8-3B0F-5601-17115F21F70A}"/>
                </a:ext>
              </a:extLst>
            </xdr:cNvPr>
            <xdr:cNvCxnSpPr/>
          </xdr:nvCxnSpPr>
          <xdr:spPr>
            <a:xfrm>
              <a:off x="2356153" y="1050774"/>
              <a:ext cx="2011376" cy="0"/>
            </a:xfrm>
            <a:prstGeom prst="line">
              <a:avLst/>
            </a:prstGeom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20" name="Прямоугольник 19">
              <a:extLst>
                <a:ext uri="{FF2B5EF4-FFF2-40B4-BE49-F238E27FC236}">
                  <a16:creationId xmlns:a16="http://schemas.microsoft.com/office/drawing/2014/main" id="{16C18F74-990A-2C5E-C0EE-4440428C6470}"/>
                </a:ext>
              </a:extLst>
            </xdr:cNvPr>
            <xdr:cNvSpPr/>
          </xdr:nvSpPr>
          <xdr:spPr>
            <a:xfrm>
              <a:off x="2361656" y="1114697"/>
              <a:ext cx="639535" cy="19376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ПЛАН:</a:t>
              </a:r>
            </a:p>
          </xdr:txBody>
        </xdr:sp>
        <xdr:sp macro="" textlink="">
          <xdr:nvSpPr>
            <xdr:cNvPr id="21" name="Прямоугольник 20">
              <a:extLst>
                <a:ext uri="{FF2B5EF4-FFF2-40B4-BE49-F238E27FC236}">
                  <a16:creationId xmlns:a16="http://schemas.microsoft.com/office/drawing/2014/main" id="{1BF60C65-19C4-25CA-4ECC-A66051C56761}"/>
                </a:ext>
              </a:extLst>
            </xdr:cNvPr>
            <xdr:cNvSpPr/>
          </xdr:nvSpPr>
          <xdr:spPr>
            <a:xfrm>
              <a:off x="2359539" y="1383272"/>
              <a:ext cx="639535" cy="19376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ФАКТ:</a:t>
              </a:r>
            </a:p>
          </xdr:txBody>
        </xdr:sp>
        <xdr:sp macro="" textlink="'Данные 2025'!B4">
          <xdr:nvSpPr>
            <xdr:cNvPr id="22" name="TextBox 21">
              <a:extLst>
                <a:ext uri="{FF2B5EF4-FFF2-40B4-BE49-F238E27FC236}">
                  <a16:creationId xmlns:a16="http://schemas.microsoft.com/office/drawing/2014/main" id="{25BA740A-A2DD-9B14-4E5B-FBA58D6803F4}"/>
                </a:ext>
              </a:extLst>
            </xdr:cNvPr>
            <xdr:cNvSpPr txBox="1"/>
          </xdr:nvSpPr>
          <xdr:spPr>
            <a:xfrm>
              <a:off x="3342236" y="1070882"/>
              <a:ext cx="1023257" cy="2789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814AB73E-8397-42E6-BFAB-182E6BB1487C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6798 тн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  <xdr:sp macro="" textlink="'Данные 2025'!B5">
          <xdr:nvSpPr>
            <xdr:cNvPr id="23" name="TextBox 22">
              <a:extLst>
                <a:ext uri="{FF2B5EF4-FFF2-40B4-BE49-F238E27FC236}">
                  <a16:creationId xmlns:a16="http://schemas.microsoft.com/office/drawing/2014/main" id="{073EA4EA-B6BD-27C1-1372-4EA1F008A5AD}"/>
                </a:ext>
              </a:extLst>
            </xdr:cNvPr>
            <xdr:cNvSpPr txBox="1"/>
          </xdr:nvSpPr>
          <xdr:spPr>
            <a:xfrm>
              <a:off x="3346863" y="1337174"/>
              <a:ext cx="1018630" cy="2394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4944F485-EFC9-4432-B4E4-176B20EFD5B5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7098 тн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  <xdr:sp macro="" textlink="'Данные 2025'!B6">
          <xdr:nvSpPr>
            <xdr:cNvPr id="24" name="TextBox 23">
              <a:extLst>
                <a:ext uri="{FF2B5EF4-FFF2-40B4-BE49-F238E27FC236}">
                  <a16:creationId xmlns:a16="http://schemas.microsoft.com/office/drawing/2014/main" id="{9D4C34CF-26EB-68F5-5CDC-D58AB6CF5A66}"/>
                </a:ext>
              </a:extLst>
            </xdr:cNvPr>
            <xdr:cNvSpPr txBox="1"/>
          </xdr:nvSpPr>
          <xdr:spPr>
            <a:xfrm>
              <a:off x="3619360" y="1993446"/>
              <a:ext cx="655507" cy="38562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CCF70FFD-BF05-4493-AF62-DAD80EA9F0AD}" type="TxLink">
                <a:rPr lang="en-US" sz="1800" b="0" i="0" u="none" strike="noStrike">
                  <a:solidFill>
                    <a:srgbClr val="FF0000"/>
                  </a:solidFill>
                  <a:latin typeface="Bahnschrift Light SemiCondensed" panose="020B0502040204020203" pitchFamily="34" charset="0"/>
                  <a:cs typeface="Calibri"/>
                </a:rPr>
                <a:pPr algn="r"/>
                <a:t>104%</a:t>
              </a:fld>
              <a:endParaRPr lang="ru-RU" sz="1800" b="0">
                <a:solidFill>
                  <a:srgbClr val="FF0000"/>
                </a:solidFill>
                <a:latin typeface="Bahnschrift Light SemiCondensed" panose="020B0502040204020203" pitchFamily="34" charset="0"/>
              </a:endParaRPr>
            </a:p>
          </xdr:txBody>
        </xdr:sp>
      </xdr:grpSp>
      <xdr:pic>
        <xdr:nvPicPr>
          <xdr:cNvPr id="17" name="Рисунок 16" descr="Самосвал">
            <a:extLst>
              <a:ext uri="{FF2B5EF4-FFF2-40B4-BE49-F238E27FC236}">
                <a16:creationId xmlns:a16="http://schemas.microsoft.com/office/drawing/2014/main" id="{88FADFFD-3CA0-5DAE-9997-2D7A8CADB8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316900" y="1726350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201083</xdr:colOff>
      <xdr:row>12</xdr:row>
      <xdr:rowOff>140970</xdr:rowOff>
    </xdr:from>
    <xdr:to>
      <xdr:col>19</xdr:col>
      <xdr:colOff>102870</xdr:colOff>
      <xdr:row>25</xdr:row>
      <xdr:rowOff>167640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ACBDDBC4-5403-4D8C-9751-782508EB6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206798</xdr:colOff>
      <xdr:row>26</xdr:row>
      <xdr:rowOff>15241</xdr:rowOff>
    </xdr:from>
    <xdr:to>
      <xdr:col>33</xdr:col>
      <xdr:colOff>10583</xdr:colOff>
      <xdr:row>36</xdr:row>
      <xdr:rowOff>160656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9005CCAC-5AFC-4D23-A1B6-46D09712B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434976</xdr:colOff>
      <xdr:row>3</xdr:row>
      <xdr:rowOff>17325</xdr:rowOff>
    </xdr:from>
    <xdr:to>
      <xdr:col>15</xdr:col>
      <xdr:colOff>245503</xdr:colOff>
      <xdr:row>12</xdr:row>
      <xdr:rowOff>174625</xdr:rowOff>
    </xdr:to>
    <xdr:grpSp>
      <xdr:nvGrpSpPr>
        <xdr:cNvPr id="27" name="Группа 26">
          <a:extLst>
            <a:ext uri="{FF2B5EF4-FFF2-40B4-BE49-F238E27FC236}">
              <a16:creationId xmlns:a16="http://schemas.microsoft.com/office/drawing/2014/main" id="{9484F67C-987E-4F69-9632-17813EED10A6}"/>
            </a:ext>
          </a:extLst>
        </xdr:cNvPr>
        <xdr:cNvGrpSpPr/>
      </xdr:nvGrpSpPr>
      <xdr:grpSpPr>
        <a:xfrm>
          <a:off x="4562476" y="768742"/>
          <a:ext cx="2265860" cy="1776550"/>
          <a:chOff x="4800601" y="669470"/>
          <a:chExt cx="2243212" cy="1778455"/>
        </a:xfrm>
      </xdr:grpSpPr>
      <xdr:grpSp>
        <xdr:nvGrpSpPr>
          <xdr:cNvPr id="28" name="Группа 27">
            <a:extLst>
              <a:ext uri="{FF2B5EF4-FFF2-40B4-BE49-F238E27FC236}">
                <a16:creationId xmlns:a16="http://schemas.microsoft.com/office/drawing/2014/main" id="{498CF0FF-34D1-BF56-C0E5-4EE9588E7506}"/>
              </a:ext>
            </a:extLst>
          </xdr:cNvPr>
          <xdr:cNvGrpSpPr/>
        </xdr:nvGrpSpPr>
        <xdr:grpSpPr>
          <a:xfrm>
            <a:off x="4800601" y="669470"/>
            <a:ext cx="2243212" cy="1703615"/>
            <a:chOff x="4815566" y="775606"/>
            <a:chExt cx="2089453" cy="1717222"/>
          </a:xfrm>
        </xdr:grpSpPr>
        <xdr:grpSp>
          <xdr:nvGrpSpPr>
            <xdr:cNvPr id="30" name="Группа 29">
              <a:extLst>
                <a:ext uri="{FF2B5EF4-FFF2-40B4-BE49-F238E27FC236}">
                  <a16:creationId xmlns:a16="http://schemas.microsoft.com/office/drawing/2014/main" id="{44E75CA6-793F-152B-4CF2-AA15B5B7FFB1}"/>
                </a:ext>
              </a:extLst>
            </xdr:cNvPr>
            <xdr:cNvGrpSpPr/>
          </xdr:nvGrpSpPr>
          <xdr:grpSpPr>
            <a:xfrm>
              <a:off x="4815566" y="775606"/>
              <a:ext cx="2089453" cy="1717222"/>
              <a:chOff x="2316539" y="786491"/>
              <a:chExt cx="2089452" cy="1717222"/>
            </a:xfrm>
          </xdr:grpSpPr>
          <xdr:sp macro="" textlink="">
            <xdr:nvSpPr>
              <xdr:cNvPr id="33" name="Прямоугольник 32">
                <a:extLst>
                  <a:ext uri="{FF2B5EF4-FFF2-40B4-BE49-F238E27FC236}">
                    <a16:creationId xmlns:a16="http://schemas.microsoft.com/office/drawing/2014/main" id="{A7B73DF3-CF64-DD8B-2DF2-CBDF46EA6163}"/>
                  </a:ext>
                </a:extLst>
              </xdr:cNvPr>
              <xdr:cNvSpPr/>
            </xdr:nvSpPr>
            <xdr:spPr>
              <a:xfrm>
                <a:off x="2316539" y="786491"/>
                <a:ext cx="2089452" cy="1717222"/>
              </a:xfrm>
              <a:prstGeom prst="rect">
                <a:avLst/>
              </a:prstGeom>
              <a:ln w="19050"/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ru-RU" sz="1400" b="0">
                    <a:latin typeface="Bahnschrift Light SemiCondensed" panose="020B0502040204020203" pitchFamily="34" charset="0"/>
                  </a:rPr>
                  <a:t>ПЛОЩАДЬ</a:t>
                </a:r>
                <a:r>
                  <a:rPr lang="ru-RU" sz="1400" b="0" baseline="0">
                    <a:latin typeface="Bahnschrift Light SemiCondensed" panose="020B0502040204020203" pitchFamily="34" charset="0"/>
                  </a:rPr>
                  <a:t> УБОРКИ</a:t>
                </a:r>
                <a:endParaRPr lang="ru-RU" sz="1400" b="0">
                  <a:latin typeface="Bahnschrift Light SemiCondensed" panose="020B0502040204020203" pitchFamily="34" charset="0"/>
                </a:endParaRPr>
              </a:p>
            </xdr:txBody>
          </xdr:sp>
          <xdr:cxnSp macro="">
            <xdr:nvCxnSpPr>
              <xdr:cNvPr id="34" name="Прямая соединительная линия 33">
                <a:extLst>
                  <a:ext uri="{FF2B5EF4-FFF2-40B4-BE49-F238E27FC236}">
                    <a16:creationId xmlns:a16="http://schemas.microsoft.com/office/drawing/2014/main" id="{781448B0-2F59-FC5A-C1DD-4256E35AC2C2}"/>
                  </a:ext>
                </a:extLst>
              </xdr:cNvPr>
              <xdr:cNvCxnSpPr/>
            </xdr:nvCxnSpPr>
            <xdr:spPr>
              <a:xfrm flipV="1">
                <a:off x="2356153" y="1047750"/>
                <a:ext cx="1992690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5" name="Прямоугольник 34">
                <a:extLst>
                  <a:ext uri="{FF2B5EF4-FFF2-40B4-BE49-F238E27FC236}">
                    <a16:creationId xmlns:a16="http://schemas.microsoft.com/office/drawing/2014/main" id="{477D0E2D-2D27-3E55-A4C4-1CA346181286}"/>
                  </a:ext>
                </a:extLst>
              </xdr:cNvPr>
              <xdr:cNvSpPr/>
            </xdr:nvSpPr>
            <xdr:spPr>
              <a:xfrm>
                <a:off x="2361656" y="1114697"/>
                <a:ext cx="639535" cy="19376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ПЛАН:</a:t>
                </a:r>
              </a:p>
            </xdr:txBody>
          </xdr:sp>
          <xdr:sp macro="" textlink="">
            <xdr:nvSpPr>
              <xdr:cNvPr id="36" name="Прямоугольник 35">
                <a:extLst>
                  <a:ext uri="{FF2B5EF4-FFF2-40B4-BE49-F238E27FC236}">
                    <a16:creationId xmlns:a16="http://schemas.microsoft.com/office/drawing/2014/main" id="{DAA02337-8DB1-A7DC-C924-305896D11D90}"/>
                  </a:ext>
                </a:extLst>
              </xdr:cNvPr>
              <xdr:cNvSpPr/>
            </xdr:nvSpPr>
            <xdr:spPr>
              <a:xfrm>
                <a:off x="2359539" y="1383272"/>
                <a:ext cx="639535" cy="19376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ФАКТ:</a:t>
                </a:r>
              </a:p>
            </xdr:txBody>
          </xdr:sp>
          <xdr:sp macro="" textlink="'Данные 2025'!B15">
            <xdr:nvSpPr>
              <xdr:cNvPr id="37" name="TextBox 36">
                <a:extLst>
                  <a:ext uri="{FF2B5EF4-FFF2-40B4-BE49-F238E27FC236}">
                    <a16:creationId xmlns:a16="http://schemas.microsoft.com/office/drawing/2014/main" id="{6F4B38C0-DD5A-32A1-9BD5-345D9110E84B}"/>
                  </a:ext>
                </a:extLst>
              </xdr:cNvPr>
              <xdr:cNvSpPr txBox="1"/>
            </xdr:nvSpPr>
            <xdr:spPr>
              <a:xfrm>
                <a:off x="3370488" y="1051680"/>
                <a:ext cx="1023257" cy="27894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r"/>
                <a:fld id="{32BCF2E1-068F-4454-8F7A-D18BEC6871C0}" type="TxLink">
                  <a:rPr lang="en-US" sz="1400" b="0" i="0" u="none" strike="noStrike">
                    <a:solidFill>
                      <a:schemeClr val="accent6">
                        <a:lumMod val="50000"/>
                      </a:schemeClr>
                    </a:solidFill>
                    <a:latin typeface="Bahnschrift Light SemiCondensed"/>
                    <a:ea typeface="+mn-ea"/>
                    <a:cs typeface="+mn-cs"/>
                  </a:rPr>
                  <a:pPr marL="0" indent="0" algn="r"/>
                  <a:t>1676 га</a:t>
                </a:fld>
                <a:endParaRPr lang="ru-RU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endParaRPr>
              </a:p>
            </xdr:txBody>
          </xdr:sp>
          <xdr:sp macro="" textlink="'Данные 2025'!B16">
            <xdr:nvSpPr>
              <xdr:cNvPr id="38" name="TextBox 37">
                <a:extLst>
                  <a:ext uri="{FF2B5EF4-FFF2-40B4-BE49-F238E27FC236}">
                    <a16:creationId xmlns:a16="http://schemas.microsoft.com/office/drawing/2014/main" id="{25851517-E5ED-8850-C111-172D44310973}"/>
                  </a:ext>
                </a:extLst>
              </xdr:cNvPr>
              <xdr:cNvSpPr txBox="1"/>
            </xdr:nvSpPr>
            <xdr:spPr>
              <a:xfrm>
                <a:off x="3368765" y="1337180"/>
                <a:ext cx="1018630" cy="2394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r"/>
                <a:fld id="{C894AEBF-E3CF-4B89-88B7-E5C8FDD6BB09}" type="TxLink">
                  <a:rPr lang="en-US" sz="1400" b="0" i="0" u="none" strike="noStrike">
                    <a:solidFill>
                      <a:schemeClr val="accent6">
                        <a:lumMod val="50000"/>
                      </a:schemeClr>
                    </a:solidFill>
                    <a:latin typeface="Bahnschrift Light SemiCondensed"/>
                    <a:ea typeface="+mn-ea"/>
                    <a:cs typeface="+mn-cs"/>
                  </a:rPr>
                  <a:pPr marL="0" indent="0" algn="r"/>
                  <a:t>1484 га</a:t>
                </a:fld>
                <a:endParaRPr lang="ru-RU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endParaRPr>
              </a:p>
            </xdr:txBody>
          </xdr:sp>
          <xdr:sp macro="" textlink="'Данные 2025'!B18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D51E675B-D2D7-4B8C-7207-05E4DFB31084}"/>
                  </a:ext>
                </a:extLst>
              </xdr:cNvPr>
              <xdr:cNvSpPr txBox="1"/>
            </xdr:nvSpPr>
            <xdr:spPr>
              <a:xfrm>
                <a:off x="3534975" y="1993446"/>
                <a:ext cx="783933" cy="38562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CC907529-D38D-4509-B0AB-820F0EB82D40}" type="TxLink">
                  <a:rPr lang="en-US" sz="1800" b="0" i="0" u="none" strike="noStrike">
                    <a:solidFill>
                      <a:srgbClr val="FF0000"/>
                    </a:solidFill>
                    <a:latin typeface="Bahnschrift Light SemiCondensed" panose="020B0502040204020203" pitchFamily="34" charset="0"/>
                    <a:cs typeface="Calibri"/>
                  </a:rPr>
                  <a:pPr algn="r"/>
                  <a:t>89%</a:t>
                </a:fld>
                <a:endParaRPr lang="ru-RU" sz="1800" b="0">
                  <a:solidFill>
                    <a:srgbClr val="FF0000"/>
                  </a:solidFill>
                  <a:latin typeface="Bahnschrift Light SemiCondensed" panose="020B0502040204020203" pitchFamily="34" charset="0"/>
                </a:endParaRPr>
              </a:p>
            </xdr:txBody>
          </xdr:sp>
        </xdr:grpSp>
        <xdr:sp macro="" textlink="">
          <xdr:nvSpPr>
            <xdr:cNvPr id="31" name="Прямоугольник 30">
              <a:extLst>
                <a:ext uri="{FF2B5EF4-FFF2-40B4-BE49-F238E27FC236}">
                  <a16:creationId xmlns:a16="http://schemas.microsoft.com/office/drawing/2014/main" id="{CB1FEF6A-D6EB-3975-FDE7-83CFE2AC2806}"/>
                </a:ext>
              </a:extLst>
            </xdr:cNvPr>
            <xdr:cNvSpPr/>
          </xdr:nvSpPr>
          <xdr:spPr>
            <a:xfrm>
              <a:off x="4871356" y="1627414"/>
              <a:ext cx="740230" cy="19374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ОСТАТОК:</a:t>
              </a:r>
            </a:p>
          </xdr:txBody>
        </xdr:sp>
        <xdr:sp macro="" textlink="'Данные 2025'!B17">
          <xdr:nvSpPr>
            <xdr:cNvPr id="32" name="TextBox 31">
              <a:extLst>
                <a:ext uri="{FF2B5EF4-FFF2-40B4-BE49-F238E27FC236}">
                  <a16:creationId xmlns:a16="http://schemas.microsoft.com/office/drawing/2014/main" id="{FFD0F299-5793-15F0-3670-8378CDBBD510}"/>
                </a:ext>
              </a:extLst>
            </xdr:cNvPr>
            <xdr:cNvSpPr txBox="1"/>
          </xdr:nvSpPr>
          <xdr:spPr>
            <a:xfrm>
              <a:off x="6014357" y="1602769"/>
              <a:ext cx="881743" cy="2166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r"/>
              <a:fld id="{70FBA8F0-FE09-4EFF-87A9-7DEDFE835B0B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  <a:ea typeface="+mn-ea"/>
                  <a:cs typeface="+mn-cs"/>
                </a:rPr>
                <a:pPr marL="0" indent="0" algn="r"/>
                <a:t>192 га</a:t>
              </a:fld>
              <a:endParaRPr lang="ru-RU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endParaRPr>
            </a:p>
          </xdr:txBody>
        </xdr:sp>
      </xdr:grpSp>
      <xdr:pic>
        <xdr:nvPicPr>
          <xdr:cNvPr id="29" name="Рисунок 28" descr="Карта с кнопкой">
            <a:extLst>
              <a:ext uri="{FF2B5EF4-FFF2-40B4-BE49-F238E27FC236}">
                <a16:creationId xmlns:a16="http://schemas.microsoft.com/office/drawing/2014/main" id="{A3EAD36B-A954-B1EA-9C66-533C73CA90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4857750" y="1533525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142240</xdr:colOff>
      <xdr:row>12</xdr:row>
      <xdr:rowOff>142239</xdr:rowOff>
    </xdr:from>
    <xdr:to>
      <xdr:col>25</xdr:col>
      <xdr:colOff>10161</xdr:colOff>
      <xdr:row>25</xdr:row>
      <xdr:rowOff>174624</xdr:rowOff>
    </xdr:to>
    <xdr:graphicFrame macro="">
      <xdr:nvGraphicFramePr>
        <xdr:cNvPr id="40" name="Диаграмма 39">
          <a:extLst>
            <a:ext uri="{FF2B5EF4-FFF2-40B4-BE49-F238E27FC236}">
              <a16:creationId xmlns:a16="http://schemas.microsoft.com/office/drawing/2014/main" id="{4236C034-D75C-4E06-97E1-FED0C9517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137159</xdr:colOff>
      <xdr:row>3</xdr:row>
      <xdr:rowOff>19050</xdr:rowOff>
    </xdr:from>
    <xdr:to>
      <xdr:col>25</xdr:col>
      <xdr:colOff>15240</xdr:colOff>
      <xdr:row>12</xdr:row>
      <xdr:rowOff>95250</xdr:rowOff>
    </xdr:to>
    <xdr:grpSp>
      <xdr:nvGrpSpPr>
        <xdr:cNvPr id="41" name="Группа 40">
          <a:extLst>
            <a:ext uri="{FF2B5EF4-FFF2-40B4-BE49-F238E27FC236}">
              <a16:creationId xmlns:a16="http://schemas.microsoft.com/office/drawing/2014/main" id="{53EFE965-0AE8-469A-9326-7466AA318DE0}"/>
            </a:ext>
          </a:extLst>
        </xdr:cNvPr>
        <xdr:cNvGrpSpPr/>
      </xdr:nvGrpSpPr>
      <xdr:grpSpPr>
        <a:xfrm>
          <a:off x="9175326" y="770467"/>
          <a:ext cx="4428914" cy="1695450"/>
          <a:chOff x="9163049" y="647700"/>
          <a:chExt cx="4400551" cy="1704975"/>
        </a:xfrm>
      </xdr:grpSpPr>
      <xdr:grpSp>
        <xdr:nvGrpSpPr>
          <xdr:cNvPr id="42" name="Группа 41">
            <a:extLst>
              <a:ext uri="{FF2B5EF4-FFF2-40B4-BE49-F238E27FC236}">
                <a16:creationId xmlns:a16="http://schemas.microsoft.com/office/drawing/2014/main" id="{515DC63C-83F0-D753-7F42-7A167E8F3AFC}"/>
              </a:ext>
            </a:extLst>
          </xdr:cNvPr>
          <xdr:cNvGrpSpPr/>
        </xdr:nvGrpSpPr>
        <xdr:grpSpPr>
          <a:xfrm>
            <a:off x="9163049" y="647700"/>
            <a:ext cx="4400551" cy="1704975"/>
            <a:chOff x="9163049" y="647700"/>
            <a:chExt cx="4400551" cy="1704975"/>
          </a:xfrm>
        </xdr:grpSpPr>
        <xdr:grpSp>
          <xdr:nvGrpSpPr>
            <xdr:cNvPr id="48" name="Группа 47">
              <a:extLst>
                <a:ext uri="{FF2B5EF4-FFF2-40B4-BE49-F238E27FC236}">
                  <a16:creationId xmlns:a16="http://schemas.microsoft.com/office/drawing/2014/main" id="{F2005F5A-5B5F-3009-D2AC-182C695C07E9}"/>
                </a:ext>
              </a:extLst>
            </xdr:cNvPr>
            <xdr:cNvGrpSpPr/>
          </xdr:nvGrpSpPr>
          <xdr:grpSpPr>
            <a:xfrm>
              <a:off x="9163049" y="647700"/>
              <a:ext cx="4400551" cy="1704975"/>
              <a:chOff x="9163049" y="647700"/>
              <a:chExt cx="4400551" cy="1704975"/>
            </a:xfrm>
          </xdr:grpSpPr>
          <xdr:sp macro="" textlink="">
            <xdr:nvSpPr>
              <xdr:cNvPr id="50" name="Прямоугольник 49">
                <a:extLst>
                  <a:ext uri="{FF2B5EF4-FFF2-40B4-BE49-F238E27FC236}">
                    <a16:creationId xmlns:a16="http://schemas.microsoft.com/office/drawing/2014/main" id="{ED5B19D7-C417-3CDA-CA22-874AFBBA3193}"/>
                  </a:ext>
                </a:extLst>
              </xdr:cNvPr>
              <xdr:cNvSpPr/>
            </xdr:nvSpPr>
            <xdr:spPr>
              <a:xfrm>
                <a:off x="9163049" y="647700"/>
                <a:ext cx="4400551" cy="1704975"/>
              </a:xfrm>
              <a:prstGeom prst="rect">
                <a:avLst/>
              </a:prstGeom>
              <a:ln w="19050"/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ru-RU" sz="1400" b="0">
                    <a:latin typeface="Bahnschrift Light SemiCondensed" panose="020B0502040204020203" pitchFamily="34" charset="0"/>
                  </a:rPr>
                  <a:t>ИНФОРМАЦИЯ ПО СЫРЬЮ</a:t>
                </a:r>
              </a:p>
            </xdr:txBody>
          </xdr:sp>
          <xdr:cxnSp macro="">
            <xdr:nvCxnSpPr>
              <xdr:cNvPr id="51" name="Прямая соединительная линия 50">
                <a:extLst>
                  <a:ext uri="{FF2B5EF4-FFF2-40B4-BE49-F238E27FC236}">
                    <a16:creationId xmlns:a16="http://schemas.microsoft.com/office/drawing/2014/main" id="{A0DBD36A-9BF5-2834-1D30-408555E4A2C1}"/>
                  </a:ext>
                </a:extLst>
              </xdr:cNvPr>
              <xdr:cNvCxnSpPr/>
            </xdr:nvCxnSpPr>
            <xdr:spPr>
              <a:xfrm>
                <a:off x="9252208" y="901991"/>
                <a:ext cx="4236117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2" name="Прямоугольник 51">
                <a:extLst>
                  <a:ext uri="{FF2B5EF4-FFF2-40B4-BE49-F238E27FC236}">
                    <a16:creationId xmlns:a16="http://schemas.microsoft.com/office/drawing/2014/main" id="{0EEB5505-B6ED-4C7F-B02D-0594C2BB0E94}"/>
                  </a:ext>
                </a:extLst>
              </xdr:cNvPr>
              <xdr:cNvSpPr/>
            </xdr:nvSpPr>
            <xdr:spPr>
              <a:xfrm>
                <a:off x="9163049" y="965459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Переработка:</a:t>
                </a:r>
              </a:p>
            </xdr:txBody>
          </xdr:sp>
          <xdr:sp macro="" textlink="">
            <xdr:nvSpPr>
              <xdr:cNvPr id="53" name="Прямоугольник 52">
                <a:extLst>
                  <a:ext uri="{FF2B5EF4-FFF2-40B4-BE49-F238E27FC236}">
                    <a16:creationId xmlns:a16="http://schemas.microsoft.com/office/drawing/2014/main" id="{2A879C5E-03F6-7A9B-07AE-F8AD37578254}"/>
                  </a:ext>
                </a:extLst>
              </xdr:cNvPr>
              <xdr:cNvSpPr/>
            </xdr:nvSpPr>
            <xdr:spPr>
              <a:xfrm>
                <a:off x="9163049" y="1200150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Утилизация:</a:t>
                </a:r>
              </a:p>
            </xdr:txBody>
          </xdr:sp>
          <xdr:sp macro="" textlink="">
            <xdr:nvSpPr>
              <xdr:cNvPr id="54" name="Прямоугольник 53">
                <a:extLst>
                  <a:ext uri="{FF2B5EF4-FFF2-40B4-BE49-F238E27FC236}">
                    <a16:creationId xmlns:a16="http://schemas.microsoft.com/office/drawing/2014/main" id="{B0E171A8-5A24-FF5F-18E3-447CD5B0F8D4}"/>
                  </a:ext>
                </a:extLst>
              </xdr:cNvPr>
              <xdr:cNvSpPr/>
            </xdr:nvSpPr>
            <xdr:spPr>
              <a:xfrm>
                <a:off x="9163049" y="1428750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Реализация:</a:t>
                </a:r>
              </a:p>
            </xdr:txBody>
          </xdr:sp>
          <xdr:cxnSp macro="">
            <xdr:nvCxnSpPr>
              <xdr:cNvPr id="55" name="Прямая соединительная линия 54">
                <a:extLst>
                  <a:ext uri="{FF2B5EF4-FFF2-40B4-BE49-F238E27FC236}">
                    <a16:creationId xmlns:a16="http://schemas.microsoft.com/office/drawing/2014/main" id="{86248859-4154-F923-F2DC-B0A2989E9803}"/>
                  </a:ext>
                </a:extLst>
              </xdr:cNvPr>
              <xdr:cNvCxnSpPr/>
            </xdr:nvCxnSpPr>
            <xdr:spPr>
              <a:xfrm flipV="1">
                <a:off x="9248775" y="1724025"/>
                <a:ext cx="2066925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6" name="Прямоугольник 55">
                <a:extLst>
                  <a:ext uri="{FF2B5EF4-FFF2-40B4-BE49-F238E27FC236}">
                    <a16:creationId xmlns:a16="http://schemas.microsoft.com/office/drawing/2014/main" id="{823BC0A7-1887-44FF-2217-9D822E7889FB}"/>
                  </a:ext>
                </a:extLst>
              </xdr:cNvPr>
              <xdr:cNvSpPr/>
            </xdr:nvSpPr>
            <xdr:spPr>
              <a:xfrm>
                <a:off x="9163049" y="1762125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Собственное</a:t>
                </a:r>
                <a:r>
                  <a:rPr lang="ru-RU" sz="1100" baseline="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 сырье</a:t>
                </a:r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:</a:t>
                </a:r>
              </a:p>
            </xdr:txBody>
          </xdr:sp>
          <xdr:sp macro="" textlink="">
            <xdr:nvSpPr>
              <xdr:cNvPr id="57" name="Прямоугольник 56">
                <a:extLst>
                  <a:ext uri="{FF2B5EF4-FFF2-40B4-BE49-F238E27FC236}">
                    <a16:creationId xmlns:a16="http://schemas.microsoft.com/office/drawing/2014/main" id="{41FDA503-41FB-FFB9-00BF-0D0D15054B09}"/>
                  </a:ext>
                </a:extLst>
              </xdr:cNvPr>
              <xdr:cNvSpPr/>
            </xdr:nvSpPr>
            <xdr:spPr>
              <a:xfrm>
                <a:off x="9163049" y="2009775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Закупка:</a:t>
                </a:r>
              </a:p>
            </xdr:txBody>
          </xdr:sp>
        </xdr:grpSp>
        <xdr:pic>
          <xdr:nvPicPr>
            <xdr:cNvPr id="49" name="Рисунок 48">
              <a:extLst>
                <a:ext uri="{FF2B5EF4-FFF2-40B4-BE49-F238E27FC236}">
                  <a16:creationId xmlns:a16="http://schemas.microsoft.com/office/drawing/2014/main" id="{A94180EC-481C-F2AB-D51F-62B21BC129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791950" y="1085850"/>
              <a:ext cx="1634002" cy="1117475"/>
            </a:xfrm>
            <a:prstGeom prst="rect">
              <a:avLst/>
            </a:prstGeom>
          </xdr:spPr>
        </xdr:pic>
      </xdr:grpSp>
      <xdr:sp macro="" textlink="'Данные 2025'!B34">
        <xdr:nvSpPr>
          <xdr:cNvPr id="43" name="TextBox 42">
            <a:extLst>
              <a:ext uri="{FF2B5EF4-FFF2-40B4-BE49-F238E27FC236}">
                <a16:creationId xmlns:a16="http://schemas.microsoft.com/office/drawing/2014/main" id="{67650698-DECC-CFCF-2910-2E6F7AFDF3C9}"/>
              </a:ext>
            </a:extLst>
          </xdr:cNvPr>
          <xdr:cNvSpPr txBox="1"/>
        </xdr:nvSpPr>
        <xdr:spPr>
          <a:xfrm>
            <a:off x="10620375" y="933450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C37C069E-B01C-46E4-9EFF-F1A6AA46F9F8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6330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5'!B35">
        <xdr:nvSpPr>
          <xdr:cNvPr id="44" name="TextBox 43">
            <a:extLst>
              <a:ext uri="{FF2B5EF4-FFF2-40B4-BE49-F238E27FC236}">
                <a16:creationId xmlns:a16="http://schemas.microsoft.com/office/drawing/2014/main" id="{1DC04BEE-DA3E-EDF5-9ECC-8ABE92DDE061}"/>
              </a:ext>
            </a:extLst>
          </xdr:cNvPr>
          <xdr:cNvSpPr txBox="1"/>
        </xdr:nvSpPr>
        <xdr:spPr>
          <a:xfrm>
            <a:off x="10620375" y="119062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7E2B5B86-05D7-4B51-B30D-A7996FAEF2E2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156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5'!B36">
        <xdr:nvSpPr>
          <xdr:cNvPr id="45" name="TextBox 44">
            <a:extLst>
              <a:ext uri="{FF2B5EF4-FFF2-40B4-BE49-F238E27FC236}">
                <a16:creationId xmlns:a16="http://schemas.microsoft.com/office/drawing/2014/main" id="{E4FBF126-E4BA-FFB7-6378-ED3A35F71E4B}"/>
              </a:ext>
            </a:extLst>
          </xdr:cNvPr>
          <xdr:cNvSpPr txBox="1"/>
        </xdr:nvSpPr>
        <xdr:spPr>
          <a:xfrm>
            <a:off x="10620375" y="143827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C328C5E4-EFC9-427E-B5B1-FD70C4419AD7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613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5'!B37">
        <xdr:nvSpPr>
          <xdr:cNvPr id="46" name="TextBox 45">
            <a:extLst>
              <a:ext uri="{FF2B5EF4-FFF2-40B4-BE49-F238E27FC236}">
                <a16:creationId xmlns:a16="http://schemas.microsoft.com/office/drawing/2014/main" id="{95C03524-E15F-47A8-A9B7-4749ECC461AA}"/>
              </a:ext>
            </a:extLst>
          </xdr:cNvPr>
          <xdr:cNvSpPr txBox="1"/>
        </xdr:nvSpPr>
        <xdr:spPr>
          <a:xfrm>
            <a:off x="10629900" y="1752600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6AE831E6-266A-4CA9-A51C-9A49585EC298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7098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  <xdr:sp macro="" textlink="'Данные 2025'!B38">
        <xdr:nvSpPr>
          <xdr:cNvPr id="47" name="TextBox 46">
            <a:extLst>
              <a:ext uri="{FF2B5EF4-FFF2-40B4-BE49-F238E27FC236}">
                <a16:creationId xmlns:a16="http://schemas.microsoft.com/office/drawing/2014/main" id="{F23450B2-67C8-FC7A-9DC1-4C8C90256A0E}"/>
              </a:ext>
            </a:extLst>
          </xdr:cNvPr>
          <xdr:cNvSpPr txBox="1"/>
        </xdr:nvSpPr>
        <xdr:spPr>
          <a:xfrm>
            <a:off x="10629900" y="199072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5F01F601-2925-486F-A4E4-AF41AE007CE1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  <a:ea typeface="+mn-ea"/>
                <a:cs typeface="+mn-cs"/>
              </a:rPr>
              <a:pPr marL="0" indent="0" algn="r"/>
              <a:t>0 тн</a:t>
            </a:fld>
            <a:endParaRPr lang="ru-RU" sz="1200" b="0" i="0" u="none" strike="noStrike">
              <a:solidFill>
                <a:srgbClr val="000000"/>
              </a:solidFill>
              <a:latin typeface="Bahnschrift SemiLight SemiConde" panose="020B0502040204020203" pitchFamily="34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25</xdr:col>
      <xdr:colOff>64770</xdr:colOff>
      <xdr:row>3</xdr:row>
      <xdr:rowOff>15240</xdr:rowOff>
    </xdr:from>
    <xdr:to>
      <xdr:col>33</xdr:col>
      <xdr:colOff>0</xdr:colOff>
      <xdr:row>25</xdr:row>
      <xdr:rowOff>167640</xdr:rowOff>
    </xdr:to>
    <xdr:graphicFrame macro="">
      <xdr:nvGraphicFramePr>
        <xdr:cNvPr id="58" name="Диаграмма 57">
          <a:extLst>
            <a:ext uri="{FF2B5EF4-FFF2-40B4-BE49-F238E27FC236}">
              <a16:creationId xmlns:a16="http://schemas.microsoft.com/office/drawing/2014/main" id="{200DC721-03D7-4977-AAC7-3D76C59A6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1</xdr:col>
      <xdr:colOff>16510</xdr:colOff>
      <xdr:row>3</xdr:row>
      <xdr:rowOff>19049</xdr:rowOff>
    </xdr:from>
    <xdr:to>
      <xdr:col>8</xdr:col>
      <xdr:colOff>16510</xdr:colOff>
      <xdr:row>17</xdr:row>
      <xdr:rowOff>171238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9" name="Культура">
              <a:extLst>
                <a:ext uri="{FF2B5EF4-FFF2-40B4-BE49-F238E27FC236}">
                  <a16:creationId xmlns:a16="http://schemas.microsoft.com/office/drawing/2014/main" id="{968A9CDC-E79B-4331-AF48-61EFBE14C9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ультур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347" y="794384"/>
              <a:ext cx="1896533" cy="27599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</xdr:colOff>
      <xdr:row>17</xdr:row>
      <xdr:rowOff>207646</xdr:rowOff>
    </xdr:from>
    <xdr:to>
      <xdr:col>8</xdr:col>
      <xdr:colOff>20956</xdr:colOff>
      <xdr:row>22</xdr:row>
      <xdr:rowOff>133140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0" name="Орошение">
              <a:extLst>
                <a:ext uri="{FF2B5EF4-FFF2-40B4-BE49-F238E27FC236}">
                  <a16:creationId xmlns:a16="http://schemas.microsoft.com/office/drawing/2014/main" id="{94108218-E8EA-4D52-B3DF-9B6DFC50CC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Орошение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918" y="3301789"/>
              <a:ext cx="1941406" cy="9260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>
    <xdr:from>
      <xdr:col>33</xdr:col>
      <xdr:colOff>110763</xdr:colOff>
      <xdr:row>2</xdr:row>
      <xdr:rowOff>93343</xdr:rowOff>
    </xdr:from>
    <xdr:to>
      <xdr:col>39</xdr:col>
      <xdr:colOff>94567</xdr:colOff>
      <xdr:row>21</xdr:row>
      <xdr:rowOff>132531</xdr:rowOff>
    </xdr:to>
    <xdr:grpSp>
      <xdr:nvGrpSpPr>
        <xdr:cNvPr id="61" name="Группа 60">
          <a:extLst>
            <a:ext uri="{FF2B5EF4-FFF2-40B4-BE49-F238E27FC236}">
              <a16:creationId xmlns:a16="http://schemas.microsoft.com/office/drawing/2014/main" id="{0524C8D7-2EFB-92F7-67F4-FE056DC9B627}"/>
            </a:ext>
          </a:extLst>
        </xdr:cNvPr>
        <xdr:cNvGrpSpPr/>
      </xdr:nvGrpSpPr>
      <xdr:grpSpPr>
        <a:xfrm>
          <a:off x="17827263" y="664843"/>
          <a:ext cx="3666804" cy="3542271"/>
          <a:chOff x="2302572" y="776741"/>
          <a:chExt cx="2095872" cy="1719155"/>
        </a:xfrm>
      </xdr:grpSpPr>
      <xdr:sp macro="" textlink="">
        <xdr:nvSpPr>
          <xdr:cNvPr id="64" name="Прямоугольник 63">
            <a:extLst>
              <a:ext uri="{FF2B5EF4-FFF2-40B4-BE49-F238E27FC236}">
                <a16:creationId xmlns:a16="http://schemas.microsoft.com/office/drawing/2014/main" id="{10946CCB-B167-2167-C95E-4559EBF38DE5}"/>
              </a:ext>
            </a:extLst>
          </xdr:cNvPr>
          <xdr:cNvSpPr/>
        </xdr:nvSpPr>
        <xdr:spPr>
          <a:xfrm>
            <a:off x="2302572" y="776741"/>
            <a:ext cx="2095872" cy="1719155"/>
          </a:xfrm>
          <a:prstGeom prst="rect">
            <a:avLst/>
          </a:prstGeom>
          <a:ln w="19050"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ru-RU" sz="1400" b="0">
                <a:latin typeface="Bahnschrift Light SemiCondensed" panose="020B0502040204020203" pitchFamily="34" charset="0"/>
              </a:rPr>
              <a:t>ПЛОЩАДЬ</a:t>
            </a:r>
            <a:r>
              <a:rPr lang="ru-RU" sz="1400" b="0" baseline="0">
                <a:latin typeface="Bahnschrift Light SemiCondensed" panose="020B0502040204020203" pitchFamily="34" charset="0"/>
              </a:rPr>
              <a:t> УБОРКИ ФАКТ</a:t>
            </a:r>
            <a:endParaRPr lang="ru-RU" sz="1400" b="0">
              <a:latin typeface="Bahnschrift Light SemiCondensed" panose="020B0502040204020203" pitchFamily="34" charset="0"/>
            </a:endParaRPr>
          </a:p>
        </xdr:txBody>
      </xdr:sp>
      <xdr:cxnSp macro="">
        <xdr:nvCxnSpPr>
          <xdr:cNvPr id="65" name="Прямая соединительная линия 64">
            <a:extLst>
              <a:ext uri="{FF2B5EF4-FFF2-40B4-BE49-F238E27FC236}">
                <a16:creationId xmlns:a16="http://schemas.microsoft.com/office/drawing/2014/main" id="{89B3EA8B-9FF5-3703-379D-8D7595BC3F41}"/>
              </a:ext>
            </a:extLst>
          </xdr:cNvPr>
          <xdr:cNvCxnSpPr/>
        </xdr:nvCxnSpPr>
        <xdr:spPr>
          <a:xfrm flipV="1">
            <a:off x="2356153" y="934844"/>
            <a:ext cx="1992690" cy="0"/>
          </a:xfrm>
          <a:prstGeom prst="line">
            <a:avLst/>
          </a:prstGeom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sp macro="" textlink="">
        <xdr:nvSpPr>
          <xdr:cNvPr id="66" name="Прямоугольник 65">
            <a:extLst>
              <a:ext uri="{FF2B5EF4-FFF2-40B4-BE49-F238E27FC236}">
                <a16:creationId xmlns:a16="http://schemas.microsoft.com/office/drawing/2014/main" id="{DC20F0F1-3BAF-340F-1B6F-567AC39E746C}"/>
              </a:ext>
            </a:extLst>
          </xdr:cNvPr>
          <xdr:cNvSpPr/>
        </xdr:nvSpPr>
        <xdr:spPr>
          <a:xfrm>
            <a:off x="2354014" y="924203"/>
            <a:ext cx="638882" cy="19376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ru-RU" sz="1100" b="0">
                <a:solidFill>
                  <a:schemeClr val="tx1"/>
                </a:solidFill>
                <a:latin typeface="Bahnschrift Light SemiCondensed" panose="020B0502040204020203" pitchFamily="34" charset="0"/>
              </a:rPr>
              <a:t>ПЛАН:</a:t>
            </a:r>
          </a:p>
        </xdr:txBody>
      </xdr:sp>
      <xdr:sp macro="" textlink="">
        <xdr:nvSpPr>
          <xdr:cNvPr id="67" name="Прямоугольник 66">
            <a:extLst>
              <a:ext uri="{FF2B5EF4-FFF2-40B4-BE49-F238E27FC236}">
                <a16:creationId xmlns:a16="http://schemas.microsoft.com/office/drawing/2014/main" id="{1497F2F1-A831-1E37-9839-A2E4EAB8ED61}"/>
              </a:ext>
            </a:extLst>
          </xdr:cNvPr>
          <xdr:cNvSpPr/>
        </xdr:nvSpPr>
        <xdr:spPr>
          <a:xfrm>
            <a:off x="2351935" y="1003722"/>
            <a:ext cx="639535" cy="19376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ru-RU" sz="1100" b="0">
                <a:solidFill>
                  <a:schemeClr val="tx1"/>
                </a:solidFill>
                <a:latin typeface="Bahnschrift Light SemiCondensed" panose="020B0502040204020203" pitchFamily="34" charset="0"/>
              </a:rPr>
              <a:t>ФАКТ:</a:t>
            </a:r>
          </a:p>
        </xdr:txBody>
      </xdr:sp>
      <xdr:sp macro="" textlink="'Данные 2025'!B15">
        <xdr:nvSpPr>
          <xdr:cNvPr id="68" name="TextBox 67">
            <a:extLst>
              <a:ext uri="{FF2B5EF4-FFF2-40B4-BE49-F238E27FC236}">
                <a16:creationId xmlns:a16="http://schemas.microsoft.com/office/drawing/2014/main" id="{9284D61F-BF81-3B1C-1A8E-C1DAC2E39141}"/>
              </a:ext>
            </a:extLst>
          </xdr:cNvPr>
          <xdr:cNvSpPr txBox="1"/>
        </xdr:nvSpPr>
        <xdr:spPr>
          <a:xfrm>
            <a:off x="3238013" y="911684"/>
            <a:ext cx="414823" cy="1827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32BCF2E1-068F-4454-8F7A-D18BEC6871C0}" type="TxLink">
              <a:rPr lang="en-US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rPr>
              <a:pPr marL="0" indent="0" algn="r"/>
              <a:t>1676 га</a:t>
            </a:fld>
            <a:endParaRPr lang="ru-RU" sz="1400" b="0" i="0" u="none" strike="noStrike">
              <a:solidFill>
                <a:schemeClr val="accent6">
                  <a:lumMod val="50000"/>
                </a:schemeClr>
              </a:solidFill>
              <a:latin typeface="Bahnschrift Light SemiCondensed"/>
              <a:ea typeface="+mn-ea"/>
              <a:cs typeface="+mn-cs"/>
            </a:endParaRPr>
          </a:p>
        </xdr:txBody>
      </xdr:sp>
      <xdr:sp macro="" textlink="'Данные 2025'!B16">
        <xdr:nvSpPr>
          <xdr:cNvPr id="69" name="TextBox 68">
            <a:extLst>
              <a:ext uri="{FF2B5EF4-FFF2-40B4-BE49-F238E27FC236}">
                <a16:creationId xmlns:a16="http://schemas.microsoft.com/office/drawing/2014/main" id="{B541285A-0C78-DF58-9F85-6B07B7CF8D36}"/>
              </a:ext>
            </a:extLst>
          </xdr:cNvPr>
          <xdr:cNvSpPr txBox="1"/>
        </xdr:nvSpPr>
        <xdr:spPr>
          <a:xfrm>
            <a:off x="3253167" y="1011028"/>
            <a:ext cx="414389" cy="155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C894AEBF-E3CF-4B89-88B7-E5C8FDD6BB09}" type="TxLink">
              <a:rPr lang="en-US" sz="1400" b="0" i="0" u="none" strike="noStrike">
                <a:solidFill>
                  <a:schemeClr val="accent6">
                    <a:lumMod val="50000"/>
                  </a:schemeClr>
                </a:solidFill>
                <a:latin typeface="Bahnschrift Light SemiCondensed"/>
                <a:ea typeface="+mn-ea"/>
                <a:cs typeface="+mn-cs"/>
              </a:rPr>
              <a:pPr marL="0" indent="0" algn="r"/>
              <a:t>1484 га</a:t>
            </a:fld>
            <a:endParaRPr lang="ru-RU" sz="1400" b="0" i="0" u="none" strike="noStrike">
              <a:solidFill>
                <a:schemeClr val="accent6">
                  <a:lumMod val="50000"/>
                </a:schemeClr>
              </a:solidFill>
              <a:latin typeface="Bahnschrift Light SemiCondensed"/>
              <a:ea typeface="+mn-ea"/>
              <a:cs typeface="+mn-cs"/>
            </a:endParaRPr>
          </a:p>
        </xdr:txBody>
      </xdr:sp>
      <xdr:sp macro="" textlink="'Данные 2025'!AL35">
        <xdr:nvSpPr>
          <xdr:cNvPr id="70" name="TextBox 69">
            <a:extLst>
              <a:ext uri="{FF2B5EF4-FFF2-40B4-BE49-F238E27FC236}">
                <a16:creationId xmlns:a16="http://schemas.microsoft.com/office/drawing/2014/main" id="{320E524A-ABF3-AE4D-5E35-0FE4171BBA6D}"/>
              </a:ext>
            </a:extLst>
          </xdr:cNvPr>
          <xdr:cNvSpPr txBox="1"/>
        </xdr:nvSpPr>
        <xdr:spPr>
          <a:xfrm>
            <a:off x="3821311" y="891003"/>
            <a:ext cx="467555" cy="3856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CC907529-D38D-4509-B0AB-820F0EB82D40}" type="TxLink">
              <a:rPr lang="en-US" sz="1800" b="0" i="0" u="none" strike="noStrike">
                <a:solidFill>
                  <a:srgbClr val="FF0000"/>
                </a:solidFill>
                <a:latin typeface="Bahnschrift Light SemiCondensed" panose="020B0502040204020203" pitchFamily="34" charset="0"/>
                <a:cs typeface="Calibri"/>
              </a:rPr>
              <a:pPr algn="r"/>
              <a:t> </a:t>
            </a:fld>
            <a:endParaRPr lang="ru-RU" sz="1800" b="0">
              <a:solidFill>
                <a:srgbClr val="FF0000"/>
              </a:solidFill>
              <a:latin typeface="Bahnschrift Light SemiCondensed" panose="020B0502040204020203" pitchFamily="34" charset="0"/>
            </a:endParaRPr>
          </a:p>
        </xdr:txBody>
      </xdr:sp>
    </xdr:grpSp>
    <xdr:clientData/>
  </xdr:twoCellAnchor>
  <xdr:twoCellAnchor>
    <xdr:from>
      <xdr:col>33</xdr:col>
      <xdr:colOff>167961</xdr:colOff>
      <xdr:row>7</xdr:row>
      <xdr:rowOff>138788</xdr:rowOff>
    </xdr:from>
    <xdr:to>
      <xdr:col>35</xdr:col>
      <xdr:colOff>240297</xdr:colOff>
      <xdr:row>9</xdr:row>
      <xdr:rowOff>75209</xdr:rowOff>
    </xdr:to>
    <xdr:sp macro="" textlink="">
      <xdr:nvSpPr>
        <xdr:cNvPr id="62" name="Прямоугольник 61">
          <a:extLst>
            <a:ext uri="{FF2B5EF4-FFF2-40B4-BE49-F238E27FC236}">
              <a16:creationId xmlns:a16="http://schemas.microsoft.com/office/drawing/2014/main" id="{54568A07-37D5-0813-8252-B640683767D2}"/>
            </a:ext>
          </a:extLst>
        </xdr:cNvPr>
        <xdr:cNvSpPr/>
      </xdr:nvSpPr>
      <xdr:spPr>
        <a:xfrm>
          <a:off x="18279068" y="1581145"/>
          <a:ext cx="1324193" cy="2902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100">
              <a:solidFill>
                <a:schemeClr val="tx1">
                  <a:lumMod val="65000"/>
                  <a:lumOff val="35000"/>
                </a:schemeClr>
              </a:solidFill>
              <a:latin typeface="Bahnschrift Light SemiCondensed" panose="020B0502040204020203" pitchFamily="34" charset="0"/>
            </a:rPr>
            <a:t>ОСТАВИЛИ:</a:t>
          </a:r>
        </a:p>
      </xdr:txBody>
    </xdr:sp>
    <xdr:clientData/>
  </xdr:twoCellAnchor>
  <xdr:twoCellAnchor>
    <xdr:from>
      <xdr:col>35</xdr:col>
      <xdr:colOff>612594</xdr:colOff>
      <xdr:row>8</xdr:row>
      <xdr:rowOff>2688</xdr:rowOff>
    </xdr:from>
    <xdr:to>
      <xdr:col>37</xdr:col>
      <xdr:colOff>35841</xdr:colOff>
      <xdr:row>9</xdr:row>
      <xdr:rowOff>60415</xdr:rowOff>
    </xdr:to>
    <xdr:sp macro="" textlink="'Данные 2025'!B20">
      <xdr:nvSpPr>
        <xdr:cNvPr id="63" name="TextBox 62">
          <a:extLst>
            <a:ext uri="{FF2B5EF4-FFF2-40B4-BE49-F238E27FC236}">
              <a16:creationId xmlns:a16="http://schemas.microsoft.com/office/drawing/2014/main" id="{1A5D55E7-656D-C4BA-8DCB-2EA3D786E36C}"/>
            </a:ext>
          </a:extLst>
        </xdr:cNvPr>
        <xdr:cNvSpPr txBox="1"/>
      </xdr:nvSpPr>
      <xdr:spPr>
        <a:xfrm>
          <a:off x="19980094" y="1569021"/>
          <a:ext cx="672080" cy="2270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C8889BDA-248A-4A31-B0E0-5661BAADFDF0}" type="TxLink">
            <a:rPr lang="en-US" sz="1500" b="0" i="0" u="none" strike="noStrike">
              <a:solidFill>
                <a:srgbClr val="000000"/>
              </a:solidFill>
              <a:latin typeface="Bahnschrift Light SemiCondensed" panose="020B0502040204020203" pitchFamily="34" charset="0"/>
              <a:ea typeface="+mn-ea"/>
              <a:cs typeface="Calibri"/>
            </a:rPr>
            <a:pPr marL="0" indent="0" algn="r"/>
            <a:t>121 га</a:t>
          </a:fld>
          <a:endParaRPr lang="ru-RU" sz="15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 Light SemiCondensed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178798</xdr:colOff>
      <xdr:row>8</xdr:row>
      <xdr:rowOff>110761</xdr:rowOff>
    </xdr:from>
    <xdr:to>
      <xdr:col>37</xdr:col>
      <xdr:colOff>299357</xdr:colOff>
      <xdr:row>15</xdr:row>
      <xdr:rowOff>124370</xdr:rowOff>
    </xdr:to>
    <xdr:sp macro="" textlink="">
      <xdr:nvSpPr>
        <xdr:cNvPr id="71" name="Прямоугольник 70">
          <a:extLst>
            <a:ext uri="{FF2B5EF4-FFF2-40B4-BE49-F238E27FC236}">
              <a16:creationId xmlns:a16="http://schemas.microsoft.com/office/drawing/2014/main" id="{FF65D3DC-163A-4D33-AE2D-BF1560E17B1A}"/>
            </a:ext>
          </a:extLst>
        </xdr:cNvPr>
        <xdr:cNvSpPr/>
      </xdr:nvSpPr>
      <xdr:spPr>
        <a:xfrm>
          <a:off x="18289905" y="1730011"/>
          <a:ext cx="2624273" cy="12518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200">
              <a:solidFill>
                <a:schemeClr val="tx1"/>
              </a:solidFill>
              <a:latin typeface="Bahnschrift Light SemiCondensed" panose="020B0502040204020203" pitchFamily="34" charset="0"/>
            </a:rPr>
            <a:t>в</a:t>
          </a:r>
          <a:r>
            <a:rPr lang="ru-RU" sz="1200" baseline="0">
              <a:solidFill>
                <a:schemeClr val="tx1"/>
              </a:solidFill>
              <a:latin typeface="Bahnschrift Light SemiCondensed" panose="020B0502040204020203" pitchFamily="34" charset="0"/>
            </a:rPr>
            <a:t> т.ч.</a:t>
          </a:r>
        </a:p>
        <a:p>
          <a:pPr algn="l"/>
          <a:r>
            <a:rPr lang="ru-RU" sz="1200">
              <a:solidFill>
                <a:schemeClr val="tx1"/>
              </a:solidFill>
              <a:latin typeface="Bahnschrift Light SemiCondensed" panose="020B0502040204020203" pitchFamily="34" charset="0"/>
            </a:rPr>
            <a:t>Учхоз Кубань		20  га</a:t>
          </a:r>
        </a:p>
        <a:p>
          <a:pPr algn="l"/>
          <a:r>
            <a:rPr lang="ru-RU" sz="1200">
              <a:solidFill>
                <a:schemeClr val="tx1"/>
              </a:solidFill>
              <a:latin typeface="Bahnschrift Light SemiCondensed" panose="020B0502040204020203" pitchFamily="34" charset="0"/>
            </a:rPr>
            <a:t>Братковский		32  га</a:t>
          </a:r>
        </a:p>
        <a:p>
          <a:pPr algn="l"/>
          <a:r>
            <a:rPr lang="ru-RU" sz="1200">
              <a:solidFill>
                <a:schemeClr val="tx1"/>
              </a:solidFill>
              <a:latin typeface="Bahnschrift Light SemiCondensed" panose="020B0502040204020203" pitchFamily="34" charset="0"/>
            </a:rPr>
            <a:t>ГРК		1,5  га</a:t>
          </a:r>
        </a:p>
        <a:p>
          <a:pPr algn="l"/>
          <a:r>
            <a:rPr lang="ru-RU" sz="1200">
              <a:solidFill>
                <a:schemeClr val="tx1"/>
              </a:solidFill>
              <a:latin typeface="Bahnschrift Light SemiCondensed" panose="020B0502040204020203" pitchFamily="34" charset="0"/>
            </a:rPr>
            <a:t>ГРК</a:t>
          </a:r>
          <a:r>
            <a:rPr lang="ru-RU" sz="1200" baseline="0">
              <a:solidFill>
                <a:schemeClr val="tx1"/>
              </a:solidFill>
              <a:latin typeface="Bahnschrift Light SemiCondensed" panose="020B0502040204020203" pitchFamily="34" charset="0"/>
            </a:rPr>
            <a:t> демо		   8 га</a:t>
          </a:r>
        </a:p>
        <a:p>
          <a:pPr algn="l"/>
          <a:r>
            <a:rPr lang="ru-RU" sz="1200" baseline="0">
              <a:solidFill>
                <a:schemeClr val="tx1"/>
              </a:solidFill>
              <a:latin typeface="Bahnschrift Light SemiCondensed" panose="020B0502040204020203" pitchFamily="34" charset="0"/>
            </a:rPr>
            <a:t>ГРК собственные семена       59,5 га</a:t>
          </a:r>
          <a:endParaRPr lang="ru-RU" sz="1200">
            <a:solidFill>
              <a:schemeClr val="tx1"/>
            </a:solidFill>
            <a:latin typeface="Bahnschrift Light SemiCondensed" panose="020B0502040204020203" pitchFamily="34" charset="0"/>
          </a:endParaRPr>
        </a:p>
        <a:p>
          <a:pPr algn="l"/>
          <a:endParaRPr lang="ru-RU" sz="1200">
            <a:solidFill>
              <a:schemeClr val="tx1"/>
            </a:solidFill>
            <a:latin typeface="Bahnschrift Light SemiCondensed" panose="020B0502040204020203" pitchFamily="34" charset="0"/>
          </a:endParaRPr>
        </a:p>
      </xdr:txBody>
    </xdr:sp>
    <xdr:clientData/>
  </xdr:twoCellAnchor>
  <xdr:twoCellAnchor>
    <xdr:from>
      <xdr:col>33</xdr:col>
      <xdr:colOff>219893</xdr:colOff>
      <xdr:row>15</xdr:row>
      <xdr:rowOff>105833</xdr:rowOff>
    </xdr:from>
    <xdr:to>
      <xdr:col>37</xdr:col>
      <xdr:colOff>219621</xdr:colOff>
      <xdr:row>20</xdr:row>
      <xdr:rowOff>179069</xdr:rowOff>
    </xdr:to>
    <xdr:sp macro="" textlink="">
      <xdr:nvSpPr>
        <xdr:cNvPr id="72" name="Прямоугольник 71">
          <a:extLst>
            <a:ext uri="{FF2B5EF4-FFF2-40B4-BE49-F238E27FC236}">
              <a16:creationId xmlns:a16="http://schemas.microsoft.com/office/drawing/2014/main" id="{E64B05E6-58B2-40CA-AAA0-468871F5C183}"/>
            </a:ext>
          </a:extLst>
        </xdr:cNvPr>
        <xdr:cNvSpPr/>
      </xdr:nvSpPr>
      <xdr:spPr>
        <a:xfrm>
          <a:off x="18338560" y="2857500"/>
          <a:ext cx="2497394" cy="10257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ru-RU" sz="1100">
              <a:solidFill>
                <a:schemeClr val="tx1">
                  <a:lumMod val="65000"/>
                  <a:lumOff val="35000"/>
                </a:schemeClr>
              </a:solidFill>
              <a:latin typeface="Bahnschrift Light SemiCondensed" panose="020B0502040204020203" pitchFamily="34" charset="0"/>
            </a:rPr>
            <a:t>+</a:t>
          </a:r>
        </a:p>
        <a:p>
          <a:pPr algn="l"/>
          <a:r>
            <a:rPr lang="ru-RU" sz="1100">
              <a:solidFill>
                <a:schemeClr val="tx1">
                  <a:lumMod val="65000"/>
                  <a:lumOff val="35000"/>
                </a:schemeClr>
              </a:solidFill>
              <a:latin typeface="Bahnschrift Light SemiCondensed" panose="020B0502040204020203" pitchFamily="34" charset="0"/>
            </a:rPr>
            <a:t>УБРАНО НА ЗЕРНО:</a:t>
          </a:r>
        </a:p>
        <a:p>
          <a:pPr algn="l"/>
          <a:r>
            <a:rPr lang="ru-RU" sz="1100">
              <a:solidFill>
                <a:schemeClr val="tx1"/>
              </a:solidFill>
              <a:latin typeface="Bahnschrift Light SemiCondensed" panose="020B0502040204020203" pitchFamily="34" charset="0"/>
            </a:rPr>
            <a:t>в т.ч.</a:t>
          </a:r>
        </a:p>
        <a:p>
          <a:pPr algn="l"/>
          <a:r>
            <a:rPr lang="ru-RU" sz="1100">
              <a:solidFill>
                <a:schemeClr val="tx1"/>
              </a:solidFill>
              <a:latin typeface="Bahnschrift Light SemiCondensed" panose="020B0502040204020203" pitchFamily="34" charset="0"/>
            </a:rPr>
            <a:t>ГРК		60 га</a:t>
          </a:r>
        </a:p>
        <a:p>
          <a:pPr algn="l"/>
          <a:r>
            <a:rPr lang="ru-RU" sz="1100">
              <a:solidFill>
                <a:schemeClr val="tx1"/>
              </a:solidFill>
              <a:latin typeface="Bahnschrift Light SemiCondensed" panose="020B0502040204020203" pitchFamily="34" charset="0"/>
            </a:rPr>
            <a:t>ГРК</a:t>
          </a:r>
          <a:r>
            <a:rPr lang="ru-RU" sz="1100" baseline="0">
              <a:solidFill>
                <a:schemeClr val="tx1"/>
              </a:solidFill>
              <a:latin typeface="Bahnschrift Light SemiCondensed" panose="020B0502040204020203" pitchFamily="34" charset="0"/>
            </a:rPr>
            <a:t> собственные семена	11 га</a:t>
          </a:r>
          <a:endParaRPr lang="ru-RU" sz="1100">
            <a:solidFill>
              <a:schemeClr val="tx1"/>
            </a:solidFill>
            <a:latin typeface="Bahnschrift Light SemiCondensed" panose="020B0502040204020203" pitchFamily="34" charset="0"/>
          </a:endParaRPr>
        </a:p>
      </xdr:txBody>
    </xdr:sp>
    <xdr:clientData/>
  </xdr:twoCellAnchor>
  <xdr:twoCellAnchor>
    <xdr:from>
      <xdr:col>36</xdr:col>
      <xdr:colOff>1905</xdr:colOff>
      <xdr:row>16</xdr:row>
      <xdr:rowOff>165311</xdr:rowOff>
    </xdr:from>
    <xdr:to>
      <xdr:col>37</xdr:col>
      <xdr:colOff>35841</xdr:colOff>
      <xdr:row>17</xdr:row>
      <xdr:rowOff>213453</xdr:rowOff>
    </xdr:to>
    <xdr:sp macro="" textlink="'Данные 2025'!B19">
      <xdr:nvSpPr>
        <xdr:cNvPr id="73" name="TextBox 72">
          <a:extLst>
            <a:ext uri="{FF2B5EF4-FFF2-40B4-BE49-F238E27FC236}">
              <a16:creationId xmlns:a16="http://schemas.microsoft.com/office/drawing/2014/main" id="{F8A0269B-C7FA-4B5E-8673-F4D0C5E8DD10}"/>
            </a:ext>
          </a:extLst>
        </xdr:cNvPr>
        <xdr:cNvSpPr txBox="1"/>
      </xdr:nvSpPr>
      <xdr:spPr>
        <a:xfrm>
          <a:off x="19993822" y="3086311"/>
          <a:ext cx="658352" cy="217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413838B4-D69B-410F-83DF-4420F3091617}" type="TxLink">
            <a:rPr lang="en-US" sz="1500" b="0" i="0" u="none" strike="noStrike">
              <a:solidFill>
                <a:srgbClr val="000000"/>
              </a:solidFill>
              <a:latin typeface="Bahnschrift Light SemiCondensed" panose="020B0502040204020203" pitchFamily="34" charset="0"/>
              <a:ea typeface="+mn-ea"/>
              <a:cs typeface="Calibri"/>
            </a:rPr>
            <a:pPr marL="0" indent="0" algn="r"/>
            <a:t>71 га</a:t>
          </a:fld>
          <a:endParaRPr lang="ru-RU" sz="1500" b="0" i="0" u="none" strike="noStrike">
            <a:solidFill>
              <a:schemeClr val="accent6">
                <a:lumMod val="50000"/>
              </a:schemeClr>
            </a:solidFill>
            <a:latin typeface="Bahnschrift Light SemiCondensed" panose="020B0502040204020203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8905472-60C6-CBCF-CF63-8E47FDA35B17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0.02837</cdr:x>
      <cdr:y>0.05593</cdr:y>
    </cdr:from>
    <cdr:to>
      <cdr:x>0.9669</cdr:x>
      <cdr:y>0.05817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EC763449-ABC2-8438-B131-58F6061DFA25}"/>
            </a:ext>
          </a:extLst>
        </cdr:cNvPr>
        <cdr:cNvCxnSpPr/>
      </cdr:nvCxnSpPr>
      <cdr:spPr>
        <a:xfrm xmlns:a="http://schemas.openxmlformats.org/drawingml/2006/main" flipV="1">
          <a:off x="114300" y="238125"/>
          <a:ext cx="3781425" cy="95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156883</xdr:colOff>
      <xdr:row>19</xdr:row>
      <xdr:rowOff>67235</xdr:rowOff>
    </xdr:from>
    <xdr:to>
      <xdr:col>2</xdr:col>
      <xdr:colOff>582707</xdr:colOff>
      <xdr:row>36</xdr:row>
      <xdr:rowOff>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197F4360-AD27-4194-B908-E5B208B7C9FA}"/>
            </a:ext>
          </a:extLst>
        </xdr:cNvPr>
        <xdr:cNvSpPr/>
      </xdr:nvSpPr>
      <xdr:spPr>
        <a:xfrm>
          <a:off x="156883" y="3572435"/>
          <a:ext cx="578224" cy="3384625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</xdr:col>
      <xdr:colOff>2115</xdr:colOff>
      <xdr:row>3</xdr:row>
      <xdr:rowOff>20109</xdr:rowOff>
    </xdr:from>
    <xdr:to>
      <xdr:col>8</xdr:col>
      <xdr:colOff>47835</xdr:colOff>
      <xdr:row>12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Контрагент">
              <a:extLst>
                <a:ext uri="{FF2B5EF4-FFF2-40B4-BE49-F238E27FC236}">
                  <a16:creationId xmlns:a16="http://schemas.microsoft.com/office/drawing/2014/main" id="{62465E4A-4FD1-4659-A46A-62ABA2FACB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онтраген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172" y="749452"/>
              <a:ext cx="1950720" cy="16141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1058</xdr:colOff>
      <xdr:row>13</xdr:row>
      <xdr:rowOff>16933</xdr:rowOff>
    </xdr:from>
    <xdr:to>
      <xdr:col>8</xdr:col>
      <xdr:colOff>46778</xdr:colOff>
      <xdr:row>19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Полив">
              <a:extLst>
                <a:ext uri="{FF2B5EF4-FFF2-40B4-BE49-F238E27FC236}">
                  <a16:creationId xmlns:a16="http://schemas.microsoft.com/office/drawing/2014/main" id="{544CF205-65B5-41C4-AA5D-186C7C22EA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олив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115" y="2487990"/>
              <a:ext cx="1950720" cy="1296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8</xdr:col>
      <xdr:colOff>323850</xdr:colOff>
      <xdr:row>3</xdr:row>
      <xdr:rowOff>53340</xdr:rowOff>
    </xdr:from>
    <xdr:to>
      <xdr:col>10</xdr:col>
      <xdr:colOff>266700</xdr:colOff>
      <xdr:row>4</xdr:row>
      <xdr:rowOff>53340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C2B5CBA0-8A1C-4BF1-B5DA-7D86011E585F}"/>
            </a:ext>
          </a:extLst>
        </xdr:cNvPr>
        <xdr:cNvSpPr/>
      </xdr:nvSpPr>
      <xdr:spPr>
        <a:xfrm>
          <a:off x="2343150" y="670560"/>
          <a:ext cx="1230630" cy="1752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282575</xdr:colOff>
      <xdr:row>3</xdr:row>
      <xdr:rowOff>25400</xdr:rowOff>
    </xdr:from>
    <xdr:to>
      <xdr:col>19</xdr:col>
      <xdr:colOff>92075</xdr:colOff>
      <xdr:row>12</xdr:row>
      <xdr:rowOff>153950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5E596F64-585E-4D03-9548-E7A3235DFB7F}"/>
            </a:ext>
          </a:extLst>
        </xdr:cNvPr>
        <xdr:cNvGrpSpPr/>
      </xdr:nvGrpSpPr>
      <xdr:grpSpPr>
        <a:xfrm>
          <a:off x="6922861" y="773793"/>
          <a:ext cx="2258785" cy="1720586"/>
          <a:chOff x="7248525" y="781050"/>
          <a:chExt cx="2088092" cy="1757325"/>
        </a:xfrm>
      </xdr:grpSpPr>
      <xdr:grpSp>
        <xdr:nvGrpSpPr>
          <xdr:cNvPr id="7" name="Группа 6">
            <a:extLst>
              <a:ext uri="{FF2B5EF4-FFF2-40B4-BE49-F238E27FC236}">
                <a16:creationId xmlns:a16="http://schemas.microsoft.com/office/drawing/2014/main" id="{594AF4EC-7F20-9E97-BAB0-C632A8C87CD4}"/>
              </a:ext>
            </a:extLst>
          </xdr:cNvPr>
          <xdr:cNvGrpSpPr/>
        </xdr:nvGrpSpPr>
        <xdr:grpSpPr>
          <a:xfrm>
            <a:off x="7248525" y="781050"/>
            <a:ext cx="2088092" cy="1704975"/>
            <a:chOff x="2313819" y="794656"/>
            <a:chExt cx="2089452" cy="1717222"/>
          </a:xfrm>
        </xdr:grpSpPr>
        <xdr:sp macro="" textlink="">
          <xdr:nvSpPr>
            <xdr:cNvPr id="9" name="Прямоугольник 8">
              <a:extLst>
                <a:ext uri="{FF2B5EF4-FFF2-40B4-BE49-F238E27FC236}">
                  <a16:creationId xmlns:a16="http://schemas.microsoft.com/office/drawing/2014/main" id="{FC2EC537-B702-7CD0-C21C-7FBB2FC837AE}"/>
                </a:ext>
              </a:extLst>
            </xdr:cNvPr>
            <xdr:cNvSpPr/>
          </xdr:nvSpPr>
          <xdr:spPr>
            <a:xfrm>
              <a:off x="2313819" y="794656"/>
              <a:ext cx="2089452" cy="1717222"/>
            </a:xfrm>
            <a:prstGeom prst="rect">
              <a:avLst/>
            </a:prstGeom>
            <a:ln w="19050"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ru-RU" sz="1400" b="0">
                  <a:latin typeface="Bahnschrift Light SemiCondensed" panose="020B0502040204020203" pitchFamily="34" charset="0"/>
                </a:rPr>
                <a:t>УРОЖАЙНОСТЬ</a:t>
              </a:r>
            </a:p>
          </xdr:txBody>
        </xdr:sp>
        <xdr:cxnSp macro="">
          <xdr:nvCxnSpPr>
            <xdr:cNvPr id="10" name="Прямая соединительная линия 9">
              <a:extLst>
                <a:ext uri="{FF2B5EF4-FFF2-40B4-BE49-F238E27FC236}">
                  <a16:creationId xmlns:a16="http://schemas.microsoft.com/office/drawing/2014/main" id="{C2FBE0E1-EA66-F8A7-BD22-EF31D133E8B6}"/>
                </a:ext>
              </a:extLst>
            </xdr:cNvPr>
            <xdr:cNvCxnSpPr/>
          </xdr:nvCxnSpPr>
          <xdr:spPr>
            <a:xfrm>
              <a:off x="2356153" y="1050774"/>
              <a:ext cx="2011376" cy="0"/>
            </a:xfrm>
            <a:prstGeom prst="line">
              <a:avLst/>
            </a:prstGeom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11" name="Прямоугольник 10">
              <a:extLst>
                <a:ext uri="{FF2B5EF4-FFF2-40B4-BE49-F238E27FC236}">
                  <a16:creationId xmlns:a16="http://schemas.microsoft.com/office/drawing/2014/main" id="{C02DA1AE-D806-F5FD-03AE-2B115373935D}"/>
                </a:ext>
              </a:extLst>
            </xdr:cNvPr>
            <xdr:cNvSpPr/>
          </xdr:nvSpPr>
          <xdr:spPr>
            <a:xfrm>
              <a:off x="2361656" y="1114697"/>
              <a:ext cx="639535" cy="19376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ПЛАН:</a:t>
              </a:r>
            </a:p>
          </xdr:txBody>
        </xdr:sp>
        <xdr:sp macro="" textlink="">
          <xdr:nvSpPr>
            <xdr:cNvPr id="12" name="Прямоугольник 11">
              <a:extLst>
                <a:ext uri="{FF2B5EF4-FFF2-40B4-BE49-F238E27FC236}">
                  <a16:creationId xmlns:a16="http://schemas.microsoft.com/office/drawing/2014/main" id="{85061C0C-E6B9-5057-6A63-5CD7A53C981D}"/>
                </a:ext>
              </a:extLst>
            </xdr:cNvPr>
            <xdr:cNvSpPr/>
          </xdr:nvSpPr>
          <xdr:spPr>
            <a:xfrm>
              <a:off x="2359539" y="1383272"/>
              <a:ext cx="639535" cy="19376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ФАКТ:</a:t>
              </a: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B9B671A-FA8B-8A02-B7D8-9358C6BFDBE9}"/>
                </a:ext>
              </a:extLst>
            </xdr:cNvPr>
            <xdr:cNvSpPr txBox="1"/>
          </xdr:nvSpPr>
          <xdr:spPr>
            <a:xfrm>
              <a:off x="3342236" y="1070882"/>
              <a:ext cx="1023257" cy="2789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6329264D-713F-4DA7-9579-2E7532C5E0B3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</a:rPr>
                <a:pPr algn="r"/>
                <a:t>4,6 тн./га</a:t>
              </a:fld>
              <a:endParaRPr lang="ru-RU" sz="1400" b="0">
                <a:solidFill>
                  <a:schemeClr val="accent6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7089174-2613-1272-A4B0-003BC0CB603F}"/>
                </a:ext>
              </a:extLst>
            </xdr:cNvPr>
            <xdr:cNvSpPr txBox="1"/>
          </xdr:nvSpPr>
          <xdr:spPr>
            <a:xfrm>
              <a:off x="3346863" y="1337174"/>
              <a:ext cx="1018630" cy="2394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376F993B-1976-47CE-B55E-47D3BDFDA4AB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</a:rPr>
                <a:pPr algn="r"/>
                <a:t>2,7 тн./га</a:t>
              </a:fld>
              <a:endParaRPr lang="ru-RU" sz="1400" b="0">
                <a:solidFill>
                  <a:schemeClr val="accent6">
                    <a:lumMod val="50000"/>
                  </a:schemeClr>
                </a:solidFill>
              </a:endParaRPr>
            </a:p>
          </xdr:txBody>
        </xdr:sp>
      </xdr:grpSp>
      <xdr:pic>
        <xdr:nvPicPr>
          <xdr:cNvPr id="8" name="Рисунок 7" descr="Открытая ладонь с растением">
            <a:extLst>
              <a:ext uri="{FF2B5EF4-FFF2-40B4-BE49-F238E27FC236}">
                <a16:creationId xmlns:a16="http://schemas.microsoft.com/office/drawing/2014/main" id="{E25E5301-8B8B-E083-0B63-219E6682D2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72300" y="1623975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216958</xdr:colOff>
      <xdr:row>3</xdr:row>
      <xdr:rowOff>20410</xdr:rowOff>
    </xdr:from>
    <xdr:to>
      <xdr:col>11</xdr:col>
      <xdr:colOff>381000</xdr:colOff>
      <xdr:row>13</xdr:row>
      <xdr:rowOff>49950</xdr:rowOff>
    </xdr:to>
    <xdr:grpSp>
      <xdr:nvGrpSpPr>
        <xdr:cNvPr id="15" name="Группа 14">
          <a:extLst>
            <a:ext uri="{FF2B5EF4-FFF2-40B4-BE49-F238E27FC236}">
              <a16:creationId xmlns:a16="http://schemas.microsoft.com/office/drawing/2014/main" id="{FA5D7A82-7765-49B1-8C38-D1817064AB73}"/>
            </a:ext>
          </a:extLst>
        </xdr:cNvPr>
        <xdr:cNvGrpSpPr/>
      </xdr:nvGrpSpPr>
      <xdr:grpSpPr>
        <a:xfrm>
          <a:off x="2298851" y="768803"/>
          <a:ext cx="2273149" cy="1798468"/>
          <a:chOff x="2274358" y="801460"/>
          <a:chExt cx="2088092" cy="1839290"/>
        </a:xfrm>
      </xdr:grpSpPr>
      <xdr:grpSp>
        <xdr:nvGrpSpPr>
          <xdr:cNvPr id="16" name="Группа 15">
            <a:extLst>
              <a:ext uri="{FF2B5EF4-FFF2-40B4-BE49-F238E27FC236}">
                <a16:creationId xmlns:a16="http://schemas.microsoft.com/office/drawing/2014/main" id="{C250F1D7-3044-1D8D-4BB9-C2FEB745D165}"/>
              </a:ext>
            </a:extLst>
          </xdr:cNvPr>
          <xdr:cNvGrpSpPr/>
        </xdr:nvGrpSpPr>
        <xdr:grpSpPr>
          <a:xfrm>
            <a:off x="2274358" y="801460"/>
            <a:ext cx="2088092" cy="1704975"/>
            <a:chOff x="2313819" y="794656"/>
            <a:chExt cx="2089452" cy="1717222"/>
          </a:xfrm>
        </xdr:grpSpPr>
        <xdr:sp macro="" textlink="">
          <xdr:nvSpPr>
            <xdr:cNvPr id="18" name="Прямоугольник 17">
              <a:extLst>
                <a:ext uri="{FF2B5EF4-FFF2-40B4-BE49-F238E27FC236}">
                  <a16:creationId xmlns:a16="http://schemas.microsoft.com/office/drawing/2014/main" id="{321139D6-9242-2A18-89DF-43126FB7F8E9}"/>
                </a:ext>
              </a:extLst>
            </xdr:cNvPr>
            <xdr:cNvSpPr/>
          </xdr:nvSpPr>
          <xdr:spPr>
            <a:xfrm>
              <a:off x="2313819" y="794656"/>
              <a:ext cx="2089452" cy="1717222"/>
            </a:xfrm>
            <a:prstGeom prst="rect">
              <a:avLst/>
            </a:prstGeom>
            <a:ln w="19050"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ru-RU" sz="1400" b="0">
                  <a:latin typeface="Bahnschrift Light SemiCondensed" panose="020B0502040204020203" pitchFamily="34" charset="0"/>
                </a:rPr>
                <a:t>ВАЛОВЫЙ СБОР</a:t>
              </a:r>
            </a:p>
          </xdr:txBody>
        </xdr:sp>
        <xdr:cxnSp macro="">
          <xdr:nvCxnSpPr>
            <xdr:cNvPr id="19" name="Прямая соединительная линия 18">
              <a:extLst>
                <a:ext uri="{FF2B5EF4-FFF2-40B4-BE49-F238E27FC236}">
                  <a16:creationId xmlns:a16="http://schemas.microsoft.com/office/drawing/2014/main" id="{F814F5FB-D5FB-3016-34C2-C7E6F8F00697}"/>
                </a:ext>
              </a:extLst>
            </xdr:cNvPr>
            <xdr:cNvCxnSpPr/>
          </xdr:nvCxnSpPr>
          <xdr:spPr>
            <a:xfrm>
              <a:off x="2356153" y="1050774"/>
              <a:ext cx="2011376" cy="0"/>
            </a:xfrm>
            <a:prstGeom prst="line">
              <a:avLst/>
            </a:prstGeom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20" name="Прямоугольник 19">
              <a:extLst>
                <a:ext uri="{FF2B5EF4-FFF2-40B4-BE49-F238E27FC236}">
                  <a16:creationId xmlns:a16="http://schemas.microsoft.com/office/drawing/2014/main" id="{EC479B83-4987-7609-B662-97231755E4EC}"/>
                </a:ext>
              </a:extLst>
            </xdr:cNvPr>
            <xdr:cNvSpPr/>
          </xdr:nvSpPr>
          <xdr:spPr>
            <a:xfrm>
              <a:off x="2361656" y="1114697"/>
              <a:ext cx="639535" cy="19376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ПЛАН:</a:t>
              </a:r>
            </a:p>
          </xdr:txBody>
        </xdr:sp>
        <xdr:sp macro="" textlink="">
          <xdr:nvSpPr>
            <xdr:cNvPr id="21" name="Прямоугольник 20">
              <a:extLst>
                <a:ext uri="{FF2B5EF4-FFF2-40B4-BE49-F238E27FC236}">
                  <a16:creationId xmlns:a16="http://schemas.microsoft.com/office/drawing/2014/main" id="{3F124D51-01ED-3FBC-44A6-A0A410EB306A}"/>
                </a:ext>
              </a:extLst>
            </xdr:cNvPr>
            <xdr:cNvSpPr/>
          </xdr:nvSpPr>
          <xdr:spPr>
            <a:xfrm>
              <a:off x="2359539" y="1383272"/>
              <a:ext cx="639535" cy="19376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ФАКТ:</a:t>
              </a:r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2E903921-6527-65DC-4EF6-4FD611AA2263}"/>
                </a:ext>
              </a:extLst>
            </xdr:cNvPr>
            <xdr:cNvSpPr txBox="1"/>
          </xdr:nvSpPr>
          <xdr:spPr>
            <a:xfrm>
              <a:off x="3342236" y="1070882"/>
              <a:ext cx="1023257" cy="27894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6861784E-840F-41C3-8A6F-60CB610C11AD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</a:rPr>
                <a:pPr algn="r"/>
                <a:t>7 910,6 тн.</a:t>
              </a:fld>
              <a:endParaRPr lang="ru-RU" sz="1400" b="0">
                <a:solidFill>
                  <a:schemeClr val="accent6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73EE955-4264-079C-7DEE-B345B391C709}"/>
                </a:ext>
              </a:extLst>
            </xdr:cNvPr>
            <xdr:cNvSpPr txBox="1"/>
          </xdr:nvSpPr>
          <xdr:spPr>
            <a:xfrm>
              <a:off x="3346863" y="1337174"/>
              <a:ext cx="1018630" cy="23948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F5D84E83-147C-4ED8-9B31-5DC25F8B436C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</a:rPr>
                <a:pPr algn="r"/>
                <a:t>4 371,9 тн.</a:t>
              </a:fld>
              <a:endParaRPr lang="ru-RU" sz="1400" b="0">
                <a:solidFill>
                  <a:schemeClr val="accent6">
                    <a:lumMod val="50000"/>
                  </a:schemeClr>
                </a:solidFill>
              </a:endParaRPr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757865C2-37A7-BB2D-841D-8B2C36CB348A}"/>
                </a:ext>
              </a:extLst>
            </xdr:cNvPr>
            <xdr:cNvSpPr txBox="1"/>
          </xdr:nvSpPr>
          <xdr:spPr>
            <a:xfrm>
              <a:off x="3619360" y="1993446"/>
              <a:ext cx="655507" cy="38562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00D77D9D-DF3F-408F-BFB1-4650B24F4427}" type="TxLink">
                <a:rPr lang="en-US" sz="1800" b="0" i="0" u="none" strike="noStrike">
                  <a:solidFill>
                    <a:srgbClr val="FF0000"/>
                  </a:solidFill>
                  <a:latin typeface="Bahnschrift Light SemiCondensed"/>
                </a:rPr>
                <a:pPr algn="r"/>
                <a:t>55,3%</a:t>
              </a:fld>
              <a:endParaRPr lang="ru-RU" sz="1800" b="0">
                <a:solidFill>
                  <a:srgbClr val="FF0000"/>
                </a:solidFill>
              </a:endParaRPr>
            </a:p>
          </xdr:txBody>
        </xdr:sp>
      </xdr:grpSp>
      <xdr:pic>
        <xdr:nvPicPr>
          <xdr:cNvPr id="17" name="Рисунок 16" descr="Самосвал">
            <a:extLst>
              <a:ext uri="{FF2B5EF4-FFF2-40B4-BE49-F238E27FC236}">
                <a16:creationId xmlns:a16="http://schemas.microsoft.com/office/drawing/2014/main" id="{BC98E85F-9030-FDED-3E1A-B1B2545821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316900" y="1726350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225135</xdr:colOff>
      <xdr:row>12</xdr:row>
      <xdr:rowOff>142875</xdr:rowOff>
    </xdr:from>
    <xdr:to>
      <xdr:col>19</xdr:col>
      <xdr:colOff>104775</xdr:colOff>
      <xdr:row>25</xdr:row>
      <xdr:rowOff>171450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DF46A89D-8981-4350-922A-34D7CB40F1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238123</xdr:colOff>
      <xdr:row>26</xdr:row>
      <xdr:rowOff>19050</xdr:rowOff>
    </xdr:from>
    <xdr:to>
      <xdr:col>32</xdr:col>
      <xdr:colOff>295274</xdr:colOff>
      <xdr:row>36</xdr:row>
      <xdr:rowOff>161926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3FE405EF-2067-4100-B727-8016CE21A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434976</xdr:colOff>
      <xdr:row>3</xdr:row>
      <xdr:rowOff>24945</xdr:rowOff>
    </xdr:from>
    <xdr:to>
      <xdr:col>15</xdr:col>
      <xdr:colOff>239788</xdr:colOff>
      <xdr:row>12</xdr:row>
      <xdr:rowOff>174625</xdr:rowOff>
    </xdr:to>
    <xdr:grpSp>
      <xdr:nvGrpSpPr>
        <xdr:cNvPr id="27" name="Группа 26">
          <a:extLst>
            <a:ext uri="{FF2B5EF4-FFF2-40B4-BE49-F238E27FC236}">
              <a16:creationId xmlns:a16="http://schemas.microsoft.com/office/drawing/2014/main" id="{B2382EEE-1FF3-4676-86A0-514C76757954}"/>
            </a:ext>
          </a:extLst>
        </xdr:cNvPr>
        <xdr:cNvGrpSpPr/>
      </xdr:nvGrpSpPr>
      <xdr:grpSpPr>
        <a:xfrm>
          <a:off x="4625976" y="773338"/>
          <a:ext cx="2254098" cy="1741716"/>
          <a:chOff x="4800601" y="669470"/>
          <a:chExt cx="2243212" cy="1778455"/>
        </a:xfrm>
      </xdr:grpSpPr>
      <xdr:grpSp>
        <xdr:nvGrpSpPr>
          <xdr:cNvPr id="28" name="Группа 27">
            <a:extLst>
              <a:ext uri="{FF2B5EF4-FFF2-40B4-BE49-F238E27FC236}">
                <a16:creationId xmlns:a16="http://schemas.microsoft.com/office/drawing/2014/main" id="{511DDE08-9EDC-447B-4661-B23C9AE869FA}"/>
              </a:ext>
            </a:extLst>
          </xdr:cNvPr>
          <xdr:cNvGrpSpPr/>
        </xdr:nvGrpSpPr>
        <xdr:grpSpPr>
          <a:xfrm>
            <a:off x="4800601" y="669470"/>
            <a:ext cx="2243212" cy="1703615"/>
            <a:chOff x="4815566" y="775606"/>
            <a:chExt cx="2089453" cy="1717222"/>
          </a:xfrm>
        </xdr:grpSpPr>
        <xdr:grpSp>
          <xdr:nvGrpSpPr>
            <xdr:cNvPr id="30" name="Группа 29">
              <a:extLst>
                <a:ext uri="{FF2B5EF4-FFF2-40B4-BE49-F238E27FC236}">
                  <a16:creationId xmlns:a16="http://schemas.microsoft.com/office/drawing/2014/main" id="{969C3737-2978-2A19-B334-728B9221146A}"/>
                </a:ext>
              </a:extLst>
            </xdr:cNvPr>
            <xdr:cNvGrpSpPr/>
          </xdr:nvGrpSpPr>
          <xdr:grpSpPr>
            <a:xfrm>
              <a:off x="4815566" y="775606"/>
              <a:ext cx="2089453" cy="1717222"/>
              <a:chOff x="2316539" y="786491"/>
              <a:chExt cx="2089452" cy="1717222"/>
            </a:xfrm>
          </xdr:grpSpPr>
          <xdr:sp macro="" textlink="">
            <xdr:nvSpPr>
              <xdr:cNvPr id="33" name="Прямоугольник 32">
                <a:extLst>
                  <a:ext uri="{FF2B5EF4-FFF2-40B4-BE49-F238E27FC236}">
                    <a16:creationId xmlns:a16="http://schemas.microsoft.com/office/drawing/2014/main" id="{59037E19-65A7-BACA-5CA7-7B61B4A1A249}"/>
                  </a:ext>
                </a:extLst>
              </xdr:cNvPr>
              <xdr:cNvSpPr/>
            </xdr:nvSpPr>
            <xdr:spPr>
              <a:xfrm>
                <a:off x="2316539" y="786491"/>
                <a:ext cx="2089452" cy="1717222"/>
              </a:xfrm>
              <a:prstGeom prst="rect">
                <a:avLst/>
              </a:prstGeom>
              <a:ln w="19050"/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ru-RU" sz="1400" b="0">
                    <a:latin typeface="Bahnschrift Light SemiCondensed" panose="020B0502040204020203" pitchFamily="34" charset="0"/>
                  </a:rPr>
                  <a:t>ПЛОЩАДЬ</a:t>
                </a:r>
                <a:r>
                  <a:rPr lang="ru-RU" sz="1400" b="0" baseline="0">
                    <a:latin typeface="Bahnschrift Light SemiCondensed" panose="020B0502040204020203" pitchFamily="34" charset="0"/>
                  </a:rPr>
                  <a:t> УБОРКИ</a:t>
                </a:r>
                <a:endParaRPr lang="ru-RU" sz="1400" b="0">
                  <a:latin typeface="Bahnschrift Light SemiCondensed" panose="020B0502040204020203" pitchFamily="34" charset="0"/>
                </a:endParaRPr>
              </a:p>
            </xdr:txBody>
          </xdr:sp>
          <xdr:cxnSp macro="">
            <xdr:nvCxnSpPr>
              <xdr:cNvPr id="34" name="Прямая соединительная линия 33">
                <a:extLst>
                  <a:ext uri="{FF2B5EF4-FFF2-40B4-BE49-F238E27FC236}">
                    <a16:creationId xmlns:a16="http://schemas.microsoft.com/office/drawing/2014/main" id="{49AE764A-FB02-EAC1-AB61-2DD28486DA8D}"/>
                  </a:ext>
                </a:extLst>
              </xdr:cNvPr>
              <xdr:cNvCxnSpPr/>
            </xdr:nvCxnSpPr>
            <xdr:spPr>
              <a:xfrm flipV="1">
                <a:off x="2356153" y="1047750"/>
                <a:ext cx="1992690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5" name="Прямоугольник 34">
                <a:extLst>
                  <a:ext uri="{FF2B5EF4-FFF2-40B4-BE49-F238E27FC236}">
                    <a16:creationId xmlns:a16="http://schemas.microsoft.com/office/drawing/2014/main" id="{013281E7-2FE5-A82D-8068-5E03544DA6DC}"/>
                  </a:ext>
                </a:extLst>
              </xdr:cNvPr>
              <xdr:cNvSpPr/>
            </xdr:nvSpPr>
            <xdr:spPr>
              <a:xfrm>
                <a:off x="2361656" y="1114697"/>
                <a:ext cx="639535" cy="19376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ПЛАН:</a:t>
                </a:r>
              </a:p>
            </xdr:txBody>
          </xdr:sp>
          <xdr:sp macro="" textlink="">
            <xdr:nvSpPr>
              <xdr:cNvPr id="36" name="Прямоугольник 35">
                <a:extLst>
                  <a:ext uri="{FF2B5EF4-FFF2-40B4-BE49-F238E27FC236}">
                    <a16:creationId xmlns:a16="http://schemas.microsoft.com/office/drawing/2014/main" id="{E7BC33F7-67B7-7F1C-229C-31307EA354CF}"/>
                  </a:ext>
                </a:extLst>
              </xdr:cNvPr>
              <xdr:cNvSpPr/>
            </xdr:nvSpPr>
            <xdr:spPr>
              <a:xfrm>
                <a:off x="2359539" y="1383272"/>
                <a:ext cx="639535" cy="19376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ФАКТ:</a:t>
                </a:r>
              </a:p>
            </xdr:txBody>
          </xdr:sp>
          <xdr:sp macro="" textlink="">
            <xdr:nvSpPr>
              <xdr:cNvPr id="37" name="TextBox 36">
                <a:extLst>
                  <a:ext uri="{FF2B5EF4-FFF2-40B4-BE49-F238E27FC236}">
                    <a16:creationId xmlns:a16="http://schemas.microsoft.com/office/drawing/2014/main" id="{12F523F0-4A0F-D7C9-0218-BAB26BBE4773}"/>
                  </a:ext>
                </a:extLst>
              </xdr:cNvPr>
              <xdr:cNvSpPr txBox="1"/>
            </xdr:nvSpPr>
            <xdr:spPr>
              <a:xfrm>
                <a:off x="3370488" y="1051680"/>
                <a:ext cx="1023257" cy="27894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685509F7-015E-4DD4-9943-0E2F73E52AF1}" type="TxLink">
                  <a:rPr lang="en-US" sz="1400" b="0" i="0" u="none" strike="noStrike">
                    <a:solidFill>
                      <a:schemeClr val="accent6">
                        <a:lumMod val="50000"/>
                      </a:schemeClr>
                    </a:solidFill>
                    <a:latin typeface="Bahnschrift Light SemiCondensed"/>
                  </a:rPr>
                  <a:pPr algn="r"/>
                  <a:t>1 726,1 га</a:t>
                </a:fld>
                <a:endParaRPr lang="ru-RU" sz="1400" b="0">
                  <a:solidFill>
                    <a:schemeClr val="accent6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8" name="TextBox 37">
                <a:extLst>
                  <a:ext uri="{FF2B5EF4-FFF2-40B4-BE49-F238E27FC236}">
                    <a16:creationId xmlns:a16="http://schemas.microsoft.com/office/drawing/2014/main" id="{1514A297-BA4A-7BDE-DE32-22F2FAD4E1E1}"/>
                  </a:ext>
                </a:extLst>
              </xdr:cNvPr>
              <xdr:cNvSpPr txBox="1"/>
            </xdr:nvSpPr>
            <xdr:spPr>
              <a:xfrm>
                <a:off x="3368765" y="1337180"/>
                <a:ext cx="1018630" cy="2394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65CF629E-82A9-4CAD-8BD1-0F862A88CD87}" type="TxLink">
                  <a:rPr lang="en-US" sz="1400" b="0" i="0" u="none" strike="noStrike">
                    <a:solidFill>
                      <a:schemeClr val="accent6">
                        <a:lumMod val="50000"/>
                      </a:schemeClr>
                    </a:solidFill>
                    <a:latin typeface="Bahnschrift Light SemiCondensed"/>
                  </a:rPr>
                  <a:pPr algn="r"/>
                  <a:t>1 593,5 га</a:t>
                </a:fld>
                <a:endParaRPr lang="ru-RU" sz="1400" b="0">
                  <a:solidFill>
                    <a:schemeClr val="accent6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30BEBABB-C467-8D7B-8A8E-A160F7642CDA}"/>
                  </a:ext>
                </a:extLst>
              </xdr:cNvPr>
              <xdr:cNvSpPr txBox="1"/>
            </xdr:nvSpPr>
            <xdr:spPr>
              <a:xfrm>
                <a:off x="3534975" y="1993446"/>
                <a:ext cx="783933" cy="38562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0B3DDEDD-44B2-48A4-83A7-CF748CC73DE5}" type="TxLink">
                  <a:rPr lang="en-US" sz="1800" b="0" i="0" u="none" strike="noStrike">
                    <a:solidFill>
                      <a:srgbClr val="FF0000"/>
                    </a:solidFill>
                    <a:latin typeface="Bahnschrift Light SemiCondensed"/>
                  </a:rPr>
                  <a:pPr algn="r"/>
                  <a:t>92,3%</a:t>
                </a:fld>
                <a:endParaRPr lang="ru-RU" sz="1800" b="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31" name="Прямоугольник 30">
              <a:extLst>
                <a:ext uri="{FF2B5EF4-FFF2-40B4-BE49-F238E27FC236}">
                  <a16:creationId xmlns:a16="http://schemas.microsoft.com/office/drawing/2014/main" id="{FE66D43F-1A1E-39E9-DB94-A0AD8772304D}"/>
                </a:ext>
              </a:extLst>
            </xdr:cNvPr>
            <xdr:cNvSpPr/>
          </xdr:nvSpPr>
          <xdr:spPr>
            <a:xfrm>
              <a:off x="4871356" y="1627414"/>
              <a:ext cx="740230" cy="19374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ru-RU" sz="1100">
                  <a:solidFill>
                    <a:schemeClr val="tx1"/>
                  </a:solidFill>
                  <a:latin typeface="Bahnschrift Light SemiCondensed" panose="020B0502040204020203" pitchFamily="34" charset="0"/>
                </a:rPr>
                <a:t>ОСТАТОК:</a:t>
              </a: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6C3C2AF-A558-A0CB-0204-F8255CE52540}"/>
                </a:ext>
              </a:extLst>
            </xdr:cNvPr>
            <xdr:cNvSpPr txBox="1"/>
          </xdr:nvSpPr>
          <xdr:spPr>
            <a:xfrm>
              <a:off x="6014357" y="1602769"/>
              <a:ext cx="881743" cy="21661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fld id="{A734EBCA-2A05-428D-A6B0-A31C401F9ECC}" type="TxLink">
                <a:rPr lang="en-US" sz="1400" b="0" i="0" u="none" strike="noStrike">
                  <a:solidFill>
                    <a:schemeClr val="accent6">
                      <a:lumMod val="50000"/>
                    </a:schemeClr>
                  </a:solidFill>
                  <a:latin typeface="Bahnschrift Light SemiCondensed"/>
                </a:rPr>
                <a:pPr algn="r"/>
                <a:t>132,6 га</a:t>
              </a:fld>
              <a:endParaRPr lang="ru-RU" sz="1400" b="0">
                <a:solidFill>
                  <a:schemeClr val="accent6">
                    <a:lumMod val="50000"/>
                  </a:schemeClr>
                </a:solidFill>
              </a:endParaRPr>
            </a:p>
          </xdr:txBody>
        </xdr:sp>
      </xdr:grpSp>
      <xdr:pic>
        <xdr:nvPicPr>
          <xdr:cNvPr id="29" name="Рисунок 28" descr="Карта с кнопкой">
            <a:extLst>
              <a:ext uri="{FF2B5EF4-FFF2-40B4-BE49-F238E27FC236}">
                <a16:creationId xmlns:a16="http://schemas.microsoft.com/office/drawing/2014/main" id="{6F5C026A-CC05-9C74-A325-1BF0BEC72D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4857750" y="1533525"/>
            <a:ext cx="914400" cy="914400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146050</xdr:colOff>
      <xdr:row>12</xdr:row>
      <xdr:rowOff>146049</xdr:rowOff>
    </xdr:from>
    <xdr:to>
      <xdr:col>25</xdr:col>
      <xdr:colOff>6351</xdr:colOff>
      <xdr:row>25</xdr:row>
      <xdr:rowOff>174624</xdr:rowOff>
    </xdr:to>
    <xdr:graphicFrame macro="">
      <xdr:nvGraphicFramePr>
        <xdr:cNvPr id="40" name="Диаграмма 39">
          <a:extLst>
            <a:ext uri="{FF2B5EF4-FFF2-40B4-BE49-F238E27FC236}">
              <a16:creationId xmlns:a16="http://schemas.microsoft.com/office/drawing/2014/main" id="{1ACDACF0-4E3E-40CB-8081-ECD7502FC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142874</xdr:colOff>
      <xdr:row>3</xdr:row>
      <xdr:rowOff>19050</xdr:rowOff>
    </xdr:from>
    <xdr:to>
      <xdr:col>25</xdr:col>
      <xdr:colOff>9525</xdr:colOff>
      <xdr:row>12</xdr:row>
      <xdr:rowOff>95250</xdr:rowOff>
    </xdr:to>
    <xdr:grpSp>
      <xdr:nvGrpSpPr>
        <xdr:cNvPr id="41" name="Группа 40">
          <a:extLst>
            <a:ext uri="{FF2B5EF4-FFF2-40B4-BE49-F238E27FC236}">
              <a16:creationId xmlns:a16="http://schemas.microsoft.com/office/drawing/2014/main" id="{464D9CED-8B3C-4814-BEC8-AB962CA7CACB}"/>
            </a:ext>
          </a:extLst>
        </xdr:cNvPr>
        <xdr:cNvGrpSpPr/>
      </xdr:nvGrpSpPr>
      <xdr:grpSpPr>
        <a:xfrm>
          <a:off x="9232445" y="767443"/>
          <a:ext cx="4411437" cy="1668236"/>
          <a:chOff x="9163049" y="647700"/>
          <a:chExt cx="4400551" cy="1704975"/>
        </a:xfrm>
      </xdr:grpSpPr>
      <xdr:grpSp>
        <xdr:nvGrpSpPr>
          <xdr:cNvPr id="42" name="Группа 41">
            <a:extLst>
              <a:ext uri="{FF2B5EF4-FFF2-40B4-BE49-F238E27FC236}">
                <a16:creationId xmlns:a16="http://schemas.microsoft.com/office/drawing/2014/main" id="{E9108831-D7BD-33E4-5BE2-48E8CD187158}"/>
              </a:ext>
            </a:extLst>
          </xdr:cNvPr>
          <xdr:cNvGrpSpPr/>
        </xdr:nvGrpSpPr>
        <xdr:grpSpPr>
          <a:xfrm>
            <a:off x="9163049" y="647700"/>
            <a:ext cx="4400551" cy="1704975"/>
            <a:chOff x="9163049" y="647700"/>
            <a:chExt cx="4400551" cy="1704975"/>
          </a:xfrm>
        </xdr:grpSpPr>
        <xdr:grpSp>
          <xdr:nvGrpSpPr>
            <xdr:cNvPr id="48" name="Группа 47">
              <a:extLst>
                <a:ext uri="{FF2B5EF4-FFF2-40B4-BE49-F238E27FC236}">
                  <a16:creationId xmlns:a16="http://schemas.microsoft.com/office/drawing/2014/main" id="{6E28AFF0-0D4A-8432-DD20-D363E5646896}"/>
                </a:ext>
              </a:extLst>
            </xdr:cNvPr>
            <xdr:cNvGrpSpPr/>
          </xdr:nvGrpSpPr>
          <xdr:grpSpPr>
            <a:xfrm>
              <a:off x="9163049" y="647700"/>
              <a:ext cx="4400551" cy="1704975"/>
              <a:chOff x="9163049" y="647700"/>
              <a:chExt cx="4400551" cy="1704975"/>
            </a:xfrm>
          </xdr:grpSpPr>
          <xdr:sp macro="" textlink="">
            <xdr:nvSpPr>
              <xdr:cNvPr id="50" name="Прямоугольник 49">
                <a:extLst>
                  <a:ext uri="{FF2B5EF4-FFF2-40B4-BE49-F238E27FC236}">
                    <a16:creationId xmlns:a16="http://schemas.microsoft.com/office/drawing/2014/main" id="{37A5226E-134F-2AF0-E5D2-37161D03AF8F}"/>
                  </a:ext>
                </a:extLst>
              </xdr:cNvPr>
              <xdr:cNvSpPr/>
            </xdr:nvSpPr>
            <xdr:spPr>
              <a:xfrm>
                <a:off x="9163049" y="647700"/>
                <a:ext cx="4400551" cy="1704975"/>
              </a:xfrm>
              <a:prstGeom prst="rect">
                <a:avLst/>
              </a:prstGeom>
              <a:ln w="19050"/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ru-RU" sz="1400" b="0">
                    <a:latin typeface="Bahnschrift Light SemiCondensed" panose="020B0502040204020203" pitchFamily="34" charset="0"/>
                  </a:rPr>
                  <a:t>ИНФОРМАЦИЯ ПО СЫРЬЮ:</a:t>
                </a:r>
              </a:p>
            </xdr:txBody>
          </xdr:sp>
          <xdr:cxnSp macro="">
            <xdr:nvCxnSpPr>
              <xdr:cNvPr id="51" name="Прямая соединительная линия 50">
                <a:extLst>
                  <a:ext uri="{FF2B5EF4-FFF2-40B4-BE49-F238E27FC236}">
                    <a16:creationId xmlns:a16="http://schemas.microsoft.com/office/drawing/2014/main" id="{55E6FA2A-0B25-E33B-0664-4EB6A4D1894F}"/>
                  </a:ext>
                </a:extLst>
              </xdr:cNvPr>
              <xdr:cNvCxnSpPr/>
            </xdr:nvCxnSpPr>
            <xdr:spPr>
              <a:xfrm>
                <a:off x="9252208" y="901991"/>
                <a:ext cx="4236117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2" name="Прямоугольник 51">
                <a:extLst>
                  <a:ext uri="{FF2B5EF4-FFF2-40B4-BE49-F238E27FC236}">
                    <a16:creationId xmlns:a16="http://schemas.microsoft.com/office/drawing/2014/main" id="{4FB9ADE7-24F6-54BE-FC8B-8AAB0FA6ACDF}"/>
                  </a:ext>
                </a:extLst>
              </xdr:cNvPr>
              <xdr:cNvSpPr/>
            </xdr:nvSpPr>
            <xdr:spPr>
              <a:xfrm>
                <a:off x="9163049" y="965459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Переработка:</a:t>
                </a:r>
              </a:p>
            </xdr:txBody>
          </xdr:sp>
          <xdr:sp macro="" textlink="">
            <xdr:nvSpPr>
              <xdr:cNvPr id="53" name="Прямоугольник 52">
                <a:extLst>
                  <a:ext uri="{FF2B5EF4-FFF2-40B4-BE49-F238E27FC236}">
                    <a16:creationId xmlns:a16="http://schemas.microsoft.com/office/drawing/2014/main" id="{461AFDBA-26ED-A40B-70D8-F997D9CC39F3}"/>
                  </a:ext>
                </a:extLst>
              </xdr:cNvPr>
              <xdr:cNvSpPr/>
            </xdr:nvSpPr>
            <xdr:spPr>
              <a:xfrm>
                <a:off x="9163049" y="1200150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Утилизация:</a:t>
                </a:r>
              </a:p>
            </xdr:txBody>
          </xdr:sp>
          <xdr:sp macro="" textlink="">
            <xdr:nvSpPr>
              <xdr:cNvPr id="54" name="Прямоугольник 53">
                <a:extLst>
                  <a:ext uri="{FF2B5EF4-FFF2-40B4-BE49-F238E27FC236}">
                    <a16:creationId xmlns:a16="http://schemas.microsoft.com/office/drawing/2014/main" id="{F68D1E9F-13AE-FB35-9EFE-6A3FF7D24A89}"/>
                  </a:ext>
                </a:extLst>
              </xdr:cNvPr>
              <xdr:cNvSpPr/>
            </xdr:nvSpPr>
            <xdr:spPr>
              <a:xfrm>
                <a:off x="9163049" y="1428750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Реализация:</a:t>
                </a:r>
              </a:p>
            </xdr:txBody>
          </xdr:sp>
          <xdr:cxnSp macro="">
            <xdr:nvCxnSpPr>
              <xdr:cNvPr id="55" name="Прямая соединительная линия 54">
                <a:extLst>
                  <a:ext uri="{FF2B5EF4-FFF2-40B4-BE49-F238E27FC236}">
                    <a16:creationId xmlns:a16="http://schemas.microsoft.com/office/drawing/2014/main" id="{DE88E3AC-40A0-072B-F2DC-4C36D300E8C8}"/>
                  </a:ext>
                </a:extLst>
              </xdr:cNvPr>
              <xdr:cNvCxnSpPr/>
            </xdr:nvCxnSpPr>
            <xdr:spPr>
              <a:xfrm flipV="1">
                <a:off x="9248775" y="1724025"/>
                <a:ext cx="2066925" cy="0"/>
              </a:xfrm>
              <a:prstGeom prst="line">
                <a:avLst/>
              </a:prstGeom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56" name="Прямоугольник 55">
                <a:extLst>
                  <a:ext uri="{FF2B5EF4-FFF2-40B4-BE49-F238E27FC236}">
                    <a16:creationId xmlns:a16="http://schemas.microsoft.com/office/drawing/2014/main" id="{561E97FB-5606-C51C-C880-4D562D45621E}"/>
                  </a:ext>
                </a:extLst>
              </xdr:cNvPr>
              <xdr:cNvSpPr/>
            </xdr:nvSpPr>
            <xdr:spPr>
              <a:xfrm>
                <a:off x="9163049" y="1762125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Собственное</a:t>
                </a:r>
                <a:r>
                  <a:rPr lang="ru-RU" sz="1100" baseline="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 сырье</a:t>
                </a:r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:</a:t>
                </a:r>
              </a:p>
            </xdr:txBody>
          </xdr:sp>
          <xdr:sp macro="" textlink="">
            <xdr:nvSpPr>
              <xdr:cNvPr id="57" name="Прямоугольник 56">
                <a:extLst>
                  <a:ext uri="{FF2B5EF4-FFF2-40B4-BE49-F238E27FC236}">
                    <a16:creationId xmlns:a16="http://schemas.microsoft.com/office/drawing/2014/main" id="{6DFBA86D-C4F6-92A0-AB7B-0E722B8F8029}"/>
                  </a:ext>
                </a:extLst>
              </xdr:cNvPr>
              <xdr:cNvSpPr/>
            </xdr:nvSpPr>
            <xdr:spPr>
              <a:xfrm>
                <a:off x="9163049" y="2009775"/>
                <a:ext cx="1346911" cy="19238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ru-RU" sz="1100">
                    <a:solidFill>
                      <a:schemeClr val="tx1"/>
                    </a:solidFill>
                    <a:latin typeface="Bahnschrift Light SemiCondensed" panose="020B0502040204020203" pitchFamily="34" charset="0"/>
                  </a:rPr>
                  <a:t>Закуп:</a:t>
                </a:r>
              </a:p>
            </xdr:txBody>
          </xdr:sp>
        </xdr:grpSp>
        <xdr:pic>
          <xdr:nvPicPr>
            <xdr:cNvPr id="49" name="Рисунок 48">
              <a:extLst>
                <a:ext uri="{FF2B5EF4-FFF2-40B4-BE49-F238E27FC236}">
                  <a16:creationId xmlns:a16="http://schemas.microsoft.com/office/drawing/2014/main" id="{72A92CD8-1BF8-1334-EE25-F778121E14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791950" y="1085850"/>
              <a:ext cx="1634002" cy="1117475"/>
            </a:xfrm>
            <a:prstGeom prst="rect">
              <a:avLst/>
            </a:prstGeom>
          </xdr:spPr>
        </xdr:pic>
      </xdr:grp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CAE20A93-B8F3-D006-A6AA-E754EECCE4C5}"/>
              </a:ext>
            </a:extLst>
          </xdr:cNvPr>
          <xdr:cNvSpPr txBox="1"/>
        </xdr:nvSpPr>
        <xdr:spPr>
          <a:xfrm>
            <a:off x="10620375" y="933450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E2609415-D434-4916-B988-9A325ADFAF57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</a:rPr>
              <a:pPr algn="r"/>
              <a:t>4 350,2 тн.</a:t>
            </a:fld>
            <a:endParaRPr lang="ru-RU" sz="1200"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C3129EB4-C2C2-E7AF-953F-C68E0F7564EF}"/>
              </a:ext>
            </a:extLst>
          </xdr:cNvPr>
          <xdr:cNvSpPr txBox="1"/>
        </xdr:nvSpPr>
        <xdr:spPr>
          <a:xfrm>
            <a:off x="10620375" y="119062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57E612B7-1EF4-4319-B6AE-156DD76F84A0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</a:rPr>
              <a:pPr algn="r"/>
              <a:t>21,8 тн.</a:t>
            </a:fld>
            <a:endParaRPr lang="ru-RU" sz="1200"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51E60C46-6C64-E50D-BDDE-EA4459368058}"/>
              </a:ext>
            </a:extLst>
          </xdr:cNvPr>
          <xdr:cNvSpPr txBox="1"/>
        </xdr:nvSpPr>
        <xdr:spPr>
          <a:xfrm>
            <a:off x="10620375" y="143827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F4E9F9D0-5AB3-4A27-8910-FA8C21E5F1AE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</a:rPr>
              <a:pPr algn="r"/>
              <a:t>0,0 тн.</a:t>
            </a:fld>
            <a:endParaRPr lang="ru-RU" sz="1200"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4452FD31-8773-73E0-A069-DBE8B900C970}"/>
              </a:ext>
            </a:extLst>
          </xdr:cNvPr>
          <xdr:cNvSpPr txBox="1"/>
        </xdr:nvSpPr>
        <xdr:spPr>
          <a:xfrm>
            <a:off x="10629900" y="1752600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3EE2C57E-640F-4E12-9BAF-67CABEE5A353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</a:rPr>
              <a:pPr algn="r"/>
              <a:t>4 371,9 тн.</a:t>
            </a:fld>
            <a:endParaRPr lang="ru-RU" sz="1200"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59351065-EDDC-5E6F-0E6D-277F8A970E47}"/>
              </a:ext>
            </a:extLst>
          </xdr:cNvPr>
          <xdr:cNvSpPr txBox="1"/>
        </xdr:nvSpPr>
        <xdr:spPr>
          <a:xfrm>
            <a:off x="10629900" y="1990725"/>
            <a:ext cx="70485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fld id="{B4811494-AFA0-4ABC-B8A6-D4DA89AD70FB}" type="TxLink">
              <a:rPr lang="en-US" sz="1200" b="0" i="0" u="none" strike="noStrike">
                <a:solidFill>
                  <a:srgbClr val="000000"/>
                </a:solidFill>
                <a:latin typeface="Bahnschrift SemiLight SemiConde" panose="020B0502040204020203" pitchFamily="34" charset="0"/>
              </a:rPr>
              <a:pPr algn="r"/>
              <a:t>0,0 тн.</a:t>
            </a:fld>
            <a:endParaRPr lang="ru-RU" sz="1200">
              <a:latin typeface="Bahnschrift SemiLight SemiConde" panose="020B0502040204020203" pitchFamily="34" charset="0"/>
            </a:endParaRPr>
          </a:p>
        </xdr:txBody>
      </xdr:sp>
    </xdr:grpSp>
    <xdr:clientData/>
  </xdr:twoCellAnchor>
  <xdr:twoCellAnchor>
    <xdr:from>
      <xdr:col>25</xdr:col>
      <xdr:colOff>66675</xdr:colOff>
      <xdr:row>3</xdr:row>
      <xdr:rowOff>19050</xdr:rowOff>
    </xdr:from>
    <xdr:to>
      <xdr:col>33</xdr:col>
      <xdr:colOff>0</xdr:colOff>
      <xdr:row>25</xdr:row>
      <xdr:rowOff>171450</xdr:rowOff>
    </xdr:to>
    <xdr:graphicFrame macro="">
      <xdr:nvGraphicFramePr>
        <xdr:cNvPr id="58" name="Диаграмма 57">
          <a:extLst>
            <a:ext uri="{FF2B5EF4-FFF2-40B4-BE49-F238E27FC236}">
              <a16:creationId xmlns:a16="http://schemas.microsoft.com/office/drawing/2014/main" id="{754BA16D-29AB-4D61-9C46-AAF9E3F17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8905472-60C6-CBCF-CF63-8E47FDA35B17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0.02837</cdr:x>
      <cdr:y>0.05593</cdr:y>
    </cdr:from>
    <cdr:to>
      <cdr:x>0.9669</cdr:x>
      <cdr:y>0.05817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EC763449-ABC2-8438-B131-58F6061DFA25}"/>
            </a:ext>
          </a:extLst>
        </cdr:cNvPr>
        <cdr:cNvCxnSpPr/>
      </cdr:nvCxnSpPr>
      <cdr:spPr>
        <a:xfrm xmlns:a="http://schemas.openxmlformats.org/drawingml/2006/main" flipV="1">
          <a:off x="114300" y="238125"/>
          <a:ext cx="3781425" cy="95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592454</xdr:colOff>
      <xdr:row>2</xdr:row>
      <xdr:rowOff>136207</xdr:rowOff>
    </xdr:from>
    <xdr:to>
      <xdr:col>28</xdr:col>
      <xdr:colOff>628649</xdr:colOff>
      <xdr:row>24</xdr:row>
      <xdr:rowOff>142875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007D1D8-6249-3C33-D313-93CE58AAC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85724</xdr:colOff>
      <xdr:row>8</xdr:row>
      <xdr:rowOff>9525</xdr:rowOff>
    </xdr:from>
    <xdr:to>
      <xdr:col>69</xdr:col>
      <xdr:colOff>371474</xdr:colOff>
      <xdr:row>30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B78E9FC-38D0-8918-B1D2-13B222A07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116415</xdr:colOff>
      <xdr:row>44</xdr:row>
      <xdr:rowOff>94190</xdr:rowOff>
    </xdr:from>
    <xdr:to>
      <xdr:col>69</xdr:col>
      <xdr:colOff>211665</xdr:colOff>
      <xdr:row>64</xdr:row>
      <xdr:rowOff>190499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39FF7CA-713A-91FB-C6A4-A855DADFC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95250</xdr:colOff>
      <xdr:row>73</xdr:row>
      <xdr:rowOff>30690</xdr:rowOff>
    </xdr:from>
    <xdr:to>
      <xdr:col>50</xdr:col>
      <xdr:colOff>158748</xdr:colOff>
      <xdr:row>90</xdr:row>
      <xdr:rowOff>179917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E204804-A67F-EC5A-DA4C-6CF727ECC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84667</xdr:colOff>
      <xdr:row>101</xdr:row>
      <xdr:rowOff>20106</xdr:rowOff>
    </xdr:from>
    <xdr:to>
      <xdr:col>53</xdr:col>
      <xdr:colOff>508000</xdr:colOff>
      <xdr:row>118</xdr:row>
      <xdr:rowOff>179916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DA209052-7733-495E-4F15-6DCD7370C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84666</xdr:colOff>
      <xdr:row>126</xdr:row>
      <xdr:rowOff>73023</xdr:rowOff>
    </xdr:from>
    <xdr:to>
      <xdr:col>65</xdr:col>
      <xdr:colOff>275164</xdr:colOff>
      <xdr:row>146</xdr:row>
      <xdr:rowOff>21167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F997A4A3-B7AF-65B7-21BB-EAE73ED2A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52916</xdr:colOff>
      <xdr:row>152</xdr:row>
      <xdr:rowOff>157691</xdr:rowOff>
    </xdr:from>
    <xdr:to>
      <xdr:col>55</xdr:col>
      <xdr:colOff>402167</xdr:colOff>
      <xdr:row>170</xdr:row>
      <xdr:rowOff>74083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23357E5E-FD3C-C9C5-DAF0-62618240A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127000</xdr:colOff>
      <xdr:row>178</xdr:row>
      <xdr:rowOff>83607</xdr:rowOff>
    </xdr:from>
    <xdr:to>
      <xdr:col>60</xdr:col>
      <xdr:colOff>137583</xdr:colOff>
      <xdr:row>198</xdr:row>
      <xdr:rowOff>148166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1E78F5B-E562-55C5-AA44-813A08D57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105833</xdr:colOff>
      <xdr:row>206</xdr:row>
      <xdr:rowOff>73023</xdr:rowOff>
    </xdr:from>
    <xdr:to>
      <xdr:col>52</xdr:col>
      <xdr:colOff>560917</xdr:colOff>
      <xdr:row>224</xdr:row>
      <xdr:rowOff>127000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5AEE707-45F8-0E3A-05BB-20B303A92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135468</xdr:colOff>
      <xdr:row>18</xdr:row>
      <xdr:rowOff>177799</xdr:rowOff>
    </xdr:from>
    <xdr:to>
      <xdr:col>28</xdr:col>
      <xdr:colOff>567268</xdr:colOff>
      <xdr:row>34</xdr:row>
      <xdr:rowOff>33867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34C78C2-F10F-4F6E-A2D4-05C6322FC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3810</xdr:rowOff>
    </xdr:from>
    <xdr:to>
      <xdr:col>7</xdr:col>
      <xdr:colOff>662940</xdr:colOff>
      <xdr:row>24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38C024-11EC-E851-D1C1-F3839115F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70.200\&#1087;&#1083;&#1072;&#1085;&#1086;&#1074;&#1099;&#1081;%20&#1086;&#1090;&#1076;&#1077;&#1083;\&#1041;&#1102;&#1076;&#1078;&#1077;&#1090;%202024\&#1060;&#1072;&#1082;&#1090;%202024\&#1086;&#1087;&#1077;&#1088;&#1072;&#1090;&#1080;&#1074;&#1082;&#1072;\&#1054;&#1090;&#1095;&#1077;&#1090;%20&#1087;&#1086;%20&#1091;&#1073;&#1086;&#1088;&#1082;&#1077;%20(&#1075;&#1086;&#1088;&#1086;&#1096;&#1077;&#1082;%20&#1086;&#1074;&#1086;&#1097;&#1085;&#1086;&#1081;)%20-%2028.06.24%20&#1075;..xlsx" TargetMode="External"/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еезжалова Анастасия Викторовна" refreshedDate="45848.757713194442" createdVersion="8" refreshedVersion="8" minRefreshableVersion="3" recordCount="45" xr:uid="{073CCC85-7E46-4A95-9AEE-B745C4EB1395}">
  <cacheSource type="worksheet">
    <worksheetSource ref="A3:B48" sheet="Поступление на завод по дням"/>
  </cacheSource>
  <cacheFields count="4">
    <cacheField name="Дата" numFmtId="14">
      <sharedItems containsSemiMixedTypes="0" containsNonDate="0" containsDate="1" containsString="0" minDate="2025-05-27T00:00:00" maxDate="2025-07-11T00:00:00" count="45"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</sharedItems>
      <fieldGroup par="3"/>
    </cacheField>
    <cacheField name="Физический вес, тонны" numFmtId="3">
      <sharedItems containsString="0" containsBlank="1" containsNumber="1" minValue="28.37" maxValue="288.24"/>
    </cacheField>
    <cacheField name="Дни (Дата)" numFmtId="0" databaseField="0">
      <fieldGroup base="0">
        <rangePr groupBy="days" startDate="2025-05-27T00:00:00" endDate="2025-07-11T00:00:00"/>
        <groupItems count="368">
          <s v="&lt;27.05.2025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11.07.2025"/>
        </groupItems>
      </fieldGroup>
    </cacheField>
    <cacheField name="Месяцы (Дата)" numFmtId="0" databaseField="0">
      <fieldGroup base="0">
        <rangePr groupBy="months" startDate="2025-05-27T00:00:00" endDate="2025-07-11T00:00:00"/>
        <groupItems count="14">
          <s v="&lt;27.05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11.07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еезжалова Анастасия Викторовна" refreshedDate="45866.477256944447" createdVersion="8" refreshedVersion="8" minRefreshableVersion="3" recordCount="41" xr:uid="{F602ED5E-AF41-485A-AE25-5462110E7644}">
  <cacheSource type="worksheet">
    <worksheetSource name="Таблица5"/>
  </cacheSource>
  <cacheFields count="15">
    <cacheField name="Контрагент" numFmtId="0">
      <sharedItems count="4">
        <s v="ООО ГРК"/>
        <s v="ООО Колос"/>
        <s v="ООО Кубань Хлеб"/>
        <s v="Учхоз"/>
      </sharedItems>
    </cacheField>
    <cacheField name="Полив" numFmtId="0">
      <sharedItems/>
    </cacheField>
    <cacheField name="Номер поля" numFmtId="0">
      <sharedItems/>
    </cacheField>
    <cacheField name="Сорт" numFmtId="0">
      <sharedItems count="18">
        <s v="Преладо"/>
        <s v="Увертюра"/>
        <s v="Изюминка"/>
        <s v="Асана"/>
        <s v="Беркут"/>
        <s v="Женева"/>
        <s v="Маяк"/>
        <s v="Амалфи"/>
        <s v="Исток"/>
        <s v="Патриот"/>
        <s v="Сомервуд"/>
        <s v="Бинго"/>
        <s v="Грюнди"/>
        <s v="Донана"/>
        <s v="Стандана"/>
        <s v="Бутана"/>
        <s v="Джоф"/>
        <s v="Фалькон"/>
      </sharedItems>
    </cacheField>
    <cacheField name="Площадь сева" numFmtId="165">
      <sharedItems containsSemiMixedTypes="0" containsString="0" containsNumber="1" minValue="3.5" maxValue="112"/>
    </cacheField>
    <cacheField name="Площадь уборки" numFmtId="165">
      <sharedItems containsSemiMixedTypes="0" containsString="0" containsNumber="1" minValue="9.9999999999999995E-8" maxValue="112"/>
    </cacheField>
    <cacheField name="Остаток площади" numFmtId="165">
      <sharedItems containsSemiMixedTypes="0" containsString="0" containsNumber="1" minValue="0" maxValue="71.999999900000006"/>
    </cacheField>
    <cacheField name="Закрытие, %" numFmtId="166">
      <sharedItems containsSemiMixedTypes="0" containsString="0" containsNumber="1" minValue="1.3888888888888888E-9" maxValue="1"/>
    </cacheField>
    <cacheField name="Урожайность плановая, тн./га" numFmtId="165">
      <sharedItems containsSemiMixedTypes="0" containsString="0" containsNumber="1" minValue="3" maxValue="5.5"/>
    </cacheField>
    <cacheField name="Урожайность фактическая, тн./га" numFmtId="165">
      <sharedItems containsSemiMixedTypes="0" containsString="0" containsNumber="1" minValue="1E-3" maxValue="5.7866666666666653"/>
    </cacheField>
    <cacheField name="Валовый сбор плановый" numFmtId="165">
      <sharedItems containsSemiMixedTypes="0" containsString="0" containsNumber="1" minValue="15.2" maxValue="535.70000000000005"/>
    </cacheField>
    <cacheField name="Валовый сбор фактический" numFmtId="165">
      <sharedItems containsSemiMixedTypes="0" containsString="0" containsNumber="1" minValue="1E-10" maxValue="340.78"/>
    </cacheField>
    <cacheField name="Выполнение плана, %" numFmtId="166">
      <sharedItems containsSemiMixedTypes="0" containsString="0" containsNumber="1" minValue="2.5252525252525253E-13" maxValue="0.99412790697674425"/>
    </cacheField>
    <cacheField name="Валовый сбор, кг" numFmtId="0" formula="'Валовый сбор фактический'*1000" databaseField="0"/>
    <cacheField name="Урожайность, т/га" numFmtId="0" formula="'Валовый сбор фактический'/'Площадь уборки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еезжалова Анастасия Викторовна" refreshedDate="45902.665885416667" createdVersion="8" refreshedVersion="8" minRefreshableVersion="3" recordCount="1393" xr:uid="{9B83C04C-9867-4D83-93DE-C81F84E84F5C}">
  <cacheSource type="worksheet">
    <worksheetSource name="Таблица18"/>
  </cacheSource>
  <cacheFields count="32">
    <cacheField name="Документ" numFmtId="0">
      <sharedItems/>
    </cacheField>
    <cacheField name="Хар-ка" numFmtId="0">
      <sharedItems containsBlank="1"/>
    </cacheField>
    <cacheField name="Номер взвешивания" numFmtId="0">
      <sharedItems containsString="0" containsBlank="1" containsNumber="1" containsInteger="1" minValue="71" maxValue="804"/>
    </cacheField>
    <cacheField name="Номер вх.  док." numFmtId="0">
      <sharedItems containsBlank="1" containsMixedTypes="1" containsNumber="1" containsInteger="1" minValue="1" maxValue="586159"/>
    </cacheField>
    <cacheField name="Контрагент" numFmtId="0">
      <sharedItems/>
    </cacheField>
    <cacheField name="Водитель" numFmtId="0">
      <sharedItems/>
    </cacheField>
    <cacheField name="Автомобиль" numFmtId="0">
      <sharedItems containsBlank="1" containsMixedTypes="1" containsNumber="1" containsInteger="1" minValue="317" maxValue="63375"/>
    </cacheField>
    <cacheField name="Номер поля" numFmtId="0">
      <sharedItems containsBlank="1" containsMixedTypes="1" containsNumber="1" containsInteger="1" minValue="7" maxValue="106"/>
    </cacheField>
    <cacheField name="Поле" numFmtId="0">
      <sharedItems containsBlank="1" containsMixedTypes="1" containsNumber="1" containsInteger="1" minValue="7" maxValue="46"/>
    </cacheField>
    <cacheField name="Сорт" numFmtId="0">
      <sharedItems containsBlank="1"/>
    </cacheField>
    <cacheField name="Исх. номенклатура" numFmtId="0">
      <sharedItems/>
    </cacheField>
    <cacheField name="Вес брутто" numFmtId="0">
      <sharedItems containsString="0" containsBlank="1" containsNumber="1" containsInteger="1" minValue="6240" maxValue="39930"/>
    </cacheField>
    <cacheField name="Вес тары" numFmtId="0">
      <sharedItems containsString="0" containsBlank="1" containsNumber="1" containsInteger="1" minValue="4520" maxValue="28210"/>
    </cacheField>
    <cacheField name="% отходов сверх допуска" numFmtId="0">
      <sharedItems containsString="0" containsBlank="1" containsNumber="1" minValue="0.8" maxValue="137"/>
    </cacheField>
    <cacheField name="Вес нетто" numFmtId="165">
      <sharedItems containsString="0" containsBlank="1" containsNumber="1" containsInteger="1" minValue="1680" maxValue="22920"/>
    </cacheField>
    <cacheField name="Зачетный вес" numFmtId="0">
      <sharedItems containsString="0" containsBlank="1" containsNumber="1" minValue="1478.4" maxValue="22920"/>
    </cacheField>
    <cacheField name="Год урожая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Дата акта" numFmtId="14">
      <sharedItems containsSemiMixedTypes="0" containsNonDate="0" containsDate="1" containsString="0" minDate="2023-05-26T00:00:00" maxDate="2025-07-11T00:00:00" count="120">
        <d v="2023-05-26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9T00:00:00"/>
        <d v="2023-07-10T00:00:00"/>
        <d v="2023-07-08T00:00:00"/>
        <d v="2023-07-07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8T00:00:00"/>
        <d v="2024-05-29T00:00:00"/>
        <d v="2024-05-30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5-05-27T00:00:00"/>
        <d v="2025-05-28T00:00:00"/>
        <d v="2025-05-29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8T00:00:00"/>
        <d v="2025-07-09T00:00:00"/>
        <d v="2025-07-10T00:00:00"/>
      </sharedItems>
      <fieldGroup par="26"/>
    </cacheField>
    <cacheField name="Отход" numFmtId="165">
      <sharedItems containsSemiMixedTypes="0" containsString="0" containsNumber="1" minValue="0" maxValue="16860"/>
    </cacheField>
    <cacheField name="Отход %" numFmtId="9">
      <sharedItems containsMixedTypes="1" containsNumber="1" minValue="0" maxValue="1"/>
    </cacheField>
    <cacheField name="Месяц" numFmtId="0">
      <sharedItems containsSemiMixedTypes="0" containsString="0" containsNumber="1" containsInteger="1" minValue="5" maxValue="7"/>
    </cacheField>
    <cacheField name="Число" numFmtId="0">
      <sharedItems containsSemiMixedTypes="0" containsString="0" containsNumber="1" containsInteger="1" minValue="1" maxValue="31"/>
    </cacheField>
    <cacheField name="Дата" numFmtId="14">
      <sharedItems containsSemiMixedTypes="0" containsNonDate="0" containsDate="1" containsString="0" minDate="1900-05-17T00:00:00" maxDate="1900-07-11T00:00:00" count="54">
        <d v="1900-05-26T00:00:00"/>
        <d v="1900-05-29T00:00:00"/>
        <d v="1900-05-30T00:00:00"/>
        <d v="1900-05-31T00:00:00"/>
        <d v="1900-06-01T00:00:00"/>
        <d v="1900-06-02T00:00:00"/>
        <d v="1900-06-03T00:00:00"/>
        <d v="1900-06-04T00:00:00"/>
        <d v="1900-06-05T00:00:00"/>
        <d v="1900-06-06T00:00:00"/>
        <d v="1900-06-07T00:00:00"/>
        <d v="1900-06-08T00:00:00"/>
        <d v="1900-06-09T00:00:00"/>
        <d v="1900-06-10T00:00:00"/>
        <d v="1900-06-11T00:00:00"/>
        <d v="1900-06-12T00:00:00"/>
        <d v="1900-06-14T00:00:00"/>
        <d v="1900-06-15T00:00:00"/>
        <d v="1900-06-16T00:00:00"/>
        <d v="1900-06-17T00:00:00"/>
        <d v="1900-06-18T00:00:00"/>
        <d v="1900-06-19T00:00:00"/>
        <d v="1900-06-20T00:00:00"/>
        <d v="1900-06-21T00:00:00"/>
        <d v="1900-06-22T00:00:00"/>
        <d v="1900-06-23T00:00:00"/>
        <d v="1900-06-24T00:00:00"/>
        <d v="1900-06-25T00:00:00"/>
        <d v="1900-06-26T00:00:00"/>
        <d v="1900-06-27T00:00:00"/>
        <d v="1900-06-28T00:00:00"/>
        <d v="1900-06-29T00:00:00"/>
        <d v="1900-06-30T00:00:00"/>
        <d v="1900-07-01T00:00:00"/>
        <d v="1900-07-02T00:00:00"/>
        <d v="1900-07-03T00:00:00"/>
        <d v="1900-07-04T00:00:00"/>
        <d v="1900-07-05T00:00:00"/>
        <d v="1900-07-06T00:00:00"/>
        <d v="1900-07-09T00:00:00"/>
        <d v="1900-07-10T00:00:00"/>
        <d v="1900-07-08T00:00:00"/>
        <d v="1900-07-07T00:00:00"/>
        <d v="1900-05-17T00:00:00"/>
        <d v="1900-05-18T00:00:00"/>
        <d v="1900-05-20T00:00:00"/>
        <d v="1900-05-21T00:00:00"/>
        <d v="1900-05-22T00:00:00"/>
        <d v="1900-05-23T00:00:00"/>
        <d v="1900-05-24T00:00:00"/>
        <d v="1900-05-25T00:00:00"/>
        <d v="1900-05-28T00:00:00"/>
        <d v="1900-06-13T00:00:00"/>
        <d v="1900-05-27T00:00:00"/>
      </sharedItems>
      <fieldGroup par="28"/>
    </cacheField>
    <cacheField name="учет" numFmtId="0">
      <sharedItems containsBlank="1" count="2">
        <m/>
        <s v="нет"/>
      </sharedItems>
    </cacheField>
    <cacheField name="Месяцы (Дата акта)" numFmtId="0" databaseField="0">
      <fieldGroup base="17">
        <rangePr groupBy="months" startDate="2023-05-26T00:00:00" endDate="2025-07-11T00:00:00"/>
        <groupItems count="14">
          <s v="&lt;26.05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11.07.2025"/>
        </groupItems>
      </fieldGroup>
    </cacheField>
    <cacheField name="Кварталы (Дата акта)" numFmtId="0" databaseField="0">
      <fieldGroup base="17">
        <rangePr groupBy="quarters" startDate="2023-05-26T00:00:00" endDate="2025-07-11T00:00:00"/>
        <groupItems count="6">
          <s v="&lt;26.05.2023"/>
          <s v="Кв-л1"/>
          <s v="Кв-л2"/>
          <s v="Кв-л3"/>
          <s v="Кв-л4"/>
          <s v="&gt;11.07.2025"/>
        </groupItems>
      </fieldGroup>
    </cacheField>
    <cacheField name="Годы (Дата акта)" numFmtId="0" databaseField="0">
      <fieldGroup base="17">
        <rangePr groupBy="years" startDate="2023-05-26T00:00:00" endDate="2025-07-11T00:00:00"/>
        <groupItems count="5">
          <s v="&lt;26.05.2023"/>
          <s v="2023"/>
          <s v="2024"/>
          <s v="2025"/>
          <s v="&gt;11.07.2025"/>
        </groupItems>
      </fieldGroup>
    </cacheField>
    <cacheField name="Дни (Дата)" numFmtId="0" databaseField="0">
      <fieldGroup base="22">
        <rangePr groupBy="days" startDate="1900-05-17T00:00:00" endDate="1900-07-11T00:00:00"/>
        <groupItems count="368">
          <s v="&lt;17.05.190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11.07.1900"/>
        </groupItems>
      </fieldGroup>
    </cacheField>
    <cacheField name="Месяцы (Дата)" numFmtId="0" databaseField="0">
      <fieldGroup base="22">
        <rangePr groupBy="months" startDate="1900-05-17T00:00:00" endDate="1900-07-11T00:00:00"/>
        <groupItems count="14">
          <s v="&lt;17.05.190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11.07.1900"/>
        </groupItems>
      </fieldGroup>
    </cacheField>
    <cacheField name="Вал. вес, т" numFmtId="0" formula="'Вес нетто'/1000" databaseField="0"/>
    <cacheField name="Зач. вес, т" numFmtId="0" formula="'Зачетный вес'/1000" databaseField="0"/>
    <cacheField name="Отходы (вх контр), т" numFmtId="0" formula="Отход/10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еезжалова Анастасия Викторовна" refreshedDate="46177.456906481479" createdVersion="8" refreshedVersion="8" minRefreshableVersion="3" recordCount="8" xr:uid="{6202CB67-A3D4-4AF7-A2C7-D1D3293469A2}">
  <cacheSource type="worksheet">
    <worksheetSource name="Таблица4"/>
  </cacheSource>
  <cacheFields count="10">
    <cacheField name="Культура" numFmtId="0">
      <sharedItems containsBlank="1" count="9">
        <s v="Учхоз Кубань"/>
        <s v="ГРК собственные семена"/>
        <s v="ГРК демо"/>
        <s v="ГРК"/>
        <s v="Братковский"/>
        <s v="Братковский закупка"/>
        <s v="Агролидер"/>
        <s v="Колос"/>
        <m u="1"/>
      </sharedItems>
    </cacheField>
    <cacheField name="Орошение" numFmtId="0">
      <sharedItems containsBlank="1" count="3">
        <s v="богара"/>
        <s v="полив"/>
        <m u="1"/>
      </sharedItems>
    </cacheField>
    <cacheField name="ПЛАН, т" numFmtId="3">
      <sharedItems containsSemiMixedTypes="0" containsString="0" containsNumber="1" minValue="136.5" maxValue="1784.12"/>
    </cacheField>
    <cacheField name="ФАКТ, т" numFmtId="3">
      <sharedItems containsSemiMixedTypes="0" containsString="0" containsNumber="1" minValue="91.8" maxValue="1992.2"/>
    </cacheField>
    <cacheField name="Исполнение плана по валу, %" numFmtId="166">
      <sharedItems containsSemiMixedTypes="0" containsString="0" containsNumber="1" minValue="0.55346153846153845" maxValue="1.7352600170502983"/>
    </cacheField>
    <cacheField name="ПЛАН, га" numFmtId="0">
      <sharedItems containsSemiMixedTypes="0" containsString="0" containsNumber="1" minValue="39" maxValue="379.6"/>
    </cacheField>
    <cacheField name="ФАКТ, га" numFmtId="165">
      <sharedItems containsSemiMixedTypes="0" containsString="0" containsNumber="1" minValue="31" maxValue="379.58968568872297"/>
    </cacheField>
    <cacheField name="Исполнение плана по площади, %" numFmtId="166">
      <sharedItems containsSemiMixedTypes="0" containsString="0" containsNumber="1" minValue="0.70543287916969188" maxValue="1.0002191037221719"/>
    </cacheField>
    <cacheField name="Урожайность, т/га" numFmtId="173">
      <sharedItems containsSemiMixedTypes="0" containsString="0" containsNumber="1" minValue="2.7459953197750107" maxValue="7.3748550724637667"/>
    </cacheField>
    <cacheField name="Исполнение, %" numFmtId="0" formula=" IFERROR('ФАКТ, т'/'ПЛАН, т',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еезжалова Анастасия Викторовна" refreshedDate="46204.792120138889" createdVersion="8" refreshedVersion="8" minRefreshableVersion="3" recordCount="4" xr:uid="{41D43D2D-D822-4AF8-8E03-E4A4FC1B028C}">
  <cacheSource type="worksheet">
    <worksheetSource name="Таблица413"/>
  </cacheSource>
  <cacheFields count="10">
    <cacheField name="Культура" numFmtId="0">
      <sharedItems containsBlank="1" count="5">
        <s v="ГРК (богара)"/>
        <s v="ГРК (полив)"/>
        <s v="Агролидер (полив)"/>
        <s v="Колос (полив)"/>
        <m u="1"/>
      </sharedItems>
    </cacheField>
    <cacheField name="Орошение" numFmtId="0">
      <sharedItems/>
    </cacheField>
    <cacheField name="ПЛАН, т" numFmtId="3">
      <sharedItems containsSemiMixedTypes="0" containsString="0" containsNumber="1" minValue="1345" maxValue="3890"/>
    </cacheField>
    <cacheField name="ФАКТ, т" numFmtId="3">
      <sharedItems containsSemiMixedTypes="0" containsString="0" containsNumber="1" minValue="719.04" maxValue="3765.1"/>
    </cacheField>
    <cacheField name="Исполнение плана по валу, %" numFmtId="166">
      <sharedItems containsSemiMixedTypes="0" containsString="0" containsNumber="1" minValue="0.34239999999999998" maxValue="1.029100371747212"/>
    </cacheField>
    <cacheField name="ПЛАН, га" numFmtId="0">
      <sharedItems containsSemiMixedTypes="0" containsString="0" containsNumber="1" minValue="269" maxValue="778"/>
    </cacheField>
    <cacheField name="ФАКТ, га" numFmtId="165">
      <sharedItems containsSemiMixedTypes="0" containsString="0" containsNumber="1" minValue="167.00000000000006" maxValue="637.900000000001"/>
    </cacheField>
    <cacheField name="Исполнение плана по площади, %" numFmtId="166">
      <sharedItems containsSemiMixedTypes="0" containsString="0" containsNumber="1" minValue="0.39761904761904776" maxValue="1.0000150957939888"/>
    </cacheField>
    <cacheField name="Урожайность, т/га" numFmtId="173">
      <sharedItems containsSemiMixedTypes="0" containsString="0" containsNumber="1" minValue="4.3056287425149682" maxValue="5.9023357893086601"/>
    </cacheField>
    <cacheField name=" Исполнение плана по валу, %" numFmtId="0" formula="IFERROR('ФАКТ, т'/'ПЛАН, т',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еезжалова Анастасия Викторовна" refreshedDate="46210.737657638892" createdVersion="8" refreshedVersion="8" minRefreshableVersion="3" recordCount="707" xr:uid="{E0696EFE-3BF6-47FE-9EF6-2AB61803D8D2}">
  <cacheSource type="worksheet">
    <worksheetSource name="Таблица3"/>
  </cacheSource>
  <cacheFields count="40">
    <cacheField name="Показатель" numFmtId="0">
      <sharedItems containsBlank="1"/>
    </cacheField>
    <cacheField name="Количество" numFmtId="167">
      <sharedItems containsNonDate="0" containsString="0" containsBlank="1"/>
    </cacheField>
    <cacheField name="Значение_x000a_финометра" numFmtId="0">
      <sharedItems containsSemiMixedTypes="0" containsString="0" containsNumber="1" containsInteger="1" minValue="0" maxValue="80"/>
    </cacheField>
    <cacheField name="Регистратор.Номер" numFmtId="168">
      <sharedItems containsString="0" containsBlank="1" containsNumber="1" containsInteger="1" minValue="40" maxValue="862" count="678">
        <n v="40"/>
        <n v="42"/>
        <n v="43"/>
        <n v="48"/>
        <n v="49"/>
        <n v="50"/>
        <n v="51"/>
        <n v="52"/>
        <n v="53"/>
        <n v="54"/>
        <n v="55"/>
        <n v="56"/>
        <n v="58"/>
        <n v="59"/>
        <n v="61"/>
        <n v="63"/>
        <n v="64"/>
        <n v="65"/>
        <n v="66"/>
        <n v="68"/>
        <n v="69"/>
        <n v="70"/>
        <n v="71"/>
        <n v="76"/>
        <n v="77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7"/>
        <n v="109"/>
        <n v="111"/>
        <n v="113"/>
        <n v="114"/>
        <n v="115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6"/>
        <n v="137"/>
        <n v="138"/>
        <n v="140"/>
        <n v="141"/>
        <n v="143"/>
        <n v="144"/>
        <n v="146"/>
        <n v="147"/>
        <n v="148"/>
        <n v="149"/>
        <n v="150"/>
        <n v="151"/>
        <n v="152"/>
        <n v="153"/>
        <n v="154"/>
        <n v="155"/>
        <n v="156"/>
        <n v="157"/>
        <n v="160"/>
        <n v="161"/>
        <n v="162"/>
        <n v="163"/>
        <n v="165"/>
        <n v="166"/>
        <n v="167"/>
        <n v="168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4"/>
        <n v="185"/>
        <n v="186"/>
        <n v="187"/>
        <n v="189"/>
        <n v="190"/>
        <n v="192"/>
        <n v="193"/>
        <n v="194"/>
        <n v="195"/>
        <n v="196"/>
        <n v="197"/>
        <n v="199"/>
        <n v="200"/>
        <n v="201"/>
        <n v="202"/>
        <n v="203"/>
        <n v="204"/>
        <n v="205"/>
        <n v="206"/>
        <n v="207"/>
        <n v="208"/>
        <n v="209"/>
        <n v="210"/>
        <n v="213"/>
        <n v="214"/>
        <n v="215"/>
        <n v="216"/>
        <n v="217"/>
        <n v="218"/>
        <n v="220"/>
        <n v="221"/>
        <n v="222"/>
        <n v="223"/>
        <n v="224"/>
        <n v="225"/>
        <n v="228"/>
        <n v="230"/>
        <n v="231"/>
        <n v="232"/>
        <n v="236"/>
        <n v="238"/>
        <n v="239"/>
        <n v="240"/>
        <n v="241"/>
        <n v="242"/>
        <n v="243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60"/>
        <n v="261"/>
        <n v="262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4"/>
        <n v="285"/>
        <n v="287"/>
        <n v="288"/>
        <n v="289"/>
        <n v="291"/>
        <n v="292"/>
        <n v="294"/>
        <n v="296"/>
        <n v="297"/>
        <n v="298"/>
        <n v="299"/>
        <n v="300"/>
        <n v="301"/>
        <n v="302"/>
        <n v="303"/>
        <n v="304"/>
        <n v="306"/>
        <n v="307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6"/>
        <n v="338"/>
        <n v="339"/>
        <n v="340"/>
        <n v="341"/>
        <n v="342"/>
        <n v="344"/>
        <n v="345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4"/>
        <n v="365"/>
        <n v="366"/>
        <n v="367"/>
        <n v="368"/>
        <n v="369"/>
        <n v="371"/>
        <n v="372"/>
        <n v="373"/>
        <n v="375"/>
        <n v="376"/>
        <n v="377"/>
        <n v="378"/>
        <n v="379"/>
        <n v="380"/>
        <n v="381"/>
        <n v="382"/>
        <n v="383"/>
        <n v="384"/>
        <n v="385"/>
        <n v="387"/>
        <n v="388"/>
        <n v="391"/>
        <n v="393"/>
        <n v="394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7"/>
        <n v="418"/>
        <n v="419"/>
        <n v="420"/>
        <n v="422"/>
        <n v="423"/>
        <n v="425"/>
        <n v="426"/>
        <n v="427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7"/>
        <n v="458"/>
        <n v="459"/>
        <n v="460"/>
        <n v="461"/>
        <n v="462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9"/>
        <n v="500"/>
        <n v="501"/>
        <n v="502"/>
        <n v="504"/>
        <n v="505"/>
        <n v="507"/>
        <n v="508"/>
        <n v="509"/>
        <n v="511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4"/>
        <n v="535"/>
        <n v="536"/>
        <n v="537"/>
        <n v="538"/>
        <n v="539"/>
        <n v="540"/>
        <n v="541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8"/>
        <n v="560"/>
        <n v="562"/>
        <n v="563"/>
        <n v="564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7"/>
        <n v="588"/>
        <n v="591"/>
        <n v="592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7"/>
        <n v="618"/>
        <n v="619"/>
        <n v="621"/>
        <n v="622"/>
        <n v="624"/>
        <n v="625"/>
        <n v="626"/>
        <n v="629"/>
        <n v="631"/>
        <n v="632"/>
        <n v="633"/>
        <n v="634"/>
        <n v="635"/>
        <n v="636"/>
        <n v="637"/>
        <n v="638"/>
        <n v="639"/>
        <n v="640"/>
        <n v="642"/>
        <n v="643"/>
        <n v="644"/>
        <n v="645"/>
        <n v="646"/>
        <n v="647"/>
        <n v="648"/>
        <n v="649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9"/>
        <n v="670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1"/>
        <n v="694"/>
        <n v="695"/>
        <n v="696"/>
        <n v="697"/>
        <n v="698"/>
        <n v="699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9"/>
        <n v="720"/>
        <n v="721"/>
        <n v="723"/>
        <n v="724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60"/>
        <n v="761"/>
        <n v="762"/>
        <n v="763"/>
        <n v="764"/>
        <n v="765"/>
        <n v="766"/>
        <n v="767"/>
        <n v="769"/>
        <n v="770"/>
        <n v="771"/>
        <n v="772"/>
        <n v="774"/>
        <n v="775"/>
        <n v="776"/>
        <n v="795"/>
        <n v="796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29"/>
        <n v="830"/>
        <n v="831"/>
        <n v="833"/>
        <n v="834"/>
        <n v="835"/>
        <n v="836"/>
        <n v="837"/>
        <n v="838"/>
        <n v="839"/>
        <n v="840"/>
        <n v="841"/>
        <n v="842"/>
        <n v="843"/>
        <n v="844"/>
        <n v="744"/>
        <n v="745"/>
        <n v="747"/>
        <n v="748"/>
        <n v="752"/>
        <n v="753"/>
        <n v="754"/>
        <n v="755"/>
        <n v="756"/>
        <n v="757"/>
        <n v="758"/>
        <n v="759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4"/>
        <n v="811"/>
        <n v="812"/>
        <n v="813"/>
        <n v="814"/>
        <n v="815"/>
        <n v="816"/>
        <n v="818"/>
        <n v="819"/>
        <n v="821"/>
        <n v="822"/>
        <n v="823"/>
        <n v="824"/>
        <n v="826"/>
        <n v="827"/>
        <n v="846"/>
        <n v="847"/>
        <n v="848"/>
        <n v="849"/>
        <n v="851"/>
        <n v="853"/>
        <n v="854"/>
        <n v="855"/>
        <n v="856"/>
        <n v="857"/>
        <n v="858"/>
        <n v="859"/>
        <n v="860"/>
        <n v="861"/>
        <n v="862"/>
        <m/>
        <n v="722" u="1"/>
      </sharedItems>
    </cacheField>
    <cacheField name="Регистратор.Дата" numFmtId="14">
      <sharedItems containsNonDate="0" containsDate="1" containsString="0" containsBlank="1" minDate="2025-05-27T00:00:00" maxDate="2026-06-29T00:00:00" count="67">
        <m/>
        <d v="2026-06-25T00:00:00"/>
        <d v="2026-06-26T00:00:00"/>
        <d v="2026-06-27T00:00:00"/>
        <d v="2026-06-28T00:00:00"/>
        <d v="2026-06-03T00:00:00" u="1"/>
        <d v="2026-06-04T00:00:00" u="1"/>
        <d v="2026-06-06T00:00:00" u="1"/>
        <d v="2026-06-07T00:00:00" u="1"/>
        <d v="2026-06-08T00:00:00" u="1"/>
        <d v="2026-06-09T00:00:00" u="1"/>
        <d v="2026-06-10T00:00:00" u="1"/>
        <d v="2026-06-11T00:00:00" u="1"/>
        <d v="2026-06-12T00:00:00" u="1"/>
        <d v="2026-06-13T00:00:00" u="1"/>
        <d v="2026-06-14T00:00:00" u="1"/>
        <d v="2026-06-15T00:00:00" u="1"/>
        <d v="2026-06-16T00:00:00" u="1"/>
        <d v="2026-06-17T00:00:00" u="1"/>
        <d v="2026-06-18T00:00:00" u="1"/>
        <d v="2026-06-19T00:00:00" u="1"/>
        <d v="2026-06-20T00:00:00" u="1"/>
        <d v="2026-06-21T00:00:00" u="1"/>
        <d v="2026-06-22T00:00:00" u="1"/>
        <d v="2026-06-23T00:00:00" u="1"/>
        <d v="2026-06-24T00:00:00" u="1"/>
        <d v="2025-05-27T00:00:00" u="1"/>
        <d v="2025-05-28T00:00:00" u="1"/>
        <d v="2025-05-29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8T00:00:00" u="1"/>
        <d v="2025-06-29T00:00:00" u="1"/>
        <d v="2025-06-30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8T00:00:00" u="1"/>
        <d v="2025-07-09T00:00:00" u="1"/>
        <d v="2025-07-10T00:00:00" u="1"/>
      </sharedItems>
    </cacheField>
    <cacheField name="Регистратор.Вес брутто" numFmtId="167">
      <sharedItems containsNonDate="0" containsString="0" containsBlank="1"/>
    </cacheField>
    <cacheField name="Регистратор.Вес нетто" numFmtId="167">
      <sharedItems containsSemiMixedTypes="0" containsString="0" containsNumber="1" containsInteger="1" minValue="1830" maxValue="19890"/>
    </cacheField>
    <cacheField name="Регистратор.Вес тары" numFmtId="169">
      <sharedItems containsNonDate="0" containsString="0" containsBlank="1"/>
    </cacheField>
    <cacheField name="Регистратор.Вес чистый" numFmtId="167">
      <sharedItems containsSemiMixedTypes="0" containsString="0" containsNumber="1" minValue="1564.6" maxValue="19213.7"/>
    </cacheField>
    <cacheField name="Культура акт" numFmtId="0">
      <sharedItems containsBlank="1" count="28">
        <s v="Горошек овощной 2026 (богара)"/>
        <s v="Горошек овощной 2026 (полив)"/>
        <s v="Горошек овощной 2026 Агролидер (полив)"/>
        <s v="Горошек овощной 2026 Колос ООО (полив)"/>
        <s v="КОЛОС ООО"/>
        <m u="1"/>
        <s v="Акт входного контроля 000000575 от 01.07.2026 12:34:31" u="1"/>
        <s v="Акт входного контроля 000000576 от 01.07.2026 12:41:15" u="1"/>
        <s v="Акт входного контроля 000000577 от 01.07.2026 13:36:31" u="1"/>
        <s v="Акт входного контроля 000000578 от 01.07.2026 16:36:37" u="1"/>
        <s v="Акт входного контроля 000000580 от 01.07.2026 18:01:23" u="1"/>
        <s v="Акт входного контроля 000000581 от 01.07.2026 19:54:16" u="1"/>
        <s v="Акт входного контроля 000000587 от 01.07.2026 21:45:27" u="1"/>
        <s v="Акт входного контроля 000000582 от 01.07.2026 21:59:57" u="1"/>
        <s v="Акт входного контроля 000000583 от 01.07.2026 22:01:25" u="1"/>
        <s v="Акт входного контроля 000000584 от 01.07.2026 22:03:49" u="1"/>
        <s v="Акт входного контроля 000000585 от 01.07.2026 22:26:58" u="1"/>
        <s v="Акт входного контроля 000000586 от 01.07.2026 23:38:55" u="1"/>
        <s v="Акт входного контроля 000000588 от 01.07.2026 23:59:08" u="1"/>
        <s v="Акт входного контроля 000000589 от 02.07.2026 3:35:14" u="1"/>
        <s v="Акт входного контроля 000000590 от 02.07.2026 5:21:00" u="1"/>
        <s v="Акт входного контроля 000000591 от 02.07.2026 6:09:08" u="1"/>
        <s v="Акт входного контроля 000000593 от 02.07.2026 8:16:58" u="1"/>
        <s v="Акт входного контроля 000000596 от 02.07.2026 8:34:16" u="1"/>
        <s v="Акт входного контроля 000000600 от 02.07.2026 11:10:39" u="1"/>
        <s v="Акт входного контроля 000000601 от 02.07.2026 11:14:24" u="1"/>
        <s v="Акт входного контроля 000000602 от 02.07.2026 11:30:43" u="1"/>
        <s v="Акт входного контроля 000000603 от 02.07.2026 12:45:06" u="1"/>
      </sharedItems>
    </cacheField>
    <cacheField name="Сорт акт" numFmtId="0">
      <sharedItems/>
    </cacheField>
    <cacheField name="Поле акт" numFmtId="0">
      <sharedItems containsBlank="1" containsMixedTypes="1" containsNumber="1" containsInteger="1" minValue="14" maxValue="14" count="45">
        <s v="А-4/1"/>
        <s v="А-4"/>
        <s v="А-3"/>
        <s v="А-22/1"/>
        <s v="А-22"/>
        <s v="А-23"/>
        <s v="А-38"/>
        <s v="А-112"/>
        <s v="А-111/1"/>
        <s v="А-111"/>
        <s v="А-5"/>
        <s v="А-24"/>
        <s v="А-5/1"/>
        <s v="А-24/1"/>
        <s v="А-76/3"/>
        <m/>
        <s v="А-83/1"/>
        <s v="А-105/1"/>
        <s v="А-105"/>
        <s v="А-83"/>
        <s v="А-83/2"/>
        <s v="А-54 (не 2026 года)"/>
        <s v="А-112/1"/>
        <s v="А-115/1"/>
        <s v="А-115"/>
        <s v="А-114"/>
        <s v="А-104/1"/>
        <s v="12 Агролидер"/>
        <s v="18 Агролидер"/>
        <s v="А-54"/>
        <s v="А-82/1"/>
        <s v="17 Агролидер"/>
        <s v="А-81/1"/>
        <s v="А-54/4"/>
        <s v="2.2 Колос"/>
        <s v="3.3 Колос"/>
        <s v="А-79"/>
        <s v="3.6 Колос"/>
        <s v="3.1 Колос"/>
        <s v="А-113/1"/>
        <s v="1.6 Колос"/>
        <s v="1.7 Колос"/>
        <s v="А-116/1"/>
        <s v="А-108/7"/>
        <n v="14" u="1"/>
      </sharedItems>
    </cacheField>
    <cacheField name="Регистратор.Водитель" numFmtId="0">
      <sharedItems/>
    </cacheField>
    <cacheField name="Регистратор.Время прибытия" numFmtId="0">
      <sharedItems containsNonDate="0" containsString="0" containsBlank="1"/>
    </cacheField>
    <cacheField name="Регистратор.Время убытия" numFmtId="0">
      <sharedItems containsNonDate="0" containsString="0" containsBlank="1"/>
    </cacheField>
    <cacheField name="Регистратор.Комбайнеры.Комбайнер.Наименование" numFmtId="0">
      <sharedItems containsNonDate="0" containsString="0" containsBlank="1"/>
    </cacheField>
    <cacheField name="Регистратор.Номера талонов" numFmtId="0">
      <sharedItems containsNonDate="0" containsString="0" containsBlank="1"/>
    </cacheField>
    <cacheField name="Регистратор.Номер машины" numFmtId="0">
      <sharedItems/>
    </cacheField>
    <cacheField name="Регистратор.Номер прицепа" numFmtId="0">
      <sharedItems containsNonDate="0" containsString="0" containsBlank="1"/>
    </cacheField>
    <cacheField name="Поле" numFmtId="16">
      <sharedItems containsDate="1" containsMixedTypes="1" minDate="1900-04-17T00:00:00" maxDate="1899-12-31T01:14:04" count="43">
        <s v="А-4/1"/>
        <s v="А-3"/>
        <s v="А-22/1"/>
        <s v="А-23"/>
        <s v="А-38"/>
        <s v="А-112/1"/>
        <s v="А-111/1"/>
        <s v="А-24/1"/>
        <s v="А-5/1"/>
        <s v="А-76/3"/>
        <s v="А-76/5"/>
        <s v="А-105/1"/>
        <s v="А-83/2"/>
        <s v="А-83/1"/>
        <s v="А-54/4"/>
        <s v="А-112/2"/>
        <s v="А-115/1"/>
        <s v="А-114"/>
        <s v="А-104/1"/>
        <s v="12 Агролидер"/>
        <s v="А-54"/>
        <s v="18 Агролидер"/>
        <s v="А-82/1"/>
        <s v="17 Агролидер"/>
        <s v="А-81/1"/>
        <s v="2.2 Колос"/>
        <s v="3.3 Колос"/>
        <s v="А-79"/>
        <s v="3.6 Колос"/>
        <s v="3.1 Колос"/>
        <s v="А-113/1"/>
        <s v="1.6 Колос"/>
        <s v="1.7 Колос"/>
        <s v="А-116/1"/>
        <s v="А-108/7"/>
        <e v="#N/A" u="1"/>
        <d v="1900-04-17T00:00:00" u="1"/>
        <n v="40" u="1"/>
        <n v="41" u="1"/>
        <n v="16" u="1"/>
        <n v="50" u="1"/>
        <n v="15" u="1"/>
        <n v="14" u="1"/>
      </sharedItems>
    </cacheField>
    <cacheField name="Сорт уточн" numFmtId="16">
      <sharedItems containsMixedTypes="1" containsNumber="1" containsInteger="1" minValue="0" maxValue="0" count="9">
        <s v="Тиара"/>
        <s v="Авола"/>
        <s v="Увертюра"/>
        <s v="Фаворит"/>
        <s v="Тристар"/>
        <s v="Женева"/>
        <s v="Патриот"/>
        <s v="Беркут"/>
        <n v="0" u="1"/>
      </sharedItems>
    </cacheField>
    <cacheField name="Площадь уборки, га" numFmtId="165">
      <sharedItems containsSemiMixedTypes="0" containsString="0" containsNumber="1" minValue="0.3" maxValue="7"/>
    </cacheField>
    <cacheField name="Культура" numFmtId="165">
      <sharedItems containsBlank="1" count="13">
        <s v="ГРК (богара)"/>
        <s v="ГРК (полив)"/>
        <s v="Агролидер (полив)"/>
        <s v="Колос (полив)"/>
        <s v="КОЛОС ООО" u="1"/>
        <s v="Горошек овощной 2026 Колос ООО (полив)" u="1"/>
        <e v="#N/A" u="1"/>
        <m u="1"/>
        <s v="Учхоз Кубань (богара)" u="1"/>
        <s v="ГРК собственные семена (богара)" u="1"/>
        <s v="ГРК демо (богара)" u="1"/>
        <s v="Братковский (полив)" u="1"/>
        <s v="Братковский закупка (полив)" u="1"/>
      </sharedItems>
    </cacheField>
    <cacheField name="Орошение" numFmtId="165">
      <sharedItems/>
    </cacheField>
    <cacheField name="Смена" numFmtId="0">
      <sharedItems containsSemiMixedTypes="0" containsString="0" containsNumber="1" containsInteger="1" minValue="1" maxValue="33"/>
    </cacheField>
    <cacheField name="Дата отчета" numFmtId="14">
      <sharedItems containsSemiMixedTypes="0" containsNonDate="0" containsDate="1" containsString="0" minDate="2024-06-25T00:00:00" maxDate="2026-07-07T00:00:00" count="79">
        <d v="2026-06-03T00:00:00"/>
        <d v="2026-06-04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5-05-27T00:00:00" u="1"/>
        <d v="2025-05-28T00:00:00" u="1"/>
        <d v="2025-05-29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7T00:00:00" u="1"/>
        <d v="2025-06-28T00:00:00" u="1"/>
        <d v="2025-06-29T00:00:00" u="1"/>
        <d v="2025-06-30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8T00:00:00" u="1"/>
        <d v="2025-07-09T00:00:00" u="1"/>
        <d v="2025-07-10T00:00:00" u="1"/>
        <d v="2024-06-25T00:00:00" u="1"/>
        <d v="2024-06-27T00:00:00" u="1"/>
        <d v="2025-01-13T00:00:00" u="1"/>
        <d v="2025-01-12T00:00:00" u="1"/>
      </sharedItems>
    </cacheField>
    <cacheField name="Продажа" numFmtId="0">
      <sharedItems containsDate="1" containsString="0" containsBlank="1" containsMixedTypes="1" minDate="1899-12-31T00:00:00" maxDate="2026-07-06T00:00:00" count="114">
        <m/>
        <n v="17540"/>
        <n v="15390"/>
        <n v="13030"/>
        <n v="13100"/>
        <n v="13430"/>
        <n v="12890"/>
        <n v="13060"/>
        <n v="12830"/>
        <n v="17430"/>
        <n v="19890"/>
        <n v="17480"/>
        <n v="14790"/>
        <n v="12910"/>
        <n v="13420"/>
        <n v="12850"/>
        <n v="12990"/>
        <n v="13440"/>
        <n v="17450"/>
        <n v="17660"/>
        <n v="19880"/>
        <n v="17550"/>
        <n v="14080"/>
        <n v="13510"/>
        <n v="4490"/>
        <n v="12820"/>
        <n v="12730"/>
        <n v="3910"/>
        <n v="13180"/>
        <n v="12740"/>
        <n v="8550"/>
        <n v="15180"/>
        <n v="4150"/>
        <n v="13240"/>
        <n v="13740"/>
        <n v="8430"/>
        <n v="13540"/>
        <n v="4220"/>
        <n v="12440"/>
        <n v="8260"/>
        <n v="11570"/>
        <n v="8360"/>
        <n v="4170"/>
        <n v="7350"/>
        <n v="6900"/>
        <n v="14000"/>
        <n v="9080"/>
        <n v="13960"/>
        <n v="9030"/>
        <n v="13900"/>
        <n v="13720"/>
        <n v="13590"/>
        <n v="13920"/>
        <n v="13170"/>
        <n v="17720"/>
        <n v="17680"/>
        <n v="18080"/>
        <n v="15140"/>
        <n v="13220"/>
        <n v="13560"/>
        <n v="13200"/>
        <n v="17500"/>
        <n v="13120"/>
        <n v="13320"/>
        <n v="13080"/>
        <n v="13520"/>
        <n v="15000"/>
        <n v="13800"/>
        <n v="17420"/>
        <n v="17200"/>
        <n v="13380"/>
        <n v="12900"/>
        <n v="13280"/>
        <n v="13300"/>
        <n v="16040"/>
        <n v="16840"/>
        <n v="11700"/>
        <n v="13400"/>
        <n v="14880"/>
        <n v="11360"/>
        <n v="16018" u="1"/>
        <n v="16194" u="1"/>
        <n v="15818" u="1"/>
        <n v="16029" u="1"/>
        <n v="13796" u="1"/>
        <n v="11791" u="1"/>
        <n v="12079" u="1"/>
        <n v="12078" u="1"/>
        <n v="15931" u="1"/>
        <n v="11730" u="1"/>
        <n v="12184" u="1"/>
        <n v="11661" u="1"/>
        <n v="11997" u="1"/>
        <n v="11853" u="1"/>
        <n v="11992" u="1"/>
        <n v="13724" u="1"/>
        <n v="12305" u="1"/>
        <n v="11387" u="1"/>
        <n v="15990" u="1"/>
        <n v="14465" u="1"/>
        <n v="12392" u="1"/>
        <n v="11701" u="1"/>
        <n v="11726" u="1"/>
        <n v="12355" u="1"/>
        <n v="11966" u="1"/>
        <n v="14620" u="1"/>
        <n v="15410" u="1"/>
        <n v="9898" u="1"/>
        <n v="11961" u="1"/>
        <n v="9467" u="1"/>
        <d v="2026-07-05T00:00:00" u="1"/>
        <n v="0" u="1"/>
        <d v="1936-09-27T00:00:00" u="1"/>
        <d v="1937-10-12T00:00:00" u="1"/>
      </sharedItems>
    </cacheField>
    <cacheField name="Примечание" numFmtId="14">
      <sharedItems/>
    </cacheField>
    <cacheField name="Финометр" numFmtId="0">
      <sharedItems/>
    </cacheField>
    <cacheField name="Характеристика" numFmtId="0">
      <sharedItems containsBlank="1" count="8">
        <s v="Высший"/>
        <s v="Первый"/>
        <s v="Второй"/>
        <m u="1"/>
        <e v="#N/A" u="1"/>
        <s v="Акт входного контроля 000000195 от 04.06.2025 19:28:50" u="1"/>
        <s v="Акт входного контроля 000000258 от 08.06.2025 2:01:47" u="1"/>
        <s v="Акт входного контроля 000000298 от 07.06.2025 18:26:05" u="1"/>
      </sharedItems>
    </cacheField>
    <cacheField name="№ акта" numFmtId="0">
      <sharedItems containsSemiMixedTypes="0" containsString="0" containsNumber="1" containsInteger="1" minValue="14" maxValue="724" count="707"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41"/>
        <n v="37"/>
        <n v="42"/>
        <n v="43"/>
        <n v="44"/>
        <n v="45"/>
        <n v="46"/>
        <n v="47"/>
        <n v="48"/>
        <n v="49"/>
        <n v="39"/>
        <n v="38"/>
        <n v="4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5"/>
        <n v="74"/>
        <n v="76"/>
        <n v="77"/>
        <n v="78"/>
        <n v="79"/>
        <n v="80"/>
        <n v="83"/>
        <n v="82"/>
        <n v="81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272"/>
        <n v="228"/>
        <n v="108"/>
        <n v="109"/>
        <n v="110"/>
        <n v="111"/>
        <n v="112"/>
        <n v="113"/>
        <n v="114"/>
        <n v="115"/>
        <n v="270"/>
        <n v="271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274"/>
        <n v="276"/>
        <n v="129"/>
        <n v="130"/>
        <n v="131"/>
        <n v="280"/>
        <n v="133"/>
        <n v="132"/>
        <n v="281"/>
        <n v="134"/>
        <n v="287"/>
        <n v="135"/>
        <n v="282"/>
        <n v="136"/>
        <n v="137"/>
        <n v="138"/>
        <n v="288"/>
        <n v="305"/>
        <n v="306"/>
        <n v="139"/>
        <n v="284"/>
        <n v="140"/>
        <n v="141"/>
        <n v="143"/>
        <n v="142"/>
        <n v="144"/>
        <n v="145"/>
        <n v="307"/>
        <n v="146"/>
        <n v="147"/>
        <n v="148"/>
        <n v="149"/>
        <n v="150"/>
        <n v="151"/>
        <n v="152"/>
        <n v="153"/>
        <n v="286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314"/>
        <n v="173"/>
        <n v="174"/>
        <n v="175"/>
        <n v="176"/>
        <n v="315"/>
        <n v="177"/>
        <n v="178"/>
        <n v="179"/>
        <n v="180"/>
        <n v="181"/>
        <n v="182"/>
        <n v="183"/>
        <n v="310"/>
        <n v="184"/>
        <n v="185"/>
        <n v="186"/>
        <n v="187"/>
        <n v="188"/>
        <n v="189"/>
        <n v="340"/>
        <n v="190"/>
        <n v="192"/>
        <n v="191"/>
        <n v="193"/>
        <n v="341"/>
        <n v="194"/>
        <n v="195"/>
        <n v="196"/>
        <n v="342"/>
        <n v="197"/>
        <n v="198"/>
        <n v="199"/>
        <n v="200"/>
        <n v="203"/>
        <n v="201"/>
        <n v="202"/>
        <n v="204"/>
        <n v="205"/>
        <n v="206"/>
        <n v="208"/>
        <n v="207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9"/>
        <n v="230"/>
        <n v="231"/>
        <n v="232"/>
        <n v="233"/>
        <n v="234"/>
        <n v="278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79"/>
        <n v="259"/>
        <n v="260"/>
        <n v="261"/>
        <n v="263"/>
        <n v="262"/>
        <n v="264"/>
        <n v="265"/>
        <n v="266"/>
        <n v="267"/>
        <n v="268"/>
        <n v="269"/>
        <n v="273"/>
        <n v="275"/>
        <n v="277"/>
        <n v="283"/>
        <n v="285"/>
        <n v="289"/>
        <n v="290"/>
        <n v="292"/>
        <n v="291"/>
        <n v="293"/>
        <n v="294"/>
        <n v="295"/>
        <n v="296"/>
        <n v="297"/>
        <n v="298"/>
        <n v="299"/>
        <n v="300"/>
        <n v="301"/>
        <n v="302"/>
        <n v="303"/>
        <n v="304"/>
        <n v="308"/>
        <n v="309"/>
        <n v="311"/>
        <n v="312"/>
        <n v="313"/>
        <n v="316"/>
        <n v="317"/>
        <n v="318"/>
        <n v="319"/>
        <n v="320"/>
        <n v="321"/>
        <n v="322"/>
        <n v="323"/>
        <n v="324"/>
        <n v="326"/>
        <n v="325"/>
        <n v="327"/>
        <n v="328"/>
        <n v="329"/>
        <n v="330"/>
        <n v="331"/>
        <n v="332"/>
        <n v="333"/>
        <n v="334"/>
        <n v="336"/>
        <n v="335"/>
        <n v="337"/>
        <n v="338"/>
        <n v="339"/>
        <n v="343"/>
        <n v="344"/>
        <n v="345"/>
        <n v="346"/>
        <n v="347"/>
        <n v="348"/>
        <n v="349"/>
        <n v="354"/>
        <n v="350"/>
        <n v="351"/>
        <n v="352"/>
        <n v="353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5"/>
        <n v="403"/>
        <n v="404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1"/>
        <n v="420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3"/>
        <n v="454"/>
        <n v="451"/>
        <n v="452"/>
        <n v="455"/>
        <n v="456"/>
        <n v="457"/>
        <n v="458"/>
        <n v="459"/>
        <n v="579"/>
        <n v="460"/>
        <n v="592"/>
        <n v="462"/>
        <n v="461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526"/>
        <n v="491"/>
        <n v="492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1"/>
        <n v="520"/>
        <n v="522"/>
        <n v="523"/>
        <n v="524"/>
        <n v="525"/>
        <n v="527"/>
        <n v="528"/>
        <n v="529"/>
        <n v="530"/>
        <n v="532"/>
        <n v="531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9"/>
        <n v="548"/>
        <n v="551"/>
        <n v="552"/>
        <n v="553"/>
        <n v="554"/>
        <n v="555"/>
        <n v="556"/>
        <n v="557"/>
        <n v="558"/>
        <n v="559"/>
        <n v="561"/>
        <n v="560"/>
        <n v="562"/>
        <n v="563"/>
        <n v="564"/>
        <n v="565"/>
        <n v="566"/>
        <n v="575"/>
        <n v="576"/>
        <n v="577"/>
        <n v="578"/>
        <n v="580"/>
        <n v="582"/>
        <n v="581"/>
        <n v="583"/>
        <n v="584"/>
        <n v="585"/>
        <n v="586"/>
        <n v="587"/>
        <n v="588"/>
        <n v="589"/>
        <n v="590"/>
        <n v="591"/>
        <n v="593"/>
        <n v="596"/>
        <n v="600"/>
        <n v="601"/>
        <n v="602"/>
        <n v="619"/>
        <n v="620"/>
        <n v="621"/>
        <n v="622"/>
        <n v="623"/>
        <n v="624"/>
        <n v="627"/>
        <n v="631"/>
        <n v="636"/>
        <n v="637"/>
        <n v="638"/>
        <n v="639"/>
        <n v="640"/>
        <n v="642"/>
        <n v="641"/>
        <n v="660"/>
        <n v="661"/>
        <n v="662"/>
        <n v="663"/>
        <n v="664"/>
        <n v="665"/>
        <n v="666"/>
        <n v="667"/>
        <n v="668"/>
        <n v="669"/>
        <n v="671"/>
        <n v="670"/>
        <n v="673"/>
        <n v="672"/>
        <n v="674"/>
        <n v="689"/>
        <n v="690"/>
        <n v="691"/>
        <n v="692"/>
        <n v="693"/>
        <n v="694"/>
        <n v="695"/>
        <n v="697"/>
        <n v="696"/>
        <n v="699"/>
        <n v="698"/>
        <n v="700"/>
        <n v="705"/>
        <n v="701"/>
        <n v="702"/>
        <n v="603"/>
        <n v="604"/>
        <n v="605"/>
        <n v="609"/>
        <n v="610"/>
        <n v="612"/>
        <n v="614"/>
        <n v="613"/>
        <n v="616"/>
        <n v="615"/>
        <n v="618"/>
        <n v="617"/>
        <n v="643"/>
        <n v="644"/>
        <n v="645"/>
        <n v="646"/>
        <n v="649"/>
        <n v="647"/>
        <n v="648"/>
        <n v="650"/>
        <n v="651"/>
        <n v="654"/>
        <n v="652"/>
        <n v="653"/>
        <n v="655"/>
        <n v="656"/>
        <n v="657"/>
        <n v="659"/>
        <n v="658"/>
        <n v="675"/>
        <n v="676"/>
        <n v="678"/>
        <n v="677"/>
        <n v="679"/>
        <n v="680"/>
        <n v="681"/>
        <n v="682"/>
        <n v="683"/>
        <n v="684"/>
        <n v="685"/>
        <n v="686"/>
        <n v="687"/>
        <n v="688"/>
        <n v="703"/>
        <n v="704"/>
        <n v="708"/>
        <n v="706"/>
        <n v="707"/>
        <n v="709"/>
        <n v="710"/>
        <n v="711"/>
        <n v="712"/>
        <n v="713"/>
        <n v="714"/>
        <n v="715"/>
        <n v="716"/>
        <n v="717"/>
        <n v="718"/>
        <n v="550"/>
        <n v="567"/>
        <n v="568"/>
        <n v="569"/>
        <n v="570"/>
        <n v="632"/>
        <n v="633"/>
        <n v="634"/>
        <n v="635"/>
        <n v="611"/>
        <n v="625"/>
        <n v="626"/>
        <n v="628"/>
        <n v="629"/>
        <n v="630"/>
        <n v="597"/>
        <n v="598"/>
        <n v="599"/>
        <n v="606"/>
        <n v="607"/>
        <n v="608"/>
        <n v="571"/>
        <n v="572"/>
        <n v="573"/>
        <n v="574"/>
        <n v="594"/>
        <n v="595"/>
        <n v="723"/>
        <n v="724"/>
        <n v="721"/>
        <n v="722"/>
      </sharedItems>
    </cacheField>
    <cacheField name="Дата акта" numFmtId="14">
      <sharedItems containsSemiMixedTypes="0" containsNonDate="0" containsDate="1" containsString="0" minDate="2026-06-03T00:00:00" maxDate="2026-07-08T00:00:00"/>
    </cacheField>
    <cacheField name="Вх №" numFmtId="0">
      <sharedItems containsMixedTypes="1" containsNumber="1" containsInteger="1" minValue="1" maxValue="449"/>
    </cacheField>
    <cacheField name="Степень зрелости вспом" numFmtId="0">
      <sharedItems containsSemiMixedTypes="0" containsString="0" containsNumber="1" containsInteger="1" minValue="42" maxValue="80"/>
    </cacheField>
    <cacheField name="Урожайность физ.вес., т/га" numFmtId="0" formula="'Регистратор.Вес нетто'/'Площадь уборки, га'/1000" databaseField="0"/>
    <cacheField name=" Отходы, %" numFmtId="0" formula="1-'Регистратор.Вес чистый'/'Регистратор.Вес нетто'" databaseField="0"/>
    <cacheField name="Урожайность зач. вес, т/га" numFmtId="0" formula="'Регистратор.Вес чистый'/'Площадь уборки, га'/1000" databaseField="0"/>
    <cacheField name="Вес нетто, т" numFmtId="0" formula="'Регистратор.Вес нетто'/1000" databaseField="0"/>
    <cacheField name="Зачетный вес, т" numFmtId="0" formula="'Регистратор.Вес чистый'/1000" databaseField="0"/>
    <cacheField name="Урожайность физ.вес" numFmtId="0" formula="'Вес нетто, т'/'Площадь уборки, га'/'Площадь уборки, га'" databaseField="0"/>
  </cacheFields>
  <extLst>
    <ext xmlns:x14="http://schemas.microsoft.com/office/spreadsheetml/2009/9/main" uri="{725AE2AE-9491-48be-B2B4-4EB974FC3084}">
      <x14:pivotCacheDefinition pivotCacheId="2116120762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еезжалова Анастасия Викторовна" refreshedDate="46210.750170949075" createdVersion="8" refreshedVersion="8" minRefreshableVersion="3" recordCount="51" xr:uid="{C01B5B52-4728-45CF-9259-9952BC0A2794}">
  <cacheSource type="worksheet">
    <worksheetSource name="Таблица13"/>
  </cacheSource>
  <cacheFields count="6">
    <cacheField name="Культура" numFmtId="0">
      <sharedItems count="8">
        <s v="ГРК (богара)"/>
        <s v="ГРК (полив)"/>
        <s v="Агролидер (полив)"/>
        <s v="Колос (полив)"/>
        <s v="Горошек овощной (богара)" u="1"/>
        <s v="Горошек овощной (полив)" u="1"/>
        <s v="Горошек овощной Агролидер (полив)" u="1"/>
        <s v="Горошек овощной Колос ООО (полив)" u="1"/>
      </sharedItems>
    </cacheField>
    <cacheField name="Поле" numFmtId="0">
      <sharedItems count="35">
        <s v="А-104/1"/>
        <s v="А-105/1"/>
        <s v="А-111/1"/>
        <s v="А-112/1"/>
        <s v="А-114"/>
        <s v="А-115/1"/>
        <s v="А-116/1"/>
        <s v="А-22/1"/>
        <s v="А-23"/>
        <s v="А-24/1"/>
        <s v="А-3"/>
        <s v="А-38"/>
        <s v="А-4/1"/>
        <s v="А-5/1"/>
        <s v="А-76/3"/>
        <s v="А-76/5"/>
        <s v="А-83/1"/>
        <s v="А-83/2"/>
        <s v="А-108/7"/>
        <s v="А-112/2"/>
        <s v="А-113/1"/>
        <s v="А-54"/>
        <s v="А-54/4"/>
        <s v="А-79"/>
        <s v="А-81/1"/>
        <s v="А-82/1"/>
        <s v="12 Агролидер"/>
        <s v="17 Агролидер"/>
        <s v="18 Агролидер"/>
        <s v="1.6 Колос"/>
        <s v="1.7 Колос"/>
        <s v="2.2 Колос"/>
        <s v="3.1 Колос"/>
        <s v="3.3 Колос"/>
        <s v="3.6 Колос"/>
      </sharedItems>
    </cacheField>
    <cacheField name="Сорт" numFmtId="0">
      <sharedItems count="9">
        <s v="Женева"/>
        <s v="Патриот"/>
        <s v="Тристар"/>
        <s v="Авола"/>
        <s v="Фаворит"/>
        <s v="Тиара"/>
        <s v="Увертюра"/>
        <s v="Беркут"/>
        <s v="Стандана" u="1"/>
      </sharedItems>
    </cacheField>
    <cacheField name="Площадь поля" numFmtId="0">
      <sharedItems containsSemiMixedTypes="0" containsString="0" containsNumber="1" minValue="4" maxValue="128.85"/>
    </cacheField>
    <cacheField name="Площадь внесения" numFmtId="179">
      <sharedItems containsSemiMixedTypes="0" containsString="0" containsNumber="1" minValue="1" maxValue="128.85"/>
    </cacheField>
    <cacheField name="Площадь уборки" numFmtId="179">
      <sharedItems containsSemiMixedTypes="0" containsString="0" containsNumber="1" minValue="0" maxValue="128.9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аркарян Мария Владимировна" refreshedDate="45474.380385648146" createdVersion="8" refreshedVersion="8" minRefreshableVersion="3" recordCount="45" xr:uid="{CF861910-AA4D-489A-A089-1B80798361D7}">
  <cacheSource type="worksheet">
    <worksheetSource ref="A1:M1048576" sheet="СВОД ПО КА" r:id="rId2"/>
  </cacheSource>
  <cacheFields count="19">
    <cacheField name="Контрагент" numFmtId="0">
      <sharedItems containsBlank="1" count="5">
        <s v="ООО ГРК"/>
        <s v="ООО Колос"/>
        <s v="ООО Кубань Хлеб"/>
        <s v="Учхоз"/>
        <m/>
      </sharedItems>
    </cacheField>
    <cacheField name="Полив" numFmtId="0">
      <sharedItems containsBlank="1" count="3">
        <s v="богара"/>
        <s v="полив"/>
        <m/>
      </sharedItems>
    </cacheField>
    <cacheField name="Номер поля" numFmtId="0">
      <sharedItems containsBlank="1" count="21">
        <s v="А-17"/>
        <s v="А-20"/>
        <s v="А-21"/>
        <s v="А-28"/>
        <s v="А-33"/>
        <s v="А-48"/>
        <s v="Поле-3.5."/>
        <s v="Поле-3.4."/>
        <s v="Поле-1.3."/>
        <s v="Поле-1.4."/>
        <s v="Поле-2.1."/>
        <s v="Поле-3.1."/>
        <s v="Поле-3.3."/>
        <s v="Поле-4.3."/>
        <s v="Поле-10/12"/>
        <s v="Поле-10/5"/>
        <s v="Поле-9/2"/>
        <s v="Поле-1/1.1."/>
        <s v="Поле-1/7.1."/>
        <s v="Поле-2/3.5."/>
        <m/>
      </sharedItems>
    </cacheField>
    <cacheField name="Сорт" numFmtId="0">
      <sharedItems containsBlank="1"/>
    </cacheField>
    <cacheField name="Площадь сева" numFmtId="166">
      <sharedItems containsString="0" containsBlank="1" containsNumber="1" minValue="3.5" maxValue="112"/>
    </cacheField>
    <cacheField name="Площадь уборки" numFmtId="166">
      <sharedItems containsString="0" containsBlank="1" containsNumber="1" minValue="0" maxValue="112"/>
    </cacheField>
    <cacheField name="Остаток площади" numFmtId="166">
      <sharedItems containsString="0" containsBlank="1" containsNumber="1" minValue="0" maxValue="72"/>
    </cacheField>
    <cacheField name="Закрытие, %" numFmtId="0">
      <sharedItems containsString="0" containsBlank="1" containsNumber="1" minValue="0" maxValue="1"/>
    </cacheField>
    <cacheField name="Урожайность плановая, тн./га" numFmtId="166">
      <sharedItems containsString="0" containsBlank="1" containsNumber="1" minValue="3" maxValue="5.5"/>
    </cacheField>
    <cacheField name="Урожайность фактическая, тн./га" numFmtId="166">
      <sharedItems containsBlank="1" containsMixedTypes="1" containsNumber="1" minValue="0.72285714285714275" maxValue="5.7866666666666653"/>
    </cacheField>
    <cacheField name="Валовый сбор плановый" numFmtId="166">
      <sharedItems containsString="0" containsBlank="1" containsNumber="1" minValue="15.2" maxValue="535.70000000000005"/>
    </cacheField>
    <cacheField name="Валовый сбор фактический" numFmtId="166">
      <sharedItems containsString="0" containsBlank="1" containsNumber="1" minValue="0" maxValue="340.78"/>
    </cacheField>
    <cacheField name="Выполнение плана, %" numFmtId="167">
      <sharedItems containsString="0" containsBlank="1" containsNumber="1" minValue="0" maxValue="0.99412790697674425"/>
    </cacheField>
    <cacheField name="Закрытие, %  " numFmtId="0" databaseField="0">
      <fieldGroup/>
    </cacheField>
    <cacheField name="Урожайность (план)" numFmtId="0" databaseField="0">
      <fieldGroup/>
    </cacheField>
    <cacheField name="Урожайность (факт)" numFmtId="0" databaseField="0">
      <fieldGroup/>
    </cacheField>
    <cacheField name="Выполнение плана" numFmtId="0" databaseField="0">
      <fieldGroup/>
    </cacheField>
    <cacheField name="Урожайность план" numFmtId="0" databaseField="0">
      <fieldGroup/>
    </cacheField>
    <cacheField name="Урожайность факт" numFmtId="0" databaseField="0">
      <fieldGroup/>
    </cacheField>
  </cacheFields>
  <extLst>
    <ext xmlns:x14="http://schemas.microsoft.com/office/spreadsheetml/2009/9/main" uri="{725AE2AE-9491-48be-B2B4-4EB974FC3084}">
      <x14:pivotCacheDefinition pivotCacheId="14977077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n v="29.45"/>
  </r>
  <r>
    <x v="1"/>
    <n v="98.79"/>
  </r>
  <r>
    <x v="2"/>
    <n v="52.63"/>
  </r>
  <r>
    <x v="3"/>
    <n v="46.31"/>
  </r>
  <r>
    <x v="4"/>
    <m/>
  </r>
  <r>
    <x v="5"/>
    <n v="163.69999999999999"/>
  </r>
  <r>
    <x v="6"/>
    <n v="181.62"/>
  </r>
  <r>
    <x v="7"/>
    <n v="137.38"/>
  </r>
  <r>
    <x v="8"/>
    <n v="218.34"/>
  </r>
  <r>
    <x v="9"/>
    <n v="257.7"/>
  </r>
  <r>
    <x v="10"/>
    <n v="187.54"/>
  </r>
  <r>
    <x v="11"/>
    <n v="222.75"/>
  </r>
  <r>
    <x v="12"/>
    <n v="244.84"/>
  </r>
  <r>
    <x v="13"/>
    <n v="152.51"/>
  </r>
  <r>
    <x v="14"/>
    <n v="185.62"/>
  </r>
  <r>
    <x v="15"/>
    <n v="159.63"/>
  </r>
  <r>
    <x v="16"/>
    <n v="269.58"/>
  </r>
  <r>
    <x v="17"/>
    <n v="214.02"/>
  </r>
  <r>
    <x v="18"/>
    <n v="288.24"/>
  </r>
  <r>
    <x v="19"/>
    <n v="239.3"/>
  </r>
  <r>
    <x v="20"/>
    <n v="167.58"/>
  </r>
  <r>
    <x v="21"/>
    <n v="71.010000000000005"/>
  </r>
  <r>
    <x v="22"/>
    <n v="212.04"/>
  </r>
  <r>
    <x v="23"/>
    <n v="277.55"/>
  </r>
  <r>
    <x v="24"/>
    <n v="220.8"/>
  </r>
  <r>
    <x v="25"/>
    <n v="148.15"/>
  </r>
  <r>
    <x v="26"/>
    <n v="204.71"/>
  </r>
  <r>
    <x v="27"/>
    <n v="228.57"/>
  </r>
  <r>
    <x v="28"/>
    <n v="94.08"/>
  </r>
  <r>
    <x v="29"/>
    <n v="125.43"/>
  </r>
  <r>
    <x v="30"/>
    <m/>
  </r>
  <r>
    <x v="31"/>
    <m/>
  </r>
  <r>
    <x v="32"/>
    <n v="60.75"/>
  </r>
  <r>
    <x v="33"/>
    <n v="69.23"/>
  </r>
  <r>
    <x v="34"/>
    <n v="28.37"/>
  </r>
  <r>
    <x v="35"/>
    <n v="69.19"/>
  </r>
  <r>
    <x v="36"/>
    <n v="218.92"/>
  </r>
  <r>
    <x v="37"/>
    <n v="192.37"/>
  </r>
  <r>
    <x v="38"/>
    <n v="213.73"/>
  </r>
  <r>
    <x v="39"/>
    <n v="84.68"/>
  </r>
  <r>
    <x v="40"/>
    <n v="226.12"/>
  </r>
  <r>
    <x v="41"/>
    <m/>
  </r>
  <r>
    <x v="42"/>
    <n v="40.51"/>
  </r>
  <r>
    <x v="43"/>
    <n v="143.24"/>
  </r>
  <r>
    <x v="44"/>
    <n v="38.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s v="богара"/>
    <s v="А-17"/>
    <x v="0"/>
    <n v="48"/>
    <n v="48"/>
    <n v="0"/>
    <n v="1"/>
    <n v="3.6"/>
    <n v="2.4102083333333333"/>
    <n v="172.8"/>
    <n v="115.69"/>
    <n v="0.6695023148148147"/>
  </r>
  <r>
    <x v="0"/>
    <s v="богара"/>
    <s v="А-17"/>
    <x v="1"/>
    <n v="5"/>
    <n v="5"/>
    <n v="0"/>
    <n v="1"/>
    <n v="3.6"/>
    <n v="1.0640000000000001"/>
    <n v="18"/>
    <n v="5.32"/>
    <n v="0.29555555555555557"/>
  </r>
  <r>
    <x v="0"/>
    <s v="богара"/>
    <s v="А-20"/>
    <x v="2"/>
    <n v="4"/>
    <n v="4"/>
    <n v="0"/>
    <n v="1"/>
    <n v="3.8"/>
    <n v="1.3049999999999999"/>
    <n v="15.2"/>
    <n v="5.22"/>
    <n v="0.34342105263157896"/>
  </r>
  <r>
    <x v="0"/>
    <s v="богара"/>
    <s v="А-20"/>
    <x v="0"/>
    <n v="112"/>
    <n v="112"/>
    <n v="0"/>
    <n v="1"/>
    <n v="3"/>
    <n v="2.0101785714285714"/>
    <n v="336"/>
    <n v="225.14"/>
    <n v="0.67005952380952372"/>
  </r>
  <r>
    <x v="0"/>
    <s v="богара"/>
    <s v="А-20"/>
    <x v="1"/>
    <n v="85"/>
    <n v="85"/>
    <n v="0"/>
    <n v="1"/>
    <n v="3.6"/>
    <n v="2.3927058823529412"/>
    <n v="306"/>
    <n v="203.38000000000002"/>
    <n v="0.6646405228758171"/>
  </r>
  <r>
    <x v="0"/>
    <s v="богара"/>
    <s v="А-21"/>
    <x v="3"/>
    <n v="7"/>
    <n v="7"/>
    <n v="0"/>
    <n v="1"/>
    <n v="3.8"/>
    <n v="0.72285714285714275"/>
    <n v="26.599999999999998"/>
    <n v="5.0599999999999996"/>
    <n v="0.19022556390977444"/>
  </r>
  <r>
    <x v="0"/>
    <s v="богара"/>
    <s v="А-21"/>
    <x v="0"/>
    <n v="66"/>
    <n v="66"/>
    <n v="0"/>
    <n v="1"/>
    <n v="3"/>
    <n v="1.3886363636363634"/>
    <n v="198"/>
    <n v="91.649999999999991"/>
    <n v="0.46287878787878783"/>
  </r>
  <r>
    <x v="0"/>
    <s v="богара"/>
    <s v="А-28"/>
    <x v="4"/>
    <n v="4"/>
    <n v="4"/>
    <n v="0"/>
    <n v="1"/>
    <n v="4"/>
    <n v="2.2574999999999998"/>
    <n v="16"/>
    <n v="9.0299999999999994"/>
    <n v="0.56437499999999996"/>
  </r>
  <r>
    <x v="0"/>
    <s v="богара"/>
    <s v="А-28"/>
    <x v="5"/>
    <n v="20"/>
    <n v="20"/>
    <n v="0"/>
    <n v="1"/>
    <n v="4"/>
    <n v="3.6265000000000001"/>
    <n v="80"/>
    <n v="72.53"/>
    <n v="0.90662500000000001"/>
  </r>
  <r>
    <x v="0"/>
    <s v="богара"/>
    <s v="А-28"/>
    <x v="6"/>
    <n v="4"/>
    <n v="4"/>
    <n v="0"/>
    <n v="1"/>
    <n v="4"/>
    <n v="2.9275000000000002"/>
    <n v="16"/>
    <n v="11.71"/>
    <n v="0.73187500000000005"/>
  </r>
  <r>
    <x v="0"/>
    <s v="богара"/>
    <s v="А-28"/>
    <x v="1"/>
    <n v="80"/>
    <n v="80"/>
    <n v="0"/>
    <n v="1"/>
    <n v="3.6"/>
    <n v="3.2246249999999996"/>
    <n v="288"/>
    <n v="257.96999999999997"/>
    <n v="0.89572916666666658"/>
  </r>
  <r>
    <x v="0"/>
    <s v="богара"/>
    <s v="А-33"/>
    <x v="5"/>
    <n v="86"/>
    <n v="86"/>
    <n v="0"/>
    <n v="1"/>
    <n v="4"/>
    <n v="3.9625581395348832"/>
    <n v="344"/>
    <n v="340.78"/>
    <n v="0.99063953488372081"/>
  </r>
  <r>
    <x v="0"/>
    <s v="богара"/>
    <s v="А-48"/>
    <x v="7"/>
    <n v="43"/>
    <n v="43"/>
    <n v="0"/>
    <n v="1"/>
    <n v="4"/>
    <n v="3.976511627906977"/>
    <n v="172"/>
    <n v="170.99"/>
    <n v="0.99412790697674425"/>
  </r>
  <r>
    <x v="0"/>
    <s v="богара"/>
    <s v="А-48"/>
    <x v="5"/>
    <n v="41"/>
    <n v="41"/>
    <n v="0"/>
    <n v="1"/>
    <n v="4"/>
    <n v="2.6343902439024394"/>
    <n v="164"/>
    <n v="108.01"/>
    <n v="0.65859756097560984"/>
  </r>
  <r>
    <x v="0"/>
    <s v="богара"/>
    <s v="А-48"/>
    <x v="8"/>
    <n v="4"/>
    <n v="4"/>
    <n v="0"/>
    <n v="1"/>
    <n v="4"/>
    <n v="2.27"/>
    <n v="16"/>
    <n v="9.08"/>
    <n v="0.5675"/>
  </r>
  <r>
    <x v="0"/>
    <s v="богара"/>
    <s v="А-48"/>
    <x v="9"/>
    <n v="4"/>
    <n v="4"/>
    <n v="0"/>
    <n v="1"/>
    <n v="4"/>
    <n v="2.3025000000000002"/>
    <n v="16"/>
    <n v="9.2100000000000009"/>
    <n v="0.57562500000000005"/>
  </r>
  <r>
    <x v="1"/>
    <s v="богара"/>
    <s v="Поле-3.5."/>
    <x v="5"/>
    <n v="32"/>
    <n v="32"/>
    <n v="0"/>
    <n v="1"/>
    <n v="5"/>
    <n v="3.7771875000000001"/>
    <n v="160"/>
    <n v="120.87"/>
    <n v="0.75543749999999998"/>
  </r>
  <r>
    <x v="1"/>
    <s v="богара"/>
    <s v="Поле-3.5."/>
    <x v="10"/>
    <n v="55.9"/>
    <n v="55.9"/>
    <n v="0"/>
    <n v="1"/>
    <n v="5"/>
    <n v="3.7227191413237923"/>
    <n v="279.5"/>
    <n v="208.1"/>
    <n v="0.74454382826475851"/>
  </r>
  <r>
    <x v="1"/>
    <s v="богара"/>
    <s v="Поле-3.4."/>
    <x v="11"/>
    <n v="29"/>
    <n v="29"/>
    <n v="0"/>
    <n v="1"/>
    <n v="5"/>
    <n v="4.2451724137931031"/>
    <n v="145"/>
    <n v="123.10999999999999"/>
    <n v="0.84903448275862059"/>
  </r>
  <r>
    <x v="1"/>
    <s v="богара"/>
    <s v="Поле-3.4."/>
    <x v="12"/>
    <n v="45"/>
    <n v="45"/>
    <n v="0"/>
    <n v="1"/>
    <n v="5"/>
    <n v="2.2713333333333332"/>
    <n v="225"/>
    <n v="102.21"/>
    <n v="0.45426666666666665"/>
  </r>
  <r>
    <x v="1"/>
    <s v="богара"/>
    <s v="Поле-3.4."/>
    <x v="13"/>
    <n v="18"/>
    <n v="18"/>
    <n v="0"/>
    <n v="1"/>
    <n v="5"/>
    <n v="2.0072222222222225"/>
    <n v="90"/>
    <n v="36.130000000000003"/>
    <n v="0.40144444444444449"/>
  </r>
  <r>
    <x v="1"/>
    <s v="богара"/>
    <s v="Поле-3.4."/>
    <x v="10"/>
    <n v="21.6"/>
    <n v="21.6"/>
    <n v="0"/>
    <n v="1"/>
    <n v="5"/>
    <n v="3.2180555555555554"/>
    <n v="108"/>
    <n v="69.510000000000005"/>
    <n v="0.64361111111111113"/>
  </r>
  <r>
    <x v="1"/>
    <s v="полив"/>
    <s v="Поле-1.3."/>
    <x v="14"/>
    <n v="32.9"/>
    <n v="32.9"/>
    <n v="0"/>
    <n v="1"/>
    <n v="5.5"/>
    <n v="1.3872340425531915"/>
    <n v="180.95"/>
    <n v="45.64"/>
    <n v="0.25222437137330755"/>
  </r>
  <r>
    <x v="1"/>
    <s v="полив"/>
    <s v="Поле-1.4."/>
    <x v="14"/>
    <n v="70.599999999999994"/>
    <n v="60"/>
    <n v="10.599999999999994"/>
    <n v="0.84985835694050993"/>
    <n v="5.5"/>
    <n v="1.921"/>
    <n v="388.29999999999995"/>
    <n v="115.26"/>
    <n v="0.2968323461241309"/>
  </r>
  <r>
    <x v="1"/>
    <s v="полив"/>
    <s v="Поле-2.1."/>
    <x v="15"/>
    <n v="97.4"/>
    <n v="97.4"/>
    <n v="0"/>
    <n v="1"/>
    <n v="5.5"/>
    <n v="1.8309034907597532"/>
    <n v="535.70000000000005"/>
    <n v="178.32999999999998"/>
    <n v="0.33289154377450059"/>
  </r>
  <r>
    <x v="1"/>
    <s v="полив"/>
    <s v="Поле-3.1."/>
    <x v="15"/>
    <n v="39.6"/>
    <n v="39.6"/>
    <n v="0"/>
    <n v="1"/>
    <n v="5.5"/>
    <n v="3.0151515151515147"/>
    <n v="217.8"/>
    <n v="119.39999999999999"/>
    <n v="0.54820936639118456"/>
  </r>
  <r>
    <x v="1"/>
    <s v="полив"/>
    <s v="Поле-3.1."/>
    <x v="14"/>
    <n v="48.3"/>
    <n v="48.3"/>
    <n v="0"/>
    <n v="1"/>
    <n v="5.5"/>
    <n v="4.8710144927536234"/>
    <n v="265.64999999999998"/>
    <n v="235.26999999999998"/>
    <n v="0.88563899868247697"/>
  </r>
  <r>
    <x v="1"/>
    <s v="полив"/>
    <s v="Поле-3.3."/>
    <x v="16"/>
    <n v="93"/>
    <n v="93"/>
    <n v="0"/>
    <n v="1"/>
    <n v="5.5"/>
    <n v="3.3659139784946235"/>
    <n v="511.5"/>
    <n v="313.02999999999997"/>
    <n v="0.61198435972629517"/>
  </r>
  <r>
    <x v="1"/>
    <s v="полив"/>
    <s v="Поле-3.3."/>
    <x v="17"/>
    <n v="3.5"/>
    <n v="3.5"/>
    <n v="0"/>
    <n v="1"/>
    <n v="5.5"/>
    <n v="3.891428571428571"/>
    <n v="19.25"/>
    <n v="13.62"/>
    <n v="0.70753246753246746"/>
  </r>
  <r>
    <x v="1"/>
    <s v="полив"/>
    <s v="Поле-4.3."/>
    <x v="16"/>
    <n v="35"/>
    <n v="9.9999999999999995E-8"/>
    <n v="34.999999899999999"/>
    <n v="2.8571428571428572E-9"/>
    <n v="5.5"/>
    <n v="1E-3"/>
    <n v="192.5"/>
    <n v="1E-10"/>
    <n v="5.1948051948051945E-13"/>
  </r>
  <r>
    <x v="1"/>
    <s v="полив"/>
    <s v="Поле-4.3."/>
    <x v="13"/>
    <n v="8.5"/>
    <n v="8.5"/>
    <n v="0"/>
    <n v="1"/>
    <n v="5.5"/>
    <n v="0.76235294117647068"/>
    <n v="46.75"/>
    <n v="6.48"/>
    <n v="0.1386096256684492"/>
  </r>
  <r>
    <x v="1"/>
    <s v="полив"/>
    <s v="Поле-4.3."/>
    <x v="14"/>
    <n v="8"/>
    <n v="9.9999999999999995E-8"/>
    <n v="7.9999998999999997"/>
    <n v="1.2499999999999999E-8"/>
    <n v="5.5"/>
    <n v="1E-3"/>
    <n v="44"/>
    <n v="1E-10"/>
    <n v="2.272727272727273E-12"/>
  </r>
  <r>
    <x v="1"/>
    <s v="полив"/>
    <s v="Поле-4.3."/>
    <x v="17"/>
    <n v="10.5"/>
    <n v="10.5"/>
    <n v="0"/>
    <n v="1"/>
    <n v="5.5"/>
    <n v="4.8114285714285714"/>
    <n v="57.75"/>
    <n v="50.519999999999996"/>
    <n v="0.8748051948051947"/>
  </r>
  <r>
    <x v="2"/>
    <s v="полив"/>
    <s v="Поле-10/12"/>
    <x v="5"/>
    <n v="72"/>
    <n v="9.9999999999999995E-8"/>
    <n v="71.999999900000006"/>
    <n v="1.3888888888888888E-9"/>
    <n v="5.5"/>
    <n v="1E-3"/>
    <n v="396"/>
    <n v="1E-10"/>
    <n v="2.5252525252525253E-13"/>
  </r>
  <r>
    <x v="2"/>
    <s v="полив"/>
    <s v="Поле-10/5"/>
    <x v="5"/>
    <n v="52"/>
    <n v="45"/>
    <n v="7"/>
    <n v="0.86538461538461542"/>
    <n v="5.5"/>
    <n v="5.7866666666666653"/>
    <n v="286"/>
    <n v="260.39999999999992"/>
    <n v="0.91048951048951021"/>
  </r>
  <r>
    <x v="2"/>
    <s v="полив"/>
    <s v="Поле-9/2"/>
    <x v="5"/>
    <n v="45"/>
    <n v="45"/>
    <n v="0"/>
    <n v="1"/>
    <n v="5.5"/>
    <n v="5.2142222222222223"/>
    <n v="247.5"/>
    <n v="234.64"/>
    <n v="0.94804040404040402"/>
  </r>
  <r>
    <x v="3"/>
    <s v="богара"/>
    <s v="Поле-1/1.1."/>
    <x v="3"/>
    <n v="81.900000000000006"/>
    <n v="81.900000000000006"/>
    <n v="0"/>
    <n v="1"/>
    <n v="4.5"/>
    <n v="0.93516483516483517"/>
    <n v="368.55"/>
    <n v="76.59"/>
    <n v="0.20781440781440783"/>
  </r>
  <r>
    <x v="3"/>
    <s v="богара"/>
    <s v="Поле-1/1.1."/>
    <x v="1"/>
    <n v="50.7"/>
    <n v="50.7"/>
    <n v="0"/>
    <n v="1"/>
    <n v="4.5"/>
    <n v="2.5386587771203155"/>
    <n v="228.15"/>
    <n v="128.71"/>
    <n v="0.56414639491562568"/>
  </r>
  <r>
    <x v="3"/>
    <s v="богара"/>
    <s v="Поле-1/7.1."/>
    <x v="3"/>
    <n v="73.400000000000006"/>
    <n v="73.400000000000006"/>
    <n v="0"/>
    <n v="1"/>
    <n v="4.5"/>
    <n v="1.5919346049046321"/>
    <n v="330.3"/>
    <n v="116.84800000000001"/>
    <n v="0.35376324553436272"/>
  </r>
  <r>
    <x v="3"/>
    <s v="богара"/>
    <s v="Поле-1/7.1."/>
    <x v="0"/>
    <n v="61"/>
    <n v="61"/>
    <n v="0"/>
    <n v="1"/>
    <n v="4.5"/>
    <n v="1.5279016393442626"/>
    <n v="274.5"/>
    <n v="93.202000000000012"/>
    <n v="0.33953369763205832"/>
  </r>
  <r>
    <x v="3"/>
    <s v="богара"/>
    <s v="Поле-2/3.5."/>
    <x v="1"/>
    <n v="28.3"/>
    <n v="28.3"/>
    <n v="0"/>
    <n v="1"/>
    <n v="4.5"/>
    <n v="2.9427561837455829"/>
    <n v="127.35000000000001"/>
    <n v="83.28"/>
    <n v="0.6539458186101295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3">
  <r>
    <s v="Акт входного контроля 000000002 от 26.05.2023 10:00:06"/>
    <s v="высший"/>
    <n v="82"/>
    <n v="63303"/>
    <s v="УОХ Кубань"/>
    <s v="Чигрин Николай Александрович"/>
    <s v="А819ЕВ"/>
    <s v="1/4"/>
    <s v="1/4"/>
    <s v="Преладо"/>
    <s v="Горох овощной свежий 10.01"/>
    <n v="14040"/>
    <n v="9670"/>
    <n v="7.5"/>
    <n v="4370"/>
    <n v="4042.2"/>
    <x v="0"/>
    <x v="0"/>
    <n v="327.80000000000018"/>
    <n v="7.5011441647597293E-2"/>
    <n v="5"/>
    <n v="26"/>
    <x v="0"/>
    <x v="0"/>
  </r>
  <r>
    <s v="Акт входного контроля 000000003 от 29.05.2023 18:40:06"/>
    <s v="высший"/>
    <n v="83"/>
    <n v="63304"/>
    <s v="УОХ Кубань"/>
    <s v="Чигрин Николай Александрович"/>
    <s v="А819ЕВ"/>
    <s v="1/4"/>
    <s v="1/4"/>
    <s v="Преладо"/>
    <s v="Горох овощной свежий 10.01"/>
    <n v="25600"/>
    <n v="14400"/>
    <n v="10.5"/>
    <n v="11200"/>
    <n v="10024"/>
    <x v="0"/>
    <x v="1"/>
    <n v="1176"/>
    <n v="0.105"/>
    <n v="5"/>
    <n v="29"/>
    <x v="1"/>
    <x v="0"/>
  </r>
  <r>
    <s v="Акт входного контроля 000000004 от 29.05.2023 20:40:25"/>
    <s v="высший"/>
    <n v="84"/>
    <n v="63307"/>
    <s v="УОХ Кубань"/>
    <s v="Гуйда Николай Николаевич"/>
    <s v="А816ЕВ"/>
    <s v="1/4"/>
    <s v="1/4"/>
    <s v="Преладо"/>
    <s v="Горох овощной свежий 10.01"/>
    <n v="25580"/>
    <n v="14210"/>
    <n v="16.5"/>
    <n v="11370"/>
    <n v="9493.9"/>
    <x v="0"/>
    <x v="1"/>
    <n v="1876.1000000000004"/>
    <n v="0.16500439753737911"/>
    <n v="5"/>
    <n v="29"/>
    <x v="1"/>
    <x v="0"/>
  </r>
  <r>
    <s v="Акт входного контроля 000000011 от 29.05.2023 10:37:44"/>
    <s v="высший"/>
    <n v="85"/>
    <n v="63306"/>
    <s v="УОХ Кубань"/>
    <s v="Гребенников Е.Н."/>
    <s v="В465ММ"/>
    <s v="1/4"/>
    <s v="1/4"/>
    <s v="Преладо"/>
    <s v="Горох овощной свежий 10.01"/>
    <n v="24810"/>
    <n v="13380"/>
    <n v="13.5"/>
    <n v="11430"/>
    <n v="9886.9"/>
    <x v="0"/>
    <x v="1"/>
    <n v="1543.1000000000004"/>
    <n v="0.13500437445319338"/>
    <n v="5"/>
    <n v="29"/>
    <x v="1"/>
    <x v="0"/>
  </r>
  <r>
    <s v="Акт входного контроля 000000010 от 29.05.2023 14:22:49"/>
    <s v="высший"/>
    <n v="86"/>
    <n v="63308"/>
    <s v="УОХ Кубань"/>
    <s v="Бербеницкий Сергей Николаевич"/>
    <s v="С400РР"/>
    <s v="1/4"/>
    <s v="1/4"/>
    <s v="Преладо"/>
    <s v="Горох овощной свежий 10.01"/>
    <n v="27090"/>
    <n v="15100"/>
    <n v="18.5"/>
    <n v="11990"/>
    <n v="9771.7999999999993"/>
    <x v="0"/>
    <x v="1"/>
    <n v="2218.2000000000007"/>
    <n v="0.18500417014178488"/>
    <n v="5"/>
    <n v="29"/>
    <x v="1"/>
    <x v="0"/>
  </r>
  <r>
    <s v="Акт входного контроля 000000008 от 29.05.2023 15:57:39"/>
    <s v="высший"/>
    <n v="87"/>
    <n v="63309"/>
    <s v="УОХ Кубань"/>
    <s v="Кодола В.А."/>
    <s v="В639КО"/>
    <s v="1/4"/>
    <s v="1/4"/>
    <s v="Преладо"/>
    <s v="Горох овощной свежий 10.01"/>
    <n v="27460"/>
    <n v="15810"/>
    <n v="14.5"/>
    <n v="11650"/>
    <n v="9960.7000000000007"/>
    <x v="0"/>
    <x v="1"/>
    <n v="1689.2999999999993"/>
    <n v="0.14500429184549349"/>
    <n v="5"/>
    <n v="29"/>
    <x v="1"/>
    <x v="0"/>
  </r>
  <r>
    <s v="Акт входного контроля 000000007 от 29.05.2023 21:37:52"/>
    <s v="высший"/>
    <n v="88"/>
    <n v="63310"/>
    <s v="УОХ Кубань"/>
    <s v="Звада Е.Е."/>
    <s v="А688АМ"/>
    <s v="1/4"/>
    <s v="1/4"/>
    <s v="Преладо"/>
    <s v="Горох овощной свежий 10.01"/>
    <n v="26050"/>
    <n v="14660"/>
    <n v="10.5"/>
    <n v="11390"/>
    <n v="10194"/>
    <x v="0"/>
    <x v="1"/>
    <n v="1196"/>
    <n v="0.10500438981562775"/>
    <n v="5"/>
    <n v="29"/>
    <x v="1"/>
    <x v="0"/>
  </r>
  <r>
    <s v="Акт входного контроля 000000009 от 30.05.2023 12:05:22"/>
    <s v="высший"/>
    <n v="90"/>
    <n v="63311"/>
    <s v="УОХ Кубань"/>
    <s v="Дзюба Николай Сергеевич"/>
    <s v="Р383РЕ"/>
    <s v="1/4"/>
    <s v="1/4"/>
    <s v="Преладо"/>
    <s v="Горох овощной свежий 10.01"/>
    <n v="25730"/>
    <n v="14550"/>
    <n v="15.5"/>
    <n v="11180"/>
    <n v="9447.1"/>
    <x v="0"/>
    <x v="2"/>
    <n v="1732.8999999999996"/>
    <n v="0.15499999999999997"/>
    <n v="5"/>
    <n v="30"/>
    <x v="2"/>
    <x v="0"/>
  </r>
  <r>
    <s v="Акт входного контроля 000000006 от 30.05.2023 10:39:53"/>
    <s v="высший"/>
    <n v="91"/>
    <n v="63312"/>
    <s v="УОХ Кубань"/>
    <s v="Деревянко Н.Н."/>
    <s v="Р699ОН"/>
    <s v="1/4"/>
    <s v="1/4"/>
    <s v="Преладо"/>
    <s v="Горох овощной свежий 10.01"/>
    <n v="25450"/>
    <n v="14300"/>
    <n v="11.5"/>
    <n v="11150"/>
    <n v="9867.7000000000007"/>
    <x v="0"/>
    <x v="2"/>
    <n v="1282.2999999999993"/>
    <n v="0.11500448430493267"/>
    <n v="5"/>
    <n v="30"/>
    <x v="2"/>
    <x v="0"/>
  </r>
  <r>
    <s v="Акт входного контроля 000000005 от 30.05.2023 10:20:16"/>
    <s v="высший"/>
    <n v="92"/>
    <n v="63313"/>
    <s v="УОХ Кубань"/>
    <s v="Осипов А"/>
    <s v="Е732УС"/>
    <s v="1/4"/>
    <s v="1/4"/>
    <s v="Преладо"/>
    <s v="Горох овощной свежий 10.01"/>
    <n v="24970"/>
    <n v="13940"/>
    <n v="13.5"/>
    <n v="11030"/>
    <n v="9540.9"/>
    <x v="0"/>
    <x v="2"/>
    <n v="1489.1000000000004"/>
    <n v="0.13500453309156848"/>
    <n v="5"/>
    <n v="30"/>
    <x v="2"/>
    <x v="0"/>
  </r>
  <r>
    <s v="Акт входного контроля 000000012 от 30.05.2023 6:54:39"/>
    <s v="высший"/>
    <n v="93"/>
    <n v="63314"/>
    <s v="УОХ Кубань"/>
    <s v="Мосинцев Александр Егорович"/>
    <s v="Т680ОУ"/>
    <s v="1/4"/>
    <s v="1/4"/>
    <s v="Преладо"/>
    <s v="Горох овощной свежий 10.01"/>
    <n v="25500"/>
    <n v="14440"/>
    <n v="13.5"/>
    <n v="11060"/>
    <n v="9566.9"/>
    <x v="0"/>
    <x v="2"/>
    <n v="1493.1000000000004"/>
    <n v="0.13500000000000004"/>
    <n v="5"/>
    <n v="30"/>
    <x v="2"/>
    <x v="0"/>
  </r>
  <r>
    <s v="Акт входного контроля 000000013 от 30.05.2023 13:57:20"/>
    <s v="высший"/>
    <n v="94"/>
    <n v="63315"/>
    <s v="УОХ Кубань"/>
    <s v="Гребенников ЕН"/>
    <s v="В465ММ"/>
    <s v="1/4"/>
    <s v="1/4"/>
    <s v="Преладо"/>
    <s v="Горох овощной свежий 10.01"/>
    <n v="24630"/>
    <n v="13410"/>
    <n v="12.5"/>
    <n v="11220"/>
    <n v="9817.5"/>
    <x v="0"/>
    <x v="2"/>
    <n v="1402.5"/>
    <n v="0.125"/>
    <n v="5"/>
    <n v="30"/>
    <x v="2"/>
    <x v="0"/>
  </r>
  <r>
    <s v="Акт входного контроля 000000014 от 30.05.2023 15:42:00"/>
    <s v="высший"/>
    <n v="95"/>
    <n v="63316"/>
    <s v="УОХ Кубань"/>
    <s v="Бербеницкий Сергей Николаевич"/>
    <s v="С400РР"/>
    <s v="1/4"/>
    <s v="1/4"/>
    <s v="Преладо"/>
    <s v="Горох овощной свежий 10.01"/>
    <n v="28330"/>
    <n v="15050"/>
    <n v="14.5"/>
    <n v="13280"/>
    <n v="11354.4"/>
    <x v="0"/>
    <x v="2"/>
    <n v="1925.6000000000004"/>
    <n v="0.14500000000000002"/>
    <n v="5"/>
    <n v="30"/>
    <x v="2"/>
    <x v="0"/>
  </r>
  <r>
    <s v="Акт входного контроля 000000015 от 30.05.2023 18:46:20"/>
    <s v="высший"/>
    <n v="97"/>
    <n v="63318"/>
    <s v="УОХ Кубань"/>
    <s v="Кодола В.Л."/>
    <s v="В639КО"/>
    <s v="1/4"/>
    <s v="1/4"/>
    <s v="Преладо"/>
    <s v="Горох овощной свежий 10.01"/>
    <n v="29420"/>
    <n v="15720"/>
    <n v="16.5"/>
    <n v="13700"/>
    <n v="11439.5"/>
    <x v="0"/>
    <x v="2"/>
    <n v="2260.5"/>
    <n v="0.16500000000000001"/>
    <n v="5"/>
    <n v="30"/>
    <x v="2"/>
    <x v="0"/>
  </r>
  <r>
    <s v="Акт входного контроля 000000016 от 30.05.2023 19:04:46"/>
    <s v="высший"/>
    <n v="99"/>
    <n v="63319"/>
    <s v="УОХ Кубань"/>
    <s v="Чигрин Николай Александрович"/>
    <s v="А819ЕВ"/>
    <s v="1/4"/>
    <s v="1/4"/>
    <s v="Преладо"/>
    <s v="Горох овощной свежий 10.01"/>
    <n v="27910"/>
    <n v="14480"/>
    <n v="17.5"/>
    <n v="13430"/>
    <n v="11079.7"/>
    <x v="0"/>
    <x v="2"/>
    <n v="2350.2999999999993"/>
    <n v="0.17500372300819056"/>
    <n v="5"/>
    <n v="30"/>
    <x v="2"/>
    <x v="0"/>
  </r>
  <r>
    <s v="Акт входного контроля 000000017 от 30.05.2023 21:43:11"/>
    <s v="высший"/>
    <n v="100"/>
    <n v="63320"/>
    <s v="УОХ Кубань"/>
    <s v="Гуйда Николай Николаевич"/>
    <s v="А816ЕВ"/>
    <s v="1/4"/>
    <s v="1/4"/>
    <s v="Преладо"/>
    <s v="Горох овощной свежий 10.01"/>
    <n v="27730"/>
    <n v="14370"/>
    <n v="18.5"/>
    <n v="13360"/>
    <n v="10888.4"/>
    <x v="0"/>
    <x v="2"/>
    <n v="2471.6000000000004"/>
    <n v="0.18500000000000003"/>
    <n v="5"/>
    <n v="30"/>
    <x v="2"/>
    <x v="0"/>
  </r>
  <r>
    <s v="Акт входного контроля 000000024 от 31.05.2023 16:55:24"/>
    <s v="высший"/>
    <n v="101"/>
    <n v="63322"/>
    <s v="УОХ Кубань"/>
    <s v="Звада Евгений Егеньевич"/>
    <s v="А688АМ"/>
    <s v="1/4"/>
    <s v="1/4"/>
    <s v="Преладо"/>
    <s v="Горох овощной свежий 10.01"/>
    <n v="28350"/>
    <n v="14730"/>
    <n v="10.5"/>
    <n v="13620"/>
    <n v="12189.9"/>
    <x v="0"/>
    <x v="3"/>
    <n v="1430.1000000000004"/>
    <n v="0.10500000000000002"/>
    <n v="5"/>
    <n v="31"/>
    <x v="3"/>
    <x v="0"/>
  </r>
  <r>
    <s v="Акт входного контроля 000000019 от 31.05.2023 23:45:47"/>
    <s v="высший"/>
    <n v="102"/>
    <n v="63321"/>
    <s v="УОХ Кубань"/>
    <s v="Дзюба Николай Сергеевич"/>
    <s v="Р383РЕ"/>
    <s v="1/4"/>
    <s v="1/4"/>
    <s v="Преладо"/>
    <s v="Горох овощной свежий 10.01"/>
    <n v="28210"/>
    <n v="14530"/>
    <n v="13.5"/>
    <n v="13680"/>
    <n v="11833.2"/>
    <x v="0"/>
    <x v="3"/>
    <n v="1846.7999999999993"/>
    <n v="0.13499999999999995"/>
    <n v="5"/>
    <n v="31"/>
    <x v="3"/>
    <x v="0"/>
  </r>
  <r>
    <s v="Акт входного контроля 000000020 от 31.05.2023 20:29:02"/>
    <s v="высший"/>
    <n v="105"/>
    <n v="63323"/>
    <s v="УОХ Кубань"/>
    <s v="Башкатов И.И"/>
    <s v="А781РР"/>
    <s v="1/4"/>
    <s v="1/4"/>
    <s v="Преладо"/>
    <s v="Горох овощной свежий 10.01"/>
    <n v="28620"/>
    <n v="14920"/>
    <n v="13.5"/>
    <n v="13700"/>
    <n v="11850.5"/>
    <x v="0"/>
    <x v="3"/>
    <n v="1849.5"/>
    <n v="0.13500000000000001"/>
    <n v="5"/>
    <n v="31"/>
    <x v="3"/>
    <x v="0"/>
  </r>
  <r>
    <s v="Акт входного контроля 000000021 от 31.05.2023 22:10:54"/>
    <s v="высший"/>
    <n v="106"/>
    <n v="63326"/>
    <s v="УОХ Кубань"/>
    <s v="Сероштан Станислав Викторович"/>
    <s v="Е758РЕ"/>
    <s v="1/4"/>
    <s v="1/4"/>
    <s v="Преладо"/>
    <s v="Горох овощной свежий 10.01"/>
    <n v="27960"/>
    <n v="14470"/>
    <n v="12.5"/>
    <n v="13490"/>
    <n v="11803.7"/>
    <x v="0"/>
    <x v="3"/>
    <n v="1686.2999999999993"/>
    <n v="0.1250037064492216"/>
    <n v="5"/>
    <n v="31"/>
    <x v="3"/>
    <x v="0"/>
  </r>
  <r>
    <s v="Акт входного контроля 000000022 от 31.05.2023 22:21:20"/>
    <s v="высший"/>
    <n v="107"/>
    <n v="63329"/>
    <s v="УОХ Кубань"/>
    <s v="Бербеницкий Сергей Николаевич"/>
    <s v="С400РР"/>
    <s v="1/4"/>
    <s v="1/4"/>
    <s v="Преладо"/>
    <s v="Горох овощной свежий 10.01"/>
    <n v="28620"/>
    <n v="15060"/>
    <n v="14.5"/>
    <n v="13560"/>
    <n v="11593.8"/>
    <x v="0"/>
    <x v="3"/>
    <n v="1966.2000000000007"/>
    <n v="0.14500000000000005"/>
    <n v="5"/>
    <n v="31"/>
    <x v="3"/>
    <x v="0"/>
  </r>
  <r>
    <s v="Акт входного контроля 000000023 от 01.06.2023 21:23:13"/>
    <s v="высший"/>
    <n v="109"/>
    <n v="63330"/>
    <s v="УОХ Кубань"/>
    <s v="КодолаВ.А."/>
    <s v="В639КО"/>
    <s v="1/4"/>
    <s v="1/4"/>
    <s v="Преладо"/>
    <s v="Горох овощной свежий 10.01"/>
    <n v="29520"/>
    <n v="15810"/>
    <n v="15.5"/>
    <n v="13710"/>
    <n v="11584.9"/>
    <x v="0"/>
    <x v="4"/>
    <n v="2125.1000000000004"/>
    <n v="0.15500364697301242"/>
    <n v="6"/>
    <n v="1"/>
    <x v="4"/>
    <x v="0"/>
  </r>
  <r>
    <s v="Акт входного контроля 000000026 от 01.06.2023 21:22:07"/>
    <s v="высший"/>
    <n v="111"/>
    <n v="63331"/>
    <s v="УОХ Кубань"/>
    <s v="Гребенников Е.Н."/>
    <s v="В465ММ"/>
    <s v="1/4"/>
    <s v="1/4"/>
    <s v="Преладо"/>
    <s v="Горох овощной свежий 10.01"/>
    <n v="26980"/>
    <n v="13390"/>
    <n v="15.5"/>
    <n v="13590"/>
    <n v="11483.5"/>
    <x v="0"/>
    <x v="4"/>
    <n v="2106.5"/>
    <n v="0.15500367917586461"/>
    <n v="6"/>
    <n v="1"/>
    <x v="4"/>
    <x v="0"/>
  </r>
  <r>
    <s v="Акт входного контроля 000000025 от 01.06.2023 2:32:38"/>
    <s v="высший"/>
    <n v="112"/>
    <n v="63332"/>
    <s v="УОХ Кубань"/>
    <s v="Осипов А."/>
    <s v="Е732УС"/>
    <s v="1/4"/>
    <s v="1/4"/>
    <s v="Преладо"/>
    <s v="Горох овощной свежий 10.01"/>
    <n v="27360"/>
    <n v="13940"/>
    <n v="14.5"/>
    <n v="13420"/>
    <n v="11474.1"/>
    <x v="0"/>
    <x v="4"/>
    <n v="1945.8999999999996"/>
    <n v="0.14499999999999996"/>
    <n v="6"/>
    <n v="1"/>
    <x v="4"/>
    <x v="0"/>
  </r>
  <r>
    <s v="Акт входного контроля 000000027 от 01.06.2023 21:21:56"/>
    <s v="высший"/>
    <n v="113"/>
    <n v="63333"/>
    <s v="УОХ Кубань"/>
    <s v="Деревянко  А. Н."/>
    <s v="Р699ОН"/>
    <s v="1/4"/>
    <s v="1/4"/>
    <s v="Преладо"/>
    <s v="Горох овощной свежий 10.01"/>
    <n v="27610"/>
    <n v="14270"/>
    <n v="14.5"/>
    <n v="13340"/>
    <n v="11405.7"/>
    <x v="0"/>
    <x v="4"/>
    <n v="1934.2999999999993"/>
    <n v="0.14499999999999993"/>
    <n v="6"/>
    <n v="1"/>
    <x v="4"/>
    <x v="0"/>
  </r>
  <r>
    <s v="Акт входного контроля 000000028 от 01.06.2023 21:21:43"/>
    <s v="высший"/>
    <n v="114"/>
    <n v="63334"/>
    <s v="УОХ Кубань"/>
    <s v="Деревянко  А. Н."/>
    <s v="О793КА"/>
    <s v="1/4"/>
    <s v="1/4"/>
    <s v="Преладо"/>
    <s v="Горох овощной свежий 10.01"/>
    <n v="27900"/>
    <n v="14380"/>
    <n v="15.5"/>
    <n v="13520"/>
    <n v="11424.4"/>
    <x v="0"/>
    <x v="4"/>
    <n v="2095.6000000000004"/>
    <n v="0.15500000000000003"/>
    <n v="6"/>
    <n v="1"/>
    <x v="4"/>
    <x v="0"/>
  </r>
  <r>
    <s v="Акт входного контроля 000000029 от 01.06.2023 21:20:41"/>
    <s v="высший"/>
    <n v="115"/>
    <n v="63335"/>
    <s v="УОХ Кубань"/>
    <s v="Чигрин Николай Александрович"/>
    <s v="А819ЕВ"/>
    <s v="1/4"/>
    <s v="1/4"/>
    <s v="Преладо"/>
    <s v="Горох овощной свежий 10.01"/>
    <n v="28050"/>
    <n v="14400"/>
    <n v="14.5"/>
    <n v="13650"/>
    <n v="11670.7"/>
    <x v="0"/>
    <x v="4"/>
    <n v="1979.2999999999993"/>
    <n v="0.14500366300366296"/>
    <n v="6"/>
    <n v="1"/>
    <x v="4"/>
    <x v="0"/>
  </r>
  <r>
    <s v="Акт входного контроля 000000030 от 01.06.2023 21:20:17"/>
    <s v="высший"/>
    <n v="117"/>
    <n v="63336"/>
    <s v="УОХ Кубань"/>
    <s v="Гуйда Николай Николаевич"/>
    <s v="А816ЕВ"/>
    <s v="1/4"/>
    <s v="1/4"/>
    <s v="Преладо"/>
    <s v="Горох овощной свежий 10.01"/>
    <n v="27750"/>
    <n v="14280"/>
    <n v="14.5"/>
    <n v="13470"/>
    <n v="11516.8"/>
    <x v="0"/>
    <x v="4"/>
    <n v="1953.2000000000007"/>
    <n v="0.14500371195248707"/>
    <n v="6"/>
    <n v="1"/>
    <x v="4"/>
    <x v="0"/>
  </r>
  <r>
    <s v="Акт входного контроля 000000031 от 01.06.2023 16:57:43"/>
    <s v="высший"/>
    <n v="118"/>
    <n v="63337"/>
    <s v="УОХ Кубань"/>
    <s v="Мосинцев Александр Егорович"/>
    <s v="Т680ОУ"/>
    <s v="1/4"/>
    <s v="1/4"/>
    <s v="Преладо"/>
    <s v="Горох овощной свежий 10.01"/>
    <n v="27390"/>
    <n v="14320"/>
    <n v="14.5"/>
    <n v="13070"/>
    <n v="11174.8"/>
    <x v="0"/>
    <x v="4"/>
    <n v="1895.2000000000007"/>
    <n v="0.14500382555470548"/>
    <n v="6"/>
    <n v="1"/>
    <x v="4"/>
    <x v="0"/>
  </r>
  <r>
    <s v="Акт входного контроля 000000032 от 01.06.2023 17:23:56"/>
    <s v="высший"/>
    <n v="119"/>
    <n v="63338"/>
    <s v="УОХ Кубань"/>
    <s v="Погуляй А.Б."/>
    <s v="К403ЕМ"/>
    <s v="1/4"/>
    <s v="1/4"/>
    <s v="Преладо"/>
    <s v="Горох овощной свежий 10.01"/>
    <n v="32760"/>
    <n v="17300"/>
    <n v="12.5"/>
    <n v="15460"/>
    <n v="13527.5"/>
    <x v="0"/>
    <x v="4"/>
    <n v="1932.5"/>
    <n v="0.125"/>
    <n v="6"/>
    <n v="1"/>
    <x v="4"/>
    <x v="0"/>
  </r>
  <r>
    <s v="Акт входного контроля 000000034 от 01.06.2023 19:46:14"/>
    <s v="высший"/>
    <n v="121"/>
    <n v="63340"/>
    <s v="УОХ Кубань"/>
    <s v="Мудрак В В."/>
    <s v="Х514ОК"/>
    <s v="1/4"/>
    <s v="1/4"/>
    <s v="Преладо"/>
    <s v="Горох овощной свежий 10.01"/>
    <n v="38430"/>
    <n v="20970"/>
    <n v="13.5"/>
    <n v="17460"/>
    <n v="15102.9"/>
    <x v="0"/>
    <x v="4"/>
    <n v="2357.1000000000004"/>
    <n v="0.13500000000000001"/>
    <n v="6"/>
    <n v="1"/>
    <x v="4"/>
    <x v="0"/>
  </r>
  <r>
    <s v="Акт входного контроля 000000033 от 01.06.2023 20:31:53"/>
    <s v="высший"/>
    <n v="122"/>
    <n v="63341"/>
    <s v="УОХ Кубань"/>
    <s v="Бербеницкий Сергей Николаевич"/>
    <s v="С400РР"/>
    <s v="1/4"/>
    <s v="1/4"/>
    <s v="Преладо"/>
    <s v="Горох овощной свежий 10.01"/>
    <n v="28400"/>
    <n v="15150"/>
    <n v="14.5"/>
    <n v="13250"/>
    <n v="11328.7"/>
    <x v="0"/>
    <x v="4"/>
    <n v="1921.2999999999993"/>
    <n v="0.1450037735849056"/>
    <n v="6"/>
    <n v="1"/>
    <x v="4"/>
    <x v="0"/>
  </r>
  <r>
    <s v="Акт входного контроля 000000035 от 01.06.2023 21:30:43"/>
    <s v="высший"/>
    <n v="123"/>
    <n v="63342"/>
    <s v="УОХ Кубань"/>
    <s v="Кодола В Л."/>
    <s v="В639КО"/>
    <s v="1/4"/>
    <s v="1/4"/>
    <s v="Преладо"/>
    <s v="Горох овощной свежий 10.01"/>
    <n v="29020"/>
    <n v="15660"/>
    <n v="14.5"/>
    <n v="13360"/>
    <n v="11422.8"/>
    <x v="0"/>
    <x v="4"/>
    <n v="1937.2000000000007"/>
    <n v="0.14500000000000005"/>
    <n v="6"/>
    <n v="1"/>
    <x v="4"/>
    <x v="0"/>
  </r>
  <r>
    <s v="Акт входного контроля 000000036 от 01.06.2023 23:04:28"/>
    <s v="высший"/>
    <n v="124"/>
    <n v="63345"/>
    <s v="УОХ Кубань"/>
    <s v="Звада Евгений Егеньевич"/>
    <s v="А688АМ"/>
    <s v="1/4"/>
    <s v="1/4"/>
    <s v="Преладо"/>
    <s v="Горох овощной свежий 10.01"/>
    <n v="30270"/>
    <n v="14740"/>
    <n v="15.5"/>
    <n v="15530"/>
    <n v="13122.8"/>
    <x v="0"/>
    <x v="4"/>
    <n v="2407.2000000000007"/>
    <n v="0.15500321957501614"/>
    <n v="6"/>
    <n v="1"/>
    <x v="4"/>
    <x v="0"/>
  </r>
  <r>
    <s v="Акт входного контроля 000000037 от 01.06.2023 23:34:16"/>
    <s v="высший"/>
    <n v="125"/>
    <n v="63344"/>
    <s v="УОХ Кубань"/>
    <s v="Магадиев Александр Сайлаувич"/>
    <s v="У184НО"/>
    <s v="1/4"/>
    <s v="1/4"/>
    <s v="Преладо"/>
    <s v="Горох овощной свежий 10.01"/>
    <n v="30070"/>
    <n v="14420"/>
    <n v="14.5"/>
    <n v="15650"/>
    <n v="13380.7"/>
    <x v="0"/>
    <x v="4"/>
    <n v="2269.2999999999993"/>
    <n v="0.14500319488817887"/>
    <n v="6"/>
    <n v="1"/>
    <x v="4"/>
    <x v="0"/>
  </r>
  <r>
    <s v="Акт входного контроля 000000038 от 02.06.2023 11:59:37"/>
    <s v="высший"/>
    <n v="126"/>
    <n v="63343"/>
    <s v="УОХ Кубань"/>
    <s v="Башкатов И,И."/>
    <s v="А781РР"/>
    <s v="1/4"/>
    <s v="1/4"/>
    <s v="Преладо"/>
    <s v="Горох овощной свежий 10.01"/>
    <n v="30170"/>
    <n v="14890"/>
    <n v="15.5"/>
    <n v="15280"/>
    <n v="12911.6"/>
    <x v="0"/>
    <x v="5"/>
    <n v="2368.3999999999996"/>
    <n v="0.15499999999999997"/>
    <n v="6"/>
    <n v="2"/>
    <x v="5"/>
    <x v="0"/>
  </r>
  <r>
    <s v="Акт входного контроля 000000039 от 02.06.2023 1:51:09"/>
    <s v="высший"/>
    <n v="127"/>
    <n v="63346"/>
    <s v="УОХ Кубань"/>
    <s v="Сероштан Станислав Викторович"/>
    <s v="Е758РЕ"/>
    <s v="1/4"/>
    <s v="1/4"/>
    <s v="Преладо"/>
    <s v="Горох овощной свежий 10.01"/>
    <n v="29980"/>
    <n v="14480"/>
    <n v="14.5"/>
    <n v="15500"/>
    <n v="13252.5"/>
    <x v="0"/>
    <x v="5"/>
    <n v="2247.5"/>
    <n v="0.14499999999999999"/>
    <n v="6"/>
    <n v="2"/>
    <x v="5"/>
    <x v="0"/>
  </r>
  <r>
    <s v="Акт входного контроля 000000040 от 02.06.2023 15:17:33"/>
    <s v="высший"/>
    <n v="128"/>
    <n v="63347"/>
    <s v="УОХ Кубань"/>
    <s v="Гребенников Е.Н."/>
    <s v="В465ММ"/>
    <s v="1/4"/>
    <s v="1/4"/>
    <s v="Преладо"/>
    <s v="Горох овощной свежий 10.01"/>
    <n v="28610"/>
    <n v="13290"/>
    <n v="12.5"/>
    <n v="15320"/>
    <n v="13405"/>
    <x v="0"/>
    <x v="5"/>
    <n v="1915"/>
    <n v="0.125"/>
    <n v="6"/>
    <n v="2"/>
    <x v="5"/>
    <x v="0"/>
  </r>
  <r>
    <s v="Акт входного контроля 000000042 от 02.06.2023 17:29:22"/>
    <s v="высший"/>
    <n v="129"/>
    <n v="63348"/>
    <s v="УОХ Кубань"/>
    <s v="Деревянко  А. Н."/>
    <s v="О793КА"/>
    <s v="1/4"/>
    <s v="1/4"/>
    <s v="Преладо"/>
    <s v="Горох овощной свежий 10.01"/>
    <n v="27730"/>
    <n v="14380"/>
    <n v="6.5"/>
    <n v="13350"/>
    <n v="12482.2"/>
    <x v="0"/>
    <x v="5"/>
    <n v="867.79999999999927"/>
    <n v="6.5003745318351999E-2"/>
    <n v="6"/>
    <n v="2"/>
    <x v="5"/>
    <x v="0"/>
  </r>
  <r>
    <s v="Акт входного контроля 000000041 от 02.06.2023 14:47:59"/>
    <s v="высший"/>
    <n v="130"/>
    <n v="1"/>
    <s v="Грин Рэй Кубань ООО (Овощеводство)"/>
    <s v="Гуйда Николай Николаевич"/>
    <s v="А816ЕВ"/>
    <s v="А-99"/>
    <s v="А-99"/>
    <s v="Преладо"/>
    <s v="Горох овощной свежий 10.01"/>
    <n v="16410"/>
    <n v="9650"/>
    <n v="8"/>
    <n v="6760"/>
    <n v="6219.2"/>
    <x v="0"/>
    <x v="5"/>
    <n v="540.80000000000018"/>
    <n v="8.0000000000000029E-2"/>
    <n v="6"/>
    <n v="2"/>
    <x v="5"/>
    <x v="0"/>
  </r>
  <r>
    <s v="Акт входного контроля 000000043 от 02.06.2023 16:19:11"/>
    <s v="высший"/>
    <n v="131"/>
    <n v="63333"/>
    <s v="УОХ Кубань"/>
    <s v="Деревянко  А. Н."/>
    <s v="Р699ОН"/>
    <s v="1/4"/>
    <s v="1/4"/>
    <s v="Преладо"/>
    <s v="Горох овощной свежий 10.01"/>
    <n v="27780"/>
    <n v="14280"/>
    <n v="15.5"/>
    <n v="13500"/>
    <n v="11407.5"/>
    <x v="0"/>
    <x v="5"/>
    <n v="2092.5"/>
    <n v="0.155"/>
    <n v="6"/>
    <n v="2"/>
    <x v="5"/>
    <x v="0"/>
  </r>
  <r>
    <s v="Акт входного контроля 000000045 от 02.06.2023 17:43:26"/>
    <s v="высший"/>
    <n v="132"/>
    <n v="63332"/>
    <s v="УОХ Кубань"/>
    <s v="Осипов А."/>
    <s v="Е732УС"/>
    <s v="1/4"/>
    <s v="1/4"/>
    <s v="Преладо"/>
    <s v="Горох овощной свежий 10.01"/>
    <n v="27190"/>
    <n v="13940"/>
    <n v="9.5"/>
    <n v="13250"/>
    <n v="11991.2"/>
    <x v="0"/>
    <x v="5"/>
    <n v="1258.7999999999993"/>
    <n v="9.500377358490561E-2"/>
    <n v="6"/>
    <n v="2"/>
    <x v="5"/>
    <x v="0"/>
  </r>
  <r>
    <s v="Акт входного контроля 000000046 от 02.06.2023 19:33:48"/>
    <s v="высший"/>
    <n v="133"/>
    <n v="2"/>
    <s v="Грин Рэй Кубань ООО (Овощеводство)"/>
    <s v="Гуйда Николай Николаевич"/>
    <s v="А816ЕВ"/>
    <s v="А-99"/>
    <s v="А-99"/>
    <s v="Преладо"/>
    <s v="Горох овощной свежий 10.01"/>
    <n v="16430"/>
    <n v="9640"/>
    <n v="9"/>
    <n v="6790"/>
    <n v="6178.9"/>
    <x v="0"/>
    <x v="5"/>
    <n v="611.10000000000036"/>
    <n v="9.0000000000000052E-2"/>
    <n v="6"/>
    <n v="2"/>
    <x v="5"/>
    <x v="0"/>
  </r>
  <r>
    <s v="Акт входного контроля 000000044 от 02.06.2023 19:52:05"/>
    <s v="высший"/>
    <n v="134"/>
    <n v="63351"/>
    <s v="УОХ Кубань"/>
    <s v="Мосинцев Александр Егорович"/>
    <s v="Т680ОУ"/>
    <s v="1/4"/>
    <s v="1/4"/>
    <s v="Преладо"/>
    <s v="Горох овощной свежий 10.01"/>
    <n v="27950"/>
    <n v="14490"/>
    <n v="8.5"/>
    <n v="13460"/>
    <n v="12315.9"/>
    <x v="0"/>
    <x v="5"/>
    <n v="1144.1000000000004"/>
    <n v="8.5000000000000034E-2"/>
    <n v="6"/>
    <n v="2"/>
    <x v="5"/>
    <x v="0"/>
  </r>
  <r>
    <s v="Акт входного контроля 000000047 от 02.06.2023 22:11:52"/>
    <s v="высший"/>
    <n v="135"/>
    <n v="63352"/>
    <s v="УОХ Кубань"/>
    <s v="Кулик О В"/>
    <s v="К403ЕМ"/>
    <s v="1/4"/>
    <s v="1/4"/>
    <s v="Преладо"/>
    <s v="Горох овощной свежий 10.01"/>
    <n v="33310"/>
    <n v="17310"/>
    <n v="10.5"/>
    <n v="16000"/>
    <n v="14320"/>
    <x v="0"/>
    <x v="5"/>
    <n v="1680"/>
    <n v="0.105"/>
    <n v="6"/>
    <n v="2"/>
    <x v="5"/>
    <x v="0"/>
  </r>
  <r>
    <s v="Акт входного контроля 000000048 от 02.06.2023 22:17:26"/>
    <s v="высший"/>
    <n v="136"/>
    <n v="63354"/>
    <s v="УОХ Кубань"/>
    <s v="Чигрин Николай Александрович"/>
    <s v="А819ЕВ"/>
    <s v="1/4"/>
    <s v="1/4"/>
    <s v="Преладо"/>
    <s v="Горох овощной свежий 10.01"/>
    <n v="27730"/>
    <n v="14420"/>
    <n v="10.5"/>
    <n v="13310"/>
    <n v="11912.4"/>
    <x v="0"/>
    <x v="5"/>
    <n v="1397.6000000000004"/>
    <n v="0.10500375657400454"/>
    <n v="6"/>
    <n v="2"/>
    <x v="5"/>
    <x v="0"/>
  </r>
  <r>
    <s v="Акт входного контроля 000000050 от 02.06.2023 0:10:26"/>
    <s v="высший"/>
    <n v="137"/>
    <n v="63353"/>
    <s v="УОХ Кубань"/>
    <s v="Мудрак В В."/>
    <s v="Х514ОК"/>
    <s v="1/4"/>
    <s v="1/4"/>
    <s v="Преладо"/>
    <s v="Горох овощной свежий 10.01"/>
    <n v="38600"/>
    <n v="20770"/>
    <n v="7.5"/>
    <n v="17830"/>
    <n v="16492.7"/>
    <x v="0"/>
    <x v="5"/>
    <n v="1337.2999999999993"/>
    <n v="7.5002804262478934E-2"/>
    <n v="6"/>
    <n v="2"/>
    <x v="5"/>
    <x v="0"/>
  </r>
  <r>
    <s v="Акт входного контроля 000000049 от 03.06.2023 12:56:16"/>
    <s v="высший"/>
    <n v="138"/>
    <n v="3"/>
    <s v="Грин Рэй Кубань ООО (Овощеводство)"/>
    <s v="Гуйда Николай Николаевич"/>
    <s v="А816ЕВ"/>
    <s v="А-99"/>
    <s v="А-99"/>
    <s v="Преладо"/>
    <s v="Горох овощной свежий 10.01"/>
    <n v="16430"/>
    <n v="9630"/>
    <n v="12"/>
    <n v="6800"/>
    <n v="5984"/>
    <x v="0"/>
    <x v="6"/>
    <n v="816"/>
    <n v="0.12"/>
    <n v="6"/>
    <n v="3"/>
    <x v="6"/>
    <x v="0"/>
  </r>
  <r>
    <s v="Акт входного контроля 000000051 от 03.06.2023 8:49:55"/>
    <s v="высший"/>
    <n v="139"/>
    <n v="63357"/>
    <s v="УОХ Кубань"/>
    <s v="Дзюба Николай Сергеевич"/>
    <s v="Р383РЕ"/>
    <s v="1/4"/>
    <s v="1/4"/>
    <s v="Преладо"/>
    <s v="Горох овощной свежий 10.01"/>
    <n v="27700"/>
    <n v="14500"/>
    <n v="8.5"/>
    <n v="13200"/>
    <n v="12078"/>
    <x v="0"/>
    <x v="6"/>
    <n v="1122"/>
    <n v="8.5000000000000006E-2"/>
    <n v="6"/>
    <n v="3"/>
    <x v="6"/>
    <x v="0"/>
  </r>
  <r>
    <s v="Акт входного контроля 000000052 от 03.06.2023 9:26:33"/>
    <s v="высший"/>
    <n v="140"/>
    <n v="63358"/>
    <s v="УОХ Кубань"/>
    <s v="Богучарский А.И."/>
    <s v="Е404УС"/>
    <s v="1/4"/>
    <s v="1/4"/>
    <s v="Преладо"/>
    <s v="Горох овощной свежий 10.01"/>
    <n v="27170"/>
    <n v="13890"/>
    <n v="10.5"/>
    <n v="13280"/>
    <n v="11885.6"/>
    <x v="0"/>
    <x v="6"/>
    <n v="1394.3999999999996"/>
    <n v="0.10499999999999997"/>
    <n v="6"/>
    <n v="3"/>
    <x v="6"/>
    <x v="0"/>
  </r>
  <r>
    <s v="Акт входного контроля 000000053 от 03.06.2023 10:40:14"/>
    <s v="высший"/>
    <n v="141"/>
    <n v="4"/>
    <s v="Грин Рэй Кубань ООО (Овощеводство)"/>
    <s v="Гуйда Николай Николаевич"/>
    <s v="А816ЕВ"/>
    <s v="А-99"/>
    <s v="А-99"/>
    <s v="Преладо"/>
    <s v="Горох овощной свежий 10.01"/>
    <n v="14120"/>
    <n v="9630"/>
    <n v="13"/>
    <n v="4490"/>
    <n v="3906.3"/>
    <x v="0"/>
    <x v="6"/>
    <n v="583.69999999999982"/>
    <n v="0.12999999999999995"/>
    <n v="6"/>
    <n v="3"/>
    <x v="6"/>
    <x v="0"/>
  </r>
  <r>
    <s v="Акт входного контроля 000000054 от 03.06.2023 12:40:28"/>
    <s v="высший"/>
    <n v="142"/>
    <n v="63359"/>
    <s v="УОХ Кубань"/>
    <s v="Гребенников Е.Н."/>
    <s v="В465ММ"/>
    <s v="1/4"/>
    <s v="1/4"/>
    <s v="Преладо"/>
    <s v="Горох овощной свежий 10.01"/>
    <n v="26280"/>
    <n v="13190"/>
    <n v="12.5"/>
    <n v="13090"/>
    <n v="11453.7"/>
    <x v="0"/>
    <x v="6"/>
    <n v="1636.2999999999993"/>
    <n v="0.12500381970970201"/>
    <n v="6"/>
    <n v="3"/>
    <x v="6"/>
    <x v="0"/>
  </r>
  <r>
    <s v="Акт входного контроля 000000055 от 03.06.2023 13:14:55"/>
    <s v="высший"/>
    <n v="143"/>
    <n v="63360"/>
    <s v="УОХ Кубань"/>
    <s v="Кодола В Л."/>
    <s v="В639КО"/>
    <s v="1/4"/>
    <s v="1/4"/>
    <s v="Преладо"/>
    <s v="Горох овощной свежий 10.01"/>
    <n v="28590"/>
    <n v="15460"/>
    <n v="13.5"/>
    <n v="13130"/>
    <n v="11357.4"/>
    <x v="0"/>
    <x v="6"/>
    <n v="1772.6000000000004"/>
    <n v="0.13500380807311504"/>
    <n v="6"/>
    <n v="3"/>
    <x v="6"/>
    <x v="0"/>
  </r>
  <r>
    <s v="Акт входного контроля 000000056 от 03.06.2023 13:22:55"/>
    <s v="высший"/>
    <n v="144"/>
    <n v="5"/>
    <s v="Грин Рэй Кубань ООО (Овощеводство)"/>
    <s v="Чигрин Н.А."/>
    <s v="А819ЕВ"/>
    <s v="А-100"/>
    <s v="А-100"/>
    <s v="Преладо"/>
    <s v="Горох овощной свежий 10.01"/>
    <n v="16630"/>
    <n v="9740"/>
    <n v="14"/>
    <n v="6890"/>
    <n v="5925.4"/>
    <x v="0"/>
    <x v="6"/>
    <n v="964.60000000000036"/>
    <n v="0.14000000000000004"/>
    <n v="6"/>
    <n v="3"/>
    <x v="6"/>
    <x v="0"/>
  </r>
  <r>
    <s v="Акт входного контроля 000000057 от 03.06.2023 15:11:25"/>
    <s v="высший"/>
    <n v="145"/>
    <n v="63363"/>
    <s v="УОХ Кубань"/>
    <s v="Сероштан Станислав Викторович"/>
    <s v="Е758РЕ"/>
    <s v="1/4"/>
    <s v="1/4"/>
    <s v="Преладо"/>
    <s v="Горох овощной свежий 10.01"/>
    <n v="27700"/>
    <n v="14450"/>
    <n v="14.5"/>
    <n v="13250"/>
    <n v="11328.7"/>
    <x v="0"/>
    <x v="6"/>
    <n v="1921.2999999999993"/>
    <n v="0.1450037735849056"/>
    <n v="6"/>
    <n v="3"/>
    <x v="6"/>
    <x v="0"/>
  </r>
  <r>
    <s v="Акт входного контроля 000000059 от 03.06.2023 16:57:18"/>
    <s v="высший"/>
    <n v="146"/>
    <n v="63361"/>
    <s v="УОХ Кубань"/>
    <s v="Магадиев Александр Сайлаувич"/>
    <s v="У184НО"/>
    <s v="1/4"/>
    <s v="1/4"/>
    <s v="Асана"/>
    <s v="Горох овощной свежий 10.01"/>
    <n v="27640"/>
    <n v="14370"/>
    <n v="14.5"/>
    <n v="13270"/>
    <n v="11345.8"/>
    <x v="0"/>
    <x v="6"/>
    <n v="1924.2000000000007"/>
    <n v="0.14500376789751324"/>
    <n v="6"/>
    <n v="3"/>
    <x v="6"/>
    <x v="0"/>
  </r>
  <r>
    <s v="Акт входного контроля 000000058 от 03.06.2023 16:25:37"/>
    <s v="высший"/>
    <n v="147"/>
    <n v="6"/>
    <s v="Грин Рэй Кубань ООО (Овощеводство)"/>
    <s v="Чигрин Н.А."/>
    <s v="А819ЕВ"/>
    <s v="А-100"/>
    <s v="А-100"/>
    <s v="Преладо"/>
    <s v="Горох овощной свежий 10.01"/>
    <n v="14370"/>
    <n v="9730"/>
    <n v="15"/>
    <n v="4640"/>
    <n v="3944"/>
    <x v="0"/>
    <x v="6"/>
    <n v="696"/>
    <n v="0.15"/>
    <n v="6"/>
    <n v="3"/>
    <x v="6"/>
    <x v="0"/>
  </r>
  <r>
    <s v="Акт входного контроля 000000060 от 03.06.2023 18:34:46"/>
    <s v="высший"/>
    <n v="148"/>
    <n v="63362"/>
    <s v="УОХ Кубань"/>
    <s v="Башкатов И.И."/>
    <s v="А781РР"/>
    <s v="1/4"/>
    <s v="1/4"/>
    <s v="Асана"/>
    <s v="Горох овощной свежий 10.01"/>
    <n v="28040"/>
    <n v="14860"/>
    <n v="14.5"/>
    <n v="13180"/>
    <n v="11268.9"/>
    <x v="0"/>
    <x v="6"/>
    <n v="1911.1000000000004"/>
    <n v="0.14500000000000002"/>
    <n v="6"/>
    <n v="3"/>
    <x v="6"/>
    <x v="0"/>
  </r>
  <r>
    <s v="Акт входного контроля 000000061 от 03.06.2023 22:17:46"/>
    <s v="первый"/>
    <n v="149"/>
    <n v="63364"/>
    <s v="УОХ Кубань"/>
    <s v="Бербеницкий Сергей Николаевич"/>
    <s v="С400РР"/>
    <s v="1/4"/>
    <s v="1/4"/>
    <s v="Асана"/>
    <s v="Горох овощной свежий 10.01"/>
    <n v="28380"/>
    <n v="15020"/>
    <n v="12.5"/>
    <n v="13360"/>
    <n v="11690"/>
    <x v="0"/>
    <x v="6"/>
    <n v="1670"/>
    <n v="0.125"/>
    <n v="6"/>
    <n v="3"/>
    <x v="6"/>
    <x v="0"/>
  </r>
  <r>
    <s v="Акт входного контроля 000000062 от 03.06.2023 22:36:20"/>
    <s v="высший"/>
    <n v="150"/>
    <n v="7"/>
    <s v="Грин Рэй Кубань ООО (Овощеводство)"/>
    <s v="Чигрин Николай Александрович"/>
    <s v="А819ЕВ"/>
    <s v="А-100"/>
    <s v="А-100"/>
    <s v="Преладо"/>
    <s v="Горох овощной свежий 10.01"/>
    <n v="16720"/>
    <n v="9740"/>
    <n v="12"/>
    <n v="6980"/>
    <n v="6142.4"/>
    <x v="0"/>
    <x v="6"/>
    <n v="837.60000000000036"/>
    <n v="0.12000000000000005"/>
    <n v="6"/>
    <n v="3"/>
    <x v="6"/>
    <x v="0"/>
  </r>
  <r>
    <s v="Акт входного контроля 000000063 от 03.06.2023 18:35:59"/>
    <s v="первый"/>
    <n v="151"/>
    <n v="63365"/>
    <s v="УОХ Кубань"/>
    <s v="Звада Евгений Евгеньевич"/>
    <s v="А688АМ"/>
    <s v="1/4"/>
    <s v="1/4"/>
    <s v="Асана"/>
    <s v="Горох овощной свежий 10.01"/>
    <n v="28100"/>
    <n v="14670"/>
    <n v="11.5"/>
    <n v="13430"/>
    <n v="11885.5"/>
    <x v="0"/>
    <x v="6"/>
    <n v="1544.5"/>
    <n v="0.11500372300819062"/>
    <n v="6"/>
    <n v="3"/>
    <x v="6"/>
    <x v="0"/>
  </r>
  <r>
    <s v="Акт входного контроля 000000064 от 03.06.2023 19:18:37"/>
    <s v="первый"/>
    <n v="152"/>
    <n v="63366"/>
    <s v="УОХ Кубань"/>
    <s v="Богучарский А. И."/>
    <s v="Е404УС"/>
    <s v="1/4"/>
    <s v="1/4"/>
    <s v="Асана"/>
    <s v="Горох овощной свежий 10.01"/>
    <n v="27270"/>
    <n v="13890"/>
    <n v="11.5"/>
    <n v="13380"/>
    <n v="11841.3"/>
    <x v="0"/>
    <x v="6"/>
    <n v="1538.7000000000007"/>
    <n v="0.11500000000000006"/>
    <n v="6"/>
    <n v="3"/>
    <x v="6"/>
    <x v="0"/>
  </r>
  <r>
    <s v="Акт входного контроля 000000065 от 03.06.2023 20:01:54"/>
    <s v="первый"/>
    <n v="153"/>
    <n v="63367"/>
    <s v="УОХ Кубань"/>
    <s v="Деревянко  А. Н."/>
    <s v="О793КА"/>
    <s v="1/4"/>
    <s v="1/4"/>
    <s v="Асана"/>
    <s v="Горох овощной свежий 10.01"/>
    <n v="27530"/>
    <n v="14230"/>
    <n v="9.5"/>
    <n v="13300"/>
    <n v="12036.5"/>
    <x v="0"/>
    <x v="6"/>
    <n v="1263.5"/>
    <n v="9.5000000000000001E-2"/>
    <n v="6"/>
    <n v="3"/>
    <x v="6"/>
    <x v="0"/>
  </r>
  <r>
    <s v="Акт входного контроля 000000066 от 03.06.2023 21:34:30"/>
    <s v="первый"/>
    <n v="154"/>
    <n v="63368"/>
    <s v="УОХ Кубань"/>
    <s v="Кулик О В"/>
    <s v="К403ЕМ"/>
    <s v="1/4"/>
    <s v="1/4"/>
    <s v="Преладо"/>
    <s v="Горох овощной свежий 10.01"/>
    <n v="33160"/>
    <n v="17310"/>
    <n v="10.5"/>
    <n v="15850"/>
    <n v="14185.7"/>
    <x v="0"/>
    <x v="6"/>
    <n v="1664.2999999999993"/>
    <n v="0.10500315457413245"/>
    <n v="6"/>
    <n v="3"/>
    <x v="6"/>
    <x v="0"/>
  </r>
  <r>
    <s v="Акт входного контроля 000000068 от 03.06.2023 22:52:27"/>
    <s v="первый"/>
    <n v="155"/>
    <n v="63369"/>
    <s v="УОХ Кубань"/>
    <s v="Гребенников Е.Н."/>
    <s v="В465ММ"/>
    <s v="1/4"/>
    <s v="1/4"/>
    <s v="Асана"/>
    <s v="Горох овощной свежий 10.01"/>
    <n v="26490"/>
    <n v="13180"/>
    <n v="11.5"/>
    <n v="13310"/>
    <n v="11779.3"/>
    <x v="0"/>
    <x v="6"/>
    <n v="1530.7000000000007"/>
    <n v="0.11500375657400456"/>
    <n v="6"/>
    <n v="3"/>
    <x v="6"/>
    <x v="0"/>
  </r>
  <r>
    <s v="Акт входного контроля 000000067 от 04.06.2023 0:08:45"/>
    <s v="первый"/>
    <n v="156"/>
    <n v="63370"/>
    <s v="УОХ Кубань"/>
    <s v="Мудрак В В."/>
    <s v="Х514ОК"/>
    <s v="1/4"/>
    <s v="1/4"/>
    <s v="Асана"/>
    <s v="Горох овощной свежий 10.01"/>
    <n v="38650"/>
    <n v="21010"/>
    <n v="8.5"/>
    <n v="17640"/>
    <n v="16140.6"/>
    <x v="0"/>
    <x v="7"/>
    <n v="1499.3999999999996"/>
    <n v="8.4999999999999978E-2"/>
    <n v="6"/>
    <n v="4"/>
    <x v="7"/>
    <x v="0"/>
  </r>
  <r>
    <s v="Акт входного контроля 000000069 от 04.06.2023 6:32:11"/>
    <s v="первый"/>
    <n v="157"/>
    <n v="63372"/>
    <s v="УОХ Кубань"/>
    <s v="Мосинцев Александр Егорович"/>
    <s v="Т680ОУ"/>
    <s v="1/4"/>
    <s v="1/4"/>
    <s v="Преладо"/>
    <s v="Горох овощной свежий 10.01"/>
    <n v="27740"/>
    <n v="14400"/>
    <n v="13.5"/>
    <n v="13340"/>
    <n v="11539.1"/>
    <x v="0"/>
    <x v="7"/>
    <n v="1800.8999999999996"/>
    <n v="0.13499999999999998"/>
    <n v="6"/>
    <n v="4"/>
    <x v="7"/>
    <x v="0"/>
  </r>
  <r>
    <s v="Акт входного контроля 000000070 от 04.06.2023 7:43:26"/>
    <s v="первый"/>
    <n v="158"/>
    <n v="63373"/>
    <s v="УОХ Кубань"/>
    <s v="Магадиев Александр Сайлаувич"/>
    <s v="У184НО"/>
    <s v="1/4"/>
    <s v="1/4"/>
    <s v="Асана"/>
    <s v="Горох овощной свежий 10.01"/>
    <n v="27840"/>
    <n v="14390"/>
    <n v="14.5"/>
    <n v="13450"/>
    <n v="11499.7"/>
    <x v="0"/>
    <x v="7"/>
    <n v="1950.2999999999993"/>
    <n v="0.1450037174721189"/>
    <n v="6"/>
    <n v="4"/>
    <x v="7"/>
    <x v="0"/>
  </r>
  <r>
    <s v="Акт входного контроля 000000071 от 04.06.2023 9:56:34"/>
    <s v="первый"/>
    <n v="159"/>
    <n v="63374"/>
    <s v="УОХ Кубань"/>
    <s v="Башкатов И,И."/>
    <s v="А781РР"/>
    <s v="1/4"/>
    <s v="1/4"/>
    <s v="Асана"/>
    <s v="Горох овощной свежий 10.01"/>
    <n v="28690"/>
    <n v="14880"/>
    <n v="12.5"/>
    <n v="13810"/>
    <n v="12083.7"/>
    <x v="0"/>
    <x v="7"/>
    <n v="1726.2999999999993"/>
    <n v="0.12500362056480807"/>
    <n v="6"/>
    <n v="4"/>
    <x v="7"/>
    <x v="0"/>
  </r>
  <r>
    <s v="Акт входного контроля 000000072 от 04.06.2023 11:13:15"/>
    <s v="высший"/>
    <n v="160"/>
    <n v="4"/>
    <s v="Грин Рэй Кубань ООО (Овощеводство)"/>
    <s v="Гуйда Николай Николаевич"/>
    <s v="А816ЕВ"/>
    <s v="А-99"/>
    <s v="А-99"/>
    <s v="Преладо"/>
    <s v="Горох овощной свежий 10.01"/>
    <n v="16590"/>
    <n v="9580"/>
    <n v="14"/>
    <n v="7010"/>
    <n v="6028.6"/>
    <x v="0"/>
    <x v="7"/>
    <n v="981.39999999999964"/>
    <n v="0.13999999999999996"/>
    <n v="6"/>
    <n v="4"/>
    <x v="7"/>
    <x v="0"/>
  </r>
  <r>
    <s v="Акт входного контроля 000000073 от 04.06.2023 16:14:50"/>
    <s v="высший"/>
    <n v="161"/>
    <n v="9"/>
    <s v="Грин Рэй Кубань ООО (Овощеводство)"/>
    <s v="Звада Евгений Егеньевич"/>
    <s v="А688АМ"/>
    <s v="А-100"/>
    <s v="А-100"/>
    <s v="Преладо"/>
    <s v="Горох овощной свежий 10.01"/>
    <n v="23990"/>
    <n v="14680"/>
    <n v="14"/>
    <n v="9310"/>
    <n v="8006.6"/>
    <x v="0"/>
    <x v="7"/>
    <n v="1303.3999999999996"/>
    <n v="0.13999999999999996"/>
    <n v="6"/>
    <n v="4"/>
    <x v="7"/>
    <x v="0"/>
  </r>
  <r>
    <s v="Акт входного контроля 000000074 от 04.06.2023 18:22:02"/>
    <s v="высший"/>
    <n v="162"/>
    <n v="10"/>
    <s v="Грин Рэй Кубань ООО (Овощеводство)"/>
    <s v="Гуйда Николай Николаевич"/>
    <s v="А816ЕВ"/>
    <s v="А-100"/>
    <s v="А-100"/>
    <s v="Преладо"/>
    <s v="Горох овощной свежий 10.01"/>
    <n v="17180"/>
    <n v="9580"/>
    <n v="14.5"/>
    <n v="7600"/>
    <n v="6498"/>
    <x v="0"/>
    <x v="7"/>
    <n v="1102"/>
    <n v="0.14499999999999999"/>
    <n v="6"/>
    <n v="4"/>
    <x v="7"/>
    <x v="0"/>
  </r>
  <r>
    <s v="Акт входного контроля 000000075 от 04.06.2023 22:39:51"/>
    <s v="высший"/>
    <n v="163"/>
    <n v="11"/>
    <s v="Грин Рэй Кубань ООО (Овощеводство)"/>
    <s v="Звада Е.Е."/>
    <s v="А688АМ"/>
    <s v="А-25"/>
    <s v="А-25"/>
    <s v="Преладо"/>
    <s v="Горох овощной свежий 10.01"/>
    <n v="16630"/>
    <n v="9750"/>
    <n v="14.5"/>
    <n v="6880"/>
    <n v="5882.4"/>
    <x v="0"/>
    <x v="7"/>
    <n v="997.60000000000036"/>
    <n v="0.14500000000000005"/>
    <n v="6"/>
    <n v="4"/>
    <x v="7"/>
    <x v="0"/>
  </r>
  <r>
    <s v="Акт входного контроля 000000076 от 04.06.2023 23:43:24"/>
    <s v="высший"/>
    <n v="164"/>
    <n v="12"/>
    <s v="Грин Рэй Кубань ООО (Овощеводство)"/>
    <s v="Гуйда Николай Николаевич"/>
    <s v="А816ЕВ"/>
    <s v="А-25"/>
    <s v="А-25"/>
    <s v="Преладо"/>
    <s v="Горох овощной свежий 10.01"/>
    <n v="16260"/>
    <n v="9570"/>
    <n v="13"/>
    <n v="6690"/>
    <n v="5820.3"/>
    <x v="0"/>
    <x v="7"/>
    <n v="869.69999999999982"/>
    <n v="0.12999999999999998"/>
    <n v="6"/>
    <n v="4"/>
    <x v="7"/>
    <x v="0"/>
  </r>
  <r>
    <s v="Акт входного контроля 000000077 от 05.06.2023 8:54:10"/>
    <s v="высший"/>
    <n v="165"/>
    <n v="13"/>
    <s v="Грин Рэй Кубань ООО (Овощеводство)"/>
    <s v="Звада Е.Е."/>
    <s v="А688АМ"/>
    <s v="А-25"/>
    <s v="А-25"/>
    <s v="Преладо"/>
    <s v="Горох овощной свежий 10.01"/>
    <n v="16430"/>
    <n v="9730"/>
    <n v="13"/>
    <n v="6700"/>
    <n v="5829"/>
    <x v="0"/>
    <x v="8"/>
    <n v="871"/>
    <n v="0.13"/>
    <n v="6"/>
    <n v="5"/>
    <x v="8"/>
    <x v="0"/>
  </r>
  <r>
    <s v="Акт входного контроля 000000078 от 05.06.2023 8:49:46"/>
    <s v="высший"/>
    <n v="166"/>
    <n v="14"/>
    <s v="Грин Рэй Кубань ООО (Овощеводство)"/>
    <s v="Гуйда Николай Николаевич"/>
    <s v="А816ЕВ"/>
    <s v="А-25"/>
    <s v="А-25"/>
    <s v="Преладо"/>
    <s v="Горох овощной свежий 10.01"/>
    <n v="16300"/>
    <n v="9550"/>
    <n v="12.5"/>
    <n v="6750"/>
    <n v="5906.2"/>
    <x v="0"/>
    <x v="8"/>
    <n v="843.80000000000018"/>
    <n v="0.12500740740740743"/>
    <n v="6"/>
    <n v="5"/>
    <x v="8"/>
    <x v="0"/>
  </r>
  <r>
    <s v="Акт входного контроля 000000079 от 05.06.2023 6:57:24"/>
    <s v="высший"/>
    <n v="167"/>
    <n v="15"/>
    <s v="Грин Рэй Кубань ООО (Овощеводство)"/>
    <s v="Звага Е.Е."/>
    <s v="А688АМ"/>
    <s v="А-25"/>
    <s v="А-25"/>
    <s v="Преладо"/>
    <s v="Горох овощной свежий 10.01"/>
    <n v="16660"/>
    <n v="9740"/>
    <n v="13.5"/>
    <n v="6920"/>
    <n v="5985.8"/>
    <x v="0"/>
    <x v="8"/>
    <n v="934.19999999999982"/>
    <n v="0.13499999999999998"/>
    <n v="6"/>
    <n v="5"/>
    <x v="8"/>
    <x v="0"/>
  </r>
  <r>
    <s v="Акт входного контроля 000000080 от 05.06.2023 7:09:59"/>
    <s v="высший"/>
    <n v="168"/>
    <n v="16"/>
    <s v="Грин Рэй Кубань ООО (Овощеводство)"/>
    <s v="Гуйда Николай Николаевич"/>
    <s v="А816ЕВ"/>
    <s v="А-25"/>
    <s v="А-25"/>
    <s v="Преладо"/>
    <s v="Горох овощной свежий 10.01"/>
    <n v="16050"/>
    <n v="9540"/>
    <n v="14"/>
    <n v="6510"/>
    <n v="5598.6"/>
    <x v="0"/>
    <x v="8"/>
    <n v="911.39999999999964"/>
    <n v="0.13999999999999996"/>
    <n v="6"/>
    <n v="5"/>
    <x v="8"/>
    <x v="0"/>
  </r>
  <r>
    <s v="Акт входного контроля 000000081 от 05.06.2023 11:59:44"/>
    <s v="высший"/>
    <n v="169"/>
    <n v="17"/>
    <s v="Грин Рэй Кубань ООО (Овощеводство)"/>
    <s v="Чигрин Николай Александрович"/>
    <s v="А819ЕВ"/>
    <s v="А-25"/>
    <s v="А-25"/>
    <s v="Преладо"/>
    <s v="Горох овощной свежий 10.01"/>
    <n v="16490"/>
    <n v="9730"/>
    <n v="14"/>
    <n v="6760"/>
    <n v="5813.6"/>
    <x v="0"/>
    <x v="8"/>
    <n v="946.39999999999964"/>
    <n v="0.13999999999999996"/>
    <n v="6"/>
    <n v="5"/>
    <x v="8"/>
    <x v="0"/>
  </r>
  <r>
    <s v="Акт входного контроля 000000082 от 05.06.2023 12:59:20"/>
    <s v="высший"/>
    <n v="170"/>
    <n v="18"/>
    <s v="Грин Рэй Кубань ООО (Овощеводство)"/>
    <s v="Богучарский А. И."/>
    <s v="Е404УС"/>
    <s v="А-25"/>
    <s v="А-25"/>
    <s v="Преладо"/>
    <s v="Горох овощной свежий 10.01"/>
    <n v="13940"/>
    <n v="9420"/>
    <n v="14"/>
    <n v="4520"/>
    <n v="3887.2"/>
    <x v="0"/>
    <x v="8"/>
    <n v="632.80000000000018"/>
    <n v="0.14000000000000004"/>
    <n v="6"/>
    <n v="5"/>
    <x v="8"/>
    <x v="0"/>
  </r>
  <r>
    <s v="Акт входного контроля 000000083 от 05.06.2023 19:05:04"/>
    <s v="первый"/>
    <n v="172"/>
    <n v="63376"/>
    <s v="УОХ Кубань"/>
    <s v="Дзюба Николай Сергеевич"/>
    <s v="Р383РЕ"/>
    <s v="1/4"/>
    <s v="1/4"/>
    <s v="Асана"/>
    <s v="Горох овощной свежий 10.01"/>
    <n v="27670"/>
    <n v="14520"/>
    <n v="13.5"/>
    <n v="13150"/>
    <n v="11374.7"/>
    <x v="0"/>
    <x v="8"/>
    <n v="1775.2999999999993"/>
    <n v="0.13500380228136877"/>
    <n v="6"/>
    <n v="5"/>
    <x v="8"/>
    <x v="0"/>
  </r>
  <r>
    <s v="Акт входного контроля 000000084 от 05.06.2023 21:27:04"/>
    <s v="первый"/>
    <n v="173"/>
    <n v="63381"/>
    <s v="УОХ Кубань"/>
    <s v="Сероштан Станислав Викторович"/>
    <s v="Е758РЕ"/>
    <s v="1/4"/>
    <s v="1/4"/>
    <s v="Асана"/>
    <s v="Горох овощной свежий 10.01"/>
    <n v="27700"/>
    <n v="14500"/>
    <n v="8.5"/>
    <n v="13200"/>
    <n v="12078"/>
    <x v="0"/>
    <x v="8"/>
    <n v="1122"/>
    <n v="8.5000000000000006E-2"/>
    <n v="6"/>
    <n v="5"/>
    <x v="8"/>
    <x v="0"/>
  </r>
  <r>
    <s v="Акт входного контроля 000000085 от 05.06.2023 23:20:33"/>
    <s v="высший"/>
    <n v="174"/>
    <n v="19"/>
    <s v="Грин Рэй Кубань ООО (Овощеводство)"/>
    <s v="Чигрин Николай Александрович"/>
    <s v="А819ЕВ"/>
    <s v="А-25"/>
    <s v="А-25"/>
    <s v="Преладо"/>
    <s v="Горох овощной свежий 10.01"/>
    <n v="16460"/>
    <n v="9700"/>
    <n v="11.5"/>
    <n v="6760"/>
    <n v="5982.6"/>
    <x v="0"/>
    <x v="8"/>
    <n v="777.39999999999964"/>
    <n v="0.11499999999999995"/>
    <n v="6"/>
    <n v="5"/>
    <x v="8"/>
    <x v="0"/>
  </r>
  <r>
    <s v="Акт входного контроля 000000086 от 05.06.2023 23:24:12"/>
    <s v="первый"/>
    <n v="175"/>
    <n v="63382"/>
    <s v="УОХ Кубань"/>
    <s v="Демченко Сергей Владимирович"/>
    <s v="Н317РТ"/>
    <s v="1/4"/>
    <s v="1/4"/>
    <s v="Асана"/>
    <s v="Горох овощной свежий 10.01"/>
    <n v="28060"/>
    <n v="14960"/>
    <n v="8.5"/>
    <n v="13100"/>
    <n v="11986.5"/>
    <x v="0"/>
    <x v="8"/>
    <n v="1113.5"/>
    <n v="8.5000000000000006E-2"/>
    <n v="6"/>
    <n v="5"/>
    <x v="8"/>
    <x v="0"/>
  </r>
  <r>
    <s v="Акт входного контроля 000000087 от 05.06.2023 21:53:52"/>
    <s v="первый"/>
    <n v="176"/>
    <n v="63380"/>
    <s v="УОХ Кубань"/>
    <s v="Деревянко  А. Н."/>
    <s v="Р699ОН"/>
    <s v="1/4"/>
    <s v="1/4"/>
    <s v="Асана"/>
    <s v="Горох овощной свежий 10.01"/>
    <n v="27480"/>
    <n v="14250"/>
    <n v="7.5"/>
    <n v="13230"/>
    <n v="12237.7"/>
    <x v="0"/>
    <x v="8"/>
    <n v="992.29999999999927"/>
    <n v="7.5003779289493519E-2"/>
    <n v="6"/>
    <n v="5"/>
    <x v="8"/>
    <x v="0"/>
  </r>
  <r>
    <s v="Акт входного контроля 000000088 от 05.06.2023 22:43:31"/>
    <s v="первый"/>
    <n v="177"/>
    <n v="63384"/>
    <s v="УОХ Кубань"/>
    <s v="Бербеницкий Сергей Николаевич"/>
    <s v="С400РР"/>
    <s v="1/4"/>
    <s v="1/4"/>
    <s v="Асана"/>
    <s v="Горох овощной свежий 10.01"/>
    <n v="28330"/>
    <n v="15140"/>
    <n v="10.5"/>
    <n v="13190"/>
    <n v="11805"/>
    <x v="0"/>
    <x v="8"/>
    <n v="1385"/>
    <n v="0.10500379075056861"/>
    <n v="6"/>
    <n v="5"/>
    <x v="8"/>
    <x v="0"/>
  </r>
  <r>
    <s v="Акт входного контроля 000000089 от 05.06.2023 3:04:56"/>
    <s v="первый"/>
    <n v="179"/>
    <n v="63385"/>
    <s v="УОХ Кубань"/>
    <s v="Кодола В Л."/>
    <s v="В639КО"/>
    <s v="1/4"/>
    <s v="1/4"/>
    <s v="Асана"/>
    <s v="Горох овощной свежий 10.01"/>
    <n v="28950"/>
    <n v="15670"/>
    <n v="11.5"/>
    <n v="13280"/>
    <n v="11752.8"/>
    <x v="0"/>
    <x v="8"/>
    <n v="1527.2000000000007"/>
    <n v="0.11500000000000006"/>
    <n v="6"/>
    <n v="5"/>
    <x v="8"/>
    <x v="0"/>
  </r>
  <r>
    <s v="Акт входного контроля 000000090 от 05.06.2023 11:51:55"/>
    <s v="первый"/>
    <n v="180"/>
    <n v="63386"/>
    <s v="УОХ Кубань"/>
    <s v="Богучарский А. И."/>
    <s v="Е404УС"/>
    <s v="1/4"/>
    <s v="1/4"/>
    <s v="Асана"/>
    <s v="Горох овощной свежий 10.01"/>
    <n v="27170"/>
    <n v="13960"/>
    <n v="9.5"/>
    <n v="13210"/>
    <n v="11955"/>
    <x v="0"/>
    <x v="8"/>
    <n v="1255"/>
    <n v="9.5003785011355035E-2"/>
    <n v="6"/>
    <n v="5"/>
    <x v="8"/>
    <x v="0"/>
  </r>
  <r>
    <s v="Акт входного контроля 000000091 от 05.06.2023 9:00:38"/>
    <s v="первый"/>
    <n v="181"/>
    <n v="63387"/>
    <s v="УОХ Кубань"/>
    <s v="Мосинцев Александр Егорович"/>
    <s v="Т680ОУ"/>
    <s v="1/4"/>
    <s v="1/4"/>
    <s v="Асана"/>
    <s v="Горох овощной свежий 10.01"/>
    <n v="27510"/>
    <n v="14290"/>
    <n v="13.5"/>
    <n v="13220"/>
    <n v="11435.3"/>
    <x v="0"/>
    <x v="8"/>
    <n v="1784.7000000000007"/>
    <n v="0.13500000000000006"/>
    <n v="6"/>
    <n v="5"/>
    <x v="8"/>
    <x v="0"/>
  </r>
  <r>
    <s v="Акт входного контроля 000000093 от 05.06.2023 11:12:46"/>
    <s v="первый"/>
    <n v="182"/>
    <n v="63388"/>
    <s v="УОХ Кубань"/>
    <s v="Гребенников Е.Н."/>
    <s v="В465ММ"/>
    <s v="1/4"/>
    <s v="1/4"/>
    <s v="Асана"/>
    <s v="Горох овощной свежий 10.01"/>
    <n v="26830"/>
    <n v="13400"/>
    <n v="11.5"/>
    <n v="13430"/>
    <n v="11885.5"/>
    <x v="0"/>
    <x v="8"/>
    <n v="1544.5"/>
    <n v="0.11500372300819062"/>
    <n v="6"/>
    <n v="5"/>
    <x v="8"/>
    <x v="0"/>
  </r>
  <r>
    <s v="Акт входного контроля 000000094 от 06.06.2023 11:46:14"/>
    <s v="первый"/>
    <n v="183"/>
    <n v="63390"/>
    <s v="УОХ Кубань"/>
    <s v="Магадиев Александр Сайлаувич"/>
    <s v="У184НО"/>
    <s v="1/4"/>
    <s v="1/4"/>
    <s v="Асана"/>
    <s v="Горох овощной свежий 10.01"/>
    <n v="27670"/>
    <n v="14410"/>
    <n v="12.5"/>
    <n v="13260"/>
    <n v="11602.5"/>
    <x v="0"/>
    <x v="9"/>
    <n v="1657.5"/>
    <n v="0.125"/>
    <n v="6"/>
    <n v="6"/>
    <x v="9"/>
    <x v="0"/>
  </r>
  <r>
    <s v="Акт входного контроля 000000097 от 06.06.2023 14:32:30"/>
    <s v="первый"/>
    <n v="184"/>
    <n v="63391"/>
    <s v="УОХ Кубань"/>
    <s v="Башкатов И,И."/>
    <s v="А781РР"/>
    <s v="1/4"/>
    <s v="1/4"/>
    <s v="Асана"/>
    <s v="Горох овощной свежий 10.01"/>
    <n v="28080"/>
    <n v="14880"/>
    <n v="12.5"/>
    <n v="13200"/>
    <n v="11550"/>
    <x v="0"/>
    <x v="9"/>
    <n v="1650"/>
    <n v="0.125"/>
    <n v="6"/>
    <n v="6"/>
    <x v="9"/>
    <x v="0"/>
  </r>
  <r>
    <s v="Акт входного контроля 000000098 от 06.06.2023 15:00:28"/>
    <s v="высший"/>
    <n v="185"/>
    <n v="20"/>
    <s v="Грин Рэй Кубань ООО (Овощеводство)"/>
    <s v="Гуйда Николай Николаевич"/>
    <s v="А816ЕВ"/>
    <s v="А-25"/>
    <s v="А-25"/>
    <s v="Эльдорадо"/>
    <s v="Горох овощной свежий 10.01"/>
    <n v="16430"/>
    <n v="9610"/>
    <n v="12.5"/>
    <n v="6820"/>
    <n v="5967.5"/>
    <x v="0"/>
    <x v="9"/>
    <n v="852.5"/>
    <n v="0.125"/>
    <n v="6"/>
    <n v="6"/>
    <x v="9"/>
    <x v="0"/>
  </r>
  <r>
    <s v="Акт входного контроля 000000099 от 06.06.2023 15:32:06"/>
    <s v="первый"/>
    <n v="187"/>
    <n v="63392"/>
    <s v="УОХ Кубань"/>
    <s v="Демченко Сергей Владимирович"/>
    <s v="Н317РТ"/>
    <s v="1/4"/>
    <s v="1/4"/>
    <s v="Асана"/>
    <s v="Горох овощной свежий 10.01"/>
    <n v="28070"/>
    <n v="14850"/>
    <n v="12.5"/>
    <n v="13220"/>
    <n v="11567.5"/>
    <x v="0"/>
    <x v="9"/>
    <n v="1652.5"/>
    <n v="0.125"/>
    <n v="6"/>
    <n v="6"/>
    <x v="9"/>
    <x v="0"/>
  </r>
  <r>
    <s v="Акт входного контроля 000000100 от 06.06.2023 18:37:33"/>
    <s v="первый"/>
    <n v="188"/>
    <n v="63393"/>
    <s v="УОХ Кубань"/>
    <s v="Бербеницкий Сергей Николаевич"/>
    <s v="С400РР"/>
    <s v="1/4"/>
    <s v="1/4"/>
    <s v="Асана"/>
    <s v="Горох овощной свежий 10.01"/>
    <n v="28260"/>
    <n v="15010"/>
    <n v="11.5"/>
    <n v="13250"/>
    <n v="11726.2"/>
    <x v="0"/>
    <x v="9"/>
    <n v="1523.7999999999993"/>
    <n v="0.1150037735849056"/>
    <n v="6"/>
    <n v="6"/>
    <x v="9"/>
    <x v="0"/>
  </r>
  <r>
    <s v="Акт входного контроля 000000101 от 06.06.2023 18:52:07"/>
    <s v="высший"/>
    <n v="189"/>
    <n v="21"/>
    <s v="Грин Рэй Кубань ООО (Овощеводство)"/>
    <s v="Гуйда Николай Николаевич"/>
    <s v="А816ЕВ"/>
    <s v="А-25"/>
    <s v="А-25"/>
    <s v="Преладо"/>
    <s v="Горох овощной свежий 10.01"/>
    <n v="16280"/>
    <n v="9590"/>
    <n v="11.5"/>
    <n v="6690"/>
    <n v="5920.6"/>
    <x v="0"/>
    <x v="9"/>
    <n v="769.39999999999964"/>
    <n v="0.11500747384155451"/>
    <n v="6"/>
    <n v="6"/>
    <x v="9"/>
    <x v="0"/>
  </r>
  <r>
    <s v="Акт входного контроля 000000102 от 06.06.2023 20:44:35"/>
    <s v="высший"/>
    <n v="190"/>
    <n v="63394"/>
    <s v="УОХ Кубань"/>
    <s v="Кодола В Л."/>
    <s v="В639КО"/>
    <s v="1/4"/>
    <s v="1/4"/>
    <s v="Асана"/>
    <s v="Горох овощной свежий 10.01"/>
    <n v="28920"/>
    <n v="15530"/>
    <n v="11.5"/>
    <n v="13390"/>
    <n v="11850.1"/>
    <x v="0"/>
    <x v="9"/>
    <n v="1539.8999999999996"/>
    <n v="0.1150037341299477"/>
    <n v="6"/>
    <n v="6"/>
    <x v="9"/>
    <x v="0"/>
  </r>
  <r>
    <s v="Акт входного контроля 000000103 от 06.06.2023 21:00:34"/>
    <s v="высший"/>
    <n v="191"/>
    <n v="63395"/>
    <s v="УОХ Кубань"/>
    <s v="Кулик О В"/>
    <s v="К403ЕМ"/>
    <s v="1/4"/>
    <s v="1/4"/>
    <s v="Асана"/>
    <s v="Горох овощной свежий 10.01"/>
    <n v="32800"/>
    <n v="17360"/>
    <n v="12.5"/>
    <n v="15440"/>
    <n v="13510"/>
    <x v="0"/>
    <x v="9"/>
    <n v="1930"/>
    <n v="0.125"/>
    <n v="6"/>
    <n v="6"/>
    <x v="9"/>
    <x v="0"/>
  </r>
  <r>
    <s v="Акт входного контроля 000000104 от 06.06.2023 22:40:53"/>
    <s v="высший"/>
    <n v="192"/>
    <n v="22"/>
    <s v="Грин Рэй Кубань ООО (Овощеводство)"/>
    <s v="Гуйда Николай Николаевич"/>
    <s v="А816ЕВ"/>
    <s v="А-26"/>
    <s v="А-26"/>
    <s v="Преладо"/>
    <s v="Горох овощной свежий 10.01"/>
    <n v="16460"/>
    <n v="9580"/>
    <n v="11.5"/>
    <n v="6880"/>
    <n v="6088.8"/>
    <x v="0"/>
    <x v="9"/>
    <n v="791.19999999999982"/>
    <n v="0.11499999999999998"/>
    <n v="6"/>
    <n v="6"/>
    <x v="9"/>
    <x v="0"/>
  </r>
  <r>
    <s v="Акт входного контроля 000000105 от 06.06.2023 23:03:07"/>
    <s v="первый"/>
    <n v="193"/>
    <n v="63370"/>
    <s v="УОХ Кубань"/>
    <s v="Мудрак В В."/>
    <s v="Х514ОК"/>
    <s v="1/4"/>
    <s v="1/4"/>
    <s v="Асана"/>
    <s v="Горох овощной свежий 10.01"/>
    <n v="38700"/>
    <n v="20810"/>
    <n v="7.5"/>
    <n v="17890"/>
    <n v="16548.2"/>
    <x v="0"/>
    <x v="9"/>
    <n v="1341.7999999999993"/>
    <n v="7.5002794857462224E-2"/>
    <n v="6"/>
    <n v="6"/>
    <x v="9"/>
    <x v="0"/>
  </r>
  <r>
    <s v="Акт входного контроля 000000106 от 06.06.2023 22:11:23"/>
    <s v="первый"/>
    <n v="194"/>
    <n v="63397"/>
    <s v="УОХ Кубань"/>
    <s v="Звада Евгений Евгеньевич"/>
    <s v="А688АМ"/>
    <s v="1/4"/>
    <s v="1/4"/>
    <s v="Асана"/>
    <s v="Горох овощной свежий 10.01"/>
    <n v="30230"/>
    <n v="14630"/>
    <n v="8.5"/>
    <n v="15600"/>
    <n v="14274"/>
    <x v="0"/>
    <x v="9"/>
    <n v="1326"/>
    <n v="8.5000000000000006E-2"/>
    <n v="6"/>
    <n v="6"/>
    <x v="9"/>
    <x v="0"/>
  </r>
  <r>
    <s v="Акт входного контроля 000000107 от 06.06.2023 23:05:36"/>
    <s v="первый"/>
    <n v="195"/>
    <n v="63398"/>
    <s v="УОХ Кубань"/>
    <s v="Богучарский А. И."/>
    <s v="Е404УС"/>
    <s v="1/3"/>
    <s v="1/3"/>
    <s v="Асана"/>
    <s v="Горох овощной свежий 10.01"/>
    <n v="29420"/>
    <n v="13870"/>
    <n v="8.5"/>
    <n v="15550"/>
    <n v="14228.2"/>
    <x v="0"/>
    <x v="9"/>
    <n v="1321.7999999999993"/>
    <n v="8.5003215434083554E-2"/>
    <n v="6"/>
    <n v="6"/>
    <x v="9"/>
    <x v="0"/>
  </r>
  <r>
    <s v="Акт входного контроля 000000108 от 06.06.2023 3:27:56"/>
    <s v="высший"/>
    <n v="197"/>
    <n v="23"/>
    <s v="Грин Рэй Кубань ООО (Овощеводство)"/>
    <s v="Гуйда Николай Николаевич"/>
    <s v="А816ЕВ"/>
    <s v="А-26"/>
    <s v="А-26"/>
    <s v="Преладо"/>
    <s v="Горох овощной свежий 10.01"/>
    <n v="16220"/>
    <n v="9570"/>
    <n v="12.5"/>
    <n v="6650"/>
    <n v="5818.7"/>
    <x v="0"/>
    <x v="9"/>
    <n v="831.30000000000018"/>
    <n v="0.12500751879699251"/>
    <n v="6"/>
    <n v="6"/>
    <x v="9"/>
    <x v="0"/>
  </r>
  <r>
    <s v="Акт входного контроля 000000109 от 06.06.2023 4:42:36"/>
    <s v="первый"/>
    <n v="198"/>
    <n v="63399"/>
    <s v="УОХ Кубань"/>
    <s v="Деревянко  А. Н."/>
    <s v="О793КА"/>
    <s v="1/3"/>
    <s v="1/3"/>
    <s v="Асана"/>
    <s v="Горох овощной свежий 10.01"/>
    <n v="29860"/>
    <n v="14350"/>
    <n v="9.5"/>
    <n v="15510"/>
    <n v="14036.5"/>
    <x v="0"/>
    <x v="9"/>
    <n v="1473.5"/>
    <n v="9.5003223726627978E-2"/>
    <n v="6"/>
    <n v="6"/>
    <x v="9"/>
    <x v="0"/>
  </r>
  <r>
    <s v="Акт входного контроля 000000110 от 07.06.2023 11:08:53"/>
    <s v="первый"/>
    <n v="200"/>
    <n v="63400"/>
    <s v="УОХ Кубань"/>
    <s v="Гребенников Е.Н."/>
    <s v="В465ММ"/>
    <s v="1/3"/>
    <s v="1/3"/>
    <s v="Асана"/>
    <s v="Горох овощной свежий 10.01"/>
    <n v="28950"/>
    <n v="13270"/>
    <n v="12.5"/>
    <n v="15680"/>
    <n v="13720"/>
    <x v="0"/>
    <x v="10"/>
    <n v="1960"/>
    <n v="0.125"/>
    <n v="6"/>
    <n v="7"/>
    <x v="10"/>
    <x v="0"/>
  </r>
  <r>
    <s v="Акт входного контроля 000000111 от 07.06.2023 11:11:30"/>
    <s v="первый"/>
    <n v="201"/>
    <n v="63401"/>
    <s v="УОХ Кубань"/>
    <s v="Башкатов И,И."/>
    <s v="А781РР"/>
    <s v="1/3"/>
    <s v="1/3"/>
    <s v="Увертюра"/>
    <s v="Горох овощной свежий 10.01"/>
    <n v="30270"/>
    <n v="14920"/>
    <n v="7.5"/>
    <n v="15350"/>
    <n v="14198.7"/>
    <x v="0"/>
    <x v="10"/>
    <n v="1151.2999999999993"/>
    <n v="7.5003257328990186E-2"/>
    <n v="6"/>
    <n v="7"/>
    <x v="10"/>
    <x v="0"/>
  </r>
  <r>
    <s v="Акт входного контроля 000000112 от 07.06.2023 12:34:10"/>
    <s v="первый"/>
    <n v="202"/>
    <n v="3402"/>
    <s v="УОХ Кубань"/>
    <s v="Осипов А."/>
    <s v="Е732УС"/>
    <s v="1/3"/>
    <s v="1/3"/>
    <s v="Увертюра"/>
    <s v="Горох овощной свежий 10.01"/>
    <n v="29480"/>
    <n v="14000"/>
    <n v="7.5"/>
    <n v="15480"/>
    <n v="14319"/>
    <x v="0"/>
    <x v="10"/>
    <n v="1161"/>
    <n v="7.4999999999999997E-2"/>
    <n v="6"/>
    <n v="7"/>
    <x v="10"/>
    <x v="0"/>
  </r>
  <r>
    <s v="Акт входного контроля 000000113 от 07.06.2023 14:46:38"/>
    <s v="первый"/>
    <n v="203"/>
    <n v="63403"/>
    <s v="УОХ Кубань"/>
    <s v="Мосенцев Алексей Егорович"/>
    <s v="Т680ОУ"/>
    <s v="1/3"/>
    <s v="1/3"/>
    <s v="Увертюра"/>
    <s v="Горох овощной свежий 10.01"/>
    <n v="29960"/>
    <n v="14240"/>
    <n v="11.5"/>
    <n v="15720"/>
    <n v="13912.2"/>
    <x v="0"/>
    <x v="10"/>
    <n v="1807.7999999999993"/>
    <n v="0.11499999999999995"/>
    <n v="6"/>
    <n v="7"/>
    <x v="10"/>
    <x v="0"/>
  </r>
  <r>
    <s v="Акт входного контроля 000000114 от 07.06.2023 7:46:24"/>
    <s v="первый"/>
    <n v="204"/>
    <n v="63404"/>
    <s v="УОХ Кубань"/>
    <s v="Бербеницкий Сергей Николаевич"/>
    <s v="С400РР"/>
    <s v="1/3"/>
    <s v="1/3"/>
    <s v="Увертюра"/>
    <s v="Горох овощной свежий 10.01"/>
    <n v="30680"/>
    <n v="15010"/>
    <n v="9.5"/>
    <n v="15670"/>
    <n v="14181.3"/>
    <x v="0"/>
    <x v="10"/>
    <n v="1488.7000000000007"/>
    <n v="9.5003190810465904E-2"/>
    <n v="6"/>
    <n v="7"/>
    <x v="10"/>
    <x v="0"/>
  </r>
  <r>
    <s v="Акт входного контроля 000000117 от 07.06.2023 13:12:30"/>
    <s v="первый"/>
    <n v="205"/>
    <n v="63405"/>
    <s v="УОХ Кубань"/>
    <s v="Кодола В Л."/>
    <s v="В639КО"/>
    <s v="1/3"/>
    <s v="1/3"/>
    <s v="Увертюра"/>
    <s v="Горох овощной свежий 10.01"/>
    <n v="31600"/>
    <n v="21970"/>
    <n v="9.5"/>
    <n v="9630"/>
    <n v="8715.1"/>
    <x v="0"/>
    <x v="10"/>
    <n v="914.89999999999964"/>
    <n v="9.5005192107995809E-2"/>
    <n v="6"/>
    <n v="7"/>
    <x v="10"/>
    <x v="0"/>
  </r>
  <r>
    <s v="Акт входного контроля 000000118 от 07.06.2023 14:50:47"/>
    <s v="первый"/>
    <n v="207"/>
    <n v="63406"/>
    <s v="УОХ Кубань"/>
    <s v="Кулик О В"/>
    <s v="К403ЕМ"/>
    <s v="1/3"/>
    <s v="1/3"/>
    <s v="Увертюра"/>
    <s v="Горох овощной свежий 10.01"/>
    <n v="32750"/>
    <n v="23920"/>
    <n v="10.5"/>
    <n v="8830"/>
    <n v="7902.8"/>
    <x v="0"/>
    <x v="10"/>
    <n v="927.19999999999982"/>
    <n v="0.10500566251415626"/>
    <n v="6"/>
    <n v="7"/>
    <x v="10"/>
    <x v="0"/>
  </r>
  <r>
    <s v="Акт входного контроля 000000115 от 07.06.2023 21:37:49"/>
    <s v="второй"/>
    <n v="209"/>
    <n v="63408"/>
    <s v="УОХ Кубань"/>
    <s v="Деревянко  А. Н."/>
    <s v="Р699ОН"/>
    <s v="1/3"/>
    <s v="1/3"/>
    <s v="Увертюра"/>
    <s v="Горох овощной свежий 10.01"/>
    <n v="30000"/>
    <m/>
    <n v="10.5"/>
    <n v="15660"/>
    <n v="14015.7"/>
    <x v="0"/>
    <x v="10"/>
    <n v="1644.2999999999993"/>
    <n v="0.10499999999999995"/>
    <n v="6"/>
    <n v="7"/>
    <x v="10"/>
    <x v="0"/>
  </r>
  <r>
    <s v="Акт входного контроля 000000116 от 08.06.2023 8:27:37"/>
    <s v="первый"/>
    <n v="210"/>
    <n v="63409"/>
    <s v="УОХ Кубань"/>
    <s v="Звада Евгений Евгеньевич"/>
    <s v="А688АМ"/>
    <s v="1/3"/>
    <s v="1/3"/>
    <s v="Увертюра"/>
    <s v="Горох овощной свежий 10.01"/>
    <n v="29890"/>
    <n v="14620"/>
    <n v="9.5"/>
    <n v="15270"/>
    <n v="13819.3"/>
    <x v="0"/>
    <x v="11"/>
    <n v="1450.7000000000007"/>
    <n v="9.5003274394237114E-2"/>
    <n v="6"/>
    <n v="8"/>
    <x v="11"/>
    <x v="0"/>
  </r>
  <r>
    <s v="Акт входного контроля 000000119 от 08.06.2023 3:50:38"/>
    <s v="первый"/>
    <n v="211"/>
    <n v="63410"/>
    <s v="УОХ Кубань"/>
    <s v="Богучарский А. И."/>
    <s v="Е404УС"/>
    <s v="1/3"/>
    <s v="1/3"/>
    <s v="Увертюра"/>
    <s v="Горох овощной свежий 10.01"/>
    <n v="29360"/>
    <n v="13980"/>
    <n v="10.5"/>
    <n v="15380"/>
    <n v="13765.1"/>
    <x v="0"/>
    <x v="11"/>
    <n v="1614.8999999999996"/>
    <n v="0.10499999999999998"/>
    <n v="6"/>
    <n v="8"/>
    <x v="11"/>
    <x v="0"/>
  </r>
  <r>
    <s v="Акт входного контроля 000000122 от 08.06.2023 11:16:29"/>
    <s v="первый"/>
    <n v="212"/>
    <n v="63411"/>
    <s v="УОХ Кубань"/>
    <s v="Сероштан Станислав Викторович"/>
    <s v="Е758РЕ"/>
    <s v="1/3"/>
    <s v="1/3"/>
    <s v="Увертюра"/>
    <s v="Горох овощной свежий 10.01"/>
    <n v="29650"/>
    <n v="14360"/>
    <n v="11.5"/>
    <n v="15290"/>
    <n v="13531.6"/>
    <x v="0"/>
    <x v="11"/>
    <n v="1758.3999999999996"/>
    <n v="0.11500327011118376"/>
    <n v="6"/>
    <n v="8"/>
    <x v="11"/>
    <x v="0"/>
  </r>
  <r>
    <s v="Акт входного контроля 000000125 от 08.06.2023 14:11:05"/>
    <s v="первый"/>
    <n v="213"/>
    <n v="63412"/>
    <s v="УОХ Кубань"/>
    <s v="Гребенников Е.Н."/>
    <s v="В465ММ"/>
    <s v="1/3"/>
    <s v="1/3"/>
    <s v="Увертюра"/>
    <s v="Горох овощной свежий 10.01"/>
    <n v="28810"/>
    <n v="13370"/>
    <n v="6.5"/>
    <n v="15440"/>
    <n v="14436.4"/>
    <x v="0"/>
    <x v="11"/>
    <n v="1003.6000000000004"/>
    <n v="6.500000000000003E-2"/>
    <n v="6"/>
    <n v="8"/>
    <x v="11"/>
    <x v="0"/>
  </r>
  <r>
    <s v="Акт входного контроля 000000126 от 08.06.2023 16:18:24"/>
    <s v="первый"/>
    <n v="214"/>
    <n v="1"/>
    <s v="Грин Рэй Кубань ООО (Овощеводство)"/>
    <s v="Кадола В.Л."/>
    <s v="В639КО"/>
    <m/>
    <s v="нет"/>
    <m/>
    <s v="Горох овощной свежий 10.01"/>
    <n v="21620"/>
    <n v="15600"/>
    <n v="9.5"/>
    <n v="6020"/>
    <n v="5448.1"/>
    <x v="0"/>
    <x v="11"/>
    <n v="571.89999999999964"/>
    <n v="9.4999999999999946E-2"/>
    <n v="6"/>
    <n v="8"/>
    <x v="11"/>
    <x v="1"/>
  </r>
  <r>
    <s v="Акт входного контроля 000000127 от 08.06.2023 10:31:02"/>
    <s v="первый"/>
    <n v="215"/>
    <n v="1"/>
    <s v="Грин Рэй Кубань ООО (Овощеводство)"/>
    <s v="Кулик О В"/>
    <s v="К403ЕМ"/>
    <m/>
    <s v="нет"/>
    <m/>
    <s v="Горох овощной свежий 10.01"/>
    <n v="23610"/>
    <n v="17180"/>
    <n v="10.5"/>
    <n v="6430"/>
    <n v="5754.8"/>
    <x v="0"/>
    <x v="11"/>
    <n v="675.19999999999982"/>
    <n v="0.10500777604976669"/>
    <n v="6"/>
    <n v="8"/>
    <x v="11"/>
    <x v="1"/>
  </r>
  <r>
    <s v="Акт входного контроля 000000131 от 08.06.2023 17:48:12"/>
    <s v="высший"/>
    <n v="216"/>
    <n v="23"/>
    <s v="Грин Рэй Кубань ООО (Овощеводство)"/>
    <s v="Гуйда Николай Николаевич"/>
    <s v="А816ЕВ"/>
    <s v="А-26"/>
    <s v="А-26"/>
    <s v="Преладо"/>
    <s v="Горох овощной свежий 10.01"/>
    <n v="16290"/>
    <n v="9530"/>
    <n v="12.5"/>
    <n v="6760"/>
    <n v="5915"/>
    <x v="0"/>
    <x v="11"/>
    <n v="845"/>
    <n v="0.125"/>
    <n v="6"/>
    <n v="8"/>
    <x v="11"/>
    <x v="0"/>
  </r>
  <r>
    <s v="Акт входного контроля 000000128 от 07.06.2023 16:49:35"/>
    <s v="первый"/>
    <n v="217"/>
    <s v="063407Утилизация"/>
    <s v="УОХ Кубань"/>
    <s v="Мудрак В В."/>
    <s v="Х514ОК"/>
    <s v="1/3"/>
    <s v="1/3"/>
    <s v="Увертюра"/>
    <s v="Горох овощной свежий 10.01"/>
    <n v="37760"/>
    <n v="20900"/>
    <n v="100"/>
    <n v="16860"/>
    <m/>
    <x v="0"/>
    <x v="10"/>
    <n v="16860"/>
    <n v="1"/>
    <n v="6"/>
    <n v="7"/>
    <x v="10"/>
    <x v="0"/>
  </r>
  <r>
    <s v="Акт входного контроля 000000129 от 08.06.2023 17:28:57"/>
    <s v="первый"/>
    <n v="218"/>
    <n v="63414"/>
    <s v="УОХ Кубань"/>
    <s v="Деревянко  А. Н."/>
    <s v="О793КА"/>
    <s v="1/3"/>
    <s v="1/3"/>
    <s v="Увертюра"/>
    <s v="Горох овощной свежий 10.01"/>
    <n v="29640"/>
    <n v="14280"/>
    <n v="7.5"/>
    <n v="15360"/>
    <n v="14208"/>
    <x v="0"/>
    <x v="11"/>
    <n v="1152"/>
    <n v="7.4999999999999997E-2"/>
    <n v="6"/>
    <n v="8"/>
    <x v="11"/>
    <x v="0"/>
  </r>
  <r>
    <s v="Акт входного контроля 000000130 от 08.06.2023 17:39:27"/>
    <s v="первый"/>
    <n v="219"/>
    <n v="63415"/>
    <s v="УОХ Кубань"/>
    <s v="Мосенцев Алексей Егорович"/>
    <s v="Т680ОУ"/>
    <s v="1/3"/>
    <s v="1/3"/>
    <s v="Увертюра"/>
    <s v="Горох овощной свежий 10.01"/>
    <n v="29750"/>
    <n v="14220"/>
    <n v="8.5"/>
    <n v="15530"/>
    <n v="14209.9"/>
    <x v="0"/>
    <x v="11"/>
    <n v="1320.1000000000004"/>
    <n v="8.5003219575016123E-2"/>
    <n v="6"/>
    <n v="8"/>
    <x v="11"/>
    <x v="0"/>
  </r>
  <r>
    <s v="Акт входного контроля 000000133 от 08.06.2023 23:13:23"/>
    <s v="первый"/>
    <n v="220"/>
    <n v="36416"/>
    <s v="УОХ Кубань"/>
    <s v="Башкатов И,И."/>
    <s v="А781РР"/>
    <s v="1/3"/>
    <s v="1/3"/>
    <s v="Увертюра"/>
    <s v="Горох овощной свежий 10.01"/>
    <n v="30820"/>
    <n v="14860"/>
    <n v="7.5"/>
    <n v="15960"/>
    <n v="14763"/>
    <x v="0"/>
    <x v="11"/>
    <n v="1197"/>
    <n v="7.4999999999999997E-2"/>
    <n v="6"/>
    <n v="8"/>
    <x v="11"/>
    <x v="0"/>
  </r>
  <r>
    <s v="Акт входного контроля 000000132 от 08.06.2023 22:01:07"/>
    <s v="первый"/>
    <n v="222"/>
    <n v="27"/>
    <s v="Грин Рэй Кубань ООО (Овощеводство)"/>
    <s v="Гуйда Николай Николаевич"/>
    <s v="А816ЕВ"/>
    <s v="А-26"/>
    <s v="А-26"/>
    <s v="Преладо"/>
    <s v="Горох овощной свежий 10.01"/>
    <n v="16200"/>
    <n v="9510"/>
    <n v="10.5"/>
    <n v="6690"/>
    <n v="5987.5"/>
    <x v="0"/>
    <x v="11"/>
    <n v="702.5"/>
    <n v="0.10500747384155455"/>
    <n v="6"/>
    <n v="8"/>
    <x v="11"/>
    <x v="0"/>
  </r>
  <r>
    <s v="Акт входного контроля 000000134 от 08.06.2023 23:16:18"/>
    <s v="первый"/>
    <n v="223"/>
    <n v="63417"/>
    <s v="УОХ Кубань"/>
    <s v="Дзюба Николай Сергеевич"/>
    <s v="Р383РЕ"/>
    <s v="1/3"/>
    <s v="1/3"/>
    <s v="Увертюра"/>
    <s v="Горох овощной свежий 10.01"/>
    <n v="30460"/>
    <n v="14500"/>
    <n v="6.5"/>
    <n v="15960"/>
    <n v="14922.6"/>
    <x v="0"/>
    <x v="11"/>
    <n v="1037.3999999999996"/>
    <n v="6.4999999999999974E-2"/>
    <n v="6"/>
    <n v="8"/>
    <x v="11"/>
    <x v="0"/>
  </r>
  <r>
    <s v="Акт входного контроля 000000135 от 08.06.2023 21:40:51"/>
    <s v="первый"/>
    <n v="224"/>
    <n v="26"/>
    <s v="Грин Рэй Кубань ООО (Овощеводство)"/>
    <s v="Богучарский А. И."/>
    <s v="Е404УС"/>
    <s v="А-26"/>
    <s v="А-26"/>
    <s v="Преладо"/>
    <s v="Горох овощной свежий 10.01"/>
    <n v="27560"/>
    <n v="13950"/>
    <n v="8.5"/>
    <n v="13610"/>
    <n v="12453.1"/>
    <x v="0"/>
    <x v="11"/>
    <n v="1156.8999999999996"/>
    <n v="8.5003673769287261E-2"/>
    <n v="6"/>
    <n v="8"/>
    <x v="11"/>
    <x v="0"/>
  </r>
  <r>
    <s v="Акт входного контроля 000000136 от 08.06.2023 22:22:22"/>
    <s v="первый"/>
    <n v="225"/>
    <n v="63418"/>
    <s v="УОХ Кубань"/>
    <s v="Осипов А."/>
    <s v="УСЕ732УС"/>
    <s v="1/3"/>
    <s v="1/3"/>
    <s v="Увертюра"/>
    <s v="Горох овощной свежий 10.01"/>
    <n v="29720"/>
    <n v="13850"/>
    <n v="6.5"/>
    <n v="15870"/>
    <n v="14838.4"/>
    <x v="0"/>
    <x v="11"/>
    <n v="1031.6000000000004"/>
    <n v="6.5003150598613765E-2"/>
    <n v="6"/>
    <n v="8"/>
    <x v="11"/>
    <x v="0"/>
  </r>
  <r>
    <s v="Акт входного контроля 000000137 от 08.06.2023 23:58:28"/>
    <s v="первый"/>
    <n v="226"/>
    <n v="24"/>
    <s v="Грин Рэй Кубань ООО (Овощеводство)"/>
    <s v="Гуйда Николай Николаевич"/>
    <s v="А816ЕВ"/>
    <s v="А-26"/>
    <s v="А-26"/>
    <s v="Преладо"/>
    <s v="Горох овощной свежий 10.01"/>
    <n v="27820"/>
    <n v="14170"/>
    <n v="6.5"/>
    <n v="13650"/>
    <n v="12762.7"/>
    <x v="0"/>
    <x v="11"/>
    <n v="887.29999999999927"/>
    <n v="6.5003663003662948E-2"/>
    <n v="6"/>
    <n v="8"/>
    <x v="11"/>
    <x v="0"/>
  </r>
  <r>
    <s v="Акт входного контроля 000000138 от 09.06.2023 5:21:23"/>
    <s v="первый"/>
    <n v="227"/>
    <n v="28"/>
    <s v="Грин Рэй Кубань ООО (Овощеводство)"/>
    <s v="Богучарский А. И."/>
    <s v="Е404УС"/>
    <s v="А-26"/>
    <s v="А-26"/>
    <s v="Преладо"/>
    <s v="Горох овощной свежий 10.01"/>
    <n v="27450"/>
    <n v="13950"/>
    <n v="7.5"/>
    <n v="13500"/>
    <n v="12487.5"/>
    <x v="0"/>
    <x v="12"/>
    <n v="1012.5"/>
    <n v="7.4999999999999997E-2"/>
    <n v="6"/>
    <n v="9"/>
    <x v="12"/>
    <x v="0"/>
  </r>
  <r>
    <s v="Акт входного контроля 000000139 от 09.06.2023 10:04:21"/>
    <s v="первый"/>
    <n v="228"/>
    <n v="29"/>
    <s v="Грин Рэй Кубань ООО (Овощеводство)"/>
    <s v="Гуйда Николай Николаевич"/>
    <s v="А816ЕВ"/>
    <s v="А-26"/>
    <s v="А-26"/>
    <s v="Преладо"/>
    <s v="Горох овощной свежий 10.01"/>
    <n v="27660"/>
    <n v="14150"/>
    <n v="5.5"/>
    <n v="13510"/>
    <n v="12766.9"/>
    <x v="0"/>
    <x v="12"/>
    <n v="743.10000000000036"/>
    <n v="5.5003700962250213E-2"/>
    <n v="6"/>
    <n v="9"/>
    <x v="12"/>
    <x v="0"/>
  </r>
  <r>
    <s v="Акт входного контроля 000000140 от 09.06.2023 15:56:33"/>
    <s v="первый"/>
    <n v="229"/>
    <n v="30"/>
    <s v="Грин Рэй Кубань ООО (Овощеводство)"/>
    <s v="Звада Евгений Евгеньевич"/>
    <s v="А688АМ"/>
    <s v="А-26"/>
    <s v="А-26"/>
    <s v="Преладо"/>
    <s v="Горох овощной свежий 10.01"/>
    <n v="27860"/>
    <n v="14590"/>
    <n v="7.5"/>
    <n v="13270"/>
    <n v="12274.7"/>
    <x v="0"/>
    <x v="12"/>
    <n v="995.29999999999927"/>
    <n v="7.5003767897513132E-2"/>
    <n v="6"/>
    <n v="9"/>
    <x v="12"/>
    <x v="0"/>
  </r>
  <r>
    <s v="Акт входного контроля 000000141 от 09.06.2023 13:11:50"/>
    <s v="первый"/>
    <n v="233"/>
    <n v="19"/>
    <s v="Грин Рэй Кубань ООО (Овощеводство)"/>
    <s v="Чигрин Николай Александрович"/>
    <s v="А819ЕВ"/>
    <s v="А-26"/>
    <s v="А-26"/>
    <s v="Преладо"/>
    <s v="Горох овощной свежий 10.01"/>
    <n v="27680"/>
    <n v="14320"/>
    <n v="8.5"/>
    <n v="13360"/>
    <n v="12224.4"/>
    <x v="0"/>
    <x v="12"/>
    <n v="1135.6000000000004"/>
    <n v="8.5000000000000034E-2"/>
    <n v="6"/>
    <n v="9"/>
    <x v="12"/>
    <x v="0"/>
  </r>
  <r>
    <s v="Акт входного контроля 000000142 от 09.06.2023 14:04:13"/>
    <s v="первый"/>
    <n v="234"/>
    <n v="32"/>
    <s v="Грин Рэй Кубань ООО (Овощеводство)"/>
    <s v="Кодола В.Л."/>
    <s v="В639КО"/>
    <s v="А-26"/>
    <s v="А-26"/>
    <s v="Преладо"/>
    <s v="Горох овощной свежий 10.01"/>
    <n v="29000"/>
    <n v="15560"/>
    <n v="7.5"/>
    <n v="13440"/>
    <n v="12432"/>
    <x v="0"/>
    <x v="12"/>
    <n v="1008"/>
    <n v="7.4999999999999997E-2"/>
    <n v="6"/>
    <n v="9"/>
    <x v="12"/>
    <x v="0"/>
  </r>
  <r>
    <s v="Акт входного контроля 000000143 от 09.06.2023 12:49:31"/>
    <s v="первый"/>
    <n v="235"/>
    <n v="33"/>
    <s v="Грин Рэй Кубань ООО (Овощеводство)"/>
    <s v="Деревянко  А. Н."/>
    <s v="Р699ОН"/>
    <s v="А-26"/>
    <s v="А-26"/>
    <s v="Преладо"/>
    <s v="Горох овощной свежий 10.01"/>
    <n v="27960"/>
    <n v="14440"/>
    <n v="7.5"/>
    <n v="13520"/>
    <n v="12506"/>
    <x v="0"/>
    <x v="12"/>
    <n v="1014"/>
    <n v="7.4999999999999997E-2"/>
    <n v="6"/>
    <n v="9"/>
    <x v="12"/>
    <x v="0"/>
  </r>
  <r>
    <s v="Акт входного контроля 000000144 от 09.06.2023 17:44:35"/>
    <s v="второй"/>
    <n v="237"/>
    <n v="34"/>
    <s v="Грин Рэй Кубань ООО (Овощеводство)"/>
    <s v="Звада Евгений Евгеньевич"/>
    <s v="А688АМ"/>
    <s v="А-26"/>
    <s v="А-26"/>
    <s v="Преладо"/>
    <s v="Горох овощной свежий 10.01"/>
    <n v="28250"/>
    <n v="14660"/>
    <n v="7.5"/>
    <n v="13590"/>
    <n v="12570.7"/>
    <x v="0"/>
    <x v="12"/>
    <n v="1019.2999999999993"/>
    <n v="7.5003679175864549E-2"/>
    <n v="6"/>
    <n v="9"/>
    <x v="12"/>
    <x v="0"/>
  </r>
  <r>
    <s v="Акт входного контроля 000000145 от 09.06.2023 19:56:21"/>
    <s v="высший"/>
    <n v="239"/>
    <n v="36"/>
    <s v="Грин Рэй Кубань ООО (Овощеводство)"/>
    <s v="Чигрин Николай Александрович"/>
    <s v="А819ЕВ"/>
    <s v="А-100"/>
    <s v="А-100"/>
    <s v="Преладо"/>
    <s v="Горох овощной свежий 10.01"/>
    <n v="28500"/>
    <n v="14300"/>
    <n v="11.5"/>
    <n v="14200"/>
    <n v="12567"/>
    <x v="0"/>
    <x v="12"/>
    <n v="1633"/>
    <n v="0.115"/>
    <n v="6"/>
    <n v="9"/>
    <x v="12"/>
    <x v="0"/>
  </r>
  <r>
    <s v="Акт входного контроля 000000146 от 09.06.2023 22:50:25"/>
    <s v="первый"/>
    <n v="240"/>
    <n v="37"/>
    <s v="Грин Рэй Кубань ООО (Овощеводство)"/>
    <s v="Кодола В Л."/>
    <s v="В639КО"/>
    <s v="А-26"/>
    <s v="А-26"/>
    <s v="Преладо"/>
    <s v="Горох овощной свежий 10.01"/>
    <n v="28980"/>
    <n v="15550"/>
    <n v="7.5"/>
    <n v="13430"/>
    <n v="12422.7"/>
    <x v="0"/>
    <x v="12"/>
    <n v="1007.2999999999993"/>
    <n v="7.5003723008190568E-2"/>
    <n v="6"/>
    <n v="9"/>
    <x v="12"/>
    <x v="0"/>
  </r>
  <r>
    <s v="Акт входного контроля 000000147 от 09.06.2023 23:32:29"/>
    <s v="высший"/>
    <n v="241"/>
    <n v="38"/>
    <s v="Грин Рэй Кубань ООО (Овощеводство)"/>
    <s v="Деревянко Н.Н."/>
    <s v="Р699ОН"/>
    <s v="А-100"/>
    <s v="А-100"/>
    <s v="Преладо"/>
    <s v="Горох овощной свежий 10.01"/>
    <n v="28750"/>
    <n v="14430"/>
    <n v="11.5"/>
    <n v="14320"/>
    <n v="12673.2"/>
    <x v="0"/>
    <x v="12"/>
    <n v="1646.7999999999993"/>
    <n v="0.11499999999999995"/>
    <n v="6"/>
    <n v="9"/>
    <x v="12"/>
    <x v="0"/>
  </r>
  <r>
    <s v="Акт входного контроля 000000148 от 09.06.2023 23:42:49"/>
    <s v="высший"/>
    <n v="246"/>
    <n v="40"/>
    <s v="Грин Рэй Кубань ООО (Овощеводство)"/>
    <s v="Чигрин Николай Александрович"/>
    <s v="А819ЕВ"/>
    <s v="А-100"/>
    <s v="А-100"/>
    <s v="Преладо"/>
    <s v="Горох овощной свежий 10.01"/>
    <n v="28080"/>
    <n v="14300"/>
    <n v="15.5"/>
    <n v="13780"/>
    <n v="11644.1"/>
    <x v="0"/>
    <x v="12"/>
    <n v="2135.8999999999996"/>
    <n v="0.15499999999999997"/>
    <n v="6"/>
    <n v="9"/>
    <x v="12"/>
    <x v="0"/>
  </r>
  <r>
    <s v="Акт входного контроля 000000149 от 09.06.2023 23:51:13"/>
    <s v="первый"/>
    <n v="247"/>
    <n v="41"/>
    <s v="Грин Рэй Кубань ООО (Овощеводство)"/>
    <s v="Кодола В Л."/>
    <s v="В639КО"/>
    <s v="А-26"/>
    <s v="А-26"/>
    <s v="Преладо"/>
    <s v="Горох овощной свежий 10.01"/>
    <n v="28670"/>
    <n v="15530"/>
    <n v="13.5"/>
    <n v="13140"/>
    <n v="11366.1"/>
    <x v="0"/>
    <x v="12"/>
    <n v="1773.8999999999996"/>
    <n v="0.13499999999999998"/>
    <n v="6"/>
    <n v="9"/>
    <x v="12"/>
    <x v="0"/>
  </r>
  <r>
    <s v="Акт входного контроля 000000150 от 10.06.2023 2:14:56"/>
    <s v="высший"/>
    <n v="248"/>
    <n v="42"/>
    <s v="Грин Рэй Кубань ООО (Овощеводство)"/>
    <s v="Деревянко Н.Н."/>
    <s v="Р699ОН"/>
    <s v="А-100"/>
    <s v="А-100"/>
    <s v="Преладо"/>
    <s v="Горох овощной свежий 10.01"/>
    <n v="28270"/>
    <n v="14420"/>
    <n v="14.5"/>
    <n v="13850"/>
    <n v="11841.7"/>
    <x v="0"/>
    <x v="13"/>
    <n v="2008.2999999999993"/>
    <n v="0.1450036101083032"/>
    <n v="6"/>
    <n v="10"/>
    <x v="13"/>
    <x v="0"/>
  </r>
  <r>
    <s v="Акт входного контроля 000000151 от 10.06.2023 2:18:13"/>
    <s v="высший"/>
    <n v="249"/>
    <n v="43"/>
    <s v="Грин Рэй Кубань ООО (Овощеводство)"/>
    <s v="Чигрин Николай Александрович"/>
    <s v="А819ЕВ"/>
    <s v="А-100"/>
    <s v="А-100"/>
    <s v="Преладо"/>
    <s v="Горох овощной свежий 10.01"/>
    <n v="28240"/>
    <n v="14300"/>
    <n v="14.5"/>
    <n v="13940"/>
    <n v="11918.7"/>
    <x v="0"/>
    <x v="13"/>
    <n v="2021.2999999999993"/>
    <n v="0.14499999999999993"/>
    <n v="6"/>
    <n v="10"/>
    <x v="13"/>
    <x v="0"/>
  </r>
  <r>
    <s v="Акт входного контроля 000000152 от 10.06.2023 4:42:22"/>
    <s v="первый"/>
    <n v="250"/>
    <n v="44"/>
    <s v="Грин Рэй Кубань ООО (Овощеводство)"/>
    <s v="Кодола В Л."/>
    <s v="В639КО"/>
    <s v="А-26"/>
    <s v="А-26"/>
    <s v="Эльдорадо"/>
    <s v="Горох овощной свежий 10.01"/>
    <n v="28730"/>
    <n v="15510"/>
    <n v="10.5"/>
    <n v="13220"/>
    <n v="11831.9"/>
    <x v="0"/>
    <x v="13"/>
    <n v="1388.1000000000004"/>
    <n v="0.10500000000000002"/>
    <n v="6"/>
    <n v="10"/>
    <x v="13"/>
    <x v="0"/>
  </r>
  <r>
    <s v="Акт входного контроля 000000153 от 10.06.2023 8:29:44"/>
    <s v="первый"/>
    <n v="252"/>
    <n v="45"/>
    <s v="Грин Рэй Кубань ООО (Овощеводство)"/>
    <s v="Деревянко Н.Н."/>
    <s v="Р699ОН"/>
    <s v="А-99"/>
    <s v="А-99"/>
    <s v="Преладо"/>
    <s v="Горох овощной свежий 10.01"/>
    <n v="28020"/>
    <n v="14400"/>
    <n v="11.5"/>
    <n v="13620"/>
    <n v="12053.7"/>
    <x v="0"/>
    <x v="13"/>
    <n v="1566.2999999999993"/>
    <n v="0.11499999999999995"/>
    <n v="6"/>
    <n v="10"/>
    <x v="13"/>
    <x v="0"/>
  </r>
  <r>
    <s v="Акт входного контроля 000000154 от 10.06.2023 9:06:49"/>
    <s v="первый"/>
    <n v="253"/>
    <n v="46"/>
    <s v="Грин Рэй Кубань ООО (Овощеводство)"/>
    <s v="Чигрин Николай Александрович"/>
    <s v="А819ЕВ"/>
    <s v="А-99"/>
    <s v="А-99"/>
    <s v="Преладо"/>
    <s v="Горох овощной свежий 10.01"/>
    <n v="20470"/>
    <n v="14270"/>
    <n v="12.5"/>
    <n v="6200"/>
    <n v="5425"/>
    <x v="0"/>
    <x v="13"/>
    <n v="775"/>
    <n v="0.125"/>
    <n v="6"/>
    <n v="10"/>
    <x v="13"/>
    <x v="0"/>
  </r>
  <r>
    <s v="Акт входного контроля 000000155 от 10.06.2023 11:20:51"/>
    <s v="первый"/>
    <n v="255"/>
    <n v="47"/>
    <s v="Грин Рэй Кубань ООО (Овощеводство)"/>
    <s v="Мосенцев Алексей Егорович"/>
    <s v="Т680ОУ"/>
    <s v="А-26"/>
    <s v="А-26"/>
    <s v="Эльдорадо"/>
    <s v="Горох овощной свежий 10.01"/>
    <n v="27760"/>
    <n v="14200"/>
    <n v="11.5"/>
    <n v="13560"/>
    <n v="12000.6"/>
    <x v="0"/>
    <x v="13"/>
    <n v="1559.3999999999996"/>
    <n v="0.11499999999999998"/>
    <n v="6"/>
    <n v="10"/>
    <x v="13"/>
    <x v="0"/>
  </r>
  <r>
    <s v="Акт входного контроля 000000156 от 10.06.2023 13:04:05"/>
    <s v="первый"/>
    <n v="256"/>
    <n v="48"/>
    <s v="Грин Рэй Кубань ООО (Овощеводство)"/>
    <s v="Гребенников Е.Н."/>
    <s v="В465ММ"/>
    <s v="А-26"/>
    <s v="А-26"/>
    <s v="Эльдорадо"/>
    <s v="Горох овощной свежий 10.01"/>
    <n v="26910"/>
    <n v="13340"/>
    <n v="11.5"/>
    <n v="13570"/>
    <n v="12009.4"/>
    <x v="0"/>
    <x v="13"/>
    <n v="1560.6000000000004"/>
    <n v="0.1150036845983788"/>
    <n v="6"/>
    <n v="10"/>
    <x v="13"/>
    <x v="0"/>
  </r>
  <r>
    <s v="Акт входного контроля 000000157 от 10.06.2023 16:33:48"/>
    <s v="первый"/>
    <n v="257"/>
    <n v="49"/>
    <s v="Грин Рэй Кубань ООО (Овощеводство)"/>
    <s v="Бербеницкий Сергей Николаевич"/>
    <s v="С400РР"/>
    <s v="А-26"/>
    <s v="А-26"/>
    <s v="Эльдорадо"/>
    <s v="Горох овощной свежий 10.01"/>
    <n v="28730"/>
    <n v="14980"/>
    <n v="10.5"/>
    <n v="13750"/>
    <n v="12306.2"/>
    <x v="0"/>
    <x v="13"/>
    <n v="1443.7999999999993"/>
    <n v="0.10500363636363631"/>
    <n v="6"/>
    <n v="10"/>
    <x v="13"/>
    <x v="0"/>
  </r>
  <r>
    <s v="Акт входного контроля 000000158 от 10.06.2023 16:54:57"/>
    <s v="первый"/>
    <n v="258"/>
    <n v="50"/>
    <s v="Грин Рэй Кубань ООО (Овощеводство)"/>
    <s v="Кулик О В"/>
    <s v="К403ЕМ"/>
    <s v="А-26"/>
    <s v="А-26"/>
    <s v="Эльдорадо"/>
    <s v="Горох овощной свежий 10.01"/>
    <n v="33440"/>
    <n v="17420"/>
    <n v="10.5"/>
    <n v="16020"/>
    <n v="14337.9"/>
    <x v="0"/>
    <x v="13"/>
    <n v="1682.1000000000004"/>
    <n v="0.10500000000000002"/>
    <n v="6"/>
    <n v="10"/>
    <x v="13"/>
    <x v="0"/>
  </r>
  <r>
    <s v="Акт входного контроля 000000159 от 10.06.2023 18:39:36"/>
    <s v="первый"/>
    <n v="259"/>
    <n v="51"/>
    <s v="Грин Рэй Кубань ООО (Овощеводство)"/>
    <s v="Мосенцев Алексей Егорович"/>
    <s v="Т680ОУ"/>
    <s v="А-26"/>
    <s v="А-26"/>
    <s v="Эльдорадо"/>
    <s v="Горох овощной свежий 10.01"/>
    <n v="28100"/>
    <n v="21010"/>
    <n v="29.5"/>
    <n v="7090"/>
    <n v="4998.5"/>
    <x v="0"/>
    <x v="13"/>
    <n v="2091.5"/>
    <n v="0.29499294781382229"/>
    <n v="6"/>
    <n v="10"/>
    <x v="13"/>
    <x v="0"/>
  </r>
  <r>
    <s v="Акт входного контроля 000000175 от 10.06.2023 16:32:17"/>
    <s v="первый"/>
    <n v="259"/>
    <n v="51"/>
    <s v="Грин Рэй Кубань ООО (Овощеводство)"/>
    <s v="Мосенцев Алексей Егорович"/>
    <s v="Т680ОУ"/>
    <s v="А-26"/>
    <s v="А-26"/>
    <s v="Преладо"/>
    <s v="Горох овощной свежий 10.01"/>
    <n v="21010"/>
    <n v="14190"/>
    <n v="29.5"/>
    <n v="6820"/>
    <n v="4808.1000000000004"/>
    <x v="0"/>
    <x v="13"/>
    <n v="2011.8999999999996"/>
    <n v="0.29499999999999993"/>
    <n v="6"/>
    <n v="10"/>
    <x v="13"/>
    <x v="0"/>
  </r>
  <r>
    <s v="Акт входного контроля 000000161 от 10.06.2023 22:17:55"/>
    <s v="первый"/>
    <n v="260"/>
    <n v="52"/>
    <s v="Грин Рэй Кубань ООО (Овощеводство)"/>
    <s v="Гребенников Е.Н."/>
    <s v="В465ММ"/>
    <s v="А-26"/>
    <s v="А-26"/>
    <s v="Эльдорадо"/>
    <s v="Горох овощной свежий 10.01"/>
    <n v="27220"/>
    <n v="13330"/>
    <n v="9.5"/>
    <n v="13890"/>
    <n v="12570.4"/>
    <x v="0"/>
    <x v="13"/>
    <n v="1319.6000000000004"/>
    <n v="9.500359971202306E-2"/>
    <n v="6"/>
    <n v="10"/>
    <x v="13"/>
    <x v="0"/>
  </r>
  <r>
    <s v="Акт входного контроля 000000160 от 10.06.2023 21:06:47"/>
    <s v="первый"/>
    <n v="261"/>
    <n v="53"/>
    <s v="Грин Рэй Кубань ООО (Овощеводство)"/>
    <s v="Бербеницкий Сергей Николаевич"/>
    <s v="С400РР"/>
    <s v="А-26"/>
    <s v="А-26"/>
    <s v="Эльдорадо"/>
    <s v="Горох овощной свежий 10.01"/>
    <n v="28780"/>
    <n v="14970"/>
    <n v="9.5"/>
    <n v="13810"/>
    <n v="12498"/>
    <x v="0"/>
    <x v="13"/>
    <n v="1312"/>
    <n v="9.5003620564808114E-2"/>
    <n v="6"/>
    <n v="10"/>
    <x v="13"/>
    <x v="0"/>
  </r>
  <r>
    <s v="Акт входного контроля 000000162 от 11.06.2023 17:49:43"/>
    <s v="первый"/>
    <n v="262"/>
    <n v="54"/>
    <s v="Грин Рэй Кубань ООО (Овощеводство)"/>
    <s v="Кулик О В"/>
    <s v="К403ЕМ"/>
    <s v="А-26"/>
    <s v="А-26"/>
    <s v="Асана"/>
    <s v="Горох овощной свежий 10.01"/>
    <n v="33860"/>
    <n v="17410"/>
    <n v="15.5"/>
    <n v="16450"/>
    <n v="13900.2"/>
    <x v="0"/>
    <x v="14"/>
    <n v="2549.7999999999993"/>
    <n v="0.15500303951367778"/>
    <n v="6"/>
    <n v="11"/>
    <x v="14"/>
    <x v="0"/>
  </r>
  <r>
    <s v="Акт входного контроля 000000163 от 11.06.2023 19:50:55"/>
    <s v="высший"/>
    <n v="264"/>
    <n v="55"/>
    <s v="Грин Рэй Кубань ООО (Овощеводство)"/>
    <s v="Мосенцев Алексей Егорович"/>
    <s v="Т680ОУ"/>
    <s v="А-26"/>
    <s v="А-26"/>
    <s v="Асана"/>
    <s v="Горох овощной свежий 10.01"/>
    <n v="28150"/>
    <n v="14180"/>
    <n v="15.5"/>
    <n v="13970"/>
    <n v="11804.6"/>
    <x v="0"/>
    <x v="14"/>
    <n v="2165.3999999999996"/>
    <n v="0.15500357909806725"/>
    <n v="6"/>
    <n v="11"/>
    <x v="14"/>
    <x v="0"/>
  </r>
  <r>
    <s v="Акт входного контроля 000000165 от 11.06.2023 22:39:46"/>
    <s v="высший"/>
    <n v="265"/>
    <n v="56"/>
    <s v="Грин Рэй Кубань ООО (Овощеводство)"/>
    <s v="Бербеницкий Сергей Николаевич"/>
    <s v="С400РР"/>
    <s v="А-26"/>
    <s v="А-26"/>
    <s v="Асана"/>
    <s v="Горох овощной свежий 10.01"/>
    <n v="28900"/>
    <n v="15010"/>
    <n v="16.5"/>
    <n v="13890"/>
    <n v="11598.1"/>
    <x v="0"/>
    <x v="14"/>
    <n v="2291.8999999999996"/>
    <n v="0.16500359971202302"/>
    <n v="6"/>
    <n v="11"/>
    <x v="14"/>
    <x v="0"/>
  </r>
  <r>
    <s v="Акт входного контроля 000000164 от 11.06.2023 23:17:32"/>
    <s v="высший"/>
    <n v="266"/>
    <n v="57"/>
    <s v="Грин Рэй Кубань ООО (Овощеводство)"/>
    <s v="Гребенников Е.Н."/>
    <s v="В465ММ"/>
    <s v="А-26"/>
    <s v="А-26"/>
    <s v="Асана"/>
    <s v="Горох овощной свежий 10.01"/>
    <n v="27010"/>
    <n v="13320"/>
    <n v="15.5"/>
    <n v="13690"/>
    <n v="11568"/>
    <x v="0"/>
    <x v="14"/>
    <n v="2122"/>
    <n v="0.15500365230094959"/>
    <n v="6"/>
    <n v="11"/>
    <x v="14"/>
    <x v="0"/>
  </r>
  <r>
    <s v="Акт входного контроля 000000166 от 11.06.2023 4:33:23"/>
    <s v="высший"/>
    <n v="268"/>
    <n v="58"/>
    <s v="Грин Рэй Кубань ООО (Овощеводство)"/>
    <s v="Кулик О В"/>
    <s v="К403ЕМ"/>
    <s v="А-26"/>
    <s v="А-26"/>
    <s v="Асана"/>
    <s v="Горох овощной свежий 10.01"/>
    <n v="33400"/>
    <n v="17400"/>
    <n v="16.5"/>
    <n v="16000"/>
    <n v="13360"/>
    <x v="0"/>
    <x v="14"/>
    <n v="2640"/>
    <n v="0.16500000000000001"/>
    <n v="6"/>
    <n v="11"/>
    <x v="14"/>
    <x v="0"/>
  </r>
  <r>
    <s v="Акт входного контроля 000000167 от 11.06.2023 5:28:38"/>
    <s v="высший"/>
    <n v="269"/>
    <n v="59"/>
    <s v="Грин Рэй Кубань ООО (Овощеводство)"/>
    <s v="Мосенцев Алексей Егорович"/>
    <s v="Т680ОУ"/>
    <s v="А-26"/>
    <s v="А-26"/>
    <s v="Асана"/>
    <s v="Горох овощной свежий 10.01"/>
    <n v="28020"/>
    <n v="14170"/>
    <n v="16.5"/>
    <n v="13850"/>
    <n v="11564.7"/>
    <x v="0"/>
    <x v="14"/>
    <n v="2285.2999999999993"/>
    <n v="0.16500361010830319"/>
    <n v="6"/>
    <n v="11"/>
    <x v="14"/>
    <x v="0"/>
  </r>
  <r>
    <s v="Акт входного контроля 000000168 от 11.06.2023 8:22:57"/>
    <s v="высший"/>
    <n v="272"/>
    <n v="60"/>
    <s v="Грин Рэй Кубань ООО (Овощеводство)"/>
    <s v="Гребенников Е.Н."/>
    <s v="В465ММ"/>
    <s v="А-26"/>
    <s v="А-26"/>
    <s v="Асана"/>
    <s v="Горох овощной свежий 10.01"/>
    <n v="26960"/>
    <n v="13300"/>
    <n v="16.5"/>
    <n v="13660"/>
    <n v="11406.1"/>
    <x v="0"/>
    <x v="14"/>
    <n v="2253.8999999999996"/>
    <n v="0.16499999999999998"/>
    <n v="6"/>
    <n v="11"/>
    <x v="14"/>
    <x v="0"/>
  </r>
  <r>
    <s v="Акт входного контроля 000000169 от 11.06.2023 9:46:36"/>
    <s v="высший"/>
    <n v="273"/>
    <n v="61"/>
    <s v="Грин Рэй Кубань ООО (Овощеводство)"/>
    <s v="Бербеницкий Сергей Николаевич"/>
    <s v="С400РР"/>
    <s v="А-26"/>
    <s v="А-26"/>
    <s v="Асана"/>
    <s v="Горох овощной свежий 10.01"/>
    <n v="28570"/>
    <n v="14990"/>
    <n v="17.5"/>
    <n v="13580"/>
    <n v="11203.5"/>
    <x v="0"/>
    <x v="14"/>
    <n v="2376.5"/>
    <n v="0.17499999999999999"/>
    <n v="6"/>
    <n v="11"/>
    <x v="14"/>
    <x v="0"/>
  </r>
  <r>
    <s v="Акт входного контроля 000000170 от 11.06.2023 10:40:13"/>
    <s v="высший"/>
    <n v="274"/>
    <n v="62"/>
    <s v="Грин Рэй Кубань ООО (Овощеводство)"/>
    <s v="Кулик О В"/>
    <s v="К403ЕМ"/>
    <s v="А-26"/>
    <s v="А-26"/>
    <s v="Асана"/>
    <s v="Горох овощной свежий 10.01"/>
    <n v="33410"/>
    <n v="17390"/>
    <n v="15.5"/>
    <n v="16020"/>
    <n v="13536.9"/>
    <x v="0"/>
    <x v="14"/>
    <n v="2483.1000000000004"/>
    <n v="0.15500000000000003"/>
    <n v="6"/>
    <n v="11"/>
    <x v="14"/>
    <x v="0"/>
  </r>
  <r>
    <s v="Акт входного контроля 000000171 от 11.06.2023 11:23:20"/>
    <s v="первый"/>
    <n v="275"/>
    <n v="63"/>
    <s v="Грин Рэй Кубань ООО (Овощеводство)"/>
    <s v="Дзюба Николай Сергеевич"/>
    <s v="Р383РЕ"/>
    <s v="А-26"/>
    <s v="А-26"/>
    <s v="Асана"/>
    <s v="Горох овощной свежий 10.01"/>
    <n v="27960"/>
    <n v="14560"/>
    <n v="15.5"/>
    <n v="13400"/>
    <n v="11323"/>
    <x v="0"/>
    <x v="14"/>
    <n v="2077"/>
    <n v="0.155"/>
    <n v="6"/>
    <n v="11"/>
    <x v="14"/>
    <x v="0"/>
  </r>
  <r>
    <s v="Акт входного контроля 000000172 от 11.06.2023 12:53:21"/>
    <s v="первый"/>
    <n v="276"/>
    <n v="64"/>
    <s v="Грин Рэй Кубань ООО (Овощеводство)"/>
    <s v="Гуйда Николай Николаевич"/>
    <s v="А816ЕВ"/>
    <s v="А-26"/>
    <s v="А-26"/>
    <s v="Асана"/>
    <s v="Горох овощной свежий 10.01"/>
    <n v="27880"/>
    <n v="14240"/>
    <n v="14.5"/>
    <n v="13640"/>
    <n v="11662.2"/>
    <x v="0"/>
    <x v="14"/>
    <n v="1977.7999999999993"/>
    <n v="0.14499999999999993"/>
    <n v="6"/>
    <n v="11"/>
    <x v="14"/>
    <x v="0"/>
  </r>
  <r>
    <s v="Акт входного контроля 000000173 от 11.06.2023 13:47:17"/>
    <s v="высший"/>
    <n v="277"/>
    <n v="65"/>
    <s v="Грин Рэй Кубань ООО (Овощеводство)"/>
    <s v="Демченко Сергей Владимирович"/>
    <s v="Н317РТ"/>
    <s v="А-26"/>
    <s v="А-26"/>
    <s v="Асана"/>
    <s v="Горох овощной свежий 10.01"/>
    <n v="28500"/>
    <n v="15030"/>
    <n v="18.5"/>
    <n v="13470"/>
    <n v="10978"/>
    <x v="0"/>
    <x v="14"/>
    <n v="2492"/>
    <n v="0.18500371195248702"/>
    <n v="6"/>
    <n v="11"/>
    <x v="14"/>
    <x v="0"/>
  </r>
  <r>
    <s v="Акт входного контроля 000000174 от 11.06.2023 16:40:48"/>
    <s v="первый"/>
    <n v="278"/>
    <n v="66"/>
    <s v="Грин Рэй Кубань ООО (Овощеводство)"/>
    <s v="Богучарский А. И."/>
    <s v="Е404УС"/>
    <s v="А-26"/>
    <s v="А-26"/>
    <s v="Асана"/>
    <s v="Горох овощной свежий 10.01"/>
    <n v="27520"/>
    <n v="13920"/>
    <n v="14.5"/>
    <n v="13600"/>
    <n v="11628"/>
    <x v="0"/>
    <x v="14"/>
    <n v="1972"/>
    <n v="0.14499999999999999"/>
    <n v="6"/>
    <n v="11"/>
    <x v="14"/>
    <x v="0"/>
  </r>
  <r>
    <s v="Акт входного контроля 000000176 от 11.06.2023 16:49:28"/>
    <s v="первый"/>
    <n v="279"/>
    <n v="67"/>
    <s v="Грин Рэй Кубань ООО (Овощеводство)"/>
    <s v="Дзюба Николай Сергеевич"/>
    <s v="Р383РЕ"/>
    <s v="А-26"/>
    <s v="А-26"/>
    <s v="Асана"/>
    <s v="Горох овощной свежий 10.01"/>
    <n v="28170"/>
    <n v="14550"/>
    <n v="12.5"/>
    <n v="13620"/>
    <n v="11917.5"/>
    <x v="0"/>
    <x v="14"/>
    <n v="1702.5"/>
    <n v="0.125"/>
    <n v="6"/>
    <n v="11"/>
    <x v="14"/>
    <x v="0"/>
  </r>
  <r>
    <s v="Акт входного контроля 000000178 от 11.06.2023 21:32:15"/>
    <s v="первый"/>
    <n v="280"/>
    <n v="68"/>
    <s v="Грин Рэй Кубань ООО (Овощеводство)"/>
    <s v="Гуйда Николай Николаевич"/>
    <s v="А816ЕВ"/>
    <s v="А-26"/>
    <s v="А-26"/>
    <s v="Асана"/>
    <s v="Горох овощной свежий 10.01"/>
    <n v="27880"/>
    <n v="14220"/>
    <n v="14.5"/>
    <n v="13660"/>
    <n v="11679.3"/>
    <x v="0"/>
    <x v="14"/>
    <n v="1980.7000000000007"/>
    <n v="0.14500000000000005"/>
    <n v="6"/>
    <n v="11"/>
    <x v="14"/>
    <x v="0"/>
  </r>
  <r>
    <s v="Акт входного контроля 000000177 от 11.06.2023 19:16:39"/>
    <s v="первый"/>
    <n v="281"/>
    <n v="69"/>
    <s v="Грин Рэй Кубань ООО (Овощеводство)"/>
    <s v="Демченко Сергей Владимирович"/>
    <s v="Н317РТ"/>
    <s v="А-26"/>
    <s v="А-26"/>
    <s v="Асана"/>
    <s v="Горох овощной свежий 10.01"/>
    <n v="28700"/>
    <n v="15010"/>
    <n v="10.5"/>
    <n v="13690"/>
    <n v="12252.5"/>
    <x v="0"/>
    <x v="14"/>
    <n v="1437.5"/>
    <n v="0.1050036523009496"/>
    <n v="6"/>
    <n v="11"/>
    <x v="14"/>
    <x v="0"/>
  </r>
  <r>
    <s v="Акт входного контроля 000000179 от 11.06.2023 23:04:58"/>
    <s v="высший"/>
    <n v="283"/>
    <n v="71"/>
    <s v="Грин Рэй Кубань ООО (Овощеводство)"/>
    <s v="Богучарский А. И."/>
    <s v="Е404УС"/>
    <s v="А-26"/>
    <s v="А-26"/>
    <s v="Увертюра"/>
    <s v="Горох овощной свежий 10.01"/>
    <n v="27950"/>
    <n v="13930"/>
    <n v="22.5"/>
    <n v="14020"/>
    <n v="10865.5"/>
    <x v="0"/>
    <x v="14"/>
    <n v="3154.5"/>
    <n v="0.22500000000000001"/>
    <n v="6"/>
    <n v="11"/>
    <x v="14"/>
    <x v="0"/>
  </r>
  <r>
    <s v="Акт входного контроля 000000180 от 11.06.2023 23:36:41"/>
    <s v="высший"/>
    <n v="284"/>
    <n v="72"/>
    <s v="Грин Рэй Кубань ООО (Овощеводство)"/>
    <s v="Дзюба Николай Сергеевич"/>
    <s v="Р383РЕ"/>
    <s v="А-26"/>
    <s v="А-26"/>
    <s v="Увертюра"/>
    <s v="Горох овощной свежий 10.01"/>
    <n v="28310"/>
    <n v="14550"/>
    <n v="22.5"/>
    <n v="13760"/>
    <n v="10664"/>
    <x v="0"/>
    <x v="14"/>
    <n v="3096"/>
    <n v="0.22500000000000001"/>
    <n v="6"/>
    <n v="11"/>
    <x v="14"/>
    <x v="0"/>
  </r>
  <r>
    <s v="Акт входного контроля 000000181 от 11.06.2023 20:35:45"/>
    <s v="высший"/>
    <n v="286"/>
    <n v="74"/>
    <s v="Грин Рэй Кубань ООО (Овощеводство)"/>
    <s v="Демченко Сергей Владимирович"/>
    <s v="Н317РТ"/>
    <s v="А-26"/>
    <s v="А-26"/>
    <s v="Увертюра"/>
    <s v="Горох овощной свежий 10.01"/>
    <n v="28730"/>
    <n v="15010"/>
    <n v="22.5"/>
    <n v="13720"/>
    <n v="10633"/>
    <x v="0"/>
    <x v="14"/>
    <n v="3087"/>
    <n v="0.22500000000000001"/>
    <n v="6"/>
    <n v="11"/>
    <x v="14"/>
    <x v="0"/>
  </r>
  <r>
    <s v="Акт входного контроля 000000182 от 12.06.2023 4:35:40"/>
    <s v="высший"/>
    <n v="288"/>
    <n v="76"/>
    <s v="Грин Рэй Кубань ООО (Овощеводство)"/>
    <s v="Богучарский А. И."/>
    <s v="Е404УС"/>
    <s v="А-26"/>
    <s v="А-26"/>
    <s v="Увертюра"/>
    <s v="Горох овощной свежий 10.01"/>
    <n v="27530"/>
    <n v="14090"/>
    <n v="23.5"/>
    <n v="13440"/>
    <n v="10281.6"/>
    <x v="0"/>
    <x v="15"/>
    <n v="3158.3999999999996"/>
    <n v="0.23499999999999999"/>
    <n v="6"/>
    <n v="12"/>
    <x v="15"/>
    <x v="0"/>
  </r>
  <r>
    <s v="Акт входного контроля 000000183 от 12.06.2023 6:06:22"/>
    <s v="высший"/>
    <n v="289"/>
    <n v="77"/>
    <s v="Грин Рэй Кубань ООО (Овощеводство)"/>
    <s v="Дзюба Николай Сергеевич"/>
    <s v="Р383РЕ"/>
    <s v="А-26"/>
    <s v="А-26"/>
    <s v="Увертюра"/>
    <s v="Горох овощной свежий 10.01"/>
    <n v="28130"/>
    <n v="14550"/>
    <n v="20.5"/>
    <n v="13580"/>
    <n v="10796.1"/>
    <x v="0"/>
    <x v="15"/>
    <n v="2783.8999999999996"/>
    <n v="0.20499999999999996"/>
    <n v="6"/>
    <n v="12"/>
    <x v="15"/>
    <x v="0"/>
  </r>
  <r>
    <s v="Акт входного контроля 000000186 от 11.06.2023 10:47:52"/>
    <s v="высший"/>
    <n v="290"/>
    <n v="75"/>
    <s v="Грин Рэй Кубань ООО (Овощеводство)"/>
    <s v="Гуйда Николай Николаевич"/>
    <s v="А816ЕВ"/>
    <s v="А-26"/>
    <s v="А-26"/>
    <s v="Увертюра"/>
    <s v="Горох овощной свежий 10.01"/>
    <n v="27770"/>
    <n v="14240"/>
    <n v="19.5"/>
    <n v="13530"/>
    <n v="10891.6"/>
    <x v="0"/>
    <x v="14"/>
    <n v="2638.3999999999996"/>
    <n v="0.19500369549150035"/>
    <n v="6"/>
    <n v="11"/>
    <x v="14"/>
    <x v="0"/>
  </r>
  <r>
    <s v="Акт входного контроля 000000184 от 12.06.2023 9:21:23"/>
    <s v="высший"/>
    <n v="291"/>
    <n v="78"/>
    <s v="Грин Рэй Кубань ООО (Овощеводство)"/>
    <s v="Демченко Сергей Владимирович"/>
    <s v="Н317РТ"/>
    <s v="А-26"/>
    <s v="А-26"/>
    <s v="Увертюра"/>
    <s v="Горох овощной свежий 10.01"/>
    <n v="28420"/>
    <n v="15000"/>
    <n v="22.5"/>
    <n v="13420"/>
    <n v="10400.5"/>
    <x v="0"/>
    <x v="15"/>
    <n v="3019.5"/>
    <n v="0.22500000000000001"/>
    <n v="6"/>
    <n v="12"/>
    <x v="15"/>
    <x v="0"/>
  </r>
  <r>
    <s v="Акт входного контроля 000000185 от 12.06.2023 10:35:52"/>
    <s v="высший"/>
    <n v="292"/>
    <n v="79"/>
    <s v="Грин Рэй Кубань ООО (Овощеводство)"/>
    <s v="Гуйда Николай Николаевич"/>
    <s v="А816ЕВ"/>
    <s v="А-26"/>
    <s v="А-26"/>
    <s v="Увертюра"/>
    <s v="Горох овощной свежий 10.01"/>
    <n v="27890"/>
    <n v="14290"/>
    <n v="22.5"/>
    <n v="13600"/>
    <n v="10540"/>
    <x v="0"/>
    <x v="15"/>
    <n v="3060"/>
    <n v="0.22500000000000001"/>
    <n v="6"/>
    <n v="12"/>
    <x v="15"/>
    <x v="0"/>
  </r>
  <r>
    <s v="Акт входного контроля 000000187 от 12.06.2023 11:24:20"/>
    <s v="высший"/>
    <n v="293"/>
    <n v="80"/>
    <s v="Грин Рэй Кубань ООО (Овощеводство)"/>
    <s v="Богучарский А. И."/>
    <s v="Е404УС"/>
    <s v="А-26"/>
    <s v="А-26"/>
    <s v="Увертюра"/>
    <s v="Горох овощной свежий 10.01"/>
    <n v="27670"/>
    <n v="14120"/>
    <n v="21.5"/>
    <n v="13550"/>
    <n v="10636.7"/>
    <x v="0"/>
    <x v="15"/>
    <n v="2913.2999999999993"/>
    <n v="0.21500369003690031"/>
    <n v="6"/>
    <n v="12"/>
    <x v="15"/>
    <x v="0"/>
  </r>
  <r>
    <s v="Акт входного контроля 000000188 от 12.06.2023 14:48:51"/>
    <s v="высший"/>
    <n v="294"/>
    <n v="81"/>
    <s v="Грин Рэй Кубань ООО (Овощеводство)"/>
    <s v="Кулик О В"/>
    <s v="К403ЕМ"/>
    <s v="А-26"/>
    <s v="А-26"/>
    <s v="Увертюра"/>
    <s v="Горох овощной свежий 10.01"/>
    <n v="33680"/>
    <n v="17450"/>
    <n v="20.5"/>
    <n v="16230"/>
    <n v="12902.8"/>
    <x v="0"/>
    <x v="15"/>
    <n v="3327.2000000000007"/>
    <n v="0.20500308071472587"/>
    <n v="6"/>
    <n v="12"/>
    <x v="15"/>
    <x v="0"/>
  </r>
  <r>
    <s v="Акт входного контроля 000000189 от 12.06.2023 15:18:21"/>
    <s v="высший"/>
    <n v="295"/>
    <n v="82"/>
    <s v="Грин Рэй Кубань ООО (Овощеводство)"/>
    <s v="Звада Евгений Евгеньевич"/>
    <s v="А688АМ"/>
    <s v="А-26"/>
    <s v="А-26"/>
    <s v="Увертюра"/>
    <s v="Горох овощной свежий 10.01"/>
    <n v="28420"/>
    <n v="14740"/>
    <n v="22.5"/>
    <n v="13680"/>
    <n v="10602"/>
    <x v="0"/>
    <x v="15"/>
    <n v="3078"/>
    <n v="0.22500000000000001"/>
    <n v="6"/>
    <n v="12"/>
    <x v="15"/>
    <x v="0"/>
  </r>
  <r>
    <s v="Акт входного контроля 000000190 от 12.06.2023 16:01:12"/>
    <s v="высший"/>
    <n v="296"/>
    <n v="83"/>
    <s v="Грин Рэй Кубань ООО (Овощеводство)"/>
    <s v="Чигрин Николай Александрович"/>
    <s v="А819ЕВ"/>
    <s v="А-26"/>
    <s v="А-26"/>
    <s v="Увертюра"/>
    <s v="Горох овощной свежий 10.01"/>
    <n v="28290"/>
    <m/>
    <n v="22.5"/>
    <n v="13580"/>
    <n v="10524.5"/>
    <x v="0"/>
    <x v="15"/>
    <n v="3055.5"/>
    <n v="0.22500000000000001"/>
    <n v="6"/>
    <n v="12"/>
    <x v="15"/>
    <x v="0"/>
  </r>
  <r>
    <s v="Акт входного контроля 000000195 от 14.06.2023 16:21:22"/>
    <s v="высший"/>
    <n v="301"/>
    <n v="84"/>
    <s v="Грин Рэй Кубань ООО (Овощеводство)"/>
    <s v="Гуйда Николай Николаевич"/>
    <s v="А816ЕВ"/>
    <s v="А-26"/>
    <s v="А-26"/>
    <s v="Увертюра"/>
    <s v="Горох овощной свежий 10.01"/>
    <n v="28020"/>
    <m/>
    <n v="14.5"/>
    <n v="13290"/>
    <n v="11362.9"/>
    <x v="0"/>
    <x v="16"/>
    <n v="1927.1000000000004"/>
    <n v="0.14500376222723854"/>
    <n v="6"/>
    <n v="14"/>
    <x v="16"/>
    <x v="0"/>
  </r>
  <r>
    <s v="Акт входного контроля 000000196 от 14.06.2023 16:46:04"/>
    <s v="высший"/>
    <n v="302"/>
    <n v="85"/>
    <s v="Грин Рэй Кубань ООО (Овощеводство)"/>
    <s v="Звада Евгений Евгеньевич"/>
    <s v="А688АМ"/>
    <s v="А-26"/>
    <s v="А-26"/>
    <s v="Увертюра"/>
    <s v="Горох овощной свежий 10.01"/>
    <n v="28530"/>
    <m/>
    <n v="14.5"/>
    <n v="13600"/>
    <n v="11628"/>
    <x v="0"/>
    <x v="16"/>
    <n v="1972"/>
    <n v="0.14499999999999999"/>
    <n v="6"/>
    <n v="14"/>
    <x v="16"/>
    <x v="0"/>
  </r>
  <r>
    <s v="Акт входного контроля 000000197 от 14.06.2023 19:41:32"/>
    <s v="высший"/>
    <n v="303"/>
    <n v="86"/>
    <s v="Грин Рэй Кубань ООО (Овощеводство)"/>
    <s v="Гребенников Е.Н."/>
    <s v="В465ММ"/>
    <s v="А-26"/>
    <s v="А-26"/>
    <s v="Увертюра"/>
    <s v="Горох овощной свежий 10.01"/>
    <n v="27490"/>
    <m/>
    <n v="13.5"/>
    <n v="13940"/>
    <n v="12058.1"/>
    <x v="0"/>
    <x v="16"/>
    <n v="1881.8999999999996"/>
    <n v="0.13499999999999998"/>
    <n v="6"/>
    <n v="14"/>
    <x v="16"/>
    <x v="0"/>
  </r>
  <r>
    <s v="Акт входного контроля 000000198 от 14.06.2023 19:52:45"/>
    <s v="высший"/>
    <n v="304"/>
    <n v="87"/>
    <s v="Грин Рэй Кубань ООО (Овощеводство)"/>
    <s v="Гуйда Николай Николаевич"/>
    <s v="А816ЕВ"/>
    <s v="А-26"/>
    <s v="А-26"/>
    <s v="Увертюра"/>
    <s v="Горох овощной свежий 10.01"/>
    <n v="18770"/>
    <m/>
    <n v="13.5"/>
    <n v="9010"/>
    <n v="7793.6"/>
    <x v="0"/>
    <x v="16"/>
    <n v="1216.3999999999996"/>
    <n v="0.1350055493895671"/>
    <n v="6"/>
    <n v="14"/>
    <x v="16"/>
    <x v="0"/>
  </r>
  <r>
    <s v="Акт входного контроля 000000199 от 14.06.2023 21:07:47"/>
    <s v="высший"/>
    <n v="305"/>
    <n v="88"/>
    <s v="Грин Рэй Кубань ООО (Овощеводство)"/>
    <s v="Звада Евгений Евгеньевич"/>
    <s v="А688АМ"/>
    <s v="А-26"/>
    <s v="А-26"/>
    <s v="Увертюра"/>
    <s v="Горох овощной свежий 10.01"/>
    <n v="28410"/>
    <m/>
    <n v="11.5"/>
    <n v="13570"/>
    <n v="12009.4"/>
    <x v="0"/>
    <x v="16"/>
    <n v="1560.6000000000004"/>
    <n v="0.1150036845983788"/>
    <n v="6"/>
    <n v="14"/>
    <x v="16"/>
    <x v="0"/>
  </r>
  <r>
    <s v="Акт входного контроля 000000200 от 14.06.2023 23:38:28"/>
    <s v="высший"/>
    <n v="306"/>
    <n v="89"/>
    <s v="Грин Рэй Кубань ООО (Овощеводство)"/>
    <s v="Гребенников Е.Н."/>
    <s v="В465ММ"/>
    <s v="А-26"/>
    <s v="А-26"/>
    <s v="Увертюра"/>
    <s v="Горох овощной свежий 10.01"/>
    <n v="26830"/>
    <m/>
    <n v="9.5"/>
    <n v="13380"/>
    <n v="12108.9"/>
    <x v="0"/>
    <x v="16"/>
    <n v="1271.1000000000004"/>
    <n v="9.5000000000000029E-2"/>
    <n v="6"/>
    <n v="14"/>
    <x v="16"/>
    <x v="0"/>
  </r>
  <r>
    <s v="Акт входного контроля 000000201 от 14.06.2023 21:26:02"/>
    <s v="высший"/>
    <n v="307"/>
    <n v="90"/>
    <s v="Грин Рэй Кубань ООО (Овощеводство)"/>
    <s v="Гуйда Николай Николаевич"/>
    <s v="А816ЕВ"/>
    <s v="А-26"/>
    <s v="А-26"/>
    <s v="Увертюра"/>
    <s v="Горох овощной свежий 10.01"/>
    <n v="18680"/>
    <m/>
    <n v="10.5"/>
    <n v="8960"/>
    <n v="8019.2"/>
    <x v="0"/>
    <x v="16"/>
    <n v="940.80000000000018"/>
    <n v="0.10500000000000002"/>
    <n v="6"/>
    <n v="14"/>
    <x v="16"/>
    <x v="0"/>
  </r>
  <r>
    <s v="Акт входного контроля 000000202 от 14.06.2023 23:04:49"/>
    <s v="высший"/>
    <n v="308"/>
    <n v="91"/>
    <s v="Грин Рэй Кубань ООО (Овощеводство)"/>
    <s v="Звада Евгений Евгеньевич"/>
    <s v="А688АМ"/>
    <s v="А-26"/>
    <s v="А-26"/>
    <s v="Увертюра"/>
    <s v="Горох овощной свежий 10.01"/>
    <n v="28170"/>
    <m/>
    <n v="11.5"/>
    <n v="13330"/>
    <n v="11797"/>
    <x v="0"/>
    <x v="16"/>
    <n v="1533"/>
    <n v="0.11500375093773443"/>
    <n v="6"/>
    <n v="14"/>
    <x v="16"/>
    <x v="0"/>
  </r>
  <r>
    <s v="Акт входного контроля 000000203 от 15.06.2023 2:59:02"/>
    <s v="высший"/>
    <n v="309"/>
    <n v="92"/>
    <s v="Грин Рэй Кубань ООО (Овощеводство)"/>
    <s v="Гребенников Е.Н."/>
    <s v="В465ММ"/>
    <s v="А-26"/>
    <s v="А-26"/>
    <s v="Увертюра"/>
    <s v="Горох овощной свежий 10.01"/>
    <n v="26860"/>
    <n v="13590"/>
    <n v="10.5"/>
    <n v="13270"/>
    <n v="11876.7"/>
    <x v="0"/>
    <x v="17"/>
    <n v="1393.2999999999993"/>
    <n v="0.10499623210248676"/>
    <n v="6"/>
    <n v="15"/>
    <x v="17"/>
    <x v="0"/>
  </r>
  <r>
    <s v="Акт входного контроля 000000204 от 15.06.2023 3:59:49"/>
    <s v="высший"/>
    <n v="310"/>
    <n v="93"/>
    <s v="Грин Рэй Кубань ООО (Овощеводство)"/>
    <s v="Гуйда Николай Николаевич"/>
    <s v="А816ЕВ"/>
    <s v="А-26"/>
    <s v="А-26"/>
    <s v="Увертюра"/>
    <s v="Горох овощной свежий 10.01"/>
    <n v="18590"/>
    <n v="9710"/>
    <n v="10.5"/>
    <n v="8880"/>
    <n v="7947.6"/>
    <x v="0"/>
    <x v="17"/>
    <n v="932.39999999999964"/>
    <n v="0.10499999999999995"/>
    <n v="6"/>
    <n v="15"/>
    <x v="17"/>
    <x v="0"/>
  </r>
  <r>
    <s v="Акт входного контроля 000000205 от 15.06.2023 5:57:39"/>
    <s v="высший"/>
    <n v="311"/>
    <n v="94"/>
    <s v="Грин Рэй Кубань ООО (Овощеводство)"/>
    <s v="Звада Евгений Евгеньевич"/>
    <s v="А688АМ"/>
    <s v="А-26"/>
    <s v="А-26"/>
    <s v="Увертюра"/>
    <s v="Горох овощной свежий 10.01"/>
    <n v="28260"/>
    <n v="14830"/>
    <n v="11.5"/>
    <n v="13430"/>
    <n v="11885.5"/>
    <x v="0"/>
    <x v="17"/>
    <n v="1544.5"/>
    <n v="0.11500372300819062"/>
    <n v="6"/>
    <n v="15"/>
    <x v="17"/>
    <x v="0"/>
  </r>
  <r>
    <s v="Акт входного контроля 000000206 от 15.06.2023 6:17:03"/>
    <s v="высший"/>
    <n v="312"/>
    <n v="95"/>
    <s v="Грин Рэй Кубань ООО (Овощеводство)"/>
    <s v="Гребенников Е.Н."/>
    <s v="В465ММ"/>
    <s v="А-26"/>
    <s v="А-26"/>
    <s v="Увертюра"/>
    <s v="Горох овощной свежий 10.01"/>
    <n v="27010"/>
    <n v="13580"/>
    <n v="11.5"/>
    <n v="13430"/>
    <n v="11885.5"/>
    <x v="0"/>
    <x v="17"/>
    <n v="1544.5"/>
    <n v="0.11500372300819062"/>
    <n v="6"/>
    <n v="15"/>
    <x v="17"/>
    <x v="0"/>
  </r>
  <r>
    <s v="Акт входного контроля 000000207 от 15.06.2023 8:35:26"/>
    <s v="высший"/>
    <n v="313"/>
    <n v="96"/>
    <s v="Грин Рэй Кубань ООО (Овощеводство)"/>
    <s v="Гуйда Николай Николаевич"/>
    <s v="А816ЕВ"/>
    <s v="А-26"/>
    <s v="А-26"/>
    <s v="Увертюра"/>
    <s v="Горох овощной свежий 10.01"/>
    <n v="18710"/>
    <n v="9730"/>
    <n v="12.5"/>
    <n v="8980"/>
    <n v="7857.5"/>
    <x v="0"/>
    <x v="17"/>
    <n v="1122.5"/>
    <n v="0.125"/>
    <n v="6"/>
    <n v="15"/>
    <x v="17"/>
    <x v="0"/>
  </r>
  <r>
    <s v="Акт входного контроля 000000208 от 15.06.2023 12:20:21"/>
    <s v="высший"/>
    <n v="316"/>
    <n v="97"/>
    <s v="Грин Рэй Кубань ООО (Овощеводство)"/>
    <s v="Кулик О В"/>
    <s v="К403ЕМ"/>
    <s v="А-26"/>
    <s v="А-26"/>
    <s v="Увертюра"/>
    <s v="Горох овощной свежий 10.01"/>
    <n v="32600"/>
    <m/>
    <n v="9.5"/>
    <n v="15190"/>
    <n v="13746.9"/>
    <x v="0"/>
    <x v="17"/>
    <n v="1443.1000000000004"/>
    <n v="9.5003291639236362E-2"/>
    <n v="6"/>
    <n v="15"/>
    <x v="17"/>
    <x v="0"/>
  </r>
  <r>
    <s v="Акт входного контроля 000000209 от 15.06.2023 13:57:23"/>
    <s v="высший"/>
    <n v="318"/>
    <n v="98"/>
    <s v="Грин Рэй Кубань ООО (Овощеводство)"/>
    <s v="Бербеницкий Сергей Николаевич"/>
    <s v="С400РР"/>
    <s v="А-26"/>
    <s v="А-26"/>
    <s v="Увертюра"/>
    <s v="Горох овощной свежий 10.01"/>
    <n v="28120"/>
    <n v="15090"/>
    <n v="10.5"/>
    <n v="13030"/>
    <n v="11661.8"/>
    <x v="0"/>
    <x v="17"/>
    <n v="1368.2000000000007"/>
    <n v="0.10500383729854189"/>
    <n v="6"/>
    <n v="15"/>
    <x v="17"/>
    <x v="0"/>
  </r>
  <r>
    <s v="Акт входного контроля 000000210 от 15.06.2023 16:45:45"/>
    <s v="высший"/>
    <n v="319"/>
    <n v="99"/>
    <s v="Грин Рэй Кубань ООО (Овощеводство)"/>
    <s v="Мосенцев Алексей Егорович"/>
    <s v="Т680ОУ"/>
    <s v="А-26"/>
    <s v="А-26"/>
    <s v="Увертюра"/>
    <s v="Горох овощной свежий 10.01"/>
    <n v="27410"/>
    <n v="14240"/>
    <n v="10.5"/>
    <n v="13170"/>
    <n v="11787.1"/>
    <x v="0"/>
    <x v="17"/>
    <n v="1382.8999999999996"/>
    <n v="0.10500379650721334"/>
    <n v="6"/>
    <n v="15"/>
    <x v="17"/>
    <x v="0"/>
  </r>
  <r>
    <s v="Акт входного контроля 000000211 от 15.06.2023 18:49:11"/>
    <s v="высший"/>
    <n v="320"/>
    <n v="100"/>
    <s v="Грин Рэй Кубань ООО (Овощеводство)"/>
    <s v="Кулик О В"/>
    <s v="К403ЕМ"/>
    <s v="А-26"/>
    <s v="А-26"/>
    <s v="Увертюра"/>
    <s v="Горох овощной свежий 10.01"/>
    <n v="32840"/>
    <n v="17380"/>
    <n v="11.5"/>
    <n v="15460"/>
    <n v="13682.1"/>
    <x v="0"/>
    <x v="17"/>
    <n v="1777.8999999999996"/>
    <n v="0.11499999999999998"/>
    <n v="6"/>
    <n v="15"/>
    <x v="17"/>
    <x v="0"/>
  </r>
  <r>
    <s v="Акт входного контроля 000000212 от 15.06.2023 18:56:58"/>
    <s v="высший"/>
    <n v="321"/>
    <n v="101"/>
    <s v="Грин Рэй Кубань ООО (Овощеводство)"/>
    <s v="Бербеницкий Сергей Николаевич"/>
    <s v="С400РР"/>
    <s v="А-26"/>
    <s v="А-26"/>
    <s v="Увертюра"/>
    <s v="Горох овощной свежий 10.01"/>
    <n v="28350"/>
    <n v="15080"/>
    <n v="10.5"/>
    <n v="13270"/>
    <n v="11876.6"/>
    <x v="0"/>
    <x v="17"/>
    <n v="1393.3999999999996"/>
    <n v="0.10500376789751316"/>
    <n v="6"/>
    <n v="15"/>
    <x v="17"/>
    <x v="0"/>
  </r>
  <r>
    <s v="Акт входного контроля 000000213 от 15.06.2023 21:33:24"/>
    <s v="высший"/>
    <n v="322"/>
    <n v="102"/>
    <s v="Грин Рэй Кубань ООО (Овощеводство)"/>
    <s v="Мосенцев Алексей Егорович"/>
    <s v="Т680ОУ"/>
    <s v="А-26"/>
    <s v="А-26"/>
    <s v="Увертюра"/>
    <s v="Горох овощной свежий 10.01"/>
    <n v="27550"/>
    <n v="14260"/>
    <n v="11.5"/>
    <n v="13290"/>
    <n v="11761.6"/>
    <x v="0"/>
    <x v="17"/>
    <n v="1528.3999999999996"/>
    <n v="0.1150037622272385"/>
    <n v="6"/>
    <n v="15"/>
    <x v="17"/>
    <x v="0"/>
  </r>
  <r>
    <s v="Акт входного контроля 000000214 от 15.06.2023 23:54:19"/>
    <s v="высший"/>
    <n v="323"/>
    <n v="103"/>
    <s v="Грин Рэй Кубань ООО (Овощеводство)"/>
    <s v="Кулик О В"/>
    <s v="К403ЕМ"/>
    <s v="А-26"/>
    <s v="А-26"/>
    <s v="Увертюра"/>
    <s v="Горох овощной свежий 10.01"/>
    <n v="32800"/>
    <n v="17370"/>
    <n v="13.5"/>
    <n v="15430"/>
    <n v="13346.9"/>
    <x v="0"/>
    <x v="17"/>
    <n v="2083.1000000000004"/>
    <n v="0.13500324044069995"/>
    <n v="6"/>
    <n v="15"/>
    <x v="17"/>
    <x v="0"/>
  </r>
  <r>
    <s v="Акт входного контроля 000000215 от 15.06.2023 21:21:06"/>
    <s v="высший"/>
    <n v="324"/>
    <n v="104"/>
    <s v="Грин Рэй Кубань ООО (Овощеводство)"/>
    <s v="Бербеницкий Сергей Николаевич"/>
    <s v="С400РР"/>
    <s v="А-26"/>
    <s v="А-26"/>
    <s v="Увертюра"/>
    <s v="Горох овощной свежий 10.01"/>
    <n v="28170"/>
    <n v="15050"/>
    <n v="11.5"/>
    <n v="13120"/>
    <n v="11611.2"/>
    <x v="0"/>
    <x v="17"/>
    <n v="1508.7999999999993"/>
    <n v="0.11499999999999995"/>
    <n v="6"/>
    <n v="15"/>
    <x v="17"/>
    <x v="0"/>
  </r>
  <r>
    <s v="Акт входного контроля 000000216 от 15.06.2023 22:02:03"/>
    <s v="высший"/>
    <n v="325"/>
    <n v="105"/>
    <s v="Грин Рэй Кубань ООО (Овощеводство)"/>
    <s v="Мосенцев Алексей Егорович"/>
    <s v="Т680ОУ"/>
    <s v="А-26"/>
    <s v="А-26"/>
    <s v="Увертюра"/>
    <s v="Горох овощной свежий 10.01"/>
    <n v="27350"/>
    <n v="14380"/>
    <n v="11.5"/>
    <n v="12970"/>
    <n v="11478.4"/>
    <x v="0"/>
    <x v="17"/>
    <n v="1491.6000000000004"/>
    <n v="0.11500385505011568"/>
    <n v="6"/>
    <n v="15"/>
    <x v="17"/>
    <x v="0"/>
  </r>
  <r>
    <s v="Акт входного контроля 000000217 от 15.06.2023 0:00:00"/>
    <s v="высший"/>
    <n v="326"/>
    <n v="106"/>
    <s v="Грин Рэй Кубань ООО (Овощеводство)"/>
    <s v="Кулик О В"/>
    <s v="К403ЕМ"/>
    <s v="А-26"/>
    <s v="А-26"/>
    <s v="Увертюра"/>
    <s v="Горох овощной свежий 10.01"/>
    <n v="32610"/>
    <n v="17350"/>
    <n v="12.5"/>
    <n v="15260"/>
    <n v="13352.5"/>
    <x v="0"/>
    <x v="17"/>
    <n v="1907.5"/>
    <n v="0.125"/>
    <n v="6"/>
    <n v="15"/>
    <x v="17"/>
    <x v="0"/>
  </r>
  <r>
    <s v="Акт входного контроля 000000218 от 16.06.2023 0:27:24"/>
    <s v="высший"/>
    <n v="327"/>
    <n v="107"/>
    <s v="Грин Рэй Кубань ООО (Овощеводство)"/>
    <s v="Бербеницкий Сергей Николаевич"/>
    <s v="С400РР"/>
    <s v="А-26"/>
    <s v="А-26"/>
    <s v="Увертюра"/>
    <s v="Горох овощной свежий 10.01"/>
    <n v="28220"/>
    <n v="15090"/>
    <n v="11.5"/>
    <n v="13130"/>
    <n v="11620"/>
    <x v="0"/>
    <x v="18"/>
    <n v="1510"/>
    <n v="0.115003808073115"/>
    <n v="6"/>
    <n v="16"/>
    <x v="18"/>
    <x v="0"/>
  </r>
  <r>
    <s v="Акт входного контроля 000000219 от 16.06.2023 1:20:06"/>
    <s v="высший"/>
    <n v="328"/>
    <n v="108"/>
    <s v="Грин Рэй Кубань ООО (Овощеводство)"/>
    <s v="Мосенцев Алексей Егорович"/>
    <s v="Т680ОУ"/>
    <s v="А-26"/>
    <s v="А-26"/>
    <s v="Увертюра"/>
    <s v="Горох овощной свежий 10.01"/>
    <n v="27390"/>
    <n v="14430"/>
    <n v="11.5"/>
    <n v="12960"/>
    <n v="11469.6"/>
    <x v="0"/>
    <x v="18"/>
    <n v="1490.3999999999996"/>
    <n v="0.11499999999999998"/>
    <n v="6"/>
    <n v="16"/>
    <x v="18"/>
    <x v="0"/>
  </r>
  <r>
    <s v="Акт входного контроля 000000220 от 16.06.2023 2:27:28"/>
    <s v="высший"/>
    <n v="329"/>
    <n v="109"/>
    <s v="Грин Рэй Кубань ООО (Овощеводство)"/>
    <s v="Кулик О В"/>
    <s v="К403ЕМ"/>
    <s v="А-26"/>
    <s v="А-26"/>
    <s v="Увертюра"/>
    <s v="Горох овощной свежий 10.01"/>
    <n v="32260"/>
    <n v="17350"/>
    <n v="12.5"/>
    <n v="14910"/>
    <n v="13046.2"/>
    <x v="0"/>
    <x v="18"/>
    <n v="1863.7999999999993"/>
    <n v="0.12500335345405764"/>
    <n v="6"/>
    <n v="16"/>
    <x v="18"/>
    <x v="0"/>
  </r>
  <r>
    <s v="Акт входного контроля 000000221 от 16.06.2023 3:17:13"/>
    <s v="высший"/>
    <n v="330"/>
    <n v="107"/>
    <s v="Грин Рэй Кубань ООО (Овощеводство)"/>
    <s v="Бербеницкий Сергей Николаевич"/>
    <s v="С400РР"/>
    <s v="А-26"/>
    <s v="А-26"/>
    <s v="Увертюра"/>
    <s v="Горох овощной свежий 10.01"/>
    <n v="28260"/>
    <n v="15080"/>
    <n v="10.5"/>
    <n v="13180"/>
    <n v="11796.1"/>
    <x v="0"/>
    <x v="18"/>
    <n v="1383.8999999999996"/>
    <n v="0.10499999999999997"/>
    <n v="6"/>
    <n v="16"/>
    <x v="18"/>
    <x v="0"/>
  </r>
  <r>
    <s v="Акт входного контроля 000000222 от 16.06.2023 4:20:20"/>
    <s v="высший"/>
    <n v="331"/>
    <n v="111"/>
    <s v="Грин Рэй Кубань ООО (Овощеводство)"/>
    <s v="Мосенцев Алексей Егорович"/>
    <s v="Т680ОУ"/>
    <s v="А-26"/>
    <s v="А-26"/>
    <s v="Увертюра"/>
    <s v="Горох овощной свежий 10.01"/>
    <n v="27520"/>
    <n v="14500"/>
    <n v="9.5"/>
    <n v="13020"/>
    <n v="11783.1"/>
    <x v="0"/>
    <x v="18"/>
    <n v="1236.8999999999996"/>
    <n v="9.4999999999999973E-2"/>
    <n v="6"/>
    <n v="16"/>
    <x v="18"/>
    <x v="0"/>
  </r>
  <r>
    <s v="Акт входного контроля 000000223 от 16.06.2023 6:02:57"/>
    <s v="высший"/>
    <n v="332"/>
    <n v="112"/>
    <s v="Грин Рэй Кубань ООО (Овощеводство)"/>
    <s v="Кулик О В"/>
    <s v="К403ЕМ"/>
    <s v="А-26"/>
    <s v="А-26"/>
    <s v="Увертюра"/>
    <s v="Горох овощной свежий 10.01"/>
    <n v="32560"/>
    <n v="17350"/>
    <n v="11.5"/>
    <n v="15210"/>
    <n v="13460.8"/>
    <x v="0"/>
    <x v="18"/>
    <n v="1749.2000000000007"/>
    <n v="0.11500328731097967"/>
    <n v="6"/>
    <n v="16"/>
    <x v="18"/>
    <x v="0"/>
  </r>
  <r>
    <s v="Акт входного контроля 000000224 от 16.06.2023 8:54:44"/>
    <s v="высший"/>
    <n v="333"/>
    <n v="113"/>
    <s v="Грин Рэй Кубань ООО (Овощеводство)"/>
    <s v="Демченко Сергей Владимирович"/>
    <s v="Н317РТ"/>
    <s v="А-26"/>
    <s v="А-26"/>
    <s v="Увертюра"/>
    <s v="Горох овощной свежий 10.01"/>
    <n v="28310"/>
    <n v="15050"/>
    <n v="8"/>
    <n v="13260"/>
    <n v="12199.2"/>
    <x v="0"/>
    <x v="18"/>
    <n v="1060.7999999999993"/>
    <n v="7.9999999999999946E-2"/>
    <n v="6"/>
    <n v="16"/>
    <x v="18"/>
    <x v="0"/>
  </r>
  <r>
    <s v="Акт входного контроля 000000225 от 16.06.2023 9:49:55"/>
    <s v="высший"/>
    <n v="334"/>
    <n v="114"/>
    <s v="Грин Рэй Кубань ООО (Овощеводство)"/>
    <s v="Богучарский А. И."/>
    <s v="Е404УС"/>
    <s v="А-26"/>
    <s v="А-26"/>
    <s v="Увертюра"/>
    <s v="Горох овощной свежий 10.01"/>
    <n v="27250"/>
    <n v="14040"/>
    <n v="9.5"/>
    <n v="13210"/>
    <n v="11955"/>
    <x v="0"/>
    <x v="18"/>
    <n v="1255"/>
    <n v="9.5003785011355035E-2"/>
    <n v="6"/>
    <n v="16"/>
    <x v="18"/>
    <x v="0"/>
  </r>
  <r>
    <s v="Акт входного контроля 000000226 от 16.06.2023 10:43:06"/>
    <s v="высший"/>
    <n v="335"/>
    <n v="115"/>
    <s v="Грин Рэй Кубань ООО (Овощеводство)"/>
    <s v="Дзюба Николай Сергеевич"/>
    <s v="Р383РЕ"/>
    <s v="А-26"/>
    <s v="А-26"/>
    <s v="Увертюра"/>
    <s v="Горох овощной свежий 10.01"/>
    <n v="27880"/>
    <n v="14630"/>
    <n v="8.5"/>
    <n v="13250"/>
    <n v="12123.7"/>
    <x v="0"/>
    <x v="18"/>
    <n v="1126.2999999999993"/>
    <n v="8.5003773584905601E-2"/>
    <n v="6"/>
    <n v="16"/>
    <x v="18"/>
    <x v="0"/>
  </r>
  <r>
    <s v="Акт входного контроля 000000227 от 16.06.2023 13:27:15"/>
    <s v="высший"/>
    <n v="336"/>
    <n v="116"/>
    <s v="Грин Рэй Кубань ООО (Овощеводство)"/>
    <s v="Звада Евгений Евгеньевич"/>
    <s v="А688АМ"/>
    <s v="А-26"/>
    <s v="А-26"/>
    <s v="Увертюра"/>
    <s v="Горох овощной свежий 10.01"/>
    <n v="28080"/>
    <n v="14770"/>
    <n v="9"/>
    <n v="13310"/>
    <n v="12112.1"/>
    <x v="0"/>
    <x v="18"/>
    <n v="1197.8999999999996"/>
    <n v="8.9999999999999969E-2"/>
    <n v="6"/>
    <n v="16"/>
    <x v="18"/>
    <x v="0"/>
  </r>
  <r>
    <s v="Акт входного контроля 000000228 от 16.06.2023 14:18:22"/>
    <s v="первый"/>
    <n v="338"/>
    <n v="117"/>
    <s v="Грин Рэй Кубань ООО (Овощеводство)"/>
    <s v="Демченко Сергей Владимирович"/>
    <s v="Н317РТ"/>
    <s v="А-26"/>
    <s v="А-26"/>
    <s v="Увертюра"/>
    <s v="Горох овощной свежий 10.01"/>
    <n v="28260"/>
    <n v="15030"/>
    <n v="10.5"/>
    <n v="13230"/>
    <n v="11840.8"/>
    <x v="0"/>
    <x v="18"/>
    <n v="1389.2000000000007"/>
    <n v="0.10500377928949363"/>
    <n v="6"/>
    <n v="16"/>
    <x v="18"/>
    <x v="0"/>
  </r>
  <r>
    <s v="Акт входного контроля 000000229 от 16.06.2023 15:06:09"/>
    <s v="высший"/>
    <n v="340"/>
    <n v="118"/>
    <s v="Грин Рэй Кубань ООО (Овощеводство)"/>
    <s v="Богучарский А. И."/>
    <s v="Е404УС"/>
    <s v="А-26"/>
    <s v="А-26"/>
    <s v="Увертюра"/>
    <s v="Горох овощной свежий 10.01"/>
    <n v="32110"/>
    <n v="14020"/>
    <n v="9.5"/>
    <n v="18090"/>
    <n v="16371.4"/>
    <x v="0"/>
    <x v="18"/>
    <n v="1718.6000000000004"/>
    <n v="9.500276395798786E-2"/>
    <n v="6"/>
    <n v="16"/>
    <x v="18"/>
    <x v="0"/>
  </r>
  <r>
    <s v="Акт входного контроля 000000230 от 16.06.2023 16:59:53"/>
    <s v="первый"/>
    <n v="341"/>
    <n v="119"/>
    <s v="Грин Рэй Кубань ООО (Овощеводство)"/>
    <s v="Дзюба Николай Сергеевич"/>
    <s v="Р383РЕ"/>
    <s v="А-26"/>
    <s v="А-26"/>
    <s v="Увертюра"/>
    <s v="Горох овощной свежий 10.01"/>
    <n v="27380"/>
    <n v="14610"/>
    <n v="8.5"/>
    <n v="12770"/>
    <n v="11684.5"/>
    <x v="0"/>
    <x v="18"/>
    <n v="1085.5"/>
    <n v="8.5003915426781526E-2"/>
    <n v="6"/>
    <n v="16"/>
    <x v="18"/>
    <x v="0"/>
  </r>
  <r>
    <s v="Акт входного контроля 000000231 от 16.06.2023 20:14:50"/>
    <s v="высший"/>
    <n v="342"/>
    <n v="120"/>
    <s v="Грин Рэй Кубань ООО (Овощеводство)"/>
    <s v="Звада Евгений Евгеньевич"/>
    <s v="А688АМ"/>
    <s v="А-78"/>
    <s v="А-78"/>
    <s v="Увертюра"/>
    <s v="Горох овощной свежий 10.01"/>
    <n v="28340"/>
    <m/>
    <n v="11.5"/>
    <n v="13590"/>
    <n v="12027.1"/>
    <x v="0"/>
    <x v="18"/>
    <n v="1562.8999999999996"/>
    <n v="0.11500367917586458"/>
    <n v="6"/>
    <n v="16"/>
    <x v="18"/>
    <x v="0"/>
  </r>
  <r>
    <s v="Акт входного контроля 000000232 от 16.06.2023 22:15:09"/>
    <s v="высший"/>
    <n v="343"/>
    <n v="121"/>
    <s v="Грин Рэй Кубань ООО (Овощеводство)"/>
    <s v="Демченко Сергей Владимирович"/>
    <s v="Н317РТ"/>
    <s v="А-78"/>
    <s v="А-78"/>
    <s v="Увертюра"/>
    <s v="Горох овощной свежий 10.01"/>
    <n v="28630"/>
    <n v="15020"/>
    <n v="10.5"/>
    <n v="13610"/>
    <n v="12180.9"/>
    <x v="0"/>
    <x v="18"/>
    <n v="1429.1000000000004"/>
    <n v="0.10500367376928732"/>
    <n v="6"/>
    <n v="16"/>
    <x v="18"/>
    <x v="0"/>
  </r>
  <r>
    <s v="Акт входного контроля 000000233 от 16.06.2023 23:05:47"/>
    <s v="высший"/>
    <n v="344"/>
    <n v="122"/>
    <s v="Грин Рэй Кубань ООО (Овощеводство)"/>
    <s v="Богучарский А. И."/>
    <s v="Е404УС"/>
    <s v="А-78"/>
    <s v="А-78"/>
    <s v="Увертюра"/>
    <s v="Горох овощной свежий 10.01"/>
    <n v="27590"/>
    <n v="14180"/>
    <n v="10.5"/>
    <n v="13410"/>
    <n v="12001.9"/>
    <x v="0"/>
    <x v="18"/>
    <n v="1408.1000000000004"/>
    <n v="0.10500372856077557"/>
    <n v="6"/>
    <n v="16"/>
    <x v="18"/>
    <x v="0"/>
  </r>
  <r>
    <s v="Акт входного контроля 000000235 от 17.06.2023 0:59:17"/>
    <s v="второй"/>
    <n v="345"/>
    <n v="123"/>
    <s v="Грин Рэй Кубань ООО (Овощеводство)"/>
    <s v="Дзюба Николай Сергеевич"/>
    <s v="Р383РЕ"/>
    <s v="А-78"/>
    <s v="А-78"/>
    <s v="Увертюра"/>
    <s v="Горох овощной свежий 10.01"/>
    <n v="27850"/>
    <n v="14590"/>
    <n v="8.5"/>
    <n v="13260"/>
    <n v="12132.9"/>
    <x v="0"/>
    <x v="19"/>
    <n v="1127.1000000000004"/>
    <n v="8.5000000000000034E-2"/>
    <n v="6"/>
    <n v="17"/>
    <x v="19"/>
    <x v="0"/>
  </r>
  <r>
    <s v="Акт входного контроля 000000237 от 17.06.2023 1:48:13"/>
    <s v="второй"/>
    <n v="346"/>
    <n v="124"/>
    <s v="Грин Рэй Кубань ООО (Овощеводство)"/>
    <s v="Звада Евгений Евгеньевич"/>
    <s v="А688АМ"/>
    <s v="А-78"/>
    <s v="А-78"/>
    <s v="Увертюра"/>
    <s v="Горох овощной свежий 10.01"/>
    <n v="28020"/>
    <n v="14640"/>
    <n v="7.5"/>
    <n v="13380"/>
    <n v="12376.5"/>
    <x v="0"/>
    <x v="19"/>
    <n v="1003.5"/>
    <n v="7.4999999999999997E-2"/>
    <n v="6"/>
    <n v="17"/>
    <x v="19"/>
    <x v="0"/>
  </r>
  <r>
    <s v="Акт входного контроля 000000234 от 17.06.2023 3:14:21"/>
    <s v="второй"/>
    <n v="347"/>
    <n v="125"/>
    <s v="Грин Рэй Кубань ООО (Овощеводство)"/>
    <s v="Демченко Сергей Владимирович"/>
    <s v="Н317РТ"/>
    <s v="А-78"/>
    <s v="А-78"/>
    <s v="Увертюра"/>
    <s v="Горох овощной свежий 10.01"/>
    <n v="28260"/>
    <n v="15000"/>
    <n v="7.5"/>
    <n v="13260"/>
    <n v="12265.5"/>
    <x v="0"/>
    <x v="19"/>
    <n v="994.5"/>
    <n v="7.4999999999999997E-2"/>
    <n v="6"/>
    <n v="17"/>
    <x v="19"/>
    <x v="0"/>
  </r>
  <r>
    <s v="Акт входного контроля 000000236 от 17.06.2023 5:00:22"/>
    <s v="второй"/>
    <n v="348"/>
    <n v="126"/>
    <s v="Грин Рэй Кубань ООО (Овощеводство)"/>
    <s v="Богучарский А. И."/>
    <s v="Е404УС"/>
    <s v="А-78"/>
    <s v="А-78"/>
    <s v="Увертюра"/>
    <s v="Горох овощной свежий 10.01"/>
    <n v="27400"/>
    <n v="14160"/>
    <n v="7.5"/>
    <n v="13240"/>
    <n v="12247"/>
    <x v="0"/>
    <x v="19"/>
    <n v="993"/>
    <n v="7.4999999999999997E-2"/>
    <n v="6"/>
    <n v="17"/>
    <x v="19"/>
    <x v="0"/>
  </r>
  <r>
    <s v="Акт входного контроля 000000238 от 17.06.2023 11:17:35"/>
    <s v="второй"/>
    <n v="349"/>
    <n v="127"/>
    <s v="Грин Рэй Кубань ООО (Овощеводство)"/>
    <s v="Гуйда Николай Николаевич"/>
    <s v="А816ЕВ"/>
    <s v="А-56"/>
    <s v="А-56"/>
    <s v="Увертюра"/>
    <s v="Горох овощной свежий 10.01"/>
    <n v="27360"/>
    <n v="14350"/>
    <n v="7.5"/>
    <n v="13010"/>
    <n v="12034.2"/>
    <x v="0"/>
    <x v="19"/>
    <n v="975.79999999999927"/>
    <n v="7.5003843197540304E-2"/>
    <n v="6"/>
    <n v="17"/>
    <x v="19"/>
    <x v="0"/>
  </r>
  <r>
    <s v="Акт входного контроля 000000239 от 17.06.2023 12:20:35"/>
    <s v="второй"/>
    <n v="350"/>
    <n v="128"/>
    <s v="Грин Рэй Кубань ООО (Овощеводство)"/>
    <s v="Бербеницкий Сергей Николаевич"/>
    <s v="С400РР"/>
    <s v="А-56"/>
    <s v="А-56"/>
    <s v="Увертюра"/>
    <s v="Горох овощной свежий 10.01"/>
    <n v="27930"/>
    <n v="15100"/>
    <n v="7.7"/>
    <n v="12830"/>
    <n v="11847.7"/>
    <x v="0"/>
    <x v="19"/>
    <n v="982.29999999999927"/>
    <n v="7.6562743569758326E-2"/>
    <n v="6"/>
    <n v="17"/>
    <x v="19"/>
    <x v="0"/>
  </r>
  <r>
    <s v="Акт входного контроля 000000240 от 17.06.2023 12:36:48"/>
    <s v="первый"/>
    <n v="351"/>
    <n v="129"/>
    <s v="Грин Рэй Кубань ООО (Овощеводство)"/>
    <s v="Мосенцев Алексей Егорович"/>
    <s v="Т680ОУ"/>
    <s v="А-56"/>
    <s v="А-56"/>
    <s v="Увертюра"/>
    <s v="Горох овощной свежий 10.01"/>
    <n v="27260"/>
    <n v="14380"/>
    <n v="7.5"/>
    <n v="12880"/>
    <n v="11914"/>
    <x v="0"/>
    <x v="19"/>
    <n v="966"/>
    <n v="7.4999999999999997E-2"/>
    <n v="6"/>
    <n v="17"/>
    <x v="19"/>
    <x v="0"/>
  </r>
  <r>
    <s v="Акт входного контроля 000000242 от 17.06.2023 13:38:33"/>
    <s v="первый"/>
    <n v="352"/>
    <n v="130"/>
    <s v="Грин Рэй Кубань ООО (Овощеводство)"/>
    <s v="Гуйда Николай Николаевич"/>
    <s v="А816ЕВ"/>
    <s v="А-56"/>
    <s v="А-56"/>
    <s v="Увертюра"/>
    <s v="Горох овощной свежий 10.01"/>
    <n v="27390"/>
    <n v="14300"/>
    <n v="8.5"/>
    <n v="13090"/>
    <n v="11977.3"/>
    <x v="0"/>
    <x v="19"/>
    <n v="1112.7000000000007"/>
    <n v="8.5003819709702125E-2"/>
    <n v="6"/>
    <n v="17"/>
    <x v="19"/>
    <x v="0"/>
  </r>
  <r>
    <s v="Акт входного контроля 000000241 от 17.06.2023 15:16:06"/>
    <s v="первый"/>
    <n v="353"/>
    <n v="131"/>
    <s v="Грин Рэй Кубань ООО (Овощеводство)"/>
    <s v="Бербеницкий Сергей Николаевич"/>
    <s v="С400РР"/>
    <s v="А-56"/>
    <s v="А-56"/>
    <s v="Увертюра"/>
    <s v="Горох овощной свежий 10.01"/>
    <n v="28100"/>
    <n v="15090"/>
    <n v="6.5"/>
    <n v="13010"/>
    <n v="12164.3"/>
    <x v="0"/>
    <x v="19"/>
    <n v="845.70000000000073"/>
    <n v="6.5003843197540406E-2"/>
    <n v="6"/>
    <n v="17"/>
    <x v="19"/>
    <x v="0"/>
  </r>
  <r>
    <s v="Акт входного контроля 000000243 от 17.06.2023 17:26:18"/>
    <s v="первый"/>
    <n v="354"/>
    <n v="132"/>
    <s v="Грин Рэй Кубань ООО (Овощеводство)"/>
    <s v="Мосенцев Алексей Егорович"/>
    <s v="Т680ОУ"/>
    <s v="А-56"/>
    <s v="А-56"/>
    <s v="Увертюра"/>
    <s v="Горох овощной свежий 10.01"/>
    <n v="27690"/>
    <n v="14350"/>
    <n v="5.5"/>
    <n v="13340"/>
    <n v="12606.3"/>
    <x v="0"/>
    <x v="19"/>
    <n v="733.70000000000073"/>
    <n v="5.5000000000000056E-2"/>
    <n v="6"/>
    <n v="17"/>
    <x v="19"/>
    <x v="0"/>
  </r>
  <r>
    <s v="Акт входного контроля 000000244 от 17.06.2023 20:46:58"/>
    <s v="первый"/>
    <n v="355"/>
    <n v="133"/>
    <s v="Грин Рэй Кубань ООО (Овощеводство)"/>
    <s v="Бербеницкий Сергей Николаевич"/>
    <s v="С400РР"/>
    <s v="А-56"/>
    <s v="А-56"/>
    <s v="Увертюра"/>
    <s v="Горох овощной свежий 10.01"/>
    <n v="28260"/>
    <n v="15070"/>
    <n v="6.5"/>
    <n v="13190"/>
    <n v="12332.6"/>
    <x v="0"/>
    <x v="19"/>
    <n v="857.39999999999964"/>
    <n v="6.5003790750568585E-2"/>
    <n v="6"/>
    <n v="17"/>
    <x v="19"/>
    <x v="0"/>
  </r>
  <r>
    <s v="Акт входного контроля 000000245 от 17.06.2023 21:43:25"/>
    <s v="первый"/>
    <n v="356"/>
    <n v="134"/>
    <s v="Грин Рэй Кубань ООО (Овощеводство)"/>
    <s v="Гуйда Николай Николаевич"/>
    <s v="А816ЕВ"/>
    <s v="А-56"/>
    <s v="А-56"/>
    <s v="Увертюра"/>
    <s v="Горох овощной свежий 10.01"/>
    <n v="27390"/>
    <n v="14280"/>
    <n v="7.5"/>
    <n v="13110"/>
    <n v="12126.7"/>
    <x v="0"/>
    <x v="19"/>
    <n v="983.29999999999927"/>
    <n v="7.5003813882532369E-2"/>
    <n v="6"/>
    <n v="17"/>
    <x v="19"/>
    <x v="0"/>
  </r>
  <r>
    <s v="Акт входного контроля 000000246 от 17.06.2023 22:29:00"/>
    <s v="первый"/>
    <n v="357"/>
    <n v="135"/>
    <s v="Грин Рэй Кубань ООО (Овощеводство)"/>
    <s v="Мосенцев Алексей Егорович"/>
    <s v="Т680ОУ"/>
    <s v="А-56"/>
    <s v="А-56"/>
    <s v="Увертюра"/>
    <s v="Горох овощной свежий 10.01"/>
    <n v="27470"/>
    <n v="14350"/>
    <n v="7"/>
    <n v="13120"/>
    <n v="12201.6"/>
    <x v="0"/>
    <x v="19"/>
    <n v="918.39999999999964"/>
    <n v="6.9999999999999979E-2"/>
    <n v="6"/>
    <n v="17"/>
    <x v="19"/>
    <x v="0"/>
  </r>
  <r>
    <s v="Акт входного контроля 000000247 от 17.06.2023 23:29:47"/>
    <s v="первый"/>
    <n v="358"/>
    <n v="136"/>
    <s v="Грин Рэй Кубань ООО (Овощеводство)"/>
    <s v="Бербеницкий Сергей Николаевич"/>
    <s v="С400РР"/>
    <s v="А-56"/>
    <s v="А-56"/>
    <s v="Увертюра"/>
    <s v="Горох овощной свежий 10.01"/>
    <n v="28140"/>
    <n v="15060"/>
    <n v="7.5"/>
    <n v="13080"/>
    <n v="12099"/>
    <x v="0"/>
    <x v="19"/>
    <n v="981"/>
    <n v="7.4999999999999997E-2"/>
    <n v="6"/>
    <n v="17"/>
    <x v="19"/>
    <x v="0"/>
  </r>
  <r>
    <s v="Акт входного контроля 000000248 от 18.06.2023 0:19:19"/>
    <s v="первый"/>
    <n v="359"/>
    <n v="137"/>
    <s v="Грин Рэй Кубань ООО (Овощеводство)"/>
    <s v="Гуйда Николай Николаевич"/>
    <s v="А816ЕВ"/>
    <s v="А-56"/>
    <s v="А-56"/>
    <s v="Увертюра"/>
    <s v="Горох овощной свежий 10.01"/>
    <n v="27200"/>
    <n v="14270"/>
    <n v="7.5"/>
    <n v="12930"/>
    <n v="11960.2"/>
    <x v="0"/>
    <x v="20"/>
    <n v="969.79999999999927"/>
    <n v="7.5003866976024694E-2"/>
    <n v="6"/>
    <n v="18"/>
    <x v="20"/>
    <x v="0"/>
  </r>
  <r>
    <s v="Акт входного контроля 000000249 от 18.06.2023 1:59:54"/>
    <s v="первый"/>
    <n v="360"/>
    <n v="138"/>
    <s v="Грин Рэй Кубань ООО (Овощеводство)"/>
    <s v="Мосенцев Алексей Егорович"/>
    <s v="Т680ОУ"/>
    <s v="А-56"/>
    <s v="А-56"/>
    <s v="Увертюра"/>
    <s v="Горох овощной свежий 10.01"/>
    <n v="27350"/>
    <n v="14480"/>
    <n v="7.5"/>
    <n v="12870"/>
    <n v="11904.7"/>
    <x v="0"/>
    <x v="20"/>
    <n v="965.29999999999927"/>
    <n v="7.5003885003884954E-2"/>
    <n v="6"/>
    <n v="18"/>
    <x v="20"/>
    <x v="0"/>
  </r>
  <r>
    <s v="Акт входного контроля 000000250 от 18.06.2023 7:17:21"/>
    <s v="первый"/>
    <n v="361"/>
    <n v="139"/>
    <s v="Грин Рэй Кубань ООО (Овощеводство)"/>
    <s v="Бербеницкий Сергей Николаевич"/>
    <s v="С400РР"/>
    <s v="А-56"/>
    <s v="А-56"/>
    <s v="Увертюра"/>
    <s v="Горох овощной свежий 10.01"/>
    <n v="28210"/>
    <n v="15060"/>
    <n v="5.5"/>
    <n v="13150"/>
    <n v="12426.7"/>
    <x v="0"/>
    <x v="20"/>
    <n v="723.29999999999927"/>
    <n v="5.5003802281368766E-2"/>
    <n v="6"/>
    <n v="18"/>
    <x v="20"/>
    <x v="0"/>
  </r>
  <r>
    <s v="Акт входного контроля 000000251 от 18.06.2023 4:28:27"/>
    <s v="первый"/>
    <n v="362"/>
    <n v="140"/>
    <s v="Грин Рэй Кубань ООО (Овощеводство)"/>
    <s v="Гуйда Николай Николаевич"/>
    <s v="А816ЕВ"/>
    <s v="А-55"/>
    <s v="А-55"/>
    <s v="Увертюра"/>
    <s v="Горох овощной свежий 10.01"/>
    <n v="27190"/>
    <n v="14270"/>
    <n v="8.5"/>
    <n v="12920"/>
    <n v="11821.8"/>
    <x v="0"/>
    <x v="20"/>
    <n v="1098.2000000000007"/>
    <n v="8.5000000000000062E-2"/>
    <n v="6"/>
    <n v="18"/>
    <x v="20"/>
    <x v="0"/>
  </r>
  <r>
    <s v="Акт входного контроля 000000252 от 18.06.2023 5:49:00"/>
    <s v="первый"/>
    <n v="363"/>
    <n v="141"/>
    <s v="Грин Рэй Кубань ООО (Овощеводство)"/>
    <s v="Мосенцев Алексей Егорович"/>
    <s v="Т680ОУ"/>
    <s v="А-55"/>
    <s v="А-55"/>
    <s v="Увертюра"/>
    <s v="Горох овощной свежий 10.01"/>
    <n v="28120"/>
    <n v="14490"/>
    <n v="6.5"/>
    <n v="13630"/>
    <n v="12744"/>
    <x v="0"/>
    <x v="20"/>
    <n v="886"/>
    <n v="6.5003668378576671E-2"/>
    <n v="6"/>
    <n v="18"/>
    <x v="20"/>
    <x v="0"/>
  </r>
  <r>
    <s v="Акт входного контроля 000000253 от 18.06.2023 11:05:45"/>
    <s v="второй"/>
    <n v="364"/>
    <n v="142"/>
    <s v="Грин Рэй Кубань ООО (Овощеводство)"/>
    <s v="Дзюба Николай Сергеевич"/>
    <s v="Р383РЕ"/>
    <s v="А-55"/>
    <s v="А-55"/>
    <s v="Увертюра"/>
    <s v="Горох овощной свежий 10.01"/>
    <n v="27970"/>
    <n v="14570"/>
    <n v="6.5"/>
    <n v="13400"/>
    <n v="12529"/>
    <x v="0"/>
    <x v="20"/>
    <n v="871"/>
    <n v="6.5000000000000002E-2"/>
    <n v="6"/>
    <n v="18"/>
    <x v="20"/>
    <x v="0"/>
  </r>
  <r>
    <s v="Акт входного контроля 000000254 от 18.06.2023 11:27:25"/>
    <s v="второй"/>
    <n v="365"/>
    <n v="143"/>
    <s v="Грин Рэй Кубань ООО (Овощеводство)"/>
    <s v="Богучарский А. И."/>
    <s v="Е404УС"/>
    <s v="А-55"/>
    <s v="А-55"/>
    <s v="Увертюра"/>
    <s v="Горох овощной свежий 10.01"/>
    <n v="27540"/>
    <n v="14030"/>
    <n v="5.5"/>
    <n v="13510"/>
    <n v="12766.9"/>
    <x v="0"/>
    <x v="20"/>
    <n v="743.10000000000036"/>
    <n v="5.5003700962250213E-2"/>
    <n v="6"/>
    <n v="18"/>
    <x v="20"/>
    <x v="0"/>
  </r>
  <r>
    <s v="Акт входного контроля 000000255 от 18.06.2023 13:51:20"/>
    <s v="первый"/>
    <n v="366"/>
    <n v="144"/>
    <s v="Грин Рэй Кубань ООО (Овощеводство)"/>
    <s v="Демченко Сергей Владимирович"/>
    <s v="Н317РТ"/>
    <s v="А-55"/>
    <s v="А-55"/>
    <s v="Увертюра"/>
    <s v="Горох овощной свежий 10.01"/>
    <n v="28640"/>
    <n v="14980"/>
    <n v="7.5"/>
    <n v="13660"/>
    <n v="12635.5"/>
    <x v="0"/>
    <x v="20"/>
    <n v="1024.5"/>
    <n v="7.4999999999999997E-2"/>
    <n v="6"/>
    <n v="18"/>
    <x v="20"/>
    <x v="0"/>
  </r>
  <r>
    <s v="Акт входного контроля 000000256 от 18.06.2023 14:59:26"/>
    <s v="первый"/>
    <n v="367"/>
    <n v="145"/>
    <s v="Грин Рэй Кубань ООО (Овощеводство)"/>
    <s v="Звада Евгений Евгеньевич"/>
    <s v="А688АМ"/>
    <s v="А-55"/>
    <s v="А-55"/>
    <s v="Увертюра"/>
    <s v="Горох овощной свежий 10.01"/>
    <n v="28460"/>
    <n v="14720"/>
    <n v="6.5"/>
    <n v="13740"/>
    <n v="12846.9"/>
    <x v="0"/>
    <x v="20"/>
    <n v="893.10000000000036"/>
    <n v="6.500000000000003E-2"/>
    <n v="6"/>
    <n v="18"/>
    <x v="20"/>
    <x v="0"/>
  </r>
  <r>
    <s v="Акт входного контроля 000000257 от 18.06.2023 16:09:00"/>
    <s v="первый"/>
    <n v="368"/>
    <n v="146"/>
    <s v="Грин Рэй Кубань ООО (Овощеводство)"/>
    <s v="Дзюба Николай Сергеевич"/>
    <s v="Р383РЕ"/>
    <s v="А-55"/>
    <s v="А-55"/>
    <s v="Увертюра"/>
    <s v="Горох овощной свежий 10.01"/>
    <n v="28440"/>
    <n v="14630"/>
    <n v="6.5"/>
    <n v="13810"/>
    <n v="12912.3"/>
    <x v="0"/>
    <x v="20"/>
    <n v="897.70000000000073"/>
    <n v="6.5003620564808157E-2"/>
    <n v="6"/>
    <n v="18"/>
    <x v="20"/>
    <x v="0"/>
  </r>
  <r>
    <s v="Акт входного контроля 000000258 от 18.06.2023 20:22:19"/>
    <s v="первый"/>
    <n v="369"/>
    <n v="147"/>
    <s v="Грин Рэй Кубань ООО (Овощеводство)"/>
    <s v="Богучарский А. И."/>
    <s v="Е404УС"/>
    <s v="А-55"/>
    <s v="А-55"/>
    <s v="Увертюра"/>
    <s v="Горох овощной свежий 10.01"/>
    <n v="27640"/>
    <n v="14000"/>
    <n v="6.5"/>
    <n v="13640"/>
    <n v="12753.4"/>
    <x v="0"/>
    <x v="20"/>
    <n v="886.60000000000036"/>
    <n v="6.500000000000003E-2"/>
    <n v="6"/>
    <n v="18"/>
    <x v="20"/>
    <x v="0"/>
  </r>
  <r>
    <s v="Акт входного контроля 000000259 от 18.06.2023 18:44:40"/>
    <s v="первый"/>
    <n v="370"/>
    <n v="148"/>
    <s v="Грин Рэй Кубань ООО (Овощеводство)"/>
    <s v="Демченко Сергей Владимирович"/>
    <s v="Н317РТ"/>
    <s v="А-55"/>
    <s v="А-55"/>
    <s v="Увертюра"/>
    <s v="Горох овощной свежий 10.01"/>
    <n v="28430"/>
    <n v="14970"/>
    <n v="7.5"/>
    <n v="13460"/>
    <n v="12450.5"/>
    <x v="0"/>
    <x v="20"/>
    <n v="1009.5"/>
    <n v="7.4999999999999997E-2"/>
    <n v="6"/>
    <n v="18"/>
    <x v="20"/>
    <x v="0"/>
  </r>
  <r>
    <s v="Акт входного контроля 000000260 от 18.06.2023 22:40:52"/>
    <s v="первый"/>
    <n v="371"/>
    <n v="149"/>
    <s v="Грин Рэй Кубань ООО (Овощеводство)"/>
    <s v="Звада Евгений Егеньевич"/>
    <s v="А688АМ"/>
    <s v="А-55"/>
    <s v="А-55"/>
    <s v="Увертюра"/>
    <s v="Горох овощной свежий 10.01"/>
    <n v="28240"/>
    <n v="14680"/>
    <n v="5.5"/>
    <n v="13560"/>
    <n v="12814.2"/>
    <x v="0"/>
    <x v="20"/>
    <n v="745.79999999999927"/>
    <n v="5.4999999999999945E-2"/>
    <n v="6"/>
    <n v="18"/>
    <x v="20"/>
    <x v="0"/>
  </r>
  <r>
    <s v="Акт входного контроля 000000261 от 18.06.2023 23:11:03"/>
    <s v="второй"/>
    <n v="372"/>
    <n v="150"/>
    <s v="Грин Рэй Кубань ООО (Овощеводство)"/>
    <s v="Дзюба Николай Сергеевич"/>
    <s v="Р383РЕ"/>
    <s v="А-55"/>
    <s v="А-55"/>
    <s v="Увертюра"/>
    <s v="Горох овощной свежий 10.01"/>
    <n v="27960"/>
    <n v="14620"/>
    <n v="6.5"/>
    <n v="13340"/>
    <n v="12472.9"/>
    <x v="0"/>
    <x v="20"/>
    <n v="867.10000000000036"/>
    <n v="6.500000000000003E-2"/>
    <n v="6"/>
    <n v="18"/>
    <x v="20"/>
    <x v="0"/>
  </r>
  <r>
    <s v="Акт входного контроля 000000262 от 18.06.2023 22:56:31"/>
    <s v="второй"/>
    <n v="374"/>
    <n v="151"/>
    <s v="Грин Рэй Кубань ООО (Овощеводство)"/>
    <s v="Богучарский А. И."/>
    <s v="Е404УС"/>
    <s v="А-55"/>
    <s v="А-55"/>
    <s v="Увертюра"/>
    <s v="Горох овощной свежий 10.01"/>
    <n v="27480"/>
    <n v="14140"/>
    <n v="5.5"/>
    <n v="13340"/>
    <n v="12606.3"/>
    <x v="0"/>
    <x v="20"/>
    <n v="733.70000000000073"/>
    <n v="5.5000000000000056E-2"/>
    <n v="6"/>
    <n v="18"/>
    <x v="20"/>
    <x v="0"/>
  </r>
  <r>
    <s v="Акт входного контроля 000000263 от 19.06.2023 2:53:56"/>
    <s v="второй"/>
    <n v="375"/>
    <n v="152"/>
    <s v="Грин Рэй Кубань ООО (Овощеводство)"/>
    <s v="Демченко Сергей Владимирович"/>
    <s v="Н317РТ"/>
    <s v="А-55"/>
    <s v="А-55"/>
    <s v="Увертюра"/>
    <s v="Горох овощной свежий 10.01"/>
    <n v="28300"/>
    <n v="15020"/>
    <n v="6.5"/>
    <n v="13280"/>
    <n v="12416.8"/>
    <x v="0"/>
    <x v="21"/>
    <n v="863.20000000000073"/>
    <n v="6.5000000000000058E-2"/>
    <n v="6"/>
    <n v="19"/>
    <x v="21"/>
    <x v="0"/>
  </r>
  <r>
    <s v="Акт входного контроля 000000264 от 19.06.2023 5:03:44"/>
    <s v="второй"/>
    <n v="376"/>
    <n v="153"/>
    <s v="Грин Рэй Кубань ООО (Овощеводство)"/>
    <s v="Звада Евгений Евгеньевич"/>
    <s v="А688АМ"/>
    <s v="А-55"/>
    <s v="А-55"/>
    <s v="Увертюра"/>
    <s v="Горох овощной свежий 10.01"/>
    <n v="27960"/>
    <n v="14230"/>
    <n v="7.5"/>
    <n v="13730"/>
    <n v="12700.2"/>
    <x v="0"/>
    <x v="21"/>
    <n v="1029.7999999999993"/>
    <n v="7.5003641660597184E-2"/>
    <n v="6"/>
    <n v="19"/>
    <x v="21"/>
    <x v="0"/>
  </r>
  <r>
    <s v="Акт входного контроля 000000265 от 19.06.2023 6:56:54"/>
    <s v="высший"/>
    <n v="377"/>
    <n v="154"/>
    <s v="Грин Рэй Кубань ООО (Овощеводство)"/>
    <s v="Дзюба Николай Сергеевич"/>
    <s v="Р383РЕ"/>
    <s v="А-111"/>
    <s v="А-111"/>
    <s v="Увертюра"/>
    <s v="Горох овощной свежий 10.01"/>
    <n v="28100"/>
    <n v="14530"/>
    <n v="19.5"/>
    <n v="13570"/>
    <n v="10923.8"/>
    <x v="0"/>
    <x v="21"/>
    <n v="2646.2000000000007"/>
    <n v="0.19500368459837883"/>
    <n v="6"/>
    <n v="19"/>
    <x v="21"/>
    <x v="0"/>
  </r>
  <r>
    <s v="Акт входного контроля 000000266 от 19.06.2023 10:11:27"/>
    <s v="высший"/>
    <n v="378"/>
    <n v="151"/>
    <s v="Грин Рэй Кубань ООО (Овощеводство)"/>
    <s v="Богучарский А. И."/>
    <s v="Е404УС"/>
    <s v="А-111"/>
    <s v="А-111"/>
    <s v="Увертюра"/>
    <s v="Горох овощной свежий 10.01"/>
    <n v="27670"/>
    <n v="14030"/>
    <n v="15.5"/>
    <n v="13640"/>
    <n v="11525.8"/>
    <x v="0"/>
    <x v="21"/>
    <n v="2114.2000000000007"/>
    <n v="0.15500000000000005"/>
    <n v="6"/>
    <n v="19"/>
    <x v="21"/>
    <x v="0"/>
  </r>
  <r>
    <s v="Акт входного контроля 000000267 от 19.06.2023 14:02:04"/>
    <s v="высший"/>
    <n v="381"/>
    <n v="156"/>
    <s v="Грин Рэй Кубань ООО (Овощеводство)"/>
    <s v="Бербеницкий Сергей Николаевич"/>
    <s v="С400РР"/>
    <s v="А-111"/>
    <s v="А-111"/>
    <s v="Увертюра"/>
    <s v="Горох овощной свежий 10.01"/>
    <n v="25590"/>
    <n v="15080"/>
    <n v="12.2"/>
    <n v="10510"/>
    <n v="9230.9"/>
    <x v="0"/>
    <x v="21"/>
    <n v="1279.1000000000004"/>
    <n v="0.12170313986679357"/>
    <n v="6"/>
    <n v="19"/>
    <x v="21"/>
    <x v="0"/>
  </r>
  <r>
    <s v="Акт входного контроля 000000269 от 19.06.2023 17:28:52"/>
    <s v="высший"/>
    <n v="382"/>
    <n v="157"/>
    <s v="Грин Рэй Кубань ООО (Овощеводство)"/>
    <s v="Гуйда Николай Николаевич"/>
    <s v="А816ЕВ"/>
    <s v="А-108"/>
    <s v="А-108"/>
    <s v="Увертюра"/>
    <s v="Горох овощной свежий 10.01"/>
    <n v="28450"/>
    <n v="14270"/>
    <n v="12.5"/>
    <n v="14180"/>
    <n v="12407.5"/>
    <x v="0"/>
    <x v="21"/>
    <n v="1772.5"/>
    <n v="0.125"/>
    <n v="6"/>
    <n v="19"/>
    <x v="21"/>
    <x v="0"/>
  </r>
  <r>
    <s v="Акт входного контроля 000000270 от 19.06.2023 19:08:58"/>
    <s v="высший"/>
    <n v="383"/>
    <n v="158"/>
    <s v="Грин Рэй Кубань ООО (Овощеводство)"/>
    <s v="Бербеницкий Сергей Николаевич"/>
    <s v="С400РР"/>
    <s v="А-108"/>
    <s v="А-108"/>
    <s v="Увертюра"/>
    <s v="Горох овощной свежий 10.01"/>
    <n v="28870"/>
    <n v="15080"/>
    <n v="10.5"/>
    <n v="13790"/>
    <n v="12342"/>
    <x v="0"/>
    <x v="21"/>
    <n v="1448"/>
    <n v="0.10500362581580856"/>
    <n v="6"/>
    <n v="19"/>
    <x v="21"/>
    <x v="0"/>
  </r>
  <r>
    <s v="Акт входного контроля 000000271 от 19.06.2023 20:41:17"/>
    <s v="высший"/>
    <n v="384"/>
    <n v="159"/>
    <s v="Грин Рэй Кубань ООО (Овощеводство)"/>
    <s v="Мосенцев Алексей Егорович"/>
    <s v="Т680ОУ"/>
    <s v="А-108"/>
    <s v="А-108"/>
    <s v="Увертюра"/>
    <s v="Горох овощной свежий 10.01"/>
    <n v="28210"/>
    <n v="14410"/>
    <n v="12.5"/>
    <n v="13800"/>
    <n v="12075"/>
    <x v="0"/>
    <x v="21"/>
    <n v="1725"/>
    <n v="0.125"/>
    <n v="6"/>
    <n v="19"/>
    <x v="21"/>
    <x v="0"/>
  </r>
  <r>
    <s v="Акт входного контроля 000000272 от 19.06.2023 22:40:48"/>
    <s v="высший"/>
    <n v="385"/>
    <n v="160"/>
    <s v="Грин Рэй Кубань ООО (Овощеводство)"/>
    <s v="Гуйда Николай Николаевич"/>
    <s v="А816ЕВ"/>
    <s v="А-108"/>
    <s v="А-108"/>
    <s v="Увертюра"/>
    <s v="Горох овощной свежий 10.01"/>
    <n v="28140"/>
    <n v="14250"/>
    <n v="11.5"/>
    <n v="13890"/>
    <n v="12292.6"/>
    <x v="0"/>
    <x v="21"/>
    <n v="1597.3999999999996"/>
    <n v="0.11500359971202301"/>
    <n v="6"/>
    <n v="19"/>
    <x v="21"/>
    <x v="0"/>
  </r>
  <r>
    <s v="Акт входного контроля 000000273 от 19.06.2023 22:19:39"/>
    <s v="высший"/>
    <n v="386"/>
    <n v="112"/>
    <s v="Грин Рэй Кубань ООО (Овощеводство)"/>
    <s v="Кулик О В"/>
    <s v="К403ЕМ"/>
    <s v="А-108"/>
    <s v="А-108"/>
    <s v="Увертюра"/>
    <s v="Горох овощной свежий 10.01"/>
    <n v="33710"/>
    <n v="17550"/>
    <n v="13.5"/>
    <n v="16160"/>
    <n v="13978.4"/>
    <x v="0"/>
    <x v="21"/>
    <n v="2181.6000000000004"/>
    <n v="0.13500000000000001"/>
    <n v="6"/>
    <n v="19"/>
    <x v="21"/>
    <x v="0"/>
  </r>
  <r>
    <s v="Акт входного контроля 000000274 от 19.06.2023 23:06:17"/>
    <s v="высший"/>
    <n v="387"/>
    <n v="162"/>
    <s v="Грин Рэй Кубань ООО (Овощеводство)"/>
    <s v="Бербеницкий Сергей Николаевич"/>
    <s v="С400РР"/>
    <s v="А-108"/>
    <s v="А-108"/>
    <s v="Увертюра"/>
    <s v="Горох овощной свежий 10.01"/>
    <n v="29010"/>
    <n v="15060"/>
    <n v="14.5"/>
    <n v="13950"/>
    <n v="11927.2"/>
    <x v="0"/>
    <x v="21"/>
    <n v="2022.7999999999993"/>
    <n v="0.14500358422939064"/>
    <n v="6"/>
    <n v="19"/>
    <x v="21"/>
    <x v="0"/>
  </r>
  <r>
    <s v="Акт входного контроля 000000275 от 20.06.2023 0:25:05"/>
    <s v="высший"/>
    <n v="388"/>
    <n v="163"/>
    <s v="Грин Рэй Кубань ООО (Овощеводство)"/>
    <s v="Мосенцев Алексей Егорович"/>
    <s v="Т680ОУ"/>
    <s v="А-108"/>
    <s v="А-108"/>
    <s v="Увертюра"/>
    <s v="Горох овощной свежий 10.01"/>
    <n v="28390"/>
    <n v="14530"/>
    <n v="11.5"/>
    <n v="13860"/>
    <n v="12266.1"/>
    <x v="0"/>
    <x v="22"/>
    <n v="1593.8999999999996"/>
    <n v="0.11499999999999998"/>
    <n v="6"/>
    <n v="20"/>
    <x v="22"/>
    <x v="0"/>
  </r>
  <r>
    <s v="Акт входного контроля 000000276 от 20.06.2023 1:37:44"/>
    <s v="высший"/>
    <n v="389"/>
    <n v="164"/>
    <s v="Грин Рэй Кубань ООО (Овощеводство)"/>
    <s v="Гуйда Николай Николаевич"/>
    <s v="А816ЕВ"/>
    <s v="А-108"/>
    <s v="А-108"/>
    <s v="Увертюра"/>
    <s v="Горох овощной свежий 10.01"/>
    <n v="28020"/>
    <n v="14240"/>
    <n v="12.5"/>
    <n v="13780"/>
    <n v="12057.5"/>
    <x v="0"/>
    <x v="22"/>
    <n v="1722.5"/>
    <n v="0.125"/>
    <n v="6"/>
    <n v="20"/>
    <x v="22"/>
    <x v="0"/>
  </r>
  <r>
    <s v="Акт входного контроля 000000277 от 20.06.2023 2:52:37"/>
    <s v="высший"/>
    <n v="390"/>
    <n v="165"/>
    <s v="Грин Рэй Кубань ООО (Овощеводство)"/>
    <s v="Кулик О В"/>
    <s v="К403ЕМ"/>
    <s v="А-108"/>
    <s v="А-108"/>
    <s v="Увертюра"/>
    <s v="Горох овощной свежий 10.01"/>
    <n v="33710"/>
    <n v="17530"/>
    <n v="10.5"/>
    <n v="16180"/>
    <n v="14481.1"/>
    <x v="0"/>
    <x v="22"/>
    <n v="1698.8999999999996"/>
    <n v="0.10499999999999998"/>
    <n v="6"/>
    <n v="20"/>
    <x v="22"/>
    <x v="0"/>
  </r>
  <r>
    <s v="Акт входного контроля 000000279 от 20.06.2023 4:03:17"/>
    <s v="высший"/>
    <n v="391"/>
    <n v="166"/>
    <s v="Грин Рэй Кубань ООО (Овощеводство)"/>
    <s v="Бербеницкий Сергей Николаевич"/>
    <s v="С400РР"/>
    <s v="А-108"/>
    <s v="А-108"/>
    <s v="Увертюра"/>
    <s v="Горох овощной свежий 10.01"/>
    <n v="29310"/>
    <n v="15040"/>
    <n v="12.5"/>
    <n v="14270"/>
    <n v="12486.2"/>
    <x v="0"/>
    <x v="22"/>
    <n v="1783.7999999999993"/>
    <n v="0.12500350385423961"/>
    <n v="6"/>
    <n v="20"/>
    <x v="22"/>
    <x v="0"/>
  </r>
  <r>
    <s v="Акт входного контроля 000000278 от 20.06.2023 9:24:02"/>
    <s v="высший"/>
    <n v="395"/>
    <n v="167"/>
    <s v="Грин Рэй Кубань ООО (Овощеводство)"/>
    <s v="Мосенцев Алексей Егорович"/>
    <s v="Т680ОУ"/>
    <s v="А-108"/>
    <s v="А-108"/>
    <s v="Увертюра"/>
    <s v="Горох овощной свежий 10.01"/>
    <n v="17970"/>
    <n v="14510"/>
    <n v="12.5"/>
    <n v="3460"/>
    <n v="3027.5"/>
    <x v="0"/>
    <x v="22"/>
    <n v="432.5"/>
    <n v="0.125"/>
    <n v="6"/>
    <n v="20"/>
    <x v="22"/>
    <x v="0"/>
  </r>
  <r>
    <s v="Акт входного контроля 000000282 от 20.06.2023 11:15:52"/>
    <s v="высший"/>
    <n v="398"/>
    <n v="168"/>
    <s v="Грин Рэй Кубань ООО (Овощеводство)"/>
    <s v="Демченко Сергей Владимирович"/>
    <s v="Н317РТ"/>
    <s v="А-108"/>
    <s v="А-108"/>
    <s v="Увертюра"/>
    <s v="Горох овощной свежий 10.01"/>
    <n v="27000"/>
    <n v="14990"/>
    <n v="11.5"/>
    <n v="12010"/>
    <n v="10628.8"/>
    <x v="0"/>
    <x v="22"/>
    <n v="1381.2000000000007"/>
    <n v="0.11500416319733561"/>
    <n v="6"/>
    <n v="20"/>
    <x v="22"/>
    <x v="0"/>
  </r>
  <r>
    <s v="Акт входного контроля 000000283 от 20.06.2023 12:45:09"/>
    <s v="высший"/>
    <n v="399"/>
    <n v="169"/>
    <s v="Грин Рэй Кубань ООО (Овощеводство)"/>
    <s v="Богучарский А. И."/>
    <s v="Е404УС"/>
    <s v="А-108"/>
    <s v="А-108"/>
    <s v="Увертюра"/>
    <s v="Горох овощной свежий 10.01"/>
    <n v="28550"/>
    <n v="14010"/>
    <n v="13.5"/>
    <n v="14540"/>
    <n v="12577.1"/>
    <x v="0"/>
    <x v="22"/>
    <n v="1962.8999999999996"/>
    <n v="0.13499999999999998"/>
    <n v="6"/>
    <n v="20"/>
    <x v="22"/>
    <x v="0"/>
  </r>
  <r>
    <s v="Акт входного контроля 000000284 от 20.06.2023 15:37:48"/>
    <s v="высший"/>
    <n v="400"/>
    <n v="170"/>
    <s v="Грин Рэй Кубань ООО (Овощеводство)"/>
    <s v="Дзюба Николай Сергеевич"/>
    <s v="Р383РЕ"/>
    <s v="А-108"/>
    <s v="А-108"/>
    <s v="Увертюра"/>
    <s v="Горох овощной свежий 10.01"/>
    <n v="28980"/>
    <n v="14560"/>
    <n v="15.5"/>
    <n v="14420"/>
    <n v="12184.9"/>
    <x v="0"/>
    <x v="22"/>
    <n v="2235.1000000000004"/>
    <n v="0.15500000000000003"/>
    <n v="6"/>
    <n v="20"/>
    <x v="22"/>
    <x v="0"/>
  </r>
  <r>
    <s v="Акт входного контроля 000000285 от 20.06.2023 17:56:08"/>
    <s v="высший"/>
    <n v="402"/>
    <n v="171"/>
    <s v="Грин Рэй Кубань ООО (Овощеводство)"/>
    <s v="Демченко Сергей Владимирович"/>
    <s v="Н317РТ"/>
    <s v="А-108"/>
    <s v="А-108"/>
    <s v="Увертюра"/>
    <s v="Горох овощной свежий 10.01"/>
    <n v="29440"/>
    <n v="14970"/>
    <n v="11.5"/>
    <n v="14470"/>
    <n v="12805.9"/>
    <x v="0"/>
    <x v="22"/>
    <n v="1664.1000000000004"/>
    <n v="0.1150034554250173"/>
    <n v="6"/>
    <n v="20"/>
    <x v="22"/>
    <x v="0"/>
  </r>
  <r>
    <s v="Акт входного контроля 000000286 от 20.06.2023 19:12:29"/>
    <s v="высший"/>
    <n v="403"/>
    <n v="172"/>
    <s v="Грин Рэй Кубань ООО (Овощеводство)"/>
    <s v="Богучарский А. И."/>
    <s v="Е404УС"/>
    <s v="А-108"/>
    <s v="А-108"/>
    <s v="Увертюра"/>
    <s v="Горох овощной свежий 10.01"/>
    <n v="28490"/>
    <n v="14010"/>
    <n v="20.5"/>
    <n v="14480"/>
    <n v="11511.6"/>
    <x v="0"/>
    <x v="22"/>
    <n v="2968.3999999999996"/>
    <n v="0.20499999999999999"/>
    <n v="6"/>
    <n v="20"/>
    <x v="22"/>
    <x v="0"/>
  </r>
  <r>
    <s v="Акт входного контроля 000000287 от 20.06.2023 20:44:12"/>
    <s v="высший"/>
    <n v="404"/>
    <n v="173"/>
    <s v="Грин Рэй Кубань ООО (Овощеводство)"/>
    <s v="Дзюба Николай Сергеевич"/>
    <s v="Р383РЕ"/>
    <s v="А-108"/>
    <s v="А-108"/>
    <s v="Увертюра"/>
    <s v="Горох овощной свежий 10.01"/>
    <n v="29230"/>
    <n v="14550"/>
    <n v="19.5"/>
    <n v="14680"/>
    <n v="11817.4"/>
    <x v="0"/>
    <x v="22"/>
    <n v="2862.6000000000004"/>
    <n v="0.19500000000000003"/>
    <n v="6"/>
    <n v="20"/>
    <x v="22"/>
    <x v="0"/>
  </r>
  <r>
    <s v="Акт входного контроля 000000288 от 20.06.2023 22:56:02"/>
    <s v="высший"/>
    <n v="406"/>
    <n v="174"/>
    <s v="Грин Рэй Кубань ООО (Овощеводство)"/>
    <s v="Демченко Сергей Владимирович"/>
    <s v="Н317РТ"/>
    <s v="А-108"/>
    <s v="А-108"/>
    <s v="Увертюра"/>
    <s v="Горох овощной свежий 10.01"/>
    <n v="29390"/>
    <n v="15030"/>
    <n v="20.5"/>
    <n v="14360"/>
    <n v="11416.2"/>
    <x v="0"/>
    <x v="22"/>
    <n v="2943.7999999999993"/>
    <n v="0.20499999999999996"/>
    <n v="6"/>
    <n v="20"/>
    <x v="22"/>
    <x v="0"/>
  </r>
  <r>
    <s v="Акт входного контроля 000000290 от 21.06.2023 0:14:40"/>
    <s v="высший"/>
    <n v="407"/>
    <n v="175"/>
    <s v="Грин Рэй Кубань ООО (Овощеводство)"/>
    <s v="Богучарский А. И."/>
    <s v="Е404УС"/>
    <s v="А-108"/>
    <s v="А-108"/>
    <s v="Женева"/>
    <s v="Горох овощной свежий 10.01"/>
    <n v="28210"/>
    <n v="14060"/>
    <n v="19.5"/>
    <n v="14150"/>
    <n v="11390.7"/>
    <x v="0"/>
    <x v="23"/>
    <n v="2759.2999999999993"/>
    <n v="0.19500353356890454"/>
    <n v="6"/>
    <n v="21"/>
    <x v="23"/>
    <x v="0"/>
  </r>
  <r>
    <s v="Акт входного контроля 000000292 от 21.06.2023 1:49:07"/>
    <s v="высший"/>
    <n v="409"/>
    <n v="176"/>
    <s v="Грин Рэй Кубань ООО (Овощеводство)"/>
    <s v="Дзюба Николай Сергеевич"/>
    <s v="Р383РЕ"/>
    <s v="А-111"/>
    <s v="А-111"/>
    <s v="Женева"/>
    <s v="Горох овощной свежий 10.01"/>
    <n v="28440"/>
    <n v="14610"/>
    <n v="20.5"/>
    <n v="13830"/>
    <n v="10994.8"/>
    <x v="0"/>
    <x v="23"/>
    <n v="2835.2000000000007"/>
    <n v="0.205003615328995"/>
    <n v="6"/>
    <n v="21"/>
    <x v="23"/>
    <x v="0"/>
  </r>
  <r>
    <s v="Акт входного контроля 000000293 от 21.06.2023 3:14:22"/>
    <s v="высший"/>
    <n v="410"/>
    <n v="177"/>
    <s v="Грин Рэй Кубань ООО (Овощеводство)"/>
    <s v="Демченко Сергей Владимирович"/>
    <s v="Н317РТ"/>
    <s v="А-111"/>
    <s v="А-111"/>
    <s v="Женева"/>
    <s v="Горох овощной свежий 10.01"/>
    <n v="28820"/>
    <n v="15000"/>
    <n v="20.5"/>
    <n v="13820"/>
    <n v="10986.9"/>
    <x v="0"/>
    <x v="23"/>
    <n v="2833.1000000000004"/>
    <n v="0.20500000000000002"/>
    <n v="6"/>
    <n v="21"/>
    <x v="23"/>
    <x v="0"/>
  </r>
  <r>
    <s v="Акт входного контроля 000000294 от 21.06.2023 5:46:30"/>
    <s v="высший"/>
    <n v="411"/>
    <n v="178"/>
    <s v="Грин Рэй Кубань ООО (Овощеводство)"/>
    <s v="Богучарский А. И."/>
    <s v="Е404УС"/>
    <s v="А-111"/>
    <s v="А-111"/>
    <s v="Женева"/>
    <s v="Горох овощной свежий 10.01"/>
    <n v="27930"/>
    <n v="14060"/>
    <n v="16.5"/>
    <n v="13870"/>
    <n v="11581.4"/>
    <x v="0"/>
    <x v="23"/>
    <n v="2288.6000000000004"/>
    <n v="0.16500360490266766"/>
    <n v="6"/>
    <n v="21"/>
    <x v="23"/>
    <x v="0"/>
  </r>
  <r>
    <s v="Акт входного контроля 000000295 от 21.06.2023 10:35:27"/>
    <s v="высший"/>
    <n v="412"/>
    <n v="179"/>
    <s v="Грин Рэй Кубань ООО (Овощеводство)"/>
    <s v="Мосенцев Алексей Егорович"/>
    <s v="Т680ОУ"/>
    <s v="А-111"/>
    <s v="А-111"/>
    <s v="Женева"/>
    <s v="Горох овощной свежий 10.01"/>
    <n v="28500"/>
    <n v="14500"/>
    <n v="19.5"/>
    <n v="14000"/>
    <n v="11270"/>
    <x v="0"/>
    <x v="23"/>
    <n v="2730"/>
    <n v="0.19500000000000001"/>
    <n v="6"/>
    <n v="21"/>
    <x v="23"/>
    <x v="0"/>
  </r>
  <r>
    <s v="Акт входного контроля 000000296 от 21.06.2023 12:32:36"/>
    <s v="высший"/>
    <n v="413"/>
    <n v="180"/>
    <s v="Грин Рэй Кубань ООО (Овощеводство)"/>
    <s v="Кулик О В"/>
    <s v="К403ЕМ"/>
    <s v="А-111"/>
    <s v="А-111"/>
    <s v="Женева"/>
    <s v="Горох овощной свежий 10.01"/>
    <n v="33660"/>
    <n v="17370"/>
    <n v="16.5"/>
    <n v="16290"/>
    <n v="13602.1"/>
    <x v="0"/>
    <x v="23"/>
    <n v="2687.8999999999996"/>
    <n v="0.16500306936771023"/>
    <n v="6"/>
    <n v="21"/>
    <x v="23"/>
    <x v="0"/>
  </r>
  <r>
    <s v="Акт входного контроля 000000297 от 21.06.2023 13:44:07"/>
    <s v="высший"/>
    <n v="415"/>
    <n v="181"/>
    <s v="Грин Рэй Кубань ООО (Овощеводство)"/>
    <s v="Гуйда Николай Николаевич"/>
    <s v="А816ЕВ"/>
    <s v="А-111"/>
    <s v="А-111"/>
    <s v="Женева"/>
    <s v="Горох овощной свежий 10.01"/>
    <n v="28290"/>
    <n v="14270"/>
    <n v="22.5"/>
    <n v="14020"/>
    <n v="10865.5"/>
    <x v="0"/>
    <x v="23"/>
    <n v="3154.5"/>
    <n v="0.22500000000000001"/>
    <n v="6"/>
    <n v="21"/>
    <x v="23"/>
    <x v="0"/>
  </r>
  <r>
    <s v="Акт входного контроля 000000298 от 21.06.2023 14:54:01"/>
    <s v="высший"/>
    <n v="417"/>
    <n v="182"/>
    <s v="Грин Рэй Кубань ООО (Овощеводство)"/>
    <s v="Мосенцев Алексей Егорович"/>
    <s v="Т680ОУ"/>
    <s v="А-111"/>
    <s v="А-111"/>
    <s v="Женева"/>
    <s v="Горох овощной свежий 10.01"/>
    <n v="29130"/>
    <n v="14490"/>
    <n v="18.5"/>
    <n v="14640"/>
    <n v="11931.6"/>
    <x v="0"/>
    <x v="23"/>
    <n v="2708.3999999999996"/>
    <n v="0.18499999999999997"/>
    <n v="6"/>
    <n v="21"/>
    <x v="23"/>
    <x v="0"/>
  </r>
  <r>
    <s v="Акт входного контроля 000000299 от 21.06.2023 16:45:02"/>
    <s v="высший"/>
    <n v="418"/>
    <n v="183"/>
    <s v="Грин Рэй Кубань ООО (Овощеводство)"/>
    <s v="Кулик О В"/>
    <s v="К403ЕМ"/>
    <s v="А-111"/>
    <s v="А-111"/>
    <s v="Женева"/>
    <s v="Горох овощной свежий 10.01"/>
    <n v="33590"/>
    <n v="17360"/>
    <n v="18.5"/>
    <n v="16230"/>
    <n v="13227.4"/>
    <x v="0"/>
    <x v="23"/>
    <n v="3002.6000000000004"/>
    <n v="0.18500308071472585"/>
    <n v="6"/>
    <n v="21"/>
    <x v="23"/>
    <x v="0"/>
  </r>
  <r>
    <s v="Акт входного контроля 000000300 от 21.06.2023 17:41:43"/>
    <s v="высший"/>
    <n v="419"/>
    <n v="184"/>
    <s v="Грин Рэй Кубань ООО (Овощеводство)"/>
    <s v="Гуйда Николай Николаевич"/>
    <s v="А816ЕВ"/>
    <s v="А-111"/>
    <s v="А-111"/>
    <s v="Женева"/>
    <s v="Горох овощной свежий 10.01"/>
    <n v="24060"/>
    <n v="14160"/>
    <n v="20.5"/>
    <n v="9900"/>
    <n v="7870.5"/>
    <x v="0"/>
    <x v="23"/>
    <n v="2029.5"/>
    <n v="0.20499999999999999"/>
    <n v="6"/>
    <n v="21"/>
    <x v="23"/>
    <x v="0"/>
  </r>
  <r>
    <s v="Акт входного контроля 000000302 от 21.06.2023 19:02:24"/>
    <s v="высший"/>
    <n v="420"/>
    <n v="185"/>
    <s v="Грин Рэй Кубань ООО (Овощеводство)"/>
    <s v="Мосенцев Алексей Егорович"/>
    <s v="Т680ОУ"/>
    <s v="А-111"/>
    <s v="А-111"/>
    <s v="Женева"/>
    <s v="Горох овощной свежий 10.01"/>
    <n v="28430"/>
    <n v="14480"/>
    <n v="20.5"/>
    <n v="13950"/>
    <n v="11090.2"/>
    <x v="0"/>
    <x v="23"/>
    <n v="2859.7999999999993"/>
    <n v="0.20500358422939063"/>
    <n v="6"/>
    <n v="21"/>
    <x v="23"/>
    <x v="0"/>
  </r>
  <r>
    <s v="Акт входного контроля 000000303 от 21.06.2023 20:55:59"/>
    <s v="высший"/>
    <n v="421"/>
    <n v="186"/>
    <s v="Грин Рэй Кубань ООО (Овощеводство)"/>
    <s v="Кулик О В"/>
    <s v="К403ЕМ"/>
    <s v="А-111"/>
    <s v="А-111"/>
    <s v="Женева"/>
    <s v="Горох овощной свежий 10.01"/>
    <n v="33500"/>
    <n v="17340"/>
    <n v="17.5"/>
    <n v="16160"/>
    <n v="13332"/>
    <x v="0"/>
    <x v="23"/>
    <n v="2828"/>
    <n v="0.17499999999999999"/>
    <n v="6"/>
    <n v="21"/>
    <x v="23"/>
    <x v="0"/>
  </r>
  <r>
    <s v="Акт входного контроля 000000304 от 21.06.2023 22:20:59"/>
    <s v="высший"/>
    <n v="422"/>
    <n v="187"/>
    <s v="Грин Рэй Кубань ООО (Овощеводство)"/>
    <s v="Гуйда Николай Николаевич"/>
    <s v="А816ЕВ"/>
    <s v="А-108"/>
    <s v="А-108"/>
    <s v="Женева"/>
    <s v="Горох овощной свежий 10.01"/>
    <n v="28050"/>
    <n v="14250"/>
    <n v="14.5"/>
    <n v="13800"/>
    <n v="11799"/>
    <x v="0"/>
    <x v="23"/>
    <n v="2001"/>
    <n v="0.14499999999999999"/>
    <n v="6"/>
    <n v="21"/>
    <x v="23"/>
    <x v="0"/>
  </r>
  <r>
    <s v="Акт входного контроля 000000305 от 21.06.2023 23:29:19"/>
    <s v="высший"/>
    <n v="423"/>
    <n v="188"/>
    <s v="Грин Рэй Кубань ООО (Овощеводство)"/>
    <s v="Мосенцев Алексей Егорович"/>
    <s v="Т680ОУ"/>
    <s v="А-108"/>
    <s v="А-108"/>
    <s v="Женева"/>
    <s v="Горох овощной свежий 10.01"/>
    <n v="28310"/>
    <n v="14560"/>
    <n v="15.5"/>
    <n v="13750"/>
    <n v="11618.7"/>
    <x v="0"/>
    <x v="23"/>
    <n v="2131.2999999999993"/>
    <n v="0.15500363636363632"/>
    <n v="6"/>
    <n v="21"/>
    <x v="23"/>
    <x v="0"/>
  </r>
  <r>
    <s v="Акт входного контроля 000000306 от 22.06.2023 0:23:30"/>
    <s v="высший"/>
    <n v="424"/>
    <n v="189"/>
    <s v="Грин Рэй Кубань ООО (Овощеводство)"/>
    <s v="Кулик О В"/>
    <s v="К403ЕМ"/>
    <s v="А-108"/>
    <s v="А-108"/>
    <s v="Женева"/>
    <s v="Горох овощной свежий 10.01"/>
    <n v="33250"/>
    <n v="17340"/>
    <n v="17.5"/>
    <n v="15910"/>
    <n v="13125.7"/>
    <x v="0"/>
    <x v="24"/>
    <n v="2784.2999999999993"/>
    <n v="0.17500314267756123"/>
    <n v="6"/>
    <n v="22"/>
    <x v="24"/>
    <x v="0"/>
  </r>
  <r>
    <s v="Акт входного контроля 000000307 от 22.06.2023 2:01:37"/>
    <s v="высший"/>
    <n v="425"/>
    <n v="190"/>
    <s v="Грин Рэй Кубань ООО (Овощеводство)"/>
    <s v="Гуйда Николай Николаевич"/>
    <s v="А816ЕВ"/>
    <s v="А-108"/>
    <s v="А-108"/>
    <s v="Женева"/>
    <s v="Горох овощной свежий 10.01"/>
    <n v="27910"/>
    <n v="14180"/>
    <n v="15.5"/>
    <n v="13730"/>
    <n v="11601.8"/>
    <x v="0"/>
    <x v="24"/>
    <n v="2128.2000000000007"/>
    <n v="0.1550036416605973"/>
    <n v="6"/>
    <n v="22"/>
    <x v="24"/>
    <x v="0"/>
  </r>
  <r>
    <s v="Акт входного контроля 000000309 от 22.06.2023 4:18:22"/>
    <s v="высший"/>
    <n v="427"/>
    <n v="191"/>
    <s v="Грин Рэй Кубань ООО (Овощеводство)"/>
    <s v="Мосенцев Алексей Егорович"/>
    <s v="Т680ОУ"/>
    <s v="А-109"/>
    <s v="А-109"/>
    <s v="Увертюра"/>
    <s v="Горох овощной свежий 10.01"/>
    <n v="28700"/>
    <n v="14560"/>
    <n v="17.5"/>
    <n v="14140"/>
    <n v="11665.5"/>
    <x v="0"/>
    <x v="24"/>
    <n v="2474.5"/>
    <n v="0.17499999999999999"/>
    <n v="6"/>
    <n v="22"/>
    <x v="24"/>
    <x v="0"/>
  </r>
  <r>
    <s v="Акт входного контроля 000000311 от 22.06.2023 6:50:28"/>
    <s v="высший"/>
    <n v="430"/>
    <n v="192"/>
    <s v="Грин Рэй Кубань ООО (Овощеводство)"/>
    <s v="Кулик О В"/>
    <s v="К403ЕМ"/>
    <s v="А-106"/>
    <s v="А-106"/>
    <s v="Увертюра"/>
    <s v="Горох овощной свежий 10.01"/>
    <n v="34070"/>
    <n v="17230"/>
    <n v="16.5"/>
    <n v="16840"/>
    <n v="14061.4"/>
    <x v="0"/>
    <x v="24"/>
    <n v="2778.6000000000004"/>
    <n v="0.16500000000000001"/>
    <n v="6"/>
    <n v="22"/>
    <x v="24"/>
    <x v="0"/>
  </r>
  <r>
    <s v="Акт входного контроля 000000313 от 22.06.2023 10:44:57"/>
    <s v="высший"/>
    <n v="433"/>
    <n v="193"/>
    <s v="Грин Рэй Кубань ООО (Овощеводство)"/>
    <s v="Дзюба Николай Сергеевич"/>
    <s v="Р383РЕ"/>
    <n v="106"/>
    <s v="А-106"/>
    <s v="Увертюра"/>
    <s v="Горох овощной свежий 10.01"/>
    <n v="28630"/>
    <n v="14570"/>
    <n v="19.5"/>
    <n v="14060"/>
    <n v="11318.3"/>
    <x v="0"/>
    <x v="24"/>
    <n v="2741.7000000000007"/>
    <n v="0.19500000000000006"/>
    <n v="6"/>
    <n v="22"/>
    <x v="24"/>
    <x v="0"/>
  </r>
  <r>
    <s v="Акт входного контроля 000000314 от 22.06.2023 11:57:44"/>
    <s v="высший"/>
    <n v="434"/>
    <n v="194"/>
    <s v="Грин Рэй Кубань ООО (Овощеводство)"/>
    <s v="Богучарский А. И."/>
    <s v="Е404УС"/>
    <n v="106"/>
    <s v="А-106"/>
    <s v="Увертюра"/>
    <s v="Горох овощной свежий 10.01"/>
    <n v="28190"/>
    <n v="14030"/>
    <n v="18.5"/>
    <n v="14160"/>
    <n v="11540.4"/>
    <x v="0"/>
    <x v="24"/>
    <n v="2619.6000000000004"/>
    <n v="0.18500000000000003"/>
    <n v="6"/>
    <n v="22"/>
    <x v="24"/>
    <x v="0"/>
  </r>
  <r>
    <s v="Акт входного контроля 000000317 от 22.06.2023 13:42:10"/>
    <s v="высший"/>
    <n v="436"/>
    <n v="195"/>
    <s v="Грин Рэй Кубань ООО (Овощеводство)"/>
    <s v="Чигрин Николай Александрович"/>
    <s v="А819ЕВ"/>
    <n v="106"/>
    <s v="А-106"/>
    <s v="Увертюра"/>
    <s v="Горох овощной свежий 10.01"/>
    <n v="28790"/>
    <n v="14410"/>
    <n v="17.5"/>
    <n v="14380"/>
    <n v="11863.5"/>
    <x v="0"/>
    <x v="24"/>
    <n v="2516.5"/>
    <n v="0.17499999999999999"/>
    <n v="6"/>
    <n v="22"/>
    <x v="24"/>
    <x v="0"/>
  </r>
  <r>
    <s v="Акт входного контроля 000000318 от 22.06.2023 15:15:02"/>
    <s v="высший"/>
    <n v="438"/>
    <n v="194"/>
    <s v="Грин Рэй Кубань ООО (Овощеводство)"/>
    <s v="Богучарский А. И."/>
    <s v="Е404УС"/>
    <n v="106"/>
    <s v="А-106"/>
    <s v="Увертюра"/>
    <s v="Горох овощной свежий 10.01"/>
    <n v="28250"/>
    <n v="14010"/>
    <n v="14.5"/>
    <n v="14240"/>
    <n v="12175.2"/>
    <x v="0"/>
    <x v="24"/>
    <n v="2064.7999999999993"/>
    <n v="0.14499999999999996"/>
    <n v="6"/>
    <n v="22"/>
    <x v="24"/>
    <x v="0"/>
  </r>
  <r>
    <s v="Акт входного контроля 000000320 от 22.06.2023 17:57:35"/>
    <s v="высший"/>
    <n v="440"/>
    <n v="197"/>
    <s v="Грин Рэй Кубань ООО (Овощеводство)"/>
    <s v="Чигрин Николай Александрович"/>
    <s v="А819ЕВ"/>
    <n v="106"/>
    <s v="А-106"/>
    <s v="Увертюра"/>
    <s v="Горох овощной свежий 10.01"/>
    <n v="28500"/>
    <n v="14400"/>
    <n v="16"/>
    <n v="14100"/>
    <n v="11844"/>
    <x v="0"/>
    <x v="24"/>
    <n v="2256"/>
    <n v="0.16"/>
    <n v="6"/>
    <n v="22"/>
    <x v="24"/>
    <x v="0"/>
  </r>
  <r>
    <s v="Акт входного контроля 000000321 от 22.06.2023 19:21:58"/>
    <s v="высший"/>
    <n v="441"/>
    <n v="198"/>
    <s v="Грин Рэй Кубань ООО (Овощеводство)"/>
    <s v="Богучарский А. И."/>
    <s v="Е404УС"/>
    <n v="106"/>
    <s v="А-106"/>
    <s v="Увертюра"/>
    <s v="Горох овощной свежий 10.01"/>
    <n v="28200"/>
    <n v="13990"/>
    <n v="15"/>
    <n v="14210"/>
    <n v="12078.5"/>
    <x v="0"/>
    <x v="24"/>
    <n v="2131.5"/>
    <n v="0.15"/>
    <n v="6"/>
    <n v="22"/>
    <x v="24"/>
    <x v="0"/>
  </r>
  <r>
    <s v="Акт входного контроля 000000323 от 22.06.2023 22:49:24"/>
    <s v="высший"/>
    <n v="443"/>
    <n v="199"/>
    <s v="Грин Рэй Кубань ООО (Овощеводство)"/>
    <s v="Чигрин Николай Александрович"/>
    <s v="А819ЕВ"/>
    <n v="106"/>
    <s v="А-106"/>
    <s v="Увертюра"/>
    <s v="Горох овощной свежий 10.01"/>
    <n v="27890"/>
    <n v="14390"/>
    <n v="15.5"/>
    <n v="13500"/>
    <n v="11407.5"/>
    <x v="0"/>
    <x v="24"/>
    <n v="2092.5"/>
    <n v="0.155"/>
    <n v="6"/>
    <n v="22"/>
    <x v="24"/>
    <x v="0"/>
  </r>
  <r>
    <s v="Акт входного контроля 000000324 от 23.06.2023 0:33:28"/>
    <s v="высший"/>
    <n v="444"/>
    <n v="200"/>
    <s v="Грин Рэй Кубань ООО (Овощеводство)"/>
    <s v="Богучарский А. И."/>
    <s v="Е404УС"/>
    <n v="106"/>
    <s v="А-106"/>
    <s v="Увертюра"/>
    <s v="Горох овощной свежий 10.01"/>
    <n v="29480"/>
    <n v="14050"/>
    <n v="15.5"/>
    <n v="15430"/>
    <n v="13038.3"/>
    <x v="0"/>
    <x v="25"/>
    <n v="2391.7000000000007"/>
    <n v="0.15500324044069999"/>
    <n v="6"/>
    <n v="23"/>
    <x v="25"/>
    <x v="0"/>
  </r>
  <r>
    <s v="Акт входного контроля 000000325 от 23.06.2023 2:39:33"/>
    <s v="высший"/>
    <n v="445"/>
    <n v="201"/>
    <s v="Грин Рэй Кубань ООО (Овощеводство)"/>
    <s v="Чигрин Николай Александрович"/>
    <s v="А819ЕВ"/>
    <n v="106"/>
    <s v="А-106"/>
    <s v="Увертюра"/>
    <s v="Горох овощной свежий 10.01"/>
    <n v="28290"/>
    <n v="14380"/>
    <n v="15.5"/>
    <n v="13910"/>
    <n v="11753.9"/>
    <x v="0"/>
    <x v="25"/>
    <n v="2156.1000000000004"/>
    <n v="0.15500359453630486"/>
    <n v="6"/>
    <n v="23"/>
    <x v="25"/>
    <x v="0"/>
  </r>
  <r>
    <s v="Акт входного контроля 000000327 от 23.06.2023 4:09:01"/>
    <s v="высший"/>
    <n v="446"/>
    <n v="202"/>
    <s v="Грин Рэй Кубань ООО (Овощеводство)"/>
    <s v="Богучарский А. И."/>
    <s v="Е404УС"/>
    <n v="106"/>
    <s v="А-106"/>
    <s v="Увертюра"/>
    <s v="Горох овощной свежий 10.01"/>
    <n v="27840"/>
    <n v="14040"/>
    <n v="17.5"/>
    <n v="13800"/>
    <n v="11385"/>
    <x v="0"/>
    <x v="25"/>
    <n v="2415"/>
    <n v="0.17499999999999999"/>
    <n v="6"/>
    <n v="23"/>
    <x v="25"/>
    <x v="0"/>
  </r>
  <r>
    <s v="Акт входного контроля 000000328 от 23.06.2023 6:09:12"/>
    <s v="высший"/>
    <n v="448"/>
    <n v="203"/>
    <s v="Грин Рэй Кубань ООО (Овощеводство)"/>
    <s v="Чигрин Николай Александрович"/>
    <s v="А819ЕВ"/>
    <n v="106"/>
    <s v="А-106"/>
    <s v="Увертюра"/>
    <s v="Горох овощной свежий 10.01"/>
    <n v="27590"/>
    <n v="14370"/>
    <n v="16.5"/>
    <n v="13220"/>
    <n v="11038.7"/>
    <x v="0"/>
    <x v="25"/>
    <n v="2181.2999999999993"/>
    <n v="0.16499999999999995"/>
    <n v="6"/>
    <n v="23"/>
    <x v="25"/>
    <x v="0"/>
  </r>
  <r>
    <s v="Акт входного контроля 000000329 от 23.06.2023 10:49:36"/>
    <s v="высший"/>
    <n v="455"/>
    <n v="204"/>
    <s v="Грин Рэй Кубань ООО (Овощеводство)"/>
    <s v="Гуйда Николай Николаевич"/>
    <s v="А816ЕВ"/>
    <s v="А-106"/>
    <s v="А-106"/>
    <s v="Увертюра"/>
    <s v="Горох овощной свежий 10.01"/>
    <n v="29270"/>
    <n v="14300"/>
    <n v="15.5"/>
    <n v="14970"/>
    <n v="12649.6"/>
    <x v="0"/>
    <x v="25"/>
    <n v="2320.3999999999996"/>
    <n v="0.15500334001336002"/>
    <n v="6"/>
    <n v="23"/>
    <x v="25"/>
    <x v="0"/>
  </r>
  <r>
    <s v="Акт входного контроля 000000330 от 23.06.2023 12:41:00"/>
    <s v="высший"/>
    <n v="456"/>
    <n v="205"/>
    <s v="Грин Рэй Кубань ООО (Овощеводство)"/>
    <s v="Чигрин Николай Александрович"/>
    <s v="А819ЕВ"/>
    <s v="А-106"/>
    <s v="А-106"/>
    <s v="Увертюра"/>
    <s v="Горох овощной свежий 10.01"/>
    <n v="26190"/>
    <n v="14460"/>
    <n v="18.5"/>
    <n v="11730"/>
    <n v="9559.9"/>
    <x v="0"/>
    <x v="25"/>
    <n v="2170.1000000000004"/>
    <n v="0.1850042625745951"/>
    <n v="6"/>
    <n v="23"/>
    <x v="25"/>
    <x v="0"/>
  </r>
  <r>
    <s v="Акт входного контроля 000000331 от 23.06.2023 14:22:25"/>
    <s v="высший"/>
    <n v="458"/>
    <n v="206"/>
    <s v="Грин Рэй Кубань ООО (Овощеводство)"/>
    <s v="Гуйда Николай Николаевич"/>
    <s v="А816ЕВ"/>
    <s v="А-106"/>
    <s v="А-106"/>
    <s v="Увертюра"/>
    <s v="Горох овощной свежий 10.01"/>
    <n v="22460"/>
    <n v="14170"/>
    <n v="16.5"/>
    <n v="8290"/>
    <n v="6922.1"/>
    <x v="0"/>
    <x v="25"/>
    <n v="1367.8999999999996"/>
    <n v="0.165006031363088"/>
    <n v="6"/>
    <n v="23"/>
    <x v="25"/>
    <x v="0"/>
  </r>
  <r>
    <s v="Акт входного контроля 000000332 от 24.06.2023 1:41:10"/>
    <s v="высший"/>
    <n v="459"/>
    <n v="1"/>
    <s v="ООО Колос"/>
    <s v="Бербеницкий Сергей Николаевич"/>
    <s v="С400РР"/>
    <s v="4/4"/>
    <s v="4/4"/>
    <s v="Женева"/>
    <s v="Горох овощной свежий 10.01"/>
    <n v="28530"/>
    <n v="15010"/>
    <n v="12.5"/>
    <n v="13520"/>
    <n v="11830"/>
    <x v="0"/>
    <x v="26"/>
    <n v="1690"/>
    <n v="0.125"/>
    <n v="6"/>
    <n v="24"/>
    <x v="26"/>
    <x v="0"/>
  </r>
  <r>
    <s v="Акт входного контроля 000000333 от 24.06.2023 3:23:36"/>
    <s v="высший"/>
    <n v="460"/>
    <n v="2"/>
    <s v="ООО Колос"/>
    <s v="Мудрак В В."/>
    <s v="Х514ОК"/>
    <s v="4/4"/>
    <s v="4/4"/>
    <s v="Женева"/>
    <s v="Горох овощной свежий 10.01"/>
    <n v="38530"/>
    <n v="20940"/>
    <n v="16.5"/>
    <n v="17590"/>
    <n v="14687.6"/>
    <x v="0"/>
    <x v="26"/>
    <n v="2902.3999999999996"/>
    <n v="0.16500284252416145"/>
    <n v="6"/>
    <n v="24"/>
    <x v="26"/>
    <x v="0"/>
  </r>
  <r>
    <s v="Акт входного контроля 000000334 от 24.06.2023 4:02:45"/>
    <s v="высший"/>
    <n v="461"/>
    <n v="3"/>
    <s v="ООО Колос"/>
    <s v="Богучарский А. И."/>
    <s v="Е404УС"/>
    <s v="4/4"/>
    <s v="4/4"/>
    <s v="Женева"/>
    <s v="Горох овощной свежий 10.01"/>
    <n v="27070"/>
    <n v="13930"/>
    <n v="15.5"/>
    <n v="13140"/>
    <n v="11103.3"/>
    <x v="0"/>
    <x v="26"/>
    <n v="2036.7000000000007"/>
    <n v="0.15500000000000005"/>
    <n v="6"/>
    <n v="24"/>
    <x v="26"/>
    <x v="0"/>
  </r>
  <r>
    <s v="Акт входного контроля 000000335 от 24.06.2023 6:00:12"/>
    <s v="высший"/>
    <n v="462"/>
    <n v="4"/>
    <s v="ООО Колос"/>
    <s v="Сурнин А.В"/>
    <s v="В415ТТ"/>
    <s v="4/4"/>
    <s v="4/4"/>
    <s v="Женева"/>
    <s v="Горох овощной свежий 10.01"/>
    <n v="33350"/>
    <n v="17920"/>
    <n v="13.5"/>
    <n v="15430"/>
    <n v="13346.9"/>
    <x v="0"/>
    <x v="26"/>
    <n v="2083.1000000000004"/>
    <n v="0.13500324044069995"/>
    <n v="6"/>
    <n v="24"/>
    <x v="26"/>
    <x v="0"/>
  </r>
  <r>
    <s v="Акт входного контроля 000000336 от 24.06.2023 6:52:56"/>
    <s v="высший"/>
    <n v="463"/>
    <n v="5"/>
    <s v="ООО Колос"/>
    <s v="Сидоренко Евгений Сергеевич"/>
    <s v="М697ХВ"/>
    <s v="4/4"/>
    <s v="4/4"/>
    <s v="Женева"/>
    <s v="Горох овощной свежий 10.01"/>
    <n v="30450"/>
    <n v="17070"/>
    <n v="13.5"/>
    <n v="13380"/>
    <n v="11573.7"/>
    <x v="0"/>
    <x v="26"/>
    <n v="1806.2999999999993"/>
    <n v="0.13499999999999995"/>
    <n v="6"/>
    <n v="24"/>
    <x v="26"/>
    <x v="0"/>
  </r>
  <r>
    <s v="Акт входного контроля 000000338 от 24.06.2023 8:14:50"/>
    <s v="высший"/>
    <n v="464"/>
    <n v="6"/>
    <s v="ООО Колос"/>
    <s v="Макуха А.Н,"/>
    <s v="К124УМ"/>
    <s v="4/4"/>
    <s v="4/4"/>
    <s v="Женева"/>
    <s v="Горох овощной свежий 10.01"/>
    <n v="28580"/>
    <n v="15380"/>
    <n v="17.5"/>
    <n v="13200"/>
    <n v="10890"/>
    <x v="0"/>
    <x v="26"/>
    <n v="2310"/>
    <n v="0.17499999999999999"/>
    <n v="6"/>
    <n v="24"/>
    <x v="26"/>
    <x v="0"/>
  </r>
  <r>
    <s v="Акт входного контроля 000000337 от 24.06.2023 9:11:43"/>
    <s v="высший"/>
    <n v="465"/>
    <n v="8"/>
    <s v="Колос ООО"/>
    <s v="Башкатов И,И."/>
    <s v="А781РР"/>
    <s v="4/4"/>
    <s v="4/4"/>
    <s v="Женева"/>
    <s v="Горох овощной свежий 10.01"/>
    <n v="28340"/>
    <n v="14950"/>
    <n v="15.5"/>
    <n v="13390"/>
    <n v="11314.5"/>
    <x v="0"/>
    <x v="26"/>
    <n v="2075.5"/>
    <n v="0.15500373412994772"/>
    <n v="6"/>
    <n v="24"/>
    <x v="26"/>
    <x v="0"/>
  </r>
  <r>
    <s v="Акт входного контроля 000000339 от 24.06.2023 12:06:38"/>
    <s v="высший"/>
    <n v="466"/>
    <n v="7"/>
    <s v="ООО Колос"/>
    <s v="Извеков Владимир Владимирович"/>
    <s v="Н378ХЕ"/>
    <s v="4/4"/>
    <s v="4/4"/>
    <s v="Женева"/>
    <s v="Горох овощной свежий 10.01"/>
    <n v="28910"/>
    <n v="15210"/>
    <n v="15.5"/>
    <n v="13700"/>
    <n v="11576.5"/>
    <x v="0"/>
    <x v="26"/>
    <n v="2123.5"/>
    <n v="0.155"/>
    <n v="6"/>
    <n v="24"/>
    <x v="26"/>
    <x v="0"/>
  </r>
  <r>
    <s v="Акт входного контроля 000000341 от 24.06.2023 13:57:11"/>
    <s v="высший"/>
    <n v="467"/>
    <n v="9"/>
    <s v="ООО Колос"/>
    <s v="Жданов А И"/>
    <s v="С707ОУ"/>
    <s v="4/4"/>
    <s v="4/4"/>
    <s v="Женева"/>
    <s v="Горох овощной свежий 10.01"/>
    <n v="28170"/>
    <n v="14310"/>
    <n v="12.5"/>
    <n v="13860"/>
    <n v="12127.5"/>
    <x v="0"/>
    <x v="26"/>
    <n v="1732.5"/>
    <n v="0.125"/>
    <n v="6"/>
    <n v="24"/>
    <x v="26"/>
    <x v="0"/>
  </r>
  <r>
    <s v="Акт входного контроля 000000340 от 24.06.2023 14:44:19"/>
    <s v="высший"/>
    <n v="468"/>
    <n v="10"/>
    <s v="ООО Колос"/>
    <s v="Гребенников Е.Н."/>
    <s v="В465ММ"/>
    <s v="4/4"/>
    <s v="4/4"/>
    <s v="Женева"/>
    <s v="Горох овощной свежий 10.01"/>
    <n v="27290"/>
    <n v="13250"/>
    <n v="14"/>
    <n v="14040"/>
    <n v="12074.4"/>
    <x v="0"/>
    <x v="26"/>
    <n v="1965.6000000000004"/>
    <n v="0.14000000000000001"/>
    <n v="6"/>
    <n v="24"/>
    <x v="26"/>
    <x v="0"/>
  </r>
  <r>
    <s v="Акт входного контроля 000000342 от 24.06.2023 16:46:37"/>
    <s v="высший"/>
    <n v="469"/>
    <n v="11"/>
    <s v="ООО Колос"/>
    <s v="Поляков Г,Г."/>
    <s v="М202СХ"/>
    <s v="4/4"/>
    <s v="4/4"/>
    <s v="Женева"/>
    <s v="Горох овощной свежий 10.01"/>
    <n v="33710"/>
    <n v="17460"/>
    <n v="12.5"/>
    <n v="16250"/>
    <n v="14218.7"/>
    <x v="0"/>
    <x v="26"/>
    <n v="2031.2999999999993"/>
    <n v="0.12500307692307688"/>
    <n v="6"/>
    <n v="24"/>
    <x v="26"/>
    <x v="0"/>
  </r>
  <r>
    <s v="Акт входного контроля 000000343 от 24.06.2023 18:12:48"/>
    <s v="высший"/>
    <n v="470"/>
    <n v="12"/>
    <s v="ООО Колос"/>
    <s v="Бербеницкий Сергей Николаевич"/>
    <s v="С400РР"/>
    <s v="4/4"/>
    <s v="4/4"/>
    <s v="Женева"/>
    <s v="Горох овощной свежий 10.01"/>
    <n v="29190"/>
    <n v="15160"/>
    <n v="11.5"/>
    <n v="14030"/>
    <n v="12416.5"/>
    <x v="0"/>
    <x v="26"/>
    <n v="1613.5"/>
    <n v="0.11500356379187456"/>
    <n v="6"/>
    <n v="24"/>
    <x v="26"/>
    <x v="0"/>
  </r>
  <r>
    <s v="Акт входного контроля 000000344 от 24.06.2023 19:05:19"/>
    <s v="высший"/>
    <n v="471"/>
    <n v="13"/>
    <s v="Колос ООО"/>
    <s v="Дзюба Николай Сергеевич"/>
    <s v="Р383РЕ"/>
    <s v="4/4"/>
    <s v="4/4"/>
    <s v="Женева"/>
    <s v="Горох овощной свежий 10.01"/>
    <n v="28500"/>
    <n v="14530"/>
    <n v="10.5"/>
    <n v="13970"/>
    <n v="12503.1"/>
    <x v="0"/>
    <x v="26"/>
    <n v="1466.8999999999996"/>
    <n v="0.10500357909806726"/>
    <n v="6"/>
    <n v="24"/>
    <x v="26"/>
    <x v="0"/>
  </r>
  <r>
    <s v="Акт входного контроля 000000345 от 24.06.2023 20:46:24"/>
    <s v="высший"/>
    <n v="472"/>
    <n v="14"/>
    <s v="Колос ООО"/>
    <s v="Мосенцев Алексей Егорович"/>
    <s v="Т680ОУ"/>
    <s v="4/4"/>
    <s v="4/4"/>
    <s v="Женева"/>
    <s v="Горох овощной свежий 10.01"/>
    <n v="28490"/>
    <n v="14400"/>
    <n v="9.5"/>
    <n v="14090"/>
    <n v="12751.4"/>
    <x v="0"/>
    <x v="26"/>
    <n v="1338.6000000000004"/>
    <n v="9.5003548616039768E-2"/>
    <n v="6"/>
    <n v="24"/>
    <x v="26"/>
    <x v="0"/>
  </r>
  <r>
    <s v="Акт входного контроля 000000346 от 24.06.2023 23:03:13"/>
    <s v="высший"/>
    <n v="473"/>
    <n v="15"/>
    <s v="ООО Колос"/>
    <s v="Сурнин А.В"/>
    <s v="В415ТТ"/>
    <s v="4/4"/>
    <s v="4/4"/>
    <s v="Женева"/>
    <s v="Горох овощной свежий 10.01"/>
    <n v="34290"/>
    <n v="17820"/>
    <n v="9.5"/>
    <n v="16470"/>
    <n v="14905.3"/>
    <x v="0"/>
    <x v="26"/>
    <n v="1564.7000000000007"/>
    <n v="9.5003035822707999E-2"/>
    <n v="6"/>
    <n v="24"/>
    <x v="26"/>
    <x v="0"/>
  </r>
  <r>
    <s v="Акт входного контроля 000000347 от 25.06.2023 2:38:41"/>
    <s v="высший"/>
    <n v="474"/>
    <n v="16"/>
    <s v="ООО Колос"/>
    <s v="Сидоренко Евгений Сергеевич"/>
    <s v="М697ХВ"/>
    <s v="4/4"/>
    <s v="4/4"/>
    <s v="Женева"/>
    <s v="Горох овощной свежий 10.01"/>
    <n v="32840"/>
    <n v="16970"/>
    <n v="10.5"/>
    <n v="15870"/>
    <n v="14203.6"/>
    <x v="0"/>
    <x v="27"/>
    <n v="1666.3999999999996"/>
    <n v="0.10500315059861372"/>
    <n v="6"/>
    <n v="25"/>
    <x v="27"/>
    <x v="0"/>
  </r>
  <r>
    <s v="Акт входного контроля 000000348 от 25.06.2023 1:56:09"/>
    <s v="высший"/>
    <n v="475"/>
    <n v="17"/>
    <s v="ООО Колос"/>
    <s v="Богучарский А. И."/>
    <s v="Е404УС"/>
    <s v="4/4"/>
    <s v="4/4"/>
    <s v="Женева"/>
    <s v="Горох овощной свежий 10.01"/>
    <n v="29710"/>
    <n v="13930"/>
    <n v="8.5"/>
    <n v="15780"/>
    <n v="14438.7"/>
    <x v="0"/>
    <x v="27"/>
    <n v="1341.2999999999993"/>
    <n v="8.4999999999999951E-2"/>
    <n v="6"/>
    <n v="25"/>
    <x v="27"/>
    <x v="0"/>
  </r>
  <r>
    <s v="Акт входного контроля 000000349 от 25.06.2023 3:58:06"/>
    <s v="высший"/>
    <n v="477"/>
    <n v="18"/>
    <s v="ООО Колос"/>
    <s v="Мудрак В В."/>
    <s v="Х514ОК"/>
    <s v="4/4"/>
    <s v="4/4"/>
    <s v="Женева"/>
    <s v="Горох овощной свежий 10.01"/>
    <n v="39000"/>
    <n v="20770"/>
    <n v="13.5"/>
    <n v="18230"/>
    <n v="15768.9"/>
    <x v="0"/>
    <x v="27"/>
    <n v="2461.1000000000004"/>
    <n v="0.13500274273176086"/>
    <n v="6"/>
    <n v="25"/>
    <x v="27"/>
    <x v="0"/>
  </r>
  <r>
    <s v="Акт входного контроля 000000350 от 25.06.2023 5:36:52"/>
    <s v="высший"/>
    <n v="478"/>
    <n v="19"/>
    <s v="ООО Колос"/>
    <s v="Макуха А.Н,"/>
    <s v="К124УМ"/>
    <s v="4/4"/>
    <s v="4/4"/>
    <s v="Женева"/>
    <s v="Горох овощной свежий 10.01"/>
    <n v="31060"/>
    <n v="15330"/>
    <n v="12.5"/>
    <n v="15730"/>
    <n v="13763.7"/>
    <x v="0"/>
    <x v="27"/>
    <n v="1966.2999999999993"/>
    <n v="0.12500317863954222"/>
    <n v="6"/>
    <n v="25"/>
    <x v="27"/>
    <x v="0"/>
  </r>
  <r>
    <s v="Акт входного контроля 000000351 от 25.06.2023 6:37:30"/>
    <s v="высший"/>
    <n v="479"/>
    <n v="20"/>
    <s v="ООО Колос"/>
    <s v="Гребенников Е.Н."/>
    <s v="В465ММ"/>
    <s v="4/2"/>
    <s v="4/2"/>
    <s v="Женева"/>
    <s v="Горох овощной свежий 10.01"/>
    <n v="26650"/>
    <n v="13450"/>
    <n v="8.5"/>
    <n v="13200"/>
    <n v="12078"/>
    <x v="0"/>
    <x v="27"/>
    <n v="1122"/>
    <n v="8.5000000000000006E-2"/>
    <n v="6"/>
    <n v="25"/>
    <x v="27"/>
    <x v="0"/>
  </r>
  <r>
    <s v="Акт входного контроля 000000353 от 25.06.2023 7:40:39"/>
    <s v="высший"/>
    <n v="480"/>
    <n v="21"/>
    <s v="ООО Колос"/>
    <s v="Извеков Владимир Владимирович"/>
    <s v="Н378ХЕ"/>
    <s v="4/2"/>
    <s v="4/2"/>
    <s v="Женева"/>
    <s v="Горох овощной свежий 10.01"/>
    <n v="30970"/>
    <n v="15210"/>
    <n v="10.5"/>
    <n v="15760"/>
    <n v="14105.2"/>
    <x v="0"/>
    <x v="27"/>
    <n v="1654.7999999999993"/>
    <n v="0.10499999999999995"/>
    <n v="6"/>
    <n v="25"/>
    <x v="27"/>
    <x v="0"/>
  </r>
  <r>
    <s v="Акт входного контроля 000000352 от 25.06.2023 9:13:54"/>
    <s v="высший"/>
    <n v="481"/>
    <n v="22"/>
    <s v="ООО Колос"/>
    <s v="Поляков Г,Г."/>
    <s v="М202СХ"/>
    <s v="4/2"/>
    <s v="4/2"/>
    <s v="Женева"/>
    <s v="Горох овощной свежий 10.01"/>
    <n v="35480"/>
    <n v="17360"/>
    <n v="10.5"/>
    <n v="18120"/>
    <n v="16217.4"/>
    <x v="0"/>
    <x v="27"/>
    <n v="1902.6000000000004"/>
    <n v="0.10500000000000002"/>
    <n v="6"/>
    <n v="25"/>
    <x v="27"/>
    <x v="0"/>
  </r>
  <r>
    <s v="Акт входного контроля 000000354 от 25.06.2023 13:13:18"/>
    <s v="высший"/>
    <n v="483"/>
    <n v="23"/>
    <s v="ООО Колос"/>
    <s v="Жданов А И"/>
    <s v="С707ОУ"/>
    <s v="4/2"/>
    <s v="4/2"/>
    <s v="Женева"/>
    <s v="Горох овощной свежий 10.01"/>
    <n v="30120"/>
    <n v="14300"/>
    <n v="9.5"/>
    <n v="15820"/>
    <n v="14317.1"/>
    <x v="0"/>
    <x v="27"/>
    <n v="1502.8999999999996"/>
    <n v="9.4999999999999973E-2"/>
    <n v="6"/>
    <n v="25"/>
    <x v="27"/>
    <x v="0"/>
  </r>
  <r>
    <s v="Акт входного контроля 000000355 от 25.06.2023 17:27:10"/>
    <s v="высший"/>
    <n v="484"/>
    <n v="25"/>
    <s v="Колос ООО"/>
    <s v="Магадиев Александр Сайлаувич"/>
    <s v="У184НО"/>
    <s v="4/2"/>
    <s v="4/2"/>
    <s v="Женева"/>
    <s v="Горох овощной свежий 10.01"/>
    <n v="30570"/>
    <n v="14370"/>
    <n v="9.5"/>
    <n v="16200"/>
    <n v="14661"/>
    <x v="0"/>
    <x v="27"/>
    <n v="1539"/>
    <n v="9.5000000000000001E-2"/>
    <n v="6"/>
    <n v="25"/>
    <x v="27"/>
    <x v="0"/>
  </r>
  <r>
    <s v="Акт входного контроля 000000356 от 25.06.2023 18:22:48"/>
    <s v="высший"/>
    <n v="485"/>
    <n v="24"/>
    <s v="ООО Колос"/>
    <s v="Сероштан Станислав Викторович"/>
    <s v="Е758РЕ"/>
    <s v="4/2"/>
    <s v="4/2"/>
    <s v="Женева"/>
    <s v="Горох овощной свежий 10.01"/>
    <n v="30890"/>
    <n v="14540"/>
    <n v="9.5"/>
    <n v="16350"/>
    <n v="14796.7"/>
    <x v="0"/>
    <x v="27"/>
    <n v="1553.2999999999993"/>
    <n v="9.5003058103975496E-2"/>
    <n v="6"/>
    <n v="25"/>
    <x v="27"/>
    <x v="0"/>
  </r>
  <r>
    <s v="Акт входного контроля 000000357 от 25.06.2023 21:44:53"/>
    <s v="высший"/>
    <n v="486"/>
    <n v="27"/>
    <s v="ООО Колос"/>
    <s v="Мудрак В В."/>
    <s v="кХ514ОК"/>
    <s v="4/2"/>
    <s v="4/2"/>
    <s v="Женева"/>
    <s v="Горох овощной свежий 10.01"/>
    <n v="39460"/>
    <n v="20930"/>
    <n v="10.5"/>
    <n v="18530"/>
    <n v="16584.3"/>
    <x v="0"/>
    <x v="27"/>
    <n v="1945.7000000000007"/>
    <n v="0.10500269832703728"/>
    <n v="6"/>
    <n v="25"/>
    <x v="27"/>
    <x v="0"/>
  </r>
  <r>
    <s v="Акт входного контроля 000000358 от 26.06.2023 0:35:53"/>
    <s v="высший"/>
    <n v="487"/>
    <n v="28"/>
    <s v="ООО Колос"/>
    <s v="Мосенцев Алексей Егорович"/>
    <s v="Т680ОУ"/>
    <s v="4/2"/>
    <s v="4/2"/>
    <s v="Женева"/>
    <s v="Горох овощной свежий 10.01"/>
    <n v="30300"/>
    <n v="14490"/>
    <n v="11.5"/>
    <n v="15810"/>
    <n v="13991.8"/>
    <x v="0"/>
    <x v="28"/>
    <n v="1818.2000000000007"/>
    <n v="0.11500316255534476"/>
    <n v="6"/>
    <n v="26"/>
    <x v="28"/>
    <x v="0"/>
  </r>
  <r>
    <s v="Акт входного контроля 000000359 от 26.06.2023 1:39:17"/>
    <s v="высший"/>
    <n v="488"/>
    <n v="29"/>
    <s v="ООО Колос"/>
    <s v="Бербеницкий Сергей Николаевич"/>
    <s v="С400РР"/>
    <s v="4/2"/>
    <s v="4/2"/>
    <s v="Женева"/>
    <s v="Горох овощной свежий 10.01"/>
    <n v="31040"/>
    <n v="15060"/>
    <n v="10.5"/>
    <n v="15980"/>
    <n v="14302.1"/>
    <x v="0"/>
    <x v="28"/>
    <n v="1677.8999999999996"/>
    <n v="0.10499999999999998"/>
    <n v="6"/>
    <n v="26"/>
    <x v="28"/>
    <x v="0"/>
  </r>
  <r>
    <s v="Акт входного контроля 000000365 от 26.06.2023 15:18:49"/>
    <s v="высший"/>
    <n v="489"/>
    <s v="26отходы Лыков ИП"/>
    <s v="ООО Колос"/>
    <s v="Сурнин А.В"/>
    <s v="В415ТТ"/>
    <s v="4/2"/>
    <s v="4/2"/>
    <s v="Женева"/>
    <s v="Горох овощной свежий 10.01"/>
    <n v="36010"/>
    <n v="19490"/>
    <n v="100"/>
    <n v="16520"/>
    <m/>
    <x v="0"/>
    <x v="28"/>
    <n v="16520"/>
    <n v="1"/>
    <n v="6"/>
    <n v="26"/>
    <x v="28"/>
    <x v="0"/>
  </r>
  <r>
    <s v="Акт входного контроля 000000360 от 26.06.2023 3:49:42"/>
    <s v="высший"/>
    <n v="490"/>
    <n v="30"/>
    <s v="ООО Колос"/>
    <s v="Богучарский А. И."/>
    <s v="Е404УС"/>
    <s v="4/2"/>
    <s v="4/2"/>
    <s v="Женева"/>
    <s v="Горох овощной свежий 10.01"/>
    <n v="29830"/>
    <n v="13980"/>
    <n v="10.5"/>
    <n v="15850"/>
    <n v="14185.7"/>
    <x v="0"/>
    <x v="28"/>
    <n v="1664.2999999999993"/>
    <n v="0.10500315457413245"/>
    <n v="6"/>
    <n v="26"/>
    <x v="28"/>
    <x v="0"/>
  </r>
  <r>
    <s v="Акт входного контроля 000000361 от 26.06.2023 7:14:10"/>
    <s v="высший"/>
    <n v="491"/>
    <n v="31"/>
    <s v="ООО Колос"/>
    <s v="Макуха А.Н,"/>
    <s v="К124УМ"/>
    <s v="4/2"/>
    <s v="4/2"/>
    <s v="Женева"/>
    <s v="Горох овощной свежий 10.01"/>
    <n v="31090"/>
    <n v="15410"/>
    <n v="12.5"/>
    <n v="15680"/>
    <n v="13720"/>
    <x v="0"/>
    <x v="28"/>
    <n v="1960"/>
    <n v="0.125"/>
    <n v="6"/>
    <n v="26"/>
    <x v="28"/>
    <x v="0"/>
  </r>
  <r>
    <s v="Акт входного контроля 000000362 от 26.06.2023 8:40:01"/>
    <s v="первый"/>
    <n v="492"/>
    <n v="32"/>
    <s v="ООО Колос"/>
    <s v="Гребенников Е.Н."/>
    <s v="В465ММ"/>
    <s v="4/2"/>
    <s v="4/2"/>
    <s v="Женева"/>
    <s v="Горох овощной свежий 10.01"/>
    <n v="28950"/>
    <n v="13360"/>
    <n v="9.5"/>
    <n v="15590"/>
    <n v="14108.9"/>
    <x v="0"/>
    <x v="28"/>
    <n v="1481.1000000000004"/>
    <n v="9.5003207184092386E-2"/>
    <n v="6"/>
    <n v="26"/>
    <x v="28"/>
    <x v="0"/>
  </r>
  <r>
    <s v="Акт входного контроля 000000363 от 26.06.2023 9:42:15"/>
    <s v="высший"/>
    <n v="493"/>
    <n v="33"/>
    <s v="ООО Колос"/>
    <s v="Дзюба Николай Сергеевич"/>
    <s v="Р383РЕ"/>
    <s v="4/2"/>
    <s v="4/2"/>
    <s v="Женева"/>
    <s v="Горох овощной свежий 10.01"/>
    <n v="30190"/>
    <n v="14560"/>
    <n v="11.5"/>
    <n v="15630"/>
    <n v="13832.5"/>
    <x v="0"/>
    <x v="28"/>
    <n v="1797.5"/>
    <n v="0.11500319897632758"/>
    <n v="6"/>
    <n v="26"/>
    <x v="28"/>
    <x v="0"/>
  </r>
  <r>
    <s v="Акт входного контроля 000000366 от 26.06.2023 13:09:40"/>
    <s v="высший"/>
    <n v="496"/>
    <n v="34"/>
    <s v="ООО Колос"/>
    <s v="Сидоренко Евгений Сергеевич"/>
    <s v="М697ХВ"/>
    <s v="4/2"/>
    <s v="4/2"/>
    <s v="Женева"/>
    <s v="Горох овощной свежий 10.01"/>
    <n v="32970"/>
    <n v="17070"/>
    <n v="8.5"/>
    <n v="15900"/>
    <n v="14548.5"/>
    <x v="0"/>
    <x v="28"/>
    <n v="1351.5"/>
    <n v="8.5000000000000006E-2"/>
    <n v="6"/>
    <n v="26"/>
    <x v="28"/>
    <x v="0"/>
  </r>
  <r>
    <s v="Акт входного контроля 000000367 от 26.06.2023 14:22:10"/>
    <s v="высший"/>
    <n v="497"/>
    <n v="35"/>
    <s v="ООО Колос"/>
    <s v="Поляков Г,Г."/>
    <s v="М202СХ"/>
    <s v="4/2"/>
    <s v="4/2"/>
    <s v="Женева"/>
    <s v="Горох овощной свежий 10.01"/>
    <n v="35860"/>
    <n v="17620"/>
    <n v="8.5"/>
    <n v="18240"/>
    <n v="16689.599999999999"/>
    <x v="0"/>
    <x v="28"/>
    <n v="1550.4000000000015"/>
    <n v="8.5000000000000075E-2"/>
    <n v="6"/>
    <n v="26"/>
    <x v="28"/>
    <x v="0"/>
  </r>
  <r>
    <s v="Акт входного контроля 000000368 от 26.06.2023 15:37:43"/>
    <s v="высший"/>
    <n v="498"/>
    <n v="36"/>
    <s v="ООО Колос"/>
    <s v="Магадиев Александр Сайлаувич"/>
    <s v="У184НО"/>
    <s v="4/2"/>
    <s v="4/2"/>
    <s v="Женева"/>
    <s v="Горох овощной свежий 10.01"/>
    <n v="30770"/>
    <n v="14360"/>
    <n v="8.5"/>
    <n v="16410"/>
    <n v="15015.1"/>
    <x v="0"/>
    <x v="28"/>
    <n v="1394.8999999999996"/>
    <n v="8.5003046922608141E-2"/>
    <n v="6"/>
    <n v="26"/>
    <x v="28"/>
    <x v="0"/>
  </r>
  <r>
    <s v="Акт входного контроля 000000369 от 26.06.2023 17:36:48"/>
    <s v="высший"/>
    <n v="499"/>
    <n v="37"/>
    <s v="ООО Колос"/>
    <s v="Макуха А.Н,"/>
    <s v="К124УМ"/>
    <s v="4/2"/>
    <s v="4/2"/>
    <s v="Женева"/>
    <s v="Горох овощной свежий 10.01"/>
    <n v="29050"/>
    <n v="15290"/>
    <n v="11.5"/>
    <n v="13760"/>
    <n v="12177.6"/>
    <x v="0"/>
    <x v="28"/>
    <n v="1582.3999999999996"/>
    <n v="0.11499999999999998"/>
    <n v="6"/>
    <n v="26"/>
    <x v="28"/>
    <x v="0"/>
  </r>
  <r>
    <s v="Акт входного контроля 000000370 от 26.06.2023 18:44:23"/>
    <s v="первый"/>
    <n v="501"/>
    <n v="21"/>
    <s v="ООО Колос"/>
    <s v="Извеков Владимир Владимирович"/>
    <s v="Н378ХЕ"/>
    <s v="4/2"/>
    <s v="4/2"/>
    <s v="Женева"/>
    <s v="Горох овощной свежий 10.01"/>
    <n v="31710"/>
    <n v="15220"/>
    <n v="8"/>
    <n v="16490"/>
    <n v="15170.8"/>
    <x v="0"/>
    <x v="28"/>
    <n v="1319.2000000000007"/>
    <n v="8.0000000000000043E-2"/>
    <n v="6"/>
    <n v="26"/>
    <x v="28"/>
    <x v="0"/>
  </r>
  <r>
    <s v="Акт входного контроля 000000371 от 26.06.2023 20:09:49"/>
    <s v="высший"/>
    <n v="502"/>
    <n v="39"/>
    <s v="ООО Колос"/>
    <s v="Сероштан Станислав Викторович"/>
    <s v="Е758РЕ"/>
    <s v="4/2"/>
    <s v="4/2"/>
    <s v="Женева"/>
    <s v="Горох овощной свежий 10.01"/>
    <n v="30920"/>
    <n v="14560"/>
    <n v="9.5"/>
    <n v="16360"/>
    <n v="14805.8"/>
    <x v="0"/>
    <x v="28"/>
    <n v="1554.2000000000007"/>
    <n v="9.5000000000000043E-2"/>
    <n v="6"/>
    <n v="26"/>
    <x v="28"/>
    <x v="0"/>
  </r>
  <r>
    <s v="Акт входного контроля 000000372 от 26.06.2023 22:21:02"/>
    <s v="первый"/>
    <n v="503"/>
    <n v="40"/>
    <s v="ООО Колос"/>
    <s v="Гребенников Е.Н."/>
    <s v="В465ММ"/>
    <s v="4/2"/>
    <s v="4/2"/>
    <s v="Женева"/>
    <s v="Горох овощной свежий 10.01"/>
    <n v="30210"/>
    <n v="13270"/>
    <n v="8.5"/>
    <n v="16940"/>
    <n v="15500.1"/>
    <x v="0"/>
    <x v="28"/>
    <n v="1439.8999999999996"/>
    <n v="8.4999999999999978E-2"/>
    <n v="6"/>
    <n v="26"/>
    <x v="28"/>
    <x v="0"/>
  </r>
  <r>
    <s v="Акт входного контроля 000000373 от 27.06.2023 3:23:11"/>
    <s v="высший"/>
    <n v="505"/>
    <n v="41"/>
    <s v="Колос ООО"/>
    <s v="Дзюба Николай Сергеевич"/>
    <s v="Р383РЕ"/>
    <s v="4/2"/>
    <s v="4/2"/>
    <s v="Женева"/>
    <s v="Горох овощной свежий 10.01"/>
    <n v="33310"/>
    <n v="14850"/>
    <n v="9.5"/>
    <n v="18460"/>
    <n v="16706.3"/>
    <x v="0"/>
    <x v="29"/>
    <n v="1753.7000000000007"/>
    <n v="9.5000000000000043E-2"/>
    <n v="6"/>
    <n v="27"/>
    <x v="29"/>
    <x v="0"/>
  </r>
  <r>
    <s v="Акт входного контроля 000000380 от 27.06.2023 20:38:55"/>
    <s v="первый"/>
    <n v="506"/>
    <n v="42"/>
    <s v="ООО Колос"/>
    <s v="Жданов А И"/>
    <s v="С707ОУ"/>
    <s v="4/1"/>
    <s v="4/1"/>
    <s v="Женева"/>
    <s v="Горох овощной свежий 10.01"/>
    <n v="30100"/>
    <n v="14450"/>
    <n v="7.5"/>
    <n v="15650"/>
    <n v="14476.2"/>
    <x v="0"/>
    <x v="29"/>
    <n v="1173.7999999999993"/>
    <n v="7.5003194888178873E-2"/>
    <n v="6"/>
    <n v="27"/>
    <x v="29"/>
    <x v="0"/>
  </r>
  <r>
    <s v="Акт входного контроля 000000381 от 27.06.2023 19:58:36"/>
    <s v="первый"/>
    <n v="507"/>
    <n v="43"/>
    <s v="ООО Колос"/>
    <s v="Богучарский А. И."/>
    <s v="Е404УС"/>
    <s v="4/2"/>
    <s v="4/2"/>
    <s v="Женева"/>
    <s v="Горох овощной свежий 10.01"/>
    <n v="29820"/>
    <n v="14110"/>
    <n v="8.5"/>
    <n v="15710"/>
    <n v="14374.6"/>
    <x v="0"/>
    <x v="29"/>
    <n v="1335.3999999999996"/>
    <n v="8.5003182686187118E-2"/>
    <n v="6"/>
    <n v="27"/>
    <x v="29"/>
    <x v="0"/>
  </r>
  <r>
    <s v="Акт входного контроля 000000382 от 27.06.2023 21:07:09"/>
    <s v="первый"/>
    <n v="508"/>
    <n v="44"/>
    <s v="ООО Колос"/>
    <s v="Кулик О В"/>
    <s v="К403ЕМ"/>
    <s v="4/2"/>
    <s v="4/2"/>
    <s v="Женева"/>
    <s v="Горох овощной свежий 10.01"/>
    <n v="35430"/>
    <n v="17550"/>
    <n v="8.5"/>
    <n v="17880"/>
    <n v="16360.2"/>
    <x v="0"/>
    <x v="29"/>
    <n v="1519.7999999999993"/>
    <n v="8.4999999999999964E-2"/>
    <n v="6"/>
    <n v="27"/>
    <x v="29"/>
    <x v="0"/>
  </r>
  <r>
    <s v="Акт входного контроля 000000383 от 27.06.2023 22:22:59"/>
    <s v="первый"/>
    <n v="509"/>
    <n v="45"/>
    <s v="ООО Колос"/>
    <s v="Бербеницкий Сергей Николаевич"/>
    <s v="С400РР"/>
    <s v="4/2"/>
    <s v="4/2"/>
    <s v="Женева"/>
    <s v="Горох овощной свежий 10.01"/>
    <n v="30910"/>
    <n v="15250"/>
    <n v="6.5"/>
    <n v="15660"/>
    <n v="14642.1"/>
    <x v="0"/>
    <x v="29"/>
    <n v="1017.8999999999996"/>
    <n v="6.4999999999999974E-2"/>
    <n v="6"/>
    <n v="27"/>
    <x v="29"/>
    <x v="0"/>
  </r>
  <r>
    <s v="Акт входного контроля 000000384 от 28.06.2023 3:59:10"/>
    <s v="первый"/>
    <n v="510"/>
    <n v="46"/>
    <s v="ООО Колос"/>
    <s v="Дзюба Николай Сергеевич"/>
    <s v="Р383РЕ"/>
    <s v="4/2"/>
    <s v="4/2"/>
    <s v="Женева"/>
    <s v="Горох овощной свежий 10.01"/>
    <n v="32480"/>
    <n v="14880"/>
    <n v="9.5"/>
    <n v="17600"/>
    <n v="15928"/>
    <x v="0"/>
    <x v="30"/>
    <n v="1672"/>
    <n v="9.5000000000000001E-2"/>
    <n v="6"/>
    <n v="28"/>
    <x v="30"/>
    <x v="0"/>
  </r>
  <r>
    <s v="Акт входного контроля 000000385 от 28.06.2023 9:19:43"/>
    <s v="первый"/>
    <n v="511"/>
    <n v="47"/>
    <s v="ООО Колос"/>
    <s v="Мосенцев Алексей Егорович"/>
    <s v="Т680ОУ"/>
    <s v="4/2"/>
    <s v="4/2"/>
    <s v="Женева"/>
    <s v="Горох овощной свежий 10.01"/>
    <n v="33200"/>
    <n v="14470"/>
    <n v="7.5"/>
    <n v="18730"/>
    <n v="17325.2"/>
    <x v="0"/>
    <x v="30"/>
    <n v="1404.7999999999993"/>
    <n v="7.5002669514148385E-2"/>
    <n v="6"/>
    <n v="28"/>
    <x v="30"/>
    <x v="0"/>
  </r>
  <r>
    <s v="Акт входного контроля 000000386 от 28.06.2023 11:31:55"/>
    <s v="высший"/>
    <n v="512"/>
    <n v="48"/>
    <s v="ООО Колос"/>
    <s v="Гребенников Е.Н."/>
    <s v="В465ММ"/>
    <s v="4/3"/>
    <s v="4/3"/>
    <s v="Сомервуд"/>
    <s v="Горох овощной свежий 10.01"/>
    <n v="29090"/>
    <n v="13300"/>
    <n v="15.5"/>
    <n v="15790"/>
    <n v="13342.5"/>
    <x v="0"/>
    <x v="30"/>
    <n v="2447.5"/>
    <n v="0.15500316656111462"/>
    <n v="6"/>
    <n v="28"/>
    <x v="30"/>
    <x v="0"/>
  </r>
  <r>
    <s v="Акт входного контроля 000000387 от 28.06.2023 15:54:05"/>
    <s v="высший"/>
    <n v="513"/>
    <n v="49"/>
    <s v="ООО Колос"/>
    <s v="Извеков Владимир Владимирович"/>
    <s v="Н378ХЕ"/>
    <s v="4/3"/>
    <s v="4/3"/>
    <m/>
    <s v="Горох овощной свежий 10.01"/>
    <n v="31080"/>
    <n v="15360"/>
    <n v="26"/>
    <n v="15720"/>
    <n v="11632.8"/>
    <x v="0"/>
    <x v="30"/>
    <n v="4087.2000000000007"/>
    <n v="0.26000000000000006"/>
    <n v="6"/>
    <n v="28"/>
    <x v="30"/>
    <x v="0"/>
  </r>
  <r>
    <s v="Акт входного контроля 000000388 от 28.06.2023 19:02:40"/>
    <s v="высший"/>
    <n v="516"/>
    <n v="50"/>
    <s v="ООО Колос"/>
    <s v="Мудрак В В."/>
    <s v="Х514ОК"/>
    <s v="4/3"/>
    <s v="4/3"/>
    <s v="Сомервуд"/>
    <s v="Горох овощной свежий 10.01"/>
    <n v="39540"/>
    <n v="20840"/>
    <n v="16.5"/>
    <n v="18700"/>
    <n v="15614.5"/>
    <x v="0"/>
    <x v="30"/>
    <n v="3085.5"/>
    <n v="0.16500000000000001"/>
    <n v="6"/>
    <n v="28"/>
    <x v="30"/>
    <x v="0"/>
  </r>
  <r>
    <s v="Акт входного контроля 000000389 от 28.06.2023 19:08:42"/>
    <s v="второй"/>
    <n v="517"/>
    <n v="51"/>
    <s v="ООО Колос"/>
    <s v="Сидоренко Евгений Сергеевич"/>
    <s v="М697ХВ"/>
    <s v="4/1"/>
    <s v="4/1"/>
    <s v="Женева"/>
    <s v="Горох овощной свежий 10.01"/>
    <n v="32360"/>
    <n v="16990"/>
    <n v="6.5"/>
    <n v="15370"/>
    <n v="14370.9"/>
    <x v="0"/>
    <x v="30"/>
    <n v="999.10000000000036"/>
    <n v="6.5003253090435933E-2"/>
    <n v="6"/>
    <n v="28"/>
    <x v="30"/>
    <x v="0"/>
  </r>
  <r>
    <s v="Акт входного контроля 000000390 от 28.06.2023 19:37:46"/>
    <s v="второй"/>
    <n v="518"/>
    <n v="52"/>
    <s v="ООО Колос"/>
    <s v="Макуха А.Н,"/>
    <s v="К124УМ"/>
    <s v="4/1"/>
    <s v="4/1"/>
    <s v="Женева"/>
    <s v="Горох овощной свежий 10.01"/>
    <n v="30930"/>
    <n v="15450"/>
    <n v="5.5"/>
    <n v="15480"/>
    <n v="14628.6"/>
    <x v="0"/>
    <x v="30"/>
    <n v="851.39999999999964"/>
    <n v="5.4999999999999979E-2"/>
    <n v="6"/>
    <n v="28"/>
    <x v="30"/>
    <x v="0"/>
  </r>
  <r>
    <s v="Акт входного контроля 000000391 от 28.06.2023 22:25:05"/>
    <s v="первый"/>
    <n v="519"/>
    <n v="53"/>
    <s v="ООО Колос"/>
    <s v="Погуляй А.Б."/>
    <s v="О824ТХ"/>
    <s v="4/1"/>
    <s v="4/1"/>
    <s v="Женева"/>
    <s v="Горох овощной свежий 10.01"/>
    <n v="36460"/>
    <n v="18680"/>
    <n v="5.5"/>
    <n v="17780"/>
    <n v="16802.099999999999"/>
    <x v="0"/>
    <x v="30"/>
    <n v="977.90000000000146"/>
    <n v="5.5000000000000084E-2"/>
    <n v="6"/>
    <n v="28"/>
    <x v="30"/>
    <x v="0"/>
  </r>
  <r>
    <s v="Акт входного контроля 000000392 от 28.06.2023 23:20:33"/>
    <s v="второй"/>
    <n v="521"/>
    <n v="54"/>
    <s v="ООО Колос"/>
    <s v="Сурнин А.В"/>
    <s v="В415ТТ"/>
    <s v="4/1"/>
    <s v="4/1"/>
    <s v="Женева"/>
    <s v="Горох овощной свежий 10.01"/>
    <n v="35660"/>
    <n v="17980"/>
    <n v="7.5"/>
    <n v="17680"/>
    <n v="16354"/>
    <x v="0"/>
    <x v="30"/>
    <n v="1326"/>
    <n v="7.4999999999999997E-2"/>
    <n v="6"/>
    <n v="28"/>
    <x v="30"/>
    <x v="0"/>
  </r>
  <r>
    <s v="Акт входного контроля 000000393 от 28.06.2023 23:37:35"/>
    <s v="второй"/>
    <n v="522"/>
    <n v="55"/>
    <s v="ООО Колос"/>
    <s v="Бербеницкий Сергей Николаевич"/>
    <s v="С400РР"/>
    <s v="4/1"/>
    <s v="4/1"/>
    <s v="Женева"/>
    <s v="Горох овощной свежий 10.01"/>
    <n v="32700"/>
    <n v="15090"/>
    <n v="4.5"/>
    <n v="17610"/>
    <n v="16817.5"/>
    <x v="0"/>
    <x v="30"/>
    <n v="792.5"/>
    <n v="4.5002839295854628E-2"/>
    <n v="6"/>
    <n v="28"/>
    <x v="30"/>
    <x v="0"/>
  </r>
  <r>
    <s v="Акт входного контроля 000000394 от 29.06.2023 2:43:32"/>
    <s v="второй"/>
    <n v="523"/>
    <n v="57"/>
    <s v="ООО Колос"/>
    <s v="Кулик О В"/>
    <s v="К403ЕМ"/>
    <s v="4/1"/>
    <s v="4/1"/>
    <s v="Женева"/>
    <s v="Горох овощной свежий 10.01"/>
    <n v="37070"/>
    <n v="17360"/>
    <n v="5.5"/>
    <n v="19710"/>
    <n v="18625.900000000001"/>
    <x v="0"/>
    <x v="31"/>
    <n v="1084.0999999999985"/>
    <n v="5.5002536783358626E-2"/>
    <n v="6"/>
    <n v="29"/>
    <x v="31"/>
    <x v="0"/>
  </r>
  <r>
    <s v="Акт входного контроля 000000395 от 29.06.2023 1:49:40"/>
    <s v="второй"/>
    <n v="524"/>
    <n v="56"/>
    <s v="ООО Колос"/>
    <s v="Сероштан Станислав Викторович"/>
    <s v="Е758РЕ"/>
    <s v="4/1"/>
    <s v="4/1"/>
    <s v="Женева"/>
    <s v="Горох овощной свежий 10.01"/>
    <n v="32070"/>
    <n v="14620"/>
    <n v="4.5"/>
    <n v="17450"/>
    <n v="16664.7"/>
    <x v="0"/>
    <x v="31"/>
    <n v="785.29999999999927"/>
    <n v="4.5002865329512851E-2"/>
    <n v="6"/>
    <n v="29"/>
    <x v="31"/>
    <x v="0"/>
  </r>
  <r>
    <s v="Акт входного контроля 000000396 от 29.06.2023 6:32:42"/>
    <s v="второй"/>
    <n v="525"/>
    <n v="58"/>
    <s v="ООО Колос"/>
    <s v="Богучарский А. И."/>
    <s v="Е404УС"/>
    <s v="4/1"/>
    <s v="4/1"/>
    <s v="Женева"/>
    <s v="Горох овощной свежий 10.01"/>
    <n v="31760"/>
    <n v="14170"/>
    <n v="4.5"/>
    <n v="17590"/>
    <n v="16798.400000000001"/>
    <x v="0"/>
    <x v="31"/>
    <n v="791.59999999999854"/>
    <n v="4.5002842524161375E-2"/>
    <n v="6"/>
    <n v="29"/>
    <x v="31"/>
    <x v="0"/>
  </r>
  <r>
    <s v="Акт входного контроля 000000397 от 29.06.2023 10:06:44"/>
    <s v="второй"/>
    <n v="526"/>
    <n v="59"/>
    <s v="ООО Колос"/>
    <s v="Жданов А И"/>
    <s v="С707ОУ"/>
    <s v="4/1"/>
    <s v="4/1"/>
    <s v="Женева"/>
    <s v="Горох овощной свежий 10.01"/>
    <n v="31870"/>
    <n v="14390"/>
    <n v="5.5"/>
    <n v="17480"/>
    <n v="16518.599999999999"/>
    <x v="0"/>
    <x v="31"/>
    <n v="961.40000000000146"/>
    <n v="5.5000000000000084E-2"/>
    <n v="6"/>
    <n v="29"/>
    <x v="31"/>
    <x v="0"/>
  </r>
  <r>
    <s v="Акт входного контроля 000000398 от 29.06.2023 11:04:43"/>
    <s v="второй"/>
    <n v="527"/>
    <n v="60"/>
    <s v="ООО Колос"/>
    <s v="Мосенцев Алексей Егорович"/>
    <s v="Т680ОУ"/>
    <s v="4/1"/>
    <s v="4/1"/>
    <s v="Женева"/>
    <s v="Горох овощной свежий 10.01"/>
    <n v="31930"/>
    <n v="14350"/>
    <n v="4.5"/>
    <n v="17580"/>
    <n v="16788.900000000001"/>
    <x v="0"/>
    <x v="31"/>
    <n v="791.09999999999854"/>
    <n v="4.4999999999999915E-2"/>
    <n v="6"/>
    <n v="29"/>
    <x v="31"/>
    <x v="0"/>
  </r>
  <r>
    <s v="Акт входного контроля 000000399 от 29.06.2023 13:05:11"/>
    <s v="второй"/>
    <n v="528"/>
    <n v="61"/>
    <s v="ООО Колос"/>
    <s v="Макуха А.Н,"/>
    <s v="К124УМ"/>
    <s v="4/1"/>
    <s v="4/1"/>
    <s v="Женева"/>
    <s v="Горох овощной свежий 10.01"/>
    <n v="32870"/>
    <n v="15370"/>
    <n v="5.5"/>
    <n v="17500"/>
    <n v="16537.5"/>
    <x v="0"/>
    <x v="31"/>
    <n v="962.5"/>
    <n v="5.5E-2"/>
    <n v="6"/>
    <n v="29"/>
    <x v="31"/>
    <x v="0"/>
  </r>
  <r>
    <s v="Акт входного контроля 000000401 от 29.06.2023 14:33:50"/>
    <s v="второй"/>
    <n v="531"/>
    <n v="62"/>
    <s v="ООО Колос"/>
    <s v="Мудрак В В."/>
    <s v="Х514ОК"/>
    <s v="4/1"/>
    <s v="4/1"/>
    <s v="Женева"/>
    <s v="Горох овощной свежий 10.01"/>
    <n v="38730"/>
    <n v="21070"/>
    <n v="6.5"/>
    <n v="17660"/>
    <n v="16512.099999999999"/>
    <x v="0"/>
    <x v="31"/>
    <n v="1147.9000000000015"/>
    <n v="6.5000000000000085E-2"/>
    <n v="6"/>
    <n v="29"/>
    <x v="31"/>
    <x v="0"/>
  </r>
  <r>
    <s v="Акт входного контроля 000000402 от 29.06.2023 16:44:30"/>
    <s v="второй"/>
    <n v="534"/>
    <n v="63"/>
    <s v="ООО Колос"/>
    <s v="Сидоренко Евгений Сергеевич"/>
    <s v="М697ХВ"/>
    <s v="4/1"/>
    <s v="4/1"/>
    <s v="Женева"/>
    <s v="Горох овощной свежий 10.01"/>
    <n v="34510"/>
    <n v="16890"/>
    <n v="6.5"/>
    <n v="17620"/>
    <n v="16474.7"/>
    <x v="0"/>
    <x v="31"/>
    <n v="1145.2999999999993"/>
    <n v="6.4999999999999961E-2"/>
    <n v="6"/>
    <n v="29"/>
    <x v="31"/>
    <x v="0"/>
  </r>
  <r>
    <s v="Акт входного контроля 000000403 от 29.06.2023 21:59:21"/>
    <s v="второй"/>
    <n v="535"/>
    <n v="64"/>
    <s v="ООО Колос"/>
    <s v="Сурнин А.В"/>
    <s v="В415ТТ"/>
    <s v="4/1"/>
    <s v="4/1"/>
    <s v="Женева"/>
    <s v="Горох овощной свежий 10.01"/>
    <n v="37790"/>
    <n v="17860"/>
    <n v="8.5"/>
    <n v="19930"/>
    <n v="18235.900000000001"/>
    <x v="0"/>
    <x v="31"/>
    <n v="1694.0999999999985"/>
    <n v="8.5002508780732497E-2"/>
    <n v="6"/>
    <n v="29"/>
    <x v="31"/>
    <x v="0"/>
  </r>
  <r>
    <s v="Акт входного контроля 000000416 от 30.06.2023 14:53:59"/>
    <s v="второй"/>
    <n v="536"/>
    <n v="65"/>
    <s v="ООО Колос"/>
    <s v="Погуляй А.Б."/>
    <s v="О824ТХ"/>
    <s v="4/1"/>
    <s v="4/1"/>
    <s v="Женева"/>
    <s v="Горох овощной свежий 10.01"/>
    <n v="38440"/>
    <n v="26790"/>
    <n v="5.5"/>
    <n v="11650"/>
    <n v="11009.2"/>
    <x v="0"/>
    <x v="32"/>
    <n v="640.79999999999927"/>
    <n v="5.5004291845493498E-2"/>
    <n v="6"/>
    <n v="30"/>
    <x v="32"/>
    <x v="0"/>
  </r>
  <r>
    <s v="Акт входного контроля 000000405 от 29.06.2023 17:23:54"/>
    <s v="второй"/>
    <n v="537"/>
    <n v="66"/>
    <s v="ООО Колос"/>
    <s v="Дзюба Николай Сергеевич"/>
    <s v="Р383РЕ"/>
    <s v="4/1"/>
    <s v="4/1"/>
    <s v="Женева"/>
    <s v="Горох овощной свежий 10.01"/>
    <n v="32380"/>
    <n v="14670"/>
    <n v="4.5"/>
    <n v="17710"/>
    <n v="16913"/>
    <x v="0"/>
    <x v="31"/>
    <n v="797"/>
    <n v="4.5002823263692829E-2"/>
    <n v="6"/>
    <n v="29"/>
    <x v="31"/>
    <x v="0"/>
  </r>
  <r>
    <s v="Акт входного контроля 000000406 от 29.06.2023 18:15:50"/>
    <s v="второй"/>
    <n v="538"/>
    <n v="67"/>
    <s v="ООО Колос"/>
    <s v="Макаренко Алексей Юрьевич"/>
    <s v="Т565НР"/>
    <s v="4/1"/>
    <s v="4/1"/>
    <s v="Женева"/>
    <s v="Горох овощной свежий 10.01"/>
    <n v="33400"/>
    <n v="15540"/>
    <n v="6.5"/>
    <n v="17860"/>
    <n v="16699.099999999999"/>
    <x v="0"/>
    <x v="31"/>
    <n v="1160.9000000000015"/>
    <n v="6.5000000000000085E-2"/>
    <n v="6"/>
    <n v="29"/>
    <x v="31"/>
    <x v="0"/>
  </r>
  <r>
    <s v="Акт входного контроля 000000407 от 29.06.2023 20:49:03"/>
    <s v="второй"/>
    <n v="540"/>
    <n v="68"/>
    <s v="ООО Колос"/>
    <s v="Суханов В.Н."/>
    <s v="А569РР"/>
    <s v="4/1"/>
    <s v="4/1"/>
    <s v="Бинго"/>
    <s v="Горох овощной свежий 10.01"/>
    <n v="31980"/>
    <n v="14390"/>
    <n v="4.5"/>
    <n v="17590"/>
    <n v="16798.400000000001"/>
    <x v="0"/>
    <x v="31"/>
    <n v="791.59999999999854"/>
    <n v="4.5002842524161375E-2"/>
    <n v="6"/>
    <n v="29"/>
    <x v="31"/>
    <x v="0"/>
  </r>
  <r>
    <s v="Акт входного контроля 000000408 от 29.06.2023 23:12:38"/>
    <s v="второй"/>
    <n v="541"/>
    <n v="69"/>
    <s v="ООО Колос"/>
    <s v="Поляков Г,Г."/>
    <s v="М202СХ"/>
    <s v="4/1"/>
    <s v="4/1"/>
    <s v="Женева"/>
    <s v="Горох овощной свежий 10.01"/>
    <n v="37580"/>
    <n v="17500"/>
    <n v="6.5"/>
    <n v="20080"/>
    <n v="18774.8"/>
    <x v="0"/>
    <x v="31"/>
    <n v="1305.2000000000007"/>
    <n v="6.500000000000003E-2"/>
    <n v="6"/>
    <n v="29"/>
    <x v="31"/>
    <x v="0"/>
  </r>
  <r>
    <s v="Акт входного контроля 000000409 от 29.06.2023 23:55:16"/>
    <s v="второй"/>
    <n v="542"/>
    <n v="70"/>
    <s v="ООО Колос"/>
    <s v="Бербеницкий Сергей Николаевич"/>
    <s v="С400РР"/>
    <s v="4/1"/>
    <s v="4/1"/>
    <s v="Женева"/>
    <s v="Горох овощной свежий 10.01"/>
    <n v="32960"/>
    <n v="15050"/>
    <n v="5.5"/>
    <n v="17910"/>
    <n v="16924.900000000001"/>
    <x v="0"/>
    <x v="31"/>
    <n v="985.09999999999854"/>
    <n v="5.5002791736459999E-2"/>
    <n v="6"/>
    <n v="29"/>
    <x v="31"/>
    <x v="0"/>
  </r>
  <r>
    <s v="Акт входного контроля 000000410 от 30.06.2023 11:18:31"/>
    <s v="высший"/>
    <n v="543"/>
    <n v="71"/>
    <s v="ООО Колос"/>
    <s v="Кулик О В"/>
    <s v="К403ЕМ"/>
    <s v="4/3"/>
    <s v="4/3"/>
    <s v="Сомервуд"/>
    <s v="Горох овощной свежий 10.01"/>
    <n v="33020"/>
    <n v="17340"/>
    <n v="10.5"/>
    <n v="15680"/>
    <n v="14033.6"/>
    <x v="0"/>
    <x v="32"/>
    <n v="1646.3999999999996"/>
    <n v="0.10499999999999998"/>
    <n v="6"/>
    <n v="30"/>
    <x v="32"/>
    <x v="0"/>
  </r>
  <r>
    <s v="Акт входного контроля 000000411 от 30.06.2023 11:32:44"/>
    <s v="высший"/>
    <n v="544"/>
    <n v="72"/>
    <s v="ООО Колос"/>
    <s v="Богучарский А. И."/>
    <s v="Е404УС"/>
    <s v="4/3"/>
    <s v="4/3"/>
    <s v="Сомервуд"/>
    <s v="Горох овощной свежий 10.01"/>
    <n v="27430"/>
    <n v="14180"/>
    <n v="11.5"/>
    <n v="13250"/>
    <n v="11726.2"/>
    <x v="0"/>
    <x v="32"/>
    <n v="1523.7999999999993"/>
    <n v="0.1150037735849056"/>
    <n v="6"/>
    <n v="30"/>
    <x v="32"/>
    <x v="0"/>
  </r>
  <r>
    <s v="Акт входного контроля 000000412 от 30.06.2023 16:27:17"/>
    <s v="высший"/>
    <n v="545"/>
    <n v="73"/>
    <s v="ООО Колос"/>
    <s v="Мудрак В В."/>
    <s v="Х514ОК"/>
    <s v="4/3"/>
    <s v="4/3"/>
    <s v="Сомервуд"/>
    <s v="Горох овощной свежий 10.01"/>
    <n v="38610"/>
    <n v="20880"/>
    <n v="12.5"/>
    <n v="17730"/>
    <n v="15513.7"/>
    <x v="0"/>
    <x v="32"/>
    <n v="2216.2999999999993"/>
    <n v="0.12500282007896216"/>
    <n v="6"/>
    <n v="30"/>
    <x v="32"/>
    <x v="0"/>
  </r>
  <r>
    <s v="Акт входного контроля 000000413 от 30.06.2023 16:39:32"/>
    <s v="высший"/>
    <n v="546"/>
    <n v="74"/>
    <s v="ООО Колос"/>
    <s v="Сероштан Станислав Викторович"/>
    <s v="Е758РЕ"/>
    <s v="4/3"/>
    <s v="4/3"/>
    <s v="Сомервуд"/>
    <s v="Горох овощной свежий 10.01"/>
    <n v="28230"/>
    <n v="14620"/>
    <n v="9.5"/>
    <n v="13610"/>
    <n v="12317"/>
    <x v="0"/>
    <x v="32"/>
    <n v="1293"/>
    <n v="9.5003673769287283E-2"/>
    <n v="6"/>
    <n v="30"/>
    <x v="32"/>
    <x v="0"/>
  </r>
  <r>
    <s v="Акт входного контроля 000000414 от 30.06.2023 16:56:59"/>
    <s v="высший"/>
    <n v="549"/>
    <n v="75"/>
    <s v="ООО Колос"/>
    <s v="Птащенко Дмитрий Анатольевич"/>
    <s v="Е606ЕК"/>
    <s v="4/3"/>
    <s v="4/3"/>
    <s v="Сомервуд"/>
    <s v="Горох овощной свежий 10.01"/>
    <n v="30380"/>
    <n v="14720"/>
    <n v="10.5"/>
    <n v="15660"/>
    <n v="14015.7"/>
    <x v="0"/>
    <x v="32"/>
    <n v="1644.2999999999993"/>
    <n v="0.10499999999999995"/>
    <n v="6"/>
    <n v="30"/>
    <x v="32"/>
    <x v="0"/>
  </r>
  <r>
    <s v="Акт входного контроля 000000415 от 30.06.2023 17:03:48"/>
    <s v="высший"/>
    <n v="550"/>
    <n v="76"/>
    <s v="ООО Колос"/>
    <s v="Сурнин А.В"/>
    <s v="В415ТТ"/>
    <s v="4/3"/>
    <s v="4/3"/>
    <s v="Женева"/>
    <s v="Горох овощной свежий 10.01"/>
    <n v="36090"/>
    <n v="17930"/>
    <n v="10.5"/>
    <n v="18160"/>
    <n v="16253.2"/>
    <x v="0"/>
    <x v="32"/>
    <n v="1906.7999999999993"/>
    <n v="0.10499999999999995"/>
    <n v="6"/>
    <n v="30"/>
    <x v="32"/>
    <x v="0"/>
  </r>
  <r>
    <s v="Акт входного контроля 000000443 от 30.06.2023 16:04:07"/>
    <s v="второй"/>
    <n v="552"/>
    <s v="65Продажа Паян отходы"/>
    <s v="ООО Колос"/>
    <s v="Погуляй А.Б."/>
    <s v="О824ТХ"/>
    <s v="4/1"/>
    <s v="4/1"/>
    <s v="Женева"/>
    <s v="Горох овощной свежий 10.01"/>
    <n v="18660"/>
    <n v="10730"/>
    <m/>
    <n v="7930"/>
    <n v="7930"/>
    <x v="0"/>
    <x v="32"/>
    <n v="0"/>
    <n v="0"/>
    <n v="6"/>
    <n v="30"/>
    <x v="32"/>
    <x v="0"/>
  </r>
  <r>
    <s v="Акт входного контроля 000000418 от 30.06.2023 20:36:17"/>
    <s v="высший"/>
    <n v="553"/>
    <n v="77"/>
    <s v="ООО Колос"/>
    <s v="Сидоренко Евгений Сергеевич"/>
    <s v="М697ХВ"/>
    <s v="4/3"/>
    <s v="4/3"/>
    <s v="Сомервуд"/>
    <s v="Горох овощной свежий 10.01"/>
    <n v="33140"/>
    <n v="17070"/>
    <n v="11.5"/>
    <n v="16070"/>
    <n v="14221.9"/>
    <x v="0"/>
    <x v="32"/>
    <n v="1848.1000000000004"/>
    <n v="0.11500311138767892"/>
    <n v="6"/>
    <n v="30"/>
    <x v="32"/>
    <x v="0"/>
  </r>
  <r>
    <s v="Акт входного контроля 000000419 от 30.06.2023 20:41:18"/>
    <s v="высший"/>
    <n v="555"/>
    <n v="78"/>
    <s v="ООО Колос"/>
    <s v="Поляков Г,Г."/>
    <s v="М202СХ"/>
    <s v="4/3"/>
    <s v="4/3"/>
    <s v="Сомервуд"/>
    <s v="Горох овощной свежий 10.01"/>
    <n v="35820"/>
    <n v="17600"/>
    <n v="10.5"/>
    <n v="18220"/>
    <n v="16306.9"/>
    <x v="0"/>
    <x v="32"/>
    <n v="1913.1000000000004"/>
    <n v="0.10500000000000002"/>
    <n v="6"/>
    <n v="30"/>
    <x v="32"/>
    <x v="0"/>
  </r>
  <r>
    <s v="Акт входного контроля 000000420 от 30.06.2023 22:13:05"/>
    <s v="первый"/>
    <n v="556"/>
    <n v="79"/>
    <s v="ООО Колос"/>
    <s v="Гребенников Е.Н."/>
    <s v="В465ММ"/>
    <s v="4/3"/>
    <s v="4/3"/>
    <s v="Сомервуд"/>
    <s v="Горох овощной свежий 10.01"/>
    <n v="29100"/>
    <n v="13190"/>
    <n v="8.5"/>
    <n v="15910"/>
    <n v="14557.6"/>
    <x v="0"/>
    <x v="32"/>
    <n v="1352.3999999999996"/>
    <n v="8.5003142677561261E-2"/>
    <n v="6"/>
    <n v="30"/>
    <x v="32"/>
    <x v="0"/>
  </r>
  <r>
    <s v="Акт входного контроля 000000421 от 30.06.2023 21:18:17"/>
    <s v="первый"/>
    <n v="557"/>
    <n v="80"/>
    <s v="ООО Колос"/>
    <s v="Макуха А.Н,"/>
    <s v="К124УМ"/>
    <s v="4/3"/>
    <s v="4/3"/>
    <s v="Сомервуд"/>
    <s v="Горох овощной свежий 10.01"/>
    <n v="31210"/>
    <n v="15420"/>
    <n v="9.5"/>
    <n v="15790"/>
    <n v="14289.9"/>
    <x v="0"/>
    <x v="32"/>
    <n v="1500.1000000000004"/>
    <n v="9.5003166561114655E-2"/>
    <n v="6"/>
    <n v="30"/>
    <x v="32"/>
    <x v="0"/>
  </r>
  <r>
    <s v="Акт входного контроля 000000422 от 30.06.2023 23:33:22"/>
    <s v="первый"/>
    <n v="558"/>
    <n v="81"/>
    <s v="ООО Колос"/>
    <s v="Мудрак В В."/>
    <s v="Х514 ОК"/>
    <s v="4/3"/>
    <s v="4/3"/>
    <s v="Сомервуд"/>
    <s v="Горох овощной свежий 10.01"/>
    <n v="38880"/>
    <n v="21040"/>
    <n v="7.5"/>
    <n v="17840"/>
    <n v="16502"/>
    <x v="0"/>
    <x v="32"/>
    <n v="1338"/>
    <n v="7.4999999999999997E-2"/>
    <n v="6"/>
    <n v="30"/>
    <x v="32"/>
    <x v="0"/>
  </r>
  <r>
    <s v="Акт входного контроля 000000423 от 01.07.2023 3:05:15"/>
    <s v="первый"/>
    <n v="560"/>
    <n v="82"/>
    <s v="ООО Колос"/>
    <s v="Бербеницкий Сергей Николаевич"/>
    <s v="С400РР"/>
    <s v="4/3"/>
    <s v="4/3"/>
    <s v="Сомервуд"/>
    <s v="Горох овощной свежий 10.01"/>
    <n v="30610"/>
    <n v="15020"/>
    <n v="9.5"/>
    <n v="15590"/>
    <n v="14108.9"/>
    <x v="0"/>
    <x v="33"/>
    <n v="1481.1000000000004"/>
    <n v="9.5003207184092386E-2"/>
    <n v="7"/>
    <n v="1"/>
    <x v="33"/>
    <x v="0"/>
  </r>
  <r>
    <s v="Акт входного контроля 000000424 от 01.07.2023 5:13:51"/>
    <s v="первый"/>
    <n v="561"/>
    <n v="83"/>
    <s v="ООО Колос"/>
    <s v="Сурнин А.В"/>
    <s v="В415ТТ"/>
    <s v="4/3"/>
    <s v="4/3"/>
    <s v="Сомервуд"/>
    <s v="Горох овощной свежий 10.01"/>
    <n v="35700"/>
    <n v="17810"/>
    <n v="10.5"/>
    <n v="17890"/>
    <n v="16011.5"/>
    <x v="0"/>
    <x v="33"/>
    <n v="1878.5"/>
    <n v="0.10500279485746226"/>
    <n v="7"/>
    <n v="1"/>
    <x v="33"/>
    <x v="0"/>
  </r>
  <r>
    <s v="Акт входного контроля 000000425 от 01.07.2023 7:03:28"/>
    <s v="первый"/>
    <n v="562"/>
    <n v="84"/>
    <s v="ООО Колос"/>
    <s v="Дзюба Николай Сергеевич"/>
    <s v="Р383РЕ"/>
    <s v="4/3"/>
    <s v="4/3"/>
    <s v="Сомервуд"/>
    <s v="Горох овощной свежий 10.01"/>
    <n v="32540"/>
    <n v="14660"/>
    <n v="8.5"/>
    <n v="17880"/>
    <n v="16360.2"/>
    <x v="0"/>
    <x v="33"/>
    <n v="1519.7999999999993"/>
    <n v="8.4999999999999964E-2"/>
    <n v="7"/>
    <n v="1"/>
    <x v="33"/>
    <x v="0"/>
  </r>
  <r>
    <s v="Акт входного контроля 000000426 от 01.07.2023 12:45:03"/>
    <s v="первый"/>
    <n v="563"/>
    <n v="85"/>
    <s v="ООО Колос"/>
    <s v="Суханов В.Н."/>
    <s v="А569РР"/>
    <s v="4/3"/>
    <s v="4/3"/>
    <s v="Сомервуд"/>
    <s v="Горох овощной свежий 10.01"/>
    <n v="32420"/>
    <n v="14600"/>
    <n v="8.5"/>
    <n v="17820"/>
    <n v="16305.3"/>
    <x v="0"/>
    <x v="33"/>
    <n v="1514.7000000000007"/>
    <n v="8.5000000000000048E-2"/>
    <n v="7"/>
    <n v="1"/>
    <x v="33"/>
    <x v="0"/>
  </r>
  <r>
    <s v="Акт входного контроля 000000427 от 01.07.2023 12:51:48"/>
    <s v="первый"/>
    <n v="564"/>
    <n v="86"/>
    <s v="ООО Колос"/>
    <s v="Сидоренко Евгений Сергеевич"/>
    <s v="М697ХВ"/>
    <s v="4/3"/>
    <s v="4/3"/>
    <s v="Сомервуд"/>
    <s v="Горох овощной свежий 10.01"/>
    <n v="30950"/>
    <n v="16960"/>
    <n v="8.5"/>
    <n v="13990"/>
    <n v="12800.8"/>
    <x v="0"/>
    <x v="33"/>
    <n v="1189.2000000000007"/>
    <n v="8.5003573981415351E-2"/>
    <n v="7"/>
    <n v="1"/>
    <x v="33"/>
    <x v="0"/>
  </r>
  <r>
    <s v="Акт входного контроля 000000428 от 01.07.2023 15:11:46"/>
    <s v="второй"/>
    <n v="565"/>
    <n v="87"/>
    <s v="ООО Колос"/>
    <s v="Погуляй А.Б."/>
    <s v="О824ТХ"/>
    <s v="3/2"/>
    <s v="3/2"/>
    <s v="Сомервуд"/>
    <s v="Горох овощной свежий 10.01"/>
    <n v="36580"/>
    <n v="18620"/>
    <n v="5"/>
    <n v="17960"/>
    <n v="17062"/>
    <x v="0"/>
    <x v="33"/>
    <n v="898"/>
    <n v="0.05"/>
    <n v="7"/>
    <n v="1"/>
    <x v="33"/>
    <x v="0"/>
  </r>
  <r>
    <s v="Акт входного контроля 000000429 от 01.07.2023 18:59:28"/>
    <s v="второй"/>
    <n v="566"/>
    <n v="88"/>
    <s v="ООО Колос"/>
    <s v="Кулик О В"/>
    <s v="К403ЕМ"/>
    <s v="3/2"/>
    <s v="3/2"/>
    <s v="Сомервуд"/>
    <s v="Горох овощной свежий 10.01"/>
    <n v="35110"/>
    <n v="17430"/>
    <n v="7"/>
    <n v="17680"/>
    <n v="16442.400000000001"/>
    <x v="0"/>
    <x v="33"/>
    <n v="1237.5999999999985"/>
    <n v="6.9999999999999923E-2"/>
    <n v="7"/>
    <n v="1"/>
    <x v="33"/>
    <x v="0"/>
  </r>
  <r>
    <s v="Акт входного контроля 000000431 от 01.07.2023 15:54:46"/>
    <s v="второй"/>
    <n v="567"/>
    <n v="90"/>
    <s v="ООО Колос"/>
    <s v="Бербеницкий Сергей Николаевич"/>
    <s v="С400РР"/>
    <s v="3/2"/>
    <s v="3/2"/>
    <s v="Сомервуд"/>
    <s v="Горох овощной свежий 10.01"/>
    <n v="30740"/>
    <n v="15030"/>
    <n v="6"/>
    <n v="15710"/>
    <n v="14767.4"/>
    <x v="0"/>
    <x v="33"/>
    <n v="942.60000000000036"/>
    <n v="6.0000000000000026E-2"/>
    <n v="7"/>
    <n v="1"/>
    <x v="33"/>
    <x v="0"/>
  </r>
  <r>
    <s v="Акт входного контроля 000000430 от 01.07.2023 22:09:55"/>
    <s v="первый"/>
    <n v="568"/>
    <n v="89"/>
    <s v="ООО Колос"/>
    <s v="Гребенников Е.Н."/>
    <s v="В465ММ"/>
    <s v="3/2"/>
    <s v="3/2"/>
    <s v="Сомервуд"/>
    <s v="Горох овощной свежий 10.01"/>
    <n v="28850"/>
    <n v="13130"/>
    <n v="7"/>
    <n v="15720"/>
    <n v="14619.6"/>
    <x v="0"/>
    <x v="33"/>
    <n v="1100.3999999999996"/>
    <n v="6.9999999999999979E-2"/>
    <n v="7"/>
    <n v="1"/>
    <x v="33"/>
    <x v="0"/>
  </r>
  <r>
    <s v="Акт входного контроля 000000432 от 01.07.2023 17:20:47"/>
    <s v="первый"/>
    <n v="569"/>
    <n v="91"/>
    <s v="ООО Колос"/>
    <s v="Поляков Г,Г."/>
    <s v="М202СХ"/>
    <s v="3/2"/>
    <s v="3/2"/>
    <s v="Сомервуд"/>
    <s v="Горох овощной свежий 10.01"/>
    <n v="35230"/>
    <n v="17490"/>
    <n v="8"/>
    <n v="17740"/>
    <n v="16320.8"/>
    <x v="0"/>
    <x v="33"/>
    <n v="1419.2000000000007"/>
    <n v="8.0000000000000043E-2"/>
    <n v="7"/>
    <n v="1"/>
    <x v="33"/>
    <x v="0"/>
  </r>
  <r>
    <s v="Акт входного контроля 000000439 от 01.07.2023 21:37:42"/>
    <s v="второй"/>
    <n v="571"/>
    <s v="49Славянский КК"/>
    <s v="ООО Колос"/>
    <s v="Богучарский А. И."/>
    <s v="Е404УС"/>
    <s v="3/2"/>
    <s v="3/2"/>
    <s v="Сомервуд"/>
    <s v="Горох овощной свежий 10.01"/>
    <n v="22960"/>
    <n v="13950"/>
    <n v="0.8"/>
    <n v="9010"/>
    <n v="8940"/>
    <x v="0"/>
    <x v="33"/>
    <n v="70"/>
    <n v="7.7691453940066596E-3"/>
    <n v="7"/>
    <n v="1"/>
    <x v="33"/>
    <x v="0"/>
  </r>
  <r>
    <s v="Акт входного контроля 000000440 от 02.07.2023 21:47:18"/>
    <s v="второй"/>
    <n v="572"/>
    <s v="215Утилизация"/>
    <s v="ООО Колос"/>
    <s v="Мудрак В В."/>
    <s v="Х514ОК"/>
    <s v="3/2"/>
    <s v="3/2"/>
    <s v="Сомервуд"/>
    <s v="Горох овощной свежий 10.01"/>
    <n v="38810"/>
    <n v="20810"/>
    <m/>
    <n v="18000"/>
    <n v="18000"/>
    <x v="0"/>
    <x v="34"/>
    <n v="0"/>
    <n v="0"/>
    <n v="7"/>
    <n v="2"/>
    <x v="34"/>
    <x v="0"/>
  </r>
  <r>
    <s v="Акт входного контроля 000000442 от 02.07.2023 8:22:17"/>
    <s v="второй"/>
    <n v="573"/>
    <s v="92Продажа Частных отходы"/>
    <s v="Колос ООО"/>
    <s v="Звада Евгений Евгеньевич"/>
    <s v="А688АМ"/>
    <s v="3/2"/>
    <s v="3/2"/>
    <s v="Сомервуд"/>
    <s v="Горох овощной свежий 10.01"/>
    <n v="30240"/>
    <n v="14550"/>
    <n v="2.9"/>
    <n v="15690"/>
    <n v="15240"/>
    <x v="0"/>
    <x v="34"/>
    <n v="450"/>
    <n v="2.8680688336520075E-2"/>
    <n v="7"/>
    <n v="2"/>
    <x v="34"/>
    <x v="0"/>
  </r>
  <r>
    <s v="Акт входного контроля 000000433 от 02.07.2023 23:25:19"/>
    <s v="второй"/>
    <n v="577"/>
    <n v="99"/>
    <s v="ООО Колос"/>
    <s v="Сурнин А.В"/>
    <s v="В415ТТ"/>
    <s v="3/2"/>
    <s v="3/2"/>
    <s v="Сомервуд"/>
    <s v="Горох овощной свежий 10.01"/>
    <n v="35700"/>
    <n v="17910"/>
    <n v="4.5"/>
    <n v="17790"/>
    <n v="16989.400000000001"/>
    <x v="0"/>
    <x v="34"/>
    <n v="800.59999999999854"/>
    <n v="4.50028105677346E-2"/>
    <n v="7"/>
    <n v="2"/>
    <x v="34"/>
    <x v="0"/>
  </r>
  <r>
    <s v="Акт входного контроля 000000434 от 02.07.2023 23:48:42"/>
    <s v="второй"/>
    <n v="578"/>
    <n v="100"/>
    <s v="ООО Колос"/>
    <s v="Сидоренко Евгений Сергеевич"/>
    <s v="М697ХВ"/>
    <s v="3/2"/>
    <s v="3/2"/>
    <s v="Сомервуд"/>
    <s v="Горох овощной свежий 10.01"/>
    <n v="32660"/>
    <n v="17060"/>
    <n v="4.5"/>
    <n v="15600"/>
    <n v="14898"/>
    <x v="0"/>
    <x v="34"/>
    <n v="702"/>
    <n v="4.4999999999999998E-2"/>
    <n v="7"/>
    <n v="2"/>
    <x v="34"/>
    <x v="0"/>
  </r>
  <r>
    <s v="Акт входного контроля 000000435 от 02.07.2023 22:10:52"/>
    <s v="второй"/>
    <n v="579"/>
    <n v="80"/>
    <s v="ООО Колос"/>
    <s v="Макуха А.Н,"/>
    <s v="К124УМ"/>
    <s v="3/2"/>
    <s v="3/2"/>
    <s v="Сомервуд"/>
    <s v="Горох овощной свежий 10.01"/>
    <n v="31130"/>
    <n v="15420"/>
    <n v="4.5"/>
    <n v="15710"/>
    <n v="15003"/>
    <x v="0"/>
    <x v="34"/>
    <n v="707"/>
    <n v="4.5003182686187145E-2"/>
    <n v="7"/>
    <n v="2"/>
    <x v="34"/>
    <x v="0"/>
  </r>
  <r>
    <s v="Акт входного контроля 000000436 от 02.07.2023 23:28:20"/>
    <s v="второй"/>
    <n v="580"/>
    <n v="106"/>
    <s v="ООО Колос"/>
    <s v="Дзюба Николай Сергеевич"/>
    <s v="Р383РЕ"/>
    <s v="3/2"/>
    <s v="3/2"/>
    <s v="Сомервуд"/>
    <s v="Горох овощной свежий 10.01"/>
    <n v="30250"/>
    <n v="14680"/>
    <n v="4.5"/>
    <n v="15570"/>
    <n v="14869.3"/>
    <x v="0"/>
    <x v="34"/>
    <n v="700.70000000000073"/>
    <n v="4.5003211303789384E-2"/>
    <n v="7"/>
    <n v="2"/>
    <x v="34"/>
    <x v="0"/>
  </r>
  <r>
    <s v="Акт входного контроля 000000437 от 03.07.2023 1:29:53"/>
    <s v="второй"/>
    <n v="581"/>
    <n v="105"/>
    <s v="ООО Колос"/>
    <s v="Макаренко Алексей Юрьевич"/>
    <s v="Т565НР"/>
    <s v="3/2"/>
    <s v="3/2"/>
    <s v="Сомервуд"/>
    <s v="Горох овощной свежий 10.01"/>
    <n v="31250"/>
    <n v="15540"/>
    <n v="6.5"/>
    <n v="15710"/>
    <n v="14688.8"/>
    <x v="0"/>
    <x v="35"/>
    <n v="1021.2000000000007"/>
    <n v="6.5003182686187183E-2"/>
    <n v="7"/>
    <n v="3"/>
    <x v="35"/>
    <x v="0"/>
  </r>
  <r>
    <s v="Акт входного контроля 000000438 от 03.07.2023 10:15:32"/>
    <s v="второй"/>
    <n v="582"/>
    <n v="107"/>
    <s v="ООО Колос"/>
    <s v="Суханов В.Н."/>
    <s v="А569РР"/>
    <s v="3/2"/>
    <s v="3/2"/>
    <s v="Сомервуд"/>
    <s v="Горох овощной свежий 10.01"/>
    <n v="32450"/>
    <n v="14510"/>
    <n v="5.5"/>
    <n v="17940"/>
    <n v="16953.3"/>
    <x v="0"/>
    <x v="35"/>
    <n v="986.70000000000073"/>
    <n v="5.5000000000000042E-2"/>
    <n v="7"/>
    <n v="3"/>
    <x v="35"/>
    <x v="0"/>
  </r>
  <r>
    <s v="Акт входного контроля 000000441 от 03.07.2023 11:01:03"/>
    <s v="высший"/>
    <n v="583"/>
    <n v="104"/>
    <s v="ООО Колос"/>
    <s v="Жданов А И"/>
    <s v="С707ОУ"/>
    <s v="1/6"/>
    <s v="1/6"/>
    <s v="Твинсет"/>
    <s v="Горох овощной свежий 10.01"/>
    <n v="32020"/>
    <n v="14380"/>
    <n v="10.5"/>
    <n v="17640"/>
    <n v="15787.8"/>
    <x v="0"/>
    <x v="35"/>
    <n v="1852.2000000000007"/>
    <n v="0.10500000000000004"/>
    <n v="7"/>
    <n v="3"/>
    <x v="35"/>
    <x v="0"/>
  </r>
  <r>
    <s v="Акт входного контроля 000000446 от 03.07.2023 13:56:54"/>
    <s v="высший"/>
    <n v="584"/>
    <n v="60"/>
    <s v="ООО Колос"/>
    <s v="Мосенцев Алексей Егорович"/>
    <s v="Т680ОУ"/>
    <s v="1/6"/>
    <s v="1/6"/>
    <s v="Твинсет"/>
    <s v="Горох овощной свежий 10.01"/>
    <n v="32140"/>
    <n v="14380"/>
    <n v="10.5"/>
    <n v="17760"/>
    <n v="15895.2"/>
    <x v="0"/>
    <x v="35"/>
    <n v="1864.7999999999993"/>
    <n v="0.10499999999999995"/>
    <n v="7"/>
    <n v="3"/>
    <x v="35"/>
    <x v="0"/>
  </r>
  <r>
    <s v="Акт входного контроля 000000447 от 03.07.2023 15:17:29"/>
    <s v="высший"/>
    <n v="586"/>
    <n v="112"/>
    <s v="ООО Колос"/>
    <s v="Сурнин А.В"/>
    <s v="В415ТТ"/>
    <s v="1/6"/>
    <s v="1/6"/>
    <s v="Твинсет"/>
    <s v="Горох овощной свежий 10.01"/>
    <n v="35400"/>
    <n v="17800"/>
    <n v="10.5"/>
    <n v="17600"/>
    <n v="15752"/>
    <x v="0"/>
    <x v="35"/>
    <n v="1848"/>
    <n v="0.105"/>
    <n v="7"/>
    <n v="3"/>
    <x v="35"/>
    <x v="0"/>
  </r>
  <r>
    <s v="Акт входного контроля 000000448 от 03.07.2023 16:27:38"/>
    <s v="высший"/>
    <n v="587"/>
    <n v="110"/>
    <s v="ООО Колос"/>
    <s v="Сидоренко Евгений Сергеевич"/>
    <s v="М697ХВ"/>
    <s v="1/6"/>
    <s v="1/6"/>
    <s v="Твинсет"/>
    <s v="Горох овощной свежий 10.01"/>
    <n v="30100"/>
    <n v="16960"/>
    <n v="12.5"/>
    <n v="13140"/>
    <n v="11497.5"/>
    <x v="0"/>
    <x v="35"/>
    <n v="1642.5"/>
    <n v="0.125"/>
    <n v="7"/>
    <n v="3"/>
    <x v="35"/>
    <x v="0"/>
  </r>
  <r>
    <s v="Акт входного контроля 000000449 от 03.07.2023 21:11:33"/>
    <s v="второй"/>
    <n v="588"/>
    <n v="111"/>
    <s v="ООО Колос"/>
    <s v="Макуха А.Н,"/>
    <s v="К124УМ"/>
    <s v="1/6"/>
    <s v="1/6"/>
    <s v="Твинсет"/>
    <s v="Горох овощной свежий 10.01"/>
    <n v="30700"/>
    <n v="15290"/>
    <n v="9.5"/>
    <n v="15410"/>
    <n v="13946"/>
    <x v="0"/>
    <x v="35"/>
    <n v="1464"/>
    <n v="9.5003244646333543E-2"/>
    <n v="7"/>
    <n v="3"/>
    <x v="35"/>
    <x v="0"/>
  </r>
  <r>
    <s v="Акт входного контроля 000000450 от 03.07.2023 21:25:43"/>
    <s v="первый"/>
    <n v="589"/>
    <n v="113"/>
    <s v="ООО Колос"/>
    <s v="Кулик О В"/>
    <s v="К403ЕМ"/>
    <s v="3/2"/>
    <s v="3/2"/>
    <s v="Твинсет"/>
    <s v="Горох овощной свежий 10.01"/>
    <n v="32790"/>
    <n v="17320"/>
    <n v="7.5"/>
    <n v="15470"/>
    <n v="14309.7"/>
    <x v="0"/>
    <x v="35"/>
    <n v="1160.2999999999993"/>
    <n v="7.5003232062055544E-2"/>
    <n v="7"/>
    <n v="3"/>
    <x v="35"/>
    <x v="0"/>
  </r>
  <r>
    <s v="Акт входного контроля 000000452 от 03.07.2023 23:31:03"/>
    <s v="второй"/>
    <n v="590"/>
    <n v="114"/>
    <s v="ООО Колос"/>
    <s v="Погуляй А.Б."/>
    <s v="О824ТХ"/>
    <s v="3/2"/>
    <s v="3/2"/>
    <s v="Вивадо"/>
    <s v="Горох овощной свежий 10.01"/>
    <n v="34480"/>
    <n v="18690"/>
    <n v="5.5"/>
    <n v="15790"/>
    <n v="14921.5"/>
    <x v="0"/>
    <x v="35"/>
    <n v="868.5"/>
    <n v="5.5003166561114626E-2"/>
    <n v="7"/>
    <n v="3"/>
    <x v="35"/>
    <x v="0"/>
  </r>
  <r>
    <s v="Акт входного контроля 000000453 от 03.07.2023 19:43:18"/>
    <s v="второй"/>
    <n v="591"/>
    <n v="115"/>
    <s v="ООО Колос"/>
    <s v="Поляков Г,Г."/>
    <s v="М202СХ"/>
    <s v="1/6"/>
    <s v="1/6"/>
    <s v="Твинсет"/>
    <s v="Горох овощной свежий 10.01"/>
    <n v="32820"/>
    <n v="17370"/>
    <n v="7.5"/>
    <n v="15450"/>
    <n v="14291.2"/>
    <x v="0"/>
    <x v="35"/>
    <n v="1158.7999999999993"/>
    <n v="7.5003236245954646E-2"/>
    <n v="7"/>
    <n v="3"/>
    <x v="35"/>
    <x v="0"/>
  </r>
  <r>
    <s v="Акт входного контроля 000000454 от 03.07.2023 23:02:02"/>
    <s v="второй"/>
    <n v="595"/>
    <n v="116"/>
    <s v="Колос ООО"/>
    <s v="Звада Евгений Евгеньевич"/>
    <s v="А688АМ"/>
    <s v="3/2"/>
    <s v="3/2"/>
    <s v="Вивадо"/>
    <s v="Горох овощной свежий 10.01"/>
    <n v="30200"/>
    <n v="14610"/>
    <n v="6.5"/>
    <n v="15590"/>
    <n v="14576.6"/>
    <x v="0"/>
    <x v="35"/>
    <n v="1013.3999999999996"/>
    <n v="6.5003207184092346E-2"/>
    <n v="7"/>
    <n v="3"/>
    <x v="35"/>
    <x v="0"/>
  </r>
  <r>
    <s v="Акт входного контроля 000000456 от 04.07.2023 11:50:14"/>
    <s v="второй"/>
    <n v="596"/>
    <n v="117"/>
    <s v="ООО Колос"/>
    <s v="Богучарский А. И."/>
    <s v="Е404УС"/>
    <s v="3/2"/>
    <s v="3/2"/>
    <s v="Вивадо"/>
    <s v="Горох овощной свежий 10.01"/>
    <n v="29470"/>
    <n v="14010"/>
    <n v="4.5"/>
    <n v="15460"/>
    <n v="14764.3"/>
    <x v="0"/>
    <x v="36"/>
    <n v="695.70000000000073"/>
    <n v="4.5000000000000047E-2"/>
    <n v="7"/>
    <n v="4"/>
    <x v="36"/>
    <x v="0"/>
  </r>
  <r>
    <s v="Акт входного контроля 000000457 от 04.07.2023 11:55:12"/>
    <s v="второй"/>
    <n v="597"/>
    <n v="118"/>
    <s v="ООО Колос"/>
    <s v="Демченко Сергей Владимирович"/>
    <s v="Н317РТ"/>
    <s v="3/2"/>
    <s v="3/2"/>
    <s v="Вивадо"/>
    <s v="Горох овощной свежий 10.01"/>
    <n v="30420"/>
    <n v="14980"/>
    <n v="5.5"/>
    <n v="15440"/>
    <n v="14590.8"/>
    <x v="0"/>
    <x v="36"/>
    <n v="849.20000000000073"/>
    <n v="5.5000000000000049E-2"/>
    <n v="7"/>
    <n v="4"/>
    <x v="36"/>
    <x v="0"/>
  </r>
  <r>
    <s v="Акт входного контроля 000000458 от 04.07.2023 13:02:41"/>
    <s v="второй"/>
    <n v="598"/>
    <n v="119"/>
    <s v="ООО Колос"/>
    <s v="Дзюба Николай Сергеевич"/>
    <s v="Р383РЕ"/>
    <s v="3/2"/>
    <s v="3/2"/>
    <s v="Вивадо"/>
    <s v="Горох овощной свежий 10.01"/>
    <n v="30270"/>
    <n v="14680"/>
    <n v="5.5"/>
    <n v="15590"/>
    <n v="14732.5"/>
    <x v="0"/>
    <x v="36"/>
    <n v="857.5"/>
    <n v="5.5003207184092365E-2"/>
    <n v="7"/>
    <n v="4"/>
    <x v="36"/>
    <x v="0"/>
  </r>
  <r>
    <s v="Акт входного контроля 000000460 от 04.07.2023 17:13:45"/>
    <s v="второй"/>
    <n v="599"/>
    <n v="120"/>
    <s v="ООО Колос"/>
    <s v="Макаренко Алексей Юрьевич"/>
    <s v="Т565НР"/>
    <s v="3/2"/>
    <s v="3/2"/>
    <s v="Вивадо"/>
    <s v="Горох овощной свежий 10.01"/>
    <n v="31320"/>
    <n v="15640"/>
    <n v="5"/>
    <n v="15680"/>
    <n v="14896"/>
    <x v="0"/>
    <x v="36"/>
    <n v="784"/>
    <n v="0.05"/>
    <n v="7"/>
    <n v="4"/>
    <x v="36"/>
    <x v="0"/>
  </r>
  <r>
    <s v="Акт входного контроля 000000461 от 04.07.2023 17:31:02"/>
    <s v="второй"/>
    <n v="600"/>
    <n v="121"/>
    <s v="ООО Колос"/>
    <s v="Суханов В.Н."/>
    <s v="А569РР"/>
    <s v="1/6"/>
    <s v="1/6"/>
    <s v="Твинсет"/>
    <s v="Горох овощной свежий 10.01"/>
    <n v="30090"/>
    <n v="14500"/>
    <n v="9.5"/>
    <n v="15590"/>
    <n v="14108.9"/>
    <x v="0"/>
    <x v="36"/>
    <n v="1481.1000000000004"/>
    <n v="9.5003207184092386E-2"/>
    <n v="7"/>
    <n v="4"/>
    <x v="36"/>
    <x v="0"/>
  </r>
  <r>
    <s v="Акт входного контроля 000000462 от 04.07.2023 20:34:57"/>
    <s v="второй"/>
    <n v="601"/>
    <n v="122"/>
    <s v="ООО Колос"/>
    <s v="Жданов А И"/>
    <s v="С707ОУ"/>
    <s v="1/6"/>
    <s v="1/6"/>
    <s v="Твинсет"/>
    <s v="Горох овощной свежий 10.01"/>
    <n v="29820"/>
    <n v="22170"/>
    <n v="7"/>
    <n v="7650"/>
    <n v="7114.5"/>
    <x v="0"/>
    <x v="36"/>
    <n v="535.5"/>
    <n v="7.0000000000000007E-2"/>
    <n v="7"/>
    <n v="4"/>
    <x v="36"/>
    <x v="0"/>
  </r>
  <r>
    <s v="Акт входного контроля 000000463 от 04.07.2023 20:45:11"/>
    <s v="второй"/>
    <n v="602"/>
    <n v="123"/>
    <s v="ООО Колос"/>
    <s v="Мудрак В В."/>
    <s v="Х514ОК"/>
    <s v="1/6"/>
    <s v="1/6"/>
    <s v="Твинсет"/>
    <s v="Горох овощной свежий 10.01"/>
    <n v="38770"/>
    <n v="20940"/>
    <n v="12.5"/>
    <n v="17830"/>
    <n v="15601.2"/>
    <x v="0"/>
    <x v="36"/>
    <n v="2228.7999999999993"/>
    <n v="0.12500280426247892"/>
    <n v="7"/>
    <n v="4"/>
    <x v="36"/>
    <x v="0"/>
  </r>
  <r>
    <s v="Акт входного контроля 000000473 от 04.07.2023 16:57:25"/>
    <s v="второй"/>
    <n v="603"/>
    <s v="122Продажа Ктоян"/>
    <s v="ООО Колос"/>
    <s v="Жданов А И"/>
    <s v="С707ОУ"/>
    <s v="1/6"/>
    <s v="1/6"/>
    <s v="Твинсет"/>
    <s v="Горох овощной свежий 10.01"/>
    <n v="22170"/>
    <n v="14370"/>
    <m/>
    <n v="7800"/>
    <n v="7800"/>
    <x v="0"/>
    <x v="36"/>
    <n v="0"/>
    <n v="0"/>
    <n v="7"/>
    <n v="4"/>
    <x v="36"/>
    <x v="0"/>
  </r>
  <r>
    <s v="Акт входного контроля 000000465 от 04.07.2023 23:34:25"/>
    <s v="первый"/>
    <n v="606"/>
    <n v="112"/>
    <s v="ООО Колос"/>
    <s v="Сурнин А.В"/>
    <s v="В415ТТ"/>
    <s v="1/7"/>
    <s v="1/7"/>
    <s v="Твинсет"/>
    <s v="Горох овощной свежий 10.01"/>
    <n v="35930"/>
    <n v="17900"/>
    <n v="7.5"/>
    <n v="18030"/>
    <n v="16677.7"/>
    <x v="0"/>
    <x v="36"/>
    <n v="1352.2999999999993"/>
    <n v="7.5002773155851313E-2"/>
    <n v="7"/>
    <n v="4"/>
    <x v="36"/>
    <x v="0"/>
  </r>
  <r>
    <s v="Акт входного контроля 000000464 от 04.07.2023 21:47:51"/>
    <s v="второй"/>
    <n v="607"/>
    <n v="124"/>
    <s v="ООО Колос"/>
    <s v="Макуха А.Н,"/>
    <s v="К124УМ"/>
    <s v="1/6"/>
    <s v="1/6"/>
    <s v="Твинсет"/>
    <s v="Горох овощной свежий 10.01"/>
    <n v="31220"/>
    <n v="15420"/>
    <n v="7.5"/>
    <n v="15800"/>
    <n v="14615"/>
    <x v="0"/>
    <x v="36"/>
    <n v="1185"/>
    <n v="7.4999999999999997E-2"/>
    <n v="7"/>
    <n v="4"/>
    <x v="36"/>
    <x v="0"/>
  </r>
  <r>
    <s v="Акт входного контроля 000000468 от 04.07.2023 19:36:07"/>
    <s v="высший"/>
    <n v="608"/>
    <n v="126"/>
    <s v="ООО Колос"/>
    <s v="Сидоренко Евгений Сергеевич"/>
    <s v="М697ХВ"/>
    <s v="1/7"/>
    <s v="1/7"/>
    <s v="Твинсет"/>
    <s v="Горох овощной свежий 10.01"/>
    <n v="32890"/>
    <n v="16860"/>
    <n v="8.5"/>
    <n v="16030"/>
    <n v="14667.4"/>
    <x v="0"/>
    <x v="36"/>
    <n v="1362.6000000000004"/>
    <n v="8.5003119151590784E-2"/>
    <n v="7"/>
    <n v="4"/>
    <x v="36"/>
    <x v="0"/>
  </r>
  <r>
    <s v="Акт входного контроля 000000469 от 04.07.2023 21:24:45"/>
    <s v="первый"/>
    <n v="612"/>
    <n v="127"/>
    <s v="ООО Колос"/>
    <s v="Поляков Г,Г."/>
    <s v="М202СХ"/>
    <s v="1/7"/>
    <s v="1/7"/>
    <s v="Твинсет"/>
    <s v="Горох овощной свежий 10.01"/>
    <n v="35910"/>
    <n v="17600"/>
    <n v="10.5"/>
    <n v="18310"/>
    <n v="16387.400000000001"/>
    <x v="0"/>
    <x v="36"/>
    <n v="1922.5999999999985"/>
    <n v="0.10500273074822493"/>
    <n v="7"/>
    <n v="4"/>
    <x v="36"/>
    <x v="0"/>
  </r>
  <r>
    <s v="Акт входного контроля 000000470 от 04.07.2023 23:05:17"/>
    <s v="высший"/>
    <n v="613"/>
    <n v="128"/>
    <s v="ООО Колос"/>
    <s v="Погуляй А.Б."/>
    <s v="О824ТХ"/>
    <s v="1/7"/>
    <s v="1/7"/>
    <s v="Твинсет"/>
    <s v="Горох овощной свежий 10.01"/>
    <n v="36970"/>
    <n v="18730"/>
    <n v="11.5"/>
    <n v="18240"/>
    <n v="16142.4"/>
    <x v="0"/>
    <x v="36"/>
    <n v="2097.6000000000004"/>
    <n v="0.11500000000000002"/>
    <n v="7"/>
    <n v="4"/>
    <x v="36"/>
    <x v="0"/>
  </r>
  <r>
    <s v="Акт входного контроля 000000471 от 05.07.2023 9:05:09"/>
    <s v="высший"/>
    <n v="614"/>
    <n v="129"/>
    <s v="ООО Колос"/>
    <s v="Кулик О В"/>
    <s v="К403ЕМ"/>
    <s v="1/7"/>
    <s v="1/7"/>
    <s v="Твинсет"/>
    <s v="Горох овощной свежий 10.01"/>
    <n v="35470"/>
    <n v="17450"/>
    <n v="12.5"/>
    <n v="18020"/>
    <n v="15767.5"/>
    <x v="0"/>
    <x v="37"/>
    <n v="2252.5"/>
    <n v="0.125"/>
    <n v="7"/>
    <n v="5"/>
    <x v="37"/>
    <x v="0"/>
  </r>
  <r>
    <s v="Акт входного контроля 000000472 от 05.07.2023 9:28:02"/>
    <s v="высший"/>
    <n v="615"/>
    <n v="130"/>
    <s v="ООО Колос"/>
    <s v="Бербеницкий Сергей Николаевич"/>
    <s v="С400РР"/>
    <s v="1/7"/>
    <s v="1/7"/>
    <s v="Твинсет"/>
    <s v="Горох овощной свежий 10.01"/>
    <n v="30940"/>
    <n v="15030"/>
    <n v="13.5"/>
    <n v="15910"/>
    <n v="13762.1"/>
    <x v="0"/>
    <x v="37"/>
    <n v="2147.8999999999996"/>
    <n v="0.13500314267756125"/>
    <n v="7"/>
    <n v="5"/>
    <x v="37"/>
    <x v="0"/>
  </r>
  <r>
    <s v="Акт входного контроля 000000481 от 05.07.2023 13:36:25"/>
    <s v="высший"/>
    <n v="616"/>
    <n v="131"/>
    <s v="ООО Колос"/>
    <s v="Богучарский А. И."/>
    <s v="Е404УС"/>
    <s v="1/7"/>
    <s v="1/7"/>
    <s v="Твинсет"/>
    <s v="Горох овощной свежий 10.01"/>
    <n v="29930"/>
    <n v="14000"/>
    <n v="12.5"/>
    <n v="15930"/>
    <n v="13938.7"/>
    <x v="0"/>
    <x v="37"/>
    <n v="1991.2999999999993"/>
    <n v="0.12500313873195223"/>
    <n v="7"/>
    <n v="5"/>
    <x v="37"/>
    <x v="0"/>
  </r>
  <r>
    <s v="Акт входного контроля 000000482 от 05.07.2023 13:44:46"/>
    <s v="высший"/>
    <n v="617"/>
    <n v="132"/>
    <s v="ООО Колос"/>
    <s v="Демченко Сергей Владимирович"/>
    <s v="Н317РТ"/>
    <s v="1/7"/>
    <s v="1/7"/>
    <s v="Твинсет"/>
    <s v="Горох овощной свежий 10.01"/>
    <n v="30800"/>
    <n v="15000"/>
    <n v="12.5"/>
    <n v="15800"/>
    <n v="13825"/>
    <x v="0"/>
    <x v="37"/>
    <n v="1975"/>
    <n v="0.125"/>
    <n v="7"/>
    <n v="5"/>
    <x v="37"/>
    <x v="0"/>
  </r>
  <r>
    <s v="Акт входного контроля 000000486 от 05.07.2023 8:26:20"/>
    <s v="высший"/>
    <n v="618"/>
    <n v="133"/>
    <s v="ООО Колос"/>
    <s v="Дзюба Николай Сергеевич"/>
    <s v="Р383РЕ"/>
    <s v="1/7"/>
    <s v="1/7"/>
    <s v="Твинсет"/>
    <s v="Горох овощной свежий 10.01"/>
    <n v="30680"/>
    <n v="14680"/>
    <n v="16.5"/>
    <n v="16000"/>
    <n v="13360"/>
    <x v="0"/>
    <x v="37"/>
    <n v="2640"/>
    <n v="0.16500000000000001"/>
    <n v="7"/>
    <n v="5"/>
    <x v="37"/>
    <x v="0"/>
  </r>
  <r>
    <s v="Акт входного контроля 000000493 от 05.07.2023 11:32:57"/>
    <s v="высший"/>
    <n v="619"/>
    <s v="134Утилизация"/>
    <s v="ООО Колос"/>
    <s v="Макуха А.Н,"/>
    <s v="К124УМ"/>
    <s v="1/7"/>
    <s v="1/7"/>
    <s v="Твинсет"/>
    <s v="Горох овощной свежий 10.01"/>
    <n v="31230"/>
    <n v="15330"/>
    <n v="17.5"/>
    <n v="15900"/>
    <n v="13117.5"/>
    <x v="0"/>
    <x v="37"/>
    <n v="2782.5"/>
    <n v="0.17499999999999999"/>
    <n v="7"/>
    <n v="5"/>
    <x v="37"/>
    <x v="0"/>
  </r>
  <r>
    <s v="Акт входного контроля 000000492 от 05.07.2023 14:20:31"/>
    <s v="высший"/>
    <n v="621"/>
    <s v="135Утилизация"/>
    <s v="ООО Колос"/>
    <s v="Сурнин А.В"/>
    <s v="В415ТТ"/>
    <s v="1/7"/>
    <s v="1/7"/>
    <s v="Твинсет"/>
    <s v="Горох овощной свежий 10.01"/>
    <n v="33740"/>
    <n v="17800"/>
    <n v="10.5"/>
    <n v="15940"/>
    <n v="14266.3"/>
    <x v="0"/>
    <x v="37"/>
    <n v="1673.7000000000007"/>
    <n v="0.10500000000000005"/>
    <n v="7"/>
    <n v="5"/>
    <x v="37"/>
    <x v="0"/>
  </r>
  <r>
    <s v="Акт входного контроля 000000491 от 05.07.2023 15:28:14"/>
    <s v="высший"/>
    <n v="622"/>
    <s v="136 Утилизация"/>
    <s v="ООО Колос"/>
    <s v="Сидоренко Евгений Сергеевич"/>
    <s v="М697ХВ"/>
    <s v="1/7"/>
    <s v="1/7"/>
    <s v="Сомервуд"/>
    <s v="Горох овощной свежий 10.01"/>
    <n v="33240"/>
    <n v="17060"/>
    <n v="13.5"/>
    <n v="16180"/>
    <n v="13995.7"/>
    <x v="0"/>
    <x v="37"/>
    <n v="2184.2999999999993"/>
    <n v="0.13499999999999995"/>
    <n v="7"/>
    <n v="5"/>
    <x v="37"/>
    <x v="0"/>
  </r>
  <r>
    <s v="Акт входного контроля 000000490 от 05.07.2023 18:02:55"/>
    <s v="высший"/>
    <n v="623"/>
    <s v="137ИП Макарцов Продажа"/>
    <s v="ООО Колос"/>
    <s v="Мудрак В В."/>
    <s v="Х514ОК"/>
    <s v="1/7"/>
    <s v="1/7"/>
    <s v="Сомервуд"/>
    <s v="Горох овощной свежий 10.01"/>
    <n v="39010"/>
    <n v="20840"/>
    <n v="137"/>
    <n v="18170"/>
    <n v="18170"/>
    <x v="0"/>
    <x v="37"/>
    <n v="0"/>
    <n v="0"/>
    <n v="7"/>
    <n v="5"/>
    <x v="37"/>
    <x v="0"/>
  </r>
  <r>
    <s v="Акт входного контроля 000000497 от 06.07.2023 18:12:00"/>
    <s v="высший"/>
    <n v="623"/>
    <s v="142Отвес491Славянский Продажа"/>
    <s v="ООО Колос"/>
    <s v="Богданов О.В."/>
    <n v="586"/>
    <s v="3/6"/>
    <s v="3/6"/>
    <s v="Грюнди"/>
    <s v="Горох овощной свежий 10.01"/>
    <n v="32180"/>
    <n v="13740"/>
    <m/>
    <n v="18440"/>
    <n v="18440"/>
    <x v="0"/>
    <x v="38"/>
    <n v="0"/>
    <n v="0"/>
    <n v="7"/>
    <n v="6"/>
    <x v="38"/>
    <x v="0"/>
  </r>
  <r>
    <s v="Акт входного контроля 000000498 от 06.07.2023 18:12:01"/>
    <s v="высший"/>
    <n v="623"/>
    <s v="144отвес492Продажа Славянский"/>
    <s v="ООО Колос"/>
    <s v="Сахно А.А."/>
    <n v="587"/>
    <s v="3/6"/>
    <s v="3/6"/>
    <s v="Грюнди"/>
    <s v="Горох овощной свежий 10.01"/>
    <n v="31920"/>
    <n v="13920"/>
    <m/>
    <n v="18000"/>
    <n v="18000"/>
    <x v="0"/>
    <x v="38"/>
    <n v="0"/>
    <n v="0"/>
    <n v="7"/>
    <n v="6"/>
    <x v="38"/>
    <x v="0"/>
  </r>
  <r>
    <s v="Акт входного контроля 000000511 от 06.07.2023 18:12:06"/>
    <s v="высший"/>
    <n v="623"/>
    <s v="145Славянский Продажа494"/>
    <s v="ООО Колос"/>
    <s v="Тарасов А.Л."/>
    <s v="щ577мк"/>
    <s v="3/6"/>
    <s v="3/6"/>
    <s v="Грюнди"/>
    <s v="Горох овощной свежий 10.01"/>
    <n v="31800"/>
    <n v="13820"/>
    <m/>
    <n v="17980"/>
    <n v="17980"/>
    <x v="0"/>
    <x v="38"/>
    <n v="0"/>
    <n v="0"/>
    <n v="7"/>
    <n v="6"/>
    <x v="38"/>
    <x v="0"/>
  </r>
  <r>
    <s v="Акт входного контроля 000000095 от 02.06.2023 22:17:28"/>
    <s v="высший"/>
    <m/>
    <s v="063355 Юнона отвес 11"/>
    <s v="УОХ Кубань"/>
    <s v="Бербеницкий Сергей Николаевич"/>
    <m/>
    <s v="1/4"/>
    <s v="1/4"/>
    <s v="Преладо"/>
    <s v="Горох овощной свежий 10.01"/>
    <n v="32910"/>
    <n v="15150"/>
    <n v="9"/>
    <n v="17760"/>
    <n v="16160.6"/>
    <x v="0"/>
    <x v="5"/>
    <n v="1599.3999999999996"/>
    <n v="9.0056306306306289E-2"/>
    <n v="6"/>
    <n v="2"/>
    <x v="5"/>
    <x v="0"/>
  </r>
  <r>
    <s v="Акт входного контроля 000000096 от 02.06.2023 22:17:29"/>
    <s v="высший"/>
    <m/>
    <s v="063356 Юнона  отвес 10"/>
    <s v="УОХ Кубань"/>
    <s v="Кодола В Л."/>
    <m/>
    <s v="1/4"/>
    <s v="1/4"/>
    <s v="Преладо"/>
    <s v="Горох овощной свежий 10.01"/>
    <n v="33360"/>
    <n v="15580"/>
    <n v="9.1"/>
    <n v="17780"/>
    <n v="16161.1"/>
    <x v="0"/>
    <x v="5"/>
    <n v="1618.8999999999996"/>
    <n v="9.1051743532058471E-2"/>
    <n v="6"/>
    <n v="2"/>
    <x v="5"/>
    <x v="0"/>
  </r>
  <r>
    <s v="Акт входного контроля 000000120 от 05.06.2023 23:24:13"/>
    <s v="первый"/>
    <m/>
    <s v="063389 Юнона отвес 26"/>
    <s v="УОХ Кубань"/>
    <s v="Мышастый С.Н."/>
    <s v="в725еа"/>
    <s v="1/4"/>
    <s v="1/4"/>
    <s v="Асана"/>
    <s v="Горох овощной свежий 10.01"/>
    <n v="36240"/>
    <n v="16200"/>
    <n v="9.6"/>
    <n v="20040"/>
    <n v="18116.2"/>
    <x v="0"/>
    <x v="8"/>
    <n v="1923.7999999999993"/>
    <n v="9.5998003992015926E-2"/>
    <n v="6"/>
    <n v="5"/>
    <x v="8"/>
    <x v="0"/>
  </r>
  <r>
    <s v="Акт входного контроля 000000121 от 05.06.2023 11:02:12"/>
    <s v="первый"/>
    <m/>
    <s v="063383 Юнона  0твес 25"/>
    <s v="УОХ Кубань"/>
    <s v="Радин А.М."/>
    <s v="н370вр"/>
    <s v="1/4"/>
    <s v="1/4"/>
    <s v="Асана"/>
    <s v="Горох овощной свежий 10.01"/>
    <n v="33540"/>
    <n v="16060"/>
    <n v="10.1"/>
    <n v="17480"/>
    <n v="15714.5"/>
    <x v="0"/>
    <x v="8"/>
    <n v="1765.5"/>
    <n v="0.10100114416475972"/>
    <n v="6"/>
    <n v="5"/>
    <x v="8"/>
    <x v="0"/>
  </r>
  <r>
    <s v="Акт входного контроля 000000123 от 05.06.2023 23:24:14"/>
    <s v="первый"/>
    <m/>
    <s v="063375Юнона отвес 24"/>
    <s v="УОХ Кубань"/>
    <s v="Мышастый С.Н."/>
    <n v="63375"/>
    <s v="1/4"/>
    <s v="1/4"/>
    <s v="Асана"/>
    <s v="Горох овощной свежий 10.01"/>
    <n v="33860"/>
    <n v="16300"/>
    <n v="9.1"/>
    <n v="17560"/>
    <n v="15962"/>
    <x v="0"/>
    <x v="8"/>
    <n v="1598"/>
    <n v="9.1002277904328022E-2"/>
    <n v="6"/>
    <n v="5"/>
    <x v="8"/>
    <x v="0"/>
  </r>
  <r>
    <s v="Акт входного контроля 000000124 от 04.06.2023 23:43:25"/>
    <s v="первый"/>
    <m/>
    <s v="063375Юнонаотвес17"/>
    <s v="УОХ Кубань"/>
    <s v="Желтков Е.М."/>
    <n v="63375"/>
    <s v="1/4"/>
    <s v="1/4"/>
    <s v="Асана"/>
    <s v="Горох овощной свежий 10.01"/>
    <n v="35980"/>
    <n v="18320"/>
    <n v="12.7"/>
    <n v="17660"/>
    <n v="15417.2"/>
    <x v="0"/>
    <x v="7"/>
    <n v="2242.7999999999993"/>
    <n v="0.12699886749716871"/>
    <n v="6"/>
    <n v="4"/>
    <x v="7"/>
    <x v="0"/>
  </r>
  <r>
    <s v="Акт входного контроля 000000536 от 09.07.2023 23:30:26"/>
    <s v="высший"/>
    <m/>
    <s v="2Бондюэль"/>
    <s v="КФХ Наконечное"/>
    <s v="Порубаев Н.А."/>
    <s v="с716са"/>
    <n v="7"/>
    <n v="7"/>
    <s v="Грюнди"/>
    <s v="Горох овощной свежий 10.01"/>
    <n v="38740"/>
    <n v="15820"/>
    <m/>
    <n v="22920"/>
    <n v="22920"/>
    <x v="0"/>
    <x v="39"/>
    <n v="0"/>
    <n v="0"/>
    <n v="7"/>
    <n v="9"/>
    <x v="39"/>
    <x v="0"/>
  </r>
  <r>
    <s v="Акт входного контроля 000000537 от 10.07.2023 16:11:12"/>
    <s v="высший"/>
    <m/>
    <s v="3Агрохолод"/>
    <s v="КФХ Наконечное"/>
    <s v="Пушкин А.С."/>
    <s v="Е539Кт"/>
    <n v="7"/>
    <n v="7"/>
    <s v="Грюнди"/>
    <s v="Горох овощной свежий 10.01"/>
    <n v="27920"/>
    <n v="15160"/>
    <m/>
    <n v="12760"/>
    <n v="12760"/>
    <x v="0"/>
    <x v="40"/>
    <n v="0"/>
    <n v="0"/>
    <n v="7"/>
    <n v="10"/>
    <x v="40"/>
    <x v="0"/>
  </r>
  <r>
    <s v="Акт входного контроля 000000515 от 08.07.2023 12:00:00"/>
    <s v="высший"/>
    <m/>
    <s v="152Бондюэль Продажа"/>
    <s v="ООО Колос"/>
    <s v="Митьков В.А."/>
    <s v="е077ар"/>
    <s v="2/2"/>
    <s v="2/2"/>
    <s v="Грюнди"/>
    <s v="Горох овощной свежий 10.01"/>
    <n v="33080"/>
    <n v="15200"/>
    <m/>
    <n v="17880"/>
    <n v="17880"/>
    <x v="0"/>
    <x v="41"/>
    <n v="0"/>
    <n v="0"/>
    <n v="7"/>
    <n v="8"/>
    <x v="41"/>
    <x v="0"/>
  </r>
  <r>
    <s v="Акт входного контроля 000000516 от 08.07.2023 12:00:01"/>
    <s v="высший"/>
    <m/>
    <s v="153Бондюэль Продажа"/>
    <s v="ООО Колос"/>
    <s v="Зверев О.В."/>
    <s v="в077ху"/>
    <s v="2/2"/>
    <s v="2/2"/>
    <s v="Грюнди"/>
    <s v="Горох овощной свежий 10.01"/>
    <n v="34180"/>
    <n v="16300"/>
    <m/>
    <n v="17880"/>
    <n v="17880"/>
    <x v="0"/>
    <x v="41"/>
    <n v="0"/>
    <n v="0"/>
    <n v="7"/>
    <n v="8"/>
    <x v="41"/>
    <x v="0"/>
  </r>
  <r>
    <s v="Акт входного контроля 000000517 от 08.07.2023 12:00:02"/>
    <s v="высший"/>
    <m/>
    <s v="151Бондюэль Продажа"/>
    <s v="ООО Колос"/>
    <s v="Пркопец А.Р."/>
    <s v="А077ре"/>
    <s v="2/2"/>
    <s v="2/2"/>
    <s v="Грюнди"/>
    <s v="Горох овощной свежий 10.01"/>
    <n v="33600"/>
    <n v="15500"/>
    <m/>
    <n v="18100"/>
    <n v="18100"/>
    <x v="0"/>
    <x v="41"/>
    <n v="0"/>
    <n v="0"/>
    <n v="7"/>
    <n v="8"/>
    <x v="41"/>
    <x v="0"/>
  </r>
  <r>
    <s v="Акт входного контроля 000000518 от 09.07.2023 23:30:23"/>
    <s v="высший"/>
    <m/>
    <s v="154БондюэльПродажа"/>
    <s v="ООО Колос"/>
    <s v="Пркопец А.Р."/>
    <s v="а077ре"/>
    <s v="2/2"/>
    <s v="2/2"/>
    <s v="Грюнди"/>
    <s v="Горох овощной свежий 10.01"/>
    <n v="33200"/>
    <n v="15340"/>
    <m/>
    <n v="17860"/>
    <n v="17860"/>
    <x v="0"/>
    <x v="39"/>
    <n v="0"/>
    <n v="0"/>
    <n v="7"/>
    <n v="9"/>
    <x v="39"/>
    <x v="0"/>
  </r>
  <r>
    <s v="Акт входного контроля 000000519 от 09.07.2023 23:30:24"/>
    <s v="высший"/>
    <m/>
    <s v="155Бондюэль продажа"/>
    <s v="ООО Колос"/>
    <s v="Митьков В.А."/>
    <s v="е077ар"/>
    <s v="2/2"/>
    <s v="2/2"/>
    <s v="Грюнди"/>
    <s v="Горох овощной свежий 10.01"/>
    <n v="32820"/>
    <n v="15000"/>
    <m/>
    <n v="17820"/>
    <n v="17820"/>
    <x v="0"/>
    <x v="39"/>
    <n v="0"/>
    <n v="0"/>
    <n v="7"/>
    <n v="9"/>
    <x v="39"/>
    <x v="0"/>
  </r>
  <r>
    <s v="Акт входного контроля 000000535 от 09.07.2023 23:30:25"/>
    <s v="высший"/>
    <m/>
    <s v="1Бондюэль"/>
    <s v="КФХ Наконечное"/>
    <s v="Зверев О.В."/>
    <s v="В077ху"/>
    <n v="7"/>
    <n v="7"/>
    <s v="Грюнди"/>
    <s v="Горох овощной свежий 10.01"/>
    <n v="31600"/>
    <n v="16140"/>
    <m/>
    <n v="15460"/>
    <n v="15460"/>
    <x v="0"/>
    <x v="39"/>
    <n v="0"/>
    <n v="0"/>
    <n v="7"/>
    <n v="9"/>
    <x v="39"/>
    <x v="0"/>
  </r>
  <r>
    <s v="Акт входного контроля 000000501 от 06.07.2023 18:12:03"/>
    <s v="высший"/>
    <m/>
    <s v="143Альянс отвес2"/>
    <s v="ООО Колос"/>
    <s v="Бербеницкий Сергей Николаевич"/>
    <n v="400"/>
    <s v="3/6"/>
    <s v="3/6"/>
    <s v="Грюнди"/>
    <s v="Горох овощной свежий 10.01"/>
    <n v="31100"/>
    <n v="15160"/>
    <n v="11.7"/>
    <n v="15940"/>
    <n v="14078"/>
    <x v="0"/>
    <x v="38"/>
    <n v="1862"/>
    <n v="0.11681304893350063"/>
    <n v="7"/>
    <n v="6"/>
    <x v="38"/>
    <x v="0"/>
  </r>
  <r>
    <s v="Акт входного контроля 000000502 от 06.07.2023 18:12:04"/>
    <s v="высший"/>
    <m/>
    <s v="147Альянс отвес3"/>
    <s v="ООО Колос"/>
    <s v="Демченко Сергей Владимирович"/>
    <n v="317"/>
    <s v="3/6"/>
    <s v="3/6"/>
    <s v="Грюнди"/>
    <s v="Горох овощной свежий 10.01"/>
    <n v="30760"/>
    <n v="14940"/>
    <n v="13.5"/>
    <n v="15820"/>
    <n v="13686"/>
    <x v="0"/>
    <x v="38"/>
    <n v="2134"/>
    <n v="0.13489254108723137"/>
    <n v="7"/>
    <n v="6"/>
    <x v="38"/>
    <x v="0"/>
  </r>
  <r>
    <s v="Акт входного контроля 000000503 от 06.07.2023 18:12:05"/>
    <s v="высший"/>
    <m/>
    <s v="148Альянс4 отвес"/>
    <s v="ООО Колос"/>
    <s v="Макуха А.Н,"/>
    <n v="317"/>
    <s v="3/6"/>
    <s v="3/6"/>
    <s v="Грюнди"/>
    <s v="Горох овощной свежий 10.01"/>
    <n v="31380"/>
    <n v="15460"/>
    <n v="13.3"/>
    <n v="15920"/>
    <n v="13809"/>
    <x v="0"/>
    <x v="38"/>
    <n v="2111"/>
    <n v="0.13260050251256281"/>
    <n v="7"/>
    <n v="6"/>
    <x v="38"/>
    <x v="0"/>
  </r>
  <r>
    <s v="Акт входного контроля 000000512 от 06.07.2023 18:12:07"/>
    <s v="высший"/>
    <m/>
    <s v="146Славянский Продажа 495"/>
    <s v="ООО Колос"/>
    <s v="Тарасов Т.Л."/>
    <s v="о640мк"/>
    <s v="3/6"/>
    <s v="3/6"/>
    <s v="Грюнди"/>
    <s v="Горох овощной свежий 10.01"/>
    <n v="30880"/>
    <n v="13900"/>
    <m/>
    <n v="16980"/>
    <n v="16980"/>
    <x v="0"/>
    <x v="38"/>
    <n v="0"/>
    <n v="0"/>
    <n v="7"/>
    <n v="6"/>
    <x v="38"/>
    <x v="0"/>
  </r>
  <r>
    <s v="Акт входного контроля 000000513 от 07.07.2023 19:45:36"/>
    <s v="высший"/>
    <m/>
    <s v="149Альянс Продажа 5"/>
    <s v="ООО Колос"/>
    <s v="Поляков Г,Г."/>
    <n v="688"/>
    <s v="3/6"/>
    <s v="3/6"/>
    <s v="Радован"/>
    <s v="Горох овощной свежий 10.01"/>
    <n v="33400"/>
    <n v="17520"/>
    <n v="12.3"/>
    <n v="15880"/>
    <n v="13934"/>
    <x v="0"/>
    <x v="42"/>
    <n v="1946"/>
    <n v="0.12254408060453401"/>
    <n v="7"/>
    <n v="7"/>
    <x v="42"/>
    <x v="0"/>
  </r>
  <r>
    <s v="Акт входного контроля 000000514 от 07.07.2023 19:45:37"/>
    <s v="высший"/>
    <m/>
    <s v="150АльянсПродажа6"/>
    <s v="ООО Колос"/>
    <s v="Сурнин А.В"/>
    <s v="В415Та"/>
    <s v="3/6"/>
    <s v="3/6"/>
    <s v="Радован"/>
    <s v="Горох овощной свежий 10.01"/>
    <n v="34260"/>
    <n v="17720"/>
    <n v="5.9"/>
    <n v="16540"/>
    <n v="15564"/>
    <x v="0"/>
    <x v="42"/>
    <n v="976"/>
    <n v="5.900846432889964E-2"/>
    <n v="7"/>
    <n v="7"/>
    <x v="42"/>
    <x v="0"/>
  </r>
  <r>
    <s v="Акт входного контроля 000000476 от 02.07.2023 23:48:45"/>
    <s v="второй"/>
    <m/>
    <s v="97Продажа Бондюэль"/>
    <s v="ООО Колос"/>
    <s v="Митьков В.А."/>
    <s v="к077ех"/>
    <s v="3/2"/>
    <s v="3/2"/>
    <s v="Сомервуд"/>
    <s v="Горох овощной свежий 10.01"/>
    <n v="30880"/>
    <n v="15060"/>
    <m/>
    <n v="15820"/>
    <n v="15820"/>
    <x v="0"/>
    <x v="34"/>
    <n v="0"/>
    <n v="0"/>
    <n v="7"/>
    <n v="2"/>
    <x v="34"/>
    <x v="0"/>
  </r>
  <r>
    <s v="Акт входного контроля 000000477 от 02.07.2023 23:48:46"/>
    <s v="второй"/>
    <m/>
    <s v="98Продажа Бондюэль"/>
    <s v="ООО Колос"/>
    <s v="Зверев О.В."/>
    <s v="к077ех"/>
    <s v="3/2"/>
    <s v="3/2"/>
    <s v="Сомервуд"/>
    <s v="Горох овощной свежий 10.01"/>
    <n v="32420"/>
    <n v="16780"/>
    <m/>
    <n v="15640"/>
    <n v="15640"/>
    <x v="0"/>
    <x v="34"/>
    <n v="0"/>
    <n v="0"/>
    <n v="7"/>
    <n v="2"/>
    <x v="34"/>
    <x v="0"/>
  </r>
  <r>
    <s v="Акт входного контроля 000000478 от 02.07.2023 23:48:47"/>
    <s v="второй"/>
    <m/>
    <s v="102Продажа Бондюэль"/>
    <s v="ООО Колос"/>
    <s v="Туровский А,С."/>
    <s v="Е077ОР"/>
    <s v="3/2"/>
    <s v="3/2"/>
    <s v="Сомервуд"/>
    <s v="Горох овощной свежий 10.01"/>
    <n v="30700"/>
    <n v="15020"/>
    <m/>
    <n v="15680"/>
    <n v="15680"/>
    <x v="0"/>
    <x v="34"/>
    <n v="0"/>
    <n v="0"/>
    <n v="7"/>
    <n v="2"/>
    <x v="34"/>
    <x v="0"/>
  </r>
  <r>
    <s v="Акт входного контроля 000000479 от 02.07.2023 23:48:48"/>
    <s v="второй"/>
    <m/>
    <s v="103пРОДАЖА БОНДЮЭЛЬ"/>
    <s v="ООО Колос"/>
    <s v="Демус С.В."/>
    <s v="а077ае"/>
    <s v="3/2"/>
    <s v="3/2"/>
    <s v="Сомервуд"/>
    <s v="Горох овощной свежий 10.01"/>
    <n v="31060"/>
    <n v="15480"/>
    <m/>
    <n v="15580"/>
    <n v="15580"/>
    <x v="0"/>
    <x v="34"/>
    <n v="0"/>
    <n v="0"/>
    <n v="7"/>
    <n v="2"/>
    <x v="34"/>
    <x v="0"/>
  </r>
  <r>
    <s v="Акт входного контроля 000000480 от 02.07.2023 23:48:49"/>
    <s v="второй"/>
    <m/>
    <s v="109Продажа бондюэль"/>
    <s v="ООО Колос"/>
    <s v="Круц М.М."/>
    <s v="к077ех"/>
    <s v="3/2"/>
    <s v="3/2"/>
    <s v="Сомервуд"/>
    <s v="Горох овощной свежий 10.01"/>
    <n v="30480"/>
    <n v="14940"/>
    <m/>
    <n v="15540"/>
    <n v="15540"/>
    <x v="0"/>
    <x v="34"/>
    <n v="0"/>
    <n v="0"/>
    <n v="7"/>
    <n v="2"/>
    <x v="34"/>
    <x v="0"/>
  </r>
  <r>
    <s v="Акт входного контроля 000000500 от 05.07.2023 18:12:02"/>
    <s v="высший"/>
    <m/>
    <s v="139Продажа Альянс1"/>
    <s v="ООО Колос"/>
    <s v="Звада Евгений Евгеньевич"/>
    <n v="688"/>
    <s v="1/7"/>
    <s v="1/7"/>
    <s v="Твинсет"/>
    <s v="Горох овощной свежий 10.01"/>
    <n v="30900"/>
    <n v="14660"/>
    <n v="12"/>
    <n v="16240"/>
    <n v="14288"/>
    <x v="0"/>
    <x v="37"/>
    <n v="1952"/>
    <n v="0.12019704433497537"/>
    <n v="7"/>
    <n v="5"/>
    <x v="37"/>
    <x v="0"/>
  </r>
  <r>
    <s v="Акт входного контроля 000000192 от 09.06.2023 23:51:14"/>
    <s v="высший"/>
    <m/>
    <s v="35Продажа Бабенышев"/>
    <s v="Грин Рэй Кубань ООО (Овощеводство)"/>
    <s v="Власенко Вячеслав Михайлович"/>
    <s v="В550КК"/>
    <s v="А-100"/>
    <s v="А-100"/>
    <s v="Преладо"/>
    <s v="Горох овощной свежий 10.01"/>
    <n v="23850"/>
    <n v="14460"/>
    <m/>
    <n v="9390"/>
    <n v="9390"/>
    <x v="0"/>
    <x v="12"/>
    <n v="0"/>
    <n v="0"/>
    <n v="6"/>
    <n v="9"/>
    <x v="12"/>
    <x v="0"/>
  </r>
  <r>
    <s v="Акт входного контроля 000000193 от 11.06.2023 23:36:42"/>
    <s v="высший"/>
    <m/>
    <s v="73 Юнона"/>
    <s v="Грин Рэй Кубань ООО (Овощеводство)"/>
    <s v="Лунев В.В."/>
    <s v="р303 тм"/>
    <s v="А-26"/>
    <s v="А-26"/>
    <s v="Увертюра"/>
    <s v="Горох овощной свежий 10.01"/>
    <n v="35010"/>
    <n v="17110"/>
    <m/>
    <n v="17900"/>
    <n v="17900"/>
    <x v="0"/>
    <x v="14"/>
    <n v="0"/>
    <n v="0"/>
    <n v="6"/>
    <n v="11"/>
    <x v="14"/>
    <x v="0"/>
  </r>
  <r>
    <s v="Акт входного контроля 000000194 от 11.06.2023 23:36:43"/>
    <s v="высший"/>
    <m/>
    <s v="70 Юнона"/>
    <s v="Грин Рэй Кубань ООО (Овощеводство)"/>
    <s v="Орешин В.Н."/>
    <s v="р277нн"/>
    <s v="А-26"/>
    <s v="А-26"/>
    <s v="Увертюра"/>
    <s v="Горох овощной свежий 10.01"/>
    <n v="35220"/>
    <n v="16940"/>
    <m/>
    <n v="18280"/>
    <n v="18280"/>
    <x v="0"/>
    <x v="14"/>
    <n v="0"/>
    <n v="0"/>
    <n v="6"/>
    <n v="11"/>
    <x v="14"/>
    <x v="0"/>
  </r>
  <r>
    <s v="Акт входного контроля 000000316 от 09.06.2023 23:51:15"/>
    <s v="первый"/>
    <m/>
    <s v="39отходы"/>
    <s v="Грин Рэй Кубань ООО (Овощеводство)"/>
    <s v="Звада Евгений Евгеньевич"/>
    <s v="а688ам"/>
    <s v="А-26"/>
    <s v="А-26"/>
    <s v="Преладо"/>
    <s v="Горох овощной свежий 10.01"/>
    <n v="27850"/>
    <n v="14620"/>
    <m/>
    <n v="13230"/>
    <n v="13230"/>
    <x v="0"/>
    <x v="12"/>
    <n v="0"/>
    <n v="0"/>
    <n v="6"/>
    <n v="9"/>
    <x v="12"/>
    <x v="0"/>
  </r>
  <r>
    <s v="Акт входного контроля 000000474 от 02.07.2023 23:48:43"/>
    <s v="второй"/>
    <m/>
    <s v="95Продажа Бондюэль"/>
    <s v="ООО Колос"/>
    <s v="Пркопец К.В."/>
    <s v="а077ре"/>
    <s v="3/2"/>
    <s v="3/2"/>
    <s v="Сомервуд"/>
    <s v="Горох овощной свежий 10.01"/>
    <n v="30960"/>
    <n v="15320"/>
    <m/>
    <n v="15640"/>
    <n v="15640"/>
    <x v="0"/>
    <x v="34"/>
    <n v="0"/>
    <n v="0"/>
    <n v="7"/>
    <n v="2"/>
    <x v="34"/>
    <x v="0"/>
  </r>
  <r>
    <s v="Акт входного контроля 000000475 от 02.07.2023 23:48:44"/>
    <s v="второй"/>
    <m/>
    <s v="96Продажа Бонд.юэль"/>
    <s v="ООО Колос"/>
    <s v="Иванчук А.В."/>
    <s v="в077ху"/>
    <s v="3/2"/>
    <s v="3/2"/>
    <s v="Сомервуд"/>
    <s v="Горох овощной свежий 10.01"/>
    <n v="30740"/>
    <n v="15140"/>
    <m/>
    <n v="15600"/>
    <n v="15600"/>
    <x v="0"/>
    <x v="34"/>
    <n v="0"/>
    <n v="0"/>
    <n v="7"/>
    <n v="2"/>
    <x v="34"/>
    <x v="0"/>
  </r>
  <r>
    <s v="Акт входного контроля 000000144 от 17.05.2024 20:10:49"/>
    <s v="высший"/>
    <n v="71"/>
    <n v="77687"/>
    <s v="Кубань УОХ"/>
    <s v="Чигрин Н.А."/>
    <s v="А819ЕВ"/>
    <s v="1/7,1"/>
    <m/>
    <s v="Преладо"/>
    <s v="Горох овощной свежий 10.01"/>
    <n v="22110"/>
    <n v="17530"/>
    <n v="29.5"/>
    <n v="4580"/>
    <n v="3228.9"/>
    <x v="1"/>
    <x v="43"/>
    <n v="1351.1"/>
    <n v="0.29499999999999998"/>
    <n v="5"/>
    <n v="17"/>
    <x v="43"/>
    <x v="0"/>
  </r>
  <r>
    <s v="Акт входного контроля 000000145 от 17.05.2024 20:19:34"/>
    <s v="высший"/>
    <n v="72"/>
    <n v="77687"/>
    <s v="Кубань УОХ"/>
    <s v="Чигрин Н.А."/>
    <s v="А819ЕВ"/>
    <s v="1/7,1"/>
    <m/>
    <s v="Асана"/>
    <s v="Горох овощной свежий 10.01"/>
    <n v="17530"/>
    <n v="14180"/>
    <n v="54"/>
    <n v="3350"/>
    <n v="1541"/>
    <x v="1"/>
    <x v="43"/>
    <n v="1809"/>
    <n v="0.54"/>
    <n v="5"/>
    <n v="17"/>
    <x v="43"/>
    <x v="0"/>
  </r>
  <r>
    <s v="Акт входного контроля 000000146 от 17.05.2024 22:33:15"/>
    <s v="высший"/>
    <n v="73"/>
    <n v="77688"/>
    <s v="Кубань УОХ"/>
    <s v="Черевко Александр Владимирович"/>
    <s v="А114МК"/>
    <s v="1/7,1"/>
    <m/>
    <s v="Преладо"/>
    <s v="Горох овощной свежий 10.01"/>
    <n v="27580"/>
    <n v="14430"/>
    <n v="50"/>
    <n v="13150"/>
    <n v="6575"/>
    <x v="1"/>
    <x v="43"/>
    <n v="6575"/>
    <n v="0.5"/>
    <n v="5"/>
    <n v="17"/>
    <x v="43"/>
    <x v="0"/>
  </r>
  <r>
    <s v="Акт входного контроля 000000147 от 18.05.2024 7:10:58"/>
    <s v="высший"/>
    <n v="74"/>
    <n v="77689"/>
    <s v="Кубань УОХ"/>
    <s v="Извеков Владимир Владимирович"/>
    <s v="Н378ХЕ"/>
    <s v="1/7,1"/>
    <m/>
    <s v="Преладо"/>
    <s v="Горох овощной свежий 10.01"/>
    <n v="28410"/>
    <n v="15150"/>
    <n v="43.5"/>
    <n v="13260"/>
    <n v="7491.9"/>
    <x v="1"/>
    <x v="44"/>
    <n v="5768.1"/>
    <n v="0.43500000000000005"/>
    <n v="5"/>
    <n v="18"/>
    <x v="44"/>
    <x v="0"/>
  </r>
  <r>
    <s v="Акт входного контроля 000000148 от 18.05.2024 19:41:18"/>
    <s v="высший"/>
    <n v="76"/>
    <n v="77690"/>
    <s v="Кубань УОХ"/>
    <s v="Мудрак В В."/>
    <s v="Х514ОК"/>
    <s v="1/7,1"/>
    <m/>
    <s v="Преладо"/>
    <s v="Горох овощной свежий 10.01"/>
    <n v="38340"/>
    <n v="20920"/>
    <n v="47"/>
    <n v="17420"/>
    <n v="9232.6"/>
    <x v="1"/>
    <x v="44"/>
    <n v="8187.4"/>
    <n v="0.47"/>
    <n v="5"/>
    <n v="18"/>
    <x v="44"/>
    <x v="0"/>
  </r>
  <r>
    <s v="Акт входного контроля 000000149 от 18.05.2024 19:40:12"/>
    <s v="высший"/>
    <n v="77"/>
    <n v="77692"/>
    <s v="Кубань УОХ"/>
    <s v="Макаренко Алексей Юрьевич"/>
    <s v="Т565НР"/>
    <s v="1/7,1"/>
    <m/>
    <s v="Преладо"/>
    <s v="Горох овощной свежий 10.01"/>
    <n v="28730"/>
    <n v="15600"/>
    <n v="43.5"/>
    <n v="13130"/>
    <n v="7418.4"/>
    <x v="1"/>
    <x v="44"/>
    <n v="5711.6"/>
    <n v="0.43500380807311501"/>
    <n v="5"/>
    <n v="18"/>
    <x v="44"/>
    <x v="0"/>
  </r>
  <r>
    <s v="Акт входного контроля 000000150 от 18.05.2024 13:06:58"/>
    <s v="высший"/>
    <n v="78"/>
    <n v="77691"/>
    <s v="Кубань УОХ"/>
    <s v="Суханов В.Н."/>
    <s v="А569РР"/>
    <s v="1/7,1"/>
    <m/>
    <s v="Преладо"/>
    <s v="Горох овощной свежий 10.01"/>
    <n v="27810"/>
    <n v="14580"/>
    <n v="42"/>
    <n v="13230"/>
    <n v="7673.4"/>
    <x v="1"/>
    <x v="44"/>
    <n v="5556.6"/>
    <n v="0.42000000000000004"/>
    <n v="5"/>
    <n v="18"/>
    <x v="44"/>
    <x v="0"/>
  </r>
  <r>
    <s v="Акт входного контроля 000000151 от 18.05.2024 17:20:30"/>
    <s v="высший"/>
    <n v="79"/>
    <n v="77693"/>
    <s v="Кубань УОХ"/>
    <s v="Мосенцев Алексей Егорович"/>
    <s v="Т680ОУ"/>
    <s v="1/7,1"/>
    <m/>
    <s v="Преладо"/>
    <s v="Горох овощной свежий 10.01"/>
    <n v="27840"/>
    <n v="14340"/>
    <n v="36.5"/>
    <n v="13500"/>
    <n v="8572.5"/>
    <x v="1"/>
    <x v="44"/>
    <n v="4927.5"/>
    <n v="0.36499999999999999"/>
    <n v="5"/>
    <n v="18"/>
    <x v="44"/>
    <x v="0"/>
  </r>
  <r>
    <s v="Акт входного контроля 000000152 от 18.05.2024 21:27:25"/>
    <s v="высший"/>
    <n v="81"/>
    <n v="77694"/>
    <s v="Кубань УОХ"/>
    <s v="Чигрин Н.А."/>
    <s v="А819ЕВ"/>
    <s v="1/7,1"/>
    <m/>
    <s v="Асана"/>
    <s v="Горох овощной свежий 10.01"/>
    <n v="22900"/>
    <n v="18630"/>
    <n v="56.5"/>
    <n v="4270"/>
    <n v="1857.4"/>
    <x v="1"/>
    <x v="44"/>
    <n v="2412.6"/>
    <n v="0.56501170960187352"/>
    <n v="5"/>
    <n v="18"/>
    <x v="44"/>
    <x v="0"/>
  </r>
  <r>
    <s v="Акт входного контроля 000000153 от 18.05.2024 4:47:36"/>
    <s v="высший"/>
    <n v="82"/>
    <n v="77694"/>
    <s v="Кубань УОХ"/>
    <s v="Чигрин Н.А."/>
    <s v="А819ЕВ"/>
    <s v="1/1.1"/>
    <m/>
    <s v="Асана"/>
    <s v="Горох овощной свежий 10.01"/>
    <n v="18630"/>
    <n v="14170"/>
    <n v="54.5"/>
    <n v="4460"/>
    <n v="2029.3"/>
    <x v="1"/>
    <x v="44"/>
    <n v="2430.6999999999998"/>
    <n v="0.54499999999999993"/>
    <n v="5"/>
    <n v="18"/>
    <x v="44"/>
    <x v="0"/>
  </r>
  <r>
    <s v="Акт входного контроля 000000154 от 20.05.2024 21:38:54"/>
    <s v="высший"/>
    <n v="84"/>
    <n v="77696"/>
    <s v="Кубань УОХ"/>
    <s v="Огнев Максим Викторович"/>
    <s v="Р755НН"/>
    <s v="1/1.1"/>
    <m/>
    <s v="Асана"/>
    <s v="Горох овощной свежий 10.01"/>
    <n v="29180"/>
    <n v="21660"/>
    <n v="36.5"/>
    <n v="7520"/>
    <n v="4775.2"/>
    <x v="1"/>
    <x v="45"/>
    <n v="2744.8"/>
    <n v="0.36500000000000005"/>
    <n v="5"/>
    <n v="20"/>
    <x v="45"/>
    <x v="0"/>
  </r>
  <r>
    <s v="Акт входного контроля 000000155 от 20.05.2024 21:41:26"/>
    <s v="высший"/>
    <n v="85"/>
    <n v="77696"/>
    <s v="Кубань УОХ"/>
    <s v="Огнев Максим Викторович"/>
    <s v="Р755НН"/>
    <s v="1/7,1"/>
    <m/>
    <s v="Асана"/>
    <s v="Горох овощной свежий 10.01"/>
    <n v="21660"/>
    <n v="14550"/>
    <n v="36"/>
    <n v="7110"/>
    <n v="4550.3999999999996"/>
    <x v="1"/>
    <x v="45"/>
    <n v="2559.6000000000004"/>
    <n v="0.36000000000000004"/>
    <n v="5"/>
    <n v="20"/>
    <x v="45"/>
    <x v="0"/>
  </r>
  <r>
    <s v="Акт входного контроля 000000156 от 20.05.2024 23:01:38"/>
    <s v="высший"/>
    <n v="86"/>
    <n v="77695"/>
    <s v="Кубань УОХ"/>
    <s v="Аладин Василий Сергеевич"/>
    <s v="Т110ТМ"/>
    <s v="1/1.1"/>
    <m/>
    <s v="Асана"/>
    <s v="Горох овощной свежий 10.01"/>
    <n v="29030"/>
    <n v="14980"/>
    <n v="51"/>
    <n v="14050"/>
    <n v="6884.5"/>
    <x v="1"/>
    <x v="45"/>
    <n v="7165.5"/>
    <n v="0.51"/>
    <n v="5"/>
    <n v="20"/>
    <x v="45"/>
    <x v="0"/>
  </r>
  <r>
    <s v="Акт входного контроля 000000157 от 20.05.2024 23:09:23"/>
    <s v="высший"/>
    <n v="87"/>
    <n v="77700"/>
    <s v="Кубань УОХ"/>
    <s v="Лазаренко В.В"/>
    <s v="Т239УС"/>
    <s v="1/1.1"/>
    <m/>
    <s v="Асана"/>
    <s v="Горох овощной свежий 10.01"/>
    <n v="29070"/>
    <n v="14890"/>
    <n v="43.5"/>
    <n v="14180"/>
    <n v="8011.7"/>
    <x v="1"/>
    <x v="45"/>
    <n v="6168.3"/>
    <n v="0.435"/>
    <n v="5"/>
    <n v="20"/>
    <x v="45"/>
    <x v="0"/>
  </r>
  <r>
    <s v="Акт входного контроля 000000158 от 21.05.2024 6:56:36"/>
    <s v="высший"/>
    <n v="88"/>
    <n v="117501"/>
    <s v="Кубань УОХ"/>
    <s v="Чернецов Александр Михайлович"/>
    <s v="Р866РМ"/>
    <s v="1/1.1"/>
    <m/>
    <s v="Асана"/>
    <s v="Горох овощной свежий 10.01"/>
    <n v="29460"/>
    <n v="14870"/>
    <n v="40.5"/>
    <n v="14590"/>
    <n v="8681"/>
    <x v="1"/>
    <x v="46"/>
    <n v="5909"/>
    <n v="0.4050034270047978"/>
    <n v="5"/>
    <n v="21"/>
    <x v="46"/>
    <x v="0"/>
  </r>
  <r>
    <s v="Акт входного контроля 000000159 от 21.05.2024 8:31:07"/>
    <s v="высший"/>
    <n v="89"/>
    <n v="117502"/>
    <s v="Кубань УОХ"/>
    <s v="Богучарский А. И."/>
    <s v="Е404УС"/>
    <s v="1/7,1"/>
    <m/>
    <s v="Асана"/>
    <s v="Горох овощной свежий 10.01"/>
    <n v="27830"/>
    <n v="20880"/>
    <n v="34.5"/>
    <n v="6950"/>
    <n v="4552.2"/>
    <x v="1"/>
    <x v="46"/>
    <n v="2397.8000000000002"/>
    <n v="0.34500719424460435"/>
    <n v="5"/>
    <n v="21"/>
    <x v="46"/>
    <x v="0"/>
  </r>
  <r>
    <s v="Акт входного контроля 000000160 от 21.05.2024 8:41:23"/>
    <s v="высший"/>
    <n v="90"/>
    <n v="117502"/>
    <s v="Кубань УОХ"/>
    <s v="Богучарский А. И."/>
    <s v="Е404УС"/>
    <s v="1/1.1"/>
    <m/>
    <s v="Асана"/>
    <s v="Горох овощной свежий 10.01"/>
    <n v="20880"/>
    <n v="13920"/>
    <n v="37.5"/>
    <n v="6960"/>
    <n v="4350"/>
    <x v="1"/>
    <x v="46"/>
    <n v="2610"/>
    <n v="0.375"/>
    <n v="5"/>
    <n v="21"/>
    <x v="46"/>
    <x v="0"/>
  </r>
  <r>
    <s v="Акт входного контроля 000000161 от 21.05.2024 11:54:41"/>
    <s v="высший"/>
    <n v="91"/>
    <n v="117503"/>
    <s v="Кубань УОХ"/>
    <s v="Черевко Александр Владимирович"/>
    <s v="А114МК"/>
    <s v="1/7,1"/>
    <m/>
    <s v="Асана"/>
    <s v="Горох овощной свежий 10.01"/>
    <n v="29630"/>
    <n v="14390"/>
    <n v="43.5"/>
    <n v="15240"/>
    <n v="8610.6"/>
    <x v="1"/>
    <x v="46"/>
    <n v="6629.4"/>
    <n v="0.435"/>
    <n v="5"/>
    <n v="21"/>
    <x v="46"/>
    <x v="0"/>
  </r>
  <r>
    <s v="Акт входного контроля 000000175 от 21.05.2024 19:01:13"/>
    <s v="высший"/>
    <n v="92"/>
    <n v="117504"/>
    <s v="Кубань УОХ"/>
    <s v="Кириченко В.Н."/>
    <s v="А957РР"/>
    <s v="1/7,1"/>
    <m/>
    <s v="Асана"/>
    <s v="Горох овощной свежий 10.01"/>
    <n v="33770"/>
    <n v="17330"/>
    <n v="29.5"/>
    <n v="16440"/>
    <n v="11590.2"/>
    <x v="1"/>
    <x v="46"/>
    <n v="4849.7999999999993"/>
    <n v="0.29499999999999993"/>
    <n v="5"/>
    <n v="21"/>
    <x v="46"/>
    <x v="0"/>
  </r>
  <r>
    <s v="Акт входного контроля 000000176 от 21.05.2024 19:12:17"/>
    <s v="высший"/>
    <n v="93"/>
    <n v="117505"/>
    <s v="Кубань УОХ"/>
    <s v="Мосенцев Алексей Егорович"/>
    <s v="Т680ОУ"/>
    <s v="1/7,1"/>
    <m/>
    <s v="Асана"/>
    <s v="Горох овощной свежий 10.01"/>
    <n v="28140"/>
    <n v="14230"/>
    <n v="35.5"/>
    <n v="13910"/>
    <n v="8971.9"/>
    <x v="1"/>
    <x v="46"/>
    <n v="4938.1000000000004"/>
    <n v="0.35500359453630487"/>
    <n v="5"/>
    <n v="21"/>
    <x v="46"/>
    <x v="0"/>
  </r>
  <r>
    <s v="Акт входного контроля 000000177 от 21.05.2024 19:59:27"/>
    <s v="высший"/>
    <n v="94"/>
    <n v="1"/>
    <s v="Грин Рэй Кубань ООО (Овощеводство)"/>
    <s v="Чигрин Н.А."/>
    <s v="А819ЕВ"/>
    <s v="А-21"/>
    <m/>
    <s v="Преладо"/>
    <s v="Горох овощной свежий 10.01"/>
    <n v="14120"/>
    <n v="9640"/>
    <n v="40.5"/>
    <n v="4480"/>
    <n v="2665.6"/>
    <x v="1"/>
    <x v="46"/>
    <n v="1814.4"/>
    <n v="0.40500000000000003"/>
    <n v="5"/>
    <n v="21"/>
    <x v="46"/>
    <x v="0"/>
  </r>
  <r>
    <s v="Акт входного контроля 000000178 от 21.05.2024 22:40:56"/>
    <s v="высший"/>
    <n v="95"/>
    <n v="117510"/>
    <s v="Кубань УОХ"/>
    <s v="Извеков Владимир Владимирович"/>
    <s v="Н378ХЕ"/>
    <s v="2/3.5"/>
    <m/>
    <s v="Увертюра"/>
    <s v="Горох овощной свежий 10.01"/>
    <n v="28980"/>
    <n v="22350"/>
    <n v="38.5"/>
    <n v="6630"/>
    <n v="4077.4"/>
    <x v="1"/>
    <x v="46"/>
    <n v="2552.6"/>
    <n v="0.38500754147812971"/>
    <n v="5"/>
    <n v="21"/>
    <x v="46"/>
    <x v="0"/>
  </r>
  <r>
    <s v="Акт входного контроля 000000179 от 21.05.2024 22:44:21"/>
    <s v="высший"/>
    <n v="96"/>
    <n v="117510"/>
    <s v="Кубань УОХ"/>
    <s v="Извеков Владимир Владимирович"/>
    <s v="Н378ХЕ"/>
    <s v="1/7,1"/>
    <m/>
    <s v="Асана"/>
    <s v="Горох овощной свежий 10.01"/>
    <n v="22350"/>
    <n v="15140"/>
    <n v="43"/>
    <n v="7210"/>
    <n v="4109.7"/>
    <x v="1"/>
    <x v="46"/>
    <n v="3100.3"/>
    <n v="0.43000000000000005"/>
    <n v="5"/>
    <n v="21"/>
    <x v="46"/>
    <x v="0"/>
  </r>
  <r>
    <s v="Акт входного контроля 000000181 от 21.05.2024 23:18:37"/>
    <s v="высший"/>
    <n v="97"/>
    <n v="117512"/>
    <s v="Кубань УОХ"/>
    <s v="Аладин Василий Сергеевич"/>
    <s v="Т110ТМ"/>
    <s v="1/7,1"/>
    <m/>
    <s v="Асана"/>
    <s v="Горох овощной свежий 10.01"/>
    <n v="28850"/>
    <n v="14910"/>
    <n v="33"/>
    <n v="13940"/>
    <n v="9339.7999999999993"/>
    <x v="1"/>
    <x v="46"/>
    <n v="4600.2000000000007"/>
    <n v="0.33000000000000007"/>
    <n v="5"/>
    <n v="21"/>
    <x v="46"/>
    <x v="0"/>
  </r>
  <r>
    <s v="Акт входного контроля 000000180 от 21.05.2024 23:49:24"/>
    <s v="высший"/>
    <n v="98"/>
    <n v="2"/>
    <s v="Грин Рэй Кубань ООО (Овощеводство)"/>
    <s v="Чигрин Н.А."/>
    <s v="А819ЕВ"/>
    <s v="А-21"/>
    <m/>
    <s v="Преладо"/>
    <s v="Горох овощной свежий 10.01"/>
    <n v="14010"/>
    <n v="9620"/>
    <n v="25"/>
    <n v="4390"/>
    <n v="3292.5"/>
    <x v="1"/>
    <x v="46"/>
    <n v="1097.5"/>
    <n v="0.25"/>
    <n v="5"/>
    <n v="21"/>
    <x v="46"/>
    <x v="0"/>
  </r>
  <r>
    <s v="Акт входного контроля 000000183 от 22.05.2024 9:44:52"/>
    <s v="высший"/>
    <n v="99"/>
    <n v="117514"/>
    <s v="Кубань УОХ"/>
    <s v="Огнев Максим Викторович"/>
    <s v="Р755НН"/>
    <s v="1/7,1"/>
    <m/>
    <s v="Асана"/>
    <s v="Горох овощной свежий 10.01"/>
    <n v="28360"/>
    <n v="14550"/>
    <n v="41.5"/>
    <n v="13810"/>
    <n v="8078.8"/>
    <x v="1"/>
    <x v="47"/>
    <n v="5731.2"/>
    <n v="0.41500362056480811"/>
    <n v="5"/>
    <n v="22"/>
    <x v="47"/>
    <x v="0"/>
  </r>
  <r>
    <s v="Акт входного контроля 000000184 от 22.05.2024 10:57:21"/>
    <s v="высший"/>
    <n v="100"/>
    <n v="117515"/>
    <s v="Кубань УОХ"/>
    <s v="Чернецов Александр Михайлович"/>
    <s v="Р866РМ"/>
    <s v="1/7,1"/>
    <m/>
    <s v="Асана"/>
    <s v="Горох овощной свежий 10.01"/>
    <n v="28480"/>
    <n v="14730"/>
    <n v="38"/>
    <n v="13750"/>
    <n v="8525"/>
    <x v="1"/>
    <x v="47"/>
    <n v="5225"/>
    <n v="0.38"/>
    <n v="5"/>
    <n v="22"/>
    <x v="47"/>
    <x v="0"/>
  </r>
  <r>
    <s v="Акт входного контроля 000000182 от 22.05.2024 9:27:34"/>
    <s v="высший"/>
    <n v="101"/>
    <n v="3"/>
    <s v="Грин Рэй Кубань ООО (Овощеводство)"/>
    <s v="Чигрин Н.А."/>
    <s v="А819ЕВ"/>
    <s v="А-21"/>
    <m/>
    <s v="Преладо"/>
    <s v="Горох овощной свежий 10.01"/>
    <n v="14130"/>
    <n v="9610"/>
    <n v="22"/>
    <n v="4520"/>
    <n v="3525.6"/>
    <x v="1"/>
    <x v="47"/>
    <n v="994.40000000000009"/>
    <n v="0.22000000000000003"/>
    <n v="5"/>
    <n v="22"/>
    <x v="47"/>
    <x v="0"/>
  </r>
  <r>
    <s v="Акт входного контроля 000000185 от 22.05.2024 15:16:30"/>
    <s v="высший"/>
    <n v="102"/>
    <n v="117516"/>
    <s v="Кубань УОХ"/>
    <s v="Жданов А И"/>
    <s v="С707ОУ"/>
    <s v="1/7,1"/>
    <m/>
    <s v="Асана"/>
    <s v="Горох овощной свежий 10.01"/>
    <n v="28180"/>
    <n v="14360"/>
    <n v="38"/>
    <n v="13820"/>
    <n v="8568.4"/>
    <x v="1"/>
    <x v="47"/>
    <n v="5251.6"/>
    <n v="0.38"/>
    <n v="5"/>
    <n v="22"/>
    <x v="47"/>
    <x v="0"/>
  </r>
  <r>
    <s v="Акт входного контроля 000000186 от 22.05.2024 15:35:34"/>
    <s v="высший"/>
    <n v="103"/>
    <n v="117517"/>
    <s v="Кубань УОХ"/>
    <s v="Макаренко Алексей Юрьевич"/>
    <s v="Т565НР"/>
    <s v="2/3.5"/>
    <m/>
    <s v="Увертюра"/>
    <s v="Горох овощной свежий 10.01"/>
    <n v="29260"/>
    <n v="15640"/>
    <n v="32.5"/>
    <n v="13620"/>
    <n v="9193.5"/>
    <x v="1"/>
    <x v="47"/>
    <n v="4426.5"/>
    <n v="0.32500000000000001"/>
    <n v="5"/>
    <n v="22"/>
    <x v="47"/>
    <x v="0"/>
  </r>
  <r>
    <s v="Акт входного контроля 000000187 от 22.05.2024 16:57:53"/>
    <s v="высший"/>
    <n v="104"/>
    <n v="117518"/>
    <s v="Кубань УОХ"/>
    <s v="Суханов В.Н."/>
    <s v="А569РР"/>
    <s v="2/3.5"/>
    <m/>
    <s v="Увертюра"/>
    <s v="Горох овощной свежий 10.01"/>
    <n v="28120"/>
    <n v="14630"/>
    <n v="35.5"/>
    <n v="13490"/>
    <n v="8701"/>
    <x v="1"/>
    <x v="47"/>
    <n v="4789"/>
    <n v="0.35500370644922163"/>
    <n v="5"/>
    <n v="22"/>
    <x v="47"/>
    <x v="0"/>
  </r>
  <r>
    <s v="Акт входного контроля 000000188 от 22.05.2024 18:58:36"/>
    <s v="высший"/>
    <n v="106"/>
    <n v="117519"/>
    <s v="Кубань УОХ"/>
    <s v="Богучарский А. И."/>
    <s v="Е404УС"/>
    <s v="2/3.5"/>
    <m/>
    <s v="Увертюра"/>
    <s v="Горох овощной свежий 10.01"/>
    <n v="27770"/>
    <n v="13920"/>
    <n v="31.5"/>
    <n v="13850"/>
    <n v="9487.2000000000007"/>
    <x v="1"/>
    <x v="47"/>
    <n v="4362.7999999999993"/>
    <n v="0.31500361010830319"/>
    <n v="5"/>
    <n v="22"/>
    <x v="47"/>
    <x v="0"/>
  </r>
  <r>
    <s v="Акт входного контроля 000000190 от 22.05.2024 23:19:02"/>
    <s v="высший"/>
    <n v="108"/>
    <n v="117522"/>
    <s v="Кубань УОХ"/>
    <s v="Мудрак В В."/>
    <s v="Х514ОК"/>
    <s v="2/3.5"/>
    <m/>
    <s v="Увертюра"/>
    <s v="Горох овощной свежий 10.01"/>
    <n v="39750"/>
    <n v="28210"/>
    <n v="31"/>
    <n v="11540"/>
    <n v="7962.6"/>
    <x v="1"/>
    <x v="47"/>
    <n v="3577.3999999999996"/>
    <n v="0.30999999999999994"/>
    <n v="5"/>
    <n v="22"/>
    <x v="47"/>
    <x v="0"/>
  </r>
  <r>
    <s v="Акт входного контроля 000000189 от 22.05.2024 20:38:25"/>
    <s v="высший"/>
    <n v="109"/>
    <n v="4"/>
    <s v="Грин Рэй Кубань ООО (Овощеводство)"/>
    <s v="Чигрин Н.А."/>
    <s v="А819ЕВ"/>
    <s v="А-21"/>
    <m/>
    <s v="Преладо"/>
    <s v="Горох овощной свежий 10.01"/>
    <n v="18690"/>
    <n v="9610"/>
    <n v="24.5"/>
    <n v="9080"/>
    <n v="6855.4"/>
    <x v="1"/>
    <x v="47"/>
    <n v="2224.6000000000004"/>
    <n v="0.24500000000000005"/>
    <n v="5"/>
    <n v="22"/>
    <x v="47"/>
    <x v="0"/>
  </r>
  <r>
    <s v="Акт входного контроля 000000191 от 22.05.2024 23:23:22"/>
    <s v="высший"/>
    <n v="110"/>
    <n v="117523"/>
    <s v="Кубань УОХ"/>
    <s v="Кириченко В.Н."/>
    <s v="А957РР"/>
    <s v="2/3.5"/>
    <m/>
    <s v="Увертюра"/>
    <s v="Горох овощной свежий 10.01"/>
    <n v="34490"/>
    <n v="17320"/>
    <n v="28.5"/>
    <n v="17170"/>
    <n v="12276.5"/>
    <x v="1"/>
    <x v="47"/>
    <n v="4893.5"/>
    <n v="0.28500291205591149"/>
    <n v="5"/>
    <n v="22"/>
    <x v="47"/>
    <x v="0"/>
  </r>
  <r>
    <s v="Акт входного контроля 000000192 от 22.05.2024 23:26:09"/>
    <s v="высший"/>
    <n v="111"/>
    <n v="5"/>
    <s v="Грин Рэй Кубань ООО (Овощеводство)"/>
    <s v="Мосенцев Алексей Егорович"/>
    <s v="Т680ОУ"/>
    <s v="А-21"/>
    <m/>
    <s v="Преладо"/>
    <s v="Горох овощной свежий 10.01"/>
    <n v="29900"/>
    <n v="14230"/>
    <n v="22.5"/>
    <n v="15670"/>
    <n v="12144.2"/>
    <x v="1"/>
    <x v="47"/>
    <n v="3525.7999999999993"/>
    <n v="0.22500319081046583"/>
    <n v="5"/>
    <n v="22"/>
    <x v="47"/>
    <x v="0"/>
  </r>
  <r>
    <s v="Акт входного контроля 000000193 от 22.05.2024 23:31:13"/>
    <s v="высший"/>
    <n v="112"/>
    <n v="117524"/>
    <s v="Кубань УОХ"/>
    <s v="Кулик О В"/>
    <s v="К403ЕМ"/>
    <s v="2/3.5"/>
    <m/>
    <s v="Увертюра"/>
    <s v="Горох овощной свежий 10.01"/>
    <n v="33990"/>
    <n v="26720"/>
    <n v="29.5"/>
    <n v="7270"/>
    <n v="5125.3"/>
    <x v="1"/>
    <x v="47"/>
    <n v="2144.6999999999998"/>
    <n v="0.29500687757909211"/>
    <n v="5"/>
    <n v="22"/>
    <x v="47"/>
    <x v="0"/>
  </r>
  <r>
    <s v="Акт входного контроля 000000194 от 22.05.2024 8:38:11"/>
    <s v="высший"/>
    <n v="113"/>
    <n v="117524"/>
    <s v="Кубань УОХ"/>
    <s v="Кулик О В"/>
    <s v="К403ЕМ"/>
    <s v="1/1.1"/>
    <m/>
    <s v="Увертюра"/>
    <s v="Горох овощной свежий 10.01"/>
    <n v="26720"/>
    <n v="17200"/>
    <n v="39.5"/>
    <n v="9520"/>
    <n v="5759.6"/>
    <x v="1"/>
    <x v="47"/>
    <n v="3760.3999999999996"/>
    <n v="0.39499999999999996"/>
    <n v="5"/>
    <n v="22"/>
    <x v="47"/>
    <x v="0"/>
  </r>
  <r>
    <s v="Акт входного контроля 000000198 от 23.05.2024 13:00:39"/>
    <s v="высший"/>
    <n v="115"/>
    <n v="117528"/>
    <s v="Кубань УОХ"/>
    <s v="Погуляй А.Б.       "/>
    <s v="О824ТХ"/>
    <s v="1/1.1"/>
    <m/>
    <s v="Увертюра"/>
    <s v="Горох овощной свежий 10.01"/>
    <n v="35190"/>
    <n v="18530"/>
    <n v="41.5"/>
    <n v="16660"/>
    <n v="9746.1"/>
    <x v="1"/>
    <x v="48"/>
    <n v="6913.9"/>
    <n v="0.41499999999999998"/>
    <n v="5"/>
    <n v="23"/>
    <x v="48"/>
    <x v="0"/>
  </r>
  <r>
    <s v="Акт входного контроля 000000199 от 23.05.2024 10:38:07"/>
    <s v="высший"/>
    <n v="116"/>
    <n v="7"/>
    <s v="Грин Рэй Кубань ООО (Овощеводство)"/>
    <s v="Мосенцев Алексей Егорович"/>
    <s v="Т680ОУ"/>
    <s v="А-21"/>
    <m/>
    <s v="Преладо"/>
    <s v="Горох овощной свежий 10.01"/>
    <n v="23290"/>
    <n v="14210"/>
    <n v="28.5"/>
    <n v="9080"/>
    <n v="6492.2"/>
    <x v="1"/>
    <x v="48"/>
    <n v="2587.8000000000002"/>
    <n v="0.28500000000000003"/>
    <n v="5"/>
    <n v="23"/>
    <x v="48"/>
    <x v="0"/>
  </r>
  <r>
    <s v="Акт входного контроля 000000195 от 23.05.2024 12:50:02"/>
    <s v="высший"/>
    <n v="117"/>
    <n v="325"/>
    <s v="Кубань УОХ"/>
    <s v="Сероштан Станислав Викторович"/>
    <s v="Е758РЕ"/>
    <s v="1/1.1"/>
    <m/>
    <s v="Увертюра"/>
    <s v="Горох овощной свежий 10.01"/>
    <n v="28810"/>
    <n v="14490"/>
    <n v="29.5"/>
    <n v="14320"/>
    <n v="10095.6"/>
    <x v="1"/>
    <x v="48"/>
    <n v="4224.3999999999996"/>
    <n v="0.29499999999999998"/>
    <n v="5"/>
    <n v="23"/>
    <x v="48"/>
    <x v="0"/>
  </r>
  <r>
    <s v="Акт входного контроля 000000196 от 23.05.2024 12:54:48"/>
    <s v="высший"/>
    <n v="118"/>
    <n v="248"/>
    <s v="Кубань УОХ"/>
    <s v="Птащенко Дмитрий Анатольевич"/>
    <s v="Е606ЕК"/>
    <s v="1/1.1"/>
    <m/>
    <s v="Увертюра"/>
    <s v="Горох овощной свежий 10.01"/>
    <n v="28880"/>
    <n v="14720"/>
    <n v="33.5"/>
    <n v="14160"/>
    <n v="9416.4"/>
    <x v="1"/>
    <x v="48"/>
    <n v="4743.6000000000004"/>
    <n v="0.33500000000000002"/>
    <n v="5"/>
    <n v="23"/>
    <x v="48"/>
    <x v="0"/>
  </r>
  <r>
    <s v="Акт входного контроля 000000197 от 23.05.2024 12:57:23"/>
    <s v="высший"/>
    <n v="119"/>
    <n v="4"/>
    <s v="Грин Рэй Кубань ООО (Овощеводство)"/>
    <s v="Чигрин Н.А."/>
    <s v="А819ЕВ"/>
    <s v="А-21"/>
    <m/>
    <s v="Преладо"/>
    <s v="Горох овощной свежий 10.01"/>
    <n v="23180"/>
    <n v="14160"/>
    <n v="25.5"/>
    <n v="9020"/>
    <n v="6719.9"/>
    <x v="1"/>
    <x v="48"/>
    <n v="2300.1000000000004"/>
    <n v="0.25500000000000006"/>
    <n v="5"/>
    <n v="23"/>
    <x v="48"/>
    <x v="0"/>
  </r>
  <r>
    <s v="Акт входного контроля 000000238 от 22.05.2024 11:00:54"/>
    <m/>
    <n v="120"/>
    <s v="117522 Утилизация"/>
    <s v="Кубань УОХ"/>
    <s v="Мудрак В В."/>
    <s v="Х514ОК"/>
    <s v="2/3.5"/>
    <m/>
    <s v="Увертюра"/>
    <s v="Горох овощной свежий 10.01"/>
    <n v="18770"/>
    <n v="12250"/>
    <n v="100"/>
    <n v="6520"/>
    <m/>
    <x v="1"/>
    <x v="47"/>
    <n v="6520"/>
    <n v="1"/>
    <n v="5"/>
    <n v="22"/>
    <x v="47"/>
    <x v="0"/>
  </r>
  <r>
    <s v="Акт входного контроля 000000200 от 23.05.2024 22:00:34"/>
    <s v="высший"/>
    <n v="122"/>
    <n v="8"/>
    <s v="Грин Рэй Кубань ООО (Овощеводство)"/>
    <s v="Богучарский А. И."/>
    <s v="Е404УС"/>
    <s v="А-21"/>
    <m/>
    <s v="Преладо"/>
    <s v="Горох овощной свежий 10.01"/>
    <n v="23660"/>
    <n v="13880"/>
    <n v="24"/>
    <n v="9780"/>
    <n v="7432.8"/>
    <x v="1"/>
    <x v="48"/>
    <n v="2347.1999999999998"/>
    <n v="0.24"/>
    <n v="5"/>
    <n v="23"/>
    <x v="48"/>
    <x v="0"/>
  </r>
  <r>
    <s v="Акт входного контроля 000000201 от 23.05.2024 22:33:35"/>
    <s v="высший"/>
    <n v="123"/>
    <n v="117529"/>
    <s v="Кубань УОХ"/>
    <s v="Черевко А В"/>
    <s v="А114МК"/>
    <s v="1/1.1"/>
    <m/>
    <s v="Увертюра"/>
    <s v="Горох овощной свежий 10.01"/>
    <n v="28360"/>
    <n v="14380"/>
    <n v="31.5"/>
    <n v="13980"/>
    <n v="9576.2999999999993"/>
    <x v="1"/>
    <x v="48"/>
    <n v="4403.7000000000007"/>
    <n v="0.31500000000000006"/>
    <n v="5"/>
    <n v="23"/>
    <x v="48"/>
    <x v="0"/>
  </r>
  <r>
    <s v="Акт входного контроля 000000202 от 23.05.2024 23:09:14"/>
    <s v="высший"/>
    <n v="125"/>
    <n v="9"/>
    <s v="Грин Рэй Кубань ООО (Овощеводство)"/>
    <s v="Богучарский А. И."/>
    <s v="Е404УС"/>
    <s v="А-21"/>
    <m/>
    <s v="Преладо"/>
    <s v="Горох овощной свежий 10.01"/>
    <n v="23300"/>
    <n v="13770"/>
    <n v="29.5"/>
    <n v="9530"/>
    <n v="6718.6"/>
    <x v="1"/>
    <x v="48"/>
    <n v="2811.3999999999996"/>
    <n v="0.29500524658971666"/>
    <n v="5"/>
    <n v="23"/>
    <x v="48"/>
    <x v="0"/>
  </r>
  <r>
    <s v="Акт входного контроля 000000203 от 23.05.2024 23:22:36"/>
    <s v="высший"/>
    <n v="126"/>
    <n v="117530"/>
    <s v="Кубань УОХ"/>
    <s v="Жданов А И"/>
    <s v="С707ОУ"/>
    <s v="1/1.1"/>
    <m/>
    <s v="Увертюра"/>
    <s v="Горох овощной свежий 10.01"/>
    <n v="28710"/>
    <n v="14370"/>
    <n v="32.5"/>
    <n v="14340"/>
    <n v="9679.5"/>
    <x v="1"/>
    <x v="48"/>
    <n v="4660.5"/>
    <n v="0.32500000000000001"/>
    <n v="5"/>
    <n v="23"/>
    <x v="48"/>
    <x v="0"/>
  </r>
  <r>
    <s v="Акт входного контроля 000000204 от 23.05.2024 23:30:40"/>
    <s v="высший"/>
    <n v="127"/>
    <n v="10"/>
    <s v="Грин Рэй Кубань ООО (Овощеводство)"/>
    <s v="Черевко Александр Владимирович"/>
    <s v="А114МК"/>
    <s v="А-21"/>
    <m/>
    <s v="Преладо"/>
    <s v="Горох овощной свежий 10.01"/>
    <n v="24110"/>
    <n v="14450"/>
    <n v="28.5"/>
    <n v="9660"/>
    <n v="6906.9"/>
    <x v="1"/>
    <x v="48"/>
    <n v="2753.1000000000004"/>
    <n v="0.28500000000000003"/>
    <n v="5"/>
    <n v="23"/>
    <x v="48"/>
    <x v="0"/>
  </r>
  <r>
    <s v="Акт входного контроля 000000205 от 23.05.2024 23:40:12"/>
    <s v="высший"/>
    <n v="128"/>
    <n v="117523"/>
    <s v="Кубань УОХ"/>
    <s v="Кириченко В.Н."/>
    <s v="А957РР"/>
    <s v="1/1.1"/>
    <m/>
    <s v="Увертюра"/>
    <s v="Горох овощной свежий 10.01"/>
    <n v="34130"/>
    <n v="17190"/>
    <n v="28.5"/>
    <n v="16940"/>
    <n v="12112.1"/>
    <x v="1"/>
    <x v="48"/>
    <n v="4827.8999999999996"/>
    <n v="0.28499999999999998"/>
    <n v="5"/>
    <n v="23"/>
    <x v="48"/>
    <x v="0"/>
  </r>
  <r>
    <s v="Акт входного контроля 000000206 от 23.05.2024 23:49:47"/>
    <s v="высший"/>
    <n v="129"/>
    <n v="117532"/>
    <s v="Кубань УОХ"/>
    <s v="Извеков Владимир Владимирович"/>
    <s v="Н378ХЕ"/>
    <s v="1/1.1"/>
    <m/>
    <s v="Увертюра"/>
    <s v="Горох овощной свежий 10.01"/>
    <n v="32070"/>
    <n v="15160"/>
    <n v="42"/>
    <n v="16910"/>
    <n v="9807.7999999999993"/>
    <x v="1"/>
    <x v="48"/>
    <n v="7102.2000000000007"/>
    <n v="0.42000000000000004"/>
    <n v="5"/>
    <n v="23"/>
    <x v="48"/>
    <x v="0"/>
  </r>
  <r>
    <s v="Акт входного контроля 000000207 от 23.05.2024 21:26:10"/>
    <s v="высший"/>
    <n v="130"/>
    <n v="11"/>
    <s v="Грин Рэй Кубань ООО (Овощеводство)"/>
    <s v="Богучарский А. И."/>
    <s v="Е404УС"/>
    <s v="А-21"/>
    <m/>
    <s v="Асана"/>
    <s v="Горох овощной свежий 10.01"/>
    <n v="25260"/>
    <n v="20200"/>
    <n v="39"/>
    <n v="5060"/>
    <n v="3086.6"/>
    <x v="1"/>
    <x v="48"/>
    <n v="1973.4"/>
    <n v="0.39"/>
    <n v="5"/>
    <n v="23"/>
    <x v="48"/>
    <x v="0"/>
  </r>
  <r>
    <s v="Акт входного контроля 000000208 от 23.05.2024 22:42:43"/>
    <s v="высший"/>
    <n v="131"/>
    <n v="11"/>
    <s v="Грин Рэй Кубань ООО (Овощеводство)"/>
    <s v="Богучарский А. И."/>
    <s v="Е404УС"/>
    <s v="А-21"/>
    <m/>
    <s v="Преладо"/>
    <s v="Горох овощной свежий 10.01"/>
    <n v="20200"/>
    <n v="13760"/>
    <n v="33"/>
    <n v="6440"/>
    <n v="4314.8"/>
    <x v="1"/>
    <x v="48"/>
    <n v="2125.1999999999998"/>
    <n v="0.32999999999999996"/>
    <n v="5"/>
    <n v="23"/>
    <x v="48"/>
    <x v="0"/>
  </r>
  <r>
    <s v="Акт входного контроля 000000209 от 24.05.2024 16:41:41"/>
    <s v="высший"/>
    <n v="132"/>
    <n v="12"/>
    <s v="Грин Рэй Кубань ООО (Овощеводство)"/>
    <s v="Черевко Александр Владимирович"/>
    <s v="А114МК"/>
    <s v="А-20"/>
    <m/>
    <s v="Преладо"/>
    <s v="Горох овощной свежий 10.01"/>
    <n v="23820"/>
    <n v="14440"/>
    <n v="26.5"/>
    <n v="9380"/>
    <n v="6894.3"/>
    <x v="1"/>
    <x v="49"/>
    <n v="2485.6999999999998"/>
    <n v="0.26499999999999996"/>
    <n v="5"/>
    <n v="24"/>
    <x v="49"/>
    <x v="0"/>
  </r>
  <r>
    <s v="Акт входного контроля 000000210 от 24.05.2024 4:03:23"/>
    <s v="высший"/>
    <n v="133"/>
    <n v="13"/>
    <s v="Грин Рэй Кубань ООО (Овощеводство)"/>
    <s v="Богучарский А. И."/>
    <s v="Е404УС"/>
    <s v="А-20"/>
    <m/>
    <s v="Преладо"/>
    <s v="Горох овощной свежий 10.01"/>
    <n v="23150"/>
    <n v="13840"/>
    <n v="31"/>
    <n v="9310"/>
    <n v="6423.9"/>
    <x v="1"/>
    <x v="49"/>
    <n v="2886.1000000000004"/>
    <n v="0.31000000000000005"/>
    <n v="5"/>
    <n v="24"/>
    <x v="49"/>
    <x v="0"/>
  </r>
  <r>
    <s v="Акт входного контроля 000000211 от 24.05.2024 6:08:01"/>
    <s v="высший"/>
    <n v="134"/>
    <n v="117534"/>
    <s v="Кубань УОХ"/>
    <s v="Сероштан Станислав Викторович"/>
    <s v="Е758РЕ"/>
    <s v="1/1.1"/>
    <m/>
    <s v="Увертюра"/>
    <s v="Горох овощной свежий 10.01"/>
    <n v="26310"/>
    <n v="14430"/>
    <n v="28"/>
    <n v="11880"/>
    <n v="8553.6"/>
    <x v="1"/>
    <x v="49"/>
    <n v="3326.3999999999996"/>
    <n v="0.27999999999999997"/>
    <n v="5"/>
    <n v="24"/>
    <x v="49"/>
    <x v="0"/>
  </r>
  <r>
    <s v="Акт входного контроля 000000212 от 24.05.2024 7:35:48"/>
    <s v="первый"/>
    <n v="135"/>
    <n v="14"/>
    <s v="Грин Рэй Кубань ООО (Овощеводство)"/>
    <s v="Черевко Александр Владимирович"/>
    <s v="А114МК"/>
    <s v="А-20"/>
    <m/>
    <s v="Преладо"/>
    <s v="Горох овощной свежий 10.01"/>
    <n v="23650"/>
    <n v="14460"/>
    <n v="29.5"/>
    <n v="9190"/>
    <n v="6478.9"/>
    <x v="1"/>
    <x v="49"/>
    <n v="2711.1000000000004"/>
    <n v="0.29500544069640916"/>
    <n v="5"/>
    <n v="24"/>
    <x v="49"/>
    <x v="0"/>
  </r>
  <r>
    <s v="Акт входного контроля 000000213 от 24.05.2024 8:19:32"/>
    <s v="высший"/>
    <n v="136"/>
    <n v="15"/>
    <s v="Грин Рэй Кубань ООО (Овощеводство)"/>
    <s v="Богучарский А. И."/>
    <s v="Е404УС"/>
    <s v="А-20"/>
    <m/>
    <s v="Преладо"/>
    <s v="Горох овощной свежий 10.01"/>
    <n v="22830"/>
    <n v="13820"/>
    <n v="26.5"/>
    <n v="9010"/>
    <n v="6622.3"/>
    <x v="1"/>
    <x v="49"/>
    <n v="2387.6999999999998"/>
    <n v="0.26500554938956711"/>
    <n v="5"/>
    <n v="24"/>
    <x v="49"/>
    <x v="0"/>
  </r>
  <r>
    <s v="Акт входного контроля 000000214 от 24.05.2024 10:31:29"/>
    <s v="высший"/>
    <n v="137"/>
    <n v="16"/>
    <s v="Грин Рэй Кубань ООО (Овощеводство)"/>
    <s v="Птащенко Дмитрий Анатольевич"/>
    <s v="Е606ЕК"/>
    <s v="А-20"/>
    <m/>
    <s v="Преладо"/>
    <s v="Горох овощной свежий 10.01"/>
    <n v="25610"/>
    <n v="14690"/>
    <n v="30.5"/>
    <n v="10920"/>
    <n v="7589.4"/>
    <x v="1"/>
    <x v="49"/>
    <n v="3330.6000000000004"/>
    <n v="0.30500000000000005"/>
    <n v="5"/>
    <n v="24"/>
    <x v="49"/>
    <x v="0"/>
  </r>
  <r>
    <s v="Акт входного контроля 000000215 от 24.05.2024 12:18:28"/>
    <s v="высший"/>
    <n v="138"/>
    <n v="17"/>
    <s v="Грин Рэй Кубань ООО (Овощеводство)"/>
    <s v="Чигрин Н.А."/>
    <s v="А819ЕВ"/>
    <s v="А-20"/>
    <m/>
    <s v="Преладо"/>
    <s v="Горох овощной свежий 10.01"/>
    <n v="28720"/>
    <n v="14150"/>
    <n v="20.5"/>
    <n v="14570"/>
    <n v="11583.1"/>
    <x v="1"/>
    <x v="49"/>
    <n v="2986.8999999999996"/>
    <n v="0.20500343170899105"/>
    <n v="5"/>
    <n v="24"/>
    <x v="49"/>
    <x v="0"/>
  </r>
  <r>
    <s v="Акт входного контроля 000000216 от 24.05.2024 15:49:48"/>
    <s v="высший"/>
    <n v="139"/>
    <n v="18"/>
    <s v="Грин Рэй Кубань ООО (Овощеводство)"/>
    <s v="Сероштан Станислав Викторович"/>
    <s v="Е758РЕ"/>
    <s v="А-20"/>
    <m/>
    <s v="Преладо"/>
    <s v="Горох овощной свежий 10.01"/>
    <n v="29080"/>
    <n v="14410"/>
    <n v="24.5"/>
    <n v="14670"/>
    <n v="11075.8"/>
    <x v="1"/>
    <x v="49"/>
    <n v="3594.2000000000007"/>
    <n v="0.2450034083162918"/>
    <n v="5"/>
    <n v="24"/>
    <x v="49"/>
    <x v="0"/>
  </r>
  <r>
    <s v="Акт входного контроля 000000217 от 24.05.2024 18:35:57"/>
    <s v="высший"/>
    <n v="140"/>
    <n v="19"/>
    <s v="Грин Рэй Кубань ООО (Овощеводство)"/>
    <s v="Птащенко Дмитрий Анатольевич"/>
    <s v="Е606ЕК"/>
    <s v="А-20"/>
    <m/>
    <s v="Преладо"/>
    <s v="Горох овощной свежий 10.01"/>
    <n v="29420"/>
    <n v="14670"/>
    <n v="25.5"/>
    <n v="14750"/>
    <n v="10988.7"/>
    <x v="1"/>
    <x v="49"/>
    <n v="3761.2999999999993"/>
    <n v="0.25500338983050841"/>
    <n v="5"/>
    <n v="24"/>
    <x v="49"/>
    <x v="0"/>
  </r>
  <r>
    <s v="Акт входного контроля 000000218 от 24.05.2024 18:57:11"/>
    <s v="высший"/>
    <n v="141"/>
    <n v="20"/>
    <s v="Грин Рэй Кубань ООО (Овощеводство)"/>
    <s v="Чигрин Н.А."/>
    <s v="А819ЕВ"/>
    <s v="А-20"/>
    <m/>
    <s v="Преладо"/>
    <s v="Горох овощной свежий 10.01"/>
    <n v="26620"/>
    <n v="19350"/>
    <n v="21.5"/>
    <n v="7270"/>
    <n v="5706.9"/>
    <x v="1"/>
    <x v="49"/>
    <n v="1563.1000000000004"/>
    <n v="0.2150068775790922"/>
    <n v="5"/>
    <n v="24"/>
    <x v="49"/>
    <x v="0"/>
  </r>
  <r>
    <s v="Акт входного контроля 000000220 от 24.05.2024 21:18:00"/>
    <s v="высший"/>
    <n v="142"/>
    <n v="21"/>
    <s v="Грин Рэй Кубань ООО (Овощеводство)"/>
    <s v="Сероштан Станислав Викторович"/>
    <s v="Е758РЕ"/>
    <s v="А-20"/>
    <m/>
    <s v="Преладо"/>
    <s v="Горох овощной свежий 10.01"/>
    <n v="28990"/>
    <n v="14390"/>
    <n v="23.5"/>
    <n v="14600"/>
    <n v="11169"/>
    <x v="1"/>
    <x v="49"/>
    <n v="3431"/>
    <n v="0.23499999999999999"/>
    <n v="5"/>
    <n v="24"/>
    <x v="49"/>
    <x v="0"/>
  </r>
  <r>
    <s v="Акт входного контроля 000000219 от 24.05.2024 19:07:09"/>
    <s v="высший"/>
    <n v="143"/>
    <n v="20"/>
    <s v="Грин Рэй Кубань ООО (Овощеводство)"/>
    <s v="Чигрин Н.А."/>
    <s v="А819ЕВ"/>
    <s v="А-20"/>
    <m/>
    <s v="Изюминка"/>
    <s v="Горох овощной свежий 10.01"/>
    <n v="19350"/>
    <n v="14130"/>
    <n v="30.5"/>
    <n v="5220"/>
    <n v="3627.9"/>
    <x v="1"/>
    <x v="49"/>
    <n v="1592.1"/>
    <n v="0.30499999999999999"/>
    <n v="5"/>
    <n v="24"/>
    <x v="49"/>
    <x v="0"/>
  </r>
  <r>
    <s v="Акт входного контроля 000000221 от 24.05.2024 22:37:08"/>
    <s v="высший"/>
    <n v="144"/>
    <n v="22"/>
    <s v="Грин Рэй Кубань ООО (Овощеводство)"/>
    <s v="Птащенко Дмитрий Анатольевич"/>
    <s v="Е606ЕК"/>
    <s v="А-20"/>
    <m/>
    <s v="Преладо"/>
    <s v="Горох овощной свежий 10.01"/>
    <n v="29250"/>
    <n v="14660"/>
    <n v="28"/>
    <n v="14590"/>
    <n v="10504.8"/>
    <x v="1"/>
    <x v="49"/>
    <n v="4085.2000000000007"/>
    <n v="0.28000000000000003"/>
    <n v="5"/>
    <n v="24"/>
    <x v="49"/>
    <x v="0"/>
  </r>
  <r>
    <s v="Акт входного контроля 000000222 от 24.05.2024 22:42:12"/>
    <s v="высший"/>
    <n v="145"/>
    <n v="23"/>
    <s v="Грин Рэй Кубань ООО (Овощеводство)"/>
    <s v="Сероштан Станислав Викторович"/>
    <s v="Е758РЕ"/>
    <s v="А-20"/>
    <m/>
    <s v="Преладо"/>
    <s v="Горох овощной свежий 10.01"/>
    <n v="31250"/>
    <n v="14460"/>
    <n v="24.5"/>
    <n v="16790"/>
    <n v="12676.4"/>
    <x v="1"/>
    <x v="49"/>
    <n v="4113.6000000000004"/>
    <n v="0.24500297796307327"/>
    <n v="5"/>
    <n v="24"/>
    <x v="49"/>
    <x v="0"/>
  </r>
  <r>
    <s v="Акт входного контроля 000000223 от 24.05.2024 23:06:46"/>
    <s v="высший"/>
    <n v="146"/>
    <n v="24"/>
    <s v="Грин Рэй Кубань ООО (Овощеводство)"/>
    <s v="Птащенко Дмитрий Анатольевич"/>
    <s v="Е606ЕК"/>
    <s v="А-20"/>
    <m/>
    <s v="Преладо"/>
    <s v="Горох овощной свежий 10.01"/>
    <n v="29170"/>
    <n v="14740"/>
    <n v="25.5"/>
    <n v="14430"/>
    <n v="10750.3"/>
    <x v="1"/>
    <x v="49"/>
    <n v="3679.7000000000007"/>
    <n v="0.25500346500346505"/>
    <n v="5"/>
    <n v="24"/>
    <x v="49"/>
    <x v="0"/>
  </r>
  <r>
    <s v="Акт входного контроля 000000224 от 25.05.2024 6:45:15"/>
    <s v="высший"/>
    <n v="147"/>
    <n v="25"/>
    <s v="Грин Рэй Кубань ООО (Овощеводство)"/>
    <s v="Сероштан Станислав Викторович"/>
    <s v="Е758РЕ"/>
    <s v="А-20"/>
    <m/>
    <s v="Преладо"/>
    <s v="Горох овощной свежий 10.01"/>
    <n v="29470"/>
    <n v="14450"/>
    <n v="23.5"/>
    <n v="15020"/>
    <n v="11490.3"/>
    <x v="1"/>
    <x v="50"/>
    <n v="3529.7000000000007"/>
    <n v="0.23500000000000004"/>
    <n v="5"/>
    <n v="25"/>
    <x v="50"/>
    <x v="0"/>
  </r>
  <r>
    <s v="Акт входного контроля 000000225 от 25.05.2024 6:47:48"/>
    <s v="высший"/>
    <n v="148"/>
    <n v="26"/>
    <s v="Грин Рэй Кубань ООО (Овощеводство)"/>
    <s v="Птащенко Дмитрий Анатольевич"/>
    <s v="Е606ЕК"/>
    <s v="А-20"/>
    <m/>
    <s v="Преладо"/>
    <s v="Горох овощной свежий 10.01"/>
    <n v="28890"/>
    <n v="14730"/>
    <n v="29.5"/>
    <n v="14160"/>
    <n v="9982.7999999999993"/>
    <x v="1"/>
    <x v="50"/>
    <n v="4177.2000000000007"/>
    <n v="0.29500000000000004"/>
    <n v="5"/>
    <n v="25"/>
    <x v="50"/>
    <x v="0"/>
  </r>
  <r>
    <s v="Акт входного контроля 000000226 от 25.05.2024 8:00:07"/>
    <s v="высший"/>
    <n v="149"/>
    <n v="27"/>
    <s v="Грин Рэй Кубань ООО (Овощеводство)"/>
    <s v="Сероштан Станислав Викторович"/>
    <s v="Е758РЕ"/>
    <s v="А-20"/>
    <m/>
    <s v="Преладо"/>
    <s v="Горох овощной свежий 10.01"/>
    <n v="30980"/>
    <n v="14430"/>
    <n v="24.1"/>
    <n v="16550"/>
    <n v="12569.7"/>
    <x v="1"/>
    <x v="50"/>
    <n v="3980.2999999999993"/>
    <n v="0.24050151057401808"/>
    <n v="5"/>
    <n v="25"/>
    <x v="50"/>
    <x v="0"/>
  </r>
  <r>
    <s v="Акт входного контроля 000000227 от 25.05.2024 10:35:32"/>
    <s v="высший"/>
    <n v="150"/>
    <n v="28"/>
    <s v="Грин Рэй Кубань ООО (Овощеводство)"/>
    <s v="Бербеницкий Сергей Николаевич"/>
    <s v="С400РР"/>
    <s v="А-20"/>
    <m/>
    <s v="Преладо"/>
    <s v="Горох овощной свежий 10.01"/>
    <n v="24400"/>
    <n v="14900"/>
    <n v="22.5"/>
    <n v="9500"/>
    <n v="7362.5"/>
    <x v="1"/>
    <x v="50"/>
    <n v="2137.5"/>
    <n v="0.22500000000000001"/>
    <n v="5"/>
    <n v="25"/>
    <x v="50"/>
    <x v="0"/>
  </r>
  <r>
    <s v="Акт входного контроля 000000228 от 25.05.2024 13:00:21"/>
    <s v="высший"/>
    <n v="151"/>
    <n v="29"/>
    <s v="Грин Рэй Кубань ООО (Овощеводство)"/>
    <s v="Чигрин Н.А."/>
    <s v="А819ЕВ"/>
    <s v="А-20"/>
    <m/>
    <s v="Преладо"/>
    <s v="Горох овощной свежий 10.01"/>
    <n v="14410"/>
    <n v="9620"/>
    <n v="20.5"/>
    <n v="4790"/>
    <n v="3808"/>
    <x v="1"/>
    <x v="50"/>
    <n v="982"/>
    <n v="0.20501043841336117"/>
    <n v="5"/>
    <n v="25"/>
    <x v="50"/>
    <x v="0"/>
  </r>
  <r>
    <s v="Акт входного контроля 000000229 от 25.05.2024 15:06:22"/>
    <s v="высший"/>
    <n v="152"/>
    <n v="30"/>
    <s v="Грин Рэй Кубань ООО (Овощеводство)"/>
    <s v="Кириченко В.Н."/>
    <s v="А957РР"/>
    <s v="А-17"/>
    <m/>
    <s v="Преладо"/>
    <s v="Горох овощной свежий 10.01"/>
    <n v="33000"/>
    <n v="23060"/>
    <n v="24.5"/>
    <n v="9940"/>
    <n v="7504.7"/>
    <x v="1"/>
    <x v="50"/>
    <n v="2435.3000000000002"/>
    <n v="0.24500000000000002"/>
    <n v="5"/>
    <n v="25"/>
    <x v="50"/>
    <x v="0"/>
  </r>
  <r>
    <s v="Акт входного контроля 000000230 от 25.05.2024 15:15:41"/>
    <s v="высший"/>
    <n v="153"/>
    <n v="30"/>
    <s v="Грин Рэй Кубань ООО (Овощеводство)"/>
    <s v="Кириченко В.Н."/>
    <s v="А957РР"/>
    <s v="А-20"/>
    <m/>
    <s v="Преладо"/>
    <s v="Горох овощной свежий 10.01"/>
    <n v="23060"/>
    <n v="17420"/>
    <n v="21.5"/>
    <n v="5640"/>
    <n v="4427.3999999999996"/>
    <x v="1"/>
    <x v="50"/>
    <n v="1212.6000000000004"/>
    <n v="0.21500000000000005"/>
    <n v="5"/>
    <n v="25"/>
    <x v="50"/>
    <x v="0"/>
  </r>
  <r>
    <s v="Акт входного контроля 000000231 от 25.05.2024 17:24:37"/>
    <s v="высший"/>
    <n v="154"/>
    <n v="31"/>
    <s v="Грин Рэй Кубань ООО (Овощеводство)"/>
    <s v="Жданов А И"/>
    <s v="С707ОУ"/>
    <s v="А-17"/>
    <m/>
    <s v="Преладо"/>
    <s v="Горох овощной свежий 10.01"/>
    <n v="28860"/>
    <n v="14470"/>
    <n v="34.5"/>
    <n v="14390"/>
    <n v="9425.4"/>
    <x v="1"/>
    <x v="50"/>
    <n v="4964.6000000000004"/>
    <n v="0.34500347463516334"/>
    <n v="5"/>
    <n v="25"/>
    <x v="50"/>
    <x v="0"/>
  </r>
  <r>
    <s v="Акт входного контроля 000000232 от 25.05.2024 18:16:36"/>
    <s v="высший"/>
    <n v="155"/>
    <n v="32"/>
    <s v="Грин Рэй Кубань ООО (Овощеводство)"/>
    <s v="Бербеницкий Сергей Николаевич"/>
    <s v="С400РР"/>
    <s v="А-17"/>
    <m/>
    <s v="Преладо"/>
    <s v="Горох овощной свежий 10.01"/>
    <n v="29410"/>
    <n v="14970"/>
    <n v="26.5"/>
    <n v="14440"/>
    <n v="10613.4"/>
    <x v="1"/>
    <x v="50"/>
    <n v="3826.6000000000004"/>
    <n v="0.26500000000000001"/>
    <n v="5"/>
    <n v="25"/>
    <x v="50"/>
    <x v="0"/>
  </r>
  <r>
    <s v="Акт входного контроля 000000233 от 25.05.2024 19:38:39"/>
    <s v="высший"/>
    <n v="156"/>
    <n v="33"/>
    <s v="Грин Рэй Кубань ООО (Овощеводство)"/>
    <s v="Чигрин Н.А."/>
    <s v="К819ЕВ"/>
    <s v="А-17"/>
    <m/>
    <s v="Преладо"/>
    <s v="Горох овощной свежий 10.01"/>
    <n v="28210"/>
    <n v="14200"/>
    <n v="34.5"/>
    <n v="14010"/>
    <n v="9176.5"/>
    <x v="1"/>
    <x v="50"/>
    <n v="4833.5"/>
    <n v="0.34500356887937189"/>
    <n v="5"/>
    <n v="25"/>
    <x v="50"/>
    <x v="0"/>
  </r>
  <r>
    <s v="Акт входного контроля 000000234 от 25.05.2024 22:23:03"/>
    <s v="высший"/>
    <n v="157"/>
    <n v="34"/>
    <s v="Грин Рэй Кубань ООО (Овощеводство)"/>
    <s v="Кириченко В.Н."/>
    <s v="А957РР"/>
    <s v="А-17"/>
    <m/>
    <s v="Преладо"/>
    <s v="Горох овощной свежий 10.01"/>
    <n v="33620"/>
    <n v="17440"/>
    <n v="32.5"/>
    <n v="16180"/>
    <n v="10921.5"/>
    <x v="1"/>
    <x v="50"/>
    <n v="5258.5"/>
    <n v="0.32500000000000001"/>
    <n v="5"/>
    <n v="25"/>
    <x v="50"/>
    <x v="0"/>
  </r>
  <r>
    <s v="Акт входного контроля 000000235 от 25.05.2024 20:09:07"/>
    <s v="высший"/>
    <n v="158"/>
    <n v="35"/>
    <s v="Грин Рэй Кубань ООО (Овощеводство)"/>
    <s v="Жданов А И"/>
    <s v="С707ОУ"/>
    <s v="А-17"/>
    <m/>
    <s v="Преладо"/>
    <s v="Горох овощной свежий 10.01"/>
    <n v="29060"/>
    <n v="14470"/>
    <n v="22.5"/>
    <n v="14590"/>
    <n v="11307.2"/>
    <x v="1"/>
    <x v="50"/>
    <n v="3282.7999999999993"/>
    <n v="0.22500342700479775"/>
    <n v="5"/>
    <n v="25"/>
    <x v="50"/>
    <x v="0"/>
  </r>
  <r>
    <s v="Акт входного контроля 000000236 от 25.05.2024 21:27:51"/>
    <s v="высший"/>
    <n v="159"/>
    <n v="36"/>
    <s v="Грин Рэй Кубань ООО (Овощеводство)"/>
    <s v="Бербеницкий Сергей Николаевич"/>
    <s v="С400РР"/>
    <s v="А-17"/>
    <m/>
    <s v="Преладо"/>
    <s v="Горох овощной свежий 10.01"/>
    <n v="29290"/>
    <n v="14970"/>
    <n v="33"/>
    <n v="14320"/>
    <n v="9594.4"/>
    <x v="1"/>
    <x v="50"/>
    <n v="4725.6000000000004"/>
    <n v="0.33"/>
    <n v="5"/>
    <n v="25"/>
    <x v="50"/>
    <x v="0"/>
  </r>
  <r>
    <s v="Акт входного контроля 000000237 от 25.05.2024 23:47:02"/>
    <s v="высший"/>
    <n v="160"/>
    <n v="37"/>
    <s v="Грин Рэй Кубань ООО (Овощеводство)"/>
    <s v="Кириченко В.Н."/>
    <s v="А957РР"/>
    <s v="А-17"/>
    <m/>
    <s v="Преладо"/>
    <s v="Горох овощной свежий 10.01"/>
    <n v="35230"/>
    <n v="17410"/>
    <n v="35"/>
    <n v="17820"/>
    <n v="11583"/>
    <x v="1"/>
    <x v="50"/>
    <n v="6237"/>
    <n v="0.35"/>
    <n v="5"/>
    <n v="25"/>
    <x v="50"/>
    <x v="0"/>
  </r>
  <r>
    <s v="Акт входного контроля 000000239 от 28.05.2024 20:51:17"/>
    <s v="высший"/>
    <n v="161"/>
    <n v="38"/>
    <s v="Грин Рэй Кубань ООО (Овощеводство)"/>
    <s v="Богучарский А. И."/>
    <s v="Е404УС"/>
    <s v="А-20"/>
    <m/>
    <s v="Увертюра"/>
    <s v="Горох овощной свежий 10.01"/>
    <n v="27670"/>
    <n v="13900"/>
    <n v="24.5"/>
    <n v="13770"/>
    <n v="10396.299999999999"/>
    <x v="1"/>
    <x v="51"/>
    <n v="3373.7000000000007"/>
    <n v="0.2450036310820625"/>
    <n v="5"/>
    <n v="28"/>
    <x v="51"/>
    <x v="0"/>
  </r>
  <r>
    <s v="Акт входного контроля 000000240 от 28.05.2024 20:55:41"/>
    <s v="высший"/>
    <n v="163"/>
    <n v="39"/>
    <s v="Грин Рэй Кубань ООО (Овощеводство)"/>
    <s v="Кулик О В"/>
    <s v="К403ЕМ"/>
    <s v="А-20"/>
    <m/>
    <s v="Увертюра"/>
    <s v="Горох овощной свежий 10.01"/>
    <n v="32980"/>
    <n v="17350"/>
    <n v="27"/>
    <n v="15630"/>
    <n v="11409.9"/>
    <x v="1"/>
    <x v="51"/>
    <n v="4220.1000000000004"/>
    <n v="0.27"/>
    <n v="5"/>
    <n v="28"/>
    <x v="51"/>
    <x v="0"/>
  </r>
  <r>
    <s v="Акт входного контроля 000000241 от 28.05.2024 22:23:23"/>
    <s v="высший"/>
    <n v="164"/>
    <n v="40"/>
    <s v="Грин Рэй Кубань ООО (Овощеводство)"/>
    <s v="Мосенцев Алексей Егорович"/>
    <s v="Т680ОУ"/>
    <s v="А-20"/>
    <m/>
    <s v="Увертюра"/>
    <s v="Горох овощной свежий 10.01"/>
    <n v="28180"/>
    <n v="14380"/>
    <n v="27"/>
    <n v="13800"/>
    <n v="10074"/>
    <x v="1"/>
    <x v="51"/>
    <n v="3726"/>
    <n v="0.27"/>
    <n v="5"/>
    <n v="28"/>
    <x v="51"/>
    <x v="0"/>
  </r>
  <r>
    <s v="Акт входного контроля 000000242 от 29.05.2024 0:02:42"/>
    <s v="высший"/>
    <n v="165"/>
    <n v="41"/>
    <s v="Грин Рэй Кубань ООО (Овощеводство)"/>
    <s v="Богучарский А. И."/>
    <s v="Е404УС"/>
    <s v="А-20"/>
    <m/>
    <s v="Увертюра"/>
    <s v="Горох овощной свежий 10.01"/>
    <n v="30100"/>
    <n v="14040"/>
    <n v="26"/>
    <n v="16060"/>
    <n v="11884.4"/>
    <x v="1"/>
    <x v="52"/>
    <n v="4175.6000000000004"/>
    <n v="0.26"/>
    <n v="5"/>
    <n v="29"/>
    <x v="1"/>
    <x v="0"/>
  </r>
  <r>
    <s v="Акт входного контроля 000000243 от 29.05.2024 7:56:21"/>
    <s v="высший"/>
    <n v="166"/>
    <n v="42"/>
    <s v="Грин Рэй Кубань ООО (Овощеводство)"/>
    <s v="Кулик О В"/>
    <s v="К403ЕМ"/>
    <s v="А-20"/>
    <m/>
    <s v="Увертюра"/>
    <s v="Горох овощной свежий 10.01"/>
    <n v="33900"/>
    <n v="17360"/>
    <n v="29"/>
    <n v="16540"/>
    <n v="11743.4"/>
    <x v="1"/>
    <x v="52"/>
    <n v="4796.6000000000004"/>
    <n v="0.29000000000000004"/>
    <n v="5"/>
    <n v="29"/>
    <x v="1"/>
    <x v="0"/>
  </r>
  <r>
    <s v="Акт входного контроля 000000244 от 29.05.2024 9:04:52"/>
    <s v="высший"/>
    <n v="167"/>
    <n v="43"/>
    <s v="Грин Рэй Кубань ООО (Овощеводство)"/>
    <s v="Мосенцев Алексей Егорович"/>
    <s v="Т680ОУ"/>
    <s v="А-20"/>
    <m/>
    <s v="Увертюра"/>
    <s v="Горох овощной свежий 10.01"/>
    <n v="32900"/>
    <n v="14370"/>
    <n v="25"/>
    <n v="18530"/>
    <n v="13897.5"/>
    <x v="1"/>
    <x v="52"/>
    <n v="4632.5"/>
    <n v="0.25"/>
    <n v="5"/>
    <n v="29"/>
    <x v="1"/>
    <x v="0"/>
  </r>
  <r>
    <s v="Акт входного контроля 000000245 от 29.05.2024 11:06:56"/>
    <s v="высший"/>
    <n v="168"/>
    <n v="44"/>
    <s v="Грин Рэй Кубань ООО (Овощеводство)"/>
    <s v="Богучарский А. И."/>
    <s v="Е404УС"/>
    <s v="А-20"/>
    <m/>
    <s v="Увертюра"/>
    <s v="Горох овощной свежий 10.01"/>
    <n v="28120"/>
    <n v="14010"/>
    <n v="26.5"/>
    <n v="14110"/>
    <n v="10370.799999999999"/>
    <x v="1"/>
    <x v="52"/>
    <n v="3739.2000000000007"/>
    <n v="0.26500354358610917"/>
    <n v="5"/>
    <n v="29"/>
    <x v="1"/>
    <x v="0"/>
  </r>
  <r>
    <s v="Акт входного контроля 000000246 от 29.05.2024 15:01:33"/>
    <s v="высший"/>
    <n v="169"/>
    <n v="45"/>
    <s v="Грин Рэй Кубань ООО (Овощеводство)"/>
    <s v="Черевко Александр Владимирович"/>
    <s v="А114МК"/>
    <s v="А-20"/>
    <m/>
    <s v="Увертюра"/>
    <s v="Горох овощной свежий 10.01"/>
    <n v="28390"/>
    <n v="14520"/>
    <n v="23.5"/>
    <n v="13870"/>
    <n v="10610.5"/>
    <x v="1"/>
    <x v="52"/>
    <n v="3259.5"/>
    <n v="0.23500360490266764"/>
    <n v="5"/>
    <n v="29"/>
    <x v="1"/>
    <x v="0"/>
  </r>
  <r>
    <s v="Акт входного контроля 000000247 от 29.05.2024 17:07:38"/>
    <s v="высший"/>
    <n v="170"/>
    <n v="46"/>
    <s v="Грин Рэй Кубань ООО (Овощеводство)"/>
    <s v="Чигрин Н.А."/>
    <s v="А819ЕВ"/>
    <s v="А-20"/>
    <m/>
    <s v="Увертюра"/>
    <s v="Горох овощной свежий 10.01"/>
    <n v="27920"/>
    <n v="14210"/>
    <n v="22.5"/>
    <n v="13710"/>
    <n v="10625.2"/>
    <x v="1"/>
    <x v="52"/>
    <n v="3084.7999999999993"/>
    <n v="0.22500364697301234"/>
    <n v="5"/>
    <n v="29"/>
    <x v="1"/>
    <x v="0"/>
  </r>
  <r>
    <s v="Акт входного контроля 000000248 от 29.05.2024 20:33:23"/>
    <s v="высший"/>
    <n v="171"/>
    <n v="47"/>
    <s v="Грин Рэй Кубань ООО (Овощеводство)"/>
    <s v="Бербеницкий Сергей Николаевич"/>
    <s v="С400РР"/>
    <s v="А-20"/>
    <m/>
    <s v="Увертюра"/>
    <s v="Горох овощной свежий 10.01"/>
    <n v="28580"/>
    <n v="14930"/>
    <n v="23.5"/>
    <n v="13650"/>
    <n v="10442.200000000001"/>
    <x v="1"/>
    <x v="52"/>
    <n v="3207.7999999999993"/>
    <n v="0.23500366300366296"/>
    <n v="5"/>
    <n v="29"/>
    <x v="1"/>
    <x v="0"/>
  </r>
  <r>
    <s v="Акт входного контроля 000000249 от 29.05.2024 21:42:37"/>
    <s v="высший"/>
    <n v="173"/>
    <n v="48"/>
    <s v="Грин Рэй Кубань ООО (Овощеводство)"/>
    <s v="Черевко Александр Владимирович"/>
    <s v="А114МК"/>
    <s v="А-20"/>
    <m/>
    <s v="Увертюра"/>
    <s v="Горох овощной свежий 10.01"/>
    <n v="27840"/>
    <n v="14500"/>
    <n v="22.5"/>
    <n v="13340"/>
    <n v="10338.5"/>
    <x v="1"/>
    <x v="52"/>
    <n v="3001.5"/>
    <n v="0.22500000000000001"/>
    <n v="5"/>
    <n v="29"/>
    <x v="1"/>
    <x v="0"/>
  </r>
  <r>
    <s v="Акт входного контроля 000000250 от 29.05.2024 23:32:39"/>
    <s v="высший"/>
    <n v="174"/>
    <n v="49"/>
    <s v="Грин Рэй Кубань ООО (Овощеводство)"/>
    <s v="Чигрин Н.А."/>
    <s v="А819ЕВ"/>
    <s v="А-20"/>
    <m/>
    <s v="Увертюра"/>
    <s v="Горох овощной свежий 10.01"/>
    <n v="27640"/>
    <n v="14200"/>
    <n v="26.5"/>
    <n v="13440"/>
    <n v="9878.4"/>
    <x v="1"/>
    <x v="52"/>
    <n v="3561.6000000000004"/>
    <n v="0.26500000000000001"/>
    <n v="5"/>
    <n v="29"/>
    <x v="1"/>
    <x v="0"/>
  </r>
  <r>
    <s v="Акт входного контроля 000000251 от 29.05.2024 21:43:53"/>
    <s v="высший"/>
    <n v="175"/>
    <n v="50"/>
    <s v="Грин Рэй Кубань ООО (Овощеводство)"/>
    <s v="Бербеницкий Сергей Николаевич"/>
    <s v="С400РР"/>
    <s v="А-20"/>
    <m/>
    <s v="Увертюра"/>
    <s v="Горох овощной свежий 10.01"/>
    <n v="28070"/>
    <n v="14930"/>
    <n v="24.5"/>
    <n v="13140"/>
    <n v="9920.7000000000007"/>
    <x v="1"/>
    <x v="52"/>
    <n v="3219.2999999999993"/>
    <n v="0.24499999999999994"/>
    <n v="5"/>
    <n v="29"/>
    <x v="1"/>
    <x v="0"/>
  </r>
  <r>
    <s v="Акт входного контроля 000000252 от 30.05.2024 4:51:33"/>
    <s v="высший"/>
    <n v="176"/>
    <n v="51"/>
    <s v="Грин Рэй Кубань ООО (Овощеводство)"/>
    <s v="Черевко Александр Владимирович"/>
    <s v="А114МК"/>
    <s v="А-20"/>
    <m/>
    <s v="Увертюра"/>
    <s v="Горох овощной свежий 10.01"/>
    <n v="28410"/>
    <n v="14620"/>
    <n v="24.5"/>
    <n v="13790"/>
    <n v="10411.4"/>
    <x v="1"/>
    <x v="53"/>
    <n v="3378.6000000000004"/>
    <n v="0.24500362581580859"/>
    <n v="5"/>
    <n v="30"/>
    <x v="2"/>
    <x v="0"/>
  </r>
  <r>
    <s v="Акт входного контроля 000000253 от 30.05.2024 5:45:11"/>
    <s v="высший"/>
    <n v="177"/>
    <n v="52"/>
    <s v="Грин Рэй Кубань ООО (Овощеводство)"/>
    <s v="Чигрин Н.А."/>
    <s v="А819ЕВ"/>
    <s v="А-17"/>
    <m/>
    <s v="Увертюра"/>
    <s v="Горох овощной свежий 10.01"/>
    <n v="19500"/>
    <n v="14180"/>
    <n v="29.5"/>
    <n v="5320"/>
    <n v="3750.6"/>
    <x v="1"/>
    <x v="53"/>
    <n v="1569.4"/>
    <n v="0.29500000000000004"/>
    <n v="5"/>
    <n v="30"/>
    <x v="2"/>
    <x v="0"/>
  </r>
  <r>
    <s v="Акт входного контроля 000000254 от 03.06.2024 11:19:13"/>
    <s v="высший"/>
    <n v="182"/>
    <n v="53"/>
    <s v="Грин Рэй Кубань ООО (Овощеводство)"/>
    <s v="Сероштан Станислав Викторович"/>
    <s v="Е758РЕ"/>
    <s v="А-28"/>
    <m/>
    <s v="Беркут"/>
    <s v="Горох овощной свежий 10.01"/>
    <n v="30280"/>
    <n v="21250"/>
    <n v="9.5"/>
    <n v="9030"/>
    <n v="8172.1"/>
    <x v="1"/>
    <x v="54"/>
    <n v="857.89999999999964"/>
    <n v="9.5005537098560314E-2"/>
    <n v="6"/>
    <n v="3"/>
    <x v="6"/>
    <x v="0"/>
  </r>
  <r>
    <s v="Акт входного контроля 000000255 от 03.06.2024 11:25:07"/>
    <s v="высший"/>
    <n v="183"/>
    <n v="53"/>
    <s v="Грин Рэй Кубань ООО (Овощеводство)"/>
    <s v="Сероштан Станислав Викторович"/>
    <s v="Е758РЕ"/>
    <s v="А-28"/>
    <m/>
    <s v="Увертюра"/>
    <s v="Горох овощной свежий 10.01"/>
    <n v="21250"/>
    <n v="14640"/>
    <n v="12.5"/>
    <n v="6610"/>
    <n v="5783.7"/>
    <x v="1"/>
    <x v="54"/>
    <n v="826.30000000000018"/>
    <n v="0.12500756429652046"/>
    <n v="6"/>
    <n v="3"/>
    <x v="6"/>
    <x v="0"/>
  </r>
  <r>
    <s v="Акт входного контроля 000000256 от 03.06.2024 13:01:35"/>
    <s v="высший"/>
    <n v="184"/>
    <n v="54"/>
    <s v="Грин Рэй Кубань ООО (Овощеводство)"/>
    <s v="Птащенко Дмитрий Анатольевич"/>
    <s v="Е606ЕК"/>
    <s v="А-28"/>
    <m/>
    <s v="Увертюра"/>
    <s v="Горох овощной свежий 10.01"/>
    <n v="28580"/>
    <n v="14680"/>
    <n v="12.5"/>
    <n v="13900"/>
    <n v="12162.5"/>
    <x v="1"/>
    <x v="54"/>
    <n v="1737.5"/>
    <n v="0.125"/>
    <n v="6"/>
    <n v="3"/>
    <x v="6"/>
    <x v="0"/>
  </r>
  <r>
    <s v="Акт входного контроля 000000257 от 03.06.2024 11:15:23"/>
    <s v="высший"/>
    <n v="185"/>
    <n v="55"/>
    <s v="Грин Рэй Кубань ООО (Овощеводство)"/>
    <s v="Кулик О В"/>
    <s v="К403ЕМ"/>
    <s v="А-28"/>
    <m/>
    <s v="Увертюра"/>
    <s v="Горох овощной свежий 10.01"/>
    <n v="33160"/>
    <n v="17330"/>
    <n v="10.5"/>
    <n v="15830"/>
    <n v="14167.8"/>
    <x v="1"/>
    <x v="54"/>
    <n v="1662.2000000000007"/>
    <n v="0.10500315855969683"/>
    <n v="6"/>
    <n v="3"/>
    <x v="6"/>
    <x v="0"/>
  </r>
  <r>
    <s v="Акт входного контроля 000000258 от 03.06.2024 12:28:35"/>
    <s v="высший"/>
    <n v="186"/>
    <n v="56"/>
    <s v="Грин Рэй Кубань ООО (Овощеводство)"/>
    <s v="Чигрин Н.А."/>
    <s v="А819ЕВ"/>
    <s v="А-28"/>
    <m/>
    <s v="Увертюра"/>
    <s v="Горох овощной свежий 10.01"/>
    <n v="27960"/>
    <n v="14160"/>
    <n v="7.5"/>
    <n v="13800"/>
    <n v="12765"/>
    <x v="1"/>
    <x v="54"/>
    <n v="1035"/>
    <n v="7.4999999999999997E-2"/>
    <n v="6"/>
    <n v="3"/>
    <x v="6"/>
    <x v="0"/>
  </r>
  <r>
    <s v="Акт входного контроля 000000259 от 03.06.2024 18:31:25"/>
    <s v="высший"/>
    <n v="187"/>
    <n v="57"/>
    <s v="Грин Рэй Кубань ООО (Овощеводство)"/>
    <s v="Сероштан Станислав Викторович"/>
    <s v="Е758РЕ"/>
    <s v="А-28"/>
    <m/>
    <s v="Увертюра"/>
    <s v="Горох овощной свежий 10.01"/>
    <n v="28700"/>
    <n v="14620"/>
    <n v="13.5"/>
    <n v="14080"/>
    <n v="12179.2"/>
    <x v="1"/>
    <x v="54"/>
    <n v="1900.7999999999993"/>
    <n v="0.13499999999999995"/>
    <n v="6"/>
    <n v="3"/>
    <x v="6"/>
    <x v="0"/>
  </r>
  <r>
    <s v="Акт входного контроля 000000260 от 03.06.2024 20:39:32"/>
    <s v="высший"/>
    <n v="188"/>
    <n v="58"/>
    <s v="Грин Рэй Кубань ООО (Овощеводство)"/>
    <s v="Птащенко Дмитрий Анатольевич"/>
    <s v="Е606ЕК"/>
    <s v="А-28"/>
    <m/>
    <s v="Увертюра"/>
    <s v="Горох овощной свежий 10.01"/>
    <n v="28420"/>
    <n v="14660"/>
    <n v="11.5"/>
    <n v="13760"/>
    <n v="12177.6"/>
    <x v="1"/>
    <x v="54"/>
    <n v="1582.3999999999996"/>
    <n v="0.11499999999999998"/>
    <n v="6"/>
    <n v="3"/>
    <x v="6"/>
    <x v="0"/>
  </r>
  <r>
    <s v="Акт входного контроля 000000261 от 03.06.2024 17:11:10"/>
    <s v="высший"/>
    <n v="189"/>
    <n v="59"/>
    <s v="Грин Рэй Кубань ООО (Овощеводство)"/>
    <s v="Кулик О В"/>
    <s v="К403ЕМ"/>
    <s v="А-28"/>
    <m/>
    <s v="Увертюра"/>
    <s v="Горох овощной свежий 10.01"/>
    <n v="33360"/>
    <n v="17300"/>
    <n v="12.5"/>
    <n v="16060"/>
    <n v="14052.5"/>
    <x v="1"/>
    <x v="54"/>
    <n v="2007.5"/>
    <n v="0.125"/>
    <n v="6"/>
    <n v="3"/>
    <x v="6"/>
    <x v="0"/>
  </r>
  <r>
    <s v="Акт входного контроля 000000262 от 03.06.2024 20:08:23"/>
    <s v="высший"/>
    <n v="190"/>
    <n v="60"/>
    <s v="Грин Рэй Кубань ООО (Овощеводство)"/>
    <s v="Сероштан Станислав Викторович"/>
    <s v="Е758РЕ"/>
    <s v="А-28"/>
    <m/>
    <s v="Увертюра"/>
    <s v="Горох овощной свежий 10.01"/>
    <n v="28240"/>
    <n v="14600"/>
    <n v="8.5"/>
    <n v="13640"/>
    <n v="12480.6"/>
    <x v="1"/>
    <x v="54"/>
    <n v="1159.3999999999996"/>
    <n v="8.4999999999999978E-2"/>
    <n v="6"/>
    <n v="3"/>
    <x v="6"/>
    <x v="0"/>
  </r>
  <r>
    <s v="Акт входного контроля 000000263 от 03.06.2024 22:08:47"/>
    <s v="высший"/>
    <n v="191"/>
    <n v="61"/>
    <s v="Грин Рэй Кубань ООО (Овощеводство)"/>
    <s v="Птащенко Дмитрий Анатольевич"/>
    <s v="Е606ЕК"/>
    <s v="А-28"/>
    <m/>
    <s v="Увертюра"/>
    <s v="Горох овощной свежий 10.01"/>
    <n v="31250"/>
    <n v="14730"/>
    <n v="12.5"/>
    <n v="16520"/>
    <n v="14455"/>
    <x v="1"/>
    <x v="54"/>
    <n v="2065"/>
    <n v="0.125"/>
    <n v="6"/>
    <n v="3"/>
    <x v="6"/>
    <x v="0"/>
  </r>
  <r>
    <s v="Акт входного контроля 000000264 от 03.06.2024 23:21:15"/>
    <s v="высший"/>
    <n v="192"/>
    <n v="62"/>
    <s v="Грин Рэй Кубань ООО (Овощеводство)"/>
    <s v="Кулик О В"/>
    <s v="К403ЕМ"/>
    <s v="А-28"/>
    <m/>
    <s v="Увертюра"/>
    <s v="Горох овощной свежий 10.01"/>
    <n v="32630"/>
    <n v="17290"/>
    <n v="11.5"/>
    <n v="15340"/>
    <n v="13575.9"/>
    <x v="1"/>
    <x v="54"/>
    <n v="1764.1000000000004"/>
    <n v="0.11500000000000002"/>
    <n v="6"/>
    <n v="3"/>
    <x v="6"/>
    <x v="0"/>
  </r>
  <r>
    <s v="Акт входного контроля 000000265 от 04.06.2024 6:21:58"/>
    <s v="высший"/>
    <n v="193"/>
    <n v="63"/>
    <s v="Грин Рэй Кубань ООО (Овощеводство)"/>
    <s v="Сероштан Станислав Викторович"/>
    <s v="Е758РЕ"/>
    <s v="А-28"/>
    <m/>
    <s v="Увертюра"/>
    <s v="Горох овощной свежий 10.01"/>
    <n v="29930"/>
    <n v="14590"/>
    <n v="12.5"/>
    <n v="15340"/>
    <n v="13422.5"/>
    <x v="1"/>
    <x v="55"/>
    <n v="1917.5"/>
    <n v="0.125"/>
    <n v="6"/>
    <n v="4"/>
    <x v="7"/>
    <x v="0"/>
  </r>
  <r>
    <s v="Акт входного контроля 000000266 от 04.06.2024 13:39:54"/>
    <s v="высший"/>
    <n v="194"/>
    <n v="64"/>
    <s v="Грин Рэй Кубань ООО (Овощеводство)"/>
    <s v="Птащенко Дмитрий Анатольевич"/>
    <s v="Е606ЕК"/>
    <s v="А-28"/>
    <m/>
    <s v="Увертюра"/>
    <s v="Горох овощной свежий 10.01"/>
    <n v="30050"/>
    <n v="14730"/>
    <n v="10.5"/>
    <n v="15320"/>
    <n v="13711.4"/>
    <x v="1"/>
    <x v="55"/>
    <n v="1608.6000000000004"/>
    <n v="0.10500000000000002"/>
    <n v="6"/>
    <n v="4"/>
    <x v="7"/>
    <x v="0"/>
  </r>
  <r>
    <s v="Акт входного контроля 000000267 от 04.06.2024 13:51:50"/>
    <s v="высший"/>
    <n v="195"/>
    <n v="65"/>
    <s v="Грин Рэй Кубань ООО (Овощеводство)"/>
    <s v="Кулик О В"/>
    <s v="К403ЕМ"/>
    <s v="А-28"/>
    <m/>
    <s v="Увертюра"/>
    <s v="Горох овощной свежий 10.01"/>
    <n v="33080"/>
    <n v="17270"/>
    <n v="8.5"/>
    <n v="15810"/>
    <n v="14466.1"/>
    <x v="1"/>
    <x v="55"/>
    <n v="1343.8999999999996"/>
    <n v="8.5003162555344694E-2"/>
    <n v="6"/>
    <n v="4"/>
    <x v="7"/>
    <x v="0"/>
  </r>
  <r>
    <s v="Акт входного контроля 000000268 от 04.06.2024 14:34:17"/>
    <s v="высший"/>
    <n v="198"/>
    <n v="66"/>
    <s v="Грин Рэй Кубань ООО (Овощеводство)"/>
    <s v="Богучарский А. И."/>
    <s v="Е404УС"/>
    <s v="А-28"/>
    <m/>
    <s v="Увертюра"/>
    <s v="Горох овощной свежий 10.01"/>
    <n v="27700"/>
    <n v="14060"/>
    <n v="10.5"/>
    <n v="13640"/>
    <n v="12207.8"/>
    <x v="1"/>
    <x v="55"/>
    <n v="1432.2000000000007"/>
    <n v="0.10500000000000005"/>
    <n v="6"/>
    <n v="4"/>
    <x v="7"/>
    <x v="0"/>
  </r>
  <r>
    <s v="Акт входного контроля 000000269 от 04.06.2024 18:09:12"/>
    <s v="высший"/>
    <n v="199"/>
    <n v="67"/>
    <s v="Грин Рэй Кубань ООО (Овощеводство)"/>
    <s v="Кириченко В.Н."/>
    <s v="А957РР"/>
    <s v="А-28"/>
    <m/>
    <s v="Увертюра"/>
    <s v="Горох овощной свежий 10.01"/>
    <n v="33120"/>
    <n v="17370"/>
    <n v="12.5"/>
    <n v="15750"/>
    <n v="13781.2"/>
    <x v="1"/>
    <x v="55"/>
    <n v="1968.7999999999993"/>
    <n v="0.12500317460317456"/>
    <n v="6"/>
    <n v="4"/>
    <x v="7"/>
    <x v="0"/>
  </r>
  <r>
    <s v="Акт входного контроля 000000270 от 04.06.2024 18:20:47"/>
    <s v="высший"/>
    <n v="201"/>
    <n v="68"/>
    <s v="Грин Рэй Кубань ООО (Овощеводство)"/>
    <s v="Жданов А И"/>
    <s v="С707ОУ"/>
    <s v="А-28"/>
    <m/>
    <s v="Увертюра"/>
    <s v="Горох овощной свежий 10.01"/>
    <n v="28050"/>
    <n v="14480"/>
    <n v="11.5"/>
    <n v="13570"/>
    <n v="12009.4"/>
    <x v="1"/>
    <x v="55"/>
    <n v="1560.6000000000004"/>
    <n v="0.1150036845983788"/>
    <n v="6"/>
    <n v="4"/>
    <x v="7"/>
    <x v="0"/>
  </r>
  <r>
    <s v="Акт входного контроля 000000271 от 04.06.2024 18:22:38"/>
    <s v="высший"/>
    <n v="202"/>
    <n v="69"/>
    <s v="Грин Рэй Кубань ООО (Овощеводство)"/>
    <s v="Чигрин Н.А."/>
    <s v="А819ЕВ"/>
    <s v="А-28"/>
    <m/>
    <s v="Увертюра"/>
    <s v="Горох овощной свежий 10.01"/>
    <n v="27630"/>
    <n v="14150"/>
    <n v="11.5"/>
    <n v="13480"/>
    <n v="11929.8"/>
    <x v="1"/>
    <x v="55"/>
    <n v="1550.2000000000007"/>
    <n v="0.11500000000000006"/>
    <n v="6"/>
    <n v="4"/>
    <x v="7"/>
    <x v="0"/>
  </r>
  <r>
    <s v="Акт входного контроля 000000272 от 04.06.2024 19:29:02"/>
    <s v="высший"/>
    <n v="203"/>
    <n v="70"/>
    <s v="Грин Рэй Кубань ООО (Овощеводство)"/>
    <s v="Богучарский А. И."/>
    <s v="Е404УС"/>
    <s v="А-28"/>
    <m/>
    <s v="Увертюра"/>
    <s v="Горох овощной свежий 10.01"/>
    <n v="29560"/>
    <n v="14040"/>
    <n v="12.5"/>
    <n v="15520"/>
    <n v="13580"/>
    <x v="1"/>
    <x v="55"/>
    <n v="1940"/>
    <n v="0.125"/>
    <n v="6"/>
    <n v="4"/>
    <x v="7"/>
    <x v="0"/>
  </r>
  <r>
    <s v="Акт входного контроля 000000273 от 04.06.2024 16:59:34"/>
    <s v="высший"/>
    <n v="204"/>
    <n v="71"/>
    <s v="Грин Рэй Кубань ООО (Овощеводство)"/>
    <s v="Кириченко В.Н."/>
    <s v="А957РР"/>
    <s v="А-28"/>
    <m/>
    <s v="Женева"/>
    <s v="Горох овощной свежий 10.01"/>
    <n v="28080"/>
    <n v="22270"/>
    <n v="12"/>
    <n v="5810"/>
    <n v="5112.8"/>
    <x v="1"/>
    <x v="55"/>
    <n v="697.19999999999982"/>
    <n v="0.11999999999999997"/>
    <n v="6"/>
    <n v="4"/>
    <x v="7"/>
    <x v="0"/>
  </r>
  <r>
    <s v="Акт входного контроля 000000274 от 04.06.2024 18:33:00"/>
    <s v="высший"/>
    <n v="205"/>
    <n v="71"/>
    <s v="Грин Рэй Кубань ООО (Овощеводство)"/>
    <s v="Кириченко В.Н."/>
    <s v="А957РР"/>
    <s v="А-28"/>
    <m/>
    <s v="Женева"/>
    <s v="Горох овощной свежий 10.01"/>
    <n v="22270"/>
    <n v="17340"/>
    <n v="20.5"/>
    <n v="4930"/>
    <n v="3919.3"/>
    <x v="1"/>
    <x v="55"/>
    <n v="1010.6999999999998"/>
    <n v="0.20501014198782957"/>
    <n v="6"/>
    <n v="4"/>
    <x v="7"/>
    <x v="0"/>
  </r>
  <r>
    <s v="Акт входного контроля 000000275 от 04.06.2024 20:31:34"/>
    <s v="высший"/>
    <n v="206"/>
    <n v="72"/>
    <s v="Грин Рэй Кубань ООО (Овощеводство)"/>
    <s v="Жданов А И"/>
    <s v="С707ОУ"/>
    <s v="А-28"/>
    <m/>
    <s v="Женева"/>
    <s v="Горох овощной свежий 10.01"/>
    <n v="24030"/>
    <n v="14460"/>
    <n v="23"/>
    <n v="9570"/>
    <n v="7368.9"/>
    <x v="1"/>
    <x v="55"/>
    <n v="2201.1000000000004"/>
    <n v="0.23000000000000004"/>
    <n v="6"/>
    <n v="4"/>
    <x v="7"/>
    <x v="0"/>
  </r>
  <r>
    <s v="Акт входного контроля 000000276 от 05.06.2024 13:17:27"/>
    <s v="высший"/>
    <n v="208"/>
    <n v="73"/>
    <s v="Грин Рэй Кубань ООО (Овощеводство)"/>
    <s v="Богучарский А. И."/>
    <s v="Е404УС"/>
    <s v="А-28"/>
    <m/>
    <s v="Женева"/>
    <s v="Горох овощной свежий 10.01"/>
    <n v="28600"/>
    <n v="14030"/>
    <n v="21.5"/>
    <n v="14570"/>
    <n v="11437.4"/>
    <x v="1"/>
    <x v="56"/>
    <n v="3132.6000000000004"/>
    <n v="0.21500343170899111"/>
    <n v="6"/>
    <n v="5"/>
    <x v="8"/>
    <x v="0"/>
  </r>
  <r>
    <s v="Акт входного контроля 000000277 от 05.06.2024 15:52:38"/>
    <s v="высший"/>
    <n v="209"/>
    <n v="74"/>
    <s v="Грин Рэй Кубань ООО (Овощеводство)"/>
    <s v="Кириченко В.Н."/>
    <s v="А957РР"/>
    <s v="А-28"/>
    <m/>
    <s v="Женева"/>
    <s v="Горох овощной свежий 10.01"/>
    <n v="33750"/>
    <n v="17330"/>
    <n v="24.5"/>
    <n v="16420"/>
    <n v="12397.1"/>
    <x v="1"/>
    <x v="56"/>
    <n v="4022.8999999999996"/>
    <n v="0.24499999999999997"/>
    <n v="6"/>
    <n v="5"/>
    <x v="8"/>
    <x v="0"/>
  </r>
  <r>
    <s v="Акт входного контроля 000000278 от 05.06.2024 17:56:40"/>
    <s v="высший"/>
    <n v="210"/>
    <n v="75"/>
    <s v="Грин Рэй Кубань ООО (Овощеводство)"/>
    <s v="Жданов А И"/>
    <s v="С707ОУ"/>
    <s v="А-28"/>
    <m/>
    <s v="Женева"/>
    <s v="Горох овощной свежий 10.01"/>
    <n v="28400"/>
    <n v="14460"/>
    <n v="26.5"/>
    <n v="13940"/>
    <n v="10245.9"/>
    <x v="1"/>
    <x v="56"/>
    <n v="3694.1000000000004"/>
    <n v="0.26500000000000001"/>
    <n v="6"/>
    <n v="5"/>
    <x v="8"/>
    <x v="0"/>
  </r>
  <r>
    <s v="Акт входного контроля 000000279 от 05.06.2024 18:40:40"/>
    <s v="высший"/>
    <n v="211"/>
    <n v="76"/>
    <s v="Грин Рэй Кубань ООО (Овощеводство)"/>
    <s v="Богучарский А. И."/>
    <s v="Е404УС"/>
    <s v="А-33"/>
    <m/>
    <s v="Женева"/>
    <s v="Горох овощной свежий 10.01"/>
    <n v="29610"/>
    <n v="22320"/>
    <n v="30.5"/>
    <n v="7290"/>
    <n v="5066.5"/>
    <x v="1"/>
    <x v="56"/>
    <n v="2223.5"/>
    <n v="0.30500685871056243"/>
    <n v="6"/>
    <n v="5"/>
    <x v="8"/>
    <x v="0"/>
  </r>
  <r>
    <s v="Акт входного контроля 000000280 от 05.06.2024 18:47:14"/>
    <s v="высший"/>
    <n v="212"/>
    <n v="76"/>
    <s v="Грин Рэй Кубань ООО (Овощеводство)"/>
    <s v="Богучарский А. И."/>
    <s v="Е404УС"/>
    <s v="А-28"/>
    <m/>
    <s v="Женева"/>
    <s v="Горох овощной свежий 10.01"/>
    <n v="22320"/>
    <n v="14010"/>
    <n v="23.5"/>
    <n v="8310"/>
    <n v="6357.1"/>
    <x v="1"/>
    <x v="56"/>
    <n v="1952.8999999999996"/>
    <n v="0.23500601684717204"/>
    <n v="6"/>
    <n v="5"/>
    <x v="8"/>
    <x v="0"/>
  </r>
  <r>
    <s v="Акт входного контроля 000000281 от 05.06.2024 20:54:00"/>
    <s v="высший"/>
    <n v="213"/>
    <n v="77"/>
    <s v="Грин Рэй Кубань ООО (Овощеводство)"/>
    <s v="Кириченко В.Н."/>
    <s v="А957РР"/>
    <s v="А-33"/>
    <m/>
    <s v="Женева"/>
    <s v="Горох овощной свежий 10.01"/>
    <n v="33620"/>
    <n v="17310"/>
    <n v="27.5"/>
    <n v="16310"/>
    <n v="11824.7"/>
    <x v="1"/>
    <x v="56"/>
    <n v="4485.2999999999993"/>
    <n v="0.2750030656039239"/>
    <n v="6"/>
    <n v="5"/>
    <x v="8"/>
    <x v="0"/>
  </r>
  <r>
    <s v="Акт входного контроля 000000282 от 05.06.2024 22:08:36"/>
    <s v="высший"/>
    <n v="214"/>
    <n v="78"/>
    <s v="Грин Рэй Кубань ООО (Овощеводство)"/>
    <s v="Жданов А И"/>
    <s v="С707ОУ"/>
    <s v="А-33"/>
    <m/>
    <s v="Женева"/>
    <s v="Горох овощной свежий 10.01"/>
    <n v="28230"/>
    <n v="14430"/>
    <n v="24.5"/>
    <n v="13800"/>
    <n v="10419"/>
    <x v="1"/>
    <x v="56"/>
    <n v="3381"/>
    <n v="0.245"/>
    <n v="6"/>
    <n v="5"/>
    <x v="8"/>
    <x v="0"/>
  </r>
  <r>
    <s v="Акт входного контроля 000000283 от 05.06.2024 23:40:53"/>
    <s v="высший"/>
    <n v="215"/>
    <n v="79"/>
    <s v="Грин Рэй Кубань ООО (Овощеводство)"/>
    <s v="Богучарский А. И."/>
    <s v="Е404УС"/>
    <s v="А-33"/>
    <m/>
    <s v="Женева"/>
    <s v="Горох овощной свежий 10.01"/>
    <n v="30060"/>
    <n v="13980"/>
    <n v="23.5"/>
    <n v="16080"/>
    <n v="12301.2"/>
    <x v="1"/>
    <x v="56"/>
    <n v="3778.7999999999993"/>
    <n v="0.23499999999999996"/>
    <n v="6"/>
    <n v="5"/>
    <x v="8"/>
    <x v="0"/>
  </r>
  <r>
    <s v="Акт входного контроля 000000284 от 05.06.2024 23:04:26"/>
    <s v="высший"/>
    <n v="216"/>
    <n v="80"/>
    <s v="Грин Рэй Кубань ООО (Овощеводство)"/>
    <s v="Кириченко В.Н."/>
    <s v="А957РР"/>
    <s v="А-33"/>
    <m/>
    <s v="Женева"/>
    <s v="Горох овощной свежий 10.01"/>
    <n v="33590"/>
    <n v="17290"/>
    <n v="27.5"/>
    <n v="16300"/>
    <n v="11817.5"/>
    <x v="1"/>
    <x v="56"/>
    <n v="4482.5"/>
    <n v="0.27500000000000002"/>
    <n v="6"/>
    <n v="5"/>
    <x v="8"/>
    <x v="0"/>
  </r>
  <r>
    <s v="Акт входного контроля 000000285 от 06.06.2024 1:54:36"/>
    <s v="высший"/>
    <n v="217"/>
    <n v="81"/>
    <s v="Грин Рэй Кубань ООО (Овощеводство)"/>
    <s v="Жданов А И"/>
    <s v="С707ОУ"/>
    <s v="А-33"/>
    <m/>
    <s v="Женева"/>
    <s v="Горох овощной свежий 10.01"/>
    <n v="28510"/>
    <n v="14430"/>
    <n v="20.5"/>
    <n v="14080"/>
    <n v="11193.6"/>
    <x v="1"/>
    <x v="57"/>
    <n v="2886.3999999999996"/>
    <n v="0.20499999999999999"/>
    <n v="6"/>
    <n v="6"/>
    <x v="9"/>
    <x v="0"/>
  </r>
  <r>
    <s v="Акт входного контроля 000000286 от 06.06.2024 3:58:57"/>
    <s v="высший"/>
    <n v="218"/>
    <n v="82"/>
    <s v="Грин Рэй Кубань ООО (Овощеводство)"/>
    <s v="Богучарский А. И."/>
    <s v="Е404УС"/>
    <s v="А-33"/>
    <m/>
    <s v="Женева"/>
    <s v="Горох овощной свежий 10.01"/>
    <n v="28170"/>
    <n v="14070"/>
    <n v="19.5"/>
    <n v="14100"/>
    <n v="11350.5"/>
    <x v="1"/>
    <x v="57"/>
    <n v="2749.5"/>
    <n v="0.19500000000000001"/>
    <n v="6"/>
    <n v="6"/>
    <x v="9"/>
    <x v="0"/>
  </r>
  <r>
    <s v="Акт входного контроля 000000287 от 06.06.2024 6:50:07"/>
    <s v="высший"/>
    <n v="219"/>
    <n v="83"/>
    <s v="Грин Рэй Кубань ООО (Овощеводство)"/>
    <s v="Кириченко В.Н."/>
    <s v="А957РР"/>
    <s v="А-33"/>
    <m/>
    <s v="Женева"/>
    <s v="Горох овощной свежий 10.01"/>
    <n v="33770"/>
    <n v="17280"/>
    <n v="20.5"/>
    <n v="16490"/>
    <n v="13109.5"/>
    <x v="1"/>
    <x v="57"/>
    <n v="3380.5"/>
    <n v="0.20500303214069132"/>
    <n v="6"/>
    <n v="6"/>
    <x v="9"/>
    <x v="0"/>
  </r>
  <r>
    <s v="Акт входного контроля 000000288 от 06.06.2024 6:51:30"/>
    <s v="высший"/>
    <n v="220"/>
    <n v="84"/>
    <s v="Грин Рэй Кубань ООО (Овощеводство)"/>
    <s v="Жданов А И"/>
    <s v="С707ОУ"/>
    <s v="А-33"/>
    <m/>
    <s v="Женева"/>
    <s v="Горох овощной свежий 10.01"/>
    <n v="28700"/>
    <n v="14430"/>
    <n v="22.5"/>
    <n v="14270"/>
    <n v="11059.2"/>
    <x v="1"/>
    <x v="57"/>
    <n v="3210.7999999999993"/>
    <n v="0.22500350385423962"/>
    <n v="6"/>
    <n v="6"/>
    <x v="9"/>
    <x v="0"/>
  </r>
  <r>
    <s v="Акт входного контроля 000000289 от 06.06.2024 9:19:30"/>
    <s v="высший"/>
    <n v="221"/>
    <n v="85"/>
    <s v="Грин Рэй Кубань ООО (Овощеводство)"/>
    <s v="Богучарский А. И."/>
    <s v="Е404УС"/>
    <s v="А-33"/>
    <m/>
    <s v="Женева"/>
    <s v="Горох овощной свежий 10.01"/>
    <n v="28210"/>
    <n v="14060"/>
    <n v="18.5"/>
    <n v="14150"/>
    <n v="11532.2"/>
    <x v="1"/>
    <x v="57"/>
    <n v="2617.7999999999993"/>
    <n v="0.18500353356890453"/>
    <n v="6"/>
    <n v="6"/>
    <x v="9"/>
    <x v="0"/>
  </r>
  <r>
    <s v="Акт входного контроля 000000290 от 06.06.2024 10:47:46"/>
    <s v="высший"/>
    <n v="223"/>
    <n v="86"/>
    <s v="Грин Рэй Кубань ООО (Овощеводство)"/>
    <s v="Мосенцев Алексей Егорович"/>
    <s v="Т680ОУ"/>
    <s v="А-33"/>
    <m/>
    <s v="Женева"/>
    <s v="Горох овощной свежий 10.01"/>
    <n v="27740"/>
    <n v="14350"/>
    <n v="16.5"/>
    <n v="13390"/>
    <n v="11180.6"/>
    <x v="1"/>
    <x v="57"/>
    <n v="2209.3999999999996"/>
    <n v="0.1650037341299477"/>
    <n v="6"/>
    <n v="6"/>
    <x v="9"/>
    <x v="0"/>
  </r>
  <r>
    <s v="Акт входного контроля 000000291 от 06.06.2024 13:56:38"/>
    <s v="высший"/>
    <n v="225"/>
    <n v="87"/>
    <s v="Грин Рэй Кубань ООО (Овощеводство)"/>
    <s v="Бербеницкий Сергей Николаевич"/>
    <s v="С400РР"/>
    <s v="А-33"/>
    <m/>
    <s v="Женева"/>
    <s v="Горох овощной свежий 10.01"/>
    <n v="29050"/>
    <n v="14960"/>
    <n v="18.5"/>
    <n v="14090"/>
    <n v="11483.3"/>
    <x v="1"/>
    <x v="57"/>
    <n v="2606.7000000000007"/>
    <n v="0.18500354861603979"/>
    <n v="6"/>
    <n v="6"/>
    <x v="9"/>
    <x v="0"/>
  </r>
  <r>
    <s v="Акт входного контроля 000000292 от 06.06.2024 13:58:48"/>
    <s v="высший"/>
    <n v="226"/>
    <n v="88"/>
    <s v="Грин Рэй Кубань ООО (Овощеводство)"/>
    <s v="Кулик О В"/>
    <s v="К403ЕМ"/>
    <s v="А-33"/>
    <m/>
    <s v="Женева"/>
    <s v="Горох овощной свежий 10.01"/>
    <n v="33460"/>
    <n v="17240"/>
    <n v="13.5"/>
    <n v="16220"/>
    <n v="14030.3"/>
    <x v="1"/>
    <x v="57"/>
    <n v="2189.7000000000007"/>
    <n v="0.13500000000000004"/>
    <n v="6"/>
    <n v="6"/>
    <x v="9"/>
    <x v="0"/>
  </r>
  <r>
    <s v="Акт входного контроля 000000293 от 06.06.2024 14:02:28"/>
    <s v="высший"/>
    <n v="228"/>
    <n v="89"/>
    <s v="Грин Рэй Кубань ООО (Овощеводство)"/>
    <s v="Мосенцев Алексей Егорович"/>
    <s v="Т680ОУ"/>
    <s v="А-33"/>
    <m/>
    <s v="Женева"/>
    <s v="Горох овощной свежий 10.01"/>
    <n v="28450"/>
    <n v="14320"/>
    <n v="17.5"/>
    <n v="14130"/>
    <n v="11657.2"/>
    <x v="1"/>
    <x v="57"/>
    <n v="2472.7999999999993"/>
    <n v="0.17500353857041751"/>
    <n v="6"/>
    <n v="6"/>
    <x v="9"/>
    <x v="0"/>
  </r>
  <r>
    <s v="Акт входного контроля 000000294 от 06.06.2024 16:20:29"/>
    <s v="высший"/>
    <n v="229"/>
    <n v="90"/>
    <s v="Грин Рэй Кубань ООО (Овощеводство)"/>
    <s v="Бербеницкий Сергей Николаевич"/>
    <s v="С400РР"/>
    <s v="А-33"/>
    <m/>
    <s v="Женева"/>
    <s v="Горох овощной свежий 10.01"/>
    <n v="28880"/>
    <n v="14940"/>
    <n v="15.5"/>
    <n v="13940"/>
    <n v="11779.3"/>
    <x v="1"/>
    <x v="57"/>
    <n v="2160.7000000000007"/>
    <n v="0.15500000000000005"/>
    <n v="6"/>
    <n v="6"/>
    <x v="9"/>
    <x v="0"/>
  </r>
  <r>
    <s v="Акт входного контроля 000000295 от 06.06.2024 19:35:17"/>
    <s v="высший"/>
    <n v="231"/>
    <n v="91"/>
    <s v="Грин Рэй Кубань ООО (Овощеводство)"/>
    <s v="Кулик О В"/>
    <s v="К403ЕМ"/>
    <s v="А-33"/>
    <m/>
    <s v="Женева"/>
    <s v="Горох овощной свежий 10.01"/>
    <n v="33320"/>
    <n v="17220"/>
    <n v="13.5"/>
    <n v="16100"/>
    <n v="13926.5"/>
    <x v="1"/>
    <x v="57"/>
    <n v="2173.5"/>
    <n v="0.13500000000000001"/>
    <n v="6"/>
    <n v="6"/>
    <x v="9"/>
    <x v="0"/>
  </r>
  <r>
    <s v="Акт входного контроля 000000296 от 06.06.2024 19:37:38"/>
    <s v="высший"/>
    <n v="232"/>
    <n v="92"/>
    <s v="Грин Рэй Кубань ООО (Овощеводство)"/>
    <s v="Черевко Александр Владимирович"/>
    <s v="А114МК"/>
    <s v="А-33"/>
    <m/>
    <s v="Женева"/>
    <s v="Горох овощной свежий 10.01"/>
    <n v="28300"/>
    <n v="14480"/>
    <n v="14.5"/>
    <n v="13820"/>
    <n v="11816.1"/>
    <x v="1"/>
    <x v="57"/>
    <n v="2003.8999999999996"/>
    <n v="0.14499999999999996"/>
    <n v="6"/>
    <n v="6"/>
    <x v="9"/>
    <x v="0"/>
  </r>
  <r>
    <s v="Акт входного контроля 000000297 от 06.06.2024 22:53:06"/>
    <s v="высший"/>
    <n v="233"/>
    <n v="93"/>
    <s v="Грин Рэй Кубань ООО (Овощеводство)"/>
    <s v="Бербеницкий Сергей Николаевич"/>
    <s v="С400РР"/>
    <s v="А-33"/>
    <m/>
    <s v="Женева"/>
    <s v="Горох овощной свежий 10.01"/>
    <n v="28770"/>
    <n v="14930"/>
    <n v="13.5"/>
    <n v="13840"/>
    <n v="11971.6"/>
    <x v="1"/>
    <x v="57"/>
    <n v="1868.3999999999996"/>
    <n v="0.13499999999999998"/>
    <n v="6"/>
    <n v="6"/>
    <x v="9"/>
    <x v="0"/>
  </r>
  <r>
    <s v="Акт входного контроля 000000298 от 06.06.2024 18:47:32"/>
    <s v="высший"/>
    <n v="234"/>
    <n v="94"/>
    <s v="Грин Рэй Кубань ООО (Овощеводство)"/>
    <s v="Мосенцев Алексей Егорович"/>
    <s v="Т680ОУ"/>
    <s v="А-33"/>
    <m/>
    <s v="Женева"/>
    <s v="Горох овощной свежий 10.01"/>
    <n v="28380"/>
    <n v="14340"/>
    <n v="13.5"/>
    <n v="14040"/>
    <n v="12144.6"/>
    <x v="1"/>
    <x v="57"/>
    <n v="1895.3999999999996"/>
    <n v="0.13499999999999998"/>
    <n v="6"/>
    <n v="6"/>
    <x v="9"/>
    <x v="0"/>
  </r>
  <r>
    <s v="Акт входного контроля 000000299 от 06.06.2024 20:37:37"/>
    <s v="высший"/>
    <n v="235"/>
    <n v="95"/>
    <s v="Грин Рэй Кубань ООО (Овощеводство)"/>
    <s v="Кулик О В"/>
    <s v="К403ЕМ"/>
    <s v="А-28"/>
    <m/>
    <s v="Маяк"/>
    <s v="Горох овощной свежий 10.01"/>
    <n v="28920"/>
    <n v="17210"/>
    <n v="14.5"/>
    <n v="11710"/>
    <n v="10012"/>
    <x v="1"/>
    <x v="57"/>
    <n v="1698"/>
    <n v="0.14500426985482492"/>
    <n v="6"/>
    <n v="6"/>
    <x v="9"/>
    <x v="0"/>
  </r>
  <r>
    <s v="Акт входного контроля 000000300 от 06.06.2024 23:17:05"/>
    <s v="высший"/>
    <n v="236"/>
    <n v="96"/>
    <s v="Грин Рэй Кубань ООО (Овощеводство)"/>
    <s v="Бербеницкий Сергей Николаевич"/>
    <s v="С400РР"/>
    <s v="А-33"/>
    <m/>
    <s v="Женева"/>
    <s v="Горох овощной свежий 10.01"/>
    <n v="28580"/>
    <n v="14950"/>
    <n v="15.5"/>
    <n v="13630"/>
    <n v="11517.3"/>
    <x v="1"/>
    <x v="57"/>
    <n v="2112.7000000000007"/>
    <n v="0.15500366837857671"/>
    <n v="6"/>
    <n v="6"/>
    <x v="9"/>
    <x v="0"/>
  </r>
  <r>
    <s v="Акт входного контроля 000000301 от 07.06.2024 4:48:49"/>
    <s v="высший"/>
    <n v="237"/>
    <n v="97"/>
    <s v="Грин Рэй Кубань ООО (Овощеводство)"/>
    <s v="Мосенцев Алексей Егорович"/>
    <s v="Т680ОУ"/>
    <s v="А-33"/>
    <m/>
    <s v="Женева"/>
    <s v="Горох овощной свежий 10.01"/>
    <n v="28240"/>
    <n v="14480"/>
    <n v="12.5"/>
    <n v="13760"/>
    <n v="12040"/>
    <x v="1"/>
    <x v="58"/>
    <n v="1720"/>
    <n v="0.125"/>
    <n v="6"/>
    <n v="7"/>
    <x v="10"/>
    <x v="0"/>
  </r>
  <r>
    <s v="Акт входного контроля 000000302 от 07.06.2024 4:12:12"/>
    <s v="высший"/>
    <n v="238"/>
    <n v="98"/>
    <s v="Грин Рэй Кубань ООО (Овощеводство)"/>
    <s v="Кулик О В"/>
    <s v="К403ЕМ"/>
    <s v="А-33"/>
    <m/>
    <s v="Женева"/>
    <s v="Горох овощной свежий 10.01"/>
    <n v="32880"/>
    <n v="17200"/>
    <n v="16.5"/>
    <n v="15680"/>
    <n v="13092.8"/>
    <x v="1"/>
    <x v="58"/>
    <n v="2587.2000000000007"/>
    <n v="0.16500000000000004"/>
    <n v="6"/>
    <n v="7"/>
    <x v="10"/>
    <x v="0"/>
  </r>
  <r>
    <s v="Акт входного контроля 000000303 от 07.06.2024 6:41:49"/>
    <s v="высший"/>
    <n v="239"/>
    <n v="99"/>
    <s v="Грин Рэй Кубань ООО (Овощеводство)"/>
    <s v="Бербеницкий Сергей Николаевич"/>
    <s v="С400РР"/>
    <s v="А-33"/>
    <m/>
    <s v="Женева"/>
    <s v="Горох овощной свежий 10.01"/>
    <n v="28570"/>
    <n v="14940"/>
    <n v="12.5"/>
    <n v="13630"/>
    <n v="11926.2"/>
    <x v="1"/>
    <x v="58"/>
    <n v="1703.7999999999993"/>
    <n v="0.12500366837857663"/>
    <n v="6"/>
    <n v="7"/>
    <x v="10"/>
    <x v="0"/>
  </r>
  <r>
    <s v="Акт входного контроля 000000304 от 07.06.2024 10:31:16"/>
    <s v="высший"/>
    <n v="240"/>
    <n v="100"/>
    <s v="Грин Рэй Кубань ООО (Овощеводство)"/>
    <s v="Мосенцев Алексей Егорович"/>
    <s v="Т680ОУ"/>
    <s v="А-33"/>
    <m/>
    <s v="Женева"/>
    <s v="Горох овощной свежий 10.01"/>
    <n v="25090"/>
    <n v="14470"/>
    <n v="12.5"/>
    <n v="10620"/>
    <n v="9292.5"/>
    <x v="1"/>
    <x v="58"/>
    <n v="1327.5"/>
    <n v="0.125"/>
    <n v="6"/>
    <n v="7"/>
    <x v="10"/>
    <x v="0"/>
  </r>
  <r>
    <s v="Акт входного контроля 000000305 от 07.06.2024 14:57:54"/>
    <s v="высший"/>
    <n v="241"/>
    <n v="101"/>
    <s v="Грин Рэй Кубань ООО (Овощеводство)"/>
    <s v="Сероштан Станислав Викторович"/>
    <s v="Е758РЕ"/>
    <s v="А-48"/>
    <m/>
    <s v="Амалфи"/>
    <s v="Горох овощной свежий 10.01"/>
    <n v="29160"/>
    <n v="14570"/>
    <n v="18.5"/>
    <n v="14590"/>
    <n v="11890.8"/>
    <x v="1"/>
    <x v="58"/>
    <n v="2699.2000000000007"/>
    <n v="0.18500342700479785"/>
    <n v="6"/>
    <n v="7"/>
    <x v="10"/>
    <x v="0"/>
  </r>
  <r>
    <s v="Акт входного контроля 000000306 от 07.06.2024 15:00:22"/>
    <s v="высший"/>
    <n v="242"/>
    <n v="102"/>
    <s v="Грин Рэй Кубань ООО (Овощеводство)"/>
    <s v="Птащенко Дмитрий Анатольевич"/>
    <s v="Е606ЕК"/>
    <s v="А-48"/>
    <m/>
    <s v="Амалфи"/>
    <s v="Горох овощной свежий 10.01"/>
    <n v="28750"/>
    <n v="14690"/>
    <n v="20.5"/>
    <n v="14060"/>
    <n v="11177.7"/>
    <x v="1"/>
    <x v="58"/>
    <n v="2882.2999999999993"/>
    <n v="0.20499999999999996"/>
    <n v="6"/>
    <n v="7"/>
    <x v="10"/>
    <x v="0"/>
  </r>
  <r>
    <s v="Акт входного контроля 000000307 от 07.06.2024 15:02:43"/>
    <s v="высший"/>
    <n v="243"/>
    <n v="103"/>
    <s v="Грин Рэй Кубань ООО (Овощеводство)"/>
    <s v="Черевко Александр Владимирович"/>
    <s v="А114МК"/>
    <s v="А-48"/>
    <m/>
    <s v="Амалфи"/>
    <s v="Горох овощной свежий 10.01"/>
    <n v="28280"/>
    <n v="14460"/>
    <n v="20.5"/>
    <n v="13820"/>
    <n v="10986.9"/>
    <x v="1"/>
    <x v="58"/>
    <n v="2833.1000000000004"/>
    <n v="0.20500000000000002"/>
    <n v="6"/>
    <n v="7"/>
    <x v="10"/>
    <x v="0"/>
  </r>
  <r>
    <s v="Акт входного контроля 000000308 от 07.06.2024 16:39:29"/>
    <s v="высший"/>
    <n v="244"/>
    <n v="104"/>
    <s v="Грин Рэй Кубань ООО (Овощеводство)"/>
    <s v="Сероштан Станислав Викторович"/>
    <s v="Е758РЕ"/>
    <s v="А-48"/>
    <m/>
    <s v="Амалфи"/>
    <s v="Горох овощной свежий 10.01"/>
    <n v="28470"/>
    <n v="14540"/>
    <n v="18.5"/>
    <n v="13930"/>
    <n v="11352.9"/>
    <x v="1"/>
    <x v="58"/>
    <n v="2577.1000000000004"/>
    <n v="0.1850035893754487"/>
    <n v="6"/>
    <n v="7"/>
    <x v="10"/>
    <x v="0"/>
  </r>
  <r>
    <s v="Акт входного контроля 000000309 от 07.06.2024 18:16:06"/>
    <s v="высший"/>
    <n v="245"/>
    <n v="105"/>
    <s v="Грин Рэй Кубань ООО (Овощеводство)"/>
    <s v="Птащенко Дмитрий Анатольевич"/>
    <s v="Е606ЕК"/>
    <s v="А-48"/>
    <m/>
    <s v="Амалфи"/>
    <s v="Горох овощной свежий 10.01"/>
    <n v="28800"/>
    <n v="14670"/>
    <n v="19.5"/>
    <n v="14130"/>
    <n v="11374.6"/>
    <x v="1"/>
    <x v="58"/>
    <n v="2755.3999999999996"/>
    <n v="0.19500353857041752"/>
    <n v="6"/>
    <n v="7"/>
    <x v="10"/>
    <x v="0"/>
  </r>
  <r>
    <s v="Акт входного контроля 000000310 от 07.06.2024 19:47:06"/>
    <s v="высший"/>
    <n v="246"/>
    <n v="106"/>
    <s v="Грин Рэй Кубань ООО (Овощеводство)"/>
    <s v="Черевко Александр Владимирович"/>
    <s v="А114МК"/>
    <s v="А-48"/>
    <m/>
    <s v="Амалфи"/>
    <s v="Горох овощной свежий 10.01"/>
    <n v="29100"/>
    <n v="14440"/>
    <n v="18.5"/>
    <n v="14660"/>
    <n v="11947.9"/>
    <x v="1"/>
    <x v="58"/>
    <n v="2712.1000000000004"/>
    <n v="0.18500000000000003"/>
    <n v="6"/>
    <n v="7"/>
    <x v="10"/>
    <x v="0"/>
  </r>
  <r>
    <s v="Акт входного контроля 000000311 от 07.06.2024 19:49:55"/>
    <s v="высший"/>
    <n v="247"/>
    <n v="107"/>
    <s v="Грин Рэй Кубань ООО (Овощеводство)"/>
    <s v="Сероштан Станислав Викторович"/>
    <s v="Е758РЕ"/>
    <s v="А-48"/>
    <m/>
    <s v="Амалфи"/>
    <s v="Горох овощной свежий 10.01"/>
    <n v="29470"/>
    <n v="14530"/>
    <n v="17.5"/>
    <n v="14940"/>
    <n v="12325.5"/>
    <x v="1"/>
    <x v="58"/>
    <n v="2614.5"/>
    <n v="0.17499999999999999"/>
    <n v="6"/>
    <n v="7"/>
    <x v="10"/>
    <x v="0"/>
  </r>
  <r>
    <s v="Акт входного контроля 000000312 от 07.06.2024 22:22:34"/>
    <s v="высший"/>
    <n v="248"/>
    <n v="108"/>
    <s v="Грин Рэй Кубань ООО (Овощеводство)"/>
    <s v="Птащенко Дмитрий Анатольевич"/>
    <s v="Е606ЕК"/>
    <s v="А-48"/>
    <m/>
    <s v="Амалфи"/>
    <s v="Горох овощной свежий 10.01"/>
    <n v="29590"/>
    <n v="14660"/>
    <n v="14.5"/>
    <n v="14930"/>
    <n v="12765.1"/>
    <x v="1"/>
    <x v="58"/>
    <n v="2164.8999999999996"/>
    <n v="0.14500334896182182"/>
    <n v="6"/>
    <n v="7"/>
    <x v="10"/>
    <x v="0"/>
  </r>
  <r>
    <s v="Акт входного контроля 000000313 от 07.06.2024 22:46:09"/>
    <s v="высший"/>
    <n v="249"/>
    <n v="109"/>
    <s v="Грин Рэй Кубань ООО (Овощеводство)"/>
    <s v="Черевко Александр Владимирович"/>
    <s v="А114МК"/>
    <s v="А-48"/>
    <m/>
    <s v="Амалфи"/>
    <s v="Горох овощной свежий 10.01"/>
    <n v="28510"/>
    <n v="14430"/>
    <n v="12.5"/>
    <n v="14080"/>
    <n v="12320"/>
    <x v="1"/>
    <x v="58"/>
    <n v="1760"/>
    <n v="0.125"/>
    <n v="6"/>
    <n v="7"/>
    <x v="10"/>
    <x v="0"/>
  </r>
  <r>
    <s v="Акт входного контроля 000000315 от 08.06.2024 1:51:32"/>
    <s v="высший"/>
    <n v="250"/>
    <n v="110"/>
    <s v="Грин Рэй Кубань ООО (Овощеводство)"/>
    <s v="Сероштан Станислав Викторович"/>
    <s v="Е758РЕ"/>
    <s v="А-48"/>
    <m/>
    <s v="Женева"/>
    <s v="Горох овощной свежий 10.01"/>
    <n v="28670"/>
    <n v="21590"/>
    <n v="15.5"/>
    <n v="7080"/>
    <n v="5982.6"/>
    <x v="1"/>
    <x v="59"/>
    <n v="1097.3999999999996"/>
    <n v="0.15499999999999994"/>
    <n v="6"/>
    <n v="8"/>
    <x v="11"/>
    <x v="0"/>
  </r>
  <r>
    <s v="Акт входного контроля 000000314 от 08.06.2024 1:48:58"/>
    <s v="высший"/>
    <n v="251"/>
    <n v="110"/>
    <s v="Грин Рэй Кубань ООО (Овощеводство)"/>
    <s v="Сероштан Станислав Викторович"/>
    <s v="Е758РЕ"/>
    <s v="А-48"/>
    <m/>
    <s v="Амалфи"/>
    <s v="Горох овощной свежий 10.01"/>
    <n v="21590"/>
    <n v="14530"/>
    <n v="13.5"/>
    <n v="7060"/>
    <n v="6106.9"/>
    <x v="1"/>
    <x v="59"/>
    <n v="953.10000000000036"/>
    <n v="0.13500000000000006"/>
    <n v="6"/>
    <n v="8"/>
    <x v="11"/>
    <x v="0"/>
  </r>
  <r>
    <s v="Акт входного контроля 000000316 от 08.06.2024 4:03:14"/>
    <s v="высший"/>
    <n v="252"/>
    <n v="111"/>
    <s v="Грин Рэй Кубань ООО (Овощеводство)"/>
    <s v="Птащенко Дмитрий Анатольевич"/>
    <s v="Е606ЕК"/>
    <s v="А-48"/>
    <m/>
    <s v="Женева"/>
    <s v="Горох овощной свежий 10.01"/>
    <n v="28680"/>
    <n v="14720"/>
    <n v="30.5"/>
    <n v="13960"/>
    <n v="9702.2000000000007"/>
    <x v="1"/>
    <x v="59"/>
    <n v="4257.7999999999993"/>
    <n v="0.30499999999999994"/>
    <n v="6"/>
    <n v="8"/>
    <x v="11"/>
    <x v="0"/>
  </r>
  <r>
    <s v="Акт входного контроля 000000317 от 08.06.2024 4:44:07"/>
    <s v="высший"/>
    <n v="253"/>
    <n v="112"/>
    <s v="Грин Рэй Кубань ООО (Овощеводство)"/>
    <s v="Черевко Александр Владимирович"/>
    <s v="А114МК"/>
    <s v="А-48"/>
    <m/>
    <s v="Женева"/>
    <s v="Горох овощной свежий 10.01"/>
    <n v="28260"/>
    <n v="14450"/>
    <n v="23.5"/>
    <n v="13810"/>
    <n v="10564.6"/>
    <x v="1"/>
    <x v="59"/>
    <n v="3245.3999999999996"/>
    <n v="0.23500362056480809"/>
    <n v="6"/>
    <n v="8"/>
    <x v="11"/>
    <x v="0"/>
  </r>
  <r>
    <s v="Акт входного контроля 000000318 от 08.06.2024 7:08:30"/>
    <s v="высший"/>
    <n v="254"/>
    <n v="113"/>
    <s v="Грин Рэй Кубань ООО (Овощеводство)"/>
    <s v="Сероштан Станислав Викторович"/>
    <s v="Е758РЕ"/>
    <s v="А-48"/>
    <m/>
    <s v="Женева"/>
    <s v="Горох овощной свежий 10.01"/>
    <n v="28330"/>
    <n v="14540"/>
    <n v="30.5"/>
    <n v="13790"/>
    <n v="9584"/>
    <x v="1"/>
    <x v="59"/>
    <n v="4206"/>
    <n v="0.30500362581580853"/>
    <n v="6"/>
    <n v="8"/>
    <x v="11"/>
    <x v="0"/>
  </r>
  <r>
    <s v="Акт входного контроля 000000319 от 08.06.2024 7:51:20"/>
    <s v="высший"/>
    <n v="255"/>
    <n v="114"/>
    <s v="Грин Рэй Кубань ООО (Овощеводство)"/>
    <s v="Птащенко Дмитрий Анатольевич"/>
    <s v="Е606ЕК"/>
    <s v="А-48"/>
    <m/>
    <s v="Женева"/>
    <s v="Горох овощной свежий 10.01"/>
    <n v="23240"/>
    <n v="14690"/>
    <n v="28.5"/>
    <n v="8550"/>
    <n v="6113.2"/>
    <x v="1"/>
    <x v="59"/>
    <n v="2436.8000000000002"/>
    <n v="0.28500584795321637"/>
    <n v="6"/>
    <n v="8"/>
    <x v="11"/>
    <x v="0"/>
  </r>
  <r>
    <s v="Акт входного контроля 000000320 от 08.06.2024 13:24:22"/>
    <s v="высший"/>
    <n v="256"/>
    <n v="115"/>
    <s v="Грин Рэй Кубань ООО (Овощеводство)"/>
    <s v="Кириченко В.Н."/>
    <s v="А957РР"/>
    <s v="А-48"/>
    <m/>
    <s v="Женева"/>
    <s v="Горох овощной свежий 10.01"/>
    <n v="33120"/>
    <n v="17260"/>
    <n v="19.5"/>
    <n v="15860"/>
    <n v="12767.3"/>
    <x v="1"/>
    <x v="59"/>
    <n v="3092.7000000000007"/>
    <n v="0.19500000000000003"/>
    <n v="6"/>
    <n v="8"/>
    <x v="11"/>
    <x v="0"/>
  </r>
  <r>
    <s v="Акт входного контроля 000000321 от 08.06.2024 13:30:57"/>
    <s v="высший"/>
    <n v="257"/>
    <n v="116"/>
    <s v="Грин Рэй Кубань ООО (Овощеводство)"/>
    <s v="Жданов А И"/>
    <s v="С707ОУ"/>
    <s v="А-48"/>
    <m/>
    <s v="Женева"/>
    <s v="Горох овощной свежий 10.01"/>
    <n v="28190"/>
    <n v="14410"/>
    <n v="25.5"/>
    <n v="13780"/>
    <n v="10266.1"/>
    <x v="1"/>
    <x v="59"/>
    <n v="3513.8999999999996"/>
    <n v="0.25499999999999995"/>
    <n v="6"/>
    <n v="8"/>
    <x v="11"/>
    <x v="0"/>
  </r>
  <r>
    <s v="Акт входного контроля 000000322 от 08.06.2024 19:30:10"/>
    <s v="высший"/>
    <n v="258"/>
    <n v="117"/>
    <s v="Грин Рэй Кубань ООО (Овощеводство)"/>
    <s v="Богучарский А. И."/>
    <s v="Е404УС"/>
    <s v="А-48"/>
    <m/>
    <s v="Женева"/>
    <s v="Горох овощной свежий 10.01"/>
    <n v="27730"/>
    <n v="13940"/>
    <n v="28.5"/>
    <n v="13790"/>
    <n v="9859.7999999999993"/>
    <x v="1"/>
    <x v="59"/>
    <n v="3930.2000000000007"/>
    <n v="0.28500362581580863"/>
    <n v="6"/>
    <n v="8"/>
    <x v="11"/>
    <x v="0"/>
  </r>
  <r>
    <s v="Акт входного контроля 000000323 от 08.06.2024 21:28:13"/>
    <s v="высший"/>
    <n v="259"/>
    <n v="118"/>
    <s v="Грин Рэй Кубань ООО (Овощеводство)"/>
    <s v="Кириченко В.Н."/>
    <s v="А957РР"/>
    <s v="А-48"/>
    <m/>
    <s v="Амалфи"/>
    <s v="Горох овощной свежий 10.01"/>
    <n v="33970"/>
    <n v="24620"/>
    <n v="16.5"/>
    <n v="9350"/>
    <n v="7807.2"/>
    <x v="1"/>
    <x v="59"/>
    <n v="1542.8000000000002"/>
    <n v="0.1650053475935829"/>
    <n v="6"/>
    <n v="8"/>
    <x v="11"/>
    <x v="0"/>
  </r>
  <r>
    <s v="Акт входного контроля 000000324 от 08.06.2024 21:37:37"/>
    <s v="высший"/>
    <n v="260"/>
    <n v="118"/>
    <s v="Грин Рэй Кубань ООО (Овощеводство)"/>
    <s v="Кириченко В.Н."/>
    <s v="А957РР"/>
    <s v="А-48"/>
    <m/>
    <s v="Женева"/>
    <s v="Горох овощной свежий 10.01"/>
    <n v="24620"/>
    <n v="17230"/>
    <n v="23.5"/>
    <n v="7390"/>
    <n v="5653.3"/>
    <x v="1"/>
    <x v="59"/>
    <n v="1736.6999999999998"/>
    <n v="0.23500676589986466"/>
    <n v="6"/>
    <n v="8"/>
    <x v="11"/>
    <x v="0"/>
  </r>
  <r>
    <s v="Акт входного контроля 000000325 от 08.06.2024 22:43:05"/>
    <s v="высший"/>
    <n v="261"/>
    <n v="119"/>
    <s v="Грин Рэй Кубань ООО (Овощеводство)"/>
    <s v="Жданов А И"/>
    <s v="С707ОУ"/>
    <s v="А-48"/>
    <m/>
    <s v="Амалфи"/>
    <s v="Горох овощной свежий 10.01"/>
    <n v="28100"/>
    <n v="14390"/>
    <n v="18.5"/>
    <n v="13710"/>
    <n v="11173.6"/>
    <x v="1"/>
    <x v="59"/>
    <n v="2536.3999999999996"/>
    <n v="0.18500364697301239"/>
    <n v="6"/>
    <n v="8"/>
    <x v="11"/>
    <x v="0"/>
  </r>
  <r>
    <s v="Акт входного контроля 000000326 от 08.06.2024 22:49:21"/>
    <s v="высший"/>
    <n v="262"/>
    <n v="120"/>
    <s v="Грин Рэй Кубань ООО (Овощеводство)"/>
    <s v="Богучарский А. И."/>
    <s v="Е404УС"/>
    <s v="А-48"/>
    <m/>
    <s v="Амалфи"/>
    <s v="Горох овощной свежий 10.01"/>
    <n v="25650"/>
    <n v="13920"/>
    <n v="23"/>
    <n v="11730"/>
    <n v="9032.1"/>
    <x v="1"/>
    <x v="59"/>
    <n v="2697.8999999999996"/>
    <n v="0.22999999999999998"/>
    <n v="6"/>
    <n v="8"/>
    <x v="11"/>
    <x v="0"/>
  </r>
  <r>
    <s v="Акт входного контроля 000000327 от 09.06.2024 8:34:43"/>
    <s v="высший"/>
    <n v="263"/>
    <n v="1"/>
    <s v="Колос г.Гулькевичи ООО"/>
    <s v="Богучарский А. И."/>
    <s v="Е404УС"/>
    <s v="3.4"/>
    <m/>
    <s v="Сомервуд"/>
    <s v="Горох овощной свежий 10.01"/>
    <n v="26980"/>
    <n v="13940"/>
    <n v="30.5"/>
    <n v="13040"/>
    <n v="9062.7999999999993"/>
    <x v="1"/>
    <x v="60"/>
    <n v="3977.2000000000007"/>
    <n v="0.30500000000000005"/>
    <n v="6"/>
    <n v="9"/>
    <x v="12"/>
    <x v="0"/>
  </r>
  <r>
    <s v="Акт входного контроля 000000328 от 09.06.2024 10:52:26"/>
    <s v="высший"/>
    <n v="265"/>
    <n v="2"/>
    <s v="Колос г.Гулькевичи ООО"/>
    <s v="Бербеницкий Сергей Николаевич"/>
    <s v="С400РР"/>
    <s v="3.4"/>
    <m/>
    <s v="Сомервуд"/>
    <s v="Горох овощной свежий 10.01"/>
    <n v="28750"/>
    <n v="15080"/>
    <n v="29.5"/>
    <n v="13670"/>
    <n v="9637.2999999999993"/>
    <x v="1"/>
    <x v="60"/>
    <n v="4032.7000000000007"/>
    <n v="0.295003657644477"/>
    <n v="6"/>
    <n v="9"/>
    <x v="12"/>
    <x v="0"/>
  </r>
  <r>
    <s v="Акт входного контроля 000000329 от 09.06.2024 14:02:38"/>
    <s v="высший"/>
    <n v="267"/>
    <n v="4"/>
    <s v="Колос г.Гулькевичи ООО"/>
    <s v="Чернецов Александр Михайлович"/>
    <s v="Р866РМ"/>
    <s v="3.4"/>
    <m/>
    <s v="Сомервуд"/>
    <s v="Горох овощной свежий 10.01"/>
    <n v="28200"/>
    <n v="15020"/>
    <n v="27.5"/>
    <n v="13180"/>
    <n v="9555.5"/>
    <x v="1"/>
    <x v="60"/>
    <n v="3624.5"/>
    <n v="0.27500000000000002"/>
    <n v="6"/>
    <n v="9"/>
    <x v="12"/>
    <x v="0"/>
  </r>
  <r>
    <s v="Акт входного контроля 000000330 от 09.06.2024 16:32:55"/>
    <s v="высший"/>
    <n v="268"/>
    <n v="5"/>
    <s v="Колос г.Гулькевичи ООО"/>
    <s v="Огнев Максим Викторович"/>
    <s v="Р755НН"/>
    <s v="3.4"/>
    <m/>
    <s v="Сомервуд"/>
    <s v="Горох овощной свежий 10.01"/>
    <n v="28190"/>
    <n v="14590"/>
    <n v="30.5"/>
    <n v="13600"/>
    <n v="9452"/>
    <x v="1"/>
    <x v="60"/>
    <n v="4148"/>
    <n v="0.30499999999999999"/>
    <n v="6"/>
    <n v="9"/>
    <x v="12"/>
    <x v="0"/>
  </r>
  <r>
    <s v="Акт входного контроля 000000331 от 09.06.2024 19:34:16"/>
    <s v="высший"/>
    <n v="269"/>
    <n v="3"/>
    <s v="Колос г.Гулькевичи ООО"/>
    <s v="Кириченко В.Н."/>
    <s v="А957РР"/>
    <s v="3.4"/>
    <m/>
    <s v="Сомервуд"/>
    <s v="Горох овощной свежий 10.01"/>
    <n v="33150"/>
    <n v="17130"/>
    <n v="30.5"/>
    <n v="16020"/>
    <n v="11133.9"/>
    <x v="1"/>
    <x v="60"/>
    <n v="4886.1000000000004"/>
    <n v="0.30500000000000005"/>
    <n v="6"/>
    <n v="9"/>
    <x v="12"/>
    <x v="0"/>
  </r>
  <r>
    <s v="Акт входного контроля 000000332 от 09.06.2024 20:01:36"/>
    <s v="высший"/>
    <n v="270"/>
    <n v="6"/>
    <s v="Колос г.Гулькевичи ООО"/>
    <s v="Аладин Василий Сергеевич"/>
    <s v="Т110ТМ"/>
    <s v="3.5"/>
    <m/>
    <s v="Сомервуд"/>
    <s v="Горох овощной свежий 10.01"/>
    <n v="28890"/>
    <n v="14930"/>
    <n v="24.5"/>
    <n v="13960"/>
    <n v="10539.8"/>
    <x v="1"/>
    <x v="60"/>
    <n v="3420.2000000000007"/>
    <n v="0.24500000000000005"/>
    <n v="6"/>
    <n v="9"/>
    <x v="12"/>
    <x v="0"/>
  </r>
  <r>
    <s v="Акт входного контроля 000000333 от 09.06.2024 22:36:53"/>
    <s v="высший"/>
    <n v="271"/>
    <n v="7"/>
    <s v="Колос г.Гулькевичи ООО"/>
    <s v="Годлевский Олег Владимирович"/>
    <s v="А613МА"/>
    <s v="3.5"/>
    <m/>
    <s v="Сомервуд"/>
    <s v="Горох овощной свежий 10.01"/>
    <n v="32360"/>
    <n v="16610"/>
    <n v="30.5"/>
    <n v="15750"/>
    <n v="10946.2"/>
    <x v="1"/>
    <x v="60"/>
    <n v="4803.7999999999993"/>
    <n v="0.30500317460317455"/>
    <n v="6"/>
    <n v="9"/>
    <x v="12"/>
    <x v="0"/>
  </r>
  <r>
    <s v="Акт входного контроля 000000334 от 10.06.2024 5:50:30"/>
    <s v="высший"/>
    <n v="272"/>
    <n v="8"/>
    <s v="Колос г.Гулькевичи ООО"/>
    <s v="Баталов З.А."/>
    <s v="Т425ТХ"/>
    <s v="3.5"/>
    <m/>
    <s v="Сомервуд"/>
    <s v="Горох овощной свежий 10.01"/>
    <n v="39070"/>
    <n v="21210"/>
    <n v="25.5"/>
    <n v="17860"/>
    <n v="13305.7"/>
    <x v="1"/>
    <x v="61"/>
    <n v="4554.2999999999993"/>
    <n v="0.25499999999999995"/>
    <n v="6"/>
    <n v="10"/>
    <x v="13"/>
    <x v="0"/>
  </r>
  <r>
    <s v="Акт входного контроля 000000335 от 10.06.2024 5:52:35"/>
    <s v="высший"/>
    <n v="273"/>
    <n v="9"/>
    <s v="Колос г.Гулькевичи ООО"/>
    <s v="Лазаренко В.В"/>
    <s v="Т239УС"/>
    <s v="3.5"/>
    <m/>
    <s v="Сомервуд"/>
    <s v="Горох овощной свежий 10.01"/>
    <n v="28390"/>
    <n v="14940"/>
    <n v="27"/>
    <n v="13450"/>
    <n v="9818.5"/>
    <x v="1"/>
    <x v="61"/>
    <n v="3631.5"/>
    <n v="0.27"/>
    <n v="6"/>
    <n v="10"/>
    <x v="13"/>
    <x v="0"/>
  </r>
  <r>
    <s v="Акт входного контроля 000000336 от 10.06.2024 7:51:38"/>
    <s v="высший"/>
    <n v="275"/>
    <n v="10"/>
    <s v="Колос г.Гулькевичи ООО"/>
    <s v="Никитась С.А."/>
    <s v="К570ЕО"/>
    <s v="3.5"/>
    <m/>
    <s v="Сомервуд"/>
    <s v="Горох овощной свежий 10.01"/>
    <n v="28870"/>
    <n v="15090"/>
    <n v="26"/>
    <n v="13780"/>
    <n v="10197.200000000001"/>
    <x v="1"/>
    <x v="61"/>
    <n v="3582.7999999999993"/>
    <n v="0.25999999999999995"/>
    <n v="6"/>
    <n v="10"/>
    <x v="13"/>
    <x v="0"/>
  </r>
  <r>
    <s v="Акт входного контроля 000000337 от 10.06.2024 9:37:07"/>
    <s v="высший"/>
    <n v="276"/>
    <n v="11"/>
    <s v="Колос г.Гулькевичи ООО"/>
    <s v="Пугачев С.В."/>
    <s v="Р258УХ"/>
    <s v="3.5"/>
    <m/>
    <s v="Сомервуд"/>
    <s v="Горох овощной свежий 10.01"/>
    <n v="29350"/>
    <n v="15660"/>
    <n v="28"/>
    <n v="13690"/>
    <n v="9856.7999999999993"/>
    <x v="1"/>
    <x v="61"/>
    <n v="3833.2000000000007"/>
    <n v="0.28000000000000003"/>
    <n v="6"/>
    <n v="10"/>
    <x v="13"/>
    <x v="0"/>
  </r>
  <r>
    <s v="Акт входного контроля 000000338 от 10.06.2024 11:18:11"/>
    <s v="высший"/>
    <n v="277"/>
    <n v="12"/>
    <s v="Колос г.Гулькевичи ООО"/>
    <s v="Птащенко Дмитрий Анатольевич"/>
    <s v="Е606ЕК"/>
    <s v="3.5"/>
    <m/>
    <s v="Сомервуд"/>
    <s v="Горох овощной свежий 10.01"/>
    <n v="28440"/>
    <n v="14690"/>
    <n v="14"/>
    <n v="13750"/>
    <n v="11825"/>
    <x v="1"/>
    <x v="61"/>
    <n v="1925"/>
    <n v="0.14000000000000001"/>
    <n v="6"/>
    <n v="10"/>
    <x v="13"/>
    <x v="0"/>
  </r>
  <r>
    <s v="Акт входного контроля 000000339 от 10.06.2024 12:31:37"/>
    <s v="высший"/>
    <n v="278"/>
    <n v="13"/>
    <s v="Колос г.Гулькевичи ООО"/>
    <s v="Сероштан Станислав Викторович"/>
    <s v="Е758РЕ"/>
    <s v="3.5"/>
    <m/>
    <s v="Сомервуд"/>
    <s v="Горох овощной свежий 10.01"/>
    <n v="27930"/>
    <n v="14490"/>
    <n v="24.5"/>
    <n v="13440"/>
    <n v="10147.200000000001"/>
    <x v="1"/>
    <x v="61"/>
    <n v="3292.7999999999993"/>
    <n v="0.24499999999999994"/>
    <n v="6"/>
    <n v="10"/>
    <x v="13"/>
    <x v="0"/>
  </r>
  <r>
    <s v="Акт входного контроля 000000340 от 10.06.2024 15:13:11"/>
    <s v="высший"/>
    <n v="279"/>
    <n v="14"/>
    <s v="Колос г.Гулькевичи ООО"/>
    <s v="Погуляй А.Б.       "/>
    <s v="О824ТХ"/>
    <s v="3.5"/>
    <m/>
    <s v="Сомервуд"/>
    <s v="Горох овощной свежий 10.01"/>
    <n v="33990"/>
    <n v="18690"/>
    <n v="22.5"/>
    <n v="15300"/>
    <n v="11857.5"/>
    <x v="1"/>
    <x v="61"/>
    <n v="3442.5"/>
    <n v="0.22500000000000001"/>
    <n v="6"/>
    <n v="10"/>
    <x v="13"/>
    <x v="0"/>
  </r>
  <r>
    <s v="Акт входного контроля 000000341 от 10.06.2024 18:15:49"/>
    <s v="высший"/>
    <n v="280"/>
    <n v="15"/>
    <s v="Колос г.Гулькевичи ООО"/>
    <s v="Чернецов Александр Михайлович"/>
    <s v="Р866РМ"/>
    <s v="3.5"/>
    <m/>
    <s v="Сомервуд"/>
    <s v="Горох овощной свежий 10.01"/>
    <n v="28300"/>
    <n v="14880"/>
    <n v="26.5"/>
    <n v="13420"/>
    <n v="9863.7000000000007"/>
    <x v="1"/>
    <x v="61"/>
    <n v="3556.2999999999993"/>
    <n v="0.26499999999999996"/>
    <n v="6"/>
    <n v="10"/>
    <x v="13"/>
    <x v="0"/>
  </r>
  <r>
    <s v="Акт входного контроля 000000342 от 10.06.2024 18:17:37"/>
    <s v="высший"/>
    <n v="281"/>
    <n v="16"/>
    <s v="Колос г.Гулькевичи ООО"/>
    <s v="Кулик О В"/>
    <s v="К403ЕМ"/>
    <s v="3.5"/>
    <m/>
    <s v="Сомервуд"/>
    <s v="Горох овощной свежий 10.01"/>
    <n v="32650"/>
    <n v="17290"/>
    <n v="22.5"/>
    <n v="15360"/>
    <n v="11904"/>
    <x v="1"/>
    <x v="61"/>
    <n v="3456"/>
    <n v="0.22500000000000001"/>
    <n v="6"/>
    <n v="10"/>
    <x v="13"/>
    <x v="0"/>
  </r>
  <r>
    <s v="Акт входного контроля 000000343 от 10.06.2024 19:33:55"/>
    <s v="высший"/>
    <n v="282"/>
    <n v="17"/>
    <s v="Колос г.Гулькевичи ООО"/>
    <s v="Жданов А И"/>
    <s v="С707ОУ"/>
    <s v="3.5"/>
    <m/>
    <s v="Сомервуд"/>
    <s v="Горох овощной свежий 10.01"/>
    <n v="27770"/>
    <n v="14390"/>
    <n v="16.5"/>
    <n v="13380"/>
    <n v="11172.3"/>
    <x v="1"/>
    <x v="61"/>
    <n v="2207.7000000000007"/>
    <n v="0.16500000000000006"/>
    <n v="6"/>
    <n v="10"/>
    <x v="13"/>
    <x v="0"/>
  </r>
  <r>
    <s v="Акт входного контроля 000000344 от 10.06.2024 19:39:50"/>
    <s v="высший"/>
    <n v="283"/>
    <n v="18"/>
    <s v="Колос г.Гулькевичи ООО"/>
    <s v="Огнев Максим Викторович"/>
    <s v="Р755НН"/>
    <s v="3.5"/>
    <m/>
    <s v="Сомервуд"/>
    <s v="Горох овощной свежий 10.01"/>
    <n v="27830"/>
    <n v="14500"/>
    <n v="23.5"/>
    <n v="13330"/>
    <n v="10197.4"/>
    <x v="1"/>
    <x v="61"/>
    <n v="3132.6000000000004"/>
    <n v="0.23500375093773446"/>
    <n v="6"/>
    <n v="10"/>
    <x v="13"/>
    <x v="0"/>
  </r>
  <r>
    <s v="Акт входного контроля 000000345 от 10.06.2024 21:12:38"/>
    <s v="высший"/>
    <n v="284"/>
    <n v="19"/>
    <s v="Колос г.Гулькевичи ООО"/>
    <s v="Аладин Василий Сергеевич"/>
    <s v="Т110ТМ"/>
    <s v="3.5"/>
    <m/>
    <s v="Сомервуд"/>
    <s v="Горох овощной свежий 10.01"/>
    <n v="28350"/>
    <n v="14900"/>
    <n v="25.5"/>
    <n v="13450"/>
    <n v="10020.200000000001"/>
    <x v="1"/>
    <x v="61"/>
    <n v="3429.7999999999993"/>
    <n v="0.25500371747211892"/>
    <n v="6"/>
    <n v="10"/>
    <x v="13"/>
    <x v="0"/>
  </r>
  <r>
    <s v="Акт входного контроля 000000346 от 10.06.2024 23:21:27"/>
    <s v="высший"/>
    <n v="285"/>
    <n v="20"/>
    <s v="Колос г.Гулькевичи ООО"/>
    <s v="Черевко Александр Владимирович"/>
    <s v="А114МК"/>
    <s v="3.4"/>
    <m/>
    <s v="Донана"/>
    <s v="Горох овощной свежий 10.01"/>
    <n v="29360"/>
    <n v="22700"/>
    <n v="31.5"/>
    <n v="6660"/>
    <n v="4562.1000000000004"/>
    <x v="1"/>
    <x v="61"/>
    <n v="2097.8999999999996"/>
    <n v="0.31499999999999995"/>
    <n v="6"/>
    <n v="10"/>
    <x v="13"/>
    <x v="0"/>
  </r>
  <r>
    <s v="Акт входного контроля 000000347 от 10.06.2024 23:27:11"/>
    <s v="высший"/>
    <n v="286"/>
    <n v="20"/>
    <s v="Колос г.Гулькевичи ООО"/>
    <s v="Черевко Александр Владимирович"/>
    <s v="А114МК"/>
    <s v="3.5"/>
    <m/>
    <s v="Сомервуд"/>
    <s v="Горох овощной свежий 10.01"/>
    <n v="22700"/>
    <n v="14520"/>
    <n v="23.5"/>
    <n v="8180"/>
    <n v="6257.7"/>
    <x v="1"/>
    <x v="61"/>
    <n v="1922.3000000000002"/>
    <n v="0.23500000000000001"/>
    <n v="6"/>
    <n v="10"/>
    <x v="13"/>
    <x v="0"/>
  </r>
  <r>
    <s v="Акт входного контроля 000000348 от 10.06.2024 23:46:13"/>
    <s v="высший"/>
    <n v="287"/>
    <n v="21"/>
    <s v="Колос г.Гулькевичи ООО"/>
    <s v="Годлевский Олег Владимирович"/>
    <s v="А613МА"/>
    <s v="3.4"/>
    <m/>
    <s v="Донана"/>
    <s v="Горох овощной свежий 10.01"/>
    <n v="32310"/>
    <n v="16720"/>
    <n v="33.5"/>
    <n v="15590"/>
    <n v="10367.299999999999"/>
    <x v="1"/>
    <x v="61"/>
    <n v="5222.7000000000007"/>
    <n v="0.33500320718409243"/>
    <n v="6"/>
    <n v="10"/>
    <x v="13"/>
    <x v="0"/>
  </r>
  <r>
    <s v="Акт входного контроля 000000349 от 11.06.2024 2:40:18"/>
    <s v="высший"/>
    <n v="288"/>
    <n v="22"/>
    <s v="Колос г.Гулькевичи ООО"/>
    <s v="Лазаренко В.В"/>
    <s v="Т239УС"/>
    <s v="3.4"/>
    <m/>
    <s v="Донана"/>
    <s v="Горох овощной свежий 10.01"/>
    <n v="28270"/>
    <n v="14900"/>
    <n v="32.5"/>
    <n v="13370"/>
    <n v="9024.7000000000007"/>
    <x v="1"/>
    <x v="62"/>
    <n v="4345.2999999999993"/>
    <n v="0.32500373971578156"/>
    <n v="6"/>
    <n v="11"/>
    <x v="14"/>
    <x v="0"/>
  </r>
  <r>
    <s v="Акт входного контроля 000000350 от 11.06.2024 6:50:36"/>
    <s v="высший"/>
    <n v="289"/>
    <n v="23"/>
    <s v="Колос г.Гулькевичи ООО"/>
    <s v="Баталов З.А."/>
    <s v="Т425ТХ"/>
    <s v="3.4"/>
    <m/>
    <s v="Донана"/>
    <s v="Горох овощной свежий 10.01"/>
    <n v="38940"/>
    <n v="21370"/>
    <n v="29.5"/>
    <n v="17570"/>
    <n v="12386.8"/>
    <x v="1"/>
    <x v="62"/>
    <n v="5183.2000000000007"/>
    <n v="0.29500284575981789"/>
    <n v="6"/>
    <n v="11"/>
    <x v="14"/>
    <x v="0"/>
  </r>
  <r>
    <s v="Акт входного контроля 000000351 от 11.06.2024 7:49:25"/>
    <s v="высший"/>
    <n v="290"/>
    <n v="24"/>
    <s v="Колос г.Гулькевичи ООО"/>
    <s v="Никитась С.А."/>
    <s v="К570ЕО"/>
    <s v="3.4"/>
    <m/>
    <s v="Донана"/>
    <s v="Горох овощной свежий 10.01"/>
    <n v="28400"/>
    <n v="15040"/>
    <n v="31.5"/>
    <n v="13360"/>
    <n v="9151.6"/>
    <x v="1"/>
    <x v="62"/>
    <n v="4208.3999999999996"/>
    <n v="0.31499999999999995"/>
    <n v="6"/>
    <n v="11"/>
    <x v="14"/>
    <x v="0"/>
  </r>
  <r>
    <s v="Акт входного контроля 000000352 от 11.06.2024 6:02:51"/>
    <s v="высший"/>
    <n v="291"/>
    <n v="25"/>
    <s v="Колос г.Гулькевичи ООО"/>
    <s v="Звада Евгений Евгеньевич"/>
    <s v="А688АМ"/>
    <s v="3.4"/>
    <m/>
    <s v="Донана"/>
    <s v="Горох овощной свежий 10.01"/>
    <n v="28110"/>
    <n v="14730"/>
    <n v="33.5"/>
    <n v="13380"/>
    <n v="8897.7000000000007"/>
    <x v="1"/>
    <x v="62"/>
    <n v="4482.2999999999993"/>
    <n v="0.33499999999999996"/>
    <n v="6"/>
    <n v="11"/>
    <x v="14"/>
    <x v="0"/>
  </r>
  <r>
    <s v="Акт входного контроля 000000359 от 11.06.2024 7:05:17"/>
    <s v="высший"/>
    <n v="292"/>
    <n v="26"/>
    <s v="Колос г.Гулькевичи ООО"/>
    <s v="Пугачев С.В."/>
    <s v="Р258УХ"/>
    <s v="3.4"/>
    <m/>
    <s v="Донана"/>
    <s v="Горох овощной свежий 10.01"/>
    <n v="29000"/>
    <n v="15590"/>
    <n v="30.5"/>
    <n v="13410"/>
    <n v="9319.9"/>
    <x v="1"/>
    <x v="62"/>
    <n v="4090.1000000000004"/>
    <n v="0.30500372856077557"/>
    <n v="6"/>
    <n v="11"/>
    <x v="14"/>
    <x v="0"/>
  </r>
  <r>
    <s v="Акт входного контроля 000000360 от 11.06.2024 10:06:53"/>
    <s v="высший"/>
    <n v="293"/>
    <n v="28"/>
    <s v="Колос г.Гулькевичи ООО"/>
    <s v="Бербеницкий Сергей Николаевич"/>
    <s v="С400РР"/>
    <s v="3.4"/>
    <m/>
    <s v="Донана"/>
    <s v="Горох овощной свежий 10.01"/>
    <n v="28390"/>
    <n v="15110"/>
    <n v="22.5"/>
    <n v="13280"/>
    <n v="10292"/>
    <x v="1"/>
    <x v="62"/>
    <n v="2988"/>
    <n v="0.22500000000000001"/>
    <n v="6"/>
    <n v="11"/>
    <x v="14"/>
    <x v="0"/>
  </r>
  <r>
    <s v="Акт входного контроля 000000361 от 11.06.2024 10:21:32"/>
    <s v="высший"/>
    <n v="294"/>
    <n v="27"/>
    <s v="Колос г.Гулькевичи ООО"/>
    <s v="Богучарский А. И."/>
    <s v="Е404УС"/>
    <s v="3.4"/>
    <m/>
    <s v="Донана"/>
    <s v="Горох овощной свежий 10.01"/>
    <n v="27250"/>
    <n v="14090"/>
    <n v="18.5"/>
    <n v="13160"/>
    <n v="10725.4"/>
    <x v="1"/>
    <x v="62"/>
    <n v="2434.6000000000004"/>
    <n v="0.18500000000000003"/>
    <n v="6"/>
    <n v="11"/>
    <x v="14"/>
    <x v="0"/>
  </r>
  <r>
    <s v="Акт входного контроля 000000368 от 11.06.2024 22:52:53"/>
    <s v="высший"/>
    <n v="295"/>
    <n v="30"/>
    <s v="Колос г.Гулькевичи ООО"/>
    <s v="Кириченко В.Н."/>
    <s v="А957РР"/>
    <s v="3.5"/>
    <m/>
    <s v="Женева"/>
    <s v="Горох овощной свежий 10.01"/>
    <n v="33520"/>
    <n v="17400"/>
    <n v="18.5"/>
    <n v="16120"/>
    <n v="13137.8"/>
    <x v="1"/>
    <x v="62"/>
    <n v="2982.2000000000007"/>
    <n v="0.18500000000000005"/>
    <n v="6"/>
    <n v="11"/>
    <x v="14"/>
    <x v="0"/>
  </r>
  <r>
    <s v="Акт входного контроля 000000369 от 11.06.2024 23:42:20"/>
    <s v="высший"/>
    <n v="296"/>
    <n v="29"/>
    <s v="Колос г.Гулькевичи ООО"/>
    <s v="Чернецов Александр Михайлович"/>
    <s v="Р866РМ"/>
    <s v="3.5"/>
    <m/>
    <s v="Женева"/>
    <s v="Горох овощной свежий 10.01"/>
    <n v="30300"/>
    <n v="14800"/>
    <n v="15.5"/>
    <n v="15500"/>
    <n v="13097.5"/>
    <x v="1"/>
    <x v="62"/>
    <n v="2402.5"/>
    <n v="0.155"/>
    <n v="6"/>
    <n v="11"/>
    <x v="14"/>
    <x v="0"/>
  </r>
  <r>
    <s v="Акт входного контроля 000000370 от 12.06.2024 3:49:48"/>
    <s v="высший"/>
    <n v="297"/>
    <n v="31"/>
    <s v="Колос г.Гулькевичи ООО"/>
    <s v="Мудрак В В."/>
    <s v="Х514ОК"/>
    <s v="3.5"/>
    <m/>
    <s v="Женева"/>
    <s v="Горох овощной свежий 10.01"/>
    <n v="39020"/>
    <n v="21070"/>
    <n v="22.5"/>
    <n v="17950"/>
    <n v="13911.2"/>
    <x v="1"/>
    <x v="63"/>
    <n v="4038.7999999999993"/>
    <n v="0.2250027855153203"/>
    <n v="6"/>
    <n v="12"/>
    <x v="15"/>
    <x v="0"/>
  </r>
  <r>
    <s v="Акт входного контроля 000000371 от 12.06.2024 4:10:03"/>
    <s v="высший"/>
    <n v="298"/>
    <n v="32"/>
    <s v="Колос г.Гулькевичи ООО"/>
    <s v="Огнев Максим Викторович"/>
    <s v="Р755НН"/>
    <s v="3.5"/>
    <m/>
    <s v="Женева"/>
    <s v="Горох овощной свежий 10.01"/>
    <n v="28070"/>
    <n v="14420"/>
    <n v="23.5"/>
    <n v="13650"/>
    <n v="10442.200000000001"/>
    <x v="1"/>
    <x v="63"/>
    <n v="3207.7999999999993"/>
    <n v="0.23500366300366296"/>
    <n v="6"/>
    <n v="12"/>
    <x v="15"/>
    <x v="0"/>
  </r>
  <r>
    <s v="Акт входного контроля 000000372 от 12.06.2024 5:49:43"/>
    <s v="высший"/>
    <n v="299"/>
    <n v="33"/>
    <s v="Колос г.Гулькевичи ООО"/>
    <s v="Аладин Василий Сергеевич"/>
    <s v="Т110ТМ"/>
    <s v="3.5"/>
    <m/>
    <s v="Женева"/>
    <s v="Горох овощной свежий 10.01"/>
    <n v="28140"/>
    <n v="14780"/>
    <n v="30.5"/>
    <n v="13360"/>
    <n v="9285.2000000000007"/>
    <x v="1"/>
    <x v="63"/>
    <n v="4074.7999999999993"/>
    <n v="0.30499999999999994"/>
    <n v="6"/>
    <n v="12"/>
    <x v="15"/>
    <x v="0"/>
  </r>
  <r>
    <s v="Акт входного контроля 000000373 от 12.06.2024 11:55:32"/>
    <s v="высший"/>
    <n v="300"/>
    <n v="34"/>
    <s v="Колос г.Гулькевичи ООО"/>
    <s v="Годлевский Олег Владимирович"/>
    <s v="А613МА"/>
    <s v="3.5"/>
    <m/>
    <s v="Женева"/>
    <s v="Горох овощной свежий 10.01"/>
    <n v="32590"/>
    <n v="16670"/>
    <n v="26.5"/>
    <n v="15920"/>
    <n v="11701.2"/>
    <x v="1"/>
    <x v="63"/>
    <n v="4218.7999999999993"/>
    <n v="0.26499999999999996"/>
    <n v="6"/>
    <n v="12"/>
    <x v="15"/>
    <x v="0"/>
  </r>
  <r>
    <s v="Акт входного контроля 000000374 от 12.06.2024 12:01:49"/>
    <s v="высший"/>
    <n v="301"/>
    <n v="35"/>
    <s v="Колос г.Гулькевичи ООО"/>
    <s v="Лазаренко В.В"/>
    <s v="Т239УС"/>
    <s v="3.5"/>
    <m/>
    <s v="Женева"/>
    <s v="Горох овощной свежий 10.01"/>
    <n v="31130"/>
    <n v="15010"/>
    <n v="24.5"/>
    <n v="16120"/>
    <n v="12170.6"/>
    <x v="1"/>
    <x v="63"/>
    <n v="3949.3999999999996"/>
    <n v="0.24499999999999997"/>
    <n v="6"/>
    <n v="12"/>
    <x v="15"/>
    <x v="0"/>
  </r>
  <r>
    <s v="Акт входного контроля 000000375 от 12.06.2024 12:07:56"/>
    <s v="высший"/>
    <n v="302"/>
    <n v="36"/>
    <s v="Колос г.Гулькевичи ООО"/>
    <s v="Кулик О В"/>
    <s v="К403ЕМ"/>
    <s v="3.5"/>
    <m/>
    <s v="Женева"/>
    <s v="Горох овощной свежий 10.01"/>
    <n v="29430"/>
    <n v="17180"/>
    <n v="23.5"/>
    <n v="12250"/>
    <n v="9371.2000000000007"/>
    <x v="1"/>
    <x v="63"/>
    <n v="2878.7999999999993"/>
    <n v="0.23500408163265299"/>
    <n v="6"/>
    <n v="12"/>
    <x v="15"/>
    <x v="0"/>
  </r>
  <r>
    <s v="Акт входного контроля 000000376 от 12.06.2024 13:31:45"/>
    <s v="высший"/>
    <n v="303"/>
    <n v="38"/>
    <s v="Колос г.Гулькевичи ООО"/>
    <s v="Никитась С.А."/>
    <s v="К570ЕО"/>
    <s v="3.4"/>
    <m/>
    <s v="Бинго"/>
    <s v="Горох овощной свежий 10.01"/>
    <n v="28180"/>
    <n v="14900"/>
    <n v="15.5"/>
    <n v="13280"/>
    <n v="11221.6"/>
    <x v="1"/>
    <x v="63"/>
    <n v="2058.3999999999996"/>
    <n v="0.15499999999999997"/>
    <n v="6"/>
    <n v="12"/>
    <x v="15"/>
    <x v="0"/>
  </r>
  <r>
    <s v="Акт входного контроля 000000377 от 12.06.2024 13:46:23"/>
    <s v="высший"/>
    <n v="304"/>
    <n v="121"/>
    <s v="Грин Рэй Кубань ООО (Овощеводство)"/>
    <s v="Черевко Александр Владимирович"/>
    <s v="А114МК"/>
    <s v="А-48"/>
    <m/>
    <s v="Патриот"/>
    <s v="Горох овощной свежий 10.01"/>
    <n v="23690"/>
    <n v="14480"/>
    <n v="17.5"/>
    <n v="9210"/>
    <n v="7598.2"/>
    <x v="1"/>
    <x v="63"/>
    <n v="1611.8000000000002"/>
    <n v="0.17500542888165041"/>
    <n v="6"/>
    <n v="12"/>
    <x v="15"/>
    <x v="0"/>
  </r>
  <r>
    <s v="Акт входного контроля 000000378 от 12.06.2024 16:08:13"/>
    <s v="высший"/>
    <n v="305"/>
    <n v="39"/>
    <s v="Колос г.Гулькевичи ООО"/>
    <s v="Пугачев С.В."/>
    <s v="Р258УХ"/>
    <s v="3.4"/>
    <m/>
    <s v="Бинго"/>
    <s v="Горох овощной свежий 10.01"/>
    <n v="31630"/>
    <n v="15690"/>
    <n v="14.5"/>
    <n v="15940"/>
    <n v="13628.7"/>
    <x v="1"/>
    <x v="63"/>
    <n v="2311.2999999999993"/>
    <n v="0.14499999999999996"/>
    <n v="6"/>
    <n v="12"/>
    <x v="15"/>
    <x v="0"/>
  </r>
  <r>
    <s v="Акт входного контроля 000000379 от 12.06.2024 18:28:52"/>
    <s v="высший"/>
    <n v="306"/>
    <n v="40"/>
    <s v="Колос г.Гулькевичи ООО"/>
    <s v="Птащенко Дмитрий Анатольевич"/>
    <s v="Е606ЕК"/>
    <s v="3.4"/>
    <m/>
    <s v="Бинго"/>
    <s v="Горох овощной свежий 10.01"/>
    <n v="30660"/>
    <n v="14660"/>
    <n v="13"/>
    <n v="16000"/>
    <n v="13920"/>
    <x v="1"/>
    <x v="63"/>
    <n v="2080"/>
    <n v="0.13"/>
    <n v="6"/>
    <n v="12"/>
    <x v="15"/>
    <x v="0"/>
  </r>
  <r>
    <s v="Акт входного контроля 000000380 от 12.06.2024 18:46:50"/>
    <s v="высший"/>
    <n v="307"/>
    <n v="41"/>
    <s v="Колос г.Гулькевичи ООО"/>
    <s v="Сероштан Станислав Викторович"/>
    <s v="Е758РЕ"/>
    <s v="3.4"/>
    <m/>
    <s v="Бинго"/>
    <s v="Горох овощной свежий 10.01"/>
    <n v="30540"/>
    <n v="14560"/>
    <n v="14.5"/>
    <n v="15980"/>
    <n v="13662.9"/>
    <x v="1"/>
    <x v="63"/>
    <n v="2317.1000000000004"/>
    <n v="0.14500000000000002"/>
    <n v="6"/>
    <n v="12"/>
    <x v="15"/>
    <x v="0"/>
  </r>
  <r>
    <s v="Акт входного контроля 000000381 от 12.06.2024 20:51:24"/>
    <s v="высший"/>
    <n v="308"/>
    <n v="42"/>
    <s v="Колос г.Гулькевичи ООО"/>
    <s v="Мосенцев Алексей Егорович"/>
    <s v="Т680ОУ"/>
    <s v="3.4"/>
    <m/>
    <s v="Бинго"/>
    <s v="Горох овощной свежий 10.01"/>
    <n v="30540"/>
    <n v="14360"/>
    <n v="17.5"/>
    <n v="16180"/>
    <n v="13348.5"/>
    <x v="1"/>
    <x v="63"/>
    <n v="2831.5"/>
    <n v="0.17499999999999999"/>
    <n v="6"/>
    <n v="12"/>
    <x v="15"/>
    <x v="0"/>
  </r>
  <r>
    <s v="Акт входного контроля 000000382 от 12.06.2024 23:19:26"/>
    <s v="первый"/>
    <n v="309"/>
    <n v="43"/>
    <s v="Колос г.Гулькевичи ООО"/>
    <s v="Годлевский Олег Владимирович"/>
    <s v="А613МА"/>
    <s v="3.4"/>
    <m/>
    <s v="Бинго"/>
    <s v="Горох овощной свежий 10.01"/>
    <n v="34940"/>
    <n v="16530"/>
    <n v="16.5"/>
    <n v="18410"/>
    <n v="15372.3"/>
    <x v="1"/>
    <x v="63"/>
    <n v="3037.7000000000007"/>
    <n v="0.16500271591526347"/>
    <n v="6"/>
    <n v="12"/>
    <x v="15"/>
    <x v="0"/>
  </r>
  <r>
    <s v="Акт входного контроля 000000383 от 12.06.2024 23:43:58"/>
    <s v="высший"/>
    <n v="310"/>
    <n v="586128"/>
    <s v="Кубаньагро-Фаста ООО"/>
    <s v="Звада Евгений Евгеньевич"/>
    <s v="А688АМ"/>
    <s v="9/2"/>
    <m/>
    <s v="Женева"/>
    <s v="Горох овощной свежий 10.01"/>
    <n v="23450"/>
    <n v="14840"/>
    <n v="25.5"/>
    <n v="8610"/>
    <n v="6414.4"/>
    <x v="1"/>
    <x v="63"/>
    <n v="2195.6000000000004"/>
    <n v="0.25500580720092919"/>
    <n v="6"/>
    <n v="12"/>
    <x v="15"/>
    <x v="0"/>
  </r>
  <r>
    <s v="Акт входного контроля 000000384 от 12.06.2024 22:40:38"/>
    <s v="высший"/>
    <n v="311"/>
    <n v="44"/>
    <s v="Колос г.Гулькевичи ООО"/>
    <s v="Чернецов Александр Михайлович"/>
    <s v="Р866РМ"/>
    <s v="3.4"/>
    <m/>
    <s v="Бинго"/>
    <s v="Горох овощной свежий 10.01"/>
    <n v="33480"/>
    <n v="14940"/>
    <n v="17"/>
    <n v="18540"/>
    <n v="15388.2"/>
    <x v="1"/>
    <x v="63"/>
    <n v="3151.7999999999993"/>
    <n v="0.16999999999999996"/>
    <n v="6"/>
    <n v="12"/>
    <x v="15"/>
    <x v="0"/>
  </r>
  <r>
    <s v="Акт входного контроля 000000389 от 13.06.2024 9:09:33"/>
    <s v="высший"/>
    <n v="313"/>
    <n v="45"/>
    <s v="Колос г.Гулькевичи ООО"/>
    <s v="Огнев Максим Викторович"/>
    <s v="Р755НН"/>
    <s v="3.4"/>
    <m/>
    <s v="Бинго"/>
    <s v="Горох овощной свежий 10.01"/>
    <n v="32040"/>
    <n v="14480"/>
    <n v="18.5"/>
    <n v="17560"/>
    <n v="14305.8"/>
    <x v="1"/>
    <x v="64"/>
    <n v="3254.2000000000007"/>
    <n v="0.1853189066059226"/>
    <n v="6"/>
    <n v="13"/>
    <x v="52"/>
    <x v="0"/>
  </r>
  <r>
    <s v="Акт входного контроля 000000385 от 13.06.2024 4:48:00"/>
    <s v="высший"/>
    <n v="314"/>
    <n v="586127"/>
    <s v="Кубаньагро-Фаста ООО"/>
    <s v="Бербеницкий Сергей Николаевич"/>
    <s v="С400РР"/>
    <s v="9/2"/>
    <m/>
    <s v="Женева"/>
    <s v="Горох овощной свежий 10.01"/>
    <n v="28360"/>
    <n v="15080"/>
    <n v="19.5"/>
    <n v="13280"/>
    <n v="10690.4"/>
    <x v="1"/>
    <x v="64"/>
    <n v="2589.6000000000004"/>
    <n v="0.19500000000000003"/>
    <n v="6"/>
    <n v="13"/>
    <x v="52"/>
    <x v="0"/>
  </r>
  <r>
    <s v="Акт входного контроля 000000386 от 13.06.2024 5:23:02"/>
    <s v="высший"/>
    <n v="316"/>
    <n v="46"/>
    <s v="Колос г.Гулькевичи ООО"/>
    <s v="Аладин Василий Сергеевич"/>
    <s v="Т110ТМ"/>
    <s v="3.4"/>
    <m/>
    <s v="Бинго"/>
    <s v="Горох овощной свежий 10.01"/>
    <n v="24580"/>
    <n v="14800"/>
    <n v="20.5"/>
    <n v="9780"/>
    <n v="7775.1"/>
    <x v="1"/>
    <x v="64"/>
    <n v="2004.8999999999996"/>
    <n v="0.20499999999999996"/>
    <n v="6"/>
    <n v="13"/>
    <x v="52"/>
    <x v="0"/>
  </r>
  <r>
    <s v="Акт входного контроля 000000387 от 13.06.2024 6:32:20"/>
    <s v="высший"/>
    <n v="317"/>
    <n v="586126"/>
    <s v="Кубаньагро-Фаста ООО"/>
    <s v="Богучарский А. И."/>
    <s v="Е404УС"/>
    <s v="9/2"/>
    <m/>
    <s v="Женева"/>
    <s v="Горох овощной свежий 10.01"/>
    <n v="29480"/>
    <n v="14040"/>
    <n v="19.5"/>
    <n v="15440"/>
    <n v="12429.2"/>
    <x v="1"/>
    <x v="64"/>
    <n v="3010.7999999999993"/>
    <n v="0.19499999999999995"/>
    <n v="6"/>
    <n v="13"/>
    <x v="52"/>
    <x v="0"/>
  </r>
  <r>
    <s v="Акт входного контроля 000000388 от 13.06.2024 7:43:29"/>
    <s v="высший"/>
    <n v="318"/>
    <n v="586129"/>
    <s v="Кубаньагро-Фаста ООО"/>
    <s v="Кириченко В.Н."/>
    <s v="А957РР"/>
    <s v="9/2"/>
    <m/>
    <s v="Женева"/>
    <s v="Горох овощной свежий 10.01"/>
    <n v="33510"/>
    <n v="17350"/>
    <n v="21.5"/>
    <n v="16160"/>
    <n v="12685.6"/>
    <x v="1"/>
    <x v="64"/>
    <n v="3474.3999999999996"/>
    <n v="0.21499999999999997"/>
    <n v="6"/>
    <n v="13"/>
    <x v="52"/>
    <x v="0"/>
  </r>
  <r>
    <s v="Акт входного контроля 000000390 от 13.06.2024 10:51:34"/>
    <s v="высший"/>
    <n v="319"/>
    <n v="586130"/>
    <s v="Кубаньагро-Фаста ООО"/>
    <s v="Погуляй А.Б.       "/>
    <s v="О824ТХ"/>
    <s v="9/2"/>
    <m/>
    <s v="Женева"/>
    <s v="Горох овощной свежий 10.01"/>
    <n v="34320"/>
    <n v="18610"/>
    <n v="20.5"/>
    <n v="15710"/>
    <n v="12489.4"/>
    <x v="1"/>
    <x v="64"/>
    <n v="3220.6000000000004"/>
    <n v="0.20500318268618717"/>
    <n v="6"/>
    <n v="13"/>
    <x v="52"/>
    <x v="0"/>
  </r>
  <r>
    <s v="Акт входного контроля 000000393 от 13.06.2024 11:28:28"/>
    <s v="высший"/>
    <n v="321"/>
    <n v="586131"/>
    <s v="Кубаньагро-Фаста ООО"/>
    <s v="Кулик О В"/>
    <s v="К403ЕМ"/>
    <s v="9/2"/>
    <m/>
    <s v="Женева"/>
    <s v="Горох овощной свежий 10.01"/>
    <n v="32960"/>
    <n v="17360"/>
    <n v="38.5"/>
    <n v="15600"/>
    <n v="9594"/>
    <x v="1"/>
    <x v="64"/>
    <n v="6006"/>
    <n v="0.38500000000000001"/>
    <n v="6"/>
    <n v="13"/>
    <x v="52"/>
    <x v="0"/>
  </r>
  <r>
    <s v="Акт входного контроля 000000416 от 13.06.2024 17:03:10"/>
    <s v="высший"/>
    <n v="323"/>
    <n v="586132"/>
    <s v="Кубаньагро-Фаста ООО"/>
    <s v="Мудрак В В."/>
    <s v="Х514ОК"/>
    <s v="9/2"/>
    <m/>
    <s v="Женева"/>
    <s v="Горох овощной свежий 10.01"/>
    <n v="38990"/>
    <n v="21120"/>
    <n v="21.5"/>
    <n v="17870"/>
    <n v="14027.9"/>
    <x v="1"/>
    <x v="64"/>
    <n v="3842.1000000000004"/>
    <n v="0.21500279798545049"/>
    <n v="6"/>
    <n v="13"/>
    <x v="52"/>
    <x v="0"/>
  </r>
  <r>
    <s v="Акт входного контроля 000000417 от 13.06.2024 17:45:48"/>
    <s v="высший"/>
    <n v="324"/>
    <n v="586133"/>
    <s v="Кубаньагро-Фаста ООО"/>
    <s v="Звада Евгений Евгеньевич"/>
    <s v="А688АМ"/>
    <s v="9/2"/>
    <m/>
    <s v="Женева"/>
    <s v="Горох овощной свежий 10.01"/>
    <n v="28690"/>
    <n v="14780"/>
    <n v="20.5"/>
    <n v="13910"/>
    <n v="11058.4"/>
    <x v="1"/>
    <x v="64"/>
    <n v="2851.6000000000004"/>
    <n v="0.20500359453630485"/>
    <n v="6"/>
    <n v="13"/>
    <x v="52"/>
    <x v="0"/>
  </r>
  <r>
    <s v="Акт входного контроля 000000418 от 13.06.2024 19:36:54"/>
    <s v="высший"/>
    <n v="325"/>
    <n v="586134"/>
    <s v="Кубаньагро-Фаста ООО"/>
    <s v="Черевко Александр Владимирович"/>
    <s v="А114МК"/>
    <s v="9/2"/>
    <m/>
    <s v="Женева"/>
    <s v="Горох овощной свежий 10.01"/>
    <n v="27960"/>
    <n v="14660"/>
    <n v="19.5"/>
    <n v="13300"/>
    <n v="10706.5"/>
    <x v="1"/>
    <x v="64"/>
    <n v="2593.5"/>
    <n v="0.19500000000000001"/>
    <n v="6"/>
    <n v="13"/>
    <x v="52"/>
    <x v="0"/>
  </r>
  <r>
    <s v="Акт входного контроля 000000419 от 13.06.2024 20:28:23"/>
    <s v="высший"/>
    <n v="326"/>
    <n v="586135"/>
    <s v="Кубаньагро-Фаста ООО"/>
    <s v="Годлевский Олег Владимирович"/>
    <s v="А613МА"/>
    <s v="9/2"/>
    <m/>
    <s v="Женева"/>
    <s v="Горох овощной свежий 10.01"/>
    <n v="32430"/>
    <n v="16470"/>
    <n v="15.5"/>
    <n v="15960"/>
    <n v="13486.2"/>
    <x v="1"/>
    <x v="64"/>
    <n v="2473.7999999999993"/>
    <n v="0.15499999999999994"/>
    <n v="6"/>
    <n v="13"/>
    <x v="52"/>
    <x v="0"/>
  </r>
  <r>
    <s v="Акт входного контроля 000000420 от 13.06.2024 23:51:32"/>
    <s v="высший"/>
    <n v="327"/>
    <n v="586136"/>
    <s v="Кубаньагро-Фаста ООО"/>
    <s v="Бербеницкий Сергей Николаевич"/>
    <s v="С400РР"/>
    <s v="9/2"/>
    <m/>
    <s v="Женева"/>
    <s v="Горох овощной свежий 10.01"/>
    <n v="28690"/>
    <n v="15120"/>
    <n v="15.5"/>
    <n v="13570"/>
    <n v="11466.6"/>
    <x v="1"/>
    <x v="64"/>
    <n v="2103.3999999999996"/>
    <n v="0.15500368459837874"/>
    <n v="6"/>
    <n v="13"/>
    <x v="52"/>
    <x v="0"/>
  </r>
  <r>
    <s v="Акт входного контроля 000000421 от 13.06.2024 21:53:32"/>
    <s v="высший"/>
    <n v="328"/>
    <n v="586137"/>
    <s v="Кубаньагро-Фаста ООО"/>
    <s v="Богучарский А. И."/>
    <s v="Е404УС"/>
    <s v="9/2"/>
    <m/>
    <s v="Женева"/>
    <s v="Горох овощной свежий 10.01"/>
    <n v="27010"/>
    <n v="13980"/>
    <n v="18.5"/>
    <n v="13030"/>
    <n v="10619.4"/>
    <x v="1"/>
    <x v="64"/>
    <n v="2410.6000000000004"/>
    <n v="0.18500383729854186"/>
    <n v="6"/>
    <n v="13"/>
    <x v="52"/>
    <x v="0"/>
  </r>
  <r>
    <s v="Акт входного контроля 000000422 от 13.06.2024 23:20:54"/>
    <s v="высший"/>
    <n v="329"/>
    <n v="586138"/>
    <s v="Кубаньагро-Фаста ООО"/>
    <s v="Кириченко В.Н."/>
    <s v="А957РР"/>
    <s v="9/2"/>
    <m/>
    <s v="Женева"/>
    <s v="Горох овощной свежий 10.01"/>
    <n v="32440"/>
    <n v="17310"/>
    <n v="20.5"/>
    <n v="15130"/>
    <n v="12028.3"/>
    <x v="1"/>
    <x v="64"/>
    <n v="3101.7000000000007"/>
    <n v="0.20500330469266362"/>
    <n v="6"/>
    <n v="13"/>
    <x v="52"/>
    <x v="0"/>
  </r>
  <r>
    <s v="Акт входного контроля 000000423 от 14.06.2024 4:59:49"/>
    <s v="высший"/>
    <n v="330"/>
    <n v="586139"/>
    <s v="Кубаньагро-Фаста ООО"/>
    <s v="Сероштан Станислав Викторович"/>
    <s v="Е758РЕ"/>
    <s v="9/2"/>
    <m/>
    <s v="Женева"/>
    <s v="Горох овощной свежий 10.01"/>
    <n v="29910"/>
    <n v="14510"/>
    <n v="14.5"/>
    <n v="15400"/>
    <n v="13167"/>
    <x v="1"/>
    <x v="65"/>
    <n v="2233"/>
    <n v="0.14499999999999999"/>
    <n v="6"/>
    <n v="14"/>
    <x v="16"/>
    <x v="0"/>
  </r>
  <r>
    <s v="Акт входного контроля 000000424 от 14.06.2024 1:53:39"/>
    <s v="высший"/>
    <n v="331"/>
    <n v="586140"/>
    <s v="Кубаньагро-Фаста ООО"/>
    <s v="Кулик О В"/>
    <s v="К403ЕМ"/>
    <s v="9/2"/>
    <m/>
    <s v="Женева"/>
    <s v="Горох овощной свежий 10.01"/>
    <n v="32730"/>
    <n v="17320"/>
    <n v="14.5"/>
    <n v="15410"/>
    <n v="13175.5"/>
    <x v="1"/>
    <x v="65"/>
    <n v="2234.5"/>
    <n v="0.14500324464633355"/>
    <n v="6"/>
    <n v="14"/>
    <x v="16"/>
    <x v="0"/>
  </r>
  <r>
    <s v="Акт входного контроля 000000425 от 14.06.2024 7:46:46"/>
    <s v="высший"/>
    <n v="332"/>
    <n v="586141"/>
    <s v="Кубаньагро-Фаста ООО"/>
    <s v="Птащенко Дмитрий Анатольевич"/>
    <s v="Е606ЕК"/>
    <s v="9/2"/>
    <m/>
    <s v="Женева"/>
    <s v="Горох овощной свежий 10.01"/>
    <n v="30880"/>
    <n v="14620"/>
    <n v="16.5"/>
    <n v="16260"/>
    <n v="13577.1"/>
    <x v="1"/>
    <x v="65"/>
    <n v="2682.8999999999996"/>
    <n v="0.16499999999999998"/>
    <n v="6"/>
    <n v="14"/>
    <x v="16"/>
    <x v="0"/>
  </r>
  <r>
    <s v="Акт входного контроля 000000426 от 14.06.2024 7:49:13"/>
    <s v="высший"/>
    <n v="333"/>
    <n v="586142"/>
    <s v="Кубаньагро-Фаста ООО"/>
    <s v="Мудрак В В."/>
    <s v="Х514ОК"/>
    <s v="10.5"/>
    <m/>
    <s v="Женева"/>
    <s v="Горох овощной свежий 10.01"/>
    <n v="37530"/>
    <n v="21050"/>
    <n v="34.5"/>
    <n v="16480"/>
    <n v="10794.4"/>
    <x v="1"/>
    <x v="65"/>
    <n v="5685.6"/>
    <n v="0.34500000000000003"/>
    <n v="6"/>
    <n v="14"/>
    <x v="16"/>
    <x v="0"/>
  </r>
  <r>
    <s v="Акт входного контроля 000000427 от 14.06.2024 7:51:23"/>
    <s v="высший"/>
    <n v="334"/>
    <n v="586144"/>
    <s v="Кубаньагро-Фаста ООО"/>
    <s v="Звада Евгений Евгеньевич"/>
    <s v="А688АМ"/>
    <s v="10.5"/>
    <m/>
    <s v="Женева"/>
    <s v="Горох овощной свежий 10.01"/>
    <n v="27860"/>
    <n v="14760"/>
    <n v="16.5"/>
    <n v="13100"/>
    <n v="10938.5"/>
    <x v="1"/>
    <x v="65"/>
    <n v="2161.5"/>
    <n v="0.16500000000000001"/>
    <n v="6"/>
    <n v="14"/>
    <x v="16"/>
    <x v="0"/>
  </r>
  <r>
    <s v="Акт входного контроля 000000434 от 14.06.2024 13:29:20"/>
    <s v="высший"/>
    <n v="335"/>
    <n v="586145"/>
    <s v="Кубаньагро-Фаста ООО"/>
    <s v="Черевко Александр Владимирович"/>
    <s v="А114МК"/>
    <s v="10.5"/>
    <m/>
    <s v="Женева"/>
    <s v="Горох овощной свежий 10.01"/>
    <n v="29770"/>
    <n v="14620"/>
    <n v="22.5"/>
    <n v="15150"/>
    <n v="11741.2"/>
    <x v="1"/>
    <x v="65"/>
    <n v="3408.7999999999993"/>
    <n v="0.22500330033003296"/>
    <n v="6"/>
    <n v="14"/>
    <x v="16"/>
    <x v="0"/>
  </r>
  <r>
    <s v="Акт входного контроля 000000435 от 14.06.2024 13:33:32"/>
    <s v="высший"/>
    <n v="336"/>
    <n v="586146"/>
    <s v="Кубаньагро-Фаста ООО"/>
    <s v="Годлевский Олег Владимирович"/>
    <s v="А613МА"/>
    <s v="10.5"/>
    <m/>
    <s v="Женева"/>
    <s v="Горох овощной свежий 10.01"/>
    <n v="32110"/>
    <n v="16410"/>
    <n v="23.5"/>
    <n v="15700"/>
    <n v="12010.5"/>
    <x v="1"/>
    <x v="65"/>
    <n v="3689.5"/>
    <n v="0.23499999999999999"/>
    <n v="6"/>
    <n v="14"/>
    <x v="16"/>
    <x v="0"/>
  </r>
  <r>
    <s v="Акт входного контроля 000000470 от 14.06.2024 15:26:19"/>
    <s v="высший"/>
    <n v="338"/>
    <n v="586147"/>
    <s v="Кубаньагро-Фаста ООО"/>
    <s v="Птащенко Дмитрий Анатольевич"/>
    <s v="Е606ЕК"/>
    <s v="10.5"/>
    <m/>
    <s v="Женева"/>
    <s v="Горох овощной свежий 10.01"/>
    <n v="29760"/>
    <n v="14570"/>
    <n v="22.5"/>
    <n v="15190"/>
    <n v="11772.2"/>
    <x v="1"/>
    <x v="65"/>
    <n v="3417.7999999999993"/>
    <n v="0.2250032916392363"/>
    <n v="6"/>
    <n v="14"/>
    <x v="16"/>
    <x v="0"/>
  </r>
  <r>
    <s v="Акт входного контроля 000000473 от 14.06.2024 17:12:56"/>
    <s v="высший"/>
    <n v="340"/>
    <n v="586148"/>
    <s v="Кубаньагро-Фаста ООО"/>
    <s v="Кириченко В.Н."/>
    <s v="А957РР"/>
    <s v="10.5"/>
    <m/>
    <s v="Женева"/>
    <s v="Горох овощной свежий 10.01"/>
    <n v="32590"/>
    <n v="17250"/>
    <n v="26.5"/>
    <n v="15340"/>
    <n v="11274.9"/>
    <x v="1"/>
    <x v="65"/>
    <n v="4065.1000000000004"/>
    <n v="0.26500000000000001"/>
    <n v="6"/>
    <n v="14"/>
    <x v="16"/>
    <x v="0"/>
  </r>
  <r>
    <s v="Акт входного контроля 000000474 от 14.06.2024 20:02:30"/>
    <s v="высший"/>
    <n v="341"/>
    <n v="586149"/>
    <s v="Кубаньагро-Фаста ООО"/>
    <s v="Звада Евгений Евгеньевич"/>
    <s v="А688АМ"/>
    <s v="10.5"/>
    <m/>
    <s v="Женева"/>
    <s v="Горох овощной свежий 10.01"/>
    <n v="30230"/>
    <n v="14700"/>
    <n v="29.5"/>
    <n v="15530"/>
    <n v="10948.6"/>
    <x v="1"/>
    <x v="65"/>
    <n v="4581.3999999999996"/>
    <n v="0.29500321957501607"/>
    <n v="6"/>
    <n v="14"/>
    <x v="16"/>
    <x v="0"/>
  </r>
  <r>
    <s v="Акт входного контроля 000000475 от 14.06.2024 21:28:46"/>
    <s v="первый"/>
    <n v="342"/>
    <n v="586150"/>
    <s v="Кубаньагро-Фаста ООО"/>
    <s v="Кулик О В"/>
    <s v="К403ЕМ"/>
    <s v="10.5"/>
    <m/>
    <s v="Женева"/>
    <s v="Горох овощной свежий 10.01"/>
    <n v="32880"/>
    <n v="17270"/>
    <n v="23.5"/>
    <n v="15610"/>
    <n v="11941.6"/>
    <x v="1"/>
    <x v="65"/>
    <n v="3668.3999999999996"/>
    <n v="0.23500320307495193"/>
    <n v="6"/>
    <n v="14"/>
    <x v="16"/>
    <x v="0"/>
  </r>
  <r>
    <s v="Акт входного контроля 000000476 от 14.06.2024 23:23:16"/>
    <s v="первый"/>
    <n v="343"/>
    <n v="586152"/>
    <s v="Кубаньагро-Фаста ООО"/>
    <s v="Макаренко Алексей Юрьевич"/>
    <s v="Т565НР"/>
    <s v="10.5"/>
    <m/>
    <s v="Женева"/>
    <s v="Горох овощной свежий 10.01"/>
    <n v="30980"/>
    <n v="15560"/>
    <n v="26.5"/>
    <n v="15420"/>
    <n v="11333.7"/>
    <x v="1"/>
    <x v="65"/>
    <n v="4086.2999999999993"/>
    <n v="0.26499999999999996"/>
    <n v="6"/>
    <n v="14"/>
    <x v="16"/>
    <x v="0"/>
  </r>
  <r>
    <s v="Акт входного контроля 000000477 от 14.06.2024 23:37:26"/>
    <s v="первый"/>
    <n v="344"/>
    <n v="586151"/>
    <s v="Кубаньагро-Фаста ООО"/>
    <s v="Суханов В.Н."/>
    <s v="А569РР"/>
    <s v="10.5"/>
    <m/>
    <s v="Женева"/>
    <s v="Горох овощной свежий 10.01"/>
    <n v="27830"/>
    <n v="14690"/>
    <n v="27.5"/>
    <n v="13140"/>
    <n v="9526.5"/>
    <x v="1"/>
    <x v="65"/>
    <n v="3613.5"/>
    <n v="0.27500000000000002"/>
    <n v="6"/>
    <n v="14"/>
    <x v="16"/>
    <x v="0"/>
  </r>
  <r>
    <s v="Акт входного контроля 000000478 от 15.06.2024 1:46:18"/>
    <s v="первый"/>
    <n v="345"/>
    <n v="586153"/>
    <s v="Кубаньагро-Фаста ООО"/>
    <s v="Мудрак В В."/>
    <s v="Х514ОК"/>
    <s v="10.5"/>
    <m/>
    <s v="Женева"/>
    <s v="Горох овощной свежий 10.01"/>
    <n v="38190"/>
    <n v="20990"/>
    <n v="24.5"/>
    <n v="17200"/>
    <n v="12986"/>
    <x v="1"/>
    <x v="66"/>
    <n v="4214"/>
    <n v="0.245"/>
    <n v="6"/>
    <n v="15"/>
    <x v="17"/>
    <x v="0"/>
  </r>
  <r>
    <s v="Акт входного контроля 000000479 от 15.06.2024 4:35:53"/>
    <s v="первый"/>
    <n v="346"/>
    <n v="586154"/>
    <s v="Кубаньагро-Фаста ООО"/>
    <s v="Годлевский Олег Владимирович"/>
    <s v="А613МА"/>
    <s v="10.5"/>
    <m/>
    <s v="Женева"/>
    <s v="Горох овощной свежий 10.01"/>
    <n v="33810"/>
    <n v="16350"/>
    <n v="26.5"/>
    <n v="17460"/>
    <n v="12833.1"/>
    <x v="1"/>
    <x v="66"/>
    <n v="4626.8999999999996"/>
    <n v="0.26499999999999996"/>
    <n v="6"/>
    <n v="15"/>
    <x v="17"/>
    <x v="0"/>
  </r>
  <r>
    <s v="Акт входного контроля 000000480 от 15.06.2024 10:16:23"/>
    <s v="первый"/>
    <n v="347"/>
    <n v="586155"/>
    <s v="Кубаньагро-Фаста ООО"/>
    <s v="Богучарский А. И."/>
    <s v="Е404УС"/>
    <s v="10.5"/>
    <m/>
    <s v="Женева"/>
    <s v="Горох овощной свежий 10.01"/>
    <n v="31140"/>
    <n v="13940"/>
    <n v="25.5"/>
    <n v="17200"/>
    <n v="12814"/>
    <x v="1"/>
    <x v="66"/>
    <n v="4386"/>
    <n v="0.255"/>
    <n v="6"/>
    <n v="15"/>
    <x v="17"/>
    <x v="0"/>
  </r>
  <r>
    <s v="Акт входного контроля 000000481 от 15.06.2024 16:08:03"/>
    <s v="первый"/>
    <n v="348"/>
    <n v="586156"/>
    <s v="Кубаньагро-Фаста ООО"/>
    <s v="Птащенко Дмитрий Анатольевич"/>
    <s v="Е606ЕК"/>
    <s v="10.5"/>
    <m/>
    <s v="Женева"/>
    <s v="Горох овощной свежий 10.01"/>
    <n v="29910"/>
    <n v="14620"/>
    <n v="22.5"/>
    <n v="15290"/>
    <n v="11849.7"/>
    <x v="1"/>
    <x v="66"/>
    <n v="3440.2999999999993"/>
    <n v="0.22500327011118373"/>
    <n v="6"/>
    <n v="15"/>
    <x v="17"/>
    <x v="0"/>
  </r>
  <r>
    <s v="Акт входного контроля 000000482 от 15.06.2024 16:20:35"/>
    <s v="первый"/>
    <n v="349"/>
    <n v="586157"/>
    <s v="Кубаньагро-Фаста ООО"/>
    <s v="Черевко Александр Владимирович"/>
    <s v="А114МК"/>
    <s v="10.5"/>
    <m/>
    <s v="Женева"/>
    <s v="Горох овощной свежий 10.01"/>
    <n v="29410"/>
    <n v="14590"/>
    <n v="24.5"/>
    <n v="14820"/>
    <n v="11189.1"/>
    <x v="1"/>
    <x v="66"/>
    <n v="3630.8999999999996"/>
    <n v="0.24499999999999997"/>
    <n v="6"/>
    <n v="15"/>
    <x v="17"/>
    <x v="0"/>
  </r>
  <r>
    <s v="Акт входного контроля 000000483 от 15.06.2024 16:27:49"/>
    <s v="первый"/>
    <n v="350"/>
    <n v="586158"/>
    <s v="Кубаньагро-Фаста ООО"/>
    <s v="Кулик О В"/>
    <s v="К403ЕМ"/>
    <s v="10.5"/>
    <m/>
    <s v="Женева"/>
    <s v="Горох овощной свежий 10.01"/>
    <n v="32300"/>
    <n v="17230"/>
    <n v="27.5"/>
    <n v="15070"/>
    <n v="10925.7"/>
    <x v="1"/>
    <x v="66"/>
    <n v="4144.2999999999993"/>
    <n v="0.27500331785003312"/>
    <n v="6"/>
    <n v="15"/>
    <x v="17"/>
    <x v="0"/>
  </r>
  <r>
    <s v="Акт входного контроля 000000484 от 15.06.2024 10:44:50"/>
    <s v="второй"/>
    <n v="352"/>
    <n v="586159"/>
    <s v="Кубаньагро-Фаста ООО"/>
    <s v="Макаренко Алексей Юрьевич"/>
    <s v="Т565НР"/>
    <s v="10.5"/>
    <m/>
    <s v="Женева"/>
    <s v="Горох овощной свежий 10.01"/>
    <n v="28230"/>
    <n v="15530"/>
    <n v="29.5"/>
    <n v="12700"/>
    <n v="8953.5"/>
    <x v="1"/>
    <x v="66"/>
    <n v="3746.5"/>
    <n v="0.29499999999999998"/>
    <n v="6"/>
    <n v="15"/>
    <x v="17"/>
    <x v="0"/>
  </r>
  <r>
    <s v="Акт входного контроля 000000485 от 16.06.2024 15:00:37"/>
    <s v="высший"/>
    <n v="353"/>
    <n v="1"/>
    <s v="Колос г.Гулькевичи ООО"/>
    <s v="Суханов В.Н."/>
    <s v="А569РР"/>
    <s v="4.3"/>
    <m/>
    <s v="Донана"/>
    <s v="Горох овощной свежий 10.01"/>
    <n v="27870"/>
    <n v="21390"/>
    <n v="32.5"/>
    <n v="6480"/>
    <n v="4374"/>
    <x v="1"/>
    <x v="67"/>
    <n v="2106"/>
    <n v="0.32500000000000001"/>
    <n v="6"/>
    <n v="16"/>
    <x v="18"/>
    <x v="0"/>
  </r>
  <r>
    <s v="Акт входного контроля 000000486 от 16.06.2024 17:46:30"/>
    <s v="высший"/>
    <n v="354"/>
    <n v="1"/>
    <s v="Колос г.Гулькевичи ООО"/>
    <s v="Суханов В.Н."/>
    <s v="А569РР"/>
    <s v="4.3"/>
    <m/>
    <s v="Фалкон"/>
    <s v="Горох овощной свежий 10.01"/>
    <n v="21390"/>
    <n v="14570"/>
    <n v="53.5"/>
    <n v="6820"/>
    <n v="3171.3"/>
    <x v="1"/>
    <x v="67"/>
    <n v="3648.7"/>
    <n v="0.53499999999999992"/>
    <n v="6"/>
    <n v="16"/>
    <x v="18"/>
    <x v="0"/>
  </r>
  <r>
    <s v="Акт входного контроля 000000487 от 16.06.2024 18:38:12"/>
    <s v="высший"/>
    <n v="355"/>
    <n v="122"/>
    <s v="Грин Рэй Кубань ООО (Овощеводство)"/>
    <s v="Богучарский А. И."/>
    <s v="Е404УС"/>
    <s v="А-48"/>
    <m/>
    <s v="Исток"/>
    <s v="Горох овощной свежий 10.01"/>
    <n v="23070"/>
    <n v="13990"/>
    <n v="16.5"/>
    <n v="9080"/>
    <n v="7581.8"/>
    <x v="1"/>
    <x v="67"/>
    <n v="1498.1999999999998"/>
    <n v="0.16499999999999998"/>
    <n v="6"/>
    <n v="16"/>
    <x v="18"/>
    <x v="0"/>
  </r>
  <r>
    <s v="Акт входного контроля 000000488 от 16.06.2024 19:52:29"/>
    <s v="первый"/>
    <n v="356"/>
    <n v="6"/>
    <s v="Колос г.Гулькевичи ООО"/>
    <s v="Мудрак В В."/>
    <s v="Х514ОК"/>
    <s v="4.3"/>
    <m/>
    <s v="Донана"/>
    <s v="Горох овощной свежий 10.01"/>
    <n v="37370"/>
    <n v="20850"/>
    <n v="24.5"/>
    <n v="16520"/>
    <n v="12472.6"/>
    <x v="1"/>
    <x v="67"/>
    <n v="4047.3999999999996"/>
    <n v="0.24499999999999997"/>
    <n v="6"/>
    <n v="16"/>
    <x v="18"/>
    <x v="0"/>
  </r>
  <r>
    <s v="Акт входного контроля 000000489 от 16.06.2024 22:50:25"/>
    <s v="первый"/>
    <n v="357"/>
    <n v="5"/>
    <s v="Колос г.Гулькевичи ООО"/>
    <s v="Годлевский Олег Владимирович"/>
    <s v="А613МА"/>
    <s v="4.3"/>
    <m/>
    <s v="Донана"/>
    <s v="Горох овощной свежий 10.01"/>
    <n v="31440"/>
    <n v="16670"/>
    <n v="23.5"/>
    <n v="14770"/>
    <n v="11299"/>
    <x v="1"/>
    <x v="67"/>
    <n v="3471"/>
    <n v="0.23500338524035205"/>
    <n v="6"/>
    <n v="16"/>
    <x v="18"/>
    <x v="0"/>
  </r>
  <r>
    <s v="Акт входного контроля 000000490 от 16.06.2024 23:31:48"/>
    <s v="первый"/>
    <n v="358"/>
    <n v="2"/>
    <s v="Колос г.Гулькевичи ООО"/>
    <s v="Сероштан Станислав Викторович"/>
    <s v="Е758РЕ"/>
    <s v="4.3"/>
    <m/>
    <s v="Фалкон"/>
    <s v="Горох овощной свежий 10.01"/>
    <n v="26810"/>
    <n v="14400"/>
    <n v="33.5"/>
    <n v="12410"/>
    <n v="8252.6"/>
    <x v="1"/>
    <x v="67"/>
    <n v="4157.3999999999996"/>
    <n v="0.33500402900886378"/>
    <n v="6"/>
    <n v="16"/>
    <x v="18"/>
    <x v="0"/>
  </r>
  <r>
    <s v="Акт входного контроля 000000491 от 17.06.2024 2:13:19"/>
    <s v="высший"/>
    <n v="359"/>
    <n v="3"/>
    <s v="Колос г.Гулькевичи ООО"/>
    <s v="Звада Евгений Егеньевич"/>
    <s v="А688АМ"/>
    <s v="3.3"/>
    <m/>
    <s v="Фалкон"/>
    <s v="Горох овощной свежий 10.01"/>
    <n v="28330"/>
    <n v="14710"/>
    <n v="30.5"/>
    <n v="13620"/>
    <n v="9465.9"/>
    <x v="1"/>
    <x v="68"/>
    <n v="4154.1000000000004"/>
    <n v="0.30500000000000005"/>
    <n v="6"/>
    <n v="17"/>
    <x v="19"/>
    <x v="0"/>
  </r>
  <r>
    <s v="Акт входного контроля 000000492 от 17.06.2024 6:15:00"/>
    <s v="высший"/>
    <n v="360"/>
    <n v="4"/>
    <s v="Колос г.Гулькевичи ООО"/>
    <s v="Кириченко В.Н."/>
    <s v="А957РР"/>
    <s v="3.3"/>
    <m/>
    <s v="Джоф"/>
    <s v="Горох овощной свежий 10.01"/>
    <n v="33380"/>
    <n v="17440"/>
    <n v="28.5"/>
    <n v="15940"/>
    <n v="11397.1"/>
    <x v="1"/>
    <x v="68"/>
    <n v="4542.8999999999996"/>
    <n v="0.28499999999999998"/>
    <n v="6"/>
    <n v="17"/>
    <x v="19"/>
    <x v="0"/>
  </r>
  <r>
    <s v="Акт входного контроля 000000493 от 17.06.2024 9:04:19"/>
    <s v="высший"/>
    <n v="361"/>
    <n v="7"/>
    <s v="Колос г.Гулькевичи ООО"/>
    <s v="Лазаренко В.В"/>
    <s v="Т239УС"/>
    <s v="3.3"/>
    <m/>
    <s v="Джоф"/>
    <s v="Горох овощной свежий 10.01"/>
    <n v="28540"/>
    <n v="14900"/>
    <n v="27.5"/>
    <n v="13640"/>
    <n v="9889"/>
    <x v="1"/>
    <x v="68"/>
    <n v="3751"/>
    <n v="0.27500000000000002"/>
    <n v="6"/>
    <n v="17"/>
    <x v="19"/>
    <x v="0"/>
  </r>
  <r>
    <s v="Акт входного контроля 000000494 от 17.06.2024 11:22:16"/>
    <s v="высший"/>
    <n v="363"/>
    <n v="8"/>
    <s v="Колос г.Гулькевичи ООО"/>
    <s v="Годлевский Олег Владимирович"/>
    <s v="А613МА"/>
    <s v="3.3"/>
    <m/>
    <s v="Джоф"/>
    <s v="Горох овощной свежий 10.01"/>
    <n v="23670"/>
    <n v="16550"/>
    <n v="30.5"/>
    <n v="7120"/>
    <n v="4948.3999999999996"/>
    <x v="1"/>
    <x v="68"/>
    <n v="2171.6000000000004"/>
    <n v="0.30500000000000005"/>
    <n v="6"/>
    <n v="17"/>
    <x v="19"/>
    <x v="0"/>
  </r>
  <r>
    <s v="Акт входного контроля 000000495 от 18.06.2024 20:49:27"/>
    <s v="высший"/>
    <n v="366"/>
    <n v="57"/>
    <s v="Колос г.Гулькевичи ООО"/>
    <s v="Никитась С.А."/>
    <s v="К570ЕО"/>
    <s v="3.3"/>
    <m/>
    <s v="Джоф"/>
    <s v="Горох овощной свежий 10.01"/>
    <n v="28460"/>
    <n v="15140"/>
    <n v="22.5"/>
    <n v="13320"/>
    <n v="10323"/>
    <x v="1"/>
    <x v="69"/>
    <n v="2997"/>
    <n v="0.22500000000000001"/>
    <n v="6"/>
    <n v="18"/>
    <x v="20"/>
    <x v="0"/>
  </r>
  <r>
    <s v="Акт входного контроля 000000496 от 18.06.2024 22:50:27"/>
    <s v="высший"/>
    <n v="367"/>
    <n v="58"/>
    <s v="Колос г.Гулькевичи ООО"/>
    <s v="Пугачев С.В."/>
    <s v="Р258УХ"/>
    <s v="3.3"/>
    <m/>
    <s v="Джоф"/>
    <s v="Горох овощной свежий 10.01"/>
    <n v="31200"/>
    <n v="15550"/>
    <n v="23.5"/>
    <n v="15650"/>
    <n v="11972.2"/>
    <x v="1"/>
    <x v="69"/>
    <n v="3677.7999999999993"/>
    <n v="0.23500319488817886"/>
    <n v="6"/>
    <n v="18"/>
    <x v="20"/>
    <x v="0"/>
  </r>
  <r>
    <s v="Акт входного контроля 000000497 от 18.06.2024 23:45:19"/>
    <s v="высший"/>
    <n v="368"/>
    <n v="60"/>
    <s v="Колос г.Гулькевичи ООО"/>
    <s v="Лазаренко В.В"/>
    <s v="Т239УС"/>
    <s v="3.3"/>
    <m/>
    <s v="Джоф"/>
    <s v="Горох овощной свежий 10.01"/>
    <n v="28000"/>
    <n v="14930"/>
    <n v="27.5"/>
    <n v="13070"/>
    <n v="9475.7000000000007"/>
    <x v="1"/>
    <x v="69"/>
    <n v="3594.2999999999993"/>
    <n v="0.27500382555470537"/>
    <n v="6"/>
    <n v="18"/>
    <x v="20"/>
    <x v="0"/>
  </r>
  <r>
    <s v="Акт входного контроля 000000498 от 19.06.2024 3:07:47"/>
    <s v="высший"/>
    <n v="369"/>
    <n v="59"/>
    <s v="Колос г.Гулькевичи ООО"/>
    <s v="Богучарский А. И."/>
    <s v="Е404УС"/>
    <s v="3.3"/>
    <m/>
    <s v="Джоф"/>
    <s v="Горох овощной свежий 10.01"/>
    <n v="27290"/>
    <n v="14070"/>
    <n v="26.5"/>
    <n v="13220"/>
    <n v="9716.7000000000007"/>
    <x v="1"/>
    <x v="70"/>
    <n v="3503.2999999999993"/>
    <n v="0.26499999999999996"/>
    <n v="6"/>
    <n v="19"/>
    <x v="21"/>
    <x v="0"/>
  </r>
  <r>
    <s v="Акт входного контроля 000000499 от 19.06.2024 6:15:19"/>
    <s v="высший"/>
    <n v="370"/>
    <n v="61"/>
    <s v="Колос г.Гулькевичи ООО"/>
    <s v="Кириченко В.Н."/>
    <s v="А957РР"/>
    <s v="2.1"/>
    <m/>
    <s v="Бутано"/>
    <s v="Горох овощной свежий 10.01"/>
    <n v="32510"/>
    <n v="23900"/>
    <n v="27.5"/>
    <n v="8610"/>
    <n v="6242.2"/>
    <x v="1"/>
    <x v="70"/>
    <n v="2367.8000000000002"/>
    <n v="0.27500580720092915"/>
    <n v="6"/>
    <n v="19"/>
    <x v="21"/>
    <x v="0"/>
  </r>
  <r>
    <s v="Акт входного контроля 000000500 от 19.06.2024 6:18:53"/>
    <s v="высший"/>
    <n v="371"/>
    <n v="61"/>
    <s v="Колос г.Гулькевичи ООО"/>
    <s v="Кириченко В.Н."/>
    <s v="А957РР"/>
    <s v="3.3"/>
    <m/>
    <s v="Джоф"/>
    <s v="Горох овощной свежий 10.01"/>
    <n v="23900"/>
    <n v="17310"/>
    <n v="21.5"/>
    <n v="6590"/>
    <n v="5173.1000000000004"/>
    <x v="1"/>
    <x v="70"/>
    <n v="1416.8999999999996"/>
    <n v="0.21500758725341421"/>
    <n v="6"/>
    <n v="19"/>
    <x v="21"/>
    <x v="0"/>
  </r>
  <r>
    <s v="Акт входного контроля 000000501 от 19.06.2024 9:51:58"/>
    <s v="высший"/>
    <n v="373"/>
    <n v="62"/>
    <s v="Колос г.Гулькевичи ООО"/>
    <s v="Жданов А И"/>
    <s v="С707ОУ"/>
    <s v="2.1"/>
    <m/>
    <s v="Бутано"/>
    <s v="Горох овощной свежий 10.01"/>
    <n v="28580"/>
    <n v="14400"/>
    <n v="32.5"/>
    <n v="14180"/>
    <n v="9571.5"/>
    <x v="1"/>
    <x v="70"/>
    <n v="4608.5"/>
    <n v="0.32500000000000001"/>
    <n v="6"/>
    <n v="19"/>
    <x v="21"/>
    <x v="0"/>
  </r>
  <r>
    <s v="Акт входного контроля 000000502 от 19.06.2024 14:32:16"/>
    <s v="высший"/>
    <n v="375"/>
    <n v="63"/>
    <s v="Колос г.Гулькевичи ООО"/>
    <s v="Кулик О В"/>
    <s v="К403ЕМ"/>
    <s v="2.1"/>
    <m/>
    <s v="Бутано"/>
    <s v="Горох овощной свежий 10.01"/>
    <n v="32550"/>
    <n v="17300"/>
    <n v="43.5"/>
    <n v="15250"/>
    <n v="8616.2000000000007"/>
    <x v="1"/>
    <x v="70"/>
    <n v="6633.7999999999993"/>
    <n v="0.43500327868852456"/>
    <n v="6"/>
    <n v="19"/>
    <x v="21"/>
    <x v="0"/>
  </r>
  <r>
    <s v="Акт входного контроля 000000503 от 19.06.2024 22:28:42"/>
    <s v="высший"/>
    <n v="376"/>
    <n v="64"/>
    <s v="Колос г.Гулькевичи ООО"/>
    <s v="Мудрак В В."/>
    <s v="Х514ОК"/>
    <s v="2.1"/>
    <m/>
    <s v="Бутано"/>
    <s v="Горох овощной свежий 10.01"/>
    <n v="39730"/>
    <n v="21050"/>
    <n v="39.5"/>
    <n v="18680"/>
    <n v="11301.4"/>
    <x v="1"/>
    <x v="70"/>
    <n v="7378.6"/>
    <n v="0.39500000000000002"/>
    <n v="6"/>
    <n v="19"/>
    <x v="21"/>
    <x v="0"/>
  </r>
  <r>
    <s v="Акт входного контроля 000000504 от 19.06.2024 22:30:54"/>
    <s v="высший"/>
    <n v="377"/>
    <n v="65"/>
    <s v="Колос г.Гулькевичи ООО"/>
    <s v="Суханов В.Н."/>
    <s v="А569РР"/>
    <s v="3.3"/>
    <m/>
    <s v="Джоф"/>
    <s v="Горох овощной свежий 10.01"/>
    <n v="27970"/>
    <n v="14550"/>
    <n v="15.5"/>
    <n v="13420"/>
    <n v="11339.9"/>
    <x v="1"/>
    <x v="70"/>
    <n v="2080.1000000000004"/>
    <n v="0.15500000000000003"/>
    <n v="6"/>
    <n v="19"/>
    <x v="21"/>
    <x v="0"/>
  </r>
  <r>
    <s v="Акт входного контроля 000000505 от 19.06.2024 20:52:24"/>
    <s v="высший"/>
    <n v="378"/>
    <n v="66"/>
    <s v="Колос г.Гулькевичи ООО"/>
    <s v="Никитась С.А."/>
    <s v="К570ЕО"/>
    <s v="3.3"/>
    <m/>
    <s v="Джоф"/>
    <s v="Горох овощной свежий 10.01"/>
    <n v="28040"/>
    <n v="15030"/>
    <n v="18.5"/>
    <n v="13010"/>
    <n v="10603.1"/>
    <x v="1"/>
    <x v="70"/>
    <n v="2406.8999999999996"/>
    <n v="0.18500384319754032"/>
    <n v="6"/>
    <n v="19"/>
    <x v="21"/>
    <x v="0"/>
  </r>
  <r>
    <s v="Акт входного контроля 000000506 от 19.06.2024 21:47:12"/>
    <s v="высший"/>
    <n v="379"/>
    <n v="67"/>
    <s v="Колос г.Гулькевичи ООО"/>
    <s v="Пугачев С.В."/>
    <s v="Р258УХ"/>
    <s v="3.3"/>
    <m/>
    <s v="Джоф"/>
    <s v="Горох овощной свежий 10.01"/>
    <n v="30690"/>
    <n v="15430"/>
    <n v="17.5"/>
    <n v="15260"/>
    <n v="12589.5"/>
    <x v="1"/>
    <x v="70"/>
    <n v="2670.5"/>
    <n v="0.17499999999999999"/>
    <n v="6"/>
    <n v="19"/>
    <x v="21"/>
    <x v="0"/>
  </r>
  <r>
    <s v="Акт входного контроля 000000507 от 19.06.2024 2:30:38"/>
    <s v="высший"/>
    <n v="380"/>
    <n v="68"/>
    <s v="Колос г.Гулькевичи ООО"/>
    <s v="Лазаренко В.В"/>
    <s v="Т239УС"/>
    <s v="3.3"/>
    <m/>
    <s v="Джоф"/>
    <s v="Горох овощной свежий 10.01"/>
    <n v="30350"/>
    <n v="14830"/>
    <n v="27.5"/>
    <n v="15520"/>
    <n v="11252"/>
    <x v="1"/>
    <x v="70"/>
    <n v="4268"/>
    <n v="0.27500000000000002"/>
    <n v="6"/>
    <n v="19"/>
    <x v="21"/>
    <x v="0"/>
  </r>
  <r>
    <s v="Акт входного контроля 000000508 от 20.06.2024 6:08:07"/>
    <s v="высший"/>
    <n v="381"/>
    <n v="69"/>
    <s v="Колос г.Гулькевичи ООО"/>
    <s v="Черевко Александр Владимирович"/>
    <s v="А114МК"/>
    <s v="3.3"/>
    <m/>
    <s v="Джоф"/>
    <s v="Горох овощной свежий 10.01"/>
    <n v="27690"/>
    <n v="14560"/>
    <n v="23.5"/>
    <n v="13130"/>
    <n v="10044.4"/>
    <x v="1"/>
    <x v="71"/>
    <n v="3085.6000000000004"/>
    <n v="0.23500380807311502"/>
    <n v="6"/>
    <n v="20"/>
    <x v="22"/>
    <x v="0"/>
  </r>
  <r>
    <s v="Акт входного контроля 000000509 от 20.06.2024 6:24:29"/>
    <s v="высший"/>
    <n v="382"/>
    <n v="70"/>
    <s v="Колос г.Гулькевичи ООО"/>
    <s v="Чернецов Александр Михайлович"/>
    <s v="Р866РМ"/>
    <s v="2.1"/>
    <m/>
    <s v="Бутано"/>
    <s v="Горох овощной свежий 10.01"/>
    <n v="30100"/>
    <n v="15000"/>
    <n v="28.5"/>
    <n v="15100"/>
    <n v="10796.5"/>
    <x v="1"/>
    <x v="71"/>
    <n v="4303.5"/>
    <n v="0.28499999999999998"/>
    <n v="6"/>
    <n v="20"/>
    <x v="22"/>
    <x v="0"/>
  </r>
  <r>
    <s v="Акт входного контроля 000000510 от 20.06.2024 12:07:28"/>
    <s v="высший"/>
    <n v="383"/>
    <n v="71"/>
    <s v="Колос г.Гулькевичи ООО"/>
    <s v="Богучарский А. И."/>
    <s v="Е404УС"/>
    <s v="2.1"/>
    <m/>
    <s v="Бутано"/>
    <s v="Горох овощной свежий 10.01"/>
    <n v="29360"/>
    <n v="13960"/>
    <n v="23"/>
    <n v="15400"/>
    <n v="11858"/>
    <x v="1"/>
    <x v="71"/>
    <n v="3542"/>
    <n v="0.23"/>
    <n v="6"/>
    <n v="20"/>
    <x v="22"/>
    <x v="0"/>
  </r>
  <r>
    <s v="Акт входного контроля 000000511 от 20.06.2024 18:34:11"/>
    <s v="высший"/>
    <n v="386"/>
    <n v="72"/>
    <s v="Колос г.Гулькевичи ООО"/>
    <s v="Кулик О В"/>
    <s v="К403ЕМ"/>
    <s v="3.3"/>
    <m/>
    <s v="Джоф"/>
    <s v="Горох овощной свежий 10.01"/>
    <n v="32080"/>
    <n v="23630"/>
    <n v="14.5"/>
    <n v="8450"/>
    <n v="7224.7"/>
    <x v="1"/>
    <x v="71"/>
    <n v="1225.3000000000002"/>
    <n v="0.14500591715976333"/>
    <n v="6"/>
    <n v="20"/>
    <x v="22"/>
    <x v="0"/>
  </r>
  <r>
    <s v="Акт входного контроля 000000512 от 20.06.2024 13:03:50"/>
    <s v="высший"/>
    <n v="387"/>
    <n v="72"/>
    <s v="Колос г.Гулькевичи ООО"/>
    <s v="Кулик О В"/>
    <s v="К403ЕМ"/>
    <s v="2.1"/>
    <m/>
    <s v="Бутано"/>
    <s v="Горох овощной свежий 10.01"/>
    <n v="23630"/>
    <n v="17200"/>
    <n v="31.5"/>
    <n v="6430"/>
    <n v="4404.5"/>
    <x v="1"/>
    <x v="71"/>
    <n v="2025.5"/>
    <n v="0.31500777604976671"/>
    <n v="6"/>
    <n v="20"/>
    <x v="22"/>
    <x v="0"/>
  </r>
  <r>
    <s v="Акт входного контроля 000000513 от 20.06.2024 18:38:20"/>
    <s v="высший"/>
    <n v="388"/>
    <n v="73"/>
    <s v="Колос г.Гулькевичи ООО"/>
    <s v="Жданов А И"/>
    <s v="С707ОУ"/>
    <s v="3.3"/>
    <m/>
    <s v="Джоф"/>
    <s v="Горох овощной свежий 10.01"/>
    <n v="27810"/>
    <n v="14410"/>
    <n v="11.5"/>
    <n v="13400"/>
    <n v="11859"/>
    <x v="1"/>
    <x v="71"/>
    <n v="1541"/>
    <n v="0.115"/>
    <n v="6"/>
    <n v="20"/>
    <x v="22"/>
    <x v="0"/>
  </r>
  <r>
    <s v="Акт входного контроля 000000514 от 20.06.2024 18:40:03"/>
    <s v="высший"/>
    <n v="389"/>
    <n v="74"/>
    <s v="Колос г.Гулькевичи ООО"/>
    <s v="Гужва А М."/>
    <s v="Т285ВЕ"/>
    <s v="3.3"/>
    <m/>
    <s v="Джоф"/>
    <s v="Горох овощной свежий 10.01"/>
    <n v="28100"/>
    <n v="14950"/>
    <n v="16.5"/>
    <n v="13150"/>
    <n v="10980.2"/>
    <x v="1"/>
    <x v="71"/>
    <n v="2169.7999999999993"/>
    <n v="0.16500380228136877"/>
    <n v="6"/>
    <n v="20"/>
    <x v="22"/>
    <x v="0"/>
  </r>
  <r>
    <s v="Акт входного контроля 000000515 от 20.06.2024 23:27:16"/>
    <s v="высший"/>
    <n v="390"/>
    <n v="75"/>
    <s v="Колос г.Гулькевичи ООО"/>
    <s v="Никитась С.А."/>
    <s v="К570ЕО"/>
    <s v="3.3"/>
    <m/>
    <s v="Джоф"/>
    <s v="Горох овощной свежий 10.01"/>
    <n v="28250"/>
    <n v="14920"/>
    <n v="15.5"/>
    <n v="13330"/>
    <n v="11263.8"/>
    <x v="1"/>
    <x v="71"/>
    <n v="2066.2000000000007"/>
    <n v="0.1550037509377345"/>
    <n v="6"/>
    <n v="20"/>
    <x v="22"/>
    <x v="0"/>
  </r>
  <r>
    <s v="Акт входного контроля 000000516 от 20.06.2024 19:01:51"/>
    <s v="высший"/>
    <n v="391"/>
    <n v="76"/>
    <s v="Колос г.Гулькевичи ООО"/>
    <s v="Пугачев С.В."/>
    <s v="Р258УХ"/>
    <s v="3.3"/>
    <m/>
    <s v="Джоф"/>
    <s v="Горох овощной свежий 10.01"/>
    <n v="31040"/>
    <n v="15500"/>
    <n v="19.5"/>
    <n v="15540"/>
    <n v="12509.7"/>
    <x v="1"/>
    <x v="71"/>
    <n v="3030.2999999999993"/>
    <n v="0.19499999999999995"/>
    <n v="6"/>
    <n v="20"/>
    <x v="22"/>
    <x v="0"/>
  </r>
  <r>
    <s v="Акт входного контроля 000000517 от 20.06.2024 20:38:50"/>
    <s v="высший"/>
    <n v="392"/>
    <n v="78"/>
    <s v="Колос г.Гулькевичи ООО"/>
    <s v="Мудрак В В."/>
    <s v="Х514ОК"/>
    <s v="3.3"/>
    <m/>
    <s v="Джоф"/>
    <s v="Горох овощной свежий 10.01"/>
    <n v="38660"/>
    <n v="20880"/>
    <n v="20.5"/>
    <n v="17780"/>
    <n v="14135.1"/>
    <x v="1"/>
    <x v="71"/>
    <n v="3644.8999999999996"/>
    <n v="0.20499999999999999"/>
    <n v="6"/>
    <n v="20"/>
    <x v="22"/>
    <x v="0"/>
  </r>
  <r>
    <s v="Акт входного контроля 000000518 от 20.06.2024 22:23:19"/>
    <s v="высший"/>
    <n v="393"/>
    <n v="79"/>
    <s v="Колос г.Гулькевичи ООО"/>
    <s v="Чернецов Александр Михайлович"/>
    <s v="Р866РМ"/>
    <s v="3.3"/>
    <m/>
    <s v="Джоф"/>
    <s v="Горох овощной свежий 10.01"/>
    <n v="29680"/>
    <n v="14910"/>
    <n v="18.5"/>
    <n v="14770"/>
    <n v="12037.5"/>
    <x v="1"/>
    <x v="71"/>
    <n v="2732.5"/>
    <n v="0.18500338524035206"/>
    <n v="6"/>
    <n v="20"/>
    <x v="22"/>
    <x v="0"/>
  </r>
  <r>
    <s v="Акт входного контроля 000000519 от 21.06.2024 6:01:07"/>
    <s v="высший"/>
    <n v="394"/>
    <n v="80"/>
    <s v="Колос г.Гулькевичи ООО"/>
    <s v="Кириченко В.Н."/>
    <s v="А957РР"/>
    <s v="3.3"/>
    <m/>
    <s v="Джоф"/>
    <s v="Горох овощной свежий 10.01"/>
    <n v="33510"/>
    <n v="17420"/>
    <n v="14.5"/>
    <n v="16090"/>
    <n v="13756.9"/>
    <x v="1"/>
    <x v="72"/>
    <n v="2333.1000000000004"/>
    <n v="0.1450031075201989"/>
    <n v="6"/>
    <n v="21"/>
    <x v="23"/>
    <x v="0"/>
  </r>
  <r>
    <s v="Акт входного контроля 000000520 от 21.06.2024 7:37:57"/>
    <s v="высший"/>
    <n v="395"/>
    <n v="81"/>
    <s v="Колос г.Гулькевичи ООО"/>
    <s v="Черевко Александр Владимирович"/>
    <s v="А114МК"/>
    <s v="3.3"/>
    <m/>
    <s v="Джоф"/>
    <s v="Горох овощной свежий 10.01"/>
    <n v="30450"/>
    <n v="14680"/>
    <n v="14.5"/>
    <n v="15770"/>
    <n v="13483.3"/>
    <x v="1"/>
    <x v="72"/>
    <n v="2286.7000000000007"/>
    <n v="0.14500317057704507"/>
    <n v="6"/>
    <n v="21"/>
    <x v="23"/>
    <x v="0"/>
  </r>
  <r>
    <s v="Акт входного контроля 000000521 от 21.06.2024 9:46:52"/>
    <s v="высший"/>
    <n v="396"/>
    <n v="77"/>
    <s v="Колос г.Гулькевичи ООО"/>
    <s v="Лазаренко В.В"/>
    <s v="Т239УС"/>
    <s v="3.3"/>
    <m/>
    <s v="Джоф"/>
    <s v="Горох овощной свежий 10.01"/>
    <n v="30060"/>
    <n v="14780"/>
    <n v="17.5"/>
    <n v="15280"/>
    <n v="12606"/>
    <x v="1"/>
    <x v="72"/>
    <n v="2674"/>
    <n v="0.17499999999999999"/>
    <n v="6"/>
    <n v="21"/>
    <x v="23"/>
    <x v="0"/>
  </r>
  <r>
    <s v="Акт входного контроля 000000522 от 21.06.2024 11:32:12"/>
    <s v="высший"/>
    <n v="398"/>
    <n v="82"/>
    <s v="Колос г.Гулькевичи ООО"/>
    <s v="Никитась С.А."/>
    <s v="К570ЕО"/>
    <s v="3.3"/>
    <m/>
    <s v="Джоф"/>
    <s v="Горох овощной свежий 10.01"/>
    <n v="28970"/>
    <n v="14970"/>
    <n v="15.5"/>
    <n v="14000"/>
    <n v="11830"/>
    <x v="1"/>
    <x v="72"/>
    <n v="2170"/>
    <n v="0.155"/>
    <n v="6"/>
    <n v="21"/>
    <x v="23"/>
    <x v="0"/>
  </r>
  <r>
    <s v="Акт входного контроля 000000523 от 21.06.2024 16:40:23"/>
    <s v="высший"/>
    <n v="400"/>
    <n v="83"/>
    <s v="Колос г.Гулькевичи ООО"/>
    <s v="Пугачев С.В."/>
    <s v="Р258УХ"/>
    <s v="2.1"/>
    <m/>
    <s v="Бутано"/>
    <s v="Горох овощной свежий 10.01"/>
    <n v="30510"/>
    <n v="15370"/>
    <n v="23.5"/>
    <n v="15140"/>
    <n v="11582.1"/>
    <x v="1"/>
    <x v="72"/>
    <n v="3557.8999999999996"/>
    <n v="0.23499999999999999"/>
    <n v="6"/>
    <n v="21"/>
    <x v="23"/>
    <x v="0"/>
  </r>
  <r>
    <s v="Акт входного контроля 000000524 от 21.06.2024 22:53:27"/>
    <s v="высший"/>
    <n v="402"/>
    <n v="84"/>
    <s v="Колос г.Гулькевичи ООО"/>
    <s v="Чернецов Александр Михайлович"/>
    <s v="Р866РМ"/>
    <s v="2.1"/>
    <m/>
    <s v="Бутано"/>
    <s v="Горох овощной свежий 10.01"/>
    <n v="31580"/>
    <n v="14790"/>
    <n v="16.5"/>
    <n v="16790"/>
    <n v="14019.6"/>
    <x v="1"/>
    <x v="72"/>
    <n v="2770.3999999999996"/>
    <n v="0.16500297796307323"/>
    <n v="6"/>
    <n v="21"/>
    <x v="23"/>
    <x v="0"/>
  </r>
  <r>
    <s v="Акт входного контроля 000000525 от 21.06.2024 19:32:03"/>
    <s v="высший"/>
    <n v="403"/>
    <n v="85"/>
    <s v="Колос г.Гулькевичи ООО"/>
    <s v="Лазаренко В.В"/>
    <s v="Т239УС"/>
    <s v="2.1"/>
    <m/>
    <s v="Бутано"/>
    <s v="Горох овощной свежий 10.01"/>
    <n v="31580"/>
    <n v="14890"/>
    <n v="19.5"/>
    <n v="16690"/>
    <n v="13435.4"/>
    <x v="1"/>
    <x v="72"/>
    <n v="3254.6000000000004"/>
    <n v="0.1950029958058718"/>
    <n v="6"/>
    <n v="21"/>
    <x v="23"/>
    <x v="0"/>
  </r>
  <r>
    <s v="Акт входного контроля 000000526 от 21.06.2024 20:53:27"/>
    <s v="высший"/>
    <n v="404"/>
    <n v="86"/>
    <s v="Колос г.Гулькевичи ООО"/>
    <s v="Кулик О В"/>
    <s v="К403ЕМ"/>
    <s v="2.1"/>
    <m/>
    <s v="Бутано"/>
    <s v="Горох овощной свежий 10.01"/>
    <n v="39930"/>
    <n v="17290"/>
    <n v="18.5"/>
    <n v="22640"/>
    <n v="18451.599999999999"/>
    <x v="1"/>
    <x v="72"/>
    <n v="4188.4000000000015"/>
    <n v="0.18500000000000005"/>
    <n v="6"/>
    <n v="21"/>
    <x v="23"/>
    <x v="0"/>
  </r>
  <r>
    <s v="Акт входного контроля 000000527 от 22.06.2024 16:51:30"/>
    <s v="высший"/>
    <n v="405"/>
    <n v="87"/>
    <s v="Колос г.Гулькевичи ООО"/>
    <s v="Черевко Александр Владимирович"/>
    <s v="А114МК"/>
    <s v="3.1"/>
    <m/>
    <s v="Бутано"/>
    <s v="Горох овощной свежий 10.01"/>
    <n v="23670"/>
    <n v="14450"/>
    <n v="23.5"/>
    <n v="9220"/>
    <n v="7053.3"/>
    <x v="1"/>
    <x v="73"/>
    <n v="2166.6999999999998"/>
    <n v="0.23499999999999999"/>
    <n v="6"/>
    <n v="22"/>
    <x v="24"/>
    <x v="0"/>
  </r>
  <r>
    <s v="Акт входного контроля 000000528 от 24.06.2024 10:09:54"/>
    <s v="высший"/>
    <n v="407"/>
    <n v="88"/>
    <s v="Колос г.Гулькевичи ООО"/>
    <s v="Богучарский А. И."/>
    <s v="Е404УС"/>
    <s v="3.1"/>
    <m/>
    <s v="Бутано"/>
    <s v="Горох овощной свежий 10.01"/>
    <n v="28230"/>
    <n v="14090"/>
    <n v="15.5"/>
    <n v="14140"/>
    <n v="11948.3"/>
    <x v="1"/>
    <x v="74"/>
    <n v="2191.7000000000007"/>
    <n v="0.15500000000000005"/>
    <n v="6"/>
    <n v="24"/>
    <x v="26"/>
    <x v="0"/>
  </r>
  <r>
    <s v="Акт входного контроля 000000529 от 24.06.2024 19:06:50"/>
    <s v="высший"/>
    <n v="408"/>
    <n v="89"/>
    <s v="Колос г.Гулькевичи ООО"/>
    <s v="Черевко Александр Владимирович"/>
    <s v="А114МК"/>
    <s v="3.1"/>
    <m/>
    <s v="Бутано"/>
    <s v="Горох овощной свежий 10.01"/>
    <n v="31880"/>
    <n v="23210"/>
    <n v="13.5"/>
    <n v="8670"/>
    <n v="7499.5"/>
    <x v="1"/>
    <x v="74"/>
    <n v="1170.5"/>
    <n v="0.13500576701268743"/>
    <n v="6"/>
    <n v="24"/>
    <x v="26"/>
    <x v="0"/>
  </r>
  <r>
    <s v="Акт входного контроля 000000530 от 24.06.2024 19:16:42"/>
    <s v="высший"/>
    <n v="409"/>
    <n v="89"/>
    <s v="Колос г.Гулькевичи ООО"/>
    <s v="Черевко Александр Владимирович"/>
    <s v="А114МК"/>
    <s v="1.3"/>
    <m/>
    <s v="Стандана"/>
    <s v="Горох овощной свежий 10.01"/>
    <n v="23210"/>
    <n v="14430"/>
    <n v="21.5"/>
    <n v="8780"/>
    <n v="6892.3"/>
    <x v="1"/>
    <x v="74"/>
    <n v="1887.6999999999998"/>
    <n v="0.21499999999999997"/>
    <n v="6"/>
    <n v="24"/>
    <x v="26"/>
    <x v="0"/>
  </r>
  <r>
    <s v="Акт входного контроля 000000531 от 24.06.2024 19:30:40"/>
    <s v="высший"/>
    <n v="410"/>
    <n v="90"/>
    <s v="Колос г.Гулькевичи ООО"/>
    <s v="Кириченко В.Н."/>
    <s v="А957РР"/>
    <s v="3.1"/>
    <m/>
    <s v="Бутано"/>
    <s v="Горох овощной свежий 10.01"/>
    <n v="35270"/>
    <n v="17300"/>
    <n v="10.5"/>
    <n v="17970"/>
    <n v="16083.1"/>
    <x v="1"/>
    <x v="74"/>
    <n v="1886.8999999999996"/>
    <n v="0.10500278241513632"/>
    <n v="6"/>
    <n v="24"/>
    <x v="26"/>
    <x v="0"/>
  </r>
  <r>
    <s v="Акт входного контроля 000000532 от 24.06.2024 20:39:09"/>
    <s v="высший"/>
    <n v="411"/>
    <n v="91"/>
    <s v="Колос г.Гулькевичи ООО"/>
    <s v="Мудрак В В."/>
    <s v="Х514ОК"/>
    <s v="3.1"/>
    <m/>
    <s v="Бутано"/>
    <s v="Горох овощной свежий 10.01"/>
    <n v="38440"/>
    <n v="20940"/>
    <n v="9.5"/>
    <n v="17500"/>
    <n v="15837.5"/>
    <x v="1"/>
    <x v="74"/>
    <n v="1662.5"/>
    <n v="9.5000000000000001E-2"/>
    <n v="6"/>
    <n v="24"/>
    <x v="26"/>
    <x v="0"/>
  </r>
  <r>
    <s v="Акт входного контроля 000000533 от 24.06.2024 21:44:38"/>
    <s v="высший"/>
    <n v="412"/>
    <n v="92"/>
    <s v="Колос г.Гулькевичи ООО"/>
    <s v="Гужва А М."/>
    <s v="Т285ВЕ"/>
    <s v="3.1"/>
    <m/>
    <s v="Бутано"/>
    <s v="Горох овощной свежий 10.01"/>
    <n v="27900"/>
    <n v="14860"/>
    <n v="10.5"/>
    <n v="13040"/>
    <n v="11670.8"/>
    <x v="1"/>
    <x v="74"/>
    <n v="1369.2000000000007"/>
    <n v="0.10500000000000005"/>
    <n v="6"/>
    <n v="24"/>
    <x v="26"/>
    <x v="0"/>
  </r>
  <r>
    <s v="Акт входного контроля 000000534 от 25.06.2024 0:51:30"/>
    <s v="высший"/>
    <n v="413"/>
    <n v="93"/>
    <s v="Колос г.Гулькевичи ООО"/>
    <s v="Жданов А И"/>
    <s v="С707ОУ"/>
    <s v="3.1"/>
    <m/>
    <s v="Бутано"/>
    <s v="Горох овощной свежий 10.01"/>
    <n v="27420"/>
    <n v="14400"/>
    <n v="11.5"/>
    <n v="13020"/>
    <n v="11522.7"/>
    <x v="1"/>
    <x v="75"/>
    <n v="1497.2999999999993"/>
    <n v="0.11499999999999995"/>
    <n v="6"/>
    <n v="25"/>
    <x v="27"/>
    <x v="0"/>
  </r>
  <r>
    <s v="Акт входного контроля 000000535 от 25.06.2024 9:36:32"/>
    <s v="высший"/>
    <n v="414"/>
    <n v="94"/>
    <s v="Колос г.Гулькевичи ООО"/>
    <s v="Богучарский А. И."/>
    <s v="Е404УС"/>
    <s v="1.3"/>
    <m/>
    <s v="Стандана"/>
    <s v="Горох овощной свежий 10.01"/>
    <n v="27520"/>
    <n v="14020"/>
    <n v="22.5"/>
    <n v="13500"/>
    <n v="10462.5"/>
    <x v="1"/>
    <x v="75"/>
    <n v="3037.5"/>
    <n v="0.22500000000000001"/>
    <n v="6"/>
    <n v="25"/>
    <x v="27"/>
    <x v="0"/>
  </r>
  <r>
    <s v="Акт входного контроля 000000536 от 25.06.2024 17:52:23"/>
    <s v="высший"/>
    <n v="415"/>
    <n v="95"/>
    <s v="Колос г.Гулькевичи ООО"/>
    <s v="Годлевский Олег Владимирович"/>
    <s v="А613МА"/>
    <s v="3.1"/>
    <m/>
    <s v="Бутано"/>
    <s v="Горох овощной свежий 10.01"/>
    <n v="36100"/>
    <n v="18730"/>
    <n v="14.5"/>
    <n v="17370"/>
    <n v="14851.3"/>
    <x v="1"/>
    <x v="75"/>
    <n v="2518.7000000000007"/>
    <n v="0.14500287852619462"/>
    <n v="6"/>
    <n v="25"/>
    <x v="27"/>
    <x v="0"/>
  </r>
  <r>
    <s v="Акт входного контроля 000000537 от 25.06.2024 16:27:50"/>
    <s v="высший"/>
    <n v="417"/>
    <n v="96"/>
    <s v="Колос г.Гулькевичи ООО"/>
    <s v="Кириченко В.Н."/>
    <s v="А957РР"/>
    <s v="1.3"/>
    <m/>
    <s v="Стандана"/>
    <s v="Горох овощной свежий 10.01"/>
    <n v="34540"/>
    <n v="25890"/>
    <n v="45.5"/>
    <n v="8650"/>
    <n v="4714.2"/>
    <x v="1"/>
    <x v="75"/>
    <n v="3935.8"/>
    <n v="0.45500578034682082"/>
    <n v="6"/>
    <n v="25"/>
    <x v="27"/>
    <x v="0"/>
  </r>
  <r>
    <s v="Акт входного контроля 000000538 от 25.06.2024 19:18:28"/>
    <s v="первый"/>
    <n v="418"/>
    <n v="96"/>
    <s v="Колос г.Гулькевичи ООО"/>
    <s v="Кириченко В.Н."/>
    <s v="А957РР"/>
    <s v="3.1"/>
    <m/>
    <s v="Бутано"/>
    <s v="Горох овощной свежий 10.01"/>
    <n v="25890"/>
    <n v="17420"/>
    <n v="12"/>
    <n v="8470"/>
    <n v="7453.6"/>
    <x v="1"/>
    <x v="75"/>
    <n v="1016.3999999999996"/>
    <n v="0.11999999999999995"/>
    <n v="6"/>
    <n v="25"/>
    <x v="27"/>
    <x v="0"/>
  </r>
  <r>
    <s v="Акт входного контроля 000000539 от 25.06.2024 19:56:34"/>
    <s v="высший"/>
    <n v="419"/>
    <n v="97"/>
    <s v="Колос г.Гулькевичи ООО"/>
    <s v="Черевко Александр Владимирович"/>
    <s v="А114МК"/>
    <s v="1.3"/>
    <m/>
    <s v="Стандана"/>
    <s v="Горох овощной свежий 10.01"/>
    <n v="29200"/>
    <n v="14490"/>
    <n v="32.5"/>
    <n v="14710"/>
    <n v="9929.2000000000007"/>
    <x v="1"/>
    <x v="75"/>
    <n v="4780.7999999999993"/>
    <n v="0.32500339904826642"/>
    <n v="6"/>
    <n v="25"/>
    <x v="27"/>
    <x v="0"/>
  </r>
  <r>
    <s v="Акт входного контроля 000000540 от 25.06.2024 4:08:25"/>
    <s v="высший"/>
    <n v="420"/>
    <n v="98"/>
    <s v="Колос г.Гулькевичи ООО"/>
    <s v="Мудрак В В."/>
    <s v="Х514ОК"/>
    <s v="1.4"/>
    <m/>
    <s v="Стандана"/>
    <s v="Горох овощной свежий 10.01"/>
    <n v="38670"/>
    <n v="21020"/>
    <n v="34.5"/>
    <n v="17650"/>
    <n v="11560.7"/>
    <x v="1"/>
    <x v="75"/>
    <n v="6089.2999999999993"/>
    <n v="0.34500283286118977"/>
    <n v="6"/>
    <n v="25"/>
    <x v="27"/>
    <x v="0"/>
  </r>
  <r>
    <s v="Акт входного контроля 000000541 от 26.06.2024 4:14:36"/>
    <s v="высший"/>
    <n v="421"/>
    <n v="99"/>
    <s v="Колос г.Гулькевичи ООО"/>
    <s v="Жданов А И"/>
    <s v="С707ОУ"/>
    <s v="1.4"/>
    <m/>
    <s v="Стандана"/>
    <s v="Горох овощной свежий 10.01"/>
    <n v="27310"/>
    <n v="14440"/>
    <n v="36.5"/>
    <n v="12870"/>
    <n v="8172.4"/>
    <x v="1"/>
    <x v="76"/>
    <n v="4697.6000000000004"/>
    <n v="0.36500388500388503"/>
    <n v="6"/>
    <n v="26"/>
    <x v="28"/>
    <x v="0"/>
  </r>
  <r>
    <s v="Акт входного контроля 000000542 от 26.06.2024 7:44:53"/>
    <s v="высший"/>
    <n v="422"/>
    <n v="100"/>
    <s v="Колос г.Гулькевичи ООО"/>
    <s v="Гужва А М."/>
    <s v="Т285ВЕ"/>
    <s v="1.4"/>
    <m/>
    <s v="Стандана"/>
    <s v="Горох овощной свежий 10.01"/>
    <n v="27850"/>
    <n v="14910"/>
    <n v="32"/>
    <n v="12940"/>
    <n v="8799.2000000000007"/>
    <x v="1"/>
    <x v="76"/>
    <n v="4140.7999999999993"/>
    <n v="0.31999999999999995"/>
    <n v="6"/>
    <n v="26"/>
    <x v="28"/>
    <x v="0"/>
  </r>
  <r>
    <s v="Акт входного контроля 000000543 от 26.06.2024 9:36:06"/>
    <s v="высший"/>
    <n v="423"/>
    <n v="101"/>
    <s v="Колос г.Гулькевичи ООО"/>
    <s v="Богучарский А. И."/>
    <s v="Е404УС"/>
    <s v="1.4"/>
    <m/>
    <s v="Стандана"/>
    <s v="Горох овощной свежий 10.01"/>
    <n v="28460"/>
    <n v="14120"/>
    <n v="36.5"/>
    <n v="14340"/>
    <n v="9105.9"/>
    <x v="1"/>
    <x v="76"/>
    <n v="5234.1000000000004"/>
    <n v="0.36500000000000005"/>
    <n v="6"/>
    <n v="26"/>
    <x v="28"/>
    <x v="0"/>
  </r>
  <r>
    <s v="Акт входного контроля 000000544 от 26.06.2024 15:29:40"/>
    <s v="высший"/>
    <n v="425"/>
    <n v="102"/>
    <s v="Колос г.Гулькевичи ООО"/>
    <s v="Годлевский Олег Владимирович"/>
    <s v="А613МА"/>
    <s v="1.4"/>
    <m/>
    <s v="Стандана"/>
    <s v="Горох овощной свежий 10.01"/>
    <n v="35620"/>
    <n v="18550"/>
    <n v="30.5"/>
    <n v="17070"/>
    <n v="11863.6"/>
    <x v="1"/>
    <x v="76"/>
    <n v="5206.3999999999996"/>
    <n v="0.30500292911540711"/>
    <n v="6"/>
    <n v="26"/>
    <x v="28"/>
    <x v="0"/>
  </r>
  <r>
    <s v="Акт входного контроля 000000545 от 26.06.2024 18:10:42"/>
    <s v="высший"/>
    <n v="428"/>
    <n v="103"/>
    <s v="Колос г.Гулькевичи ООО"/>
    <s v="Лазаренко В.В"/>
    <s v="Т239УС"/>
    <s v="1.4"/>
    <m/>
    <s v="Стандана"/>
    <s v="Горох овощной свежий 10.01"/>
    <n v="30030"/>
    <n v="14890"/>
    <n v="35.5"/>
    <n v="15140"/>
    <n v="9765.2999999999993"/>
    <x v="1"/>
    <x v="76"/>
    <n v="5374.7000000000007"/>
    <n v="0.35500000000000004"/>
    <n v="6"/>
    <n v="26"/>
    <x v="28"/>
    <x v="0"/>
  </r>
  <r>
    <s v="Акт входного контроля 000000546 от 26.06.2024 21:33:36"/>
    <s v="высший"/>
    <n v="429"/>
    <n v="104"/>
    <s v="Колос г.Гулькевичи ООО"/>
    <s v="Богучарский А. И."/>
    <s v="Е404УС"/>
    <s v="1.4"/>
    <m/>
    <s v="Стандана"/>
    <s v="Горох овощной свежий 10.01"/>
    <n v="29450"/>
    <n v="13940"/>
    <n v="32.5"/>
    <n v="15510"/>
    <n v="10469.200000000001"/>
    <x v="1"/>
    <x v="76"/>
    <n v="5040.7999999999993"/>
    <n v="0.32500322372662793"/>
    <n v="6"/>
    <n v="26"/>
    <x v="28"/>
    <x v="0"/>
  </r>
  <r>
    <s v="Акт входного контроля 000000547 от 26.06.2024 23:58:10"/>
    <s v="первый"/>
    <n v="430"/>
    <n v="105"/>
    <s v="Колос г.Гулькевичи ООО"/>
    <s v="Мудрак В В."/>
    <s v="Х514ОК"/>
    <s v="3.1"/>
    <m/>
    <s v="Стандана"/>
    <s v="Горох овощной свежий 10.01"/>
    <n v="38690"/>
    <n v="20870"/>
    <n v="26.5"/>
    <n v="17820"/>
    <n v="13097.7"/>
    <x v="1"/>
    <x v="76"/>
    <n v="4722.2999999999993"/>
    <n v="0.26499999999999996"/>
    <n v="6"/>
    <n v="26"/>
    <x v="28"/>
    <x v="0"/>
  </r>
  <r>
    <s v="Акт входного контроля 000000548 от 27.06.2024 3:01:41"/>
    <s v="первый"/>
    <n v="431"/>
    <n v="106"/>
    <s v="Колос г.Гулькевичи ООО"/>
    <s v="Гужва А М."/>
    <s v="Т285ВЕ"/>
    <s v="3.1"/>
    <m/>
    <s v="Стандана"/>
    <s v="Горох овощной свежий 10.01"/>
    <n v="27780"/>
    <n v="14880"/>
    <n v="18.5"/>
    <n v="12900"/>
    <n v="10513.5"/>
    <x v="1"/>
    <x v="77"/>
    <n v="2386.5"/>
    <n v="0.185"/>
    <n v="6"/>
    <n v="27"/>
    <x v="29"/>
    <x v="0"/>
  </r>
  <r>
    <s v="Акт входного контроля 000000549 от 27.06.2024 4:49:38"/>
    <s v="первый"/>
    <n v="432"/>
    <n v="107"/>
    <s v="Колос г.Гулькевичи ООО"/>
    <s v="Жданов А И"/>
    <s v="С707ОУ"/>
    <s v="3.1"/>
    <m/>
    <s v="Стандана"/>
    <s v="Горох овощной свежий 10.01"/>
    <n v="27640"/>
    <n v="14420"/>
    <n v="19.5"/>
    <n v="13220"/>
    <n v="10642.1"/>
    <x v="1"/>
    <x v="77"/>
    <n v="2577.8999999999996"/>
    <n v="0.19499999999999998"/>
    <n v="6"/>
    <n v="27"/>
    <x v="29"/>
    <x v="0"/>
  </r>
  <r>
    <s v="Акт входного контроля 000000550 от 27.06.2024 9:23:28"/>
    <s v="высший"/>
    <n v="433"/>
    <n v="108"/>
    <s v="Колос г.Гулькевичи ООО"/>
    <s v="Годлевский Олег Владимирович"/>
    <s v="А613МА"/>
    <s v="3.1"/>
    <m/>
    <s v="Стандана"/>
    <s v="Горох овощной свежий 10.01"/>
    <n v="35980"/>
    <n v="18440"/>
    <n v="19.5"/>
    <n v="17540"/>
    <n v="14119.7"/>
    <x v="1"/>
    <x v="77"/>
    <n v="3420.2999999999993"/>
    <n v="0.19499999999999995"/>
    <n v="6"/>
    <n v="27"/>
    <x v="29"/>
    <x v="0"/>
  </r>
  <r>
    <s v="Акт входного контроля 000000551 от 27.06.2024 11:02:42"/>
    <s v="высший"/>
    <n v="434"/>
    <n v="109"/>
    <s v="Колос г.Гулькевичи ООО"/>
    <s v="Лазаренко В.В"/>
    <s v="Т239УС"/>
    <s v="3.1"/>
    <m/>
    <s v="Стандана"/>
    <s v="Горох овощной свежий 10.01"/>
    <n v="30100"/>
    <n v="14780"/>
    <n v="18.5"/>
    <n v="15320"/>
    <n v="12485.8"/>
    <x v="1"/>
    <x v="77"/>
    <n v="2834.2000000000007"/>
    <n v="0.18500000000000005"/>
    <n v="6"/>
    <n v="27"/>
    <x v="29"/>
    <x v="0"/>
  </r>
  <r>
    <s v="Акт входного контроля 000000552 от 27.06.2024 15:28:37"/>
    <s v="первый"/>
    <n v="439"/>
    <n v="110"/>
    <s v="Колос г.Гулькевичи ООО"/>
    <s v="Кириченко В.Н."/>
    <s v="А957РР"/>
    <s v="3.1"/>
    <m/>
    <s v="Стандана"/>
    <s v="Горох овощной свежий 10.01"/>
    <n v="32340"/>
    <n v="17320"/>
    <n v="14.5"/>
    <n v="15020"/>
    <n v="12842.1"/>
    <x v="1"/>
    <x v="77"/>
    <n v="2177.8999999999996"/>
    <n v="0.14499999999999996"/>
    <n v="6"/>
    <n v="27"/>
    <x v="29"/>
    <x v="0"/>
  </r>
  <r>
    <s v="Акт входного контроля 000000553 от 27.06.2024 15:50:24"/>
    <s v="первый"/>
    <n v="440"/>
    <n v="111"/>
    <s v="Колос г.Гулькевичи ООО"/>
    <s v="Черевко Александр Владимирович"/>
    <s v="А114МК"/>
    <s v="3.1"/>
    <m/>
    <s v="Стандана"/>
    <s v="Горох овощной свежий 10.01"/>
    <n v="30120"/>
    <n v="14520"/>
    <n v="16.5"/>
    <n v="15600"/>
    <n v="13026"/>
    <x v="1"/>
    <x v="77"/>
    <n v="2574"/>
    <n v="0.16500000000000001"/>
    <n v="6"/>
    <n v="27"/>
    <x v="29"/>
    <x v="0"/>
  </r>
  <r>
    <s v="Акт входного контроля 000000554 от 27.06.2024 19:40:42"/>
    <s v="первый"/>
    <n v="441"/>
    <n v="112"/>
    <s v="Колос г.Гулькевичи ООО"/>
    <s v="Мудрак В В."/>
    <s v="Х514ОК"/>
    <s v="3.1"/>
    <m/>
    <s v="Стандана"/>
    <s v="Горох овощной свежий 10.01"/>
    <n v="38960"/>
    <n v="21010"/>
    <n v="13.5"/>
    <n v="17950"/>
    <n v="15526.7"/>
    <x v="1"/>
    <x v="77"/>
    <n v="2423.2999999999993"/>
    <n v="0.1350027855153203"/>
    <n v="6"/>
    <n v="27"/>
    <x v="29"/>
    <x v="0"/>
  </r>
  <r>
    <s v="Акт входного контроля 000000555 от 27.06.2024 21:41:01"/>
    <s v="первый"/>
    <n v="442"/>
    <n v="113"/>
    <s v="Колос г.Гулькевичи ООО"/>
    <s v="Лазаренко В.В"/>
    <s v="Т239УС"/>
    <s v="3.1"/>
    <m/>
    <s v="Стандана"/>
    <s v="Горох овощной свежий 10.01"/>
    <n v="30500"/>
    <n v="14830"/>
    <n v="15.5"/>
    <n v="15670"/>
    <n v="13241.1"/>
    <x v="1"/>
    <x v="77"/>
    <n v="2428.8999999999996"/>
    <n v="0.15500319081046585"/>
    <n v="6"/>
    <n v="27"/>
    <x v="29"/>
    <x v="0"/>
  </r>
  <r>
    <s v="Акт входного контроля 000000556 от 27.06.2024 21:52:20"/>
    <s v="первый"/>
    <n v="443"/>
    <n v="114"/>
    <s v="Колос г.Гулькевичи ООО"/>
    <s v="Годлевский Олег Владимирович"/>
    <s v="А613МА"/>
    <s v="3.1"/>
    <m/>
    <s v="Стандана"/>
    <s v="Горох овощной свежий 10.01"/>
    <n v="36880"/>
    <n v="18690"/>
    <n v="24.5"/>
    <n v="18190"/>
    <n v="13733.4"/>
    <x v="1"/>
    <x v="77"/>
    <n v="4456.6000000000004"/>
    <n v="0.24500274876305664"/>
    <n v="6"/>
    <n v="27"/>
    <x v="29"/>
    <x v="0"/>
  </r>
  <r>
    <s v="Акт входного контроля 000000557 от 28.06.2024 3:10:34"/>
    <s v="первый"/>
    <n v="444"/>
    <n v="115"/>
    <s v="Колос г.Гулькевичи ООО"/>
    <s v="Богучарский А. И."/>
    <s v="Е404УС"/>
    <s v="3.1"/>
    <m/>
    <s v="Стандана"/>
    <s v="Горох овощной свежий 10.01"/>
    <n v="31910"/>
    <n v="14030"/>
    <n v="17.5"/>
    <n v="17880"/>
    <n v="14751"/>
    <x v="1"/>
    <x v="78"/>
    <n v="3129"/>
    <n v="0.17499999999999999"/>
    <n v="6"/>
    <n v="28"/>
    <x v="30"/>
    <x v="0"/>
  </r>
  <r>
    <s v="Акт входного контроля 000000558 от 28.06.2024 5:18:01"/>
    <s v="первый"/>
    <n v="445"/>
    <n v="116"/>
    <s v="Колос г.Гулькевичи ООО"/>
    <s v="Кириченко В.Н."/>
    <s v="А957РР"/>
    <s v="3.1"/>
    <m/>
    <s v="Стандана"/>
    <s v="Горох овощной свежий 10.01"/>
    <n v="35030"/>
    <n v="17220"/>
    <n v="17.5"/>
    <n v="17810"/>
    <n v="14693.2"/>
    <x v="1"/>
    <x v="78"/>
    <n v="3116.7999999999993"/>
    <n v="0.17500280741156649"/>
    <n v="6"/>
    <n v="28"/>
    <x v="30"/>
    <x v="0"/>
  </r>
  <r>
    <s v="Акт входного контроля 000000559 от 28.06.2024 9:58:34"/>
    <s v="первый"/>
    <n v="447"/>
    <n v="117"/>
    <s v="Колос г.Гулькевичи ООО"/>
    <s v="Жданов А И"/>
    <s v="С707ОУ"/>
    <s v="3.1"/>
    <m/>
    <s v="Стандана"/>
    <s v="Горох овощной свежий 10.01"/>
    <n v="30080"/>
    <n v="14410"/>
    <n v="15.5"/>
    <n v="15670"/>
    <n v="13241.1"/>
    <x v="1"/>
    <x v="78"/>
    <n v="2428.8999999999996"/>
    <n v="0.15500319081046585"/>
    <n v="6"/>
    <n v="28"/>
    <x v="30"/>
    <x v="0"/>
  </r>
  <r>
    <s v="Акт входного контроля 000000560 от 28.06.2024 15:11:57"/>
    <s v="первый"/>
    <n v="449"/>
    <n v="118"/>
    <s v="Колос г.Гулькевичи ООО"/>
    <s v="Чернецов Александр Михайлович"/>
    <s v="Р866РМ"/>
    <s v="3.1"/>
    <m/>
    <s v="Стандана"/>
    <s v="Горох овощной свежий 10.01"/>
    <n v="33700"/>
    <n v="14830"/>
    <n v="12.5"/>
    <n v="18870"/>
    <n v="16511.2"/>
    <x v="1"/>
    <x v="78"/>
    <n v="2358.7999999999993"/>
    <n v="0.12500264970853203"/>
    <n v="6"/>
    <n v="28"/>
    <x v="30"/>
    <x v="0"/>
  </r>
  <r>
    <s v="Акт входного контроля 000000561 от 28.06.2024 20:06:03"/>
    <s v="первый"/>
    <n v="450"/>
    <n v="119"/>
    <s v="Колос г.Гулькевичи ООО"/>
    <s v="Лазаренко В.В"/>
    <s v="Т239УС"/>
    <s v="1.3"/>
    <m/>
    <s v="Стандана"/>
    <s v="Горох овощной свежий 10.01"/>
    <n v="25480"/>
    <n v="20760"/>
    <n v="57.5"/>
    <n v="4720"/>
    <n v="2006"/>
    <x v="1"/>
    <x v="78"/>
    <n v="2714"/>
    <n v="0.57499999999999996"/>
    <n v="6"/>
    <n v="28"/>
    <x v="30"/>
    <x v="0"/>
  </r>
  <r>
    <s v="Акт входного контроля 000000562 от 28.06.2024 20:05:57"/>
    <s v="первый"/>
    <n v="451"/>
    <n v="119"/>
    <s v="Колос г.Гулькевичи ООО"/>
    <s v="Лазаренко В.В"/>
    <s v="Т239УС"/>
    <s v="3.1"/>
    <m/>
    <s v="Стандана"/>
    <s v="Горох овощной свежий 10.01"/>
    <n v="20760"/>
    <n v="14950"/>
    <n v="11.5"/>
    <n v="5810"/>
    <n v="5141.8"/>
    <x v="1"/>
    <x v="78"/>
    <n v="668.19999999999982"/>
    <n v="0.11500860585197932"/>
    <n v="6"/>
    <n v="28"/>
    <x v="30"/>
    <x v="0"/>
  </r>
  <r>
    <s v="Акт входного контроля 000000563 от 28.06.2024 20:11:48"/>
    <s v="первый"/>
    <n v="452"/>
    <n v="120"/>
    <s v="Колос г.Гулькевичи ООО"/>
    <s v="Черевко Александр Владимирович"/>
    <s v="А114МК"/>
    <s v="1.3"/>
    <m/>
    <s v="Стандана"/>
    <s v="Горох овощной свежий 10.01"/>
    <n v="19550"/>
    <n v="14530"/>
    <n v="51.5"/>
    <n v="5020"/>
    <n v="2434.6999999999998"/>
    <x v="1"/>
    <x v="78"/>
    <n v="2585.3000000000002"/>
    <n v="0.51500000000000001"/>
    <n v="6"/>
    <n v="28"/>
    <x v="30"/>
    <x v="0"/>
  </r>
  <r>
    <s v="Акт входного контроля 000000044 от 27.05.2025 18:45:07"/>
    <s v="высший"/>
    <n v="102"/>
    <n v="65889"/>
    <s v="Кубань УОХ"/>
    <s v="Сайко Василий Викторович"/>
    <s v="А816ЕВ"/>
    <s v="2/4"/>
    <s v="2/4"/>
    <s v="Преладо"/>
    <s v="Горох овощной свежий 10.01"/>
    <n v="27380"/>
    <n v="13950"/>
    <n v="27"/>
    <n v="13430"/>
    <n v="9803.9"/>
    <x v="2"/>
    <x v="79"/>
    <n v="3626.1000000000004"/>
    <n v="0.27"/>
    <n v="5"/>
    <n v="27"/>
    <x v="53"/>
    <x v="0"/>
  </r>
  <r>
    <s v="Акт входного контроля 000000045 от 27.05.2025 18:55:15"/>
    <s v="высший"/>
    <n v="103"/>
    <n v="65901"/>
    <s v="Кубань УОХ"/>
    <s v="Чигрин Н.А."/>
    <s v="А819ЕВ"/>
    <s v="2/4"/>
    <s v="2/4"/>
    <s v="Преладо"/>
    <s v="Горох овощной свежий 10.01"/>
    <n v="28260"/>
    <n v="14290"/>
    <n v="26"/>
    <n v="13970"/>
    <n v="10337.799999999999"/>
    <x v="2"/>
    <x v="79"/>
    <n v="3632.2000000000007"/>
    <n v="0.26000000000000006"/>
    <n v="5"/>
    <n v="27"/>
    <x v="53"/>
    <x v="0"/>
  </r>
  <r>
    <s v="Акт входного контроля 000000046 от 27.05.2025 18:12:14"/>
    <s v="высший"/>
    <n v="104"/>
    <n v="1"/>
    <s v="Грин Рэй Кубань ООО (Овощеводство)"/>
    <s v="Сайко Василий Викторович"/>
    <s v="А816ЕВ"/>
    <s v="А-44"/>
    <s v="А-44"/>
    <s v="Оскар"/>
    <s v="Горох овощной свежий 10.01"/>
    <n v="11320"/>
    <n v="9270"/>
    <n v="22"/>
    <n v="2050"/>
    <n v="1599"/>
    <x v="2"/>
    <x v="79"/>
    <n v="451"/>
    <n v="0.22"/>
    <n v="5"/>
    <n v="27"/>
    <x v="53"/>
    <x v="0"/>
  </r>
  <r>
    <s v="Акт входного контроля 000000047 от 28.05.2025 7:34:33"/>
    <s v="высший"/>
    <n v="105"/>
    <n v="65902"/>
    <s v="Кубань УОХ"/>
    <s v="Богучарский А. И."/>
    <s v="Е404УС"/>
    <s v="2/4"/>
    <s v="2/4"/>
    <s v="Преладо"/>
    <s v="Горох овощной свежий 10.01"/>
    <n v="27680"/>
    <n v="13880"/>
    <n v="20"/>
    <n v="13800"/>
    <n v="11040"/>
    <x v="2"/>
    <x v="80"/>
    <n v="2760"/>
    <n v="0.2"/>
    <n v="5"/>
    <n v="28"/>
    <x v="51"/>
    <x v="0"/>
  </r>
  <r>
    <s v="Акт входного контроля 000000048 от 28.05.2025 13:21:12"/>
    <s v="высший"/>
    <n v="108"/>
    <n v="65903"/>
    <s v="Кубань УОХ"/>
    <s v="Мудрак Вадим Васильевич"/>
    <s v="Х514ОК"/>
    <s v="2/4"/>
    <s v="2/4"/>
    <s v="Преладо"/>
    <s v="Горох овощной свежий 10.01"/>
    <n v="34970"/>
    <n v="20920"/>
    <n v="21"/>
    <n v="14050"/>
    <n v="11099.5"/>
    <x v="2"/>
    <x v="80"/>
    <n v="2950.5"/>
    <n v="0.21"/>
    <n v="5"/>
    <n v="28"/>
    <x v="51"/>
    <x v="0"/>
  </r>
  <r>
    <s v="Акт входного контроля 000000052 от 28.05.2025 17:09:05"/>
    <s v="высший"/>
    <n v="110"/>
    <n v="65904"/>
    <s v="Кубань УОХ"/>
    <s v="Егоян Артем Владимирович"/>
    <s v="А701СН"/>
    <s v="2/4"/>
    <s v="2/4"/>
    <s v="Преладо"/>
    <s v="Горох овощной свежий 10.01"/>
    <n v="28940"/>
    <n v="14890"/>
    <n v="31.5"/>
    <n v="14050"/>
    <n v="9624.2000000000007"/>
    <x v="2"/>
    <x v="80"/>
    <n v="4425.7999999999993"/>
    <n v="0.31500355871886115"/>
    <n v="5"/>
    <n v="28"/>
    <x v="51"/>
    <x v="0"/>
  </r>
  <r>
    <s v="Акт входного контроля 000000053 от 28.05.2025 17:13:08"/>
    <s v="высший"/>
    <n v="111"/>
    <n v="65905"/>
    <s v="Кубань УОХ"/>
    <s v="Мудрак Игорь Вадимович"/>
    <s v="С198УЕ"/>
    <s v="2/4"/>
    <s v="2/4"/>
    <s v="Преладо"/>
    <s v="Горох овощной свежий 10.01"/>
    <n v="38160"/>
    <n v="24140"/>
    <n v="31.5"/>
    <n v="14180"/>
    <n v="9713.2999999999993"/>
    <x v="2"/>
    <x v="80"/>
    <n v="4466.7000000000007"/>
    <n v="0.31500000000000006"/>
    <n v="5"/>
    <n v="28"/>
    <x v="51"/>
    <x v="0"/>
  </r>
  <r>
    <s v="Акт входного контроля 000000054 от 28.05.2025 19:29:40"/>
    <s v="высший"/>
    <n v="112"/>
    <n v="65907"/>
    <s v="Кубань УОХ"/>
    <s v="Пугачев Сергей Викторович"/>
    <s v="Р258УХ"/>
    <s v="2/4"/>
    <s v="2/4"/>
    <s v="Преладо"/>
    <s v="Горох овощной свежий 10.01"/>
    <n v="29800"/>
    <n v="15690"/>
    <n v="30.5"/>
    <n v="14110"/>
    <n v="9806.4"/>
    <x v="2"/>
    <x v="80"/>
    <n v="4303.6000000000004"/>
    <n v="0.30500354358610915"/>
    <n v="5"/>
    <n v="28"/>
    <x v="51"/>
    <x v="0"/>
  </r>
  <r>
    <s v="Акт входного контроля 000000055 от 28.05.2025 22:06:53"/>
    <s v="высший"/>
    <n v="113"/>
    <n v="65906"/>
    <s v="Кубань УОХ"/>
    <s v="Никитась Сергей Анатольевич"/>
    <s v="К570ЕО"/>
    <s v="2/4"/>
    <s v="2/4"/>
    <s v="Преладо"/>
    <s v="Горох овощной свежий 10.01"/>
    <n v="29560"/>
    <n v="15050"/>
    <n v="27.5"/>
    <n v="14510"/>
    <n v="10519.7"/>
    <x v="2"/>
    <x v="80"/>
    <n v="3990.2999999999993"/>
    <n v="0.27500344589937969"/>
    <n v="5"/>
    <n v="28"/>
    <x v="51"/>
    <x v="0"/>
  </r>
  <r>
    <s v="Акт входного контроля 000000056 от 28.05.2025 23:29:32"/>
    <s v="высший"/>
    <n v="114"/>
    <n v="65908"/>
    <s v="Кубань УОХ"/>
    <s v="Кулик О В"/>
    <s v="К403ЕМ"/>
    <s v="2/4"/>
    <s v="2/4"/>
    <s v="Преладо"/>
    <s v="Горох овощной свежий 10.01"/>
    <n v="28960"/>
    <n v="14870"/>
    <n v="30.5"/>
    <n v="14090"/>
    <n v="9792.5"/>
    <x v="2"/>
    <x v="80"/>
    <n v="4297.5"/>
    <n v="0.30500354861603973"/>
    <n v="5"/>
    <n v="28"/>
    <x v="51"/>
    <x v="0"/>
  </r>
  <r>
    <s v="Акт входного контроля 000000057 от 29.05.2025 9:14:34"/>
    <s v="высший"/>
    <n v="115"/>
    <n v="65909"/>
    <s v="Кубань УОХ"/>
    <s v="Сероштан Станислав Викторович"/>
    <s v="Е758РЕ"/>
    <s v="2/4"/>
    <s v="2/4"/>
    <s v="Преладо"/>
    <s v="Горох овощной свежий 10.01"/>
    <n v="28680"/>
    <n v="14580"/>
    <n v="32"/>
    <n v="14100"/>
    <n v="9588"/>
    <x v="2"/>
    <x v="81"/>
    <n v="4512"/>
    <n v="0.32"/>
    <n v="5"/>
    <n v="29"/>
    <x v="1"/>
    <x v="0"/>
  </r>
  <r>
    <s v="Акт входного контроля 000000058 от 29.05.2025 4:10:27"/>
    <s v="высший"/>
    <n v="117"/>
    <n v="65910"/>
    <s v="Кубань УОХ"/>
    <s v="Фомин Николай Григорьевич"/>
    <s v="А731ВА"/>
    <s v="2/4"/>
    <s v="2/4"/>
    <s v="Преладо"/>
    <s v="Горох овощной свежий 10.01"/>
    <n v="28830"/>
    <n v="14830"/>
    <n v="27.5"/>
    <n v="14000"/>
    <n v="10150"/>
    <x v="2"/>
    <x v="81"/>
    <n v="3850"/>
    <n v="0.27500000000000002"/>
    <n v="5"/>
    <n v="29"/>
    <x v="1"/>
    <x v="0"/>
  </r>
  <r>
    <s v="Акт входного контроля 000000059 от 29.05.2025 5:52:59"/>
    <s v="высший"/>
    <n v="118"/>
    <n v="65911"/>
    <s v="Кубань УОХ"/>
    <s v="Игольницын Сергей Владимирович"/>
    <s v="В780ТТ"/>
    <s v="2/4"/>
    <s v="2/4"/>
    <s v="Преладо"/>
    <s v="Горох овощной свежий 10.01"/>
    <n v="29110"/>
    <n v="15320"/>
    <n v="30"/>
    <n v="13790"/>
    <n v="9653"/>
    <x v="2"/>
    <x v="81"/>
    <n v="4137"/>
    <n v="0.3"/>
    <n v="5"/>
    <n v="29"/>
    <x v="1"/>
    <x v="0"/>
  </r>
  <r>
    <s v="Акт входного контроля 000000072 от 29.05.2025 19:39:53"/>
    <s v="высший"/>
    <n v="122"/>
    <n v="2"/>
    <s v="Грин Рэй Кубань ООО (Овощеводство)"/>
    <s v="Игольницын Сергей Владимирович"/>
    <s v="В780ТТ"/>
    <s v="А-44"/>
    <s v="А-44"/>
    <s v="Оскар"/>
    <s v="Горох овощной свежий 10.01"/>
    <n v="13930"/>
    <n v="9710"/>
    <n v="27"/>
    <n v="4220"/>
    <n v="3080.6"/>
    <x v="2"/>
    <x v="81"/>
    <n v="1139.4000000000001"/>
    <n v="0.27"/>
    <n v="5"/>
    <n v="29"/>
    <x v="1"/>
    <x v="0"/>
  </r>
  <r>
    <s v="Акт входного контроля 000000073 от 29.05.2025 19:59:18"/>
    <s v="высший"/>
    <n v="123"/>
    <n v="3"/>
    <s v="Грин Рэй Кубань ООО (Овощеводство)"/>
    <s v="Игольницын Сергей Владимирович"/>
    <s v="В780ТТ"/>
    <s v="А-44"/>
    <s v="А-44"/>
    <s v="Оскар"/>
    <s v="Горох овощной свежий 10.01"/>
    <n v="21910"/>
    <n v="15390"/>
    <n v="23"/>
    <n v="6520"/>
    <n v="5020.3999999999996"/>
    <x v="2"/>
    <x v="81"/>
    <n v="1499.6000000000004"/>
    <n v="0.23000000000000007"/>
    <n v="5"/>
    <n v="29"/>
    <x v="1"/>
    <x v="0"/>
  </r>
  <r>
    <s v="Акт входного контроля 000000074 от 31.05.2025 9:09:53"/>
    <s v="высший"/>
    <n v="126"/>
    <n v="4"/>
    <s v="Грин Рэй Кубань ООО (Овощеводство)"/>
    <s v="Чигрин Н.А."/>
    <s v="А819ЕВ"/>
    <s v="А-44"/>
    <s v="А-44"/>
    <s v="Оскар"/>
    <s v="Горох овощной свежий 10.01"/>
    <n v="14120"/>
    <n v="9740"/>
    <n v="24.5"/>
    <n v="4380"/>
    <n v="3306.9"/>
    <x v="2"/>
    <x v="82"/>
    <n v="1073.0999999999999"/>
    <n v="0.24499999999999997"/>
    <n v="5"/>
    <n v="31"/>
    <x v="3"/>
    <x v="0"/>
  </r>
  <r>
    <s v="Акт входного контроля 000000075 от 31.05.2025 10:10:45"/>
    <s v="высший"/>
    <n v="127"/>
    <n v="5"/>
    <s v="Грин Рэй Кубань ООО (Овощеводство)"/>
    <s v="Чигрин Н.А."/>
    <s v="А819ЕВ"/>
    <s v="А-44"/>
    <s v="А-44"/>
    <s v="Оскар"/>
    <s v="Горох овощной свежий 10.01"/>
    <n v="14320"/>
    <n v="9730"/>
    <n v="22.5"/>
    <n v="4590"/>
    <n v="3557.2"/>
    <x v="2"/>
    <x v="82"/>
    <n v="1032.8000000000002"/>
    <n v="0.22501089324618739"/>
    <n v="5"/>
    <n v="31"/>
    <x v="3"/>
    <x v="0"/>
  </r>
  <r>
    <s v="Акт входного контроля 000000076 от 31.05.2025 12:12:45"/>
    <s v="высший"/>
    <n v="128"/>
    <n v="6"/>
    <s v="Грин Рэй Кубань ООО (Овощеводство)"/>
    <s v="Чигрин Н.А."/>
    <s v="А819ЕВ"/>
    <s v="А-44"/>
    <s v="А-44"/>
    <s v="Оскар"/>
    <s v="Горох овощной свежий 10.01"/>
    <n v="23120"/>
    <n v="14360"/>
    <n v="28.5"/>
    <n v="8760"/>
    <n v="6263.4"/>
    <x v="2"/>
    <x v="82"/>
    <n v="2496.6000000000004"/>
    <n v="0.28500000000000003"/>
    <n v="5"/>
    <n v="31"/>
    <x v="3"/>
    <x v="0"/>
  </r>
  <r>
    <s v="Акт входного контроля 000000077 от 31.05.2025 15:05:03"/>
    <s v="высший"/>
    <n v="129"/>
    <n v="7"/>
    <s v="Грин Рэй Кубань ООО (Овощеводство)"/>
    <s v="Чигрин Н.А."/>
    <s v="А819ЕВ"/>
    <s v="А-44"/>
    <s v="А-44"/>
    <s v="Оскар"/>
    <s v="Горох овощной свежий 10.01"/>
    <n v="14470"/>
    <n v="9700"/>
    <n v="31"/>
    <n v="4770"/>
    <n v="3291.3"/>
    <x v="2"/>
    <x v="82"/>
    <n v="1478.6999999999998"/>
    <n v="0.30999999999999994"/>
    <n v="5"/>
    <n v="31"/>
    <x v="3"/>
    <x v="0"/>
  </r>
  <r>
    <s v="Акт входного контроля 000000078 от 31.05.2025 18:28:58"/>
    <s v="высший"/>
    <n v="130"/>
    <n v="8"/>
    <s v="Грин Рэй Кубань ООО (Овощеводство)"/>
    <s v="Чигрин Н.А."/>
    <s v="А819ЕВ"/>
    <s v="А-44"/>
    <s v="А-44"/>
    <s v="Оскар"/>
    <s v="Горох овощной свежий 10.01"/>
    <n v="14140"/>
    <n v="9690"/>
    <n v="33"/>
    <n v="4450"/>
    <n v="2981.5"/>
    <x v="2"/>
    <x v="82"/>
    <n v="1468.5"/>
    <n v="0.33"/>
    <n v="5"/>
    <n v="31"/>
    <x v="3"/>
    <x v="0"/>
  </r>
  <r>
    <s v="Акт входного контроля 000000079 от 31.05.2025 19:28:06"/>
    <s v="высший"/>
    <n v="131"/>
    <n v="9"/>
    <s v="Грин Рэй Кубань ООО (Овощеводство)"/>
    <s v="Чигрин Н.А."/>
    <s v="А819ЕВ"/>
    <s v="А-44"/>
    <s v="А-44"/>
    <s v="Оскар"/>
    <s v="Горох овощной свежий 10.01"/>
    <n v="24430"/>
    <n v="14330"/>
    <n v="29"/>
    <n v="10100"/>
    <n v="7171"/>
    <x v="2"/>
    <x v="82"/>
    <n v="2929"/>
    <n v="0.28999999999999998"/>
    <n v="5"/>
    <n v="31"/>
    <x v="3"/>
    <x v="0"/>
  </r>
  <r>
    <s v="Акт входного контроля 000000080 от 31.05.2025 22:38:49"/>
    <s v="высший"/>
    <n v="132"/>
    <n v="10"/>
    <s v="Грин Рэй Кубань ООО (Овощеводство)"/>
    <s v="Чигрин Н.А."/>
    <s v="А819ЕВ"/>
    <s v="А-44"/>
    <s v="А-44"/>
    <s v="Оскар"/>
    <s v="Горох овощной свежий 10.01"/>
    <n v="23580"/>
    <n v="14320"/>
    <n v="23"/>
    <n v="9260"/>
    <n v="7130.2"/>
    <x v="2"/>
    <x v="82"/>
    <n v="2129.8000000000002"/>
    <n v="0.23"/>
    <n v="5"/>
    <n v="31"/>
    <x v="3"/>
    <x v="0"/>
  </r>
  <r>
    <s v="Акт входного контроля 000000081 от 01.06.2025 1:45:14"/>
    <s v="высший"/>
    <n v="133"/>
    <n v="11"/>
    <s v="Грин Рэй Кубань ООО (Овощеводство)"/>
    <s v="Чигрин Н.А."/>
    <s v="А819ЕВ"/>
    <s v="А-44"/>
    <s v="А-44"/>
    <s v="Оскар"/>
    <s v="Горох овощной свежий 10.01"/>
    <n v="23620"/>
    <n v="14320"/>
    <n v="27"/>
    <n v="9300"/>
    <n v="6789"/>
    <x v="2"/>
    <x v="83"/>
    <n v="2511"/>
    <n v="0.27"/>
    <n v="6"/>
    <n v="1"/>
    <x v="4"/>
    <x v="0"/>
  </r>
  <r>
    <s v="Акт входного контроля 000000082 от 01.06.2025 7:43:49"/>
    <s v="высший"/>
    <n v="134"/>
    <n v="12"/>
    <s v="Грин Рэй Кубань ООО (Овощеводство)"/>
    <s v="Чигрин Н.А."/>
    <s v="А819ЕВ"/>
    <s v="А-44"/>
    <s v="А-44"/>
    <s v="Оскар"/>
    <s v="Горох овощной свежий 10.01"/>
    <n v="23600"/>
    <n v="14310"/>
    <n v="28"/>
    <n v="9290"/>
    <n v="6688.8"/>
    <x v="2"/>
    <x v="83"/>
    <n v="2601.1999999999998"/>
    <n v="0.27999999999999997"/>
    <n v="6"/>
    <n v="1"/>
    <x v="4"/>
    <x v="0"/>
  </r>
  <r>
    <s v="Акт входного контроля 000000083 от 01.06.2025 7:41:16"/>
    <s v="высший"/>
    <n v="135"/>
    <n v="13"/>
    <s v="Грин Рэй Кубань ООО (Овощеводство)"/>
    <s v="Чигрин Н.А."/>
    <s v="А819ЕВ"/>
    <s v="А-44"/>
    <s v="А-44"/>
    <s v="Оскар"/>
    <s v="Горох овощной свежий 10.01"/>
    <n v="23430"/>
    <n v="14300"/>
    <n v="21"/>
    <n v="9130"/>
    <n v="7212.7"/>
    <x v="2"/>
    <x v="83"/>
    <n v="1917.3000000000002"/>
    <n v="0.21000000000000002"/>
    <n v="6"/>
    <n v="1"/>
    <x v="4"/>
    <x v="0"/>
  </r>
  <r>
    <s v="Акт входного контроля 000000084 от 01.06.2025 13:09:02"/>
    <s v="высший"/>
    <n v="137"/>
    <n v="14"/>
    <s v="Грин Рэй Кубань ООО (Овощеводство)"/>
    <s v="Богучарский А. И."/>
    <s v="Е404УС"/>
    <s v="А-44"/>
    <s v="А-44"/>
    <s v="Оскар"/>
    <s v="Горох овощной свежий 10.01"/>
    <n v="18150"/>
    <n v="13850"/>
    <n v="26"/>
    <n v="4300"/>
    <n v="3182"/>
    <x v="2"/>
    <x v="83"/>
    <n v="1118"/>
    <n v="0.26"/>
    <n v="6"/>
    <n v="1"/>
    <x v="4"/>
    <x v="0"/>
  </r>
  <r>
    <s v="Акт входного контроля 000000085 от 01.06.2025 16:38:06"/>
    <s v="высший"/>
    <n v="138"/>
    <n v="15"/>
    <s v="Грин Рэй Кубань ООО (Овощеводство)"/>
    <s v="Богучарский А. И."/>
    <s v="Е404УС"/>
    <s v="А-44"/>
    <s v="А-44"/>
    <s v="Оскар"/>
    <s v="Горох овощной свежий 10.01"/>
    <n v="23060"/>
    <n v="13840"/>
    <n v="31"/>
    <n v="9220"/>
    <n v="6361.8"/>
    <x v="2"/>
    <x v="83"/>
    <n v="2858.2"/>
    <n v="0.31"/>
    <n v="6"/>
    <n v="1"/>
    <x v="4"/>
    <x v="0"/>
  </r>
  <r>
    <s v="Акт входного контроля 000000086 от 01.06.2025 17:28:27"/>
    <s v="высший"/>
    <n v="139"/>
    <n v="65912"/>
    <s v="Кубань УОХ"/>
    <s v="Титаренко Максим Сергеевич"/>
    <s v="О398ХО"/>
    <s v="2/4"/>
    <s v="2/4"/>
    <s v="Преладо"/>
    <s v="Горох овощной свежий 10.01"/>
    <n v="28520"/>
    <n v="14800"/>
    <n v="17.5"/>
    <n v="13720"/>
    <n v="11319"/>
    <x v="2"/>
    <x v="83"/>
    <n v="2401"/>
    <n v="0.17499999999999999"/>
    <n v="6"/>
    <n v="1"/>
    <x v="4"/>
    <x v="0"/>
  </r>
  <r>
    <s v="Акт входного контроля 000000087 от 01.06.2025 18:55:59"/>
    <s v="высший"/>
    <n v="140"/>
    <n v="16"/>
    <s v="Грин Рэй Кубань ООО (Овощеводство)"/>
    <s v="Богучарский А. И."/>
    <s v="Е404УС"/>
    <s v="А-44"/>
    <s v="А-44"/>
    <s v="Оскар"/>
    <s v="Горох овощной свежий 10.01"/>
    <n v="27950"/>
    <n v="13830"/>
    <n v="28"/>
    <n v="14120"/>
    <n v="10166.4"/>
    <x v="2"/>
    <x v="83"/>
    <n v="3953.6000000000004"/>
    <n v="0.28000000000000003"/>
    <n v="6"/>
    <n v="1"/>
    <x v="4"/>
    <x v="0"/>
  </r>
  <r>
    <s v="Акт входного контроля 000000088 от 01.06.2025 18:58:25"/>
    <s v="высший"/>
    <n v="141"/>
    <n v="65914"/>
    <s v="Кубань УОХ"/>
    <s v="Сайко Василий Викторович"/>
    <s v="А816ЕВ"/>
    <s v="2/4"/>
    <s v="2/4"/>
    <s v="Преладо"/>
    <s v="Горох овощной свежий 10.01"/>
    <n v="27720"/>
    <n v="14090"/>
    <n v="22"/>
    <n v="13630"/>
    <n v="10631.4"/>
    <x v="2"/>
    <x v="83"/>
    <n v="2998.6000000000004"/>
    <n v="0.22000000000000003"/>
    <n v="6"/>
    <n v="1"/>
    <x v="4"/>
    <x v="0"/>
  </r>
  <r>
    <s v="Акт входного контроля 000000089 от 01.06.2025 19:45:59"/>
    <s v="высший"/>
    <n v="142"/>
    <n v="65915"/>
    <s v="Кубань УОХ"/>
    <s v="Грищенко Александр Александрович"/>
    <s v="К416ТН"/>
    <s v="2/4"/>
    <s v="2/4"/>
    <s v="Преладо"/>
    <s v="Горох овощной свежий 10.01"/>
    <n v="29140"/>
    <n v="15640"/>
    <n v="21"/>
    <n v="13500"/>
    <n v="10665"/>
    <x v="2"/>
    <x v="83"/>
    <n v="2835"/>
    <n v="0.21"/>
    <n v="6"/>
    <n v="1"/>
    <x v="4"/>
    <x v="0"/>
  </r>
  <r>
    <s v="Акт входного контроля 000000090 от 01.06.2025 23:58:21"/>
    <s v="высший"/>
    <n v="143"/>
    <n v="65916"/>
    <s v="Кубань УОХ"/>
    <s v="Черевко Александр Владимирович"/>
    <s v="А114МК"/>
    <s v="2/4"/>
    <s v="2/4"/>
    <s v="Преладо"/>
    <s v="Горох овощной свежий 10.01"/>
    <n v="28320"/>
    <n v="14490"/>
    <n v="17"/>
    <n v="13830"/>
    <n v="11478.9"/>
    <x v="2"/>
    <x v="83"/>
    <n v="2351.1000000000004"/>
    <n v="0.17000000000000004"/>
    <n v="6"/>
    <n v="1"/>
    <x v="4"/>
    <x v="0"/>
  </r>
  <r>
    <s v="Акт входного контроля 000000091 от 01.06.2025 21:02:54"/>
    <s v="высший"/>
    <n v="144"/>
    <n v="65917"/>
    <s v="Кубань УОХ"/>
    <s v="Извеков Владимир Владимирович"/>
    <s v="Н378ХЕ"/>
    <s v="2/4"/>
    <s v="2/4"/>
    <s v="Преладо"/>
    <s v="Горох овощной свежий 10.01"/>
    <n v="29030"/>
    <n v="15150"/>
    <n v="22"/>
    <n v="13880"/>
    <n v="10826.4"/>
    <x v="2"/>
    <x v="83"/>
    <n v="3053.6000000000004"/>
    <n v="0.22000000000000003"/>
    <n v="6"/>
    <n v="1"/>
    <x v="4"/>
    <x v="0"/>
  </r>
  <r>
    <s v="Акт входного контроля 000000092 от 01.06.2025 22:29:36"/>
    <s v="высший"/>
    <n v="146"/>
    <n v="65918"/>
    <s v="Кубань УОХ"/>
    <s v="Емец Р.А."/>
    <s v="У315НХ"/>
    <s v="2/4"/>
    <s v="2/4"/>
    <s v="Преладо"/>
    <s v="Горох овощной свежий 10.01"/>
    <n v="29310"/>
    <n v="15540"/>
    <n v="27"/>
    <n v="13770"/>
    <n v="10052.1"/>
    <x v="2"/>
    <x v="83"/>
    <n v="3717.8999999999996"/>
    <n v="0.26999999999999996"/>
    <n v="6"/>
    <n v="1"/>
    <x v="4"/>
    <x v="0"/>
  </r>
  <r>
    <s v="Акт входного контроля 000000093 от 01.06.2025 21:52:23"/>
    <s v="высший"/>
    <n v="145"/>
    <n v="17"/>
    <s v="Грин Рэй Кубань ООО (Овощеводство)"/>
    <s v="Сайко Василий Викторович"/>
    <s v="А816ЕВ"/>
    <s v="А-44"/>
    <s v="А-44"/>
    <s v="Оскар"/>
    <s v="Горох овощной свежий 10.01"/>
    <n v="26540"/>
    <n v="14200"/>
    <n v="31"/>
    <n v="12340"/>
    <n v="8514.6"/>
    <x v="2"/>
    <x v="83"/>
    <n v="3825.3999999999996"/>
    <n v="0.31"/>
    <n v="6"/>
    <n v="1"/>
    <x v="4"/>
    <x v="0"/>
  </r>
  <r>
    <s v="Акт входного контроля 000000094 от 01.06.2025 23:13:06"/>
    <s v="высший"/>
    <n v="147"/>
    <n v="65919"/>
    <s v="Кубань УОХ"/>
    <s v="Долгих Николай Петрович"/>
    <s v="У726ЕР"/>
    <s v="2/4"/>
    <s v="2/4"/>
    <s v="Преладо"/>
    <s v="Горох овощной свежий 10.01"/>
    <n v="28810"/>
    <n v="15140"/>
    <n v="25"/>
    <n v="13670"/>
    <n v="10252.5"/>
    <x v="2"/>
    <x v="83"/>
    <n v="3417.5"/>
    <n v="0.25"/>
    <n v="6"/>
    <n v="1"/>
    <x v="4"/>
    <x v="0"/>
  </r>
  <r>
    <s v="Акт входного контроля 000000096 от 02.06.2025 9:27:29"/>
    <s v="высший"/>
    <n v="150"/>
    <n v="65920"/>
    <s v="Кубань УОХ"/>
    <s v="Вафин В"/>
    <s v="У383РЕ"/>
    <s v="2/4"/>
    <s v="2/4"/>
    <s v="Преладо"/>
    <s v="Горох овощной свежий 10.01"/>
    <n v="28330"/>
    <n v="14550"/>
    <n v="24"/>
    <n v="13780"/>
    <n v="10472.799999999999"/>
    <x v="2"/>
    <x v="84"/>
    <n v="3307.2000000000007"/>
    <n v="0.24000000000000005"/>
    <n v="6"/>
    <n v="2"/>
    <x v="5"/>
    <x v="0"/>
  </r>
  <r>
    <s v="Акт входного контроля 000000097 от 02.06.2025 12:14:28"/>
    <s v="высший"/>
    <n v="151"/>
    <n v="65921"/>
    <s v="Кубань УОХ"/>
    <s v="Огнев Максим Викторович"/>
    <s v="Р755НН"/>
    <s v="2/4"/>
    <s v="2/4"/>
    <s v="Преладо"/>
    <s v="Горох овощной свежий 10.01"/>
    <n v="28370"/>
    <n v="14790"/>
    <n v="21"/>
    <n v="13580"/>
    <n v="10728.2"/>
    <x v="2"/>
    <x v="84"/>
    <n v="2851.7999999999993"/>
    <n v="0.20999999999999994"/>
    <n v="6"/>
    <n v="2"/>
    <x v="5"/>
    <x v="0"/>
  </r>
  <r>
    <s v="Акт входного контроля 000000098 от 02.06.2025 13:11:34"/>
    <s v="высший"/>
    <n v="152"/>
    <n v="65922"/>
    <s v="Кубань УОХ"/>
    <s v="Лазаренко Вятчеслав Владимирович"/>
    <s v="Т239УС"/>
    <s v="2/4"/>
    <s v="2/4"/>
    <s v="Преладо"/>
    <s v="Горох овощной свежий 10.01"/>
    <n v="28660"/>
    <n v="14970"/>
    <n v="24"/>
    <n v="13690"/>
    <n v="10404.4"/>
    <x v="2"/>
    <x v="84"/>
    <n v="3285.6000000000004"/>
    <n v="0.24000000000000002"/>
    <n v="6"/>
    <n v="2"/>
    <x v="5"/>
    <x v="0"/>
  </r>
  <r>
    <s v="Акт входного контроля 000000099 от 02.06.2025 13:27:43"/>
    <s v="высший"/>
    <n v="149"/>
    <n v="18"/>
    <s v="Грин Рэй Кубань ООО (Овощеводство)"/>
    <s v="Богучарский А. И."/>
    <s v="Е404УС"/>
    <s v="А-44"/>
    <s v="А-44"/>
    <s v="Оскар"/>
    <s v="Горох овощной свежий 10.01"/>
    <n v="24560"/>
    <n v="13820"/>
    <n v="29"/>
    <n v="10740"/>
    <n v="7625.4"/>
    <x v="2"/>
    <x v="84"/>
    <n v="3114.6000000000004"/>
    <n v="0.29000000000000004"/>
    <n v="6"/>
    <n v="2"/>
    <x v="5"/>
    <x v="0"/>
  </r>
  <r>
    <s v="Акт входного контроля 000000100 от 02.06.2025 13:46:32"/>
    <s v="высший"/>
    <n v="153"/>
    <n v="65923"/>
    <s v="Кубань УОХ"/>
    <s v="Магадиев Александр Сайлаувич"/>
    <s v="У184НО"/>
    <s v="2/4"/>
    <s v="2/4"/>
    <s v="Преладо"/>
    <s v="Горох овощной свежий 10.01"/>
    <n v="28060"/>
    <n v="14390"/>
    <n v="25"/>
    <n v="13670"/>
    <n v="10252.5"/>
    <x v="2"/>
    <x v="84"/>
    <n v="3417.5"/>
    <n v="0.25"/>
    <n v="6"/>
    <n v="2"/>
    <x v="5"/>
    <x v="0"/>
  </r>
  <r>
    <s v="Акт входного контроля 000000101 от 02.06.2025 14:02:35"/>
    <s v="высший"/>
    <n v="154"/>
    <n v="65924"/>
    <s v="Кубань УОХ"/>
    <s v="Ревенко Андрей Вячеславович"/>
    <s v="А781РР"/>
    <s v="2/4"/>
    <s v="2/4"/>
    <s v="Преладо"/>
    <s v="Горох овощной свежий 10.01"/>
    <n v="28740"/>
    <n v="14950"/>
    <n v="25.5"/>
    <n v="13790"/>
    <n v="10273.5"/>
    <x v="2"/>
    <x v="84"/>
    <n v="3516.5"/>
    <n v="0.25500362581580854"/>
    <n v="6"/>
    <n v="2"/>
    <x v="5"/>
    <x v="0"/>
  </r>
  <r>
    <s v="Акт входного контроля 000000102 от 02.06.2025 16:16:07"/>
    <s v="высший"/>
    <n v="155"/>
    <n v="19"/>
    <s v="Грин Рэй Кубань ООО (Овощеводство)"/>
    <s v="Сайко Василий Викторович"/>
    <s v="А816ЕВ"/>
    <s v="А-44"/>
    <s v="А-44"/>
    <s v="Оскар"/>
    <s v="Горох овощной свежий 10.01"/>
    <n v="26590"/>
    <n v="14190"/>
    <n v="21"/>
    <n v="12400"/>
    <n v="9796"/>
    <x v="2"/>
    <x v="84"/>
    <n v="2604"/>
    <n v="0.21"/>
    <n v="6"/>
    <n v="2"/>
    <x v="5"/>
    <x v="0"/>
  </r>
  <r>
    <s v="Акт входного контроля 000000103 от 02.06.2025 16:27:22"/>
    <s v="высший"/>
    <n v="156"/>
    <n v="65927"/>
    <s v="Кубань УОХ"/>
    <s v="Жданов Андрей Иванович"/>
    <s v="С707ОУ"/>
    <s v="2/4"/>
    <s v="2/4"/>
    <s v="Преладо"/>
    <s v="Горох овощной свежий 10.01"/>
    <n v="28190"/>
    <n v="14380"/>
    <n v="23.5"/>
    <n v="13810"/>
    <n v="10564.6"/>
    <x v="2"/>
    <x v="84"/>
    <n v="3245.3999999999996"/>
    <n v="0.23500362056480809"/>
    <n v="6"/>
    <n v="2"/>
    <x v="5"/>
    <x v="0"/>
  </r>
  <r>
    <s v="Акт входного контроля 000000104 от 02.06.2025 17:40:49"/>
    <s v="высший"/>
    <n v="158"/>
    <n v="65928"/>
    <s v="Кубань УОХ"/>
    <s v="Кудря Евгений"/>
    <s v="А719ОО"/>
    <s v="2/4"/>
    <s v="2/4"/>
    <s v="Преладо"/>
    <s v="Горох овощной свежий 10.01"/>
    <n v="28300"/>
    <n v="14800"/>
    <n v="22.5"/>
    <n v="13500"/>
    <n v="10462.5"/>
    <x v="2"/>
    <x v="84"/>
    <n v="3037.5"/>
    <n v="0.22500000000000001"/>
    <n v="6"/>
    <n v="2"/>
    <x v="5"/>
    <x v="0"/>
  </r>
  <r>
    <s v="Акт входного контроля 000000105 от 02.06.2025 22:29:18"/>
    <s v="высший"/>
    <n v="164"/>
    <n v="65929"/>
    <s v="Кубань УОХ"/>
    <s v="Бербеницкий Сергей Николаевич"/>
    <s v="С400РР"/>
    <s v="2/4"/>
    <s v="2/4"/>
    <s v="Изюминка"/>
    <s v="Горох овощной свежий 10.01"/>
    <n v="28400"/>
    <n v="14970"/>
    <n v="21.5"/>
    <n v="13430"/>
    <n v="10542.5"/>
    <x v="2"/>
    <x v="84"/>
    <n v="2887.5"/>
    <n v="0.21500372300819062"/>
    <n v="6"/>
    <n v="2"/>
    <x v="5"/>
    <x v="0"/>
  </r>
  <r>
    <s v="Акт входного контроля 000000106 от 02.06.2025 22:35:44"/>
    <s v="высший"/>
    <n v="165"/>
    <n v="65940"/>
    <s v="Кубань УОХ"/>
    <s v="Погуляй А.Б.       "/>
    <s v="О824ТХ"/>
    <s v="2/4"/>
    <s v="2/4"/>
    <s v="Изюминка"/>
    <s v="Горох овощной свежий 10.01"/>
    <n v="32140"/>
    <n v="18690"/>
    <n v="21"/>
    <n v="13450"/>
    <n v="10625.5"/>
    <x v="2"/>
    <x v="84"/>
    <n v="2824.5"/>
    <n v="0.21"/>
    <n v="6"/>
    <n v="2"/>
    <x v="5"/>
    <x v="0"/>
  </r>
  <r>
    <s v="Акт входного контроля 000000107 от 02.06.2025 22:39:20"/>
    <s v="высший"/>
    <n v="166"/>
    <n v="65925"/>
    <s v="Кубань УОХ"/>
    <s v="Пугачев Сергей Викторович"/>
    <s v="Р258УХ"/>
    <s v="2/4"/>
    <s v="2/4"/>
    <s v="Изюминка"/>
    <s v="Горох овощной свежий 10.01"/>
    <n v="28920"/>
    <n v="15610"/>
    <n v="15.5"/>
    <n v="13310"/>
    <n v="11246.9"/>
    <x v="2"/>
    <x v="84"/>
    <n v="2063.1000000000004"/>
    <n v="0.15500375657400453"/>
    <n v="6"/>
    <n v="2"/>
    <x v="5"/>
    <x v="0"/>
  </r>
  <r>
    <s v="Акт входного контроля 000000108 от 02.06.2025 23:14:33"/>
    <s v="высший"/>
    <n v="167"/>
    <n v="23"/>
    <s v="Грин Рэй Кубань ООО (Овощеводство)"/>
    <s v="Чигрин Н.А."/>
    <s v="А819ЕВ"/>
    <s v="А-44"/>
    <s v="А-44"/>
    <s v="Оскар"/>
    <s v="Горох овощной свежий 10.01"/>
    <n v="23520"/>
    <n v="14390"/>
    <n v="15.5"/>
    <n v="9130"/>
    <n v="7714.8"/>
    <x v="2"/>
    <x v="84"/>
    <n v="1415.1999999999998"/>
    <n v="0.15500547645125956"/>
    <n v="6"/>
    <n v="2"/>
    <x v="5"/>
    <x v="0"/>
  </r>
  <r>
    <s v="Акт входного контроля 000000109 от 02.06.2025 23:23:18"/>
    <s v="высший"/>
    <n v="168"/>
    <n v="65926"/>
    <s v="Кубань УОХ"/>
    <s v="Никитась Сергей Анатольевич"/>
    <s v="К570ЕО"/>
    <s v="2/4"/>
    <s v="2/4"/>
    <s v="Изюминка"/>
    <s v="Горох овощной свежий 10.01"/>
    <n v="28350"/>
    <n v="15010"/>
    <n v="18.5"/>
    <n v="13340"/>
    <n v="10872.1"/>
    <x v="2"/>
    <x v="84"/>
    <n v="2467.8999999999996"/>
    <n v="0.18499999999999997"/>
    <n v="6"/>
    <n v="2"/>
    <x v="5"/>
    <x v="0"/>
  </r>
  <r>
    <s v="Акт входного контроля 000000110 от 03.06.2025 4:16:18"/>
    <s v="высший"/>
    <n v="170"/>
    <n v="24"/>
    <s v="Грин Рэй Кубань ООО (Овощеводство)"/>
    <s v="Кудря Евгений"/>
    <s v="А719ОО"/>
    <s v="А-44"/>
    <s v="А-44"/>
    <s v="Оскар"/>
    <s v="Горох овощной свежий 10.01"/>
    <n v="23950"/>
    <n v="14790"/>
    <n v="20.5"/>
    <n v="9160"/>
    <n v="7282.2"/>
    <x v="2"/>
    <x v="85"/>
    <n v="1877.8000000000002"/>
    <n v="0.20500000000000002"/>
    <n v="6"/>
    <n v="3"/>
    <x v="6"/>
    <x v="0"/>
  </r>
  <r>
    <s v="Акт входного контроля 000000111 от 03.06.2025 4:19:08"/>
    <s v="высший"/>
    <n v="172"/>
    <n v="26"/>
    <s v="Грин Рэй Кубань ООО (Овощеводство)"/>
    <s v="Чигрин Н.А."/>
    <s v="А819ЕВ"/>
    <s v="А-44"/>
    <s v="А-44"/>
    <s v="Оскар"/>
    <s v="Горох овощной свежий 10.01"/>
    <n v="23580"/>
    <n v="14380"/>
    <n v="17.5"/>
    <n v="9200"/>
    <n v="7590"/>
    <x v="2"/>
    <x v="85"/>
    <n v="1610"/>
    <n v="0.17499999999999999"/>
    <n v="6"/>
    <n v="3"/>
    <x v="6"/>
    <x v="0"/>
  </r>
  <r>
    <s v="Акт входного контроля 000000112 от 02.06.2025 13:55:19"/>
    <s v="высший"/>
    <n v="160"/>
    <s v="20 Юнона продажаОтвес№1"/>
    <s v="Грин Рэй Кубань ООО (Овощеводство)"/>
    <s v="Сурнин А.В"/>
    <s v="В415ТТ"/>
    <s v="А-44"/>
    <s v="А-44"/>
    <s v="Оскар"/>
    <s v="Горох овощной свежий 10.01"/>
    <n v="17590"/>
    <n v="10530"/>
    <n v="13.4"/>
    <n v="7060"/>
    <n v="6114.4"/>
    <x v="2"/>
    <x v="84"/>
    <n v="945.60000000000036"/>
    <n v="0.13393767705382442"/>
    <n v="6"/>
    <n v="2"/>
    <x v="5"/>
    <x v="0"/>
  </r>
  <r>
    <s v="Акт входного контроля 000000113 от 02.06.2025 15:13:13"/>
    <s v="высший"/>
    <n v="162"/>
    <s v="21Юнона продажаОтвес№2"/>
    <s v="Грин Рэй Кубань ООО (Овощеводство)"/>
    <s v="Сидоренко Евгений Сергеевич"/>
    <s v="М697ХВ"/>
    <s v="А-44"/>
    <s v="А-44"/>
    <s v="Оскар"/>
    <s v="Горох овощной свежий 10.01"/>
    <n v="27260"/>
    <n v="17080"/>
    <n v="13.7"/>
    <n v="10180"/>
    <n v="8787"/>
    <x v="2"/>
    <x v="84"/>
    <n v="1393"/>
    <n v="0.13683693516699411"/>
    <n v="6"/>
    <n v="2"/>
    <x v="5"/>
    <x v="0"/>
  </r>
  <r>
    <s v="Акт входного контроля 000000114 от 02.06.2025 16:30:02"/>
    <s v="высший"/>
    <n v="163"/>
    <s v="22Юнона продажаОтвес№3"/>
    <s v="Грин Рэй Кубань ООО (Овощеводство)"/>
    <s v="Дмитриев Николай Александрович"/>
    <s v="М202СХ"/>
    <s v="А-44"/>
    <s v="А-44"/>
    <s v="Оскар"/>
    <s v="Горох овощной свежий 10.01"/>
    <n v="32700"/>
    <n v="17790"/>
    <n v="13.4"/>
    <n v="14910"/>
    <n v="12905.6"/>
    <x v="2"/>
    <x v="84"/>
    <n v="2004.3999999999996"/>
    <n v="0.13443326626425214"/>
    <n v="6"/>
    <n v="2"/>
    <x v="5"/>
    <x v="0"/>
  </r>
  <r>
    <s v="Акт входного контроля 000000115 от 02.06.2025 23:23:19"/>
    <s v="высший"/>
    <n v="163"/>
    <s v="65931 Пищевик продажа"/>
    <s v="Кубань УОХ"/>
    <s v="Мормуль А.Е."/>
    <s v="х474 ке"/>
    <s v="2/4"/>
    <s v="2/4"/>
    <s v="Изюминка"/>
    <s v="Горох овощной свежий 10.01"/>
    <n v="34160"/>
    <n v="16200"/>
    <n v="7.5"/>
    <n v="17960"/>
    <n v="16610"/>
    <x v="2"/>
    <x v="84"/>
    <n v="1350"/>
    <n v="7.5167037861915365E-2"/>
    <n v="6"/>
    <n v="2"/>
    <x v="5"/>
    <x v="0"/>
  </r>
  <r>
    <s v="Акт входного контроля 000000132 от 03.06.2025 15:56:54"/>
    <s v="высший"/>
    <n v="179"/>
    <n v="30"/>
    <s v="Грин Рэй Кубань ООО (Овощеводство)"/>
    <s v="Сайко Василий Викторович"/>
    <s v="А816ЕВ"/>
    <s v="А-46"/>
    <s v="А-46"/>
    <s v="Оскар"/>
    <s v="Горох овощной свежий 10.01"/>
    <n v="29230"/>
    <n v="22520"/>
    <n v="29"/>
    <n v="6710"/>
    <n v="4764.1000000000004"/>
    <x v="2"/>
    <x v="85"/>
    <n v="1945.8999999999996"/>
    <n v="0.28999999999999992"/>
    <n v="6"/>
    <n v="3"/>
    <x v="6"/>
    <x v="0"/>
  </r>
  <r>
    <s v="Акт входного контроля 000000136 от 03.06.2025 15:58:53"/>
    <s v="высший"/>
    <n v="180"/>
    <n v="30"/>
    <s v="Грин Рэй Кубань ООО (Овощеводство)"/>
    <s v="Сайко Василий Викторович"/>
    <s v="А816ЕВ"/>
    <s v="А-44"/>
    <s v="А-44"/>
    <s v="Оскар"/>
    <s v="Горох овощной свежий 10.01"/>
    <n v="22520"/>
    <n v="14140"/>
    <n v="24"/>
    <n v="8380"/>
    <n v="6368.8"/>
    <x v="2"/>
    <x v="85"/>
    <n v="2011.1999999999998"/>
    <n v="0.24"/>
    <n v="6"/>
    <n v="3"/>
    <x v="6"/>
    <x v="0"/>
  </r>
  <r>
    <s v="Акт входного контроля 000000137 от 03.06.2025 16:36:44"/>
    <s v="высший"/>
    <n v="182"/>
    <n v="30"/>
    <s v="Грин Рэй Кубань ООО (Овощеводство)"/>
    <s v="Сайко Василий Викторович"/>
    <s v="А816ЕВ"/>
    <s v="А-46"/>
    <s v="А-46"/>
    <s v="Оскар"/>
    <s v="Горох овощной свежий 10.01"/>
    <n v="14110"/>
    <n v="9450"/>
    <n v="31"/>
    <n v="4660"/>
    <n v="3215.4"/>
    <x v="2"/>
    <x v="85"/>
    <n v="1444.6"/>
    <n v="0.31"/>
    <n v="6"/>
    <n v="3"/>
    <x v="6"/>
    <x v="0"/>
  </r>
  <r>
    <s v="Акт входного контроля 000000138 от 03.06.2025 17:31:42"/>
    <s v="высший"/>
    <n v="181"/>
    <n v="65933"/>
    <s v="Кубань УОХ"/>
    <s v="Мудрак Вадим Васильевич"/>
    <s v="Х514ОК"/>
    <s v="2/4"/>
    <s v="2/4"/>
    <s v="Преладо"/>
    <s v="Горох овощной свежий 10.01"/>
    <n v="34390"/>
    <n v="20870"/>
    <n v="18.5"/>
    <n v="13520"/>
    <n v="11018.8"/>
    <x v="2"/>
    <x v="85"/>
    <n v="2501.2000000000007"/>
    <n v="0.18500000000000005"/>
    <n v="6"/>
    <n v="3"/>
    <x v="6"/>
    <x v="0"/>
  </r>
  <r>
    <s v="Акт входного контроля 000000139 от 03.06.2025 19:03:43"/>
    <s v="высший"/>
    <n v="186"/>
    <n v="65935"/>
    <s v="Кубань УОХ"/>
    <s v="Егоян Артем Владимирович"/>
    <s v="А701СН"/>
    <s v="2/4"/>
    <s v="2/4"/>
    <s v="Преладо"/>
    <s v="Горох овощной свежий 10.01"/>
    <n v="28460"/>
    <n v="14860"/>
    <n v="16.5"/>
    <n v="13600"/>
    <n v="11356"/>
    <x v="2"/>
    <x v="85"/>
    <n v="2244"/>
    <n v="0.16500000000000001"/>
    <n v="6"/>
    <n v="3"/>
    <x v="6"/>
    <x v="0"/>
  </r>
  <r>
    <s v="Акт входного контроля 000000140 от 03.06.2025 21:20:06"/>
    <s v="высший"/>
    <n v="187"/>
    <n v="65936"/>
    <s v="Кубань УОХ"/>
    <s v="Мудрак Игорь Вадимович"/>
    <s v="С198УЕ"/>
    <s v="2/4"/>
    <s v="2/4"/>
    <s v="Преладо"/>
    <s v="Горох овощной свежий 10.01"/>
    <n v="37510"/>
    <n v="24030"/>
    <n v="13.5"/>
    <n v="13480"/>
    <n v="11660.2"/>
    <x v="2"/>
    <x v="85"/>
    <n v="1819.7999999999993"/>
    <n v="0.13499999999999995"/>
    <n v="6"/>
    <n v="3"/>
    <x v="6"/>
    <x v="0"/>
  </r>
  <r>
    <s v="Акт входного контроля 000000141 от 03.06.2025 21:38:29"/>
    <s v="высший"/>
    <n v="188"/>
    <n v="31"/>
    <s v="Грин Рэй Кубань ООО (Овощеводство)"/>
    <s v="Сайко Василий Викторович"/>
    <s v="А816ЕВ"/>
    <s v="А-46"/>
    <s v="А-46"/>
    <s v="Оскар"/>
    <s v="Горох овощной свежий 10.01"/>
    <n v="13910"/>
    <n v="9460"/>
    <n v="19.5"/>
    <n v="4450"/>
    <n v="3582.2"/>
    <x v="2"/>
    <x v="85"/>
    <n v="867.80000000000018"/>
    <n v="0.19501123595505623"/>
    <n v="6"/>
    <n v="3"/>
    <x v="6"/>
    <x v="0"/>
  </r>
  <r>
    <s v="Акт входного контроля 000000142 от 03.06.2025 22:22:42"/>
    <s v="высший"/>
    <n v="189"/>
    <n v="65937"/>
    <s v="Кубань УОХ"/>
    <s v="Фомин Николай Григорьевич"/>
    <s v="А731ВА"/>
    <s v="2/4"/>
    <s v="2/4"/>
    <s v="Преладо"/>
    <s v="Горох овощной свежий 10.01"/>
    <n v="28520"/>
    <n v="14820"/>
    <n v="16"/>
    <n v="13700"/>
    <n v="11508"/>
    <x v="2"/>
    <x v="85"/>
    <n v="2192"/>
    <n v="0.16"/>
    <n v="6"/>
    <n v="3"/>
    <x v="6"/>
    <x v="0"/>
  </r>
  <r>
    <s v="Акт входного контроля 000000143 от 03.06.2025 21:53:33"/>
    <s v="высший"/>
    <n v="190"/>
    <n v="65938"/>
    <s v="Кубань УОХ"/>
    <s v="Извеков Владимир Владимирович"/>
    <s v="Н378ХЕ"/>
    <s v="2/4"/>
    <s v="2/4"/>
    <s v="Преладо"/>
    <s v="Горох овощной свежий 10.01"/>
    <n v="28750"/>
    <n v="15120"/>
    <n v="20"/>
    <n v="13630"/>
    <n v="10904"/>
    <x v="2"/>
    <x v="85"/>
    <n v="2726"/>
    <n v="0.2"/>
    <n v="6"/>
    <n v="3"/>
    <x v="6"/>
    <x v="0"/>
  </r>
  <r>
    <s v="Акт входного контроля 000000144 от 03.06.2025 23:12:00"/>
    <s v="высший"/>
    <n v="191"/>
    <n v="65939"/>
    <s v="Кубань УОХ"/>
    <s v="Емец Р.А."/>
    <s v="У315НХ"/>
    <s v="2/4"/>
    <s v="2/4"/>
    <s v="Преладо"/>
    <s v="Горох овощной свежий 10.01"/>
    <n v="28870"/>
    <n v="15420"/>
    <n v="18"/>
    <n v="13450"/>
    <n v="11029"/>
    <x v="2"/>
    <x v="85"/>
    <n v="2421"/>
    <n v="0.18"/>
    <n v="6"/>
    <n v="3"/>
    <x v="6"/>
    <x v="0"/>
  </r>
  <r>
    <s v="Акт входного контроля 000000145 от 03.06.2025 23:52:03"/>
    <s v="высший"/>
    <n v="192"/>
    <n v="65941"/>
    <s v="Кубань УОХ"/>
    <s v="Кулик О В"/>
    <s v="К403ЕМ"/>
    <s v="2/4"/>
    <s v="2/4"/>
    <s v="Преладо"/>
    <s v="Горох овощной свежий 10.01"/>
    <n v="28210"/>
    <n v="14770"/>
    <n v="18.5"/>
    <n v="13440"/>
    <n v="10953.6"/>
    <x v="2"/>
    <x v="85"/>
    <n v="2486.3999999999996"/>
    <n v="0.18499999999999997"/>
    <n v="6"/>
    <n v="3"/>
    <x v="6"/>
    <x v="0"/>
  </r>
  <r>
    <s v="Акт входного контроля 000000146 от 04.06.2025 2:13:55"/>
    <s v="высший"/>
    <n v="194"/>
    <n v="65930"/>
    <s v="Кубань УОХ"/>
    <s v="Грищенко Александр Александрович"/>
    <s v="К416ТН"/>
    <s v="2/4"/>
    <s v="2/4"/>
    <s v="Преладо"/>
    <s v="Горох овощной свежий 10.01"/>
    <n v="29090"/>
    <n v="15650"/>
    <n v="22"/>
    <n v="13440"/>
    <n v="10483.200000000001"/>
    <x v="2"/>
    <x v="86"/>
    <n v="2956.7999999999993"/>
    <n v="0.21999999999999995"/>
    <n v="6"/>
    <n v="4"/>
    <x v="7"/>
    <x v="0"/>
  </r>
  <r>
    <s v="Акт входного контроля 000000147 от 04.06.2025 4:04:52"/>
    <s v="высший"/>
    <n v="195"/>
    <n v="65942"/>
    <s v="Кубань УОХ"/>
    <s v="Сероштан Станислав Викторович"/>
    <s v="Е758РЕ"/>
    <s v="2/4"/>
    <s v="2/4"/>
    <s v="Преладо"/>
    <s v="Горох овощной свежий 10.01"/>
    <n v="28130"/>
    <n v="14690"/>
    <n v="15.5"/>
    <n v="13440"/>
    <n v="11356.8"/>
    <x v="2"/>
    <x v="86"/>
    <n v="2083.2000000000007"/>
    <n v="0.15500000000000005"/>
    <n v="6"/>
    <n v="4"/>
    <x v="7"/>
    <x v="0"/>
  </r>
  <r>
    <s v="Акт входного контроля 000000148 от 04.06.2025 4:35:38"/>
    <s v="высший"/>
    <n v="196"/>
    <n v="65943"/>
    <s v="Кубань УОХ"/>
    <s v="Огнев Максим Викторович"/>
    <s v="Р755НН"/>
    <s v="2/4"/>
    <s v="2/4"/>
    <s v="Преладо"/>
    <s v="Горох овощной свежий 10.01"/>
    <n v="28070"/>
    <n v="14680"/>
    <n v="20.5"/>
    <n v="13390"/>
    <n v="10645"/>
    <x v="2"/>
    <x v="86"/>
    <n v="2745"/>
    <n v="0.20500373412994771"/>
    <n v="6"/>
    <n v="4"/>
    <x v="7"/>
    <x v="0"/>
  </r>
  <r>
    <s v="Акт входного контроля 000000149 от 04.06.2025 5:28:16"/>
    <s v="высший"/>
    <n v="197"/>
    <n v="34"/>
    <s v="Грин Рэй Кубань ООО (Овощеводство)"/>
    <s v="Сайко Василий Викторович"/>
    <s v="А816ЕВ"/>
    <s v="А-46"/>
    <s v="А-46"/>
    <s v="Оскар"/>
    <s v="Горох овощной свежий 10.01"/>
    <n v="16470"/>
    <n v="9450"/>
    <n v="21"/>
    <n v="7020"/>
    <n v="5545.8"/>
    <x v="2"/>
    <x v="86"/>
    <n v="1474.1999999999998"/>
    <n v="0.20999999999999996"/>
    <n v="6"/>
    <n v="4"/>
    <x v="7"/>
    <x v="0"/>
  </r>
  <r>
    <s v="Акт входного контроля 000000150 от 04.06.2025 6:50:53"/>
    <s v="высший"/>
    <n v="198"/>
    <n v="65947"/>
    <s v="Кубань УОХ"/>
    <s v="Лазаренко Вятчеслав Владимирович"/>
    <s v="Т239УС"/>
    <s v="2/4"/>
    <s v="2/4"/>
    <s v="Преладо"/>
    <s v="Горох овощной свежий 10.01"/>
    <n v="28240"/>
    <n v="14870"/>
    <n v="17.5"/>
    <n v="13370"/>
    <n v="11030.2"/>
    <x v="2"/>
    <x v="86"/>
    <n v="2339.7999999999993"/>
    <n v="0.17500373971578154"/>
    <n v="6"/>
    <n v="4"/>
    <x v="7"/>
    <x v="0"/>
  </r>
  <r>
    <s v="Акт входного контроля 000000151 от 03.06.2025 2:10:36"/>
    <s v="высший"/>
    <n v="171"/>
    <s v="25Юнона продажаОтвес №1ГИА"/>
    <s v="Грин Рэй Кубань ООО (Овощеводство)"/>
    <s v="Микуц Н.М."/>
    <s v="В397ОТ"/>
    <s v="А-44"/>
    <s v="А-44"/>
    <s v="Оскар"/>
    <s v="Горох овощной свежий 10.01"/>
    <n v="28790"/>
    <n v="16660"/>
    <n v="15.5"/>
    <n v="12130"/>
    <n v="10251"/>
    <x v="2"/>
    <x v="85"/>
    <n v="1879"/>
    <n v="0.15490519373454245"/>
    <n v="6"/>
    <n v="3"/>
    <x v="6"/>
    <x v="0"/>
  </r>
  <r>
    <s v="Акт входного контроля 000000152 от 03.06.2025 6:08:07"/>
    <s v="высший"/>
    <n v="174"/>
    <s v="28Юнона ПродажаОтвес№4"/>
    <s v="Грин Рэй Кубань ООО (Овощеводство)"/>
    <s v="Баяк А.А."/>
    <s v="Р277НН"/>
    <s v="А-46"/>
    <s v="А-46"/>
    <s v="Оскар"/>
    <s v="Горох овощной свежий 10.01"/>
    <n v="32620"/>
    <n v="18780"/>
    <n v="15.4"/>
    <n v="13840"/>
    <n v="11709.8"/>
    <x v="2"/>
    <x v="85"/>
    <n v="2130.2000000000007"/>
    <n v="0.15391618497109832"/>
    <n v="6"/>
    <n v="3"/>
    <x v="6"/>
    <x v="0"/>
  </r>
  <r>
    <s v="Акт входного контроля 000000153 от 03.06.2025 5:48:22"/>
    <s v="высший"/>
    <n v="173"/>
    <s v="27Юнона ПродажаОтвес№5"/>
    <s v="Грин Рэй Кубань ООО (Овощеводство)"/>
    <s v="Сурнин А.В"/>
    <s v="В415ТТ"/>
    <s v="А-46"/>
    <s v="А-46"/>
    <s v="Оскар"/>
    <s v="Горох овощной свежий 10.01"/>
    <n v="31130"/>
    <n v="17880"/>
    <n v="11.6"/>
    <n v="13250"/>
    <n v="11713"/>
    <x v="2"/>
    <x v="85"/>
    <n v="1537"/>
    <n v="0.11600000000000001"/>
    <n v="6"/>
    <n v="3"/>
    <x v="6"/>
    <x v="0"/>
  </r>
  <r>
    <s v="Акт входного контроля 000000154 от 03.06.2025 6:12:30"/>
    <s v="высший"/>
    <n v="175"/>
    <s v="29ПродажаЮж.Продукт№2"/>
    <s v="Грин Рэй Кубань ООО (Овощеводство)"/>
    <s v="Сидоренко Евгений Сергеевич"/>
    <s v="М697ХВ"/>
    <s v="А-46"/>
    <s v="А-46"/>
    <s v="Оскар"/>
    <s v="Горох овощной свежий 10.01"/>
    <n v="30790"/>
    <n v="16990"/>
    <n v="26.7"/>
    <n v="13800"/>
    <n v="10115.4"/>
    <x v="2"/>
    <x v="85"/>
    <n v="3684.6000000000004"/>
    <n v="0.26700000000000002"/>
    <n v="6"/>
    <n v="3"/>
    <x v="6"/>
    <x v="0"/>
  </r>
  <r>
    <s v="Акт входного контроля 000000155 от 04.06.2025 12:14:16"/>
    <s v="высший"/>
    <n v="201"/>
    <n v="65950"/>
    <s v="Кубань УОХ"/>
    <s v="Вафин В"/>
    <s v="Р383РЕ"/>
    <s v="2/4"/>
    <s v="2/4"/>
    <s v="Преладо"/>
    <s v="Горох овощной свежий 10.01"/>
    <n v="27790"/>
    <n v="14630"/>
    <n v="12.5"/>
    <n v="13160"/>
    <n v="11515"/>
    <x v="2"/>
    <x v="86"/>
    <n v="1645"/>
    <n v="0.125"/>
    <n v="6"/>
    <n v="4"/>
    <x v="7"/>
    <x v="0"/>
  </r>
  <r>
    <s v="Акт входного контроля 000000156 от 04.06.2025 12:21:02"/>
    <s v="высший"/>
    <n v="199"/>
    <n v="65948"/>
    <s v="Кубань УОХ"/>
    <s v="Черевко Александр Владимирович"/>
    <s v="А114МК"/>
    <s v="2/4"/>
    <s v="2/4"/>
    <s v="Преладо"/>
    <s v="Горох овощной свежий 10.01"/>
    <n v="27800"/>
    <n v="14550"/>
    <n v="12.5"/>
    <n v="13250"/>
    <n v="11593.7"/>
    <x v="2"/>
    <x v="86"/>
    <n v="1656.2999999999993"/>
    <n v="0.12500377358490561"/>
    <n v="6"/>
    <n v="4"/>
    <x v="7"/>
    <x v="0"/>
  </r>
  <r>
    <s v="Акт входного контроля 000000176 от 04.06.2025 16:53:23"/>
    <s v="высший"/>
    <n v="202"/>
    <n v="130776"/>
    <s v="Кубань УОХ"/>
    <s v="Долгих Николай Петрович"/>
    <s v="У726ЕР"/>
    <s v="2/4"/>
    <s v="2/4"/>
    <s v="Преладо"/>
    <s v="Горох овощной свежий 10.01"/>
    <n v="28330"/>
    <n v="15030"/>
    <n v="11.2"/>
    <n v="13300"/>
    <n v="11810.4"/>
    <x v="2"/>
    <x v="86"/>
    <n v="1489.6000000000004"/>
    <n v="0.11200000000000003"/>
    <n v="6"/>
    <n v="4"/>
    <x v="7"/>
    <x v="0"/>
  </r>
  <r>
    <s v="Акт входного контроля 000000177 от 04.06.2025 16:57:43"/>
    <s v="высший"/>
    <n v="206"/>
    <n v="130777"/>
    <s v="Кубань УОХ"/>
    <s v="Пугачев Сергей Викторович"/>
    <s v="Р258УХ"/>
    <s v="2/4"/>
    <s v="2/4"/>
    <s v="Преладо"/>
    <s v="Горох овощной свежий 10.01"/>
    <n v="29200"/>
    <n v="15700"/>
    <n v="14.5"/>
    <n v="13500"/>
    <n v="11542.5"/>
    <x v="2"/>
    <x v="86"/>
    <n v="1957.5"/>
    <n v="0.14499999999999999"/>
    <n v="6"/>
    <n v="4"/>
    <x v="7"/>
    <x v="0"/>
  </r>
  <r>
    <s v="Акт входного контроля 000000178 от 04.06.2025 17:23:13"/>
    <s v="высший"/>
    <n v="208"/>
    <n v="130778"/>
    <s v="Кубань УОХ"/>
    <s v="Никитась Сергей Анатольевич"/>
    <s v="К570ЕО"/>
    <s v="2/4"/>
    <s v="2/4"/>
    <s v="Преладо"/>
    <s v="Горох овощной свежий 10.01"/>
    <n v="28280"/>
    <n v="15050"/>
    <n v="12.5"/>
    <n v="13230"/>
    <n v="11576.2"/>
    <x v="2"/>
    <x v="86"/>
    <n v="1653.7999999999993"/>
    <n v="0.12500377928949352"/>
    <n v="6"/>
    <n v="4"/>
    <x v="7"/>
    <x v="0"/>
  </r>
  <r>
    <s v="Акт входного контроля 000000179 от 04.06.2025 17:45:30"/>
    <s v="высший"/>
    <n v="209"/>
    <n v="130781"/>
    <s v="Кубань УОХ"/>
    <s v="Бербеницкий Сергей Николаевич"/>
    <s v="С400РР"/>
    <s v="2/4"/>
    <s v="2/4"/>
    <s v="Изюминка"/>
    <s v="Горох овощной свежий 10.01"/>
    <n v="28130"/>
    <n v="14940"/>
    <n v="13.5"/>
    <n v="13190"/>
    <n v="11409.3"/>
    <x v="2"/>
    <x v="86"/>
    <n v="1780.7000000000007"/>
    <n v="0.13500379075056868"/>
    <n v="6"/>
    <n v="4"/>
    <x v="7"/>
    <x v="0"/>
  </r>
  <r>
    <s v="Акт входного контроля 000000180 от 04.06.2025 20:04:54"/>
    <s v="высший"/>
    <n v="210"/>
    <n v="130782"/>
    <s v="Кубань УОХ"/>
    <s v="Погуляй А.Б.       "/>
    <s v="О824ТХ"/>
    <s v="2/4"/>
    <s v="2/4"/>
    <s v="Преладо"/>
    <s v="Горох овощной свежий 10.01"/>
    <n v="34410"/>
    <n v="18690"/>
    <n v="12.5"/>
    <n v="15720"/>
    <n v="13755"/>
    <x v="2"/>
    <x v="86"/>
    <n v="1965"/>
    <n v="0.125"/>
    <n v="6"/>
    <n v="4"/>
    <x v="7"/>
    <x v="0"/>
  </r>
  <r>
    <s v="Акт входного контроля 000000181 от 04.06.2025 20:40:17"/>
    <s v="высший"/>
    <n v="211"/>
    <n v="130783"/>
    <s v="Кубань УОХ"/>
    <s v="Жданов Андрей Иванович"/>
    <s v="С707ОУ"/>
    <s v="2/4"/>
    <s v="2/4"/>
    <s v="Преладо"/>
    <s v="Горох овощной свежий 10.01"/>
    <n v="27680"/>
    <n v="14390"/>
    <n v="13.5"/>
    <n v="13290"/>
    <n v="11495.8"/>
    <x v="2"/>
    <x v="86"/>
    <n v="1794.2000000000007"/>
    <n v="0.13500376222723859"/>
    <n v="6"/>
    <n v="4"/>
    <x v="7"/>
    <x v="0"/>
  </r>
  <r>
    <s v="Акт входного контроля 000000182 от 04.06.2025 21:28:41"/>
    <s v="высший"/>
    <n v="213"/>
    <n v="37"/>
    <s v="Грин Рэй Кубань ООО (Овощеводство)"/>
    <s v="Чигрин Н.А."/>
    <s v="А819ЕВ"/>
    <s v="А-57"/>
    <s v="А-57"/>
    <s v="Авола"/>
    <s v="Горох овощной свежий 10.01"/>
    <n v="11950"/>
    <n v="9730"/>
    <n v="15.5"/>
    <n v="2220"/>
    <n v="1875.9"/>
    <x v="2"/>
    <x v="86"/>
    <n v="344.09999999999991"/>
    <n v="0.15499999999999997"/>
    <n v="6"/>
    <n v="4"/>
    <x v="7"/>
    <x v="0"/>
  </r>
  <r>
    <s v="Акт входного контроля 000000183 от 04.06.2025 22:17:24"/>
    <s v="высший"/>
    <n v="212"/>
    <n v="130784"/>
    <s v="Кубань УОХ"/>
    <s v="Кудря Евгений"/>
    <s v="А719ОО"/>
    <s v="2/4"/>
    <s v="2/4"/>
    <s v="Преладо"/>
    <s v="Горох овощной свежий 10.01"/>
    <n v="28130"/>
    <n v="14780"/>
    <n v="10.5"/>
    <n v="13350"/>
    <n v="11948.2"/>
    <x v="2"/>
    <x v="86"/>
    <n v="1401.7999999999993"/>
    <n v="0.10500374531835201"/>
    <n v="6"/>
    <n v="4"/>
    <x v="7"/>
    <x v="0"/>
  </r>
  <r>
    <s v="Акт входного контроля 000000184 от 04.06.2025 23:42:59"/>
    <s v="высший"/>
    <n v="216"/>
    <n v="130786"/>
    <s v="Кубань УОХ"/>
    <s v="Мудрак Вадим Васильевич"/>
    <s v="Х514ОК"/>
    <s v="2/4"/>
    <s v="2/4"/>
    <s v="Преладо"/>
    <s v="Горох овощной свежий 10.01"/>
    <n v="36430"/>
    <n v="21070"/>
    <n v="14"/>
    <n v="15360"/>
    <n v="13209.6"/>
    <x v="2"/>
    <x v="86"/>
    <n v="2150.3999999999996"/>
    <n v="0.13999999999999999"/>
    <n v="6"/>
    <n v="4"/>
    <x v="7"/>
    <x v="0"/>
  </r>
  <r>
    <s v="Акт входного контроля 000000185 от 04.06.2025 23:47:55"/>
    <s v="высший"/>
    <n v="217"/>
    <n v="130787"/>
    <s v="Кубань УОХ"/>
    <s v="Егоян Артем Владимирович"/>
    <s v="А701СН"/>
    <s v="2/4"/>
    <s v="2/4"/>
    <s v="Преладо"/>
    <s v="Горох овощной свежий 10.01"/>
    <n v="28110"/>
    <n v="14880"/>
    <n v="8.5"/>
    <n v="13230"/>
    <n v="12105.4"/>
    <x v="2"/>
    <x v="86"/>
    <n v="1124.6000000000004"/>
    <n v="8.5003779289493597E-2"/>
    <n v="6"/>
    <n v="4"/>
    <x v="7"/>
    <x v="0"/>
  </r>
  <r>
    <s v="Акт входного контроля 000000186 от 04.06.2025 1:23:02"/>
    <s v="высший"/>
    <n v="218"/>
    <n v="39"/>
    <s v="Грин Рэй Кубань ООО (Овощеводство)"/>
    <s v="Чигрин Н.А."/>
    <s v="А819ЕВ"/>
    <s v="А-46"/>
    <s v="А-46"/>
    <s v="Оскар"/>
    <s v="Горох овощной свежий 10.01"/>
    <n v="14600"/>
    <n v="9720"/>
    <n v="18"/>
    <n v="4880"/>
    <n v="4001.6"/>
    <x v="2"/>
    <x v="86"/>
    <n v="878.40000000000009"/>
    <n v="0.18000000000000002"/>
    <n v="6"/>
    <n v="4"/>
    <x v="7"/>
    <x v="0"/>
  </r>
  <r>
    <s v="Акт входного контроля 000000187 от 05.06.2025 2:57:46"/>
    <s v="первый"/>
    <n v="220"/>
    <n v="40"/>
    <s v="Грин Рэй Кубань ООО (Овощеводство)"/>
    <s v="Чигрин Н.А."/>
    <s v="А819ЕВ"/>
    <s v="А-46"/>
    <s v="А-46"/>
    <s v="Оскар"/>
    <s v="Горох овощной свежий 10.01"/>
    <n v="14600"/>
    <n v="9710"/>
    <n v="17"/>
    <n v="4890"/>
    <n v="4058.7"/>
    <x v="2"/>
    <x v="87"/>
    <n v="831.30000000000018"/>
    <n v="0.17000000000000004"/>
    <n v="6"/>
    <n v="5"/>
    <x v="8"/>
    <x v="0"/>
  </r>
  <r>
    <s v="Акт входного контроля 000000188 от 05.06.2025 3:09:26"/>
    <s v="высший"/>
    <n v="221"/>
    <n v="130788"/>
    <s v="Кубань УОХ"/>
    <s v="Мудрак Игорь Вадимович"/>
    <s v="С198УЕ"/>
    <s v="2/4"/>
    <s v="2/4"/>
    <s v="Преладо"/>
    <s v="Горох овощной свежий 10.01"/>
    <n v="37550"/>
    <n v="24020"/>
    <n v="8.5"/>
    <n v="13530"/>
    <n v="12379.9"/>
    <x v="2"/>
    <x v="87"/>
    <n v="1150.1000000000004"/>
    <n v="8.50036954915004E-2"/>
    <n v="6"/>
    <n v="5"/>
    <x v="8"/>
    <x v="0"/>
  </r>
  <r>
    <s v="Акт входного контроля 000000189 от 05.06.2025 3:36:20"/>
    <s v="первый"/>
    <n v="222"/>
    <n v="41"/>
    <s v="Грин Рэй Кубань ООО (Овощеводство)"/>
    <s v="Чигрин Н.А."/>
    <s v="А819ЕВ"/>
    <s v="А-46"/>
    <s v="А-46"/>
    <s v="Оскар"/>
    <s v="Горох овощной свежий 10.01"/>
    <n v="14640"/>
    <n v="9700"/>
    <n v="16"/>
    <n v="4940"/>
    <n v="4149.6000000000004"/>
    <x v="2"/>
    <x v="87"/>
    <n v="790.39999999999964"/>
    <n v="0.15999999999999992"/>
    <n v="6"/>
    <n v="5"/>
    <x v="8"/>
    <x v="0"/>
  </r>
  <r>
    <s v="Акт входного контроля 000000190 от 05.06.2025 5:14:37"/>
    <s v="высший"/>
    <n v="225"/>
    <n v="42"/>
    <s v="Грин Рэй Кубань ООО (Овощеводство)"/>
    <s v="Чигрин Н.А."/>
    <s v="А819ЕВ"/>
    <s v="А-46"/>
    <s v="А-46"/>
    <s v="Оскар"/>
    <s v="Горох овощной свежий 10.01"/>
    <n v="14670"/>
    <n v="9690"/>
    <n v="14"/>
    <n v="4980"/>
    <n v="4282.8"/>
    <x v="2"/>
    <x v="87"/>
    <n v="697.19999999999982"/>
    <n v="0.13999999999999996"/>
    <n v="6"/>
    <n v="5"/>
    <x v="8"/>
    <x v="0"/>
  </r>
  <r>
    <s v="Акт входного контроля 000000191 от 05.06.2025 5:28:43"/>
    <s v="высший"/>
    <n v="223"/>
    <n v="130790"/>
    <s v="Кубань УОХ"/>
    <s v="Емец Р.А."/>
    <s v="У315НХ"/>
    <s v="2/4"/>
    <s v="2/4"/>
    <s v="Преладо"/>
    <s v="Горох овощной свежий 10.01"/>
    <n v="28860"/>
    <n v="15560"/>
    <n v="11"/>
    <n v="13300"/>
    <n v="11837"/>
    <x v="2"/>
    <x v="87"/>
    <n v="1463"/>
    <n v="0.11"/>
    <n v="6"/>
    <n v="5"/>
    <x v="8"/>
    <x v="0"/>
  </r>
  <r>
    <s v="Акт входного контроля 000000192 от 04.06.2025 9:26:25"/>
    <s v="высший"/>
    <n v="204"/>
    <s v="36Продажа ЮнонаОтвес№8"/>
    <s v="Грин Рэй Кубань ООО (Овощеводство)"/>
    <s v="Баяк А.А."/>
    <s v="Р277НН"/>
    <s v="А-46"/>
    <s v="А-46"/>
    <s v="Оскар"/>
    <s v="Горох овощной свежий 10.01"/>
    <n v="33490"/>
    <n v="18770"/>
    <n v="16.899999999999999"/>
    <n v="14720"/>
    <n v="12230.4"/>
    <x v="2"/>
    <x v="86"/>
    <n v="2489.6000000000004"/>
    <n v="0.16913043478260872"/>
    <n v="6"/>
    <n v="4"/>
    <x v="7"/>
    <x v="0"/>
  </r>
  <r>
    <s v="Акт входного контроля 000000193 от 04.06.2025 7:20:20"/>
    <s v="высший"/>
    <n v="200"/>
    <s v="35Продажа ЮнонаОтвес№4\ГИА"/>
    <s v="Грин Рэй Кубань ООО"/>
    <s v="Дмитриев Николай Александрович"/>
    <s v="М202СХ"/>
    <s v="А-46"/>
    <s v="А-46"/>
    <s v="Оскар"/>
    <s v="Горох овощной свежий 10.01"/>
    <n v="32100"/>
    <n v="17620"/>
    <n v="23.7"/>
    <n v="14480"/>
    <n v="11044.8"/>
    <x v="2"/>
    <x v="86"/>
    <n v="3435.2000000000007"/>
    <n v="0.23723756906077353"/>
    <n v="6"/>
    <n v="4"/>
    <x v="7"/>
    <x v="0"/>
  </r>
  <r>
    <s v="Акт входного контроля 000000194 от 04.06.2025 0:18:55"/>
    <s v="высший"/>
    <n v="193"/>
    <s v="33Продажа Юж.продукт№3"/>
    <s v="Грин Рэй Кубань ООО (Овощеводство)"/>
    <s v="Микуц Н.М."/>
    <s v="В397ОТ"/>
    <s v="А-46"/>
    <s v="А-46"/>
    <s v="Оскар"/>
    <s v="Горох овощной свежий 10.01"/>
    <n v="30820"/>
    <n v="16480"/>
    <n v="31.8"/>
    <n v="14340"/>
    <n v="9785"/>
    <x v="2"/>
    <x v="86"/>
    <n v="4555"/>
    <n v="0.31764295676429566"/>
    <n v="6"/>
    <n v="4"/>
    <x v="7"/>
    <x v="0"/>
  </r>
  <r>
    <s v="Акт входного контроля 000000195 от 04.06.2025 19:28:50"/>
    <s v="высший"/>
    <n v="214"/>
    <s v="38ПродажаЮнонаОтвес№10"/>
    <s v="Грин Рэй Кубань ООО"/>
    <s v="Сурнин А.В"/>
    <s v="В415ТТ"/>
    <s v="А-46"/>
    <s v="А-46"/>
    <s v="Оскар"/>
    <s v="Горох овощной свежий 10.01"/>
    <n v="32190"/>
    <n v="17740"/>
    <n v="12"/>
    <n v="14450"/>
    <n v="12716"/>
    <x v="2"/>
    <x v="86"/>
    <n v="1734"/>
    <n v="0.12"/>
    <n v="6"/>
    <n v="4"/>
    <x v="7"/>
    <x v="0"/>
  </r>
  <r>
    <s v="Акт входного контроля 000000196 от 05.06.2025 10:52:52"/>
    <s v="высший"/>
    <n v="224"/>
    <n v="130791"/>
    <s v="Кубань УОХ"/>
    <s v="Огнев Максим Викторович"/>
    <s v="Р755НН"/>
    <s v="2/4"/>
    <s v="2/4"/>
    <s v="Преладо"/>
    <s v="Горох овощной свежий 10.01"/>
    <n v="28060"/>
    <n v="14730"/>
    <n v="11.5"/>
    <n v="13330"/>
    <n v="11797"/>
    <x v="2"/>
    <x v="87"/>
    <n v="1533"/>
    <n v="0.11500375093773443"/>
    <n v="6"/>
    <n v="5"/>
    <x v="8"/>
    <x v="0"/>
  </r>
  <r>
    <s v="Акт входного контроля 000000197 от 03.06.2025 23:52:04"/>
    <s v="высший"/>
    <m/>
    <s v="065946Продажа Пищевик"/>
    <s v="Кубань УОХ"/>
    <s v="Пивень С.Н."/>
    <s v="К475 ВМ"/>
    <s v="2/4"/>
    <s v="2/4"/>
    <s v="Преладо"/>
    <s v="Горох овощной свежий 10.01"/>
    <n v="32800"/>
    <n v="14500"/>
    <n v="6.5"/>
    <n v="18300"/>
    <n v="17110"/>
    <x v="2"/>
    <x v="85"/>
    <n v="1190"/>
    <n v="6.502732240437159E-2"/>
    <n v="6"/>
    <n v="3"/>
    <x v="6"/>
    <x v="0"/>
  </r>
  <r>
    <s v="Акт входного контроля 000000198 от 05.06.2025 11:16:47"/>
    <s v="высший"/>
    <n v="226"/>
    <n v="130792"/>
    <s v="Кубань УОХ"/>
    <s v="Лазаренко Вятчеслав Владимирович"/>
    <s v="Т239УС"/>
    <s v="1/8.1"/>
    <s v="1/8.1"/>
    <s v="Преладо"/>
    <s v="Горох овощной свежий 10.01"/>
    <n v="29030"/>
    <n v="22250"/>
    <m/>
    <n v="14170"/>
    <n v="12728.9"/>
    <x v="2"/>
    <x v="87"/>
    <n v="1441.1000000000004"/>
    <n v="0.10170077628793228"/>
    <n v="6"/>
    <n v="5"/>
    <x v="8"/>
    <x v="0"/>
  </r>
  <r>
    <s v="Акт входного контроля 000000199 от 05.06.2025 12:36:55"/>
    <s v="высший"/>
    <n v="228"/>
    <n v="130793"/>
    <s v="Кубань УОХ"/>
    <s v="Сероштан Станислав Викторович"/>
    <s v="Е758РЕ"/>
    <s v="1/8.1"/>
    <s v="1/8.1"/>
    <s v="Преладо"/>
    <s v="Горох овощной свежий 10.01"/>
    <n v="28060"/>
    <n v="14580"/>
    <n v="20.5"/>
    <n v="13480"/>
    <n v="10716.6"/>
    <x v="2"/>
    <x v="87"/>
    <n v="2763.3999999999996"/>
    <n v="0.20499999999999996"/>
    <n v="6"/>
    <n v="5"/>
    <x v="8"/>
    <x v="0"/>
  </r>
  <r>
    <s v="Акт входного контроля 000000200 от 05.06.2025 12:50:10"/>
    <s v="высший"/>
    <n v="230"/>
    <n v="130794"/>
    <s v="Кубань УОХ"/>
    <s v="Кулик О В"/>
    <s v="К403ЕМ"/>
    <s v="1/8.1"/>
    <s v="1/8.1"/>
    <s v="Преладо"/>
    <s v="Горох овощной свежий 10.01"/>
    <n v="28080"/>
    <n v="14850"/>
    <n v="22.5"/>
    <n v="13230"/>
    <n v="10253.200000000001"/>
    <x v="2"/>
    <x v="87"/>
    <n v="2976.7999999999993"/>
    <n v="0.22500377928949353"/>
    <n v="6"/>
    <n v="5"/>
    <x v="8"/>
    <x v="0"/>
  </r>
  <r>
    <s v="Акт входного контроля 000000201 от 04.06.2025 23:47:56"/>
    <s v="высший"/>
    <m/>
    <s v="130779Продажа ЮнонаОтвес №6"/>
    <s v="Кубань УОХ"/>
    <s v="Мышастый С.Н."/>
    <s v="В725ЕА"/>
    <s v="2/4"/>
    <s v="2/4"/>
    <s v="Преладо"/>
    <s v="Горох овощной свежий 10.01"/>
    <n v="33040"/>
    <n v="17140"/>
    <n v="14.8"/>
    <n v="15900"/>
    <n v="13550.6"/>
    <x v="2"/>
    <x v="86"/>
    <n v="2349.3999999999996"/>
    <n v="0.14776100628930816"/>
    <n v="6"/>
    <n v="4"/>
    <x v="7"/>
    <x v="0"/>
  </r>
  <r>
    <s v="Акт входного контроля 000000202 от 04.06.2025 23:47:57"/>
    <s v="высший"/>
    <m/>
    <s v="130785Продажа ЮнонаОтвес9"/>
    <s v="Кубань УОХ"/>
    <s v="Желтков Е.М."/>
    <s v="Е838ВР"/>
    <s v="2/4"/>
    <s v="2/4"/>
    <s v="Преладо"/>
    <s v="Горох овощной свежий 10.01"/>
    <n v="34180"/>
    <n v="18360"/>
    <n v="13.5"/>
    <n v="15820"/>
    <n v="13692.1"/>
    <x v="2"/>
    <x v="86"/>
    <n v="2127.8999999999996"/>
    <n v="0.13450695322376735"/>
    <n v="6"/>
    <n v="4"/>
    <x v="7"/>
    <x v="0"/>
  </r>
  <r>
    <s v="Акт входного контроля 000000203 от 04.06.2025 23:47:58"/>
    <s v="высший"/>
    <m/>
    <s v="130789Продажа ЮнонаОтвес№11"/>
    <s v="Кубань УОХ"/>
    <s v="Мышастый С.Н."/>
    <s v="В725ЕА"/>
    <s v="2/4"/>
    <s v="2/4"/>
    <s v="Преладо"/>
    <s v="Горох овощной свежий 10.01"/>
    <n v="32580"/>
    <n v="17040"/>
    <n v="12.7"/>
    <n v="15540"/>
    <n v="13560.5"/>
    <x v="2"/>
    <x v="86"/>
    <n v="1979.5"/>
    <n v="0.12738095238095237"/>
    <n v="6"/>
    <n v="4"/>
    <x v="7"/>
    <x v="0"/>
  </r>
  <r>
    <s v="Акт входного контроля 000000204 от 04.06.2025 23:47:59"/>
    <s v="высший"/>
    <m/>
    <s v="130780Продажа ЮнонаОтвес№7"/>
    <s v="Кубань УОХ"/>
    <s v="Радин А.М."/>
    <s v="Н370ВР"/>
    <s v="2/4"/>
    <s v="2/4"/>
    <s v="Преладо"/>
    <s v="Горох овощной свежий 10.01"/>
    <n v="32040"/>
    <n v="16120"/>
    <n v="14.4"/>
    <n v="15920"/>
    <n v="13632.4"/>
    <x v="2"/>
    <x v="86"/>
    <n v="2287.6000000000004"/>
    <n v="0.14369346733668345"/>
    <n v="6"/>
    <n v="4"/>
    <x v="7"/>
    <x v="0"/>
  </r>
  <r>
    <s v="Акт входного контроля 000000205 от 05.06.2025 13:31:58"/>
    <s v="высший"/>
    <n v="233"/>
    <n v="45"/>
    <s v="Грин Рэй Кубань ООО (Овощеводство)"/>
    <s v="Сайко Василий Викторович"/>
    <s v="А816ЕВ"/>
    <s v="А-57"/>
    <s v="А-57"/>
    <s v="Авола"/>
    <s v="Горох овощной свежий 10.01"/>
    <n v="14400"/>
    <n v="9480"/>
    <n v="17.5"/>
    <n v="4920"/>
    <n v="4059"/>
    <x v="2"/>
    <x v="87"/>
    <n v="861"/>
    <n v="0.17499999999999999"/>
    <n v="6"/>
    <n v="5"/>
    <x v="8"/>
    <x v="0"/>
  </r>
  <r>
    <s v="Акт входного контроля 000000206 от 05.06.2025 14:25:19"/>
    <s v="высший"/>
    <n v="234"/>
    <n v="130796"/>
    <s v="Кубань УОХ"/>
    <s v="Черевко Александр Владимирович"/>
    <s v="А114МК"/>
    <s v="1/8.1"/>
    <s v="1/8.1"/>
    <s v="Преладо"/>
    <s v="Горох овощной свежий 10.01"/>
    <n v="28060"/>
    <n v="14540"/>
    <n v="17.5"/>
    <n v="13520"/>
    <n v="11154"/>
    <x v="2"/>
    <x v="87"/>
    <n v="2366"/>
    <n v="0.17499999999999999"/>
    <n v="6"/>
    <n v="5"/>
    <x v="8"/>
    <x v="0"/>
  </r>
  <r>
    <s v="Акт входного контроля 000000207 от 04.06.2025 19:19:20"/>
    <m/>
    <n v="213"/>
    <n v="37"/>
    <s v="Грин Рэй Кубань ООО (Овощеводство)"/>
    <s v="Чигрин Н.А."/>
    <s v="А819ЕВ"/>
    <s v="А-57"/>
    <s v="А-57"/>
    <s v="Авола"/>
    <s v="Горох овощной свежий 10.01"/>
    <m/>
    <m/>
    <m/>
    <m/>
    <m/>
    <x v="2"/>
    <x v="86"/>
    <n v="0"/>
    <e v="#DIV/0!"/>
    <n v="6"/>
    <n v="4"/>
    <x v="7"/>
    <x v="0"/>
  </r>
  <r>
    <s v="Акт входного контроля 000000208 от 05.06.2025 16:03:37"/>
    <s v="высший"/>
    <n v="235"/>
    <n v="130797"/>
    <s v="Кубань УОХ"/>
    <s v="Долгих Николай Петрович"/>
    <s v="У726ЕР"/>
    <s v="1/8.1"/>
    <s v="1/8.1"/>
    <s v="Преладо"/>
    <s v="Горох овощной свежий 10.01"/>
    <n v="28680"/>
    <n v="15170"/>
    <n v="19.5"/>
    <n v="13510"/>
    <n v="10875.5"/>
    <x v="2"/>
    <x v="87"/>
    <n v="2634.5"/>
    <n v="0.1950037009622502"/>
    <n v="6"/>
    <n v="5"/>
    <x v="8"/>
    <x v="0"/>
  </r>
  <r>
    <s v="Акт входного контроля 000000209 от 05.06.2025 16:32:31"/>
    <s v="высший"/>
    <n v="237"/>
    <n v="130798"/>
    <s v="Кубань УОХ"/>
    <s v="Пугачев Сергей Викторович"/>
    <s v="Р258УХ"/>
    <s v="1/8.1"/>
    <s v="1/8.1"/>
    <s v="Преладо"/>
    <s v="Горох овощной свежий 10.01"/>
    <n v="29330"/>
    <n v="15640"/>
    <n v="16.5"/>
    <n v="13690"/>
    <n v="11431.1"/>
    <x v="2"/>
    <x v="87"/>
    <n v="2258.8999999999996"/>
    <n v="0.16500365230094957"/>
    <n v="6"/>
    <n v="5"/>
    <x v="8"/>
    <x v="0"/>
  </r>
  <r>
    <s v="Акт входного контроля 000000210 от 05.06.2025 18:03:23"/>
    <s v="высший"/>
    <n v="238"/>
    <n v="130799"/>
    <s v="Кубань УОХ"/>
    <s v="Никитась Сергей Анатольевич"/>
    <s v="К570ЕО"/>
    <s v="1/8.1"/>
    <s v="1/8.1"/>
    <s v="Преладо"/>
    <s v="Горох овощной свежий 10.01"/>
    <n v="28640"/>
    <n v="14910"/>
    <n v="20.5"/>
    <n v="13730"/>
    <n v="10915.3"/>
    <x v="2"/>
    <x v="87"/>
    <n v="2814.7000000000007"/>
    <n v="0.20500364166059729"/>
    <n v="6"/>
    <n v="5"/>
    <x v="8"/>
    <x v="0"/>
  </r>
  <r>
    <s v="Акт входного контроля 000000211 от 05.06.2025 19:00:08"/>
    <s v="высший"/>
    <n v="239"/>
    <n v="130800"/>
    <s v="Кубань УОХ"/>
    <s v="Бербеницкий Сергей Николаевич"/>
    <s v="С400РР"/>
    <s v="1/8.1"/>
    <s v="1/8.1"/>
    <s v="Преладо"/>
    <s v="Горох овощной свежий 10.01"/>
    <n v="28760"/>
    <n v="14940"/>
    <n v="18.5"/>
    <n v="13820"/>
    <n v="11263.3"/>
    <x v="2"/>
    <x v="87"/>
    <n v="2556.7000000000007"/>
    <n v="0.18500000000000005"/>
    <n v="6"/>
    <n v="5"/>
    <x v="8"/>
    <x v="0"/>
  </r>
  <r>
    <s v="Акт входного контроля 000000212 от 05.06.2025 22:17:38"/>
    <s v="высший"/>
    <n v="240"/>
    <n v="130751"/>
    <s v="Кубань УОХ"/>
    <s v="Погуляй А.Б.       "/>
    <s v="О824ТХ"/>
    <s v="1/8.1"/>
    <s v="1/8.1"/>
    <s v="Преладо"/>
    <s v="Горох овощной свежий 10.01"/>
    <n v="32460"/>
    <n v="18700"/>
    <n v="16.5"/>
    <n v="13760"/>
    <n v="11489.6"/>
    <x v="2"/>
    <x v="87"/>
    <n v="2270.3999999999996"/>
    <n v="0.16499999999999998"/>
    <n v="6"/>
    <n v="5"/>
    <x v="8"/>
    <x v="0"/>
  </r>
  <r>
    <s v="Акт входного контроля 000000213 от 05.06.2025 22:27:20"/>
    <s v="высший"/>
    <n v="242"/>
    <n v="130752"/>
    <s v="Кубань УОХ"/>
    <s v="Жданов Андрей Иванович"/>
    <s v="С707ОУ"/>
    <s v="1/8.1"/>
    <s v="1/8.1"/>
    <s v="Преладо"/>
    <s v="Горох овощной свежий 10.01"/>
    <n v="28200"/>
    <n v="14390"/>
    <n v="17.5"/>
    <n v="13810"/>
    <n v="11393.2"/>
    <x v="2"/>
    <x v="87"/>
    <n v="2416.7999999999993"/>
    <n v="0.17500362056480806"/>
    <n v="6"/>
    <n v="5"/>
    <x v="8"/>
    <x v="0"/>
  </r>
  <r>
    <s v="Акт входного контроля 000000214 от 05.06.2025 17:31:06"/>
    <s v="высший"/>
    <n v="241"/>
    <n v="47"/>
    <s v="Грин Рэй Кубань ООО (Овощеводство)"/>
    <s v="Сайко Василий Викторович"/>
    <s v="А816ЕВ"/>
    <s v="А-57"/>
    <s v="А-57"/>
    <s v="Авола"/>
    <s v="Горох овощной свежий 10.01"/>
    <n v="16370"/>
    <n v="9470"/>
    <n v="22.5"/>
    <n v="6900"/>
    <n v="5347.5"/>
    <x v="2"/>
    <x v="87"/>
    <n v="1552.5"/>
    <n v="0.22500000000000001"/>
    <n v="6"/>
    <n v="5"/>
    <x v="8"/>
    <x v="0"/>
  </r>
  <r>
    <s v="Акт входного контроля 000000215 от 05.06.2025 19:36:33"/>
    <s v="высший"/>
    <n v="244"/>
    <n v="130753"/>
    <s v="Кубань УОХ"/>
    <s v="Кудря Евгений"/>
    <s v="А719ОО"/>
    <s v="1/8.1"/>
    <s v="1/8.1"/>
    <s v="Преладо"/>
    <s v="Горох овощной свежий 10.01"/>
    <n v="28130"/>
    <n v="14680"/>
    <n v="15.5"/>
    <n v="13450"/>
    <n v="11365.2"/>
    <x v="2"/>
    <x v="87"/>
    <n v="2084.7999999999993"/>
    <n v="0.15500371747211891"/>
    <n v="6"/>
    <n v="5"/>
    <x v="8"/>
    <x v="0"/>
  </r>
  <r>
    <s v="Акт входного контроля 000000216 от 05.06.2025 21:02:41"/>
    <s v="высший"/>
    <n v="245"/>
    <n v="130756"/>
    <s v="Кубань УОХ"/>
    <s v="Мудрак Вадим Васильевич"/>
    <s v="Х514ОК"/>
    <s v="1/8.1"/>
    <s v="1/8.1"/>
    <s v="Преладо"/>
    <s v="Горох овощной свежий 10.01"/>
    <n v="34520"/>
    <n v="20910"/>
    <n v="18.5"/>
    <n v="13610"/>
    <n v="11092.1"/>
    <x v="2"/>
    <x v="87"/>
    <n v="2517.8999999999996"/>
    <n v="0.18500367376928725"/>
    <n v="6"/>
    <n v="5"/>
    <x v="8"/>
    <x v="0"/>
  </r>
  <r>
    <s v="Акт входного контроля 000000217 от 05.06.2025 21:47:45"/>
    <s v="высший"/>
    <n v="246"/>
    <n v="130755"/>
    <s v="Кубань УОХ"/>
    <s v="Егоян Артем Владимирович"/>
    <s v="А701СН"/>
    <s v="1/8.1"/>
    <s v="1/8.1"/>
    <s v="Преладо"/>
    <s v="Горох овощной свежий 10.01"/>
    <n v="28420"/>
    <n v="14860"/>
    <n v="15.5"/>
    <n v="13560"/>
    <n v="11458.2"/>
    <x v="2"/>
    <x v="87"/>
    <n v="2101.7999999999993"/>
    <n v="0.15499999999999994"/>
    <n v="6"/>
    <n v="5"/>
    <x v="8"/>
    <x v="0"/>
  </r>
  <r>
    <s v="Акт входного контроля 000000218 от 05.06.2025 22:38:50"/>
    <s v="высший"/>
    <n v="248"/>
    <n v="130754"/>
    <s v="Кубань УОХ"/>
    <s v="Мудрак Игорь Вадимович"/>
    <s v="С198УЕ"/>
    <s v="1/8.1"/>
    <s v="1/8.1"/>
    <s v="Преладо"/>
    <s v="Горох овощной свежий 10.01"/>
    <n v="37580"/>
    <n v="24010"/>
    <n v="13.5"/>
    <n v="13570"/>
    <n v="11738"/>
    <x v="2"/>
    <x v="87"/>
    <n v="1832"/>
    <n v="0.13500368459837878"/>
    <n v="6"/>
    <n v="5"/>
    <x v="8"/>
    <x v="0"/>
  </r>
  <r>
    <s v="Акт входного контроля 000000219 от 06.06.2025 6:03:52"/>
    <s v="высший"/>
    <n v="250"/>
    <n v="130757"/>
    <s v="Кубань УОХ"/>
    <s v="Богучарский А. И."/>
    <s v="Е404УС"/>
    <s v="1.8.1"/>
    <s v="1.8.1"/>
    <s v="Преладо"/>
    <s v="Горох овощной свежий 10.01"/>
    <n v="27270"/>
    <n v="13760"/>
    <n v="13.5"/>
    <n v="13510"/>
    <n v="11686.1"/>
    <x v="2"/>
    <x v="88"/>
    <n v="1823.8999999999996"/>
    <n v="0.13500370096225014"/>
    <n v="6"/>
    <n v="6"/>
    <x v="9"/>
    <x v="0"/>
  </r>
  <r>
    <s v="Акт входного контроля 000000220 от 05.06.2025 0:30:29"/>
    <s v="высший"/>
    <n v="219"/>
    <s v="43ПродажаЮнонаОтвес5/ГИА"/>
    <s v="Грин Рэй Кубань ООО"/>
    <s v="Сидоренко Евгений Сергеевич"/>
    <s v="М697ХВ"/>
    <s v="А-46"/>
    <s v="А-46"/>
    <s v="Оскар"/>
    <s v="Горох овощной свежий 10.01"/>
    <n v="31040"/>
    <n v="17100"/>
    <n v="25.3"/>
    <n v="13940"/>
    <n v="10413.200000000001"/>
    <x v="2"/>
    <x v="87"/>
    <n v="3526.7999999999993"/>
    <n v="0.25299856527977038"/>
    <n v="6"/>
    <n v="5"/>
    <x v="8"/>
    <x v="0"/>
  </r>
  <r>
    <s v="Акт входного контроля 000000221 от 05.06.2025 21:42:33"/>
    <s v="высший"/>
    <n v="215"/>
    <s v="46ПродажаЮнонаОтвес12"/>
    <s v="Грин Рэй Кубань ООО (Овощеводство)"/>
    <s v="Микуц Н.М."/>
    <s v="В397ОТ"/>
    <s v="А-57"/>
    <s v="А-57"/>
    <s v="Авола"/>
    <s v="Горох овощной свежий 10.01"/>
    <n v="26090"/>
    <n v="16540"/>
    <n v="17"/>
    <n v="9550"/>
    <n v="7928.2"/>
    <x v="2"/>
    <x v="87"/>
    <n v="1621.8000000000002"/>
    <n v="0.16982198952879582"/>
    <n v="6"/>
    <n v="5"/>
    <x v="8"/>
    <x v="0"/>
  </r>
  <r>
    <s v="Акт входного контроля 000000222 от 05.06.2025 10:17:34"/>
    <s v="высший"/>
    <n v="232"/>
    <s v="44ПродажаЮнонаОтвес14"/>
    <s v="Грин Рэй Кубань ООО (Овощеводство)"/>
    <s v="Баяк А.А."/>
    <s v="Р277НН"/>
    <s v="А-57"/>
    <s v="А-57"/>
    <s v="Оскар"/>
    <s v="Горох овощной свежий 10.01"/>
    <n v="33080"/>
    <n v="18790"/>
    <n v="10.9"/>
    <n v="14290"/>
    <n v="12725.4"/>
    <x v="2"/>
    <x v="87"/>
    <n v="1564.6000000000004"/>
    <n v="0.10948915325402382"/>
    <n v="6"/>
    <n v="5"/>
    <x v="8"/>
    <x v="0"/>
  </r>
  <r>
    <s v="Акт входного контроля 000000223 от 05.06.2025 6:54:20"/>
    <s v="высший"/>
    <n v="227"/>
    <s v="48ПРодажаЮнонаОтвес13"/>
    <s v="Грин Рэй Кубань ООО"/>
    <s v="Дмитриев Николай Александрович"/>
    <s v="М202СХ"/>
    <s v="А-57"/>
    <s v="А-57"/>
    <s v="Авола"/>
    <s v="Горох овощной свежий 10.01"/>
    <n v="31650"/>
    <n v="17790"/>
    <n v="17.399999999999999"/>
    <n v="13860"/>
    <n v="11448.4"/>
    <x v="2"/>
    <x v="87"/>
    <n v="2411.6000000000004"/>
    <n v="0.17399711399711401"/>
    <n v="6"/>
    <n v="5"/>
    <x v="8"/>
    <x v="0"/>
  </r>
  <r>
    <s v="Акт входного контроля 000000224 от 06.06.2025 10:09:13"/>
    <s v="высший"/>
    <n v="251"/>
    <n v="130758"/>
    <s v="Кубань УОХ"/>
    <s v="Вафин В"/>
    <s v="Р383РЕ"/>
    <s v="1.8.1"/>
    <s v="1.8.1"/>
    <s v="Преладо"/>
    <s v="Горох овощной свежий 10.01"/>
    <n v="28040"/>
    <n v="14590"/>
    <n v="12.5"/>
    <n v="13450"/>
    <n v="11768.7"/>
    <x v="2"/>
    <x v="88"/>
    <n v="1681.2999999999993"/>
    <n v="0.12500371747211891"/>
    <n v="6"/>
    <n v="6"/>
    <x v="9"/>
    <x v="0"/>
  </r>
  <r>
    <s v="Акт входного контроля 000000225 от 06.06.2025 10:45:13"/>
    <s v="высший"/>
    <n v="252"/>
    <n v="130759"/>
    <s v="Кубань УОХ"/>
    <s v="Огнев Максим Викторович"/>
    <s v="Р755НН"/>
    <s v="1.8.1"/>
    <s v="1.8.1"/>
    <s v="Преладо"/>
    <s v="Горох овощной свежий 10.01"/>
    <n v="28180"/>
    <n v="14740"/>
    <n v="15.5"/>
    <n v="13440"/>
    <n v="11356.8"/>
    <x v="2"/>
    <x v="88"/>
    <n v="2083.2000000000007"/>
    <n v="0.15500000000000005"/>
    <n v="6"/>
    <n v="6"/>
    <x v="9"/>
    <x v="0"/>
  </r>
  <r>
    <s v="Акт входного контроля 000000226 от 06.06.2025 11:44:43"/>
    <s v="высший"/>
    <n v="253"/>
    <n v="130760"/>
    <s v="Кубань УОХ"/>
    <s v="Лазаренко Вятчеслав Владимирович"/>
    <s v="Т239УС"/>
    <s v="1.8.1"/>
    <s v="1.8.1"/>
    <s v="Преладо"/>
    <s v="Горох овощной свежий 10.01"/>
    <n v="28240"/>
    <n v="14820"/>
    <n v="14.5"/>
    <n v="13420"/>
    <n v="11474.1"/>
    <x v="2"/>
    <x v="88"/>
    <n v="1945.8999999999996"/>
    <n v="0.14499999999999996"/>
    <n v="6"/>
    <n v="6"/>
    <x v="9"/>
    <x v="0"/>
  </r>
  <r>
    <s v="Акт входного контроля 000000227 от 06.06.2025 12:00:09"/>
    <s v="высший"/>
    <n v="258"/>
    <n v="51"/>
    <s v="Грин Рэй Кубань ООО (Овощеводство)"/>
    <s v="Сайко Владимир Николаевич"/>
    <s v="Т919РВ"/>
    <s v="А-57"/>
    <s v="А-57"/>
    <s v="Авола"/>
    <s v="Горох овощной свежий 10.01"/>
    <n v="9090"/>
    <n v="4600"/>
    <n v="13"/>
    <n v="4490"/>
    <n v="3906.3"/>
    <x v="2"/>
    <x v="88"/>
    <n v="583.69999999999982"/>
    <n v="0.12999999999999995"/>
    <n v="6"/>
    <n v="6"/>
    <x v="9"/>
    <x v="0"/>
  </r>
  <r>
    <s v="Акт входного контроля 000000228 от 06.06.2025 13:11:34"/>
    <s v="высший"/>
    <n v="254"/>
    <n v="130761"/>
    <s v="Кубань УОХ"/>
    <s v="Емец Р.А."/>
    <s v="У315НХ"/>
    <s v="1.8.1"/>
    <s v="1.8.1"/>
    <s v="Преладо"/>
    <s v="Горох овощной свежий 10.01"/>
    <n v="28880"/>
    <n v="15440"/>
    <n v="18.5"/>
    <n v="13440"/>
    <n v="10953.6"/>
    <x v="2"/>
    <x v="88"/>
    <n v="2486.3999999999996"/>
    <n v="0.18499999999999997"/>
    <n v="6"/>
    <n v="6"/>
    <x v="9"/>
    <x v="0"/>
  </r>
  <r>
    <s v="Акт входного контроля 000000229 от 06.06.2025 17:02:38"/>
    <s v="высший"/>
    <n v="255"/>
    <n v="130762"/>
    <s v="Кубань УОХ"/>
    <s v="Кулик О В"/>
    <s v="К403ЕМ"/>
    <s v="1.8.1"/>
    <s v="1.8.1"/>
    <s v="Преладо"/>
    <s v="Горох овощной свежий 10.01"/>
    <n v="28090"/>
    <n v="14790"/>
    <n v="17.5"/>
    <n v="13300"/>
    <n v="10972.5"/>
    <x v="2"/>
    <x v="88"/>
    <n v="2327.5"/>
    <n v="0.17499999999999999"/>
    <n v="6"/>
    <n v="6"/>
    <x v="9"/>
    <x v="0"/>
  </r>
  <r>
    <s v="Акт входного контроля 000000230 от 06.06.2025 17:18:13"/>
    <s v="высший"/>
    <n v="257"/>
    <n v="130763"/>
    <s v="Кубань УОХ"/>
    <s v="Долгих Николай Петрович"/>
    <s v="У726ЕР"/>
    <s v="1.8.1"/>
    <s v="1.8.1"/>
    <s v="Преладо"/>
    <s v="Горох овощной свежий 10.01"/>
    <n v="28290"/>
    <n v="15060"/>
    <n v="10.5"/>
    <n v="13230"/>
    <n v="11840.8"/>
    <x v="2"/>
    <x v="88"/>
    <n v="1389.2000000000007"/>
    <n v="0.10500377928949363"/>
    <n v="6"/>
    <n v="6"/>
    <x v="9"/>
    <x v="0"/>
  </r>
  <r>
    <s v="Акт входного контроля 000000231 от 06.06.2025 17:33:54"/>
    <s v="высший"/>
    <n v="259"/>
    <n v="52"/>
    <s v="Грин Рэй Кубань ООО (Овощеводство)"/>
    <s v="Чигрин Н.А."/>
    <s v="А819ЕВ"/>
    <s v="А-57"/>
    <s v="А-57"/>
    <s v="Авола"/>
    <s v="Горох овощной свежий 10.01"/>
    <n v="14210"/>
    <n v="9720"/>
    <n v="10.5"/>
    <n v="4490"/>
    <n v="4018.5"/>
    <x v="2"/>
    <x v="88"/>
    <n v="471.5"/>
    <n v="0.10501113585746102"/>
    <n v="6"/>
    <n v="6"/>
    <x v="9"/>
    <x v="0"/>
  </r>
  <r>
    <s v="Акт входного контроля 000000232 от 06.06.2025 17:41:24"/>
    <s v="высший"/>
    <n v="260"/>
    <n v="130764"/>
    <s v="Кубань УОХ"/>
    <s v="Пугачев Сергей Викторович"/>
    <s v="Р258УХ"/>
    <s v="1.8.1"/>
    <s v="1.8.1"/>
    <s v="Преладо"/>
    <s v="Горох овощной свежий 10.01"/>
    <n v="29310"/>
    <n v="15640"/>
    <n v="20"/>
    <n v="13670"/>
    <n v="10936"/>
    <x v="2"/>
    <x v="88"/>
    <n v="2734"/>
    <n v="0.2"/>
    <n v="6"/>
    <n v="6"/>
    <x v="9"/>
    <x v="0"/>
  </r>
  <r>
    <s v="Акт входного контроля 000000233 от 06.06.2025 18:17:49"/>
    <s v="высший"/>
    <n v="266"/>
    <n v="130765"/>
    <s v="Кубань УОХ"/>
    <s v="Никитась Сергей Анатольевич"/>
    <s v="К570ЕО"/>
    <s v="1.8.1"/>
    <s v="1.8.1"/>
    <s v="Преладо"/>
    <s v="Горох овощной свежий 10.01"/>
    <n v="28580"/>
    <n v="14910"/>
    <n v="19.5"/>
    <n v="13670"/>
    <n v="11004.3"/>
    <x v="2"/>
    <x v="88"/>
    <n v="2665.7000000000007"/>
    <n v="0.195003657644477"/>
    <n v="6"/>
    <n v="6"/>
    <x v="9"/>
    <x v="0"/>
  </r>
  <r>
    <s v="Акт входного контроля 000000234 от 06.06.2025 19:17:25"/>
    <s v="высший"/>
    <n v="263"/>
    <n v="53"/>
    <s v="Грин Рэй Кубань ООО (Овощеводство)"/>
    <s v="Сайко Владимир Николаевич"/>
    <s v="Т919РВ"/>
    <s v="А-87"/>
    <s v="А-87"/>
    <s v="Увертюра"/>
    <s v="Горох овощной свежий 10.01"/>
    <n v="6920"/>
    <n v="4600"/>
    <n v="12.5"/>
    <n v="2320"/>
    <n v="2030"/>
    <x v="2"/>
    <x v="88"/>
    <n v="290"/>
    <n v="0.125"/>
    <n v="6"/>
    <n v="6"/>
    <x v="9"/>
    <x v="0"/>
  </r>
  <r>
    <s v="Акт входного контроля 000000235 от 06.06.2025 21:03:45"/>
    <s v="высший"/>
    <n v="270"/>
    <n v="130767"/>
    <s v="Кубань УОХ"/>
    <s v="Ревенко Андрей Вячеславович"/>
    <s v="А781РР"/>
    <s v="1.8.1"/>
    <s v="1.8.1"/>
    <s v="Преладо"/>
    <s v="Горох овощной свежий 10.01"/>
    <n v="28770"/>
    <n v="14930"/>
    <n v="16.5"/>
    <n v="13840"/>
    <n v="11556.4"/>
    <x v="2"/>
    <x v="88"/>
    <n v="2283.6000000000004"/>
    <n v="0.16500000000000004"/>
    <n v="6"/>
    <n v="6"/>
    <x v="9"/>
    <x v="0"/>
  </r>
  <r>
    <s v="Акт входного контроля 000000236 от 06.06.2025 21:58:36"/>
    <s v="высший"/>
    <n v="268"/>
    <n v="130766"/>
    <s v="Кубань УОХ"/>
    <s v="Фомин Николай Григорьевич"/>
    <s v="А731ВА"/>
    <s v="1.8.1"/>
    <s v="1.8.1"/>
    <s v="Преладо"/>
    <s v="Горох овощной свежий 10.01"/>
    <n v="28260"/>
    <n v="14630"/>
    <n v="17.5"/>
    <n v="13630"/>
    <n v="11244.7"/>
    <x v="2"/>
    <x v="88"/>
    <n v="2385.2999999999993"/>
    <n v="0.17500366837857662"/>
    <n v="6"/>
    <n v="6"/>
    <x v="9"/>
    <x v="0"/>
  </r>
  <r>
    <s v="Акт входного контроля 000000237 от 06.06.2025 23:15:20"/>
    <s v="высший"/>
    <n v="271"/>
    <n v="130768"/>
    <s v="Кубань УОХ"/>
    <s v="Игольницын Сергей Владимирович"/>
    <s v="В780ТТ"/>
    <s v="1.8.1"/>
    <s v="1.8.1"/>
    <s v="Преладо"/>
    <s v="Горох овощной свежий 10.01"/>
    <n v="29270"/>
    <n v="15360"/>
    <n v="18.5"/>
    <n v="13910"/>
    <n v="11336.6"/>
    <x v="2"/>
    <x v="88"/>
    <n v="2573.3999999999996"/>
    <n v="0.1850035945363048"/>
    <n v="6"/>
    <n v="6"/>
    <x v="9"/>
    <x v="0"/>
  </r>
  <r>
    <s v="Акт входного контроля 000000238 от 06.06.2025 22:31:41"/>
    <s v="высший"/>
    <n v="272"/>
    <n v="130770"/>
    <s v="Кубань УОХ"/>
    <s v="Бербеницкий Сергей Николаевич"/>
    <s v="С400РР"/>
    <s v="1.8.1"/>
    <s v="1.8.1"/>
    <s v="Преладо"/>
    <s v="Горох овощной свежий 10.01"/>
    <n v="28690"/>
    <n v="14960"/>
    <n v="17.5"/>
    <n v="13730"/>
    <n v="11327.2"/>
    <x v="2"/>
    <x v="88"/>
    <n v="2402.7999999999993"/>
    <n v="0.17500364166059718"/>
    <n v="6"/>
    <n v="6"/>
    <x v="9"/>
    <x v="0"/>
  </r>
  <r>
    <s v="Акт входного контроля 000000239 от 07.06.2025 8:13:05"/>
    <s v="высший"/>
    <n v="274"/>
    <n v="130771"/>
    <s v="Кубань УОХ"/>
    <s v="Погуляй А.Б.       "/>
    <s v="О824ТХ"/>
    <s v="1.8.1"/>
    <s v="1.8.1"/>
    <s v="Преладо"/>
    <s v="Горох овощной свежий 10.01"/>
    <n v="32400"/>
    <n v="18720"/>
    <n v="18.5"/>
    <n v="13680"/>
    <n v="11149.2"/>
    <x v="2"/>
    <x v="89"/>
    <n v="2530.7999999999993"/>
    <n v="0.18499999999999994"/>
    <n v="6"/>
    <n v="7"/>
    <x v="10"/>
    <x v="0"/>
  </r>
  <r>
    <s v="Акт входного контроля 000000240 от 07.06.2025 8:24:42"/>
    <s v="высший"/>
    <n v="275"/>
    <n v="59"/>
    <s v="Грин Рэй Кубань ООО (Овощеводство)"/>
    <s v="Чигрин Н.А."/>
    <s v="А819ЕВ"/>
    <s v="А-67"/>
    <s v="А-67"/>
    <s v="Преладо"/>
    <s v="Горох овощной свежий 10.01"/>
    <n v="28010"/>
    <n v="14400"/>
    <n v="13.5"/>
    <n v="13610"/>
    <n v="11772.6"/>
    <x v="2"/>
    <x v="89"/>
    <n v="1837.3999999999996"/>
    <n v="0.13500367376928726"/>
    <n v="6"/>
    <n v="7"/>
    <x v="10"/>
    <x v="0"/>
  </r>
  <r>
    <s v="Акт входного контроля 000000241 от 07.06.2025 10:54:55"/>
    <s v="высший"/>
    <n v="276"/>
    <n v="60"/>
    <s v="Грин Рэй Кубань(Хоздвор) ООО"/>
    <s v="Сайко Владимир Николаевич"/>
    <s v="Т919РВ"/>
    <s v="А-67"/>
    <s v="А-67"/>
    <s v="Преладо"/>
    <s v="Горох овощной свежий 10.01"/>
    <n v="9050"/>
    <n v="4580"/>
    <n v="11.5"/>
    <n v="4470"/>
    <n v="3955.9"/>
    <x v="2"/>
    <x v="89"/>
    <n v="514.09999999999991"/>
    <n v="0.1150111856823266"/>
    <n v="6"/>
    <n v="7"/>
    <x v="10"/>
    <x v="0"/>
  </r>
  <r>
    <s v="Акт входного контроля 000000242 от 07.06.2025 11:02:14"/>
    <s v="высший"/>
    <n v="277"/>
    <n v="130775"/>
    <s v="Кубань УОХ"/>
    <s v="Кудря Евгений"/>
    <s v="А719ОО"/>
    <s v="1.8.1"/>
    <s v="1.8.1"/>
    <s v="Преладо"/>
    <s v="Горох овощной свежий 10.01"/>
    <n v="28430"/>
    <n v="14730"/>
    <n v="18.5"/>
    <n v="13700"/>
    <n v="11165.5"/>
    <x v="2"/>
    <x v="89"/>
    <n v="2534.5"/>
    <n v="0.185"/>
    <n v="6"/>
    <n v="7"/>
    <x v="10"/>
    <x v="0"/>
  </r>
  <r>
    <s v="Акт входного контроля 000000243 от 07.06.2025 11:06:51"/>
    <s v="высший"/>
    <n v="278"/>
    <n v="130773"/>
    <s v="Кубань УОХ"/>
    <s v="Магадиев Александр Сайлаувич"/>
    <s v="У184НО"/>
    <s v="1.8.1"/>
    <s v="1.8.1"/>
    <s v="Преладо"/>
    <s v="Горох овощной свежий 10.01"/>
    <n v="28030"/>
    <n v="14280"/>
    <n v="11.5"/>
    <n v="13750"/>
    <n v="12168.7"/>
    <x v="2"/>
    <x v="89"/>
    <n v="1581.2999999999993"/>
    <n v="0.11500363636363631"/>
    <n v="6"/>
    <n v="7"/>
    <x v="10"/>
    <x v="0"/>
  </r>
  <r>
    <s v="Акт входного контроля 000000244 от 07.06.2025 11:17:31"/>
    <s v="высший"/>
    <n v="279"/>
    <n v="130774"/>
    <s v="Кубань УОХ"/>
    <s v="Извеков Владимир Владимирович"/>
    <s v="Н378ХЕ"/>
    <s v="1.8.1"/>
    <s v="1.8.1"/>
    <s v="Преладо"/>
    <s v="Горох овощной свежий 10.01"/>
    <n v="28730"/>
    <n v="15080"/>
    <n v="16.5"/>
    <n v="13650"/>
    <n v="11397.7"/>
    <x v="2"/>
    <x v="89"/>
    <n v="2252.2999999999993"/>
    <n v="0.16500366300366295"/>
    <n v="6"/>
    <n v="7"/>
    <x v="10"/>
    <x v="0"/>
  </r>
  <r>
    <s v="Акт входного контроля 000000245 от 07.06.2025 11:29:00"/>
    <s v="высший"/>
    <n v="281"/>
    <n v="83501"/>
    <s v="Кубань УОХ"/>
    <s v="Мудрак Игорь Вадимович"/>
    <s v="С198УЕ"/>
    <s v="1.8.1"/>
    <s v="1.8.1"/>
    <s v="Преладо"/>
    <s v="Горох овощной свежий 10.01"/>
    <n v="37850"/>
    <n v="23900"/>
    <n v="19.5"/>
    <n v="13950"/>
    <n v="11229.7"/>
    <x v="2"/>
    <x v="89"/>
    <n v="2720.2999999999993"/>
    <n v="0.19500358422939063"/>
    <n v="6"/>
    <n v="7"/>
    <x v="10"/>
    <x v="0"/>
  </r>
  <r>
    <s v="Акт входного контроля 000000246 от 07.06.2025 11:55:06"/>
    <s v="высший"/>
    <n v="285"/>
    <n v="65"/>
    <s v="Грин Рэй Кубань ООО (Овощеводство)"/>
    <s v="Сайко Василий Викторович"/>
    <s v="А816ЕВ"/>
    <s v="А-67"/>
    <s v="А-67"/>
    <s v="Преладо"/>
    <s v="Горох овощной свежий 10.01"/>
    <n v="23240"/>
    <n v="14120"/>
    <n v="11"/>
    <n v="9120"/>
    <n v="8116.8"/>
    <x v="2"/>
    <x v="89"/>
    <n v="1003.1999999999998"/>
    <n v="0.10999999999999999"/>
    <n v="6"/>
    <n v="7"/>
    <x v="10"/>
    <x v="0"/>
  </r>
  <r>
    <s v="Акт входного контроля 000000247 от 07.06.2025 12:36:15"/>
    <s v="высший"/>
    <n v="286"/>
    <n v="66"/>
    <s v="Грин Рэй Кубань ООО (Овощеводство)"/>
    <s v="Роговской Роман Алексеевич"/>
    <s v="Т945РВ"/>
    <s v="А-67"/>
    <s v="А-67"/>
    <s v="Преладо"/>
    <s v="Горох овощной свежий 10.01"/>
    <n v="8900"/>
    <n v="4630"/>
    <n v="8.5"/>
    <n v="4270"/>
    <n v="3907"/>
    <x v="2"/>
    <x v="89"/>
    <n v="363"/>
    <n v="8.5011709601873542E-2"/>
    <n v="6"/>
    <n v="7"/>
    <x v="10"/>
    <x v="0"/>
  </r>
  <r>
    <s v="Акт входного контроля 000000248 от 07.06.2025 13:40:18"/>
    <s v="высший"/>
    <n v="288"/>
    <n v="67"/>
    <s v="Грин Рэй Кубань ООО (Овощеводство)"/>
    <s v="Жданов Андрей Иванович"/>
    <s v="С707ОУ"/>
    <s v="А-67"/>
    <s v="А-67"/>
    <s v="Преладо"/>
    <s v="Горох овощной свежий 10.01"/>
    <n v="27260"/>
    <n v="14480"/>
    <n v="16"/>
    <n v="12780"/>
    <n v="10735.2"/>
    <x v="2"/>
    <x v="89"/>
    <n v="2044.7999999999993"/>
    <n v="0.15999999999999995"/>
    <n v="6"/>
    <n v="7"/>
    <x v="10"/>
    <x v="0"/>
  </r>
  <r>
    <s v="Акт входного контроля 000000249 от 07.06.2025 15:17:00"/>
    <s v="высший"/>
    <n v="289"/>
    <n v="68"/>
    <s v="Грин Рэй Кубань ООО (Овощеводство)"/>
    <s v="Ревенко Андрей Вячеславович"/>
    <s v="А781РР"/>
    <s v="А-67"/>
    <s v="А-67"/>
    <s v="Преладо"/>
    <s v="Горох овощной свежий 10.01"/>
    <n v="24210"/>
    <n v="14880"/>
    <n v="15"/>
    <n v="9330"/>
    <n v="7930.5"/>
    <x v="2"/>
    <x v="89"/>
    <n v="1399.5"/>
    <n v="0.15"/>
    <n v="6"/>
    <n v="7"/>
    <x v="10"/>
    <x v="0"/>
  </r>
  <r>
    <s v="Акт входного контроля 000000250 от 07.06.2025 18:30:59"/>
    <s v="высший"/>
    <n v="290"/>
    <n v="69"/>
    <s v="Грин Рэй Кубань ООО (Овощеводство)"/>
    <s v="Сайко Василий Викторович"/>
    <s v="Х816ЕВ"/>
    <s v="А-67"/>
    <s v="А-67"/>
    <s v="Преладо"/>
    <s v="Горох овощной свежий 10.01"/>
    <n v="23310"/>
    <n v="14100"/>
    <n v="18.5"/>
    <n v="9210"/>
    <n v="7506.1"/>
    <x v="2"/>
    <x v="89"/>
    <n v="1703.8999999999996"/>
    <n v="0.18500542888165034"/>
    <n v="6"/>
    <n v="7"/>
    <x v="10"/>
    <x v="0"/>
  </r>
  <r>
    <s v="Акт входного контроля 000000251 от 07.06.2025 18:38:38"/>
    <s v="высший"/>
    <n v="291"/>
    <n v="70"/>
    <s v="Грин Рэй Кубань ООО (Овощеводство)"/>
    <s v="Роговской Роман Алексеевич"/>
    <s v="Т945РВ"/>
    <s v="А-67"/>
    <s v="А-67"/>
    <s v="Преладо"/>
    <s v="Горох овощной свежий 10.01"/>
    <n v="9180"/>
    <n v="4620"/>
    <n v="15.5"/>
    <n v="4560"/>
    <n v="3853.2"/>
    <x v="2"/>
    <x v="89"/>
    <n v="706.80000000000018"/>
    <n v="0.15500000000000003"/>
    <n v="6"/>
    <n v="7"/>
    <x v="10"/>
    <x v="0"/>
  </r>
  <r>
    <s v="Акт входного контроля 000000252 от 07.06.2025 18:41:19"/>
    <s v="высший"/>
    <n v="293"/>
    <n v="71"/>
    <s v="Грин Рэй Кубань ООО (Овощеводство)"/>
    <s v="Жданов Андрей Иванович"/>
    <s v="С707ОУ"/>
    <s v="А-67"/>
    <s v="А-67"/>
    <s v="Преладо"/>
    <s v="Горох овощной свежий 10.01"/>
    <n v="31060"/>
    <n v="14460"/>
    <n v="14"/>
    <n v="16600"/>
    <n v="14276"/>
    <x v="2"/>
    <x v="89"/>
    <n v="2324"/>
    <n v="0.14000000000000001"/>
    <n v="6"/>
    <n v="7"/>
    <x v="10"/>
    <x v="0"/>
  </r>
  <r>
    <s v="Акт входного контроля 000000253 от 07.06.2025 19:44:21"/>
    <s v="высший"/>
    <n v="294"/>
    <n v="72"/>
    <s v="Грин Рэй Кубань ООО (Овощеводство)"/>
    <s v="Ревенко Андрей Вячеславович"/>
    <s v="А781РР"/>
    <s v="А-66"/>
    <s v="А-66"/>
    <s v="Фалкон"/>
    <s v="Горох овощной свежий 10.01"/>
    <n v="28630"/>
    <n v="14990"/>
    <n v="12"/>
    <n v="13640"/>
    <n v="12003.2"/>
    <x v="2"/>
    <x v="89"/>
    <n v="1636.7999999999993"/>
    <n v="0.11999999999999994"/>
    <n v="6"/>
    <n v="7"/>
    <x v="10"/>
    <x v="0"/>
  </r>
  <r>
    <s v="Акт входного контроля 000000254 от 07.06.2025 22:29:10"/>
    <s v="высший"/>
    <n v="295"/>
    <n v="73"/>
    <s v="Грин Рэй Кубань ООО (Овощеводство)"/>
    <s v="Сайко Василий Викторович"/>
    <s v="А816ЕВ"/>
    <s v="А-66"/>
    <s v="А-66"/>
    <s v="Фалкон"/>
    <s v="Горох овощной свежий 10.01"/>
    <n v="27400"/>
    <n v="14090"/>
    <n v="15"/>
    <n v="13310"/>
    <n v="11313.5"/>
    <x v="2"/>
    <x v="89"/>
    <n v="1996.5"/>
    <n v="0.15"/>
    <n v="6"/>
    <n v="7"/>
    <x v="10"/>
    <x v="0"/>
  </r>
  <r>
    <s v="Акт входного контроля 000000255 от 07.06.2025 22:38:00"/>
    <s v="первый"/>
    <n v="296"/>
    <n v="74"/>
    <s v="Грин Рэй Кубань ООО (Овощеводство)"/>
    <s v="Роговской Роман Алексеевич"/>
    <s v="Т945РВ"/>
    <s v="А-66"/>
    <s v="А-66"/>
    <s v="Фалкон"/>
    <s v="Горох овощной свежий 10.01"/>
    <n v="8620"/>
    <n v="4610"/>
    <n v="16.5"/>
    <n v="4010"/>
    <n v="3348.3"/>
    <x v="2"/>
    <x v="89"/>
    <n v="661.69999999999982"/>
    <n v="0.16501246882793014"/>
    <n v="6"/>
    <n v="7"/>
    <x v="10"/>
    <x v="0"/>
  </r>
  <r>
    <s v="Акт входного контроля 000000256 от 07.06.2025 22:48:36"/>
    <s v="первый"/>
    <n v="297"/>
    <n v="75"/>
    <s v="Грин Рэй Кубань ООО (Овощеводство)"/>
    <s v="Жданов Андрей Иванович"/>
    <s v="С707ОУ"/>
    <s v="А-66"/>
    <s v="А-66"/>
    <s v="Фалкон"/>
    <s v="Горох овощной свежий 10.01"/>
    <n v="31480"/>
    <n v="14460"/>
    <n v="12"/>
    <n v="17020"/>
    <n v="14977.6"/>
    <x v="2"/>
    <x v="89"/>
    <n v="2042.3999999999996"/>
    <n v="0.11999999999999998"/>
    <n v="6"/>
    <n v="7"/>
    <x v="10"/>
    <x v="0"/>
  </r>
  <r>
    <s v="Акт входного контроля 000000257 от 07.06.2025 23:32:14"/>
    <s v="первый"/>
    <n v="298"/>
    <n v="76"/>
    <s v="Грин Рэй Кубань ООО (Овощеводство)"/>
    <s v="Ревенко Андрей Вячеславович"/>
    <s v="А781РР"/>
    <s v="А-66"/>
    <s v="А-66"/>
    <s v="Фалкон"/>
    <s v="Горох овощной свежий 10.01"/>
    <n v="28100"/>
    <n v="14970"/>
    <n v="17"/>
    <n v="13130"/>
    <n v="10897.9"/>
    <x v="2"/>
    <x v="89"/>
    <n v="2232.1000000000004"/>
    <n v="0.17000000000000004"/>
    <n v="6"/>
    <n v="7"/>
    <x v="10"/>
    <x v="0"/>
  </r>
  <r>
    <s v="Акт входного контроля 000000258 от 08.06.2025 2:01:47"/>
    <s v="первый"/>
    <n v="299"/>
    <n v="77"/>
    <s v="Грин Рэй Кубань ООО (Овощеводство)"/>
    <s v="Сайко Василий Викторович"/>
    <s v="А816ЕВ"/>
    <s v="А-66"/>
    <s v="А-66"/>
    <s v="Фалкон"/>
    <s v="Горох овощной свежий 10.01"/>
    <n v="27200"/>
    <n v="14080"/>
    <n v="11"/>
    <n v="13120"/>
    <n v="11676.8"/>
    <x v="2"/>
    <x v="90"/>
    <n v="1443.2000000000007"/>
    <n v="0.11000000000000006"/>
    <n v="6"/>
    <n v="8"/>
    <x v="11"/>
    <x v="0"/>
  </r>
  <r>
    <s v="Акт входного контроля 000000259 от 08.06.2025 2:43:40"/>
    <s v="первый"/>
    <n v="300"/>
    <n v="78"/>
    <s v="Грин Рэй Кубань ООО (Овощеводство)"/>
    <s v="Роговской Роман Алексеевич"/>
    <s v="Т945РВ"/>
    <s v="А-66"/>
    <s v="А-66"/>
    <s v="Фалкон"/>
    <s v="Горох овощной свежий 10.01"/>
    <n v="9060"/>
    <n v="4530"/>
    <n v="9.5"/>
    <n v="4530"/>
    <n v="4099.6000000000004"/>
    <x v="2"/>
    <x v="90"/>
    <n v="430.39999999999964"/>
    <n v="9.5011037527593739E-2"/>
    <n v="6"/>
    <n v="8"/>
    <x v="11"/>
    <x v="0"/>
  </r>
  <r>
    <s v="Акт входного контроля 000000260 от 08.06.2025 1:10:54"/>
    <m/>
    <n v="300"/>
    <n v="78"/>
    <s v="Грин Рэй Кубань ООО (Овощеводство)"/>
    <s v="Роговской Роман Алексеевич"/>
    <s v="Т945РВ"/>
    <s v="А-66"/>
    <s v="А-66"/>
    <s v="Фалкон"/>
    <s v="Горох овощной свежий 10.01"/>
    <m/>
    <m/>
    <m/>
    <m/>
    <m/>
    <x v="2"/>
    <x v="90"/>
    <n v="0"/>
    <e v="#DIV/0!"/>
    <n v="6"/>
    <n v="8"/>
    <x v="11"/>
    <x v="0"/>
  </r>
  <r>
    <s v="Акт входного контроля 000000261 от 08.06.2025 4:22:32"/>
    <s v="первый"/>
    <n v="302"/>
    <n v="80"/>
    <s v="Грин Рэй Кубань ООО (Овощеводство)"/>
    <s v="Жданов Андрей Иванович"/>
    <s v="С707ОУ"/>
    <s v="А-66"/>
    <s v="А-66"/>
    <s v="Фалкон"/>
    <s v="Горох овощной свежий 10.01"/>
    <n v="20660"/>
    <n v="14450"/>
    <n v="11.5"/>
    <n v="6210"/>
    <n v="5495.8"/>
    <x v="2"/>
    <x v="90"/>
    <n v="714.19999999999982"/>
    <n v="0.11500805152979063"/>
    <n v="6"/>
    <n v="8"/>
    <x v="11"/>
    <x v="0"/>
  </r>
  <r>
    <s v="Акт входного контроля 000000262 от 08.06.2025 8:24:51"/>
    <s v="высший"/>
    <n v="301"/>
    <n v="79"/>
    <s v="Грин Рэй Кубань ООО (Овощеводство)"/>
    <s v="Жданов Андрей Иванович"/>
    <s v="С707ОУ"/>
    <s v="А-57"/>
    <s v="А-57"/>
    <s v="Тиара"/>
    <s v="Горох овощной свежий 10.01"/>
    <n v="27510"/>
    <n v="20660"/>
    <n v="13.5"/>
    <n v="6850"/>
    <n v="5925.2"/>
    <x v="2"/>
    <x v="90"/>
    <n v="924.80000000000018"/>
    <n v="0.13500729927007302"/>
    <n v="6"/>
    <n v="8"/>
    <x v="11"/>
    <x v="0"/>
  </r>
  <r>
    <s v="Акт входного контроля 000000263 от 08.06.2025 8:25:41"/>
    <s v="высший"/>
    <n v="303"/>
    <n v="81"/>
    <s v="Грин Рэй Кубань ООО (Овощеводство)"/>
    <s v="Ревенко Андрей Вячеславович"/>
    <s v="А781РР"/>
    <s v="А-57"/>
    <s v="А-57"/>
    <s v="Тиара"/>
    <s v="Горох овощной свежий 10.01"/>
    <n v="28740"/>
    <n v="14970"/>
    <n v="16"/>
    <n v="13770"/>
    <n v="11566.8"/>
    <x v="2"/>
    <x v="90"/>
    <n v="2203.2000000000007"/>
    <n v="0.16000000000000006"/>
    <n v="6"/>
    <n v="8"/>
    <x v="11"/>
    <x v="0"/>
  </r>
  <r>
    <s v="Акт входного контроля 000000264 от 07.06.2025 16:48:55"/>
    <m/>
    <n v="292"/>
    <n v="65"/>
    <s v="Грин Рэй Кубань ООО (Овощеводство)"/>
    <s v="Сайко Василий Викторович"/>
    <s v="А816ЕВ"/>
    <m/>
    <m/>
    <s v="Преладо"/>
    <s v="Горох овощной свежий 10.01"/>
    <m/>
    <m/>
    <m/>
    <m/>
    <m/>
    <x v="2"/>
    <x v="89"/>
    <n v="0"/>
    <e v="#DIV/0!"/>
    <n v="6"/>
    <n v="7"/>
    <x v="10"/>
    <x v="0"/>
  </r>
  <r>
    <s v="Акт входного контроля 000000265 от 08.06.2025 8:27:48"/>
    <s v="высший"/>
    <n v="304"/>
    <n v="82"/>
    <s v="Грин Рэй Кубань ООО (Овощеводство)"/>
    <s v="Сайко Василий Викторович"/>
    <s v="А816ЕВ"/>
    <s v="А-57"/>
    <s v="А-57"/>
    <s v="Тиара"/>
    <s v="Горох овощной свежий 10.01"/>
    <n v="27790"/>
    <n v="14070"/>
    <n v="9"/>
    <n v="13720"/>
    <n v="12485.2"/>
    <x v="2"/>
    <x v="90"/>
    <n v="1234.7999999999993"/>
    <n v="8.9999999999999941E-2"/>
    <n v="6"/>
    <n v="8"/>
    <x v="11"/>
    <x v="0"/>
  </r>
  <r>
    <s v="Акт входного контроля 000000266 от 08.06.2025 8:29:29"/>
    <s v="высший"/>
    <n v="305"/>
    <n v="83"/>
    <s v="Грин Рэй Кубань ООО (Овощеводство)"/>
    <s v="Роговской Роман Алексеевич"/>
    <s v="Т945РВ"/>
    <s v="А-57"/>
    <s v="А-57"/>
    <s v="Тиара"/>
    <s v="Горох овощной свежий 10.01"/>
    <n v="9040"/>
    <n v="4520"/>
    <n v="7.5"/>
    <n v="4520"/>
    <n v="4181"/>
    <x v="2"/>
    <x v="90"/>
    <n v="339"/>
    <n v="7.4999999999999997E-2"/>
    <n v="6"/>
    <n v="8"/>
    <x v="11"/>
    <x v="0"/>
  </r>
  <r>
    <s v="Акт входного контроля 000000267 от 08.06.2025 8:34:09"/>
    <s v="высший"/>
    <n v="306"/>
    <n v="84"/>
    <s v="Грин Рэй Кубань ООО (Овощеводство)"/>
    <s v="Жданов Андрей Иванович"/>
    <s v="С707ОУ"/>
    <s v="А-57"/>
    <s v="А-57"/>
    <s v="Тиара"/>
    <s v="Горох овощной свежий 10.01"/>
    <n v="27630"/>
    <n v="14440"/>
    <n v="9.5"/>
    <n v="13190"/>
    <n v="11936.9"/>
    <x v="2"/>
    <x v="90"/>
    <n v="1253.1000000000004"/>
    <n v="9.500379075056864E-2"/>
    <n v="6"/>
    <n v="8"/>
    <x v="11"/>
    <x v="0"/>
  </r>
  <r>
    <s v="Акт входного контроля 000000268 от 08.06.2025 11:05:56"/>
    <s v="высший"/>
    <n v="307"/>
    <n v="85"/>
    <s v="Грин Рэй Кубань ООО (Овощеводство)"/>
    <s v="Ревенко Андрей Вячеславович"/>
    <s v="А781РР"/>
    <s v="А-57"/>
    <s v="А-57"/>
    <s v="Тиара"/>
    <s v="Горох овощной свежий 10.01"/>
    <n v="28590"/>
    <n v="14950"/>
    <n v="9.5"/>
    <n v="13640"/>
    <n v="12344.2"/>
    <x v="2"/>
    <x v="90"/>
    <n v="1295.7999999999993"/>
    <n v="9.4999999999999946E-2"/>
    <n v="6"/>
    <n v="8"/>
    <x v="11"/>
    <x v="0"/>
  </r>
  <r>
    <s v="Акт входного контроля 000000269 от 08.06.2025 11:08:13"/>
    <s v="высший"/>
    <n v="309"/>
    <n v="86"/>
    <s v="Грин Рэй Кубань ООО (Овощеводство)"/>
    <s v="Черевко А В"/>
    <s v="А114МК"/>
    <s v="А-57"/>
    <s v="А-57"/>
    <s v="Тиара"/>
    <s v="Горох овощной свежий 10.01"/>
    <n v="27300"/>
    <n v="14610"/>
    <n v="10.5"/>
    <n v="12690"/>
    <n v="11357.5"/>
    <x v="2"/>
    <x v="90"/>
    <n v="1332.5"/>
    <n v="0.10500394011032309"/>
    <n v="6"/>
    <n v="8"/>
    <x v="11"/>
    <x v="0"/>
  </r>
  <r>
    <s v="Акт входного контроля 000000270 от 08.06.2025 12:54:11"/>
    <s v="высший"/>
    <n v="310"/>
    <n v="87"/>
    <s v="Грин Рэй Кубань(Хоздвор) ООО"/>
    <s v="Сайко Владимир Николаевич"/>
    <s v="Т919РВ"/>
    <s v="А-57"/>
    <s v="А-57"/>
    <s v="Тиара"/>
    <s v="Горох овощной свежий 10.01"/>
    <n v="9060"/>
    <n v="4570"/>
    <n v="14"/>
    <n v="4490"/>
    <n v="3861.4"/>
    <x v="2"/>
    <x v="90"/>
    <n v="628.59999999999991"/>
    <n v="0.13999999999999999"/>
    <n v="6"/>
    <n v="8"/>
    <x v="11"/>
    <x v="0"/>
  </r>
  <r>
    <s v="Акт входного контроля 000000271 от 08.06.2025 13:11:37"/>
    <s v="высший"/>
    <n v="311"/>
    <n v="88"/>
    <s v="Грин Рэй Кубань ООО (Овощеводство)"/>
    <s v="Чигрин Н.А."/>
    <s v="А819ЕВ"/>
    <s v="А-57"/>
    <s v="А-57"/>
    <s v="Тиара"/>
    <s v="Горох овощной свежий 10.01"/>
    <n v="28280"/>
    <n v="14320"/>
    <n v="12.5"/>
    <n v="13960"/>
    <n v="12215"/>
    <x v="2"/>
    <x v="90"/>
    <n v="1745"/>
    <n v="0.125"/>
    <n v="6"/>
    <n v="8"/>
    <x v="11"/>
    <x v="0"/>
  </r>
  <r>
    <s v="Акт входного контроля 000000272 от 08.06.2025 14:40:55"/>
    <s v="первый"/>
    <n v="313"/>
    <n v="89"/>
    <s v="Грин Рэй Кубань ООО (Овощеводство)"/>
    <s v="Бербеницкий Сергей Николаевич"/>
    <s v="С400РР"/>
    <s v="А-57"/>
    <s v="А-57"/>
    <s v="Тиара"/>
    <s v="Горох овощной свежий 10.01"/>
    <n v="28870"/>
    <n v="14930"/>
    <n v="11"/>
    <n v="13940"/>
    <n v="12406.6"/>
    <x v="2"/>
    <x v="90"/>
    <n v="1533.3999999999996"/>
    <n v="0.10999999999999997"/>
    <n v="6"/>
    <n v="8"/>
    <x v="11"/>
    <x v="0"/>
  </r>
  <r>
    <s v="Акт входного контроля 000000273 от 08.06.2025 19:26:33"/>
    <s v="первый"/>
    <n v="314"/>
    <n v="90"/>
    <s v="Грин Рэй Кубань ООО (Овощеводство)"/>
    <s v="Кулик О В"/>
    <s v="К403ЕМ"/>
    <s v="А-57"/>
    <s v="А-57"/>
    <s v="Тиара"/>
    <s v="Горох овощной свежий 10.01"/>
    <n v="29020"/>
    <n v="14980"/>
    <n v="14"/>
    <n v="14040"/>
    <n v="12074.4"/>
    <x v="2"/>
    <x v="90"/>
    <n v="1965.6000000000004"/>
    <n v="0.14000000000000001"/>
    <n v="6"/>
    <n v="8"/>
    <x v="11"/>
    <x v="0"/>
  </r>
  <r>
    <s v="Акт входного контроля 000000274 от 08.06.2025 19:28:39"/>
    <s v="высший"/>
    <n v="316"/>
    <n v="91"/>
    <s v="Грин Рэй Кубань(Хоздвор) ООО"/>
    <s v="Сайко Владимир Николаевич"/>
    <s v="Т919РВ"/>
    <s v="А51"/>
    <s v="А51"/>
    <s v="Тиара"/>
    <s v="Горох овощной свежий 10.01"/>
    <n v="9360"/>
    <n v="4590"/>
    <n v="22"/>
    <n v="4770"/>
    <n v="3720.6"/>
    <x v="2"/>
    <x v="90"/>
    <n v="1049.4000000000001"/>
    <n v="0.22000000000000003"/>
    <n v="6"/>
    <n v="8"/>
    <x v="11"/>
    <x v="0"/>
  </r>
  <r>
    <s v="Акт входного контроля 000000275 от 08.06.2025 19:32:20"/>
    <s v="первый"/>
    <n v="317"/>
    <n v="92"/>
    <s v="Грин Рэй Кубань ООО (Овощеводство)"/>
    <s v="Черевко Александр Владимирович"/>
    <s v="А114МК"/>
    <s v="А-57"/>
    <s v="А-57"/>
    <s v="Тиара"/>
    <s v="Горох овощной свежий 10.01"/>
    <n v="28500"/>
    <n v="14590"/>
    <n v="23"/>
    <n v="13910"/>
    <n v="10710.7"/>
    <x v="2"/>
    <x v="90"/>
    <n v="3199.2999999999993"/>
    <n v="0.22999999999999995"/>
    <n v="6"/>
    <n v="8"/>
    <x v="11"/>
    <x v="0"/>
  </r>
  <r>
    <s v="Акт входного контроля 000000276 от 08.06.2025 19:34:30"/>
    <s v="первый"/>
    <n v="318"/>
    <n v="93"/>
    <s v="Грин Рэй Кубань ООО (Овощеводство)"/>
    <s v="Чигрин Н.А."/>
    <s v="К819ЕВ"/>
    <s v="А-57"/>
    <s v="А-57"/>
    <s v="Тиара"/>
    <s v="Горох овощной свежий 10.01"/>
    <n v="25680"/>
    <n v="14310"/>
    <n v="14"/>
    <n v="11370"/>
    <n v="9778.2000000000007"/>
    <x v="2"/>
    <x v="90"/>
    <n v="1591.7999999999993"/>
    <n v="0.13999999999999993"/>
    <n v="6"/>
    <n v="8"/>
    <x v="11"/>
    <x v="0"/>
  </r>
  <r>
    <s v="Акт входного контроля 000000277 от 08.06.2025 19:39:50"/>
    <s v="высший"/>
    <n v="319"/>
    <n v="94"/>
    <s v="Грин Рэй Кубань ООО (Овощеводство)"/>
    <s v="Сайко Владимир Николаевич"/>
    <s v="Т919РВ"/>
    <s v="А51"/>
    <s v="А51"/>
    <s v="Тиара"/>
    <s v="Горох овощной свежий 10.01"/>
    <n v="9380"/>
    <n v="4590"/>
    <n v="17.5"/>
    <n v="4790"/>
    <n v="3951.7"/>
    <x v="2"/>
    <x v="90"/>
    <n v="838.30000000000018"/>
    <n v="0.1750104384133612"/>
    <n v="6"/>
    <n v="8"/>
    <x v="11"/>
    <x v="0"/>
  </r>
  <r>
    <s v="Акт входного контроля 000000278 от 08.06.2025 20:47:28"/>
    <s v="первый"/>
    <n v="320"/>
    <n v="95"/>
    <s v="Грин Рэй Кубань ООО (Овощеводство)"/>
    <s v="Бербеницкий Сергей Николаевич"/>
    <s v="С400РР"/>
    <s v="А-57"/>
    <s v="А-57"/>
    <s v="Тиара"/>
    <s v="Горох овощной свежий 10.01"/>
    <n v="28720"/>
    <n v="14930"/>
    <n v="8.5"/>
    <n v="13790"/>
    <n v="12617.8"/>
    <x v="2"/>
    <x v="90"/>
    <n v="1172.2000000000007"/>
    <n v="8.5003625815808614E-2"/>
    <n v="6"/>
    <n v="8"/>
    <x v="11"/>
    <x v="0"/>
  </r>
  <r>
    <s v="Акт входного контроля 000000279 от 08.06.2025 22:51:31"/>
    <s v="первый"/>
    <n v="322"/>
    <n v="97"/>
    <s v="Грин Рэй Кубань ООО (Овощеводство)"/>
    <s v="Кулик О В"/>
    <s v="К403ЕМ"/>
    <s v="А-67"/>
    <s v="А-67"/>
    <s v="Преладо"/>
    <s v="Горох овощной свежий 10.01"/>
    <n v="29060"/>
    <n v="22220"/>
    <n v="8.5"/>
    <n v="6840"/>
    <n v="6258.6"/>
    <x v="2"/>
    <x v="90"/>
    <n v="581.39999999999964"/>
    <n v="8.4999999999999951E-2"/>
    <n v="6"/>
    <n v="8"/>
    <x v="11"/>
    <x v="0"/>
  </r>
  <r>
    <s v="Акт входного контроля 000000280 от 08.06.2025 22:54:04"/>
    <s v="первый"/>
    <n v="324"/>
    <n v="97"/>
    <s v="Грин Рэй Кубань ООО (Овощеводство)"/>
    <s v="Кулик О В"/>
    <s v="К403ЕМ"/>
    <s v="А-57"/>
    <s v="А-57"/>
    <s v="Тиара"/>
    <s v="Горох овощной свежий 10.01"/>
    <n v="22220"/>
    <n v="14960"/>
    <n v="10"/>
    <n v="7260"/>
    <n v="6534"/>
    <x v="2"/>
    <x v="90"/>
    <n v="726"/>
    <n v="0.1"/>
    <n v="6"/>
    <n v="8"/>
    <x v="11"/>
    <x v="0"/>
  </r>
  <r>
    <s v="Акт входного контроля 000000281 от 08.06.2025 23:47:53"/>
    <s v="высший"/>
    <n v="323"/>
    <n v="96"/>
    <s v="Грин Рэй Кубань ООО (Овощеводство)"/>
    <s v="Черевко Александр Владимирович"/>
    <s v="А114МК"/>
    <s v="А51"/>
    <s v="А51"/>
    <s v="Прима"/>
    <s v="Горох овощной свежий 10.01"/>
    <n v="29740"/>
    <n v="22640"/>
    <n v="14.5"/>
    <n v="7100"/>
    <n v="6070.5"/>
    <x v="2"/>
    <x v="90"/>
    <n v="1029.5"/>
    <n v="0.14499999999999999"/>
    <n v="6"/>
    <n v="8"/>
    <x v="11"/>
    <x v="0"/>
  </r>
  <r>
    <s v="Акт входного контроля 000000282 от 08.06.2025 23:52:18"/>
    <s v="высший"/>
    <n v="326"/>
    <n v="96"/>
    <s v="Грин Рэй Кубань ООО (Овощеводство)"/>
    <s v="Черевко Александр Владимирович"/>
    <s v="А114МК"/>
    <s v="А51"/>
    <s v="А51"/>
    <s v="Тиара"/>
    <s v="Горох овощной свежий 10.01"/>
    <n v="22640"/>
    <n v="14580"/>
    <n v="14.5"/>
    <n v="8060"/>
    <n v="6891.3"/>
    <x v="2"/>
    <x v="90"/>
    <n v="1168.6999999999998"/>
    <n v="0.14499999999999999"/>
    <n v="6"/>
    <n v="8"/>
    <x v="11"/>
    <x v="0"/>
  </r>
  <r>
    <s v="Акт входного контроля 000000283 от 08.06.2025 22:05:15"/>
    <s v="высший"/>
    <n v="325"/>
    <n v="98"/>
    <s v="Грин Рэй Кубань ООО (Овощеводство)"/>
    <s v="Сайко Владимир Николаевич"/>
    <s v="Т919РВ"/>
    <s v="А51"/>
    <s v="А51"/>
    <s v="Прима"/>
    <s v="Горох овощной свежий 10.01"/>
    <n v="9220"/>
    <n v="4580"/>
    <n v="14.5"/>
    <n v="4640"/>
    <n v="3967.2"/>
    <x v="2"/>
    <x v="90"/>
    <n v="672.80000000000018"/>
    <n v="0.14500000000000005"/>
    <n v="6"/>
    <n v="8"/>
    <x v="11"/>
    <x v="0"/>
  </r>
  <r>
    <s v="Акт входного контроля 000000284 от 08.06.2025 23:55:55"/>
    <s v="первый"/>
    <n v="327"/>
    <n v="99"/>
    <s v="Грин Рэй Кубань ООО (Овощеводство)"/>
    <s v="Чигрин Н.А."/>
    <s v="А819ЕВ"/>
    <s v="А-67"/>
    <s v="А-67"/>
    <s v="Преладо"/>
    <s v="Горох овощной свежий 10.01"/>
    <n v="27940"/>
    <n v="14300"/>
    <n v="11.5"/>
    <n v="13640"/>
    <n v="12071.4"/>
    <x v="2"/>
    <x v="90"/>
    <n v="1568.6000000000004"/>
    <n v="0.11500000000000003"/>
    <n v="6"/>
    <n v="8"/>
    <x v="11"/>
    <x v="0"/>
  </r>
  <r>
    <s v="Акт входного контроля 000000285 от 09.06.2025 2:32:44"/>
    <s v="первый"/>
    <n v="328"/>
    <n v="100"/>
    <s v="Грин Рэй Кубань ООО (Овощеводство)"/>
    <s v="Бербеницкий Сергей Николаевич"/>
    <s v="С400РР"/>
    <s v="А-67"/>
    <s v="А-67"/>
    <s v="Преладо"/>
    <s v="Горох овощной свежий 10.01"/>
    <n v="28390"/>
    <n v="14920"/>
    <n v="14.5"/>
    <n v="13470"/>
    <n v="11516.8"/>
    <x v="2"/>
    <x v="91"/>
    <n v="1953.2000000000007"/>
    <n v="0.14500371195248707"/>
    <n v="6"/>
    <n v="9"/>
    <x v="12"/>
    <x v="0"/>
  </r>
  <r>
    <s v="Акт входного контроля 000000286 от 09.06.2025 4:39:11"/>
    <s v="высший"/>
    <n v="329"/>
    <n v="101"/>
    <s v="Грин Рэй Кубань ООО (Овощеводство)"/>
    <s v="Черевко Александр Владимирович"/>
    <s v="А114МК"/>
    <s v="А-67"/>
    <s v="А-67"/>
    <s v="Преладо"/>
    <s v="Горох овощной свежий 10.01"/>
    <n v="28980"/>
    <n v="20040"/>
    <n v="26.5"/>
    <n v="8940"/>
    <n v="6570.9"/>
    <x v="2"/>
    <x v="91"/>
    <n v="2369.1000000000004"/>
    <n v="0.26500000000000001"/>
    <n v="6"/>
    <n v="9"/>
    <x v="12"/>
    <x v="0"/>
  </r>
  <r>
    <s v="Акт входного контроля 000000287 от 09.06.2025 4:40:52"/>
    <s v="высший"/>
    <n v="330"/>
    <n v="101"/>
    <s v="Грин Рэй Кубань ООО (Овощеводство)"/>
    <s v="Черевко Александр Владимирович"/>
    <s v="А114МК"/>
    <s v="А51"/>
    <s v="А51"/>
    <s v="Прима"/>
    <s v="Горох овощной свежий 10.01"/>
    <n v="20040"/>
    <n v="14560"/>
    <n v="15.5"/>
    <n v="5480"/>
    <n v="4630.6000000000004"/>
    <x v="2"/>
    <x v="91"/>
    <n v="849.39999999999964"/>
    <n v="0.15499999999999994"/>
    <n v="6"/>
    <n v="9"/>
    <x v="12"/>
    <x v="0"/>
  </r>
  <r>
    <s v="Акт входного контроля 000000288 от 09.06.2025 5:39:49"/>
    <s v="высший"/>
    <n v="331"/>
    <n v="102"/>
    <s v="Грин Рэй Кубань ООО (Овощеводство)"/>
    <s v="Кулик О В"/>
    <s v="К403ЕМ"/>
    <s v="А-67"/>
    <s v="А-67"/>
    <s v="Преладо"/>
    <s v="Горох овощной свежий 10.01"/>
    <n v="29040"/>
    <n v="14960"/>
    <n v="27"/>
    <n v="14080"/>
    <n v="10278.4"/>
    <x v="2"/>
    <x v="91"/>
    <n v="3801.6000000000004"/>
    <n v="0.27"/>
    <n v="6"/>
    <n v="9"/>
    <x v="12"/>
    <x v="0"/>
  </r>
  <r>
    <s v="Акт входного контроля 000000289 от 09.06.2025 7:12:12"/>
    <s v="высший"/>
    <n v="332"/>
    <n v="103"/>
    <s v="Грин Рэй Кубань ООО (Овощеводство)"/>
    <s v="Сайко Владимир Николаевич"/>
    <s v="Т919РВ"/>
    <s v="А-67"/>
    <s v="А-67"/>
    <s v="Преладо"/>
    <s v="Горох овощной свежий 10.01"/>
    <n v="7930"/>
    <n v="4570"/>
    <n v="11.5"/>
    <n v="3360"/>
    <n v="2973.6"/>
    <x v="2"/>
    <x v="91"/>
    <n v="386.40000000000009"/>
    <n v="0.11500000000000003"/>
    <n v="6"/>
    <n v="9"/>
    <x v="12"/>
    <x v="0"/>
  </r>
  <r>
    <s v="Акт входного контроля 000000290 от 09.06.2025 8:23:51"/>
    <s v="первый"/>
    <n v="333"/>
    <n v="104"/>
    <s v="Грин Рэй Кубань ООО (Овощеводство)"/>
    <s v="Чигрин Н.А."/>
    <s v="А819ЕВ"/>
    <s v="А-67"/>
    <s v="А-67"/>
    <s v="Преладо"/>
    <s v="Горох овощной свежий 10.01"/>
    <n v="29700"/>
    <n v="14290"/>
    <n v="13"/>
    <n v="15410"/>
    <n v="13406.7"/>
    <x v="2"/>
    <x v="91"/>
    <n v="2003.2999999999993"/>
    <n v="0.12999999999999995"/>
    <n v="6"/>
    <n v="9"/>
    <x v="12"/>
    <x v="0"/>
  </r>
  <r>
    <s v="Акт входного контроля 000000291 от 06.06.2025 19:27:21"/>
    <s v="высший"/>
    <n v="243"/>
    <s v="49Продажа ЮнонаОтвес№6\гиа"/>
    <s v="Грин Рэй Кубань ООО (Овощеводство)"/>
    <s v="Сурнин А.В"/>
    <s v="В415ТТ"/>
    <s v="А-57"/>
    <s v="А-57"/>
    <s v="Авола"/>
    <s v="Горох овощной свежий 10.01"/>
    <n v="31330"/>
    <n v="17860"/>
    <n v="17.600000000000001"/>
    <n v="13470"/>
    <n v="11105.4"/>
    <x v="2"/>
    <x v="88"/>
    <n v="2364.6000000000004"/>
    <n v="0.17554565701559022"/>
    <n v="6"/>
    <n v="6"/>
    <x v="9"/>
    <x v="0"/>
  </r>
  <r>
    <s v="Акт входного контроля 000000292 от 06.06.2025 21:52:47"/>
    <s v="высший"/>
    <n v="247"/>
    <s v="50Юнона ПродажаОтвес№16"/>
    <s v="Грин Рэй Кубань ООО"/>
    <s v="Сидоренко Евгений Сергеевич"/>
    <s v="М697ХВ"/>
    <s v="А-57"/>
    <s v="А-57"/>
    <s v="Авола"/>
    <s v="Горох овощной свежий 10.01"/>
    <n v="30930"/>
    <n v="16950"/>
    <n v="17.100000000000001"/>
    <n v="13980"/>
    <n v="11587"/>
    <x v="2"/>
    <x v="88"/>
    <n v="2393"/>
    <n v="0.17117310443490702"/>
    <n v="6"/>
    <n v="6"/>
    <x v="9"/>
    <x v="0"/>
  </r>
  <r>
    <s v="Акт входного контроля 000000293 от 06.06.2025 14:08:32"/>
    <s v="высший"/>
    <n v="262"/>
    <s v="55ЮнонаПродажаОТвес№18"/>
    <s v="Грин Рэй Кубань ООО (Овощеводство)"/>
    <s v="Микуц Н.М."/>
    <s v="В397ОТ"/>
    <s v="А-57"/>
    <s v="А-57"/>
    <s v="Авола"/>
    <s v="Горох овощной свежий 10.01"/>
    <n v="32070"/>
    <n v="16710"/>
    <n v="18.3"/>
    <n v="15360"/>
    <n v="12544.9"/>
    <x v="2"/>
    <x v="88"/>
    <n v="2815.1000000000004"/>
    <n v="0.18327473958333335"/>
    <n v="6"/>
    <n v="6"/>
    <x v="9"/>
    <x v="0"/>
  </r>
  <r>
    <s v="Акт входного контроля 000000294 от 06.06.2025 14:32:02"/>
    <s v="высший"/>
    <n v="264"/>
    <s v="56ЮнонаПродажаОтвес№19"/>
    <s v="Грин Рэй Кубань ООО"/>
    <s v="Дмитриев Николай Александрович"/>
    <s v="М202СХ"/>
    <s v="А-57"/>
    <s v="А-57"/>
    <s v="Преладо"/>
    <s v="Горох овощной свежий 10.01"/>
    <n v="30510"/>
    <n v="17670"/>
    <n v="16.7"/>
    <n v="12840"/>
    <n v="10697.5"/>
    <x v="2"/>
    <x v="88"/>
    <n v="2142.5"/>
    <n v="0.16686137071651092"/>
    <n v="6"/>
    <n v="6"/>
    <x v="9"/>
    <x v="0"/>
  </r>
  <r>
    <s v="Акт входного контроля 000000295 от 06.06.2025 14:05:55"/>
    <s v="высший"/>
    <n v="261"/>
    <s v="54Продажа ЮнонаОтвес№20"/>
    <s v="Грин Рэй Кубань ООО (Овощеводство)"/>
    <s v="Баяк А.А."/>
    <s v="Р277НН"/>
    <s v="А-67"/>
    <s v="А-67"/>
    <s v="Преладо"/>
    <s v="Горох овощной свежий 10.01"/>
    <n v="35150"/>
    <n v="18810"/>
    <n v="13.5"/>
    <n v="16340"/>
    <n v="14133.1"/>
    <x v="2"/>
    <x v="88"/>
    <n v="2206.8999999999996"/>
    <n v="0.13506119951040391"/>
    <n v="6"/>
    <n v="6"/>
    <x v="9"/>
    <x v="0"/>
  </r>
  <r>
    <s v="Акт входного контроля 000000296 от 07.06.2025 11:08:44"/>
    <s v="высший"/>
    <n v="337"/>
    <n v="64"/>
    <s v="Грин Рэй Кубань ООО (Овощеводство)"/>
    <s v="Ревенко Андрей Вячеславович"/>
    <s v="А781РР"/>
    <s v="А-67"/>
    <s v="А-67"/>
    <s v="Преладо"/>
    <s v="Горох овощной свежий 10.01"/>
    <n v="23850"/>
    <n v="14890"/>
    <n v="16"/>
    <n v="8960"/>
    <n v="7526.4"/>
    <x v="2"/>
    <x v="89"/>
    <n v="1433.6000000000004"/>
    <n v="0.16000000000000003"/>
    <n v="6"/>
    <n v="7"/>
    <x v="10"/>
    <x v="0"/>
  </r>
  <r>
    <s v="Акт входного контроля 000000297 от 07.06.2025 4:13:28"/>
    <s v="высший"/>
    <n v="280"/>
    <s v="63Продажа ЮнонаОтвес№10/ГИА"/>
    <s v="Грин Рэй Кубань ООО (Овощеводство)"/>
    <s v="Мышастый С.Н."/>
    <s v="В725ЕА"/>
    <s v="А-67"/>
    <s v="А-67"/>
    <s v="Преладо"/>
    <s v="Горох овощной свежий 10.01"/>
    <n v="31050"/>
    <n v="17130"/>
    <n v="19"/>
    <n v="13920"/>
    <n v="11279.6"/>
    <x v="2"/>
    <x v="89"/>
    <n v="2640.3999999999996"/>
    <n v="0.18968390804597698"/>
    <n v="6"/>
    <n v="7"/>
    <x v="10"/>
    <x v="0"/>
  </r>
  <r>
    <s v="Акт входного контроля 000000298 от 07.06.2025 18:26:05"/>
    <s v="высший"/>
    <n v="269"/>
    <s v="57Продажа ЮнонаОтвес№9/ГИА"/>
    <s v="Грин Рэй Кубань ООО (Овощеводство)"/>
    <s v="Радин А.М."/>
    <s v="Н370ВР"/>
    <s v="А-67"/>
    <s v="А-67"/>
    <s v="Преладо"/>
    <s v="Горох овощной свежий 10.01"/>
    <n v="32130"/>
    <n v="16130"/>
    <n v="18.899999999999999"/>
    <n v="16000"/>
    <n v="12975.8"/>
    <x v="2"/>
    <x v="89"/>
    <n v="3024.2000000000007"/>
    <n v="0.18901250000000006"/>
    <n v="6"/>
    <n v="7"/>
    <x v="10"/>
    <x v="0"/>
  </r>
  <r>
    <s v="Акт входного контроля 000000299 от 09.06.2025 12:44:02"/>
    <s v="второй"/>
    <n v="336"/>
    <n v="105"/>
    <s v="Грин Рэй Кубань ООО (Овощеводство)"/>
    <s v="Богучарский А. И."/>
    <s v="Е404УС"/>
    <s v="А- 54"/>
    <s v="А- 54"/>
    <s v="Авола"/>
    <s v="Горох овощной свежий 10.01"/>
    <n v="22920"/>
    <n v="13920"/>
    <n v="12"/>
    <n v="9000"/>
    <n v="7920"/>
    <x v="2"/>
    <x v="91"/>
    <n v="1080"/>
    <n v="0.12"/>
    <n v="6"/>
    <n v="9"/>
    <x v="12"/>
    <x v="0"/>
  </r>
  <r>
    <s v="Акт входного контроля 000000300 от 09.06.2025 12:47:41"/>
    <s v="первый"/>
    <n v="338"/>
    <n v="106"/>
    <s v="Грин Рэй Кубань ООО (Овощеводство)"/>
    <s v="Сероштан Станислав Викторович"/>
    <s v="Е758РЕ"/>
    <s v="А-67"/>
    <s v="А-67"/>
    <s v="Преладо"/>
    <s v="Горох овощной свежий 10.01"/>
    <n v="27980"/>
    <n v="14750"/>
    <n v="16"/>
    <n v="13230"/>
    <n v="11113.2"/>
    <x v="2"/>
    <x v="91"/>
    <n v="2116.7999999999993"/>
    <n v="0.15999999999999995"/>
    <n v="6"/>
    <n v="9"/>
    <x v="12"/>
    <x v="0"/>
  </r>
  <r>
    <s v="Акт входного контроля 000000301 от 09.06.2025 12:50:33"/>
    <s v="первый"/>
    <n v="339"/>
    <n v="107"/>
    <s v="Грин Рэй Кубань ООО (Овощеводство)"/>
    <s v="Сайко Василий Викторович"/>
    <s v="А816ЕС"/>
    <s v="А- 54"/>
    <s v="А- 54"/>
    <s v="Авола"/>
    <s v="Горох овощной свежий 10.01"/>
    <n v="23280"/>
    <n v="14180"/>
    <n v="14.5"/>
    <n v="9100"/>
    <n v="7780.5"/>
    <x v="2"/>
    <x v="91"/>
    <n v="1319.5"/>
    <n v="0.14499999999999999"/>
    <n v="6"/>
    <n v="9"/>
    <x v="12"/>
    <x v="0"/>
  </r>
  <r>
    <s v="Акт входного контроля 000000302 от 09.06.2025 12:52:40"/>
    <s v="первый"/>
    <n v="340"/>
    <n v="108"/>
    <s v="Грин Рэй Кубань ООО (Овощеводство)"/>
    <s v="Роговской Роман Алексеевич"/>
    <s v="Т945РВ"/>
    <s v="А-67"/>
    <s v="А-67"/>
    <s v="Преладо"/>
    <s v="Горох овощной свежий 10.01"/>
    <n v="9270"/>
    <n v="4600"/>
    <n v="20.5"/>
    <n v="4670"/>
    <n v="3712.6"/>
    <x v="2"/>
    <x v="91"/>
    <n v="957.40000000000009"/>
    <n v="0.20501070663811566"/>
    <n v="6"/>
    <n v="9"/>
    <x v="12"/>
    <x v="0"/>
  </r>
  <r>
    <s v="Акт входного контроля 000000303 от 09.06.2025 13:35:05"/>
    <s v="второй"/>
    <n v="341"/>
    <n v="109"/>
    <s v="Грин Рэй Кубань ООО (Овощеводство)"/>
    <s v="Богучарский А. И."/>
    <s v="Е404УС"/>
    <s v="А- 54"/>
    <s v="А- 54"/>
    <s v="Авола"/>
    <s v="Горох овощной свежий 10.01"/>
    <n v="22650"/>
    <n v="13900"/>
    <n v="15.5"/>
    <n v="8750"/>
    <n v="7393.7"/>
    <x v="2"/>
    <x v="91"/>
    <n v="1356.3000000000002"/>
    <n v="0.1550057142857143"/>
    <n v="6"/>
    <n v="9"/>
    <x v="12"/>
    <x v="0"/>
  </r>
  <r>
    <s v="Акт входного контроля 000000304 от 06.06.2025 23:15:21"/>
    <s v="высший"/>
    <m/>
    <s v="130769Продажа ЮнонаОтвес№17"/>
    <s v="Кубань УОХ"/>
    <s v="Желтков Евгений Михайлович"/>
    <s v="Е838ВР"/>
    <s v="1/8.1"/>
    <s v="1/8.1"/>
    <s v="Преладо"/>
    <s v="Горох овощной свежий 10.01"/>
    <n v="34840"/>
    <n v="18500"/>
    <n v="21.4"/>
    <n v="16340"/>
    <n v="12845.4"/>
    <x v="2"/>
    <x v="88"/>
    <n v="3494.6000000000004"/>
    <n v="0.21386780905752756"/>
    <n v="6"/>
    <n v="6"/>
    <x v="9"/>
    <x v="0"/>
  </r>
  <r>
    <s v="Акт входного контроля 000000305 от 06.06.2025 13:42:38"/>
    <s v="высший"/>
    <m/>
    <s v="130795Продажа ЮнонаОтвес№15"/>
    <s v="Кубань УОХ"/>
    <s v="Радин А.М."/>
    <s v="Н370Вр"/>
    <s v="1/8.1"/>
    <s v="1/8.1"/>
    <s v="Преладо"/>
    <s v="Горох овощной свежий 10.01"/>
    <n v="31840"/>
    <n v="16000"/>
    <n v="19"/>
    <n v="15840"/>
    <n v="12823.2"/>
    <x v="2"/>
    <x v="88"/>
    <n v="3016.7999999999993"/>
    <n v="0.1904545454545454"/>
    <n v="6"/>
    <n v="6"/>
    <x v="9"/>
    <x v="0"/>
  </r>
  <r>
    <s v="Акт входного контроля 000000306 от 09.06.2025 16:46:56"/>
    <s v="первый"/>
    <n v="343"/>
    <n v="110"/>
    <s v="Грин Рэй Кубань ООО (Овощеводство)"/>
    <s v="Ревенко Андрей Вячеславович"/>
    <s v="А781РР"/>
    <s v="А-67"/>
    <s v="А-67"/>
    <s v="Преладо"/>
    <s v="Горох овощной свежий 10.01"/>
    <n v="28400"/>
    <n v="14930"/>
    <n v="15.5"/>
    <n v="13470"/>
    <n v="11382.1"/>
    <x v="2"/>
    <x v="91"/>
    <n v="2087.8999999999996"/>
    <n v="0.15500371195248699"/>
    <n v="6"/>
    <n v="9"/>
    <x v="12"/>
    <x v="0"/>
  </r>
  <r>
    <s v="Акт входного контроля 000000307 от 09.06.2025 16:49:28"/>
    <s v="первый"/>
    <n v="344"/>
    <n v="111"/>
    <s v="Грин Рэй Кубань ООО (Овощеводство)"/>
    <s v="Сайко Василий Викторович"/>
    <s v="А816ЕВ"/>
    <s v="А- 54"/>
    <s v="А- 54"/>
    <s v="Авола"/>
    <s v="Горох овощной свежий 10.01"/>
    <n v="23630"/>
    <n v="14160"/>
    <n v="14.5"/>
    <n v="9470"/>
    <n v="8096.8"/>
    <x v="2"/>
    <x v="91"/>
    <n v="1373.1999999999998"/>
    <n v="0.14500527983104539"/>
    <n v="6"/>
    <n v="9"/>
    <x v="12"/>
    <x v="0"/>
  </r>
  <r>
    <s v="Акт входного контроля 000000308 от 09.06.2025 17:22:55"/>
    <s v="второй"/>
    <n v="346"/>
    <n v="112"/>
    <s v="Грин Рэй Кубань ООО (Овощеводство)"/>
    <s v="Богучарский А. И."/>
    <s v="Е404УС"/>
    <s v="А- 54"/>
    <s v="А- 54"/>
    <s v="Авола"/>
    <s v="Горох овощной свежий 10.01"/>
    <n v="24450"/>
    <n v="13910"/>
    <n v="11.5"/>
    <n v="10540"/>
    <n v="9327.9"/>
    <x v="2"/>
    <x v="91"/>
    <n v="1212.1000000000004"/>
    <n v="0.11500000000000003"/>
    <n v="6"/>
    <n v="9"/>
    <x v="12"/>
    <x v="0"/>
  </r>
  <r>
    <s v="Акт входного контроля 000000309 от 09.06.2025 19:30:54"/>
    <s v="первый"/>
    <n v="347"/>
    <n v="106"/>
    <s v="Грин Рэй Кубань ООО (Овощеводство)"/>
    <s v="Сероштан Станислав Викторович"/>
    <s v="Е758РЕ"/>
    <s v="А-67"/>
    <s v="А-67"/>
    <s v="Преладо"/>
    <s v="Горох овощной свежий 10.01"/>
    <n v="28260"/>
    <n v="14720"/>
    <n v="18.5"/>
    <n v="13540"/>
    <n v="11035.1"/>
    <x v="2"/>
    <x v="91"/>
    <n v="2504.8999999999996"/>
    <n v="0.18499999999999997"/>
    <n v="6"/>
    <n v="9"/>
    <x v="12"/>
    <x v="0"/>
  </r>
  <r>
    <s v="Акт входного контроля 000000310 от 10.06.2025 7:22:41"/>
    <s v="первый"/>
    <n v="348"/>
    <n v="114"/>
    <s v="Грин Рэй Кубань ООО (Овощеводство)"/>
    <s v="Жданов Андрей Иванович"/>
    <s v="С707ОУ"/>
    <s v="А-66"/>
    <s v="А-66"/>
    <s v="Преладо"/>
    <s v="Горох овощной свежий 10.01"/>
    <n v="31620"/>
    <n v="14480"/>
    <n v="12"/>
    <n v="17140"/>
    <n v="15083.2"/>
    <x v="2"/>
    <x v="92"/>
    <n v="2056.7999999999993"/>
    <n v="0.11999999999999995"/>
    <n v="6"/>
    <n v="10"/>
    <x v="13"/>
    <x v="0"/>
  </r>
  <r>
    <s v="Акт входного контроля 000000311 от 10.06.2025 11:28:15"/>
    <s v="высший"/>
    <n v="349"/>
    <n v="115"/>
    <s v="Грин Рэй Кубань ООО (Овощеводство)"/>
    <s v="Кудря Евгений"/>
    <s v="А719ОО"/>
    <s v="А51"/>
    <s v="А51"/>
    <s v="Маяк"/>
    <s v="Горох овощной свежий 10.01"/>
    <n v="32670"/>
    <n v="14700"/>
    <n v="16"/>
    <n v="17970"/>
    <n v="15094.8"/>
    <x v="2"/>
    <x v="92"/>
    <n v="2875.2000000000007"/>
    <n v="0.16000000000000003"/>
    <n v="6"/>
    <n v="10"/>
    <x v="13"/>
    <x v="0"/>
  </r>
  <r>
    <s v="Акт входного контроля 000000312 от 10.06.2025 11:56:47"/>
    <s v="первый"/>
    <n v="351"/>
    <n v="116"/>
    <s v="Грин Рэй Кубань ООО (Овощеводство)"/>
    <s v="Жданов Андрей Иванович"/>
    <s v="С707ОУ"/>
    <s v="А-66"/>
    <s v="А-66"/>
    <s v="Преладо"/>
    <s v="Горох овощной свежий 10.01"/>
    <n v="24440"/>
    <n v="14460"/>
    <n v="8.5"/>
    <n v="9980"/>
    <n v="9131.7000000000007"/>
    <x v="2"/>
    <x v="92"/>
    <n v="848.29999999999927"/>
    <n v="8.4999999999999923E-2"/>
    <n v="6"/>
    <n v="10"/>
    <x v="13"/>
    <x v="0"/>
  </r>
  <r>
    <s v="Акт входного контроля 000000313 от 10.06.2025 13:27:56"/>
    <s v="высший"/>
    <n v="352"/>
    <n v="117"/>
    <s v="Грин Рэй Кубань ООО (Овощеводство)"/>
    <s v="Гужва А М."/>
    <s v="Т285ВЕ"/>
    <s v="А51"/>
    <s v="А51"/>
    <s v="Веста"/>
    <s v="Горох овощной свежий 10.01"/>
    <n v="25900"/>
    <n v="14860"/>
    <n v="20.5"/>
    <n v="11040"/>
    <n v="8776.7999999999993"/>
    <x v="2"/>
    <x v="92"/>
    <n v="2263.2000000000007"/>
    <n v="0.20500000000000007"/>
    <n v="6"/>
    <n v="10"/>
    <x v="13"/>
    <x v="0"/>
  </r>
  <r>
    <s v="Акт входного контроля 000000314 от 10.06.2025 13:46:46"/>
    <s v="высший"/>
    <n v="353"/>
    <n v="118"/>
    <s v="Грин Рэй Кубань ООО (Овощеводство)"/>
    <s v="Чигрин Н.А."/>
    <s v="А819ЕВ"/>
    <s v="А51"/>
    <s v="А51"/>
    <s v="Беркут"/>
    <s v="Горох овощной свежий 10.01"/>
    <n v="23280"/>
    <n v="18880"/>
    <n v="12.5"/>
    <n v="4400"/>
    <n v="3850"/>
    <x v="2"/>
    <x v="92"/>
    <n v="550"/>
    <n v="0.125"/>
    <n v="6"/>
    <n v="10"/>
    <x v="13"/>
    <x v="0"/>
  </r>
  <r>
    <s v="Акт входного контроля 000000315 от 10.06.2025 13:54:49"/>
    <s v="высший"/>
    <n v="354"/>
    <n v="118"/>
    <s v="Грин Рэй Кубань ООО (Овощеводство)"/>
    <s v="Чигрин Н.А."/>
    <s v="А819ЕВ"/>
    <s v="А51"/>
    <s v="А51"/>
    <s v="Веста"/>
    <s v="Горох овощной свежий 10.01"/>
    <n v="18880"/>
    <n v="14290"/>
    <n v="29.5"/>
    <n v="4590"/>
    <n v="3235.9"/>
    <x v="2"/>
    <x v="92"/>
    <n v="1354.1"/>
    <n v="0.29501089324618734"/>
    <n v="6"/>
    <n v="10"/>
    <x v="13"/>
    <x v="0"/>
  </r>
  <r>
    <s v="Акт входного контроля 000000316 от 10.06.2025 16:36:31"/>
    <s v="первый"/>
    <n v="356"/>
    <n v="119"/>
    <s v="Грин Рэй Кубань ООО (Овощеводство)"/>
    <s v="Кудря Евгений"/>
    <s v="А719ОО"/>
    <s v="А 54"/>
    <s v="А 54"/>
    <s v="Увертюра"/>
    <s v="Горох овощной свежий 10.01"/>
    <n v="28700"/>
    <n v="14680"/>
    <n v="10"/>
    <n v="14020"/>
    <n v="12618"/>
    <x v="2"/>
    <x v="92"/>
    <n v="1402"/>
    <n v="0.1"/>
    <n v="6"/>
    <n v="10"/>
    <x v="13"/>
    <x v="0"/>
  </r>
  <r>
    <s v="Акт входного контроля 000000317 от 10.06.2025 19:03:57"/>
    <s v="высший"/>
    <n v="357"/>
    <n v="120"/>
    <s v="Грин Рэй Кубань ООО (Овощеводство)"/>
    <s v="Жданов Андрей Иванович"/>
    <s v="С707ОУ"/>
    <s v="А51"/>
    <s v="А51"/>
    <s v="парус"/>
    <s v="Горох овощной свежий 10.01"/>
    <n v="25050"/>
    <n v="20660"/>
    <n v="29.5"/>
    <n v="4390"/>
    <n v="3094.9"/>
    <x v="2"/>
    <x v="92"/>
    <n v="1295.0999999999999"/>
    <n v="0.29501138952164008"/>
    <n v="6"/>
    <n v="10"/>
    <x v="13"/>
    <x v="0"/>
  </r>
  <r>
    <s v="Акт входного контроля 000000318 от 10.06.2025 19:14:30"/>
    <s v="высший"/>
    <n v="358"/>
    <n v="120"/>
    <s v="Грин Рэй Кубань ООО (Овощеводство)"/>
    <s v="Жданов Андрей Иванович"/>
    <s v="С707ОУ"/>
    <s v="А51"/>
    <s v="А51"/>
    <s v="Патриот"/>
    <s v="Горох овощной свежий 10.01"/>
    <n v="20660"/>
    <n v="14480"/>
    <n v="21.5"/>
    <n v="6180"/>
    <n v="4851.3"/>
    <x v="2"/>
    <x v="92"/>
    <n v="1328.6999999999998"/>
    <n v="0.21499999999999997"/>
    <n v="6"/>
    <n v="10"/>
    <x v="13"/>
    <x v="0"/>
  </r>
  <r>
    <s v="Акт входного контроля 000000319 от 10.06.2025 19:22:43"/>
    <s v="первый"/>
    <n v="359"/>
    <n v="121"/>
    <s v="Грин Рэй Кубань ООО (Овощеводство)"/>
    <s v="Гужва А М."/>
    <s v="Т285ВЕ"/>
    <s v="А 54"/>
    <s v="А 54"/>
    <s v="Авола"/>
    <s v="Горох овощной свежий 10.01"/>
    <n v="30340"/>
    <n v="23450"/>
    <n v="6.5"/>
    <n v="6890"/>
    <n v="6442.1"/>
    <x v="2"/>
    <x v="92"/>
    <n v="447.89999999999964"/>
    <n v="6.5007256894049292E-2"/>
    <n v="6"/>
    <n v="10"/>
    <x v="13"/>
    <x v="0"/>
  </r>
  <r>
    <s v="Акт входного контроля 000000320 от 10.06.2025 19:35:33"/>
    <s v="первый"/>
    <n v="361"/>
    <n v="121"/>
    <s v="Грин Рэй Кубань ООО (Овощеводство)"/>
    <s v="Гужва А М."/>
    <s v="Т285ВЕ"/>
    <s v="А 54"/>
    <s v="А 54"/>
    <s v="Увертюра"/>
    <s v="Горох овощной свежий 10.01"/>
    <n v="23450"/>
    <n v="14840"/>
    <n v="8.5"/>
    <n v="8610"/>
    <n v="7878.1"/>
    <x v="2"/>
    <x v="92"/>
    <n v="731.89999999999964"/>
    <n v="8.5005807200929109E-2"/>
    <n v="6"/>
    <n v="10"/>
    <x v="13"/>
    <x v="0"/>
  </r>
  <r>
    <s v="Акт входного контроля 000000321 от 10.06.2025 19:40:25"/>
    <s v="высший"/>
    <n v="362"/>
    <n v="28"/>
    <s v="Братковский МОК АО"/>
    <s v="Сайко Владимир Николаевич"/>
    <s v="Т919РВ"/>
    <s v="А-43"/>
    <s v="А-43"/>
    <s v="Фаворит"/>
    <s v="Горох овощной свежий 10.01"/>
    <n v="6240"/>
    <n v="4560"/>
    <n v="12"/>
    <n v="1680"/>
    <n v="1478.4"/>
    <x v="2"/>
    <x v="92"/>
    <n v="201.59999999999991"/>
    <n v="0.11999999999999994"/>
    <n v="6"/>
    <n v="10"/>
    <x v="13"/>
    <x v="0"/>
  </r>
  <r>
    <s v="Акт входного контроля 000000322 от 10.06.2025 20:50:26"/>
    <s v="второй"/>
    <n v="363"/>
    <n v="123"/>
    <s v="Грин Рэй Кубань ООО (Овощеводство)"/>
    <s v="Жданов Андрей Иванович"/>
    <s v="С707ОУ"/>
    <s v="А51"/>
    <s v="А51"/>
    <s v="Увертюра"/>
    <s v="Горох овощной свежий 10.01"/>
    <n v="27420"/>
    <n v="14450"/>
    <n v="13.5"/>
    <n v="12970"/>
    <n v="11219"/>
    <x v="2"/>
    <x v="92"/>
    <n v="1751"/>
    <n v="0.13500385505011564"/>
    <n v="6"/>
    <n v="10"/>
    <x v="13"/>
    <x v="0"/>
  </r>
  <r>
    <s v="Акт входного контроля 000000323 от 10.06.2025 23:54:14"/>
    <s v="второй"/>
    <n v="364"/>
    <n v="124"/>
    <s v="Грин Рэй Кубань ООО (Овощеводство)"/>
    <s v="Кудря Евгений"/>
    <s v="А719ОО"/>
    <s v="А 54"/>
    <s v="А 54"/>
    <s v="Авола"/>
    <s v="Горох овощной свежий 10.01"/>
    <n v="28620"/>
    <n v="14660"/>
    <n v="13.5"/>
    <n v="13960"/>
    <n v="12075.4"/>
    <x v="2"/>
    <x v="92"/>
    <n v="1884.6000000000004"/>
    <n v="0.13500000000000004"/>
    <n v="6"/>
    <n v="10"/>
    <x v="13"/>
    <x v="0"/>
  </r>
  <r>
    <s v="Акт входного контроля 000000324 от 10.06.2025 21:43:31"/>
    <s v="первый"/>
    <n v="365"/>
    <n v="125"/>
    <s v="Грин Рэй Кубань ООО (Овощеводство)"/>
    <s v="Чигрин Н.А."/>
    <s v="А819ЕВ"/>
    <s v="А51"/>
    <s v="А51"/>
    <s v="Увертюра"/>
    <s v="Горох овощной свежий 10.01"/>
    <n v="27130"/>
    <n v="14260"/>
    <n v="10.5"/>
    <n v="12870"/>
    <n v="11518.6"/>
    <x v="2"/>
    <x v="92"/>
    <n v="1351.3999999999996"/>
    <n v="0.10500388500388498"/>
    <n v="6"/>
    <n v="10"/>
    <x v="13"/>
    <x v="0"/>
  </r>
  <r>
    <s v="Акт входного контроля 000000325 от 10.06.2025 22:11:45"/>
    <s v="первый"/>
    <n v="366"/>
    <n v="126"/>
    <s v="Грин Рэй Кубань ООО (Овощеводство)"/>
    <s v="Сайко Владимир Николаевич"/>
    <s v="Т919РВ"/>
    <s v="А51"/>
    <s v="А51"/>
    <s v="Увертюра"/>
    <s v="Горох овощной свежий 10.01"/>
    <n v="8820"/>
    <n v="4560"/>
    <n v="10.5"/>
    <n v="4260"/>
    <n v="3812.7"/>
    <x v="2"/>
    <x v="92"/>
    <n v="447.30000000000018"/>
    <n v="0.10500000000000004"/>
    <n v="6"/>
    <n v="10"/>
    <x v="13"/>
    <x v="0"/>
  </r>
  <r>
    <s v="Акт входного контроля 000000326 от 10.06.2025 22:17:27"/>
    <s v="второй"/>
    <n v="367"/>
    <n v="127"/>
    <s v="Грин Рэй Кубань ООО (Овощеводство)"/>
    <s v="Гужва А М."/>
    <s v="Т285ВЕ"/>
    <s v="А 54"/>
    <s v="А 54"/>
    <s v="Авола"/>
    <s v="Горох овощной свежий 10.01"/>
    <n v="28410"/>
    <n v="14850"/>
    <n v="13.5"/>
    <n v="13560"/>
    <n v="11729.4"/>
    <x v="2"/>
    <x v="92"/>
    <n v="1830.6000000000004"/>
    <n v="0.13500000000000004"/>
    <n v="6"/>
    <n v="10"/>
    <x v="13"/>
    <x v="0"/>
  </r>
  <r>
    <s v="Акт входного контроля 000000327 от 10.06.2025 23:23:54"/>
    <s v="первый"/>
    <n v="368"/>
    <n v="128"/>
    <s v="Грин Рэй Кубань ООО (Овощеводство)"/>
    <s v="Жданов Андрей Иванович"/>
    <s v="С707ОУ"/>
    <s v="А51"/>
    <s v="А51"/>
    <s v="Увертюра"/>
    <s v="Горох овощной свежий 10.01"/>
    <n v="27150"/>
    <n v="14430"/>
    <n v="11.5"/>
    <n v="12720"/>
    <n v="11257.2"/>
    <x v="2"/>
    <x v="92"/>
    <n v="1462.7999999999993"/>
    <n v="0.11499999999999995"/>
    <n v="6"/>
    <n v="10"/>
    <x v="13"/>
    <x v="0"/>
  </r>
  <r>
    <s v="Акт входного контроля 000000328 от 11.06.2025 4:25:20"/>
    <s v="первый"/>
    <n v="369"/>
    <n v="129"/>
    <s v="Грин Рэй Кубань ООО (Овощеводство)"/>
    <s v="Кудря Евгений"/>
    <s v="А719ОО"/>
    <s v="А 54"/>
    <s v="А 54"/>
    <s v="Авола"/>
    <s v="Горох овощной свежий 10.01"/>
    <n v="28490"/>
    <n v="14640"/>
    <n v="12"/>
    <n v="13850"/>
    <n v="12188"/>
    <x v="2"/>
    <x v="93"/>
    <n v="1662"/>
    <n v="0.12"/>
    <n v="6"/>
    <n v="11"/>
    <x v="14"/>
    <x v="0"/>
  </r>
  <r>
    <s v="Акт входного контроля 000000329 от 11.06.2025 4:27:45"/>
    <s v="первый"/>
    <n v="371"/>
    <n v="131"/>
    <s v="Грин Рэй Кубань ООО (Овощеводство)"/>
    <s v="Сайко Владимир Николаевич"/>
    <s v="Т919РВ"/>
    <s v="А51"/>
    <s v="А51"/>
    <s v="Увертюра"/>
    <s v="Горох овощной свежий 10.01"/>
    <n v="8840"/>
    <n v="4550"/>
    <n v="7"/>
    <n v="4290"/>
    <n v="3989.7"/>
    <x v="2"/>
    <x v="93"/>
    <n v="300.30000000000018"/>
    <n v="7.0000000000000048E-2"/>
    <n v="6"/>
    <n v="11"/>
    <x v="14"/>
    <x v="0"/>
  </r>
  <r>
    <s v="Акт входного контроля 000000330 от 11.06.2025 5:50:06"/>
    <s v="первый"/>
    <n v="370"/>
    <n v="130"/>
    <s v="Грин Рэй Кубань ООО (Овощеводство)"/>
    <s v="Чигрин Н.А."/>
    <s v="А819ЕВ"/>
    <s v="А51"/>
    <s v="А51"/>
    <s v="Увертюра"/>
    <s v="Горох овощной свежий 10.01"/>
    <n v="27160"/>
    <n v="14250"/>
    <n v="10.5"/>
    <n v="12910"/>
    <n v="11554.4"/>
    <x v="2"/>
    <x v="93"/>
    <n v="1355.6000000000004"/>
    <n v="0.10500387296669252"/>
    <n v="6"/>
    <n v="11"/>
    <x v="14"/>
    <x v="0"/>
  </r>
  <r>
    <s v="Акт входного контроля 000000331 от 10.06.2025 17:06:04"/>
    <s v="высший"/>
    <n v="360"/>
    <n v="122"/>
    <s v="Грин Рэй Кубань ООО (Овощеводство)"/>
    <s v="Чигрин Н.А."/>
    <s v="А819ЕВ"/>
    <s v="А51"/>
    <s v="А51"/>
    <s v="парус"/>
    <s v="Горох овощной свежий 10.01"/>
    <n v="22670"/>
    <n v="14280"/>
    <n v="19"/>
    <n v="8390"/>
    <n v="6795.9"/>
    <x v="2"/>
    <x v="92"/>
    <n v="1594.1000000000004"/>
    <n v="0.19000000000000003"/>
    <n v="6"/>
    <n v="10"/>
    <x v="13"/>
    <x v="0"/>
  </r>
  <r>
    <s v="Акт входного контроля 000000332 от 11.06.2025 8:55:15"/>
    <s v="первый"/>
    <n v="372"/>
    <n v="132"/>
    <s v="Грин Рэй Кубань ООО (Овощеводство)"/>
    <s v="Гужва А М."/>
    <s v="Т285ВЕ"/>
    <s v="А- 54"/>
    <s v="А- 54"/>
    <s v="Авола"/>
    <s v="Горох овощной свежий 10.01"/>
    <n v="28460"/>
    <n v="14840"/>
    <n v="9.5"/>
    <n v="13620"/>
    <n v="12326.1"/>
    <x v="2"/>
    <x v="93"/>
    <n v="1293.8999999999996"/>
    <n v="9.4999999999999973E-2"/>
    <n v="6"/>
    <n v="11"/>
    <x v="14"/>
    <x v="0"/>
  </r>
  <r>
    <s v="Акт входного контроля 000000333 от 11.06.2025 9:45:32"/>
    <s v="первый"/>
    <n v="373"/>
    <n v="133"/>
    <s v="Грин Рэй Кубань ООО (Овощеводство)"/>
    <s v="Кудря Евгений"/>
    <s v="А719ОО"/>
    <s v="А51"/>
    <s v="А51"/>
    <s v="Увертюра"/>
    <s v="Горох овощной свежий 10.01"/>
    <n v="27930"/>
    <n v="14640"/>
    <n v="10"/>
    <n v="13290"/>
    <n v="11961"/>
    <x v="2"/>
    <x v="93"/>
    <n v="1329"/>
    <n v="0.1"/>
    <n v="6"/>
    <n v="11"/>
    <x v="14"/>
    <x v="0"/>
  </r>
  <r>
    <s v="Акт входного контроля 000000334 от 11.06.2025 11:56:59"/>
    <s v="второй"/>
    <n v="375"/>
    <n v="134"/>
    <s v="Грин Рэй Кубань ООО (Овощеводство)"/>
    <s v="Кулик О В"/>
    <s v="К403ЕМ"/>
    <s v="А51"/>
    <s v="А51"/>
    <s v="Увертюра"/>
    <s v="Горох овощной свежий 10.01"/>
    <n v="25280"/>
    <n v="14940"/>
    <n v="5"/>
    <n v="10340"/>
    <n v="9823"/>
    <x v="2"/>
    <x v="93"/>
    <n v="517"/>
    <n v="0.05"/>
    <n v="6"/>
    <n v="11"/>
    <x v="14"/>
    <x v="0"/>
  </r>
  <r>
    <s v="Акт входного контроля 000000335 от 11.06.2025 13:21:23"/>
    <s v="второй"/>
    <n v="377"/>
    <n v="135"/>
    <s v="Грин Рэй Кубань ООО (Овощеводство)"/>
    <s v="Бербеницкий Сергей Николаевич"/>
    <s v="С400РР"/>
    <s v="А51"/>
    <s v="А51"/>
    <s v="Увертюра"/>
    <s v="Горох овощной свежий 10.01"/>
    <n v="25720"/>
    <n v="15020"/>
    <n v="6.5"/>
    <n v="10700"/>
    <n v="10004.5"/>
    <x v="2"/>
    <x v="93"/>
    <n v="695.5"/>
    <n v="6.5000000000000002E-2"/>
    <n v="6"/>
    <n v="11"/>
    <x v="14"/>
    <x v="0"/>
  </r>
  <r>
    <s v="Акт входного контроля 000000336 от 11.06.2025 13:35:51"/>
    <s v="первый"/>
    <n v="378"/>
    <n v="3"/>
    <s v="Братковский МОК АО"/>
    <s v="Роговской Роман Алексеевич"/>
    <s v="Т945РВ"/>
    <s v="А-40"/>
    <s v="А-40"/>
    <s v="Фаворит"/>
    <s v="Горох овощной свежий 10.01"/>
    <n v="8800"/>
    <n v="4600"/>
    <n v="7"/>
    <n v="4200"/>
    <n v="3906"/>
    <x v="2"/>
    <x v="93"/>
    <n v="294"/>
    <n v="7.0000000000000007E-2"/>
    <n v="6"/>
    <n v="11"/>
    <x v="14"/>
    <x v="0"/>
  </r>
  <r>
    <s v="Акт входного контроля 000000337 от 11.06.2025 16:40:17"/>
    <s v="первый"/>
    <n v="380"/>
    <n v="1"/>
    <s v="Братковский МОК АО"/>
    <s v="Лазаренко Вятчеслав Владимирович"/>
    <s v="Т239УС"/>
    <s v="А-40"/>
    <s v="А-40"/>
    <s v="Фаворит"/>
    <s v="Горох овощной свежий 10.01"/>
    <n v="27810"/>
    <n v="14980"/>
    <n v="9.5"/>
    <n v="12830"/>
    <n v="11611.1"/>
    <x v="2"/>
    <x v="93"/>
    <n v="1218.8999999999996"/>
    <n v="9.5003897116134037E-2"/>
    <n v="6"/>
    <n v="11"/>
    <x v="14"/>
    <x v="0"/>
  </r>
  <r>
    <s v="Акт входного контроля 000000338 от 11.06.2025 16:41:52"/>
    <s v="первый"/>
    <n v="381"/>
    <n v="2"/>
    <s v="Братковский МОК АО"/>
    <s v="Огнев Максим Викторович"/>
    <s v="Р755НН"/>
    <s v="А-40"/>
    <s v="А-40"/>
    <s v="Фаворит"/>
    <s v="Горох овощной свежий 10.01"/>
    <n v="27520"/>
    <n v="14770"/>
    <n v="5"/>
    <n v="12750"/>
    <n v="12112.5"/>
    <x v="2"/>
    <x v="93"/>
    <n v="637.5"/>
    <n v="0.05"/>
    <n v="6"/>
    <n v="11"/>
    <x v="14"/>
    <x v="0"/>
  </r>
  <r>
    <s v="Акт входного контроля 000000339 от 11.06.2025 17:52:45"/>
    <s v="первый"/>
    <n v="382"/>
    <n v="4"/>
    <s v="Братковский МОК АО"/>
    <s v="Черевко Александр Владимирович"/>
    <s v="А114МК"/>
    <s v="А-40"/>
    <s v="А-40"/>
    <s v="Фаворит"/>
    <s v="Горох овощной свежий 10.01"/>
    <n v="27190"/>
    <n v="14530"/>
    <n v="8"/>
    <n v="12660"/>
    <n v="11647.2"/>
    <x v="2"/>
    <x v="93"/>
    <n v="1012.7999999999993"/>
    <n v="7.9999999999999946E-2"/>
    <n v="6"/>
    <n v="11"/>
    <x v="14"/>
    <x v="0"/>
  </r>
  <r>
    <s v="Акт входного контроля 000000340 от 11.06.2025 18:49:51"/>
    <s v="первый"/>
    <n v="383"/>
    <n v="5"/>
    <s v="Братковский МОК АО"/>
    <s v="Сероштан Станислав Викторович"/>
    <s v="Е758РЕ"/>
    <s v="А-40"/>
    <s v="А-40"/>
    <s v="Фаворит"/>
    <s v="Горох овощной свежий 10.01"/>
    <n v="27620"/>
    <n v="14630"/>
    <n v="7"/>
    <n v="12990"/>
    <n v="12080.7"/>
    <x v="2"/>
    <x v="93"/>
    <n v="909.29999999999927"/>
    <n v="6.9999999999999937E-2"/>
    <n v="6"/>
    <n v="11"/>
    <x v="14"/>
    <x v="0"/>
  </r>
  <r>
    <s v="Акт входного контроля 000000341 от 11.06.2025 21:21:08"/>
    <s v="первый"/>
    <n v="384"/>
    <n v="7"/>
    <s v="Братковский МОК АО"/>
    <s v="Никитась Сергей Анатольевич"/>
    <s v="К570ЕО"/>
    <n v="40"/>
    <n v="40"/>
    <s v="Фаворит"/>
    <s v="Горох овощной свежий 10.01"/>
    <n v="27430"/>
    <n v="15070"/>
    <n v="6"/>
    <n v="12360"/>
    <n v="11618.4"/>
    <x v="2"/>
    <x v="93"/>
    <n v="741.60000000000036"/>
    <n v="6.0000000000000032E-2"/>
    <n v="6"/>
    <n v="11"/>
    <x v="14"/>
    <x v="0"/>
  </r>
  <r>
    <s v="Акт входного контроля 000000342 от 11.06.2025 21:50:57"/>
    <s v="первый"/>
    <n v="385"/>
    <n v="6"/>
    <s v="Братковский МОК АО"/>
    <s v="Пугачев Сергей Викторович"/>
    <s v="Р258УХ"/>
    <n v="40"/>
    <n v="40"/>
    <s v="Фаворит"/>
    <s v="Горох овощной свежий 10.01"/>
    <n v="28580"/>
    <n v="15740"/>
    <n v="7"/>
    <n v="12840"/>
    <n v="11941.2"/>
    <x v="2"/>
    <x v="93"/>
    <n v="898.79999999999927"/>
    <n v="6.9999999999999937E-2"/>
    <n v="6"/>
    <n v="11"/>
    <x v="14"/>
    <x v="0"/>
  </r>
  <r>
    <s v="Акт входного контроля 000000343 от 12.06.2025 0:56:52"/>
    <s v="высший"/>
    <n v="386"/>
    <s v="б/н"/>
    <s v="Братковский МОК АО"/>
    <s v="Кудря Евгений"/>
    <s v="А719ОО"/>
    <n v="45"/>
    <n v="45"/>
    <s v="Тристар"/>
    <s v="Горох овощной свежий 10.01"/>
    <n v="27660"/>
    <n v="14730"/>
    <n v="18.5"/>
    <n v="12930"/>
    <n v="10537.9"/>
    <x v="2"/>
    <x v="94"/>
    <n v="2392.1000000000004"/>
    <n v="0.18500386697602478"/>
    <n v="6"/>
    <n v="12"/>
    <x v="15"/>
    <x v="0"/>
  </r>
  <r>
    <s v="Акт входного контроля 000000344 от 12.06.2025 2:17:59"/>
    <s v="высший"/>
    <n v="387"/>
    <s v="б/н"/>
    <s v="Братковский МОК АО"/>
    <s v="Игольницын Сергей Владимирович"/>
    <s v="В780ТТ"/>
    <n v="45"/>
    <n v="45"/>
    <s v="Тристар"/>
    <s v="Горох овощной свежий 10.01"/>
    <n v="28780"/>
    <n v="15390"/>
    <n v="12.5"/>
    <n v="13390"/>
    <n v="11716.2"/>
    <x v="2"/>
    <x v="94"/>
    <n v="1673.7999999999993"/>
    <n v="0.12500373412994767"/>
    <n v="6"/>
    <n v="12"/>
    <x v="15"/>
    <x v="0"/>
  </r>
  <r>
    <s v="Акт входного контроля 000000345 от 12.06.2025 3:20:01"/>
    <s v="высший"/>
    <n v="388"/>
    <s v="б/н"/>
    <s v="Братковский МОК АО"/>
    <s v="Емец Р.А."/>
    <s v="У315НХ"/>
    <n v="45"/>
    <n v="45"/>
    <s v="Тристар"/>
    <s v="Горох овощной свежий 10.01"/>
    <n v="28770"/>
    <n v="15590"/>
    <n v="20.5"/>
    <n v="13180"/>
    <n v="10478.1"/>
    <x v="2"/>
    <x v="94"/>
    <n v="2701.8999999999996"/>
    <n v="0.20499999999999996"/>
    <n v="6"/>
    <n v="12"/>
    <x v="15"/>
    <x v="0"/>
  </r>
  <r>
    <s v="Акт входного контроля 000000346 от 12.06.2025 5:43:33"/>
    <s v="высший"/>
    <n v="389"/>
    <s v="б/н"/>
    <s v="Братковский МОК АО"/>
    <s v="Мудрак Вадим Васильевич"/>
    <s v="Х514ОК"/>
    <n v="45"/>
    <n v="45"/>
    <s v="Тристар"/>
    <s v="Горох овощной свежий 10.01"/>
    <n v="34210"/>
    <n v="21060"/>
    <n v="16"/>
    <n v="13150"/>
    <n v="11046"/>
    <x v="2"/>
    <x v="94"/>
    <n v="2104"/>
    <n v="0.16"/>
    <n v="6"/>
    <n v="12"/>
    <x v="15"/>
    <x v="0"/>
  </r>
  <r>
    <s v="Акт входного контроля 000000347 от 12.06.2025 11:05:25"/>
    <s v="высший"/>
    <n v="390"/>
    <s v="б/н"/>
    <s v="Братковский МОК АО"/>
    <s v="Мудрак Игорь Вадимович"/>
    <s v="С198УЕ"/>
    <n v="45"/>
    <n v="45"/>
    <s v="Тристар"/>
    <s v="Горох овощной свежий 10.01"/>
    <n v="37250"/>
    <n v="24020"/>
    <n v="12.5"/>
    <n v="13230"/>
    <n v="11576.2"/>
    <x v="2"/>
    <x v="94"/>
    <n v="1653.7999999999993"/>
    <n v="0.12500377928949352"/>
    <n v="6"/>
    <n v="12"/>
    <x v="15"/>
    <x v="0"/>
  </r>
  <r>
    <s v="Акт входного контроля 000000348 от 12.06.2025 11:18:16"/>
    <s v="высший"/>
    <n v="391"/>
    <s v="б/н"/>
    <s v="Братковский МОК АО"/>
    <s v="Егоян Артем Владимирович"/>
    <s v="А701СН"/>
    <n v="45"/>
    <n v="45"/>
    <s v="Тристар"/>
    <s v="Горох овощной свежий 10.01"/>
    <n v="27970"/>
    <n v="14910"/>
    <n v="14.5"/>
    <n v="13060"/>
    <n v="11166.3"/>
    <x v="2"/>
    <x v="94"/>
    <n v="1893.7000000000007"/>
    <n v="0.14500000000000005"/>
    <n v="6"/>
    <n v="12"/>
    <x v="15"/>
    <x v="0"/>
  </r>
  <r>
    <s v="Акт входного контроля 000000349 от 12.06.2025 12:36:58"/>
    <s v="высший"/>
    <n v="392"/>
    <s v="б/н"/>
    <s v="Братковский МОК АО"/>
    <s v="Погуляй А.Б.       "/>
    <s v="О824ТХ"/>
    <n v="45"/>
    <n v="45"/>
    <s v="Тристар"/>
    <s v="Горох овощной свежий 10.01"/>
    <n v="31920"/>
    <n v="18730"/>
    <n v="8.5"/>
    <n v="13190"/>
    <n v="12068.8"/>
    <x v="2"/>
    <x v="94"/>
    <n v="1121.2000000000007"/>
    <n v="8.5003790750568672E-2"/>
    <n v="6"/>
    <n v="12"/>
    <x v="15"/>
    <x v="0"/>
  </r>
  <r>
    <s v="Акт входного контроля 000000350 от 12.06.2025 13:30:44"/>
    <s v="высший"/>
    <n v="393"/>
    <s v="б/н"/>
    <s v="Братковский МОК АО"/>
    <s v="Кулик О В"/>
    <s v="К403ЕМ"/>
    <n v="45"/>
    <n v="45"/>
    <s v="Тристар"/>
    <s v="Горох овощной свежий 10.01"/>
    <n v="28050"/>
    <n v="14910"/>
    <n v="14.5"/>
    <n v="13140"/>
    <n v="11234.7"/>
    <x v="2"/>
    <x v="94"/>
    <n v="1905.2999999999993"/>
    <n v="0.14499999999999993"/>
    <n v="6"/>
    <n v="12"/>
    <x v="15"/>
    <x v="0"/>
  </r>
  <r>
    <s v="Акт входного контроля 000000351 от 12.06.2025 14:52:06"/>
    <s v="высший"/>
    <n v="394"/>
    <s v="б/н"/>
    <s v="Братковский МОК АО"/>
    <s v="Богучарский А. И."/>
    <s v="Е404УС"/>
    <n v="45"/>
    <n v="45"/>
    <s v="Тристар"/>
    <s v="Горох овощной свежий 10.01"/>
    <n v="28480"/>
    <n v="13810"/>
    <n v="10.5"/>
    <n v="14670"/>
    <n v="13129.6"/>
    <x v="2"/>
    <x v="94"/>
    <n v="1540.3999999999996"/>
    <n v="0.10500340831629172"/>
    <n v="6"/>
    <n v="12"/>
    <x v="15"/>
    <x v="0"/>
  </r>
  <r>
    <s v="Акт входного контроля 000000352 от 12.06.2025 16:02:25"/>
    <s v="высший"/>
    <n v="395"/>
    <s v="б/н"/>
    <s v="Братковский МОК АО"/>
    <s v="Лазаренко Вятчеслав Владимирович"/>
    <s v="Т239УС"/>
    <n v="45"/>
    <n v="45"/>
    <s v="Тристар"/>
    <s v="Горох овощной свежий 10.01"/>
    <n v="28580"/>
    <n v="14940"/>
    <n v="12"/>
    <n v="13640"/>
    <n v="12003.2"/>
    <x v="2"/>
    <x v="94"/>
    <n v="1636.7999999999993"/>
    <n v="0.11999999999999994"/>
    <n v="6"/>
    <n v="12"/>
    <x v="15"/>
    <x v="0"/>
  </r>
  <r>
    <s v="Акт входного контроля 000000353 от 12.06.2025 17:50:11"/>
    <s v="высший"/>
    <n v="397"/>
    <s v="б/н"/>
    <s v="Братковский МОК АО"/>
    <s v="Огнев Максим Викторович"/>
    <s v="Р755НН"/>
    <n v="45"/>
    <n v="45"/>
    <s v="Тристар"/>
    <s v="Горох овощной свежий 10.01"/>
    <n v="28480"/>
    <n v="14720"/>
    <n v="14.5"/>
    <n v="13760"/>
    <n v="11764.8"/>
    <x v="2"/>
    <x v="94"/>
    <n v="1995.2000000000007"/>
    <n v="0.14500000000000005"/>
    <n v="6"/>
    <n v="12"/>
    <x v="15"/>
    <x v="0"/>
  </r>
  <r>
    <s v="Акт входного контроля 000000354 от 12.06.2025 18:45:11"/>
    <s v="высший"/>
    <n v="398"/>
    <m/>
    <s v="Братковский МОК АО"/>
    <s v="Черевко Александр Владимирович"/>
    <s v="А114МК"/>
    <n v="45"/>
    <n v="45"/>
    <s v="Тристар"/>
    <s v="Горох овощной свежий 10.01"/>
    <n v="28360"/>
    <n v="14550"/>
    <n v="13.5"/>
    <n v="13810"/>
    <n v="11945.6"/>
    <x v="2"/>
    <x v="94"/>
    <n v="1864.3999999999996"/>
    <n v="0.13500362056480808"/>
    <n v="6"/>
    <n v="12"/>
    <x v="15"/>
    <x v="0"/>
  </r>
  <r>
    <s v="Акт входного контроля 000000355 от 12.06.2025 20:02:08"/>
    <s v="высший"/>
    <n v="399"/>
    <s v="б/н"/>
    <s v="Братковский МОК АО"/>
    <s v="Сероштан Станислав Викторович"/>
    <s v="Е758РЕ"/>
    <n v="45"/>
    <n v="45"/>
    <s v="Тристар"/>
    <s v="Горох овощной свежий 10.01"/>
    <n v="28180"/>
    <n v="14660"/>
    <n v="13"/>
    <n v="13520"/>
    <n v="11762.4"/>
    <x v="2"/>
    <x v="94"/>
    <n v="1757.6000000000004"/>
    <n v="0.13000000000000003"/>
    <n v="6"/>
    <n v="12"/>
    <x v="15"/>
    <x v="0"/>
  </r>
  <r>
    <s v="Акт входного контроля 000000356 от 12.06.2025 21:19:07"/>
    <s v="первый"/>
    <n v="400"/>
    <s v="б/н"/>
    <s v="Братковский МОК АО"/>
    <s v="Пугачев Сергей Викторович"/>
    <s v="Р258УХ"/>
    <s v="А-45"/>
    <s v="А-45"/>
    <s v="Тристар"/>
    <s v="Горох овощной свежий 10.01"/>
    <n v="29060"/>
    <n v="15720"/>
    <n v="11.5"/>
    <n v="13340"/>
    <n v="11805.9"/>
    <x v="2"/>
    <x v="94"/>
    <n v="1534.1000000000004"/>
    <n v="0.11500000000000003"/>
    <n v="6"/>
    <n v="12"/>
    <x v="15"/>
    <x v="0"/>
  </r>
  <r>
    <s v="Акт входного контроля 000000357 от 12.06.2025 22:39:48"/>
    <s v="высший"/>
    <n v="401"/>
    <s v="б/н"/>
    <s v="Братковский МОК АО"/>
    <s v="Никитась Сергей Анатольевич"/>
    <s v="К570ЕО"/>
    <s v="А-45"/>
    <s v="А-45"/>
    <s v="Тристар"/>
    <s v="Горох овощной свежий 10.01"/>
    <n v="28460"/>
    <n v="15050"/>
    <n v="12"/>
    <n v="13410"/>
    <n v="11800.8"/>
    <x v="2"/>
    <x v="94"/>
    <n v="1609.2000000000007"/>
    <n v="0.12000000000000005"/>
    <n v="6"/>
    <n v="12"/>
    <x v="15"/>
    <x v="0"/>
  </r>
  <r>
    <s v="Акт входного контроля 000000358 от 12.06.2025 22:46:26"/>
    <s v="высший"/>
    <n v="402"/>
    <s v="б/н"/>
    <s v="Братковский МОК АО"/>
    <s v="Кудря Евгений"/>
    <s v="А719ОО"/>
    <s v="А-45"/>
    <s v="А-45"/>
    <s v="Тристар"/>
    <s v="Горох овощной свежий 10.01"/>
    <n v="28070"/>
    <n v="14720"/>
    <n v="12.5"/>
    <n v="13350"/>
    <n v="11681.2"/>
    <x v="2"/>
    <x v="94"/>
    <n v="1668.7999999999993"/>
    <n v="0.12500374531835201"/>
    <n v="6"/>
    <n v="12"/>
    <x v="15"/>
    <x v="0"/>
  </r>
  <r>
    <s v="Акт входного контроля 000000359 от 12.06.2025 21:39:56"/>
    <s v="высший"/>
    <n v="403"/>
    <s v="б/н"/>
    <s v="Братковский МОК АО"/>
    <s v="Емец Р.А."/>
    <s v="У315НХ"/>
    <s v="А-45"/>
    <s v="А-45"/>
    <s v="Тристар"/>
    <s v="Горох овощной свежий 10.01"/>
    <n v="28930"/>
    <n v="15520"/>
    <n v="12.5"/>
    <n v="13410"/>
    <n v="11733.7"/>
    <x v="2"/>
    <x v="94"/>
    <n v="1676.2999999999993"/>
    <n v="0.12500372856077549"/>
    <n v="6"/>
    <n v="12"/>
    <x v="15"/>
    <x v="0"/>
  </r>
  <r>
    <s v="Акт входного контроля 000000360 от 12.06.2025 21:52:30"/>
    <s v="высший"/>
    <n v="404"/>
    <s v="б/н"/>
    <s v="Братковский МОК АО"/>
    <s v="Игольницын Сергей Владимирович"/>
    <s v="В780ТТ"/>
    <s v="А-45"/>
    <s v="А-45"/>
    <s v="Тристар"/>
    <s v="Горох овощной свежий 10.01"/>
    <n v="28570"/>
    <n v="15350"/>
    <n v="9.5"/>
    <n v="13220"/>
    <n v="11964.1"/>
    <x v="2"/>
    <x v="94"/>
    <n v="1255.8999999999996"/>
    <n v="9.4999999999999973E-2"/>
    <n v="6"/>
    <n v="12"/>
    <x v="15"/>
    <x v="0"/>
  </r>
  <r>
    <s v="Акт входного контроля 000000361 от 12.06.2025 3:33:04"/>
    <s v="высший"/>
    <n v="406"/>
    <n v="26"/>
    <s v="Братковский МОК АО"/>
    <s v="Магадиев Александр Сайлаувич"/>
    <s v="У184НО"/>
    <s v="А-45"/>
    <s v="А-45"/>
    <s v="Тристар"/>
    <s v="Горох овощной свежий 10.01"/>
    <n v="27890"/>
    <n v="14420"/>
    <n v="13.5"/>
    <n v="13470"/>
    <n v="11651.5"/>
    <x v="2"/>
    <x v="94"/>
    <n v="1818.5"/>
    <n v="0.135003711952487"/>
    <n v="6"/>
    <n v="12"/>
    <x v="15"/>
    <x v="0"/>
  </r>
  <r>
    <s v="Акт входного контроля 000000362 от 12.06.2025 5:04:49"/>
    <s v="высший"/>
    <n v="408"/>
    <s v="б/н"/>
    <s v="Братковский МОК АО"/>
    <s v="Извеков Владимир Владимирович"/>
    <s v="Н378ХЕ"/>
    <s v="А-45"/>
    <s v="А-45"/>
    <s v="Тристар"/>
    <s v="Горох овощной свежий 10.01"/>
    <n v="23210"/>
    <n v="15130"/>
    <n v="21"/>
    <n v="8080"/>
    <n v="6383.2"/>
    <x v="2"/>
    <x v="94"/>
    <n v="1696.8000000000002"/>
    <n v="0.21000000000000002"/>
    <n v="6"/>
    <n v="12"/>
    <x v="15"/>
    <x v="0"/>
  </r>
  <r>
    <s v="Акт входного контроля 000000363 от 13.06.2025 5:28:16"/>
    <s v="высший"/>
    <n v="407"/>
    <n v="28"/>
    <s v="Братковский МОК АО"/>
    <s v="Жданов Андрей Иванович"/>
    <s v="С707ОУ"/>
    <s v="А-43"/>
    <s v="А-43"/>
    <s v="Фаворит"/>
    <s v="Горох овощной свежий 10.01"/>
    <n v="27530"/>
    <n v="14450"/>
    <n v="17"/>
    <n v="13080"/>
    <n v="10856.4"/>
    <x v="2"/>
    <x v="95"/>
    <n v="2223.6000000000004"/>
    <n v="0.17000000000000004"/>
    <n v="6"/>
    <n v="13"/>
    <x v="52"/>
    <x v="0"/>
  </r>
  <r>
    <s v="Акт входного контроля 000000364 от 13.06.2025 6:42:38"/>
    <s v="высший"/>
    <n v="409"/>
    <n v="29"/>
    <s v="Братковский МОК АО"/>
    <s v="Гужва А М."/>
    <s v="Т285ВЕ"/>
    <s v="А-43"/>
    <s v="А-43"/>
    <s v="Фаворит"/>
    <s v="Горох овощной свежий 10.01"/>
    <n v="28900"/>
    <n v="14890"/>
    <n v="13.5"/>
    <n v="14010"/>
    <n v="12118.6"/>
    <x v="2"/>
    <x v="95"/>
    <n v="1891.3999999999996"/>
    <n v="0.13500356887937184"/>
    <n v="6"/>
    <n v="13"/>
    <x v="52"/>
    <x v="0"/>
  </r>
  <r>
    <s v="Акт входного контроля 000000365 от 12.06.2025 7:47:38"/>
    <s v="высший"/>
    <n v="405"/>
    <s v="б/н"/>
    <s v="Братковский МОК АО"/>
    <s v="Извеков Владимир Владимирович"/>
    <s v="Н378ХЕ"/>
    <s v="А-43"/>
    <s v="А-43"/>
    <s v="Фаворит"/>
    <s v="Горох овощной свежий 10.01"/>
    <n v="29840"/>
    <n v="23210"/>
    <n v="14.5"/>
    <n v="6630"/>
    <n v="5668.6"/>
    <x v="2"/>
    <x v="94"/>
    <n v="961.39999999999964"/>
    <n v="0.14500754147812966"/>
    <n v="6"/>
    <n v="12"/>
    <x v="15"/>
    <x v="0"/>
  </r>
  <r>
    <s v="Акт входного контроля 000000366 от 13.06.2025 10:32:29"/>
    <s v="высший"/>
    <n v="410"/>
    <n v="30"/>
    <s v="Братковский МОК АО"/>
    <s v="Мудрак Вадим Васильевич"/>
    <s v="Х514ОК"/>
    <s v="А-43"/>
    <s v="А-43"/>
    <s v="Тристар"/>
    <s v="Горох овощной свежий 10.01"/>
    <n v="36780"/>
    <n v="20960"/>
    <n v="14.8"/>
    <n v="15820"/>
    <n v="13482.7"/>
    <x v="2"/>
    <x v="95"/>
    <n v="2337.2999999999993"/>
    <n v="0.14774336283185835"/>
    <n v="6"/>
    <n v="13"/>
    <x v="52"/>
    <x v="0"/>
  </r>
  <r>
    <s v="Акт входного контроля 000000367 от 13.06.2025 10:34:27"/>
    <s v="высший"/>
    <n v="411"/>
    <n v="31"/>
    <s v="Братковский МОК АО"/>
    <s v="Погуляй А.Б.       "/>
    <s v="О824ТХ"/>
    <s v="А-46"/>
    <s v="А-46"/>
    <s v="Тристар"/>
    <s v="Горох овощной свежий 10.01"/>
    <n v="34890"/>
    <n v="18650"/>
    <n v="9.5"/>
    <n v="16240"/>
    <n v="14697.2"/>
    <x v="2"/>
    <x v="95"/>
    <n v="1542.7999999999993"/>
    <n v="9.4999999999999959E-2"/>
    <n v="6"/>
    <n v="13"/>
    <x v="52"/>
    <x v="0"/>
  </r>
  <r>
    <s v="Акт входного контроля 000000368 от 13.06.2025 12:24:13"/>
    <s v="высший"/>
    <n v="414"/>
    <n v="32"/>
    <s v="Братковский МОК АО"/>
    <s v="Кулик О В"/>
    <s v="К403ЕМ"/>
    <s v="А-46"/>
    <s v="А-46"/>
    <s v="Тристар"/>
    <s v="Горох овощной свежий 10.01"/>
    <n v="28220"/>
    <n v="14820"/>
    <n v="12.5"/>
    <n v="13400"/>
    <n v="11725"/>
    <x v="2"/>
    <x v="95"/>
    <n v="1675"/>
    <n v="0.125"/>
    <n v="6"/>
    <n v="13"/>
    <x v="52"/>
    <x v="0"/>
  </r>
  <r>
    <s v="Акт входного контроля 000000369 от 13.06.2025 12:52:17"/>
    <s v="высший"/>
    <n v="415"/>
    <n v="34"/>
    <s v="Братковский МОК АО"/>
    <s v="Егоян Артем Владимирович"/>
    <s v="А701СН"/>
    <s v="А-46"/>
    <s v="А-46"/>
    <s v="Тристар"/>
    <s v="Горох овощной свежий 10.01"/>
    <n v="28150"/>
    <n v="14910"/>
    <n v="8.5"/>
    <n v="13240"/>
    <n v="12114.6"/>
    <x v="2"/>
    <x v="95"/>
    <n v="1125.3999999999996"/>
    <n v="8.4999999999999978E-2"/>
    <n v="6"/>
    <n v="13"/>
    <x v="52"/>
    <x v="0"/>
  </r>
  <r>
    <s v="Акт входного контроля 000000370 от 13.06.2025 14:18:46"/>
    <s v="высший"/>
    <n v="418"/>
    <n v="33"/>
    <s v="Братковский МОК АО"/>
    <s v="Мудрак Игорь Вадимович"/>
    <s v="С198УЕ"/>
    <s v="А-46"/>
    <s v="А-46"/>
    <s v="Тристар"/>
    <s v="Горох овощной свежий 10.01"/>
    <n v="37170"/>
    <n v="23840"/>
    <n v="13.5"/>
    <n v="13330"/>
    <n v="11530.4"/>
    <x v="2"/>
    <x v="95"/>
    <n v="1799.6000000000004"/>
    <n v="0.13500375093773445"/>
    <n v="6"/>
    <n v="13"/>
    <x v="52"/>
    <x v="0"/>
  </r>
  <r>
    <s v="Акт входного контроля 000000371 от 13.06.2025 15:27:42"/>
    <s v="высший"/>
    <n v="420"/>
    <s v="б/н"/>
    <s v="Агролидер ООО"/>
    <s v="Роговской Роман Алексеевич"/>
    <s v="Т945РВ"/>
    <n v="16"/>
    <n v="16"/>
    <s v="Тристар"/>
    <s v="Горох овощной свежий 10.01"/>
    <n v="8910"/>
    <n v="4610"/>
    <n v="27.5"/>
    <n v="4300"/>
    <n v="3117.5"/>
    <x v="2"/>
    <x v="95"/>
    <n v="1182.5"/>
    <n v="0.27500000000000002"/>
    <n v="6"/>
    <n v="13"/>
    <x v="52"/>
    <x v="0"/>
  </r>
  <r>
    <s v="Акт входного контроля 000000372 от 13.06.2025 15:29:38"/>
    <s v="высший"/>
    <n v="421"/>
    <n v="35"/>
    <s v="Братковский МОК АО"/>
    <s v="Богучарский А. И."/>
    <s v="Е404УС"/>
    <s v="А-46"/>
    <s v="А-46"/>
    <s v="Тристар"/>
    <s v="Горох овощной свежий 10.01"/>
    <n v="28520"/>
    <n v="13780"/>
    <n v="23.5"/>
    <n v="14740"/>
    <n v="11276.1"/>
    <x v="2"/>
    <x v="95"/>
    <n v="3463.8999999999996"/>
    <n v="0.23499999999999999"/>
    <n v="6"/>
    <n v="13"/>
    <x v="52"/>
    <x v="0"/>
  </r>
  <r>
    <s v="Акт входного контроля 000000373 от 13.06.2025 18:05:32"/>
    <s v="высший"/>
    <n v="422"/>
    <s v="б/н"/>
    <s v="Агролидер ООО"/>
    <s v="Сайко Владимир Николаевич"/>
    <s v="Т919РВ"/>
    <n v="16"/>
    <n v="16"/>
    <s v="Тристар"/>
    <s v="Горох овощной свежий 10.01"/>
    <n v="8780"/>
    <n v="4590"/>
    <n v="17.5"/>
    <n v="4190"/>
    <n v="3456.7"/>
    <x v="2"/>
    <x v="95"/>
    <n v="733.30000000000018"/>
    <n v="0.17501193317422439"/>
    <n v="6"/>
    <n v="13"/>
    <x v="52"/>
    <x v="0"/>
  </r>
  <r>
    <s v="Акт входного контроля 000000374 от 13.06.2025 18:07:44"/>
    <s v="высший"/>
    <n v="423"/>
    <n v="36"/>
    <s v="Братковский МОК АО"/>
    <s v="Лазаренко Вятчеслав Владимирович"/>
    <s v="Т239УС"/>
    <s v="А-46"/>
    <s v="А-46"/>
    <s v="Тристар"/>
    <s v="Горох овощной свежий 10.01"/>
    <n v="28660"/>
    <n v="14850"/>
    <n v="20.5"/>
    <n v="13810"/>
    <n v="10978.9"/>
    <x v="2"/>
    <x v="95"/>
    <n v="2831.1000000000004"/>
    <n v="0.20500362056480814"/>
    <n v="6"/>
    <n v="13"/>
    <x v="52"/>
    <x v="0"/>
  </r>
  <r>
    <s v="Акт входного контроля 000000375 от 13.06.2025 18:25:47"/>
    <s v="высший"/>
    <n v="424"/>
    <n v="37"/>
    <s v="Братковский МОК АО"/>
    <s v="Огнев Максим Викторович"/>
    <s v="Р755НН"/>
    <s v="А-43"/>
    <s v="А-43"/>
    <s v="Тристар"/>
    <s v="Горох овощной свежий 10.01"/>
    <n v="28160"/>
    <n v="14620"/>
    <n v="13.5"/>
    <n v="13540"/>
    <n v="11712.1"/>
    <x v="2"/>
    <x v="95"/>
    <n v="1827.8999999999996"/>
    <n v="0.13499999999999998"/>
    <n v="6"/>
    <n v="13"/>
    <x v="52"/>
    <x v="0"/>
  </r>
  <r>
    <s v="Акт входного контроля 000000376 от 13.06.2025 20:24:26"/>
    <s v="высший"/>
    <n v="426"/>
    <s v="б/н"/>
    <s v="Агролидер ООО"/>
    <s v="Роговской Роман Алексеевич"/>
    <s v="Т945РВ"/>
    <n v="16"/>
    <n v="16"/>
    <s v="Тристар"/>
    <s v="Горох овощной свежий 10.01"/>
    <n v="9430"/>
    <n v="4590"/>
    <n v="20.5"/>
    <n v="4840"/>
    <n v="3847.8"/>
    <x v="2"/>
    <x v="95"/>
    <n v="992.19999999999982"/>
    <n v="0.20499999999999996"/>
    <n v="6"/>
    <n v="13"/>
    <x v="52"/>
    <x v="0"/>
  </r>
  <r>
    <s v="Акт входного контроля 000000377 от 13.06.2025 21:42:50"/>
    <s v="высший"/>
    <n v="425"/>
    <n v="38"/>
    <s v="Братковский МОК АО"/>
    <s v="Черевко Александр Владимирович"/>
    <s v="А114МК"/>
    <s v="А-46"/>
    <s v="А-46"/>
    <s v="Тристар"/>
    <s v="Горох овощной свежий 10.01"/>
    <n v="28330"/>
    <n v="14590"/>
    <n v="10.5"/>
    <n v="13740"/>
    <n v="12297.3"/>
    <x v="2"/>
    <x v="95"/>
    <n v="1442.7000000000007"/>
    <n v="0.10500000000000005"/>
    <n v="6"/>
    <n v="13"/>
    <x v="52"/>
    <x v="0"/>
  </r>
  <r>
    <s v="Акт входного контроля 000000378 от 13.06.2025 22:04:27"/>
    <s v="высший"/>
    <n v="427"/>
    <s v="б/н"/>
    <s v="Агролидер ООО"/>
    <s v="Сайко Владимир Николаевич"/>
    <s v="Т919РВ"/>
    <n v="16"/>
    <n v="16"/>
    <s v="Тристар"/>
    <s v="Горох овощной свежий 10.01"/>
    <n v="9160"/>
    <n v="4560"/>
    <n v="18.5"/>
    <n v="4600"/>
    <n v="3749"/>
    <x v="2"/>
    <x v="95"/>
    <n v="851"/>
    <n v="0.185"/>
    <n v="6"/>
    <n v="13"/>
    <x v="52"/>
    <x v="0"/>
  </r>
  <r>
    <s v="Акт входного контроля 000000379 от 13.06.2025 23:45:57"/>
    <s v="первый"/>
    <n v="428"/>
    <n v="40"/>
    <s v="Братковский МОК АО"/>
    <s v="Никитась Сергей Анатольевич"/>
    <s v="К570ЕО"/>
    <s v="А-46"/>
    <s v="А-46"/>
    <s v="Тристар"/>
    <s v="Горох овощной свежий 10.01"/>
    <n v="28610"/>
    <n v="14940"/>
    <n v="9"/>
    <n v="13670"/>
    <n v="12439.7"/>
    <x v="2"/>
    <x v="95"/>
    <n v="1230.2999999999993"/>
    <n v="8.9999999999999941E-2"/>
    <n v="6"/>
    <n v="13"/>
    <x v="52"/>
    <x v="0"/>
  </r>
  <r>
    <s v="Акт входного контроля 000000380 от 13.06.2025 23:11:17"/>
    <s v="высший"/>
    <n v="430"/>
    <n v="41"/>
    <s v="Братковский МОК АО"/>
    <s v="Кудря Евгений"/>
    <s v="А719ОО"/>
    <s v="А-46"/>
    <s v="А-46"/>
    <s v="Тристар"/>
    <s v="Горох овощной свежий 10.01"/>
    <n v="28710"/>
    <n v="14780"/>
    <n v="20"/>
    <n v="13930"/>
    <n v="11144"/>
    <x v="2"/>
    <x v="95"/>
    <n v="2786"/>
    <n v="0.2"/>
    <n v="6"/>
    <n v="13"/>
    <x v="52"/>
    <x v="0"/>
  </r>
  <r>
    <s v="Акт входного контроля 000000381 от 14.06.2025 1:17:22"/>
    <s v="высший"/>
    <n v="431"/>
    <s v="б/н"/>
    <s v="Агролидер ООО"/>
    <s v="Роговской Роман Алексеевич"/>
    <s v="Т945РВ"/>
    <n v="16"/>
    <n v="16"/>
    <s v="Тристар"/>
    <s v="Горох овощной свежий 10.01"/>
    <n v="8810"/>
    <n v="4590"/>
    <n v="20.5"/>
    <n v="4220"/>
    <n v="3354.9"/>
    <x v="2"/>
    <x v="96"/>
    <n v="865.09999999999991"/>
    <n v="0.20499999999999999"/>
    <n v="6"/>
    <n v="14"/>
    <x v="16"/>
    <x v="0"/>
  </r>
  <r>
    <s v="Акт входного контроля 000000382 от 13.06.2025 22:25:11"/>
    <s v="первый"/>
    <n v="429"/>
    <n v="39"/>
    <s v="Братковский МОК АО"/>
    <s v="Пугачев Сергей Викторович"/>
    <s v="Р258УХ"/>
    <s v="А-46"/>
    <s v="А-46"/>
    <s v="Тристар"/>
    <s v="Горох овощной свежий 10.01"/>
    <n v="29140"/>
    <n v="15600"/>
    <n v="9"/>
    <n v="13540"/>
    <n v="12321.4"/>
    <x v="2"/>
    <x v="95"/>
    <n v="1218.6000000000004"/>
    <n v="9.0000000000000024E-2"/>
    <n v="6"/>
    <n v="13"/>
    <x v="52"/>
    <x v="0"/>
  </r>
  <r>
    <s v="Акт входного контроля 000000383 от 14.06.2025 4:41:23"/>
    <s v="высший"/>
    <n v="432"/>
    <n v="42"/>
    <s v="Братковский МОК АО"/>
    <s v="Сероштан Станислав Викторович"/>
    <s v="Е758РЕ"/>
    <s v="А-46"/>
    <s v="А-46"/>
    <s v="Тристар"/>
    <s v="Горох овощной свежий 10.01"/>
    <n v="28150"/>
    <n v="14560"/>
    <n v="17.5"/>
    <n v="13590"/>
    <n v="11211.7"/>
    <x v="2"/>
    <x v="96"/>
    <n v="2378.2999999999993"/>
    <n v="0.17500367917586454"/>
    <n v="6"/>
    <n v="14"/>
    <x v="16"/>
    <x v="0"/>
  </r>
  <r>
    <s v="Акт входного контроля 000000384 от 14.06.2025 5:31:04"/>
    <s v="высший"/>
    <n v="433"/>
    <s v="б/н"/>
    <s v="Братковский МОК АО"/>
    <s v="Емец Р.А."/>
    <s v="У315НХ"/>
    <s v="А-45"/>
    <s v="А-45"/>
    <s v="Тристар"/>
    <s v="Горох овощной свежий 10.01"/>
    <n v="28620"/>
    <n v="15420"/>
    <n v="19.5"/>
    <n v="13200"/>
    <n v="10626"/>
    <x v="2"/>
    <x v="96"/>
    <n v="2574"/>
    <n v="0.19500000000000001"/>
    <n v="6"/>
    <n v="14"/>
    <x v="16"/>
    <x v="0"/>
  </r>
  <r>
    <s v="Акт входного контроля 000000385 от 14.06.2025 5:59:02"/>
    <s v="первый"/>
    <n v="434"/>
    <s v="б/н"/>
    <s v="Братковский МОК АО"/>
    <s v="Ревенко Андрей Вячеславович"/>
    <s v="А781РР"/>
    <n v="43"/>
    <n v="43"/>
    <s v="Вольф"/>
    <s v="Горох овощной свежий 10.01"/>
    <n v="27970"/>
    <n v="14950"/>
    <n v="14.5"/>
    <n v="13020"/>
    <n v="11132.1"/>
    <x v="2"/>
    <x v="96"/>
    <n v="1887.8999999999996"/>
    <n v="0.14499999999999996"/>
    <n v="6"/>
    <n v="14"/>
    <x v="16"/>
    <x v="0"/>
  </r>
  <r>
    <s v="Акт входного контроля 000000386 от 14.06.2025 9:45:55"/>
    <s v="первый"/>
    <n v="440"/>
    <s v="н/б"/>
    <s v="Братковский МОК АО"/>
    <s v="Мудрак Вадим Васильевич"/>
    <s v="Х514ОК"/>
    <n v="43"/>
    <n v="43"/>
    <s v="Вольф"/>
    <s v="Горох овощной свежий 10.01"/>
    <n v="27650"/>
    <n v="21060"/>
    <n v="6.5"/>
    <n v="6590"/>
    <n v="6161.6"/>
    <x v="2"/>
    <x v="96"/>
    <n v="428.39999999999964"/>
    <n v="6.5007587253414212E-2"/>
    <n v="6"/>
    <n v="14"/>
    <x v="16"/>
    <x v="0"/>
  </r>
  <r>
    <s v="Акт входного контроля 000000387 от 14.06.2025 10:59:40"/>
    <s v="первый"/>
    <n v="435"/>
    <s v="б/н"/>
    <s v="Братковский МОК АО"/>
    <s v="Погуляй А.Б.       "/>
    <s v="О824ТХ"/>
    <n v="43"/>
    <n v="43"/>
    <s v="Вольф"/>
    <s v="Горох овощной свежий 10.01"/>
    <n v="31950"/>
    <n v="18710"/>
    <n v="9.5"/>
    <n v="13240"/>
    <n v="11982.2"/>
    <x v="2"/>
    <x v="96"/>
    <n v="1257.7999999999993"/>
    <n v="9.4999999999999946E-2"/>
    <n v="6"/>
    <n v="14"/>
    <x v="16"/>
    <x v="0"/>
  </r>
  <r>
    <s v="Акт входного контроля 000000388 от 14.06.2025 12:09:42"/>
    <s v="первый"/>
    <n v="436"/>
    <s v="б/н"/>
    <s v="Братковский МОК АО"/>
    <s v="Бербеницкий Сергей Николаевич"/>
    <s v="С400РР"/>
    <n v="43"/>
    <n v="43"/>
    <s v="Вольф"/>
    <s v="Горох овощной свежий 10.01"/>
    <n v="28170"/>
    <n v="14970"/>
    <n v="6.5"/>
    <n v="13200"/>
    <n v="12342"/>
    <x v="2"/>
    <x v="96"/>
    <n v="858"/>
    <n v="6.5000000000000002E-2"/>
    <n v="6"/>
    <n v="14"/>
    <x v="16"/>
    <x v="0"/>
  </r>
  <r>
    <s v="Акт входного контроля 000000389 от 14.06.2025 12:21:57"/>
    <s v="первый"/>
    <n v="438"/>
    <s v="б/н"/>
    <s v="Братковский МОК АО"/>
    <s v="Мудрак Игорь Вадимович"/>
    <s v="С198УЕ"/>
    <n v="43"/>
    <n v="43"/>
    <s v="Вольф"/>
    <s v="Горох овощной свежий 10.01"/>
    <n v="37310"/>
    <n v="24000"/>
    <n v="6.5"/>
    <n v="13310"/>
    <n v="12444.8"/>
    <x v="2"/>
    <x v="96"/>
    <n v="865.20000000000073"/>
    <n v="6.5003756574004562E-2"/>
    <n v="6"/>
    <n v="14"/>
    <x v="16"/>
    <x v="0"/>
  </r>
  <r>
    <s v="Акт входного контроля 000000390 от 14.06.2025 7:47:52"/>
    <s v="высший"/>
    <n v="437"/>
    <s v="н/б"/>
    <s v="Братковский МОК АО"/>
    <s v="Мудрак Вадим Васильевич"/>
    <s v="Х514ОК"/>
    <n v="46"/>
    <n v="46"/>
    <s v="Тристар"/>
    <s v="Горох овощной свежий 10.01"/>
    <n v="34940"/>
    <n v="27670"/>
    <n v="18.5"/>
    <n v="7270"/>
    <n v="5925"/>
    <x v="2"/>
    <x v="96"/>
    <n v="1345"/>
    <n v="0.18500687757909215"/>
    <n v="6"/>
    <n v="14"/>
    <x v="16"/>
    <x v="0"/>
  </r>
  <r>
    <s v="Акт входного контроля 000000391 от 14.06.2025 11:31:37"/>
    <s v="первый"/>
    <n v="441"/>
    <s v="б/н"/>
    <s v="Братковский МОК АО"/>
    <s v="Егоян Артем Владимирович"/>
    <s v="А701СН"/>
    <n v="44"/>
    <n v="44"/>
    <s v="Вольф"/>
    <s v="Горох овощной свежий 10.01"/>
    <n v="28140"/>
    <n v="14940"/>
    <n v="10.5"/>
    <n v="13200"/>
    <n v="11814"/>
    <x v="2"/>
    <x v="96"/>
    <n v="1386"/>
    <n v="0.105"/>
    <n v="6"/>
    <n v="14"/>
    <x v="16"/>
    <x v="0"/>
  </r>
  <r>
    <s v="Акт входного контроля 000000392 от 14.06.2025 15:41:44"/>
    <s v="высший"/>
    <n v="443"/>
    <s v="б/н"/>
    <s v="Агролидер ООО"/>
    <s v="Сайко Владимир Николаевич"/>
    <s v="Т919РВ"/>
    <n v="16"/>
    <n v="16"/>
    <s v="Тристар"/>
    <s v="Горох овощной свежий 10.01"/>
    <n v="9100"/>
    <n v="4590"/>
    <n v="18.5"/>
    <n v="4510"/>
    <n v="3675.6"/>
    <x v="2"/>
    <x v="96"/>
    <n v="834.40000000000009"/>
    <n v="0.18501108647450112"/>
    <n v="6"/>
    <n v="14"/>
    <x v="16"/>
    <x v="0"/>
  </r>
  <r>
    <s v="Акт входного контроля 000000393 от 14.06.2025 15:54:23"/>
    <s v="первый"/>
    <n v="444"/>
    <s v="б/н"/>
    <s v="Братковский МОК АО"/>
    <s v="Богучарский А. И."/>
    <s v="Е404УС"/>
    <n v="44"/>
    <n v="44"/>
    <s v="Вольф"/>
    <s v="Горох овощной свежий 10.01"/>
    <n v="27130"/>
    <n v="13770"/>
    <n v="12"/>
    <n v="13360"/>
    <n v="11756.8"/>
    <x v="2"/>
    <x v="96"/>
    <n v="1603.2000000000007"/>
    <n v="0.12000000000000005"/>
    <n v="6"/>
    <n v="14"/>
    <x v="16"/>
    <x v="0"/>
  </r>
  <r>
    <s v="Акт входного контроля 000000394 от 14.06.2025 16:11:03"/>
    <s v="первый"/>
    <n v="445"/>
    <s v="б/н"/>
    <s v="Братковский МОК АО"/>
    <s v="Кулик О В"/>
    <s v="К403ЕМ"/>
    <n v="43"/>
    <n v="43"/>
    <s v="Вольф"/>
    <s v="Горох овощной свежий 10.01"/>
    <n v="28050"/>
    <n v="14730"/>
    <n v="11"/>
    <n v="13320"/>
    <n v="11854.8"/>
    <x v="2"/>
    <x v="96"/>
    <n v="1465.2000000000007"/>
    <n v="0.11000000000000006"/>
    <n v="6"/>
    <n v="14"/>
    <x v="16"/>
    <x v="0"/>
  </r>
  <r>
    <s v="Акт входного контроля 000000395 от 14.06.2025 17:56:37"/>
    <s v="первый"/>
    <n v="447"/>
    <s v="б/н"/>
    <s v="Братковский МОК АО"/>
    <s v="Огнев Максим Викторович"/>
    <s v="Р755НН"/>
    <n v="43"/>
    <n v="43"/>
    <s v="Вольф"/>
    <s v="Горох овощной свежий 10.01"/>
    <n v="27780"/>
    <n v="14570"/>
    <n v="9"/>
    <n v="13210"/>
    <n v="12021.1"/>
    <x v="2"/>
    <x v="96"/>
    <n v="1188.8999999999996"/>
    <n v="8.9999999999999969E-2"/>
    <n v="6"/>
    <n v="14"/>
    <x v="16"/>
    <x v="0"/>
  </r>
  <r>
    <s v="Акт входного контроля 000000396 от 14.06.2025 18:54:15"/>
    <s v="высший"/>
    <n v="446"/>
    <s v="б/н"/>
    <s v="Братковский МОК АО"/>
    <s v="Лазаренко Вятчеслав Владимирович"/>
    <s v="Т239УС"/>
    <n v="43"/>
    <n v="43"/>
    <s v="Вольф"/>
    <s v="Горох овощной свежий 10.01"/>
    <n v="27970"/>
    <n v="14760"/>
    <n v="11.5"/>
    <n v="13210"/>
    <n v="11690.8"/>
    <x v="2"/>
    <x v="96"/>
    <n v="1519.2000000000007"/>
    <n v="0.11500378501135509"/>
    <n v="6"/>
    <n v="14"/>
    <x v="16"/>
    <x v="0"/>
  </r>
  <r>
    <s v="Акт входного контроля 000000397 от 14.06.2025 21:15:10"/>
    <s v="первый"/>
    <n v="448"/>
    <s v="б/н"/>
    <s v="Братковский МОК АО"/>
    <s v="Черевко Александр Владимирович"/>
    <s v="А114МК"/>
    <n v="43"/>
    <n v="43"/>
    <s v="Вольф"/>
    <s v="Горох овощной свежий 10.01"/>
    <n v="27860"/>
    <n v="14590"/>
    <n v="14.5"/>
    <n v="13270"/>
    <n v="11345.8"/>
    <x v="2"/>
    <x v="96"/>
    <n v="1924.2000000000007"/>
    <n v="0.14500376789751324"/>
    <n v="6"/>
    <n v="14"/>
    <x v="16"/>
    <x v="0"/>
  </r>
  <r>
    <s v="Акт входного контроля 000000398 от 14.06.2025 21:26:30"/>
    <s v="высший"/>
    <n v="449"/>
    <s v="б/н"/>
    <s v="Братковский МОК АО"/>
    <s v="Кудря Евгений"/>
    <s v="А719ОО"/>
    <n v="43"/>
    <n v="43"/>
    <s v="Вольф"/>
    <s v="Горох овощной свежий 10.01"/>
    <n v="28040"/>
    <n v="14690"/>
    <n v="19.5"/>
    <n v="13350"/>
    <n v="10746.7"/>
    <x v="2"/>
    <x v="96"/>
    <n v="2603.2999999999993"/>
    <n v="0.19500374531835202"/>
    <n v="6"/>
    <n v="14"/>
    <x v="16"/>
    <x v="0"/>
  </r>
  <r>
    <s v="Акт входного контроля 000000399 от 14.06.2025 21:41:14"/>
    <s v="первый"/>
    <n v="450"/>
    <s v="б/н"/>
    <s v="Братковский МОК АО"/>
    <s v="Никитась Сергей Анатольевич"/>
    <s v="К570ЕО"/>
    <n v="43"/>
    <n v="43"/>
    <s v="Вольф"/>
    <s v="Горох овощной свежий 10.01"/>
    <n v="28180"/>
    <n v="14860"/>
    <n v="11"/>
    <n v="13320"/>
    <n v="11854.8"/>
    <x v="2"/>
    <x v="96"/>
    <n v="1465.2000000000007"/>
    <n v="0.11000000000000006"/>
    <n v="6"/>
    <n v="14"/>
    <x v="16"/>
    <x v="0"/>
  </r>
  <r>
    <s v="Акт входного контроля 000000400 от 14.06.2025 23:21:55"/>
    <s v="высший"/>
    <n v="451"/>
    <s v="б/н"/>
    <s v="Братковский МОК АО"/>
    <s v="Пугачев Сергей Викторович"/>
    <s v="Р258УХ"/>
    <n v="44"/>
    <n v="44"/>
    <s v="Вольф"/>
    <s v="Горох овощной свежий 10.01"/>
    <n v="29070"/>
    <n v="15520"/>
    <n v="10"/>
    <n v="13550"/>
    <n v="12195"/>
    <x v="2"/>
    <x v="96"/>
    <n v="1355"/>
    <n v="0.1"/>
    <n v="6"/>
    <n v="14"/>
    <x v="16"/>
    <x v="0"/>
  </r>
  <r>
    <s v="Акт входного контроля 000000401 от 14.06.2025 19:50:19"/>
    <s v="первый"/>
    <n v="452"/>
    <s v="б/н"/>
    <s v="Братковский МОК АО"/>
    <s v="Магадиев Александр Сайлаувич"/>
    <s v="У184НО"/>
    <n v="43"/>
    <n v="43"/>
    <s v="Вольф"/>
    <s v="Горох овощной свежий 10.01"/>
    <n v="27420"/>
    <n v="14420"/>
    <n v="14"/>
    <n v="13000"/>
    <n v="11180"/>
    <x v="2"/>
    <x v="96"/>
    <n v="1820"/>
    <n v="0.14000000000000001"/>
    <n v="6"/>
    <n v="14"/>
    <x v="16"/>
    <x v="0"/>
  </r>
  <r>
    <s v="Акт входного контроля 000000402 от 14.06.2025 20:37:22"/>
    <s v="первый"/>
    <n v="453"/>
    <s v="б/н"/>
    <s v="Братковский МОК АО"/>
    <s v="Ревенко Андрей Вячеславович"/>
    <s v="А781РР"/>
    <n v="44"/>
    <n v="44"/>
    <s v="Вольф"/>
    <s v="Горох овощной свежий 10.01"/>
    <n v="28390"/>
    <n v="14890"/>
    <n v="10"/>
    <n v="13500"/>
    <n v="12150"/>
    <x v="2"/>
    <x v="96"/>
    <n v="1350"/>
    <n v="0.1"/>
    <n v="6"/>
    <n v="14"/>
    <x v="16"/>
    <x v="0"/>
  </r>
  <r>
    <s v="Акт входного контроля 000000403 от 14.06.2025 21:56:11"/>
    <s v="первый"/>
    <n v="454"/>
    <s v="б/н"/>
    <s v="Братковский МОК АО"/>
    <s v="Сероштан Станислав Викторович"/>
    <s v="Е758РЕ"/>
    <n v="43"/>
    <n v="43"/>
    <s v="Вольф"/>
    <s v="Горох овощной свежий 10.01"/>
    <n v="27550"/>
    <n v="14700"/>
    <n v="9"/>
    <n v="12850"/>
    <n v="11693.5"/>
    <x v="2"/>
    <x v="96"/>
    <n v="1156.5"/>
    <n v="0.09"/>
    <n v="6"/>
    <n v="14"/>
    <x v="16"/>
    <x v="0"/>
  </r>
  <r>
    <s v="Акт входного контроля 000000404 от 14.06.2025 22:30:21"/>
    <s v="первый"/>
    <n v="455"/>
    <s v="б/н"/>
    <s v="Братковский МОК АО"/>
    <s v="Погуляй А.Б.       "/>
    <s v="О824ТХ"/>
    <n v="44"/>
    <n v="44"/>
    <s v="Вольф"/>
    <s v="Горох овощной свежий 10.01"/>
    <n v="32500"/>
    <n v="18650"/>
    <n v="10.5"/>
    <n v="13850"/>
    <n v="12395.7"/>
    <x v="2"/>
    <x v="96"/>
    <n v="1454.2999999999993"/>
    <n v="0.1050036101083032"/>
    <n v="6"/>
    <n v="14"/>
    <x v="16"/>
    <x v="0"/>
  </r>
  <r>
    <s v="Акт входного контроля 000000405 от 15.06.2025 5:20:11"/>
    <s v="первый"/>
    <n v="457"/>
    <s v="б/н"/>
    <s v="Братковский МОК АО"/>
    <s v="Бербеницкий Сергей Николаевич"/>
    <s v="С400РР"/>
    <n v="44"/>
    <n v="44"/>
    <s v="Вольф"/>
    <s v="Горох овощной свежий 10.01"/>
    <n v="28590"/>
    <n v="14990"/>
    <n v="12.5"/>
    <n v="13600"/>
    <n v="11900"/>
    <x v="2"/>
    <x v="97"/>
    <n v="1700"/>
    <n v="0.125"/>
    <n v="6"/>
    <n v="15"/>
    <x v="17"/>
    <x v="0"/>
  </r>
  <r>
    <s v="Акт входного контроля 000000406 от 14.06.2025 23:49:46"/>
    <s v="первый"/>
    <n v="456"/>
    <s v="б/н"/>
    <s v="Братковский МОК АО"/>
    <s v="Емец Р.А."/>
    <s v="У315НХ"/>
    <n v="43"/>
    <n v="43"/>
    <s v="Вольф"/>
    <s v="Горох овощной свежий 10.01"/>
    <n v="28720"/>
    <n v="15620"/>
    <n v="13.5"/>
    <n v="13100"/>
    <n v="11331.5"/>
    <x v="2"/>
    <x v="96"/>
    <n v="1768.5"/>
    <n v="0.13500000000000001"/>
    <n v="6"/>
    <n v="14"/>
    <x v="16"/>
    <x v="0"/>
  </r>
  <r>
    <s v="Акт входного контроля 000000407 от 15.06.2025 9:13:18"/>
    <s v="первый"/>
    <n v="458"/>
    <s v="б/н"/>
    <s v="Братковский МОК АО"/>
    <s v="Титаренко Максим Сергеевич"/>
    <s v="О398ХО"/>
    <n v="43"/>
    <n v="43"/>
    <s v="Вольф"/>
    <s v="Горох овощной свежий 10.01"/>
    <n v="27660"/>
    <n v="14660"/>
    <n v="11"/>
    <n v="13000"/>
    <n v="11570"/>
    <x v="2"/>
    <x v="97"/>
    <n v="1430"/>
    <n v="0.11"/>
    <n v="6"/>
    <n v="15"/>
    <x v="17"/>
    <x v="0"/>
  </r>
  <r>
    <s v="Акт входного контроля 000000408 от 15.06.2025 13:21:10"/>
    <s v="первый"/>
    <n v="459"/>
    <s v="б/н"/>
    <s v="Братковский МОК АО"/>
    <s v="Мудрак Игорь Вадимович"/>
    <s v="С198УЕ"/>
    <n v="44"/>
    <n v="44"/>
    <s v="Вольф"/>
    <s v="Горох овощной свежий 10.01"/>
    <n v="37400"/>
    <n v="23890"/>
    <n v="8.5"/>
    <n v="13510"/>
    <n v="12361.6"/>
    <x v="2"/>
    <x v="97"/>
    <n v="1148.3999999999996"/>
    <n v="8.5003700962250156E-2"/>
    <n v="6"/>
    <n v="15"/>
    <x v="17"/>
    <x v="0"/>
  </r>
  <r>
    <s v="Акт входного контроля 000000409 от 15.06.2025 13:23:37"/>
    <s v="первый"/>
    <n v="460"/>
    <s v="б/н"/>
    <s v="Братковский МОК АО"/>
    <s v="Егоян Артем Владимирович"/>
    <s v="А701СН"/>
    <n v="43"/>
    <n v="43"/>
    <s v="Вольф"/>
    <s v="Горох овощной свежий 10.01"/>
    <n v="28240"/>
    <n v="14940"/>
    <n v="9"/>
    <n v="13300"/>
    <n v="12103"/>
    <x v="2"/>
    <x v="97"/>
    <n v="1197"/>
    <n v="0.09"/>
    <n v="6"/>
    <n v="15"/>
    <x v="17"/>
    <x v="0"/>
  </r>
  <r>
    <s v="Акт входного контроля 000000410 от 15.06.2025 13:26:56"/>
    <s v="первый"/>
    <n v="462"/>
    <n v="67"/>
    <s v="Братковский МОК АО"/>
    <s v="Мудрак Вадим Васильевич"/>
    <s v="Х514ОК"/>
    <n v="44"/>
    <n v="44"/>
    <s v="Вольф"/>
    <s v="Горох овощной свежий 10.01"/>
    <n v="34370"/>
    <n v="20950"/>
    <n v="13"/>
    <n v="13420"/>
    <n v="11675.4"/>
    <x v="2"/>
    <x v="97"/>
    <n v="1744.6000000000004"/>
    <n v="0.13000000000000003"/>
    <n v="6"/>
    <n v="15"/>
    <x v="17"/>
    <x v="0"/>
  </r>
  <r>
    <s v="Акт входного контроля 000000411 от 15.06.2025 13:29:54"/>
    <s v="высший"/>
    <n v="464"/>
    <n v="68"/>
    <s v="Братковский МОК АО"/>
    <s v="Кулик О В"/>
    <s v="К403ЕМ"/>
    <n v="45"/>
    <n v="45"/>
    <s v="Вольф"/>
    <s v="Горох овощной свежий 10.01"/>
    <n v="27800"/>
    <n v="14820"/>
    <n v="15"/>
    <n v="12980"/>
    <n v="11033"/>
    <x v="2"/>
    <x v="97"/>
    <n v="1947"/>
    <n v="0.15"/>
    <n v="6"/>
    <n v="15"/>
    <x v="17"/>
    <x v="0"/>
  </r>
  <r>
    <s v="Акт входного контроля 000000412 от 15.06.2025 15:08:20"/>
    <s v="высший"/>
    <n v="465"/>
    <n v="69"/>
    <s v="Братковский МОК АО"/>
    <s v="Лазаренко Вятчеслав Владимирович"/>
    <s v="Т239УС"/>
    <n v="45"/>
    <n v="45"/>
    <s v="Вольф"/>
    <s v="Горох овощной свежий 10.01"/>
    <n v="28260"/>
    <n v="14770"/>
    <n v="14"/>
    <n v="13490"/>
    <n v="11601.4"/>
    <x v="2"/>
    <x v="97"/>
    <n v="1888.6000000000004"/>
    <n v="0.14000000000000001"/>
    <n v="6"/>
    <n v="15"/>
    <x v="17"/>
    <x v="0"/>
  </r>
  <r>
    <s v="Акт входного контроля 000000413 от 15.06.2025 15:30:12"/>
    <s v="высший"/>
    <n v="466"/>
    <n v="70"/>
    <s v="Братковский МОК АО"/>
    <s v="Огнев Максим Викторович"/>
    <s v="Р755НН"/>
    <n v="45"/>
    <n v="45"/>
    <s v="Вольф"/>
    <s v="Горох овощной свежий 10.01"/>
    <n v="27760"/>
    <n v="14670"/>
    <n v="18"/>
    <n v="13090"/>
    <n v="10733.8"/>
    <x v="2"/>
    <x v="97"/>
    <n v="2356.2000000000007"/>
    <n v="0.18000000000000005"/>
    <n v="6"/>
    <n v="15"/>
    <x v="17"/>
    <x v="0"/>
  </r>
  <r>
    <s v="Акт входного контроля 000000414 от 15.06.2025 15:45:09"/>
    <s v="высший"/>
    <n v="467"/>
    <n v="71"/>
    <s v="Братковский МОК АО"/>
    <s v="Черевко Александр Владимирович"/>
    <s v="А114МК"/>
    <n v="45"/>
    <n v="45"/>
    <s v="Вольф"/>
    <s v="Горох овощной свежий 10.01"/>
    <n v="27960"/>
    <n v="14600"/>
    <n v="17"/>
    <n v="13360"/>
    <n v="11088.8"/>
    <x v="2"/>
    <x v="97"/>
    <n v="2271.2000000000007"/>
    <n v="0.17000000000000007"/>
    <n v="6"/>
    <n v="15"/>
    <x v="17"/>
    <x v="0"/>
  </r>
  <r>
    <s v="Акт входного контроля 000000415 от 15.06.2025 18:26:13"/>
    <s v="высший"/>
    <n v="469"/>
    <n v="73"/>
    <s v="Братковский МОК АО"/>
    <s v="Пугачев Сергей Викторович"/>
    <s v="Р258УХ"/>
    <n v="45"/>
    <n v="45"/>
    <s v="Вольф"/>
    <s v="Горох овощной свежий 10.01"/>
    <n v="29200"/>
    <n v="15610"/>
    <n v="8.5"/>
    <n v="13590"/>
    <n v="12434.8"/>
    <x v="2"/>
    <x v="97"/>
    <n v="1155.2000000000007"/>
    <n v="8.5003679175864655E-2"/>
    <n v="6"/>
    <n v="15"/>
    <x v="17"/>
    <x v="0"/>
  </r>
  <r>
    <s v="Акт входного контроля 000000416 от 15.06.2025 18:29:32"/>
    <s v="высший"/>
    <n v="468"/>
    <n v="72"/>
    <s v="Братковский МОК АО"/>
    <s v="Никитась Сергей Анатольевич"/>
    <s v="К570ЕО"/>
    <n v="45"/>
    <n v="45"/>
    <s v="Вольф"/>
    <s v="Горох овощной свежий 10.01"/>
    <n v="28230"/>
    <n v="14990"/>
    <n v="12.5"/>
    <n v="13240"/>
    <n v="11585"/>
    <x v="2"/>
    <x v="97"/>
    <n v="1655"/>
    <n v="0.125"/>
    <n v="6"/>
    <n v="15"/>
    <x v="17"/>
    <x v="0"/>
  </r>
  <r>
    <s v="Акт входного контроля 000000417 от 15.06.2025 19:58:05"/>
    <s v="первый"/>
    <n v="471"/>
    <s v="б/н"/>
    <s v="Братковский МОК АО"/>
    <s v="Магадиев Александр Сайлаувич"/>
    <s v="У184НО"/>
    <n v="45"/>
    <n v="45"/>
    <s v="Вольф"/>
    <s v="Горох овощной свежий 10.01"/>
    <n v="27820"/>
    <n v="14340"/>
    <n v="11"/>
    <n v="13480"/>
    <n v="11997.2"/>
    <x v="2"/>
    <x v="97"/>
    <n v="1482.7999999999993"/>
    <n v="0.10999999999999995"/>
    <n v="6"/>
    <n v="15"/>
    <x v="17"/>
    <x v="0"/>
  </r>
  <r>
    <s v="Акт входного контроля 000000418 от 15.06.2025 21:11:13"/>
    <s v="первый"/>
    <n v="472"/>
    <s v="б/н"/>
    <s v="Братковский МОК АО"/>
    <s v="Ревенко Андрей Вячеславович"/>
    <s v="А781РР"/>
    <n v="44"/>
    <n v="44"/>
    <s v="Вольф"/>
    <s v="Горох овощной свежий 10.01"/>
    <n v="28360"/>
    <n v="21690"/>
    <n v="9"/>
    <n v="6670"/>
    <n v="6069.7"/>
    <x v="2"/>
    <x v="97"/>
    <n v="600.30000000000018"/>
    <n v="9.0000000000000024E-2"/>
    <n v="6"/>
    <n v="15"/>
    <x v="17"/>
    <x v="0"/>
  </r>
  <r>
    <s v="Акт входного контроля 000000419 от 15.06.2025 21:23:43"/>
    <s v="первый"/>
    <n v="474"/>
    <s v="б/н"/>
    <s v="Братковский МОК АО"/>
    <s v="Ревенко Андрей Вячеславович"/>
    <s v="А781РР"/>
    <n v="45"/>
    <n v="45"/>
    <s v="Вольф"/>
    <s v="Горох овощной свежий 10.01"/>
    <n v="21690"/>
    <n v="14970"/>
    <n v="8.5"/>
    <n v="6720"/>
    <n v="6148.8"/>
    <x v="2"/>
    <x v="97"/>
    <n v="571.19999999999982"/>
    <n v="8.4999999999999978E-2"/>
    <n v="6"/>
    <n v="15"/>
    <x v="17"/>
    <x v="0"/>
  </r>
  <r>
    <s v="Акт входного контроля 000000420 от 15.06.2025 23:30:42"/>
    <s v="первый"/>
    <n v="473"/>
    <s v="б/н"/>
    <s v="Братковский МОК АО"/>
    <s v="Титаренко Максим Сергеевич"/>
    <s v="О398ХО"/>
    <n v="44"/>
    <n v="44"/>
    <s v="Вольф"/>
    <s v="Горох овощной свежий 10.01"/>
    <n v="28140"/>
    <n v="14690"/>
    <n v="8"/>
    <n v="13450"/>
    <n v="12374"/>
    <x v="2"/>
    <x v="97"/>
    <n v="1076"/>
    <n v="0.08"/>
    <n v="6"/>
    <n v="15"/>
    <x v="17"/>
    <x v="0"/>
  </r>
  <r>
    <s v="Акт входного контроля 000000421 от 15.06.2025 21:33:18"/>
    <s v="первый"/>
    <n v="475"/>
    <s v="б/н"/>
    <s v="Братковский МОК АО"/>
    <s v="Бербеницкий Сергей Николаевич"/>
    <s v="С400РР"/>
    <n v="44"/>
    <n v="44"/>
    <s v="Вольф"/>
    <s v="Горох овощной свежий 10.01"/>
    <n v="28130"/>
    <n v="15000"/>
    <n v="6.5"/>
    <n v="13130"/>
    <n v="12276.5"/>
    <x v="2"/>
    <x v="97"/>
    <n v="853.5"/>
    <n v="6.500380807311501E-2"/>
    <n v="6"/>
    <n v="15"/>
    <x v="17"/>
    <x v="0"/>
  </r>
  <r>
    <s v="Акт входного контроля 000000422 от 15.06.2025 21:52:28"/>
    <s v="первый"/>
    <n v="476"/>
    <s v="б/н"/>
    <s v="Братковский МОК АО"/>
    <s v="Сероштан Станислав Викторович"/>
    <s v="Е758РЕ"/>
    <n v="43"/>
    <n v="43"/>
    <s v="Вольф"/>
    <s v="Горох овощной свежий 10.01"/>
    <n v="27790"/>
    <n v="14620"/>
    <n v="7.5"/>
    <n v="13170"/>
    <n v="12182.2"/>
    <x v="2"/>
    <x v="97"/>
    <n v="987.79999999999927"/>
    <n v="7.5003796507213311E-2"/>
    <n v="6"/>
    <n v="15"/>
    <x v="17"/>
    <x v="0"/>
  </r>
  <r>
    <s v="Акт входного контроля 000000423 от 15.06.2025 22:47:15"/>
    <s v="первый"/>
    <n v="477"/>
    <s v="б/н"/>
    <s v="Братковский МОК АО"/>
    <s v="Емец Р.А."/>
    <s v="У315НХ"/>
    <n v="43"/>
    <n v="43"/>
    <s v="Вольф"/>
    <s v="Горох овощной свежий 10.01"/>
    <n v="28530"/>
    <n v="15580"/>
    <n v="9"/>
    <n v="12950"/>
    <n v="11784.5"/>
    <x v="2"/>
    <x v="97"/>
    <n v="1165.5"/>
    <n v="0.09"/>
    <n v="6"/>
    <n v="15"/>
    <x v="17"/>
    <x v="0"/>
  </r>
  <r>
    <s v="Акт входного контроля 000000424 от 15.06.2025 23:40:01"/>
    <s v="первый"/>
    <n v="478"/>
    <s v="б/н"/>
    <s v="Братковский МОК АО"/>
    <s v="Гужва А М."/>
    <s v="Т285ВЕ"/>
    <n v="43"/>
    <n v="43"/>
    <s v="Вольф"/>
    <s v="Горох овощной свежий 10.01"/>
    <n v="28040"/>
    <n v="14890"/>
    <n v="7"/>
    <n v="13150"/>
    <n v="12229.5"/>
    <x v="2"/>
    <x v="97"/>
    <n v="920.5"/>
    <n v="7.0000000000000007E-2"/>
    <n v="6"/>
    <n v="15"/>
    <x v="17"/>
    <x v="0"/>
  </r>
  <r>
    <s v="Акт входного контроля 000000425 от 16.06.2025 5:33:00"/>
    <s v="первый"/>
    <n v="481"/>
    <s v="б/н"/>
    <s v="Братковский МОК АО"/>
    <s v="Кулик О В"/>
    <s v="К403ЕМ"/>
    <n v="43"/>
    <n v="43"/>
    <s v="Вольф"/>
    <s v="Горох овощной свежий 10.01"/>
    <n v="27690"/>
    <n v="14700"/>
    <n v="9.5"/>
    <n v="12990"/>
    <n v="11755.9"/>
    <x v="2"/>
    <x v="98"/>
    <n v="1234.1000000000004"/>
    <n v="9.5003849114703651E-2"/>
    <n v="6"/>
    <n v="16"/>
    <x v="18"/>
    <x v="0"/>
  </r>
  <r>
    <s v="Акт входного контроля 000000426 от 16.06.2025 6:26:48"/>
    <s v="первый"/>
    <n v="479"/>
    <s v="б/н"/>
    <s v="Братковский МОК АО"/>
    <s v="Жданов Андрей Иванович"/>
    <s v="С707ОУ"/>
    <n v="43"/>
    <n v="43"/>
    <s v="Вольф"/>
    <s v="Горох овощной свежий 10.01"/>
    <n v="27340"/>
    <n v="14430"/>
    <n v="9.5"/>
    <n v="12910"/>
    <n v="11683.5"/>
    <x v="2"/>
    <x v="98"/>
    <n v="1226.5"/>
    <n v="9.5003872966692493E-2"/>
    <n v="6"/>
    <n v="16"/>
    <x v="18"/>
    <x v="0"/>
  </r>
  <r>
    <s v="Акт входного контроля 000000427 от 16.06.2025 7:48:49"/>
    <s v="второй"/>
    <n v="480"/>
    <s v="б/н"/>
    <s v="Братковский МОК АО"/>
    <s v="Егоян Артем Владимирович"/>
    <s v="А701СН"/>
    <n v="43"/>
    <n v="43"/>
    <s v="Вольф"/>
    <s v="Горох овощной свежий 10.01"/>
    <n v="28260"/>
    <n v="14930"/>
    <n v="8.5"/>
    <n v="13330"/>
    <n v="12196.9"/>
    <x v="2"/>
    <x v="98"/>
    <n v="1133.1000000000004"/>
    <n v="8.5003750937734462E-2"/>
    <n v="6"/>
    <n v="16"/>
    <x v="18"/>
    <x v="0"/>
  </r>
  <r>
    <s v="Акт входного контроля 000000428 от 16.06.2025 9:33:06"/>
    <s v="второй"/>
    <n v="482"/>
    <s v="б/н"/>
    <s v="Братковский МОК АО"/>
    <s v="Погуляй А.Б.       "/>
    <s v="О824ТХ"/>
    <n v="43"/>
    <n v="43"/>
    <s v="Вольф"/>
    <s v="Горох овощной свежий 10.01"/>
    <n v="31920"/>
    <n v="18800"/>
    <n v="5.5"/>
    <n v="13120"/>
    <n v="12398.4"/>
    <x v="2"/>
    <x v="98"/>
    <n v="721.60000000000036"/>
    <n v="5.5000000000000028E-2"/>
    <n v="6"/>
    <n v="16"/>
    <x v="18"/>
    <x v="0"/>
  </r>
  <r>
    <s v="Акт входного контроля 000000429 от 16.06.2025 11:35:17"/>
    <s v="второй"/>
    <n v="483"/>
    <s v="б/н"/>
    <s v="Братковский МОК АО"/>
    <s v="Мудрак Игорь Вадимович"/>
    <s v="С198УЕ"/>
    <n v="43"/>
    <n v="43"/>
    <s v="Вольф"/>
    <s v="Горох овощной свежий 10.01"/>
    <n v="37340"/>
    <n v="24030"/>
    <n v="8"/>
    <n v="13310"/>
    <n v="12245.2"/>
    <x v="2"/>
    <x v="98"/>
    <n v="1064.7999999999993"/>
    <n v="7.9999999999999946E-2"/>
    <n v="6"/>
    <n v="16"/>
    <x v="18"/>
    <x v="0"/>
  </r>
  <r>
    <s v="Акт входного контроля 000000430 от 16.06.2025 13:00:48"/>
    <s v="первый"/>
    <n v="484"/>
    <s v="б/н"/>
    <s v="Братковский МОК АО"/>
    <s v="Кудря Евгений"/>
    <s v="А719ОО"/>
    <s v="А-44"/>
    <s v="А-44"/>
    <s v="Вольф"/>
    <s v="Горох овощной свежий 10.01"/>
    <n v="28270"/>
    <n v="21420"/>
    <n v="10.5"/>
    <n v="6850"/>
    <n v="6130.7"/>
    <x v="2"/>
    <x v="98"/>
    <n v="719.30000000000018"/>
    <n v="0.10500729927007302"/>
    <n v="6"/>
    <n v="16"/>
    <x v="18"/>
    <x v="0"/>
  </r>
  <r>
    <s v="Акт входного контроля 000000431 от 16.06.2025 13:44:34"/>
    <s v="первый"/>
    <n v="491"/>
    <s v="б/н"/>
    <s v="Братковский МОК АО"/>
    <s v="Кудря Евгений"/>
    <s v="А719ОО"/>
    <n v="43"/>
    <n v="43"/>
    <s v="Вольф"/>
    <s v="Горох овощной свежий 10.01"/>
    <n v="21420"/>
    <n v="14770"/>
    <n v="14.5"/>
    <n v="6650"/>
    <n v="5685.7"/>
    <x v="2"/>
    <x v="98"/>
    <n v="964.30000000000018"/>
    <n v="0.1450075187969925"/>
    <n v="6"/>
    <n v="16"/>
    <x v="18"/>
    <x v="0"/>
  </r>
  <r>
    <s v="Акт входного контроля 000000432 от 16.06.2025 14:02:15"/>
    <s v="высший"/>
    <n v="487"/>
    <s v="б/н"/>
    <s v="Агролидер ООО"/>
    <s v="Сайко Владимир Николаевич"/>
    <s v="Т919РВ"/>
    <n v="15"/>
    <n v="15"/>
    <s v="Тристар"/>
    <s v="Горох овощной свежий 10.01"/>
    <n v="6630"/>
    <n v="4560"/>
    <n v="14.5"/>
    <n v="2070"/>
    <n v="1769.8"/>
    <x v="2"/>
    <x v="98"/>
    <n v="300.20000000000005"/>
    <n v="0.14502415458937201"/>
    <n v="6"/>
    <n v="16"/>
    <x v="18"/>
    <x v="0"/>
  </r>
  <r>
    <s v="Акт входного контроля 000000434 от 16.06.2025 18:36:48"/>
    <s v="первый"/>
    <n v="489"/>
    <n v="87"/>
    <s v="Братковский МОК АО"/>
    <s v="Лазаренко Вятчеслав Владимирович"/>
    <s v="Т239УС"/>
    <n v="44"/>
    <n v="44"/>
    <s v="Вольф"/>
    <s v="Горох овощной свежий 10.01"/>
    <n v="27820"/>
    <n v="21170"/>
    <n v="12.5"/>
    <n v="6650"/>
    <n v="5818.7"/>
    <x v="2"/>
    <x v="98"/>
    <n v="831.30000000000018"/>
    <n v="0.12500751879699251"/>
    <n v="6"/>
    <n v="16"/>
    <x v="18"/>
    <x v="0"/>
  </r>
  <r>
    <s v="Акт входного контроля 000000435 от 16.06.2025 18:39:05"/>
    <s v="первый"/>
    <n v="490"/>
    <n v="47"/>
    <s v="Братковский МОК АО"/>
    <s v="Огнев Максим Викторович"/>
    <s v="Р755НН"/>
    <n v="44"/>
    <n v="44"/>
    <s v="Вольф"/>
    <s v="Горох овощной свежий 10.01"/>
    <n v="27950"/>
    <n v="14670"/>
    <n v="10.5"/>
    <n v="13280"/>
    <n v="11885.6"/>
    <x v="2"/>
    <x v="98"/>
    <n v="1394.3999999999996"/>
    <n v="0.10499999999999997"/>
    <n v="6"/>
    <n v="16"/>
    <x v="18"/>
    <x v="0"/>
  </r>
  <r>
    <s v="Акт входного контроля 000000436 от 16.06.2025 21:28:34"/>
    <s v="высший"/>
    <n v="497"/>
    <s v="б/н"/>
    <s v="Агролидер ООО"/>
    <s v="Бербеницкий Сергей Николаевич"/>
    <s v="С400РР"/>
    <n v="16"/>
    <n v="16"/>
    <s v="Тристар"/>
    <s v="Горох овощной свежий 10.01"/>
    <n v="16710"/>
    <n v="9700"/>
    <n v="19.5"/>
    <n v="7010"/>
    <n v="5643"/>
    <x v="2"/>
    <x v="98"/>
    <n v="1367"/>
    <n v="0.19500713266761768"/>
    <n v="6"/>
    <n v="16"/>
    <x v="18"/>
    <x v="0"/>
  </r>
  <r>
    <s v="Акт входного контроля 000000437 от 17.06.2025 3:00:58"/>
    <s v="высший"/>
    <n v="503"/>
    <n v="95"/>
    <s v="Братковский МОК АО"/>
    <s v="Емец Р.А."/>
    <s v="У315НХ"/>
    <n v="46"/>
    <n v="46"/>
    <s v="Тристар"/>
    <s v="Горох овощной свежий 10.01"/>
    <n v="29220"/>
    <n v="15490"/>
    <n v="15.5"/>
    <n v="13730"/>
    <n v="11601.8"/>
    <x v="2"/>
    <x v="99"/>
    <n v="2128.2000000000007"/>
    <n v="0.1550036416605973"/>
    <n v="6"/>
    <n v="17"/>
    <x v="19"/>
    <x v="0"/>
  </r>
  <r>
    <s v="Акт входного контроля 000000438 от 17.06.2025 15:18:08"/>
    <s v="высший"/>
    <n v="505"/>
    <s v="б/н"/>
    <s v="Агролидер ООО"/>
    <s v="Роговской Роман Алексеевич"/>
    <s v="Т945РВ"/>
    <n v="16"/>
    <n v="16"/>
    <s v="Тристар"/>
    <s v="Горох овощной свежий 10.01"/>
    <n v="9640"/>
    <n v="4650"/>
    <n v="8.5"/>
    <n v="4990"/>
    <n v="4565.8"/>
    <x v="2"/>
    <x v="99"/>
    <n v="424.19999999999982"/>
    <n v="8.5010020040080125E-2"/>
    <n v="6"/>
    <n v="17"/>
    <x v="19"/>
    <x v="0"/>
  </r>
  <r>
    <s v="Акт входного контроля 000000439 от 17.06.2025 15:38:05"/>
    <s v="высший"/>
    <n v="506"/>
    <s v="б/н"/>
    <s v="Братковский МОК АО"/>
    <s v="Богучарский А. И."/>
    <s v="Е404УС"/>
    <n v="46"/>
    <n v="46"/>
    <s v="Тристар"/>
    <s v="Горох овощной свежий 10.01"/>
    <n v="27130"/>
    <n v="13820"/>
    <n v="21"/>
    <n v="13310"/>
    <n v="10514.9"/>
    <x v="2"/>
    <x v="99"/>
    <n v="2795.1000000000004"/>
    <n v="0.21000000000000002"/>
    <n v="6"/>
    <n v="17"/>
    <x v="19"/>
    <x v="0"/>
  </r>
  <r>
    <s v="Акт входного контроля 000000440 от 17.06.2025 17:37:06"/>
    <s v="высший"/>
    <n v="507"/>
    <s v="б/н"/>
    <s v="Братковский МОК АО"/>
    <s v="Извеков Владимир Владимирович"/>
    <s v="Н378ХЕ"/>
    <n v="46"/>
    <n v="46"/>
    <s v="Тристар"/>
    <s v="Горох овощной свежий 10.01"/>
    <n v="30100"/>
    <n v="15310"/>
    <n v="14.5"/>
    <n v="14790"/>
    <n v="12645.4"/>
    <x v="2"/>
    <x v="99"/>
    <n v="2144.6000000000004"/>
    <n v="0.1450033806626099"/>
    <n v="6"/>
    <n v="17"/>
    <x v="19"/>
    <x v="0"/>
  </r>
  <r>
    <s v="Акт входного контроля 000000441 от 17.06.2025 18:13:04"/>
    <s v="высший"/>
    <n v="508"/>
    <s v="б/н"/>
    <s v="Агролидер ООО"/>
    <s v="Сайко Владимир Николаевич"/>
    <s v="Т919РВ"/>
    <n v="16"/>
    <n v="16"/>
    <s v="Тристар"/>
    <s v="Горох овощной свежий 10.01"/>
    <n v="8350"/>
    <n v="4580"/>
    <n v="9.5"/>
    <n v="3770"/>
    <n v="3411.8"/>
    <x v="2"/>
    <x v="99"/>
    <n v="358.19999999999982"/>
    <n v="9.5013262599469447E-2"/>
    <n v="6"/>
    <n v="17"/>
    <x v="19"/>
    <x v="0"/>
  </r>
  <r>
    <s v="Акт входного контроля 000000442 от 17.06.2025 21:10:33"/>
    <s v="высший"/>
    <n v="509"/>
    <s v="б/н"/>
    <s v="Агролидер ООО"/>
    <s v="Роговской Роман Алексеевич"/>
    <s v="Т945РВ"/>
    <n v="15"/>
    <n v="15"/>
    <s v="Тристар"/>
    <s v="Горох овощной свежий 10.01"/>
    <n v="6950"/>
    <n v="4600"/>
    <n v="12.5"/>
    <n v="2350"/>
    <n v="2056.1999999999998"/>
    <x v="2"/>
    <x v="99"/>
    <n v="293.80000000000018"/>
    <n v="0.12502127659574475"/>
    <n v="6"/>
    <n v="17"/>
    <x v="19"/>
    <x v="0"/>
  </r>
  <r>
    <s v="Акт входного контроля 000000443 от 17.06.2025 22:41:13"/>
    <s v="высший"/>
    <n v="510"/>
    <s v="б/н"/>
    <s v="Агролидер ООО"/>
    <s v="Сайко Владимир Николаевич"/>
    <s v="Т919РВ"/>
    <n v="15"/>
    <n v="15"/>
    <s v="Тристар"/>
    <s v="Горох овощной свежий 10.01"/>
    <n v="9060"/>
    <n v="4550"/>
    <n v="20.5"/>
    <n v="4510"/>
    <n v="3585.4"/>
    <x v="2"/>
    <x v="99"/>
    <n v="924.59999999999991"/>
    <n v="0.20501108647450109"/>
    <n v="6"/>
    <n v="17"/>
    <x v="19"/>
    <x v="0"/>
  </r>
  <r>
    <s v="Акт входного контроля 000000444 от 17.06.2025 23:58:12"/>
    <s v="высший"/>
    <n v="511"/>
    <s v="б/н"/>
    <s v="Агролидер ООО"/>
    <s v="Сероштан Станислав Викторович"/>
    <s v="Е758РЕ"/>
    <n v="15"/>
    <n v="15"/>
    <s v="Тристар"/>
    <s v="Горох овощной свежий 10.01"/>
    <n v="28310"/>
    <n v="14750"/>
    <n v="14.5"/>
    <n v="13560"/>
    <n v="11593.8"/>
    <x v="2"/>
    <x v="99"/>
    <n v="1966.2000000000007"/>
    <n v="0.14500000000000005"/>
    <n v="6"/>
    <n v="17"/>
    <x v="19"/>
    <x v="0"/>
  </r>
  <r>
    <s v="Акт входного контроля 000000445 от 18.06.2025 4:47:24"/>
    <s v="высший"/>
    <n v="512"/>
    <s v="б/н"/>
    <s v="Агролидер ООО"/>
    <s v="Черевко Александр Владимирович"/>
    <s v="А114МК"/>
    <n v="15"/>
    <n v="15"/>
    <s v="Тристар"/>
    <s v="Горох овощной свежий 10.01"/>
    <n v="28060"/>
    <n v="14670"/>
    <n v="13.5"/>
    <n v="13390"/>
    <n v="11582.3"/>
    <x v="2"/>
    <x v="100"/>
    <n v="1807.7000000000007"/>
    <n v="0.13500373412994779"/>
    <n v="6"/>
    <n v="18"/>
    <x v="20"/>
    <x v="0"/>
  </r>
  <r>
    <s v="Акт входного контроля 000000446 от 18.06.2025 5:08:10"/>
    <s v="высший"/>
    <n v="513"/>
    <s v="б/н"/>
    <s v="Агролидер ООО"/>
    <s v="Грищенко Александр Александрович"/>
    <s v="К416ТН"/>
    <n v="15"/>
    <n v="15"/>
    <s v="Тристар"/>
    <s v="Горох овощной свежий 10.01"/>
    <n v="29120"/>
    <n v="15650"/>
    <n v="13.5"/>
    <n v="13470"/>
    <n v="11651.5"/>
    <x v="2"/>
    <x v="100"/>
    <n v="1818.5"/>
    <n v="0.135003711952487"/>
    <n v="6"/>
    <n v="18"/>
    <x v="20"/>
    <x v="0"/>
  </r>
  <r>
    <s v="Акт входного контроля 000000447 от 18.06.2025 5:45:01"/>
    <s v="высший"/>
    <n v="514"/>
    <s v="б/н"/>
    <s v="Агролидер ООО"/>
    <s v="Богучарский А. И."/>
    <s v="Е404УС"/>
    <n v="15"/>
    <n v="15"/>
    <s v="Тристар"/>
    <s v="Горох овощной свежий 10.01"/>
    <n v="27390"/>
    <n v="13870"/>
    <n v="12.5"/>
    <n v="13520"/>
    <n v="11830"/>
    <x v="2"/>
    <x v="100"/>
    <n v="1690"/>
    <n v="0.125"/>
    <n v="6"/>
    <n v="18"/>
    <x v="20"/>
    <x v="0"/>
  </r>
  <r>
    <s v="Акт входного контроля 000000448 от 18.06.2025 6:57:40"/>
    <s v="высший"/>
    <n v="515"/>
    <s v="б/н"/>
    <s v="Агролидер ООО"/>
    <s v="Мудрак Игорь Вадимович"/>
    <s v="С198УЕ"/>
    <n v="15"/>
    <n v="15"/>
    <s v="Тристар"/>
    <s v="Горох овощной свежий 10.01"/>
    <n v="37650"/>
    <n v="24170"/>
    <n v="11.5"/>
    <n v="13480"/>
    <n v="11929.8"/>
    <x v="2"/>
    <x v="100"/>
    <n v="1550.2000000000007"/>
    <n v="0.11500000000000006"/>
    <n v="6"/>
    <n v="18"/>
    <x v="20"/>
    <x v="0"/>
  </r>
  <r>
    <s v="Акт входного контроля 000000449 от 16.06.2025 15:35:29"/>
    <s v="второй"/>
    <n v="498"/>
    <s v="87Утилизация"/>
    <s v="Братковский МОК АО"/>
    <s v="Лазаренко Вятчеслав Владимирович"/>
    <s v="Т239УС"/>
    <s v="А-44"/>
    <s v="А-44"/>
    <s v="Вольф"/>
    <s v="Горох овощной свежий 10.01"/>
    <n v="21170"/>
    <n v="14840"/>
    <m/>
    <n v="6330"/>
    <n v="6330"/>
    <x v="2"/>
    <x v="98"/>
    <n v="0"/>
    <n v="0"/>
    <n v="6"/>
    <n v="16"/>
    <x v="18"/>
    <x v="0"/>
  </r>
  <r>
    <s v="Акт входного контроля 000000450 от 16.06.2025 15:54:19"/>
    <s v="второй"/>
    <n v="499"/>
    <s v="б/нУтилизация"/>
    <s v="Братковский МОК АО"/>
    <s v="Черевко Александр Владимирович"/>
    <s v="А114МК"/>
    <n v="44"/>
    <n v="44"/>
    <s v="Вольф"/>
    <s v="Горох овощной свежий 10.01"/>
    <n v="21160"/>
    <n v="14540"/>
    <m/>
    <n v="6620"/>
    <n v="6620"/>
    <x v="2"/>
    <x v="98"/>
    <n v="0"/>
    <n v="0"/>
    <n v="6"/>
    <n v="16"/>
    <x v="18"/>
    <x v="0"/>
  </r>
  <r>
    <s v="Акт входного контроля 000000451 от 16.06.2025 19:21:53"/>
    <s v="второй"/>
    <n v="502"/>
    <s v="92 Утилтзация"/>
    <s v="Братковский МОК АО"/>
    <s v="Мудрак Вадим Васильевич"/>
    <s v="Х514ОК"/>
    <n v="44"/>
    <n v="44"/>
    <s v="Вольф"/>
    <s v="Горох овощной свежий 10.01"/>
    <n v="27440"/>
    <n v="21030"/>
    <m/>
    <n v="6410"/>
    <n v="6410"/>
    <x v="2"/>
    <x v="98"/>
    <n v="0"/>
    <n v="0"/>
    <n v="6"/>
    <n v="16"/>
    <x v="18"/>
    <x v="0"/>
  </r>
  <r>
    <s v="Акт входного контроля 000000452 от 16.06.2025 14:19:35"/>
    <s v="второй"/>
    <n v="496"/>
    <s v="91Утилизация"/>
    <s v="Братковский МОК АО"/>
    <s v="Пугачев Сергей Викторович"/>
    <s v="Р258УХ"/>
    <n v="44"/>
    <n v="44"/>
    <s v="Вольф"/>
    <s v="Горох овощной свежий 10.01"/>
    <n v="29040"/>
    <n v="15530"/>
    <m/>
    <n v="13510"/>
    <n v="13510"/>
    <x v="2"/>
    <x v="98"/>
    <n v="0"/>
    <n v="0"/>
    <n v="6"/>
    <n v="16"/>
    <x v="18"/>
    <x v="0"/>
  </r>
  <r>
    <s v="Акт входного контроля 000000453 от 16.06.2025 19:14:11"/>
    <s v="второй"/>
    <n v="501"/>
    <s v="90Утилизация"/>
    <s v="Братковский МОК АО"/>
    <s v="Никитась Сергей Анатольевич"/>
    <s v="К570ЕО"/>
    <n v="44"/>
    <n v="44"/>
    <s v="Вольф"/>
    <s v="Горох овощной свежий 10.01"/>
    <n v="21600"/>
    <n v="15080"/>
    <m/>
    <n v="6520"/>
    <n v="6520"/>
    <x v="2"/>
    <x v="98"/>
    <n v="0"/>
    <n v="0"/>
    <n v="6"/>
    <n v="16"/>
    <x v="18"/>
    <x v="0"/>
  </r>
  <r>
    <s v="Акт входного контроля 000000454 от 18.06.2025 11:46:05"/>
    <s v="высший"/>
    <n v="516"/>
    <s v="б/н"/>
    <s v="Агролидер ООО"/>
    <s v="Егоян Артем Владимирович"/>
    <s v="А701СН"/>
    <n v="15"/>
    <n v="15"/>
    <s v="Тристар"/>
    <s v="Горох овощной свежий 10.01"/>
    <n v="28510"/>
    <n v="14990"/>
    <n v="6.5"/>
    <n v="13520"/>
    <n v="12641.2"/>
    <x v="2"/>
    <x v="100"/>
    <n v="878.79999999999927"/>
    <n v="6.4999999999999947E-2"/>
    <n v="6"/>
    <n v="18"/>
    <x v="20"/>
    <x v="0"/>
  </r>
  <r>
    <s v="Акт входного контроля 000000455 от 16.06.2025 12:10:14"/>
    <s v="первый"/>
    <n v="492"/>
    <s v="б/н"/>
    <s v="Братковский МОК АО"/>
    <s v="Черевко Александр Владимирович"/>
    <s v="А114МК"/>
    <n v="44"/>
    <n v="44"/>
    <s v="Вольф"/>
    <s v="Горох овощной свежий 10.01"/>
    <n v="27790"/>
    <n v="21160"/>
    <n v="14.5"/>
    <n v="6630"/>
    <n v="5668.6"/>
    <x v="2"/>
    <x v="98"/>
    <n v="961.39999999999964"/>
    <n v="0.14500754147812966"/>
    <n v="6"/>
    <n v="16"/>
    <x v="18"/>
    <x v="0"/>
  </r>
  <r>
    <s v="Акт входного контроля 000000456 от 16.06.2025 13:05:41"/>
    <s v="первый"/>
    <n v="493"/>
    <n v="90"/>
    <s v="Братковский МОК АО"/>
    <s v="Никитась Сергей Анатольевич"/>
    <s v="К570ЕО"/>
    <n v="44"/>
    <n v="44"/>
    <s v="Вольф"/>
    <s v="Горох овощной свежий 10.01"/>
    <n v="28260"/>
    <n v="21610"/>
    <n v="7.5"/>
    <n v="6650"/>
    <n v="6151.2"/>
    <x v="2"/>
    <x v="98"/>
    <n v="498.80000000000018"/>
    <n v="7.5007518796992509E-2"/>
    <n v="6"/>
    <n v="16"/>
    <x v="18"/>
    <x v="0"/>
  </r>
  <r>
    <s v="Акт входного контроля 000000457 от 16.06.2025 16:07:34"/>
    <s v="первый"/>
    <n v="500"/>
    <n v="92"/>
    <s v="Братковский МОК АО"/>
    <s v="Мудрак Вадим Васильевич"/>
    <s v="Х514ОК"/>
    <n v="44"/>
    <n v="44"/>
    <s v="Вольф"/>
    <s v="Горох овощной свежий 10.01"/>
    <n v="34230"/>
    <n v="27490"/>
    <n v="13.5"/>
    <n v="6740"/>
    <n v="5830.1"/>
    <x v="2"/>
    <x v="98"/>
    <n v="909.89999999999964"/>
    <n v="0.13499999999999995"/>
    <n v="6"/>
    <n v="16"/>
    <x v="18"/>
    <x v="0"/>
  </r>
  <r>
    <s v="Акт входного контроля 000000458 от 18.06.2025 10:45:25"/>
    <s v="высший"/>
    <n v="520"/>
    <s v="б/н"/>
    <s v="Агролидер ООО"/>
    <s v="Бербеницкий Сергей Николаевич"/>
    <s v="С400РР"/>
    <n v="15"/>
    <n v="15"/>
    <s v="Тристар"/>
    <s v="Горох овощной свежий 10.01"/>
    <n v="28350"/>
    <n v="15040"/>
    <n v="12.5"/>
    <n v="13310"/>
    <n v="11646.2"/>
    <x v="2"/>
    <x v="100"/>
    <n v="1663.7999999999993"/>
    <n v="0.12500375657400445"/>
    <n v="6"/>
    <n v="18"/>
    <x v="20"/>
    <x v="0"/>
  </r>
  <r>
    <s v="Акт входного контроля 000000459 от 16.06.2025 14:39:26"/>
    <s v="второй"/>
    <n v="496"/>
    <s v="93ПродажаГрандСтар244"/>
    <s v="Братковский МОК АО"/>
    <s v="Магадиев Александр Сайлаувич"/>
    <s v="У184НО"/>
    <n v="44"/>
    <n v="44"/>
    <s v="Вольф"/>
    <s v="Горох овощной свежий 10.01"/>
    <n v="27700"/>
    <n v="14440"/>
    <n v="12"/>
    <n v="13260"/>
    <n v="11669"/>
    <x v="2"/>
    <x v="98"/>
    <n v="1591"/>
    <n v="0.11998491704374058"/>
    <n v="6"/>
    <n v="16"/>
    <x v="18"/>
    <x v="0"/>
  </r>
  <r>
    <s v="Акт входного контроля 000000460 от 16.06.2025 21:28:35"/>
    <s v="второй"/>
    <n v="496"/>
    <s v="94ПродажаГрандСтар246"/>
    <s v="Братковский МОК АО"/>
    <s v="Ревенко Андрей Вячеславович"/>
    <s v="А781рр"/>
    <n v="44"/>
    <n v="44"/>
    <s v="Вольф"/>
    <s v="Горох овощной свежий 10.01"/>
    <n v="28260"/>
    <n v="15060"/>
    <n v="12.4"/>
    <n v="13200"/>
    <n v="11564"/>
    <x v="2"/>
    <x v="98"/>
    <n v="1636"/>
    <n v="0.12393939393939393"/>
    <n v="6"/>
    <n v="16"/>
    <x v="18"/>
    <x v="0"/>
  </r>
  <r>
    <s v="Акт входного контроля 000000461 от 17.06.2025 21:28:36"/>
    <s v="второй"/>
    <n v="496"/>
    <s v="93ПродажаГрандСтар250"/>
    <s v="Братковский МОК АО"/>
    <s v="Магадиев Александр Сайлаувич"/>
    <s v="У184НО"/>
    <n v="44"/>
    <n v="44"/>
    <s v="Вольф"/>
    <s v="Горох овощной свежий 10.01"/>
    <n v="27900"/>
    <n v="14460"/>
    <n v="15.2"/>
    <n v="13440"/>
    <n v="11397"/>
    <x v="2"/>
    <x v="99"/>
    <n v="2043"/>
    <n v="0.15200892857142856"/>
    <n v="6"/>
    <n v="17"/>
    <x v="19"/>
    <x v="0"/>
  </r>
  <r>
    <s v="Акт входного контроля 000000462 от 18.06.2025 12:42:28"/>
    <s v="высший"/>
    <n v="521"/>
    <s v="б/н"/>
    <s v="Агролидер ООО"/>
    <s v="Жданов Андрей Иванович"/>
    <s v="С707ОУ"/>
    <n v="15"/>
    <n v="15"/>
    <s v="Тристар"/>
    <s v="Горох овощной свежий 10.01"/>
    <n v="27510"/>
    <n v="14650"/>
    <n v="6.5"/>
    <n v="12860"/>
    <n v="12024.1"/>
    <x v="2"/>
    <x v="100"/>
    <n v="835.89999999999964"/>
    <n v="6.4999999999999974E-2"/>
    <n v="6"/>
    <n v="18"/>
    <x v="20"/>
    <x v="0"/>
  </r>
  <r>
    <s v="Акт входного контроля 000000463 от 17.06.2025 23:58:13"/>
    <s v="второй"/>
    <n v="496"/>
    <s v="ПродажаГрандСтар249"/>
    <s v="Братковский МОК АО"/>
    <s v="Титаренко Максим Сергеевич"/>
    <s v="О398ХО"/>
    <n v="44"/>
    <n v="44"/>
    <s v="Вольф"/>
    <s v="Горох овощной свежий 10.01"/>
    <n v="27960"/>
    <n v="15040"/>
    <n v="11.2"/>
    <n v="12920"/>
    <n v="11479"/>
    <x v="2"/>
    <x v="99"/>
    <n v="1441"/>
    <n v="0.11153250773993809"/>
    <n v="6"/>
    <n v="17"/>
    <x v="19"/>
    <x v="0"/>
  </r>
  <r>
    <s v="Акт входного контроля грин00001 от 17.06.2025 15:40:33"/>
    <s v="второй"/>
    <n v="496"/>
    <s v="ПродажаГрандСтар263"/>
    <s v="Братковский МОК АО"/>
    <s v="Магадиев Александр Сайлаувич"/>
    <s v="У184НО"/>
    <n v="44"/>
    <n v="44"/>
    <s v="Вольф"/>
    <s v="Горох овощной свежий 10.01"/>
    <n v="27600"/>
    <n v="14580"/>
    <n v="12.4"/>
    <n v="13020"/>
    <n v="11406"/>
    <x v="2"/>
    <x v="99"/>
    <n v="1614"/>
    <n v="0.12396313364055299"/>
    <n v="6"/>
    <n v="17"/>
    <x v="19"/>
    <x v="0"/>
  </r>
  <r>
    <s v="Акт входного контроля грин00004 от 17.06.2025 23:58:14"/>
    <s v="второй"/>
    <n v="496"/>
    <s v="ПродажаГрандСтарОтвес266"/>
    <s v="Братковский МОК АО"/>
    <s v="Ревенко Андрей Вячеславович"/>
    <s v="А781рр"/>
    <n v="44"/>
    <n v="44"/>
    <s v="Вольф"/>
    <s v="Горох овощной свежий 10.01"/>
    <n v="28340"/>
    <n v="15100"/>
    <n v="10.1"/>
    <n v="13240"/>
    <n v="11907"/>
    <x v="2"/>
    <x v="99"/>
    <n v="1333"/>
    <n v="0.10067975830815711"/>
    <n v="6"/>
    <n v="17"/>
    <x v="19"/>
    <x v="0"/>
  </r>
  <r>
    <s v="Акт входного контроля грин00005 от 17.06.2025 23:58:15"/>
    <s v="второй"/>
    <n v="496"/>
    <s v="ПродажаГрандСтар252"/>
    <s v="Братковский МОК АО"/>
    <s v="Ревенко Андрей Вячеславович"/>
    <s v="А781рр"/>
    <n v="44"/>
    <n v="44"/>
    <s v="Вольф"/>
    <s v="Горох овощной свежий 10.01"/>
    <n v="28460"/>
    <n v="15120"/>
    <n v="17.7"/>
    <n v="13340"/>
    <n v="10979"/>
    <x v="2"/>
    <x v="99"/>
    <n v="2361"/>
    <n v="0.17698650674662669"/>
    <n v="6"/>
    <n v="17"/>
    <x v="19"/>
    <x v="0"/>
  </r>
  <r>
    <s v="Акт входного контроля грин00006 от 17.06.2025 23:58:16"/>
    <s v="второй"/>
    <n v="496"/>
    <s v="ПродажаГрандСтаротвес№269"/>
    <s v="Братковский МОК АО"/>
    <s v="Титаренко Максим Сергеевич"/>
    <s v="О398ХО"/>
    <n v="44"/>
    <n v="44"/>
    <s v="Вольф"/>
    <s v="Горох овощной свежий 10.01"/>
    <n v="32380"/>
    <n v="15000"/>
    <n v="11.4"/>
    <n v="17380"/>
    <n v="15396"/>
    <x v="2"/>
    <x v="99"/>
    <n v="1984"/>
    <n v="0.11415420023014959"/>
    <n v="6"/>
    <n v="17"/>
    <x v="19"/>
    <x v="0"/>
  </r>
  <r>
    <s v="Акт входного контроля грин00007 от 17.06.2025 23:58:17"/>
    <s v="второй"/>
    <n v="496"/>
    <s v="ПродажаГрандСтарОтвес260"/>
    <s v="Братковский МОК АО"/>
    <s v="Титаренко Максим Сергеевич"/>
    <s v="О398ХО"/>
    <n v="44"/>
    <n v="44"/>
    <s v="Вольф"/>
    <s v="Горох овощной свежий 10.01"/>
    <n v="28240"/>
    <n v="14740"/>
    <n v="13.8"/>
    <n v="13500"/>
    <n v="11634"/>
    <x v="2"/>
    <x v="99"/>
    <n v="1866"/>
    <n v="0.13822222222222222"/>
    <n v="6"/>
    <n v="17"/>
    <x v="19"/>
    <x v="0"/>
  </r>
  <r>
    <s v="Акт входного контроля грин00008 от 17.06.2025 23:58:18"/>
    <s v="второй"/>
    <n v="502"/>
    <s v="Продажа Гранд СтарОтвес251"/>
    <s v="Братковский МОК АО"/>
    <s v="Фомин Н.Г"/>
    <s v="А731ВА"/>
    <n v="44"/>
    <n v="44"/>
    <s v="Вольф"/>
    <s v="Горох овощной свежий 10.01"/>
    <n v="27900"/>
    <n v="14940"/>
    <n v="15.9"/>
    <n v="12960"/>
    <n v="10897"/>
    <x v="2"/>
    <x v="99"/>
    <n v="2063"/>
    <n v="0.1591820987654321"/>
    <n v="6"/>
    <n v="17"/>
    <x v="19"/>
    <x v="0"/>
  </r>
  <r>
    <s v="Акт входного контроля грин00009 от 18.06.2025 13:52:59"/>
    <s v="высший"/>
    <n v="523"/>
    <s v="б/н"/>
    <s v="Агролидер ООО"/>
    <s v="Гужва А М."/>
    <s v="Т285ВЕ"/>
    <n v="15"/>
    <n v="15"/>
    <s v="Тристар"/>
    <s v="Горох овощной свежий 10.01"/>
    <n v="28110"/>
    <n v="15120"/>
    <n v="13.5"/>
    <n v="12990"/>
    <n v="11236.3"/>
    <x v="2"/>
    <x v="100"/>
    <n v="1753.7000000000007"/>
    <n v="0.13500384911470367"/>
    <n v="6"/>
    <n v="18"/>
    <x v="20"/>
    <x v="0"/>
  </r>
  <r>
    <s v="Акт входного контроля грин00010 от 18.06.2025 15:44:40"/>
    <s v="высший"/>
    <n v="526"/>
    <s v="б/н"/>
    <s v="Агролидер ООО"/>
    <s v="Сероштан Станислав Викторович"/>
    <s v="Е758РЕ"/>
    <n v="15"/>
    <n v="15"/>
    <s v="Тристар"/>
    <s v="Горох овощной свежий 10.01"/>
    <n v="27760"/>
    <n v="14690"/>
    <n v="9.5"/>
    <n v="13070"/>
    <n v="11828.3"/>
    <x v="2"/>
    <x v="100"/>
    <n v="1241.7000000000007"/>
    <n v="9.500382555470549E-2"/>
    <n v="6"/>
    <n v="18"/>
    <x v="20"/>
    <x v="0"/>
  </r>
  <r>
    <s v="Акт входного контроля грин00011 от 18.06.2025 16:55:33"/>
    <s v="высший"/>
    <n v="527"/>
    <s v="б/н"/>
    <s v="Агролидер ООО"/>
    <s v="Черевко Александр Владимирович"/>
    <s v="А114МК"/>
    <n v="15"/>
    <n v="15"/>
    <s v="Тристар"/>
    <s v="Горох овощной свежий 10.01"/>
    <n v="27890"/>
    <n v="14620"/>
    <n v="13"/>
    <n v="13270"/>
    <n v="11544.9"/>
    <x v="2"/>
    <x v="100"/>
    <n v="1725.1000000000004"/>
    <n v="0.13000000000000003"/>
    <n v="6"/>
    <n v="18"/>
    <x v="20"/>
    <x v="0"/>
  </r>
  <r>
    <s v="Акт входного контроля грин00012 от 18.06.2025 19:39:17"/>
    <s v="высший"/>
    <n v="528"/>
    <s v="б/н"/>
    <s v="Агролидер ООО"/>
    <s v="Грищенко Александр Александрович"/>
    <s v="К416ТН"/>
    <n v="15"/>
    <n v="15"/>
    <s v="Тристар"/>
    <s v="Горох овощной свежий 10.01"/>
    <n v="28770"/>
    <n v="15560"/>
    <n v="6.5"/>
    <n v="13210"/>
    <n v="12351.3"/>
    <x v="2"/>
    <x v="100"/>
    <n v="858.70000000000073"/>
    <n v="6.5003785011355092E-2"/>
    <n v="6"/>
    <n v="18"/>
    <x v="20"/>
    <x v="0"/>
  </r>
  <r>
    <s v="Акт входного контроля грин00013 от 18.06.2025 20:07:18"/>
    <s v="высший"/>
    <n v="529"/>
    <s v="б/н"/>
    <s v="Агролидер ООО"/>
    <s v="Мудрак Вадим Васильевич"/>
    <s v="Х514ОК"/>
    <n v="15"/>
    <n v="15"/>
    <s v="Тристар"/>
    <s v="Горох овощной свежий 10.01"/>
    <n v="34270"/>
    <n v="21010"/>
    <n v="11.5"/>
    <n v="13260"/>
    <n v="11735.1"/>
    <x v="2"/>
    <x v="100"/>
    <n v="1524.8999999999996"/>
    <n v="0.11499999999999998"/>
    <n v="6"/>
    <n v="18"/>
    <x v="20"/>
    <x v="0"/>
  </r>
  <r>
    <s v="Акт входного контроля грин00014 от 18.06.2025 21:27:16"/>
    <s v="высший"/>
    <n v="530"/>
    <s v="б/н"/>
    <s v="Агролидер ООО"/>
    <s v="Кудря Евгений"/>
    <s v="А719ОО"/>
    <n v="15"/>
    <n v="15"/>
    <s v="Тристар"/>
    <s v="Горох овощной свежий 10.01"/>
    <n v="28000"/>
    <n v="14720"/>
    <n v="6.5"/>
    <n v="13280"/>
    <n v="12416.8"/>
    <x v="2"/>
    <x v="100"/>
    <n v="863.20000000000073"/>
    <n v="6.5000000000000058E-2"/>
    <n v="6"/>
    <n v="18"/>
    <x v="20"/>
    <x v="0"/>
  </r>
  <r>
    <s v="Акт входного контроля грин00015 от 18.06.2025 23:25:43"/>
    <s v="высший"/>
    <n v="531"/>
    <n v="54927"/>
    <s v="Агролидер ООО"/>
    <s v="Богучарский А. И."/>
    <s v="Е404УС"/>
    <n v="15"/>
    <n v="15"/>
    <s v="Тристар"/>
    <s v="Горох овощной свежий 10.01"/>
    <n v="27280"/>
    <n v="13870"/>
    <n v="9.5"/>
    <n v="13410"/>
    <n v="12136"/>
    <x v="2"/>
    <x v="100"/>
    <n v="1274"/>
    <n v="9.5003728560775547E-2"/>
    <n v="6"/>
    <n v="18"/>
    <x v="20"/>
    <x v="0"/>
  </r>
  <r>
    <s v="Акт входного контроля грин00016 от 18.06.2025 23:38:57"/>
    <s v="высший"/>
    <n v="532"/>
    <n v="54928"/>
    <s v="Агролидер ООО"/>
    <s v="Егоян Артем Владимирович"/>
    <s v="А701СН"/>
    <n v="15"/>
    <n v="15"/>
    <s v="Тристар"/>
    <s v="Горох овощной свежий 10.01"/>
    <n v="28170"/>
    <n v="14930"/>
    <n v="7.5"/>
    <n v="13240"/>
    <n v="12247"/>
    <x v="2"/>
    <x v="100"/>
    <n v="993"/>
    <n v="7.4999999999999997E-2"/>
    <n v="6"/>
    <n v="18"/>
    <x v="20"/>
    <x v="0"/>
  </r>
  <r>
    <s v="Акт входного контроля грин00017 от 18.06.2025 23:37:46"/>
    <s v="высший"/>
    <n v="533"/>
    <n v="54927"/>
    <s v="Агролидер ООО"/>
    <s v="Мудрак Игорь Вадимович"/>
    <s v="С198УЕ"/>
    <n v="15"/>
    <n v="15"/>
    <s v="Тристар"/>
    <s v="Горох овощной свежий 10.01"/>
    <n v="36820"/>
    <n v="24060"/>
    <n v="7.5"/>
    <n v="12760"/>
    <n v="11803"/>
    <x v="2"/>
    <x v="100"/>
    <n v="957"/>
    <n v="7.4999999999999997E-2"/>
    <n v="6"/>
    <n v="18"/>
    <x v="20"/>
    <x v="0"/>
  </r>
  <r>
    <s v="Акт входного контроля грин00018 от 19.06.2025 2:02:01"/>
    <s v="высший"/>
    <n v="534"/>
    <n v="54928"/>
    <s v="Агролидер ООО"/>
    <s v="Бербеницкий Сергей Николаевич"/>
    <s v="С400РР"/>
    <n v="15"/>
    <n v="15"/>
    <s v="Тристар"/>
    <s v="Горох овощной свежий 10.01"/>
    <n v="27850"/>
    <n v="15040"/>
    <n v="6.5"/>
    <n v="12810"/>
    <n v="11977.3"/>
    <x v="2"/>
    <x v="101"/>
    <n v="832.70000000000073"/>
    <n v="6.5003903200624574E-2"/>
    <n v="6"/>
    <n v="19"/>
    <x v="21"/>
    <x v="0"/>
  </r>
  <r>
    <s v="Акт входного контроля грин00019 от 19.06.2025 2:51:38"/>
    <s v="высший"/>
    <n v="535"/>
    <n v="54929"/>
    <s v="Агролидер ООО"/>
    <s v="Сероштан Станислав Викторович"/>
    <s v="Е758РЕ"/>
    <n v="15"/>
    <n v="15"/>
    <s v="Тристар"/>
    <s v="Горох овощной свежий 10.01"/>
    <n v="27380"/>
    <n v="14650"/>
    <n v="5.5"/>
    <n v="12730"/>
    <n v="12029.8"/>
    <x v="2"/>
    <x v="101"/>
    <n v="700.20000000000073"/>
    <n v="5.5003927729772251E-2"/>
    <n v="6"/>
    <n v="19"/>
    <x v="21"/>
    <x v="0"/>
  </r>
  <r>
    <s v="Акт входного контроля грин00020 от 19.06.2025 3:50:04"/>
    <s v="высший"/>
    <n v="536"/>
    <n v="54929"/>
    <s v="Агролидер ООО"/>
    <s v="Черевко Александр Владимирович"/>
    <s v="А114МК"/>
    <n v="15"/>
    <n v="15"/>
    <s v="Тристар"/>
    <s v="Горох овощной свежий 10.01"/>
    <n v="27650"/>
    <n v="14660"/>
    <n v="6.5"/>
    <n v="12990"/>
    <n v="12145.6"/>
    <x v="2"/>
    <x v="101"/>
    <n v="844.39999999999964"/>
    <n v="6.5003849114703596E-2"/>
    <n v="6"/>
    <n v="19"/>
    <x v="21"/>
    <x v="0"/>
  </r>
  <r>
    <s v="Акт входного контроля грин00021 от 19.06.2025 5:19:47"/>
    <s v="высший"/>
    <n v="537"/>
    <n v="54930"/>
    <s v="Агролидер ООО"/>
    <s v="Гужва А М."/>
    <s v="Т285ВЕ"/>
    <n v="15"/>
    <n v="15"/>
    <s v="Тристар"/>
    <s v="Горох овощной свежий 10.01"/>
    <n v="28680"/>
    <n v="14980"/>
    <n v="8.5"/>
    <n v="13700"/>
    <n v="12535.5"/>
    <x v="2"/>
    <x v="101"/>
    <n v="1164.5"/>
    <n v="8.5000000000000006E-2"/>
    <n v="6"/>
    <n v="19"/>
    <x v="21"/>
    <x v="0"/>
  </r>
  <r>
    <s v="Акт входного контроля грин00022 от 19.06.2025 6:03:27"/>
    <s v="высший"/>
    <n v="538"/>
    <n v="54930"/>
    <s v="Агролидер ООО"/>
    <s v="Жданов Андрей Иванович"/>
    <s v="С707ОУ"/>
    <n v="16"/>
    <n v="16"/>
    <s v="Тристар"/>
    <s v="Горох овощной свежий 10.01"/>
    <n v="27300"/>
    <n v="14510"/>
    <n v="6.5"/>
    <n v="12790"/>
    <n v="11958.6"/>
    <x v="2"/>
    <x v="101"/>
    <n v="831.39999999999964"/>
    <n v="6.5003909304143834E-2"/>
    <n v="6"/>
    <n v="19"/>
    <x v="21"/>
    <x v="0"/>
  </r>
  <r>
    <s v="Акт входного контроля грин00023 от 19.06.2025 6:47:15"/>
    <s v="высший"/>
    <n v="539"/>
    <n v="54931"/>
    <s v="Агролидер ООО"/>
    <s v="Грищенко Александр Александрович"/>
    <s v="К416ТН"/>
    <n v="16"/>
    <n v="16"/>
    <s v="Тристар"/>
    <s v="Горох овощной свежий 10.01"/>
    <n v="28560"/>
    <n v="15560"/>
    <n v="8.5"/>
    <n v="13000"/>
    <n v="11895"/>
    <x v="2"/>
    <x v="101"/>
    <n v="1105"/>
    <n v="8.5000000000000006E-2"/>
    <n v="6"/>
    <n v="19"/>
    <x v="21"/>
    <x v="0"/>
  </r>
  <r>
    <s v="Акт входного контроля грин00024 от 19.06.2025 10:08:21"/>
    <s v="высший"/>
    <n v="541"/>
    <n v="54931"/>
    <s v="Агролидер ООО"/>
    <s v="Кудря Евгений"/>
    <s v="А719ОО"/>
    <n v="16"/>
    <n v="16"/>
    <s v="Тристар"/>
    <s v="Горох овощной свежий 10.01"/>
    <n v="27680"/>
    <n v="14660"/>
    <n v="7.5"/>
    <n v="13020"/>
    <n v="12043.5"/>
    <x v="2"/>
    <x v="101"/>
    <n v="976.5"/>
    <n v="7.4999999999999997E-2"/>
    <n v="6"/>
    <n v="19"/>
    <x v="21"/>
    <x v="0"/>
  </r>
  <r>
    <s v="Акт входного контроля грин00025 от 19.06.2025 10:54:59"/>
    <s v="высший"/>
    <n v="543"/>
    <n v="54933"/>
    <s v="Агролидер ООО"/>
    <s v="Мудрак Игорь Вадимович"/>
    <s v="С198УЕ"/>
    <n v="16"/>
    <n v="16"/>
    <s v="Тристар"/>
    <s v="Горох овощной свежий 10.01"/>
    <n v="37000"/>
    <n v="23960"/>
    <n v="6.5"/>
    <n v="13040"/>
    <n v="12192.4"/>
    <x v="2"/>
    <x v="101"/>
    <n v="847.60000000000036"/>
    <n v="6.500000000000003E-2"/>
    <n v="6"/>
    <n v="19"/>
    <x v="21"/>
    <x v="0"/>
  </r>
  <r>
    <s v="Акт входного контроля грин00026 от 19.06.2025 12:12:39"/>
    <s v="высший"/>
    <n v="544"/>
    <n v="54934"/>
    <s v="Агролидер ООО"/>
    <s v="Егоян Артем Владимирович"/>
    <s v="А701СН"/>
    <n v="16"/>
    <n v="16"/>
    <s v="Тристар"/>
    <s v="Горох овощной свежий 10.01"/>
    <n v="28150"/>
    <n v="14960"/>
    <n v="8.5"/>
    <n v="13190"/>
    <n v="12068.8"/>
    <x v="2"/>
    <x v="101"/>
    <n v="1121.2000000000007"/>
    <n v="8.5003790750568672E-2"/>
    <n v="6"/>
    <n v="19"/>
    <x v="21"/>
    <x v="0"/>
  </r>
  <r>
    <s v="Акт входного контроля грин00027 от 19.06.2025 12:52:27"/>
    <s v="высший"/>
    <n v="547"/>
    <n v="54934"/>
    <s v="Агролидер ООО"/>
    <s v="Сероштан Станислав Викторович"/>
    <s v="Е758РЕ"/>
    <n v="16"/>
    <n v="16"/>
    <s v="Тристар"/>
    <s v="Горох овощной свежий 10.01"/>
    <n v="27940"/>
    <n v="14570"/>
    <n v="9.5"/>
    <n v="13370"/>
    <n v="12099.8"/>
    <x v="2"/>
    <x v="101"/>
    <n v="1270.2000000000007"/>
    <n v="9.500373971578166E-2"/>
    <n v="6"/>
    <n v="19"/>
    <x v="21"/>
    <x v="0"/>
  </r>
  <r>
    <s v="Акт входного контроля грин00028 от 19.06.2025 13:47:10"/>
    <s v="высший"/>
    <n v="549"/>
    <n v="54934"/>
    <s v="Агролидер ООО"/>
    <s v="Бербеницкий Сергей Николаевич"/>
    <s v="С400РР"/>
    <n v="16"/>
    <n v="16"/>
    <s v="Тристар"/>
    <s v="Горох овощной свежий 10.01"/>
    <n v="28260"/>
    <n v="14960"/>
    <n v="13"/>
    <n v="13300"/>
    <n v="11571"/>
    <x v="2"/>
    <x v="101"/>
    <n v="1729"/>
    <n v="0.13"/>
    <n v="6"/>
    <n v="19"/>
    <x v="21"/>
    <x v="0"/>
  </r>
  <r>
    <s v="Акт входного контроля грин00029 от 19.06.2025 17:45:55"/>
    <s v="высший"/>
    <n v="551"/>
    <n v="54936"/>
    <s v="Агролидер ООО"/>
    <s v="Мудрак Вадим Васильевич"/>
    <s v="Х514ОК"/>
    <n v="16"/>
    <n v="16"/>
    <s v="Тристар"/>
    <s v="Горох овощной свежий 10.01"/>
    <n v="34460"/>
    <n v="21030"/>
    <n v="12.5"/>
    <n v="13430"/>
    <n v="11751.2"/>
    <x v="2"/>
    <x v="101"/>
    <n v="1678.7999999999993"/>
    <n v="0.12500372300819057"/>
    <n v="6"/>
    <n v="19"/>
    <x v="21"/>
    <x v="0"/>
  </r>
  <r>
    <s v="Акт входного контроля грин00030 от 19.06.2025 18:15:38"/>
    <s v="высший"/>
    <n v="550"/>
    <n v="54935"/>
    <s v="Агролидер ООО"/>
    <s v="Черевко Александр Владимирович"/>
    <s v="А114МК"/>
    <n v="16"/>
    <n v="16"/>
    <s v="Тристар"/>
    <s v="Горох овощной свежий 10.01"/>
    <n v="27940"/>
    <n v="14590"/>
    <n v="9.5"/>
    <n v="13350"/>
    <n v="12081.7"/>
    <x v="2"/>
    <x v="101"/>
    <n v="1268.2999999999993"/>
    <n v="9.5003745318352012E-2"/>
    <n v="6"/>
    <n v="19"/>
    <x v="21"/>
    <x v="0"/>
  </r>
  <r>
    <s v="Акт входного контроля грин00031 от 19.06.2025 18:43:23"/>
    <s v="высший"/>
    <n v="552"/>
    <n v="54936"/>
    <s v="Агролидер ООО"/>
    <s v="Богучарский А. И."/>
    <s v="Е404УС"/>
    <n v="16"/>
    <n v="16"/>
    <s v="Тристар"/>
    <s v="Горох овощной свежий 10.01"/>
    <n v="27200"/>
    <n v="13800"/>
    <n v="10.5"/>
    <n v="13400"/>
    <n v="11993"/>
    <x v="2"/>
    <x v="101"/>
    <n v="1407"/>
    <n v="0.105"/>
    <n v="6"/>
    <n v="19"/>
    <x v="21"/>
    <x v="0"/>
  </r>
  <r>
    <s v="Акт входного контроля грин00032 от 19.06.2025 19:59:54"/>
    <s v="высший"/>
    <n v="553"/>
    <n v="54937"/>
    <s v="Агролидер ООО"/>
    <s v="Грищенко Александр Александрович"/>
    <s v="К416ТН"/>
    <n v="16"/>
    <n v="16"/>
    <s v="Тристар"/>
    <s v="Горох овощной свежий 10.01"/>
    <n v="29170"/>
    <n v="15500"/>
    <n v="7.5"/>
    <n v="13670"/>
    <n v="12644.7"/>
    <x v="2"/>
    <x v="101"/>
    <n v="1025.2999999999993"/>
    <n v="7.5003657644476904E-2"/>
    <n v="6"/>
    <n v="19"/>
    <x v="21"/>
    <x v="0"/>
  </r>
  <r>
    <s v="Акт входного контроля грин00033 от 19.06.2025 21:37:08"/>
    <s v="высший"/>
    <n v="555"/>
    <n v="54937"/>
    <s v="Агролидер ООО"/>
    <s v="Гужва А М."/>
    <s v="Т285ВЕ"/>
    <n v="16"/>
    <n v="16"/>
    <s v="Тристар"/>
    <s v="Горох овощной свежий 10.01"/>
    <n v="28460"/>
    <n v="14900"/>
    <n v="6.5"/>
    <n v="13560"/>
    <n v="12678.6"/>
    <x v="2"/>
    <x v="101"/>
    <n v="881.39999999999964"/>
    <n v="6.4999999999999974E-2"/>
    <n v="6"/>
    <n v="19"/>
    <x v="21"/>
    <x v="0"/>
  </r>
  <r>
    <s v="Акт входного контроля грин00034 от 19.06.2025 22:05:32"/>
    <s v="высший"/>
    <n v="554"/>
    <n v="54937"/>
    <s v="Агролидер ООО"/>
    <s v="Жданов Андрей Иванович"/>
    <s v="С707ОУ"/>
    <n v="16"/>
    <n v="16"/>
    <s v="Тристар"/>
    <s v="Горох овощной свежий 10.01"/>
    <n v="27920"/>
    <n v="14400"/>
    <n v="9.5"/>
    <n v="13520"/>
    <n v="12235.6"/>
    <x v="2"/>
    <x v="101"/>
    <n v="1284.3999999999996"/>
    <n v="9.4999999999999973E-2"/>
    <n v="6"/>
    <n v="19"/>
    <x v="21"/>
    <x v="0"/>
  </r>
  <r>
    <s v="Акт входного контроля грин00035 от 19.06.2025 21:38:57"/>
    <s v="высший"/>
    <n v="556"/>
    <n v="54938"/>
    <s v="Агролидер ООО"/>
    <s v="Кудря Евгений"/>
    <s v="А719ОО"/>
    <n v="16"/>
    <n v="16"/>
    <s v="Тристар"/>
    <s v="Горох овощной свежий 10.01"/>
    <n v="28110"/>
    <n v="14730"/>
    <n v="8.5"/>
    <n v="13380"/>
    <n v="12242.7"/>
    <x v="2"/>
    <x v="101"/>
    <n v="1137.2999999999993"/>
    <n v="8.4999999999999951E-2"/>
    <n v="6"/>
    <n v="19"/>
    <x v="21"/>
    <x v="0"/>
  </r>
  <r>
    <s v="Акт входного контроля грин00036 от 19.06.2025 22:30:45"/>
    <s v="первый"/>
    <n v="557"/>
    <n v="54938"/>
    <s v="Агролидер ООО"/>
    <s v="Егоян Артем Владимирович"/>
    <s v="А701СН"/>
    <n v="16"/>
    <n v="16"/>
    <s v="Тристар"/>
    <s v="Горох овощной свежий 10.01"/>
    <n v="28060"/>
    <n v="14890"/>
    <n v="6.5"/>
    <n v="13170"/>
    <n v="12313.9"/>
    <x v="2"/>
    <x v="101"/>
    <n v="856.10000000000036"/>
    <n v="6.5003796507213385E-2"/>
    <n v="6"/>
    <n v="19"/>
    <x v="21"/>
    <x v="0"/>
  </r>
  <r>
    <s v="Акт входного контроля грин00037 от 19.06.2025 23:38:02"/>
    <s v="первый"/>
    <n v="559"/>
    <n v="54939"/>
    <s v="Агролидер ООО"/>
    <s v="Бербеницкий Сергей Николаевич"/>
    <s v="С400РР"/>
    <n v="16"/>
    <n v="16"/>
    <s v="Тристар"/>
    <s v="Горох овощной свежий 10.01"/>
    <n v="28140"/>
    <n v="15020"/>
    <n v="5.5"/>
    <n v="13120"/>
    <n v="12398.4"/>
    <x v="2"/>
    <x v="101"/>
    <n v="721.60000000000036"/>
    <n v="5.5000000000000028E-2"/>
    <n v="6"/>
    <n v="19"/>
    <x v="21"/>
    <x v="0"/>
  </r>
  <r>
    <s v="Акт входного контроля грин00038 от 19.06.2025 23:05:38"/>
    <s v="первый"/>
    <n v="558"/>
    <n v="54939"/>
    <s v="Агролидер ООО"/>
    <s v="Мудрак Игорь Вадимович"/>
    <s v="С198УЕ"/>
    <n v="16"/>
    <n v="16"/>
    <s v="Тристар"/>
    <s v="Горох овощной свежий 10.01"/>
    <n v="37150"/>
    <n v="24140"/>
    <n v="6.5"/>
    <n v="13010"/>
    <n v="12164.3"/>
    <x v="2"/>
    <x v="101"/>
    <n v="845.70000000000073"/>
    <n v="6.5003843197540406E-2"/>
    <n v="6"/>
    <n v="19"/>
    <x v="21"/>
    <x v="0"/>
  </r>
  <r>
    <s v="Акт входного контроля грин00039 от 20.06.2025 6:41:34"/>
    <s v="первый"/>
    <n v="561"/>
    <n v="54940"/>
    <s v="Агролидер ООО"/>
    <s v="Погуляй А.Б.       "/>
    <s v="О824ТХ"/>
    <n v="16"/>
    <n v="16"/>
    <s v="Тристар"/>
    <s v="Горох овощной свежий 10.01"/>
    <n v="31800"/>
    <n v="18680"/>
    <n v="6.5"/>
    <n v="13120"/>
    <n v="12267.2"/>
    <x v="2"/>
    <x v="102"/>
    <n v="852.79999999999927"/>
    <n v="6.4999999999999947E-2"/>
    <n v="6"/>
    <n v="20"/>
    <x v="22"/>
    <x v="0"/>
  </r>
  <r>
    <s v="Акт входного контроля грин00040 от 20.06.2025 7:53:46"/>
    <s v="первый"/>
    <n v="560"/>
    <n v="54940"/>
    <s v="Агролидер ООО"/>
    <s v="Черевко Александр Владимирович"/>
    <s v="А114МК"/>
    <n v="16"/>
    <n v="16"/>
    <s v="Тристар"/>
    <s v="Горох овощной свежий 10.01"/>
    <n v="27710"/>
    <n v="14530"/>
    <n v="5.5"/>
    <n v="13180"/>
    <n v="12455.1"/>
    <x v="2"/>
    <x v="102"/>
    <n v="724.89999999999964"/>
    <n v="5.4999999999999973E-2"/>
    <n v="6"/>
    <n v="20"/>
    <x v="22"/>
    <x v="0"/>
  </r>
  <r>
    <s v="Акт входного контроля грин00041 от 20.06.2025 8:04:34"/>
    <s v="первый"/>
    <n v="562"/>
    <n v="54941"/>
    <s v="Агролидер ООО"/>
    <s v="Богучарский А. И."/>
    <s v="Е404УС"/>
    <n v="16"/>
    <n v="16"/>
    <s v="Тристар"/>
    <s v="Горох овощной свежий 10.01"/>
    <n v="27470"/>
    <n v="13870"/>
    <n v="5.5"/>
    <n v="13600"/>
    <n v="12852"/>
    <x v="2"/>
    <x v="102"/>
    <n v="748"/>
    <n v="5.5E-2"/>
    <n v="6"/>
    <n v="20"/>
    <x v="22"/>
    <x v="0"/>
  </r>
  <r>
    <s v="Акт входного контроля грин00042 от 20.06.2025 10:36:36"/>
    <s v="первый"/>
    <n v="564"/>
    <n v="54942"/>
    <s v="Агролидер ООО"/>
    <s v="Мудрак Вадим Васильевич"/>
    <s v="Х514ОК"/>
    <n v="14"/>
    <n v="14"/>
    <s v="Тристар"/>
    <s v="Горох овощной свежий 10.01"/>
    <n v="34090"/>
    <n v="21010"/>
    <n v="5.5"/>
    <n v="13080"/>
    <n v="12360.6"/>
    <x v="2"/>
    <x v="102"/>
    <n v="719.39999999999964"/>
    <n v="5.4999999999999973E-2"/>
    <n v="6"/>
    <n v="20"/>
    <x v="22"/>
    <x v="0"/>
  </r>
  <r>
    <s v="Акт входного контроля грин00043 от 20.06.2025 11:14:17"/>
    <s v="второй"/>
    <n v="563"/>
    <n v="54941"/>
    <s v="Агролидер ООО"/>
    <s v="Грищенко Александр Александрович"/>
    <s v="К416ТН"/>
    <n v="14"/>
    <n v="14"/>
    <s v="Тристар"/>
    <s v="Горох овощной свежий 10.01"/>
    <n v="28800"/>
    <n v="15600"/>
    <n v="5.5"/>
    <n v="13200"/>
    <n v="12474"/>
    <x v="2"/>
    <x v="102"/>
    <n v="726"/>
    <n v="5.5E-2"/>
    <n v="6"/>
    <n v="20"/>
    <x v="22"/>
    <x v="0"/>
  </r>
  <r>
    <s v="Акт входного контроля грин00044 от 20.06.2025 13:27:20"/>
    <s v="первый"/>
    <n v="566"/>
    <n v="54943"/>
    <s v="Агролидер ООО"/>
    <s v="Бербеницкий Сергей Николаевич"/>
    <s v="С400РР"/>
    <n v="14"/>
    <n v="14"/>
    <s v="Тристар"/>
    <s v="Горох овощной свежий 10.01"/>
    <n v="28200"/>
    <n v="14990"/>
    <n v="6.5"/>
    <n v="13210"/>
    <n v="12351.3"/>
    <x v="2"/>
    <x v="102"/>
    <n v="858.70000000000073"/>
    <n v="6.5003785011355092E-2"/>
    <n v="6"/>
    <n v="20"/>
    <x v="22"/>
    <x v="0"/>
  </r>
  <r>
    <s v="Акт входного контроля грин00045 от 20.06.2025 14:09:14"/>
    <s v="первый"/>
    <n v="565"/>
    <n v="54943"/>
    <s v="Агролидер ООО"/>
    <s v="Кудря Евгений"/>
    <s v="А719ОО"/>
    <n v="14"/>
    <n v="14"/>
    <s v="Тристар"/>
    <s v="Горох овощной свежий 10.01"/>
    <n v="27720"/>
    <n v="14720"/>
    <n v="6.5"/>
    <n v="13000"/>
    <n v="12155"/>
    <x v="2"/>
    <x v="102"/>
    <n v="845"/>
    <n v="6.5000000000000002E-2"/>
    <n v="6"/>
    <n v="20"/>
    <x v="22"/>
    <x v="0"/>
  </r>
  <r>
    <s v="Акт входного контроля грин00046 от 20.06.2025 17:16:58"/>
    <s v="первый"/>
    <n v="573"/>
    <n v="54944"/>
    <s v="Агролидер ООО"/>
    <s v="Егоян Артем Владимирович"/>
    <s v="А701СН"/>
    <n v="14"/>
    <n v="14"/>
    <s v="Тристар"/>
    <s v="Горох овощной свежий 10.01"/>
    <n v="27940"/>
    <n v="14850"/>
    <n v="6.5"/>
    <n v="13090"/>
    <n v="12239.1"/>
    <x v="2"/>
    <x v="102"/>
    <n v="850.89999999999964"/>
    <n v="6.5003819709702038E-2"/>
    <n v="6"/>
    <n v="20"/>
    <x v="22"/>
    <x v="0"/>
  </r>
  <r>
    <s v="Акт входного контроля грин00047 от 20.06.2025 17:24:06"/>
    <s v="второй"/>
    <n v="570"/>
    <n v="54944"/>
    <s v="Агролидер ООО"/>
    <s v="Мудрак Игорь Вадимович"/>
    <s v="С198УЕ"/>
    <n v="14"/>
    <n v="14"/>
    <s v="Тристар"/>
    <s v="Горох овощной свежий 10.01"/>
    <n v="37320"/>
    <n v="24060"/>
    <n v="4.5"/>
    <n v="13260"/>
    <n v="12663.3"/>
    <x v="2"/>
    <x v="102"/>
    <n v="596.70000000000073"/>
    <n v="4.5000000000000054E-2"/>
    <n v="6"/>
    <n v="20"/>
    <x v="22"/>
    <x v="0"/>
  </r>
  <r>
    <s v="Акт входного контроля грин00048 от 20.06.2025 18:23:21"/>
    <s v="первый"/>
    <n v="577"/>
    <n v="54945"/>
    <s v="Агролидер ООО"/>
    <s v="Погуляй А.Б.       "/>
    <s v="О824ТХ"/>
    <n v="14"/>
    <n v="14"/>
    <s v="Тристар"/>
    <s v="Горох овощной свежий 10.01"/>
    <n v="31390"/>
    <n v="18620"/>
    <n v="5.5"/>
    <n v="12770"/>
    <n v="12067.6"/>
    <x v="2"/>
    <x v="102"/>
    <n v="702.39999999999964"/>
    <n v="5.5003915426781493E-2"/>
    <n v="6"/>
    <n v="20"/>
    <x v="22"/>
    <x v="0"/>
  </r>
  <r>
    <s v="Акт входного контроля грин00049 от 20.06.2025 20:42:45"/>
    <s v="первый"/>
    <n v="574"/>
    <n v="54944"/>
    <s v="Агролидер ООО"/>
    <s v="Сероштан Станислав Викторович"/>
    <s v="Е758РЕ"/>
    <n v="14"/>
    <n v="14"/>
    <s v="Тристар"/>
    <s v="Горох овощной свежий 10.01"/>
    <n v="27580"/>
    <n v="14620"/>
    <n v="3.5"/>
    <n v="12960"/>
    <n v="12506.4"/>
    <x v="2"/>
    <x v="102"/>
    <n v="453.60000000000036"/>
    <n v="3.5000000000000031E-2"/>
    <n v="6"/>
    <n v="20"/>
    <x v="22"/>
    <x v="0"/>
  </r>
  <r>
    <s v="Акт входного контроля грин00050 от 20.06.2025 21:06:24"/>
    <s v="первый"/>
    <n v="579"/>
    <n v="54945"/>
    <s v="Агролидер ООО"/>
    <s v="Богучарский А. И."/>
    <s v="Е404УС"/>
    <n v="14"/>
    <n v="14"/>
    <s v="Тристар"/>
    <s v="Горох овощной свежий 10.01"/>
    <n v="26510"/>
    <n v="13850"/>
    <n v="6.5"/>
    <n v="12660"/>
    <n v="11837.1"/>
    <x v="2"/>
    <x v="102"/>
    <n v="822.89999999999964"/>
    <n v="6.4999999999999974E-2"/>
    <n v="6"/>
    <n v="20"/>
    <x v="22"/>
    <x v="0"/>
  </r>
  <r>
    <s v="Акт входного контроля грин00051 от 20.06.2025 21:37:19"/>
    <s v="первый"/>
    <n v="580"/>
    <n v="54946"/>
    <s v="Агролидер ООО"/>
    <s v="Черевко Александр Владимирович"/>
    <s v="А114МК"/>
    <n v="14"/>
    <n v="14"/>
    <s v="Тристар"/>
    <s v="Горох овощной свежий 10.01"/>
    <n v="27160"/>
    <n v="14540"/>
    <n v="7.5"/>
    <n v="12620"/>
    <n v="11673.5"/>
    <x v="2"/>
    <x v="102"/>
    <n v="946.5"/>
    <n v="7.4999999999999997E-2"/>
    <n v="6"/>
    <n v="20"/>
    <x v="22"/>
    <x v="0"/>
  </r>
  <r>
    <s v="Акт входного контроля грин00052 от 20.06.2025 22:54:14"/>
    <s v="первый"/>
    <n v="582"/>
    <n v="54947"/>
    <s v="Агролидер ООО"/>
    <s v="Грищенко Александр Александрович"/>
    <s v="К416ТН"/>
    <n v="14"/>
    <n v="14"/>
    <s v="Тристар"/>
    <s v="Горох овощной свежий 10.01"/>
    <n v="28420"/>
    <n v="15670"/>
    <n v="7.5"/>
    <n v="12750"/>
    <n v="11793.7"/>
    <x v="2"/>
    <x v="102"/>
    <n v="956.29999999999927"/>
    <n v="7.5003921568627396E-2"/>
    <n v="6"/>
    <n v="20"/>
    <x v="22"/>
    <x v="0"/>
  </r>
  <r>
    <s v="Акт входного контроля грин00053 от 20.06.2025 16:45:16"/>
    <s v="первый"/>
    <n v="581"/>
    <n v="54947"/>
    <s v="Агролидер ООО"/>
    <s v="Мудрак Вадим Васильевич"/>
    <s v="Х514ОК"/>
    <n v="14"/>
    <n v="14"/>
    <s v="Тристар"/>
    <s v="Горох овощной свежий 10.01"/>
    <n v="33730"/>
    <n v="21060"/>
    <n v="5.5"/>
    <n v="12670"/>
    <n v="11973.1"/>
    <x v="2"/>
    <x v="102"/>
    <n v="696.89999999999964"/>
    <n v="5.500394632991315E-2"/>
    <n v="6"/>
    <n v="20"/>
    <x v="22"/>
    <x v="0"/>
  </r>
  <r>
    <s v="Акт входного контроля грин00054 от 20.06.2025 18:31:52"/>
    <s v="первый"/>
    <n v="583"/>
    <n v="54948"/>
    <s v="Агролидер ООО"/>
    <s v="Бербеницкий Сергей Николаевич"/>
    <s v="С400РР"/>
    <n v="14"/>
    <n v="14"/>
    <s v="Тристар"/>
    <s v="Горох овощной свежий 10.01"/>
    <n v="28000"/>
    <n v="15180"/>
    <n v="8.5"/>
    <n v="12820"/>
    <n v="11730.3"/>
    <x v="2"/>
    <x v="102"/>
    <n v="1089.7000000000007"/>
    <n v="8.5000000000000062E-2"/>
    <n v="6"/>
    <n v="20"/>
    <x v="22"/>
    <x v="0"/>
  </r>
  <r>
    <s v="Акт входного контроля грин00055 от 20.06.2025 23:40:29"/>
    <s v="первый"/>
    <n v="584"/>
    <n v="54948"/>
    <s v="Агролидер ООО"/>
    <s v="Кулик О В"/>
    <s v="К403ЕМ"/>
    <n v="14"/>
    <n v="14"/>
    <s v="Тристар"/>
    <s v="Горох овощной свежий 10.01"/>
    <n v="28060"/>
    <n v="15250"/>
    <n v="8"/>
    <n v="12810"/>
    <n v="11785.2"/>
    <x v="2"/>
    <x v="102"/>
    <n v="1024.7999999999993"/>
    <n v="7.9999999999999946E-2"/>
    <n v="6"/>
    <n v="20"/>
    <x v="22"/>
    <x v="0"/>
  </r>
  <r>
    <s v="Акт входного контроля грин00056 от 21.06.2025 2:26:41"/>
    <s v="первый"/>
    <n v="585"/>
    <n v="54951"/>
    <s v="Агролидер ООО"/>
    <s v="Егоян Артем Владимирович"/>
    <s v="А701СН"/>
    <n v="14"/>
    <n v="14"/>
    <s v="Тристар"/>
    <s v="Горох овощной свежий 10.01"/>
    <n v="27900"/>
    <n v="15330"/>
    <n v="6.5"/>
    <n v="12570"/>
    <n v="11752.9"/>
    <x v="2"/>
    <x v="103"/>
    <n v="817.10000000000036"/>
    <n v="6.500397772474148E-2"/>
    <n v="6"/>
    <n v="21"/>
    <x v="23"/>
    <x v="0"/>
  </r>
  <r>
    <s v="Акт входного контроля грин00057 от 21.06.2025 3:40:40"/>
    <s v="первый"/>
    <n v="586"/>
    <n v="54952"/>
    <s v="Агролидер ООО"/>
    <s v="Мудрак Игорь Вадимович"/>
    <s v="С198УЕ"/>
    <n v="14"/>
    <n v="14"/>
    <s v="Тристар"/>
    <s v="Горох овощной свежий 10.01"/>
    <n v="37180"/>
    <n v="24450"/>
    <n v="11.5"/>
    <n v="12730"/>
    <n v="11266"/>
    <x v="2"/>
    <x v="103"/>
    <n v="1464"/>
    <n v="0.11500392772977219"/>
    <n v="6"/>
    <n v="21"/>
    <x v="23"/>
    <x v="0"/>
  </r>
  <r>
    <s v="Акт входного контроля грин00058 от 21.06.2025 4:56:50"/>
    <s v="высший"/>
    <n v="587"/>
    <n v="54952"/>
    <s v="Агролидер ООО"/>
    <s v="Погуляй А.Б.       "/>
    <s v="О824ТХ"/>
    <n v="14"/>
    <n v="14"/>
    <s v="Тристар"/>
    <s v="Горох овощной свежий 10.01"/>
    <n v="31680"/>
    <n v="18960"/>
    <n v="10"/>
    <n v="12720"/>
    <n v="11448"/>
    <x v="2"/>
    <x v="103"/>
    <n v="1272"/>
    <n v="0.1"/>
    <n v="6"/>
    <n v="21"/>
    <x v="23"/>
    <x v="0"/>
  </r>
  <r>
    <s v="Акт входного контроля грин00059 от 21.06.2025 7:41:07"/>
    <s v="первый"/>
    <n v="588"/>
    <n v="54953"/>
    <s v="Агролидер ООО"/>
    <s v="Извеков Владимир Владимирович"/>
    <s v="Н378ХЕ"/>
    <n v="14"/>
    <n v="14"/>
    <s v="Тристар"/>
    <s v="Горох овощной свежий 10.01"/>
    <n v="28170"/>
    <n v="15480"/>
    <n v="8.5"/>
    <n v="12690"/>
    <n v="11611.3"/>
    <x v="2"/>
    <x v="103"/>
    <n v="1078.7000000000007"/>
    <n v="8.500394011032314E-2"/>
    <n v="6"/>
    <n v="21"/>
    <x v="23"/>
    <x v="0"/>
  </r>
  <r>
    <s v="Акт входного контроля грин00060 от 21.06.2025 9:20:01"/>
    <s v="первый"/>
    <n v="589"/>
    <n v="54953"/>
    <s v="Агролидер ООО"/>
    <s v="Черевко Александр Владимирович"/>
    <s v="А114МК"/>
    <n v="14"/>
    <n v="14"/>
    <s v="Тристар"/>
    <s v="Горох овощной свежий 10.01"/>
    <n v="27490"/>
    <n v="14740"/>
    <n v="8.5"/>
    <n v="12750"/>
    <n v="11666.2"/>
    <x v="2"/>
    <x v="103"/>
    <n v="1083.7999999999993"/>
    <n v="8.5003921568627391E-2"/>
    <n v="6"/>
    <n v="21"/>
    <x v="23"/>
    <x v="0"/>
  </r>
  <r>
    <s v="Акт входного контроля грин00061 от 21.06.2025 10:22:07"/>
    <s v="первый"/>
    <n v="590"/>
    <n v="54953"/>
    <s v="Агролидер ООО"/>
    <s v="Грищенко Александр Александрович"/>
    <s v="К416ТН"/>
    <n v="14"/>
    <n v="14"/>
    <s v="Тристар"/>
    <s v="Горох овощной свежий 10.01"/>
    <n v="28790"/>
    <n v="15820"/>
    <n v="10.5"/>
    <n v="12970"/>
    <n v="11608.1"/>
    <x v="2"/>
    <x v="103"/>
    <n v="1361.8999999999996"/>
    <n v="0.10500385505011563"/>
    <n v="6"/>
    <n v="21"/>
    <x v="23"/>
    <x v="0"/>
  </r>
  <r>
    <s v="Акт входного контроля грин00062 от 21.06.2025 10:24:13"/>
    <s v="первый"/>
    <n v="596"/>
    <n v="54954"/>
    <s v="Агролидер ООО"/>
    <s v="Бербеницкий Сергей Николаевич"/>
    <s v="С400РР"/>
    <n v="14"/>
    <n v="14"/>
    <s v="Тристар"/>
    <s v="Горох овощной свежий 10.01"/>
    <n v="28030"/>
    <n v="15200"/>
    <n v="5.5"/>
    <n v="12830"/>
    <n v="12124.3"/>
    <x v="2"/>
    <x v="103"/>
    <n v="705.70000000000073"/>
    <n v="5.5003897116134119E-2"/>
    <n v="6"/>
    <n v="21"/>
    <x v="23"/>
    <x v="0"/>
  </r>
  <r>
    <s v="Акт входного контроля грин00063 от 21.06.2025 12:49:22"/>
    <s v="второй"/>
    <n v="599"/>
    <n v="54955"/>
    <s v="Агролидер ООО"/>
    <s v="Мудрак Вадим Васильевич"/>
    <s v="Х514ОК"/>
    <n v="14"/>
    <n v="14"/>
    <s v="Тристар"/>
    <s v="Горох овощной свежий 10.01"/>
    <n v="36230"/>
    <n v="21240"/>
    <n v="7"/>
    <n v="14990"/>
    <n v="13940.7"/>
    <x v="2"/>
    <x v="103"/>
    <n v="1049.2999999999993"/>
    <n v="6.9999999999999951E-2"/>
    <n v="6"/>
    <n v="21"/>
    <x v="23"/>
    <x v="0"/>
  </r>
  <r>
    <s v="Акт входного контроля грин00064 от 21.06.2025 16:10:54"/>
    <s v="второй"/>
    <n v="600"/>
    <n v="54955"/>
    <s v="Агролидер ООО"/>
    <s v="Кулик О В"/>
    <s v="К403ЕМ"/>
    <n v="14"/>
    <n v="14"/>
    <s v="Тристар"/>
    <s v="Горох овощной свежий 10.01"/>
    <n v="30090"/>
    <n v="15100"/>
    <n v="7.5"/>
    <n v="14990"/>
    <n v="13865.7"/>
    <x v="2"/>
    <x v="103"/>
    <n v="1124.2999999999993"/>
    <n v="7.5003335557037976E-2"/>
    <n v="6"/>
    <n v="21"/>
    <x v="23"/>
    <x v="0"/>
  </r>
  <r>
    <s v="Акт входного контроля грин00065 от 21.06.2025 16:12:52"/>
    <s v="первый"/>
    <n v="601"/>
    <n v="54956"/>
    <s v="Агролидер ООО"/>
    <s v="Егоян Артем Владимирович"/>
    <s v="А701СН"/>
    <n v="14"/>
    <n v="14"/>
    <s v="Тристар"/>
    <s v="Горох овощной свежий 10.01"/>
    <n v="30360"/>
    <n v="15060"/>
    <n v="8.5"/>
    <n v="15300"/>
    <n v="13999.5"/>
    <x v="2"/>
    <x v="103"/>
    <n v="1300.5"/>
    <n v="8.5000000000000006E-2"/>
    <n v="6"/>
    <n v="21"/>
    <x v="23"/>
    <x v="0"/>
  </r>
  <r>
    <s v="Акт входного контроля грин00066 от 21.06.2025 16:14:55"/>
    <s v="второй"/>
    <n v="602"/>
    <n v="54955"/>
    <s v="Агролидер ООО"/>
    <s v="Мудрак Игорь Вадимович"/>
    <s v="С198УЕ"/>
    <n v="14"/>
    <n v="14"/>
    <s v="Тристар"/>
    <s v="Горох овощной свежий 10.01"/>
    <n v="37830"/>
    <n v="24220"/>
    <n v="8.5"/>
    <n v="13610"/>
    <n v="12453.1"/>
    <x v="2"/>
    <x v="103"/>
    <n v="1156.8999999999996"/>
    <n v="8.5003673769287261E-2"/>
    <n v="6"/>
    <n v="21"/>
    <x v="23"/>
    <x v="0"/>
  </r>
  <r>
    <s v="Акт входного контроля грин00067 от 22.06.2025 7:21:08"/>
    <s v="высший"/>
    <n v="603"/>
    <n v="1"/>
    <s v="Колос ООО"/>
    <s v="Пугачев Сергей Викторович"/>
    <s v="Р258УХ"/>
    <s v="4.1"/>
    <s v="4.1"/>
    <s v="Фаворит"/>
    <s v="Горох овощной свежий 10.01"/>
    <n v="29100"/>
    <n v="15790"/>
    <n v="21.5"/>
    <n v="13310"/>
    <n v="10448.299999999999"/>
    <x v="2"/>
    <x v="104"/>
    <n v="2861.7000000000007"/>
    <n v="0.21500375657400456"/>
    <n v="6"/>
    <n v="22"/>
    <x v="24"/>
    <x v="0"/>
  </r>
  <r>
    <s v="Акт входного контроля грин00068 от 22.06.2025 9:51:13"/>
    <s v="высший"/>
    <n v="604"/>
    <n v="3"/>
    <s v="Колос ООО"/>
    <s v="Лазаренко Вятчеслав Владимирович"/>
    <s v="Т239УС"/>
    <s v="4.1"/>
    <s v="4.1"/>
    <s v="Фаворит"/>
    <s v="Горох овощной свежий 10.01"/>
    <n v="27970"/>
    <n v="14950"/>
    <n v="19.5"/>
    <n v="13020"/>
    <n v="10481.1"/>
    <x v="2"/>
    <x v="104"/>
    <n v="2538.8999999999996"/>
    <n v="0.19499999999999998"/>
    <n v="6"/>
    <n v="22"/>
    <x v="24"/>
    <x v="0"/>
  </r>
  <r>
    <s v="Акт входного контроля грин00069 от 22.06.2025 9:53:02"/>
    <s v="высший"/>
    <n v="606"/>
    <n v="2"/>
    <s v="Колос ООО"/>
    <s v="Никитась Сергей Анатольевич"/>
    <s v="К570ЕО"/>
    <s v="4.1"/>
    <s v="4.1"/>
    <s v="Фаворит"/>
    <s v="Горох овощной свежий 10.01"/>
    <n v="27740"/>
    <n v="15140"/>
    <n v="24"/>
    <n v="12600"/>
    <n v="9576"/>
    <x v="2"/>
    <x v="104"/>
    <n v="3024"/>
    <n v="0.24"/>
    <n v="6"/>
    <n v="22"/>
    <x v="24"/>
    <x v="0"/>
  </r>
  <r>
    <s v="Акт входного контроля грин00070 от 22.06.2025 13:07:29"/>
    <s v="высший"/>
    <n v="607"/>
    <n v="4"/>
    <s v="Колос ООО"/>
    <s v="Огнев Максим Викторович"/>
    <s v="Р755НН"/>
    <s v="4.1"/>
    <s v="4.1"/>
    <s v="Фаворит"/>
    <s v="Горох овощной свежий 10.01"/>
    <n v="27470"/>
    <n v="14820"/>
    <n v="14.5"/>
    <n v="12650"/>
    <n v="10815.7"/>
    <x v="2"/>
    <x v="104"/>
    <n v="1834.2999999999993"/>
    <n v="0.1450039525691699"/>
    <n v="6"/>
    <n v="22"/>
    <x v="24"/>
    <x v="0"/>
  </r>
  <r>
    <s v="Акт входного контроля грин00071 от 22.06.2025 14:26:18"/>
    <s v="высший"/>
    <n v="608"/>
    <n v="6"/>
    <s v="Колос ООО"/>
    <s v="Гужва А М."/>
    <s v="Т285ВЕ"/>
    <s v="4.1"/>
    <s v="4.1"/>
    <s v="Фаворит"/>
    <s v="Горох овощной свежий 10.01"/>
    <n v="27940"/>
    <n v="14900"/>
    <n v="23.5"/>
    <n v="13040"/>
    <n v="9975.6"/>
    <x v="2"/>
    <x v="104"/>
    <n v="3064.3999999999996"/>
    <n v="0.23499999999999996"/>
    <n v="6"/>
    <n v="22"/>
    <x v="24"/>
    <x v="0"/>
  </r>
  <r>
    <s v="Акт входного контроля грин00072 от 22.06.2025 14:28:07"/>
    <s v="высший"/>
    <n v="609"/>
    <n v="5"/>
    <s v="Колос ООО"/>
    <s v="Жданов Андрей Иванович"/>
    <s v="С707ОУ"/>
    <s v="4.1"/>
    <s v="4.1"/>
    <s v="Фаворит"/>
    <s v="Горох овощной свежий 10.01"/>
    <n v="27840"/>
    <n v="14400"/>
    <n v="20.5"/>
    <n v="13440"/>
    <n v="10684.8"/>
    <x v="2"/>
    <x v="104"/>
    <n v="2755.2000000000007"/>
    <n v="0.20500000000000004"/>
    <n v="6"/>
    <n v="22"/>
    <x v="24"/>
    <x v="0"/>
  </r>
  <r>
    <s v="Акт входного контроля грин00073 от 22.06.2025 14:43:41"/>
    <s v="высший"/>
    <n v="610"/>
    <n v="7"/>
    <s v="Колос ООО"/>
    <s v="Мудрак Вадим Васильевич"/>
    <s v="Х514ОК"/>
    <s v="4.1"/>
    <s v="4.1"/>
    <s v="Фаворит"/>
    <s v="Горох овощной свежий 10.01"/>
    <n v="35160"/>
    <n v="21150"/>
    <n v="21.5"/>
    <n v="14010"/>
    <n v="10997.8"/>
    <x v="2"/>
    <x v="104"/>
    <n v="3012.2000000000007"/>
    <n v="0.21500356887937194"/>
    <n v="6"/>
    <n v="22"/>
    <x v="24"/>
    <x v="0"/>
  </r>
  <r>
    <s v="Акт входного контроля грин00074 от 22.06.2025 18:09:10"/>
    <s v="высший"/>
    <n v="611"/>
    <n v="8"/>
    <s v="Колос ООО"/>
    <s v="Мудрак Игорь Вадимович"/>
    <s v="С198УЕ"/>
    <s v="4.4"/>
    <s v="4.4"/>
    <s v="Грюнди"/>
    <s v="Горох овощной свежий 10.01"/>
    <n v="38170"/>
    <n v="24060"/>
    <n v="15"/>
    <n v="14110"/>
    <n v="11993.5"/>
    <x v="2"/>
    <x v="104"/>
    <n v="2116.5"/>
    <n v="0.15"/>
    <n v="6"/>
    <n v="22"/>
    <x v="24"/>
    <x v="0"/>
  </r>
  <r>
    <s v="Акт входного контроля грин00075 от 22.06.2025 18:11:37"/>
    <s v="высший"/>
    <n v="612"/>
    <n v="9"/>
    <s v="Колос ООО"/>
    <s v="Егоян Артем Владимирович"/>
    <s v="А701СН"/>
    <s v="4.4"/>
    <s v="4.4"/>
    <s v="Грюнди"/>
    <s v="Горох овощной свежий 10.01"/>
    <n v="29040"/>
    <n v="14950"/>
    <n v="15"/>
    <n v="14090"/>
    <n v="11976.5"/>
    <x v="2"/>
    <x v="104"/>
    <n v="2113.5"/>
    <n v="0.15"/>
    <n v="6"/>
    <n v="22"/>
    <x v="24"/>
    <x v="0"/>
  </r>
  <r>
    <s v="Акт входного контроля грин00076 от 22.06.2025 17:15:46"/>
    <s v="высший"/>
    <n v="613"/>
    <n v="10"/>
    <s v="Колос ООО"/>
    <s v="Черевко Александр Владимирович"/>
    <s v="А114МК"/>
    <s v="4.4"/>
    <s v="4.4"/>
    <s v="Грюнди"/>
    <s v="Горох овощной свежий 10.01"/>
    <n v="28400"/>
    <n v="14600"/>
    <n v="23"/>
    <n v="13800"/>
    <n v="10626"/>
    <x v="2"/>
    <x v="104"/>
    <n v="3174"/>
    <n v="0.23"/>
    <n v="6"/>
    <n v="22"/>
    <x v="24"/>
    <x v="0"/>
  </r>
  <r>
    <s v="Акт входного контроля грин00077 от 22.06.2025 19:50:38"/>
    <s v="высший"/>
    <n v="615"/>
    <n v="11"/>
    <s v="Колос ООО"/>
    <s v="Пугачев Сергей Викторович"/>
    <s v="Р258УХ"/>
    <s v="4.4"/>
    <s v="4.4"/>
    <s v="Грюнди"/>
    <s v="Горох овощной свежий 10.01"/>
    <n v="29840"/>
    <n v="15720"/>
    <n v="19"/>
    <n v="14120"/>
    <n v="11437.2"/>
    <x v="2"/>
    <x v="104"/>
    <n v="2682.7999999999993"/>
    <n v="0.18999999999999995"/>
    <n v="6"/>
    <n v="22"/>
    <x v="24"/>
    <x v="0"/>
  </r>
  <r>
    <s v="Акт входного контроля грин00078 от 22.06.2025 19:54:07"/>
    <s v="высший"/>
    <n v="616"/>
    <n v="12"/>
    <s v="Колос ООО"/>
    <s v="Богучарский А. И."/>
    <s v="Е404УС"/>
    <s v="4.4"/>
    <s v="4.4"/>
    <s v="Грюнди"/>
    <s v="Горох овощной свежий 10.01"/>
    <n v="27720"/>
    <n v="13850"/>
    <n v="16"/>
    <n v="13870"/>
    <n v="11650.8"/>
    <x v="2"/>
    <x v="104"/>
    <n v="2219.2000000000007"/>
    <n v="0.16000000000000006"/>
    <n v="6"/>
    <n v="22"/>
    <x v="24"/>
    <x v="0"/>
  </r>
  <r>
    <s v="Акт входного контроля грин00079 от 22.06.2025 21:08:08"/>
    <s v="высший"/>
    <n v="617"/>
    <n v="13"/>
    <s v="Колос ООО"/>
    <s v="Бербеницкий Сергей Николаевич"/>
    <s v="С400РР"/>
    <s v="4.4"/>
    <s v="4.4"/>
    <s v="Грюнди"/>
    <s v="Горох овощной свежий 10.01"/>
    <n v="29210"/>
    <n v="15070"/>
    <n v="16.5"/>
    <n v="14140"/>
    <n v="11806.9"/>
    <x v="2"/>
    <x v="104"/>
    <n v="2333.1000000000004"/>
    <n v="0.16500000000000004"/>
    <n v="6"/>
    <n v="22"/>
    <x v="24"/>
    <x v="0"/>
  </r>
  <r>
    <s v="Акт входного контроля грин00080 от 22.06.2025 23:56:58"/>
    <s v="высший"/>
    <n v="618"/>
    <n v="14"/>
    <s v="Колос ООО"/>
    <s v="Лазаренко Вятчеслав Владимирович"/>
    <s v="Т239УС"/>
    <s v="4.4"/>
    <s v="4.4"/>
    <s v="Грюнди"/>
    <s v="Горох овощной свежий 10.01"/>
    <n v="29280"/>
    <n v="14830"/>
    <n v="14.5"/>
    <n v="14450"/>
    <n v="12354.7"/>
    <x v="2"/>
    <x v="104"/>
    <n v="2095.2999999999993"/>
    <n v="0.1450034602076124"/>
    <n v="6"/>
    <n v="22"/>
    <x v="24"/>
    <x v="0"/>
  </r>
  <r>
    <s v="Акт входного контроля грин00081 от 22.06.2025 23:23:52"/>
    <s v="высший"/>
    <n v="619"/>
    <n v="15"/>
    <s v="Колос ООО"/>
    <s v="Никитась Сергей Анатольевич"/>
    <s v="К570ЕО"/>
    <s v="4.4"/>
    <s v="4.4"/>
    <s v="Грюнди"/>
    <s v="Горох овощной свежий 10.01"/>
    <n v="29070"/>
    <n v="15010"/>
    <n v="12.5"/>
    <n v="14060"/>
    <n v="12302.5"/>
    <x v="2"/>
    <x v="104"/>
    <n v="1757.5"/>
    <n v="0.125"/>
    <n v="6"/>
    <n v="22"/>
    <x v="24"/>
    <x v="0"/>
  </r>
  <r>
    <s v="Акт входного контроля грин00082 от 23.06.2025 2:14:20"/>
    <s v="высший"/>
    <n v="620"/>
    <n v="16"/>
    <s v="Колос ООО"/>
    <s v="Кудря Евгений"/>
    <s v="А719ОО"/>
    <s v="4.4"/>
    <s v="4.4"/>
    <s v="Грюнди"/>
    <s v="Горох овощной свежий 10.01"/>
    <n v="27990"/>
    <n v="14700"/>
    <n v="15"/>
    <n v="13290"/>
    <n v="11296.5"/>
    <x v="2"/>
    <x v="105"/>
    <n v="1993.5"/>
    <n v="0.15"/>
    <n v="6"/>
    <n v="23"/>
    <x v="25"/>
    <x v="0"/>
  </r>
  <r>
    <s v="Акт входного контроля грин00083 от 23.06.2025 2:17:06"/>
    <s v="высший"/>
    <n v="621"/>
    <n v="17"/>
    <s v="Колос ООО"/>
    <s v="Огнев Максим Викторович"/>
    <s v="Р755НН"/>
    <s v="4.4"/>
    <s v="4.4"/>
    <s v="Грюнди"/>
    <s v="Горох овощной свежий 10.01"/>
    <n v="28110"/>
    <n v="14730"/>
    <n v="20"/>
    <n v="13380"/>
    <n v="10704"/>
    <x v="2"/>
    <x v="105"/>
    <n v="2676"/>
    <n v="0.2"/>
    <n v="6"/>
    <n v="23"/>
    <x v="25"/>
    <x v="0"/>
  </r>
  <r>
    <s v="Акт входного контроля грин00084 от 23.06.2025 4:35:02"/>
    <s v="высший"/>
    <n v="622"/>
    <n v="18"/>
    <s v="Колос ООО"/>
    <s v="Погуляй А.Б.       "/>
    <s v="О824ТХ"/>
    <s v="4.4"/>
    <s v="4.4"/>
    <s v="Грюнди"/>
    <s v="Горох овощной свежий 10.01"/>
    <n v="31970"/>
    <n v="18740"/>
    <n v="17"/>
    <n v="13230"/>
    <n v="10980.9"/>
    <x v="2"/>
    <x v="105"/>
    <n v="2249.1000000000004"/>
    <n v="0.17000000000000004"/>
    <n v="6"/>
    <n v="23"/>
    <x v="25"/>
    <x v="0"/>
  </r>
  <r>
    <s v="Акт входного контроля грин00085 от 23.06.2025 4:37:29"/>
    <s v="высший"/>
    <n v="623"/>
    <n v="19"/>
    <s v="Колос ООО"/>
    <s v="Кулик О В"/>
    <s v="К403ЕМ"/>
    <s v="4.4"/>
    <s v="4.4"/>
    <s v="Грюнди"/>
    <s v="Горох овощной свежий 10.01"/>
    <n v="28090"/>
    <n v="14860"/>
    <n v="14"/>
    <n v="13230"/>
    <n v="11377.8"/>
    <x v="2"/>
    <x v="105"/>
    <n v="1852.2000000000007"/>
    <n v="0.14000000000000007"/>
    <n v="6"/>
    <n v="23"/>
    <x v="25"/>
    <x v="0"/>
  </r>
  <r>
    <s v="Акт входного контроля грин00086 от 23.06.2025 5:38:36"/>
    <s v="высший"/>
    <n v="624"/>
    <n v="20"/>
    <s v="Колос ООО"/>
    <s v="Магадиев Александр Сайлаувич"/>
    <s v="У184НО"/>
    <s v="4.4"/>
    <s v="4.4"/>
    <s v="Грюнди"/>
    <s v="Горох овощной свежий 10.01"/>
    <n v="27740"/>
    <n v="14420"/>
    <n v="11.5"/>
    <n v="13320"/>
    <n v="11788.2"/>
    <x v="2"/>
    <x v="105"/>
    <n v="1531.7999999999993"/>
    <n v="0.11499999999999995"/>
    <n v="6"/>
    <n v="23"/>
    <x v="25"/>
    <x v="0"/>
  </r>
  <r>
    <s v="Акт входного контроля грин00087 от 23.06.2025 7:44:57"/>
    <s v="высший"/>
    <n v="625"/>
    <n v="21"/>
    <s v="Колос ООО"/>
    <s v="Ревенко Андрей Вячеславович"/>
    <s v="А781РР"/>
    <s v="4.4"/>
    <s v="4.4"/>
    <s v="Грюнди"/>
    <s v="Горох овощной свежий 10.01"/>
    <n v="28190"/>
    <n v="15100"/>
    <n v="14.5"/>
    <n v="13090"/>
    <n v="11191.9"/>
    <x v="2"/>
    <x v="105"/>
    <n v="1898.1000000000004"/>
    <n v="0.14500381970970208"/>
    <n v="6"/>
    <n v="23"/>
    <x v="25"/>
    <x v="0"/>
  </r>
  <r>
    <s v="Акт входного контроля грин00088 от 23.06.2025 8:54:24"/>
    <s v="высший"/>
    <n v="626"/>
    <n v="22"/>
    <s v="Колос ООО"/>
    <s v="Фомин Николай Григорьевич"/>
    <s v="А731ВА"/>
    <s v="4.4"/>
    <s v="4.4"/>
    <s v="Грюнди"/>
    <s v="Горох овощной свежий 10.01"/>
    <n v="28370"/>
    <n v="15120"/>
    <n v="18.5"/>
    <n v="13250"/>
    <n v="10798.7"/>
    <x v="2"/>
    <x v="105"/>
    <n v="2451.2999999999993"/>
    <n v="0.18500377358490561"/>
    <n v="6"/>
    <n v="23"/>
    <x v="25"/>
    <x v="0"/>
  </r>
  <r>
    <s v="Акт входного контроля грин00089 от 23.06.2025 9:50:52"/>
    <s v="высший"/>
    <n v="627"/>
    <n v="23"/>
    <s v="Колос ООО"/>
    <s v="Жданов Андрей Иванович"/>
    <s v="С707ОУ"/>
    <s v="4.4"/>
    <s v="4.4"/>
    <s v="Грюнди"/>
    <s v="Горох овощной свежий 10.01"/>
    <n v="27640"/>
    <n v="14440"/>
    <n v="23.5"/>
    <n v="13200"/>
    <n v="10098"/>
    <x v="2"/>
    <x v="105"/>
    <n v="3102"/>
    <n v="0.23499999999999999"/>
    <n v="6"/>
    <n v="23"/>
    <x v="25"/>
    <x v="0"/>
  </r>
  <r>
    <s v="Акт входного контроля грин00090 от 23.06.2025 11:04:53"/>
    <s v="высший"/>
    <n v="629"/>
    <n v="24"/>
    <s v="Колос ООО"/>
    <s v="Гужва А М."/>
    <s v="Т285ВЕ"/>
    <s v="4.4"/>
    <s v="4.4"/>
    <s v="Грюнди"/>
    <s v="Горох овощной свежий 10.01"/>
    <n v="28240"/>
    <n v="14940"/>
    <n v="16.5"/>
    <n v="13300"/>
    <n v="11105.5"/>
    <x v="2"/>
    <x v="105"/>
    <n v="2194.5"/>
    <n v="0.16500000000000001"/>
    <n v="6"/>
    <n v="23"/>
    <x v="25"/>
    <x v="0"/>
  </r>
  <r>
    <s v="Акт входного контроля грин00091 от 23.06.2025 13:12:02"/>
    <s v="высший"/>
    <n v="633"/>
    <n v="25"/>
    <s v="Колос ООО"/>
    <s v="Пугачев Сергей Викторович"/>
    <s v="Р258УХ"/>
    <s v="4.4"/>
    <s v="4.4"/>
    <s v="Грюнди"/>
    <s v="Горох овощной свежий 10.01"/>
    <n v="29240"/>
    <n v="15610"/>
    <n v="16.5"/>
    <n v="13630"/>
    <n v="11381"/>
    <x v="2"/>
    <x v="105"/>
    <n v="2249"/>
    <n v="0.16500366837857666"/>
    <n v="6"/>
    <n v="23"/>
    <x v="25"/>
    <x v="0"/>
  </r>
  <r>
    <s v="Акт входного контроля грин00093 от 20.06.2025 23:40:30"/>
    <s v="второй"/>
    <n v="496"/>
    <s v="ПродажаГрандСтарОтвес№318"/>
    <s v="Агролидер ООО"/>
    <s v="Емец Р.А."/>
    <s v="У315НА"/>
    <n v="14"/>
    <n v="14"/>
    <s v="Тристар"/>
    <s v="Горох овощной свежий 10.01"/>
    <n v="32320"/>
    <n v="15660"/>
    <n v="17.5"/>
    <n v="16660"/>
    <n v="13744"/>
    <x v="2"/>
    <x v="102"/>
    <n v="2916"/>
    <n v="0.17503001200480192"/>
    <n v="6"/>
    <n v="20"/>
    <x v="22"/>
    <x v="0"/>
  </r>
  <r>
    <s v="Акт входного контроля грин00094 от 20.06.2025 23:40:31"/>
    <s v="второй"/>
    <n v="496"/>
    <s v="ПродажаГрандСтарОтвес317"/>
    <s v="Агролидер ООО"/>
    <s v="Титаренко Максим Сергеевич"/>
    <s v="О398ХО"/>
    <n v="14"/>
    <n v="14"/>
    <s v="Тристар"/>
    <s v="Горох овощной свежий 10.01"/>
    <n v="30280"/>
    <n v="15000"/>
    <n v="13.8"/>
    <n v="15280"/>
    <n v="13168"/>
    <x v="2"/>
    <x v="102"/>
    <n v="2112"/>
    <n v="0.13821989528795811"/>
    <n v="6"/>
    <n v="20"/>
    <x v="22"/>
    <x v="0"/>
  </r>
  <r>
    <s v="Акт входного контроля грин00095 от 20.06.2025 23:40:32"/>
    <s v="второй"/>
    <n v="496"/>
    <s v="ПродажаГрандСтарОтвес№320"/>
    <s v="Агролидер ООО"/>
    <s v="Игольницын Сергей Владимирович"/>
    <s v="В780ТТ"/>
    <n v="14"/>
    <n v="14"/>
    <s v="Тристар"/>
    <s v="Горох овощной свежий 10.01"/>
    <n v="31760"/>
    <n v="15600"/>
    <n v="19.899999999999999"/>
    <n v="16160"/>
    <n v="12949"/>
    <x v="2"/>
    <x v="102"/>
    <n v="3211"/>
    <n v="0.19870049504950496"/>
    <n v="6"/>
    <n v="20"/>
    <x v="22"/>
    <x v="0"/>
  </r>
  <r>
    <s v="Акт входного контроля грин00096 от 23.06.2025 14:56:11"/>
    <s v="высший"/>
    <n v="637"/>
    <n v="26"/>
    <s v="Колос ООО"/>
    <s v="Богучарский А. И."/>
    <s v="Е404УС"/>
    <s v="4.4"/>
    <s v="4.4"/>
    <s v="Грюнди"/>
    <s v="Горох овощной свежий 10.01"/>
    <n v="27950"/>
    <n v="14000"/>
    <n v="19.5"/>
    <n v="13950"/>
    <n v="11229.7"/>
    <x v="2"/>
    <x v="105"/>
    <n v="2720.2999999999993"/>
    <n v="0.19500358422939063"/>
    <n v="6"/>
    <n v="23"/>
    <x v="25"/>
    <x v="0"/>
  </r>
  <r>
    <s v="Акт входного контроля грин00097 от 23.06.2025 16:28:29"/>
    <s v="высший"/>
    <n v="638"/>
    <n v="28"/>
    <s v="Колос ООО"/>
    <s v="Мудрак Вадим Васильевич"/>
    <s v="Х514ОК"/>
    <s v="4.1"/>
    <s v="4.1"/>
    <s v="Грюнди"/>
    <s v="Горох овощной свежий 10.01"/>
    <n v="35190"/>
    <n v="21180"/>
    <n v="22.5"/>
    <n v="14010"/>
    <n v="10857.7"/>
    <x v="2"/>
    <x v="105"/>
    <n v="3152.2999999999993"/>
    <n v="0.22500356887937181"/>
    <n v="6"/>
    <n v="23"/>
    <x v="25"/>
    <x v="0"/>
  </r>
  <r>
    <s v="Акт входного контроля грин00098 от 23.06.2025 18:01:38"/>
    <s v="высший"/>
    <n v="639"/>
    <n v="27"/>
    <s v="Колос ООО"/>
    <s v="Егоян Артем Владимирович"/>
    <s v="А701СН"/>
    <s v="4.1"/>
    <s v="4.1"/>
    <s v="Грюнди"/>
    <s v="Горох овощной свежий 10.01"/>
    <n v="28910"/>
    <n v="14960"/>
    <n v="15"/>
    <n v="13950"/>
    <n v="11857.5"/>
    <x v="2"/>
    <x v="105"/>
    <n v="2092.5"/>
    <n v="0.15"/>
    <n v="6"/>
    <n v="23"/>
    <x v="25"/>
    <x v="0"/>
  </r>
  <r>
    <s v="Акт входного контроля грин00099 от 23.06.2025 19:36:07"/>
    <s v="высший"/>
    <n v="640"/>
    <n v="29"/>
    <s v="Колос ООО"/>
    <s v="Мудрак Игорь Вадимович"/>
    <s v="С198УЕ"/>
    <s v="4.1"/>
    <s v="4.1"/>
    <s v="Грюнди"/>
    <s v="Горох овощной свежий 10.01"/>
    <n v="37910"/>
    <n v="24140"/>
    <n v="15.5"/>
    <n v="13770"/>
    <n v="11635.6"/>
    <x v="2"/>
    <x v="105"/>
    <n v="2134.3999999999996"/>
    <n v="0.15500363108206242"/>
    <n v="6"/>
    <n v="23"/>
    <x v="25"/>
    <x v="0"/>
  </r>
  <r>
    <s v="Акт входного контроля грин00100 от 23.06.2025 19:57:00"/>
    <s v="высший"/>
    <n v="641"/>
    <n v="30"/>
    <s v="Колос ООО"/>
    <s v="Бербеницкий Сергей Николаевич"/>
    <s v="С400РР"/>
    <s v="4.1"/>
    <s v="4.1"/>
    <s v="Грюнди"/>
    <s v="Горох овощной свежий 10.01"/>
    <n v="28840"/>
    <n v="15080"/>
    <n v="18.5"/>
    <n v="13760"/>
    <n v="11214.4"/>
    <x v="2"/>
    <x v="105"/>
    <n v="2545.6000000000004"/>
    <n v="0.18500000000000003"/>
    <n v="6"/>
    <n v="23"/>
    <x v="25"/>
    <x v="0"/>
  </r>
  <r>
    <s v="Акт входного контроля грин00101 от 23.06.2025 22:52:14"/>
    <s v="высший"/>
    <n v="642"/>
    <n v="31"/>
    <s v="Колос ООО"/>
    <s v="Лазаренко Вятчеслав Владимирович"/>
    <s v="Т239УС"/>
    <s v="4.1"/>
    <s v="4.1"/>
    <s v="Грюнди"/>
    <s v="Горох овощной свежий 10.01"/>
    <n v="28290"/>
    <n v="14910"/>
    <n v="18.5"/>
    <n v="13380"/>
    <n v="10904.7"/>
    <x v="2"/>
    <x v="105"/>
    <n v="2475.2999999999993"/>
    <n v="0.18499999999999994"/>
    <n v="6"/>
    <n v="23"/>
    <x v="25"/>
    <x v="0"/>
  </r>
  <r>
    <s v="Акт входного контроля грин00102 от 23.06.2025 22:22:12"/>
    <s v="высший"/>
    <n v="643"/>
    <n v="32"/>
    <s v="Колос ООО"/>
    <s v="Емец Р.А."/>
    <s v="У315НХ"/>
    <s v="4.1"/>
    <s v="4.1"/>
    <s v="Грюнди"/>
    <s v="Горох овощной свежий 10.01"/>
    <n v="28630"/>
    <n v="15800"/>
    <n v="17.5"/>
    <n v="12830"/>
    <n v="10584.7"/>
    <x v="2"/>
    <x v="105"/>
    <n v="2245.2999999999993"/>
    <n v="0.17500389711613401"/>
    <n v="6"/>
    <n v="23"/>
    <x v="25"/>
    <x v="0"/>
  </r>
  <r>
    <s v="Акт входного контроля грин00138 от 24.06.2025 19:39:49"/>
    <s v="высший"/>
    <n v="647"/>
    <n v="33"/>
    <s v="Колос ООО"/>
    <s v="Никитась Сергей Анатольевич"/>
    <s v="К570ЕО"/>
    <s v="4.1"/>
    <s v="4.1"/>
    <s v="Грюнди"/>
    <s v="Горох овощной свежий 10.01"/>
    <n v="28570"/>
    <n v="15040"/>
    <n v="16"/>
    <n v="13530"/>
    <n v="11365.2"/>
    <x v="2"/>
    <x v="106"/>
    <n v="2164.7999999999993"/>
    <n v="0.15999999999999995"/>
    <n v="6"/>
    <n v="24"/>
    <x v="26"/>
    <x v="0"/>
  </r>
  <r>
    <s v="Акт входного контроля грин00139 от 24.06.2025 20:22:59"/>
    <s v="высший"/>
    <n v="648"/>
    <n v="34"/>
    <s v="Колос ООО"/>
    <s v="Кудря Евгений"/>
    <s v="А719ОО"/>
    <s v="4.1"/>
    <s v="4.1"/>
    <s v="Фаворит"/>
    <s v="Горох овощной свежий 10.01"/>
    <n v="28260"/>
    <n v="21400"/>
    <n v="14"/>
    <n v="6860"/>
    <n v="5899.6"/>
    <x v="2"/>
    <x v="106"/>
    <n v="960.39999999999964"/>
    <n v="0.13999999999999996"/>
    <n v="6"/>
    <n v="24"/>
    <x v="26"/>
    <x v="0"/>
  </r>
  <r>
    <s v="Акт входного контроля грин00140 от 24.06.2025 20:25:19"/>
    <s v="высший"/>
    <n v="649"/>
    <n v="34"/>
    <s v="Колос ООО"/>
    <s v="Кудря Евгений"/>
    <s v="А719ОО"/>
    <s v="4.1"/>
    <s v="4.1"/>
    <s v="Грюнди"/>
    <s v="Горох овощной свежий 10.01"/>
    <n v="21400"/>
    <n v="14780"/>
    <n v="12"/>
    <n v="6620"/>
    <n v="5825.6"/>
    <x v="2"/>
    <x v="106"/>
    <n v="794.39999999999964"/>
    <n v="0.11999999999999994"/>
    <n v="6"/>
    <n v="24"/>
    <x v="26"/>
    <x v="0"/>
  </r>
  <r>
    <s v="Акт входного контроля грин00141 от 24.06.2025 20:59:45"/>
    <s v="высший"/>
    <n v="650"/>
    <n v="35"/>
    <s v="Колос ООО"/>
    <s v="Огнев Максим Викторович"/>
    <s v="Р755НН"/>
    <s v="4.1"/>
    <s v="4.1"/>
    <s v="Фаворит"/>
    <s v="Горох овощной свежий 10.01"/>
    <n v="28550"/>
    <n v="14990"/>
    <n v="16.5"/>
    <n v="13560"/>
    <n v="11322.6"/>
    <x v="2"/>
    <x v="106"/>
    <n v="2237.3999999999996"/>
    <n v="0.16499999999999998"/>
    <n v="6"/>
    <n v="24"/>
    <x v="26"/>
    <x v="0"/>
  </r>
  <r>
    <s v="Акт входного контроля грин00142 от 24.06.2025 21:50:23"/>
    <s v="высший"/>
    <n v="651"/>
    <n v="36"/>
    <s v="Колос ООО"/>
    <s v="Черевко Александр Владимирович"/>
    <s v="А114МК"/>
    <s v="4.1"/>
    <s v="4.1"/>
    <s v="Фаворит"/>
    <s v="Горох овощной свежий 10.01"/>
    <n v="28120"/>
    <n v="14700"/>
    <n v="15.5"/>
    <n v="13420"/>
    <n v="11339.9"/>
    <x v="2"/>
    <x v="106"/>
    <n v="2080.1000000000004"/>
    <n v="0.15500000000000003"/>
    <n v="6"/>
    <n v="24"/>
    <x v="26"/>
    <x v="0"/>
  </r>
  <r>
    <s v="Акт входного контроля грин00143 от 24.06.2025 22:48:44"/>
    <s v="высший"/>
    <n v="652"/>
    <n v="36"/>
    <s v="Колос ООО"/>
    <s v="Погуляй А.Б.       "/>
    <s v="О824ТХ"/>
    <s v="4.1"/>
    <s v="4.1"/>
    <s v="Фаворит"/>
    <s v="Горох овощной свежий 10.01"/>
    <n v="32280"/>
    <n v="18780"/>
    <n v="13.5"/>
    <n v="13500"/>
    <n v="11677.5"/>
    <x v="2"/>
    <x v="106"/>
    <n v="1822.5"/>
    <n v="0.13500000000000001"/>
    <n v="6"/>
    <n v="24"/>
    <x v="26"/>
    <x v="0"/>
  </r>
  <r>
    <s v="Акт входного контроля грин00144 от 24.06.2025 22:56:58"/>
    <s v="высший"/>
    <n v="653"/>
    <n v="37"/>
    <s v="Колос ООО"/>
    <s v="Кулик О В"/>
    <s v="К403ЕМ"/>
    <s v="4.1"/>
    <s v="4.1"/>
    <s v="Фаворит"/>
    <s v="Горох овощной свежий 10.01"/>
    <n v="27870"/>
    <n v="14970"/>
    <n v="15.5"/>
    <n v="12900"/>
    <n v="10900.5"/>
    <x v="2"/>
    <x v="106"/>
    <n v="1999.5"/>
    <n v="0.155"/>
    <n v="6"/>
    <n v="24"/>
    <x v="26"/>
    <x v="0"/>
  </r>
  <r>
    <s v="Акт входного контроля грин00145 от 24.06.2025 23:58:15"/>
    <s v="высший"/>
    <n v="654"/>
    <n v="38"/>
    <s v="Колос ООО"/>
    <s v="Бербеницкий Сергей Николаевич"/>
    <s v="С400РР"/>
    <s v="4.1"/>
    <s v="4.1"/>
    <s v="Фаворит"/>
    <s v="Горох овощной свежий 10.01"/>
    <n v="28890"/>
    <n v="15200"/>
    <n v="18"/>
    <n v="13690"/>
    <n v="11225.8"/>
    <x v="2"/>
    <x v="106"/>
    <n v="2464.2000000000007"/>
    <n v="0.18000000000000005"/>
    <n v="6"/>
    <n v="24"/>
    <x v="26"/>
    <x v="0"/>
  </r>
  <r>
    <s v="Акт входного контроля грин00146 от 25.06.2025 1:45:00"/>
    <s v="высший"/>
    <n v="655"/>
    <n v="39"/>
    <s v="Колос ООО"/>
    <s v="Фомин Николай Григорьевич"/>
    <s v="А731ВА"/>
    <s v="4.1"/>
    <s v="4.1"/>
    <s v="Фаворит"/>
    <s v="Горох овощной свежий 10.01"/>
    <n v="28640"/>
    <n v="15210"/>
    <n v="16.5"/>
    <n v="13430"/>
    <n v="11214"/>
    <x v="2"/>
    <x v="107"/>
    <n v="2216"/>
    <n v="0.16500372300819061"/>
    <n v="6"/>
    <n v="25"/>
    <x v="27"/>
    <x v="0"/>
  </r>
  <r>
    <s v="Акт входного контроля грин00147 от 25.06.2025 2:18:51"/>
    <s v="высший"/>
    <n v="656"/>
    <n v="40"/>
    <s v="Колос ООО"/>
    <s v="Ревенко Андрей Вячеславович"/>
    <s v="А781РР"/>
    <s v="4.1"/>
    <s v="4.1"/>
    <s v="Фаворит"/>
    <s v="Горох овощной свежий 10.01"/>
    <n v="28540"/>
    <n v="15200"/>
    <n v="17"/>
    <n v="13340"/>
    <n v="11072.2"/>
    <x v="2"/>
    <x v="107"/>
    <n v="2267.7999999999993"/>
    <n v="0.16999999999999996"/>
    <n v="6"/>
    <n v="25"/>
    <x v="27"/>
    <x v="0"/>
  </r>
  <r>
    <s v="Акт входного контроля грин00148 от 25.06.2025 3:30:38"/>
    <s v="высший"/>
    <n v="657"/>
    <n v="41"/>
    <s v="Колос ООО"/>
    <s v="Пугачев Сергей Викторович"/>
    <s v="Р258УХ"/>
    <s v="4.1"/>
    <s v="4.1"/>
    <s v="Фаворит"/>
    <s v="Горох овощной свежий 10.01"/>
    <n v="28910"/>
    <n v="15730"/>
    <n v="14.5"/>
    <n v="13180"/>
    <n v="11268.9"/>
    <x v="2"/>
    <x v="107"/>
    <n v="1911.1000000000004"/>
    <n v="0.14500000000000002"/>
    <n v="6"/>
    <n v="25"/>
    <x v="27"/>
    <x v="0"/>
  </r>
  <r>
    <s v="Акт входного контроля грин00149 от 25.06.2025 4:37:44"/>
    <s v="высший"/>
    <n v="658"/>
    <n v="42"/>
    <s v="Колос ООО"/>
    <s v="Лазаренко Вятчеслав Владимирович"/>
    <s v="Т239УС"/>
    <s v="4.1"/>
    <s v="4.1"/>
    <s v="Фаворит"/>
    <s v="Горох овощной свежий 10.01"/>
    <n v="28650"/>
    <n v="15100"/>
    <n v="16.5"/>
    <n v="13550"/>
    <n v="11314.2"/>
    <x v="2"/>
    <x v="107"/>
    <n v="2235.7999999999993"/>
    <n v="0.16500369003690032"/>
    <n v="6"/>
    <n v="25"/>
    <x v="27"/>
    <x v="0"/>
  </r>
  <r>
    <s v="Акт входного контроля грин00150 от 25.06.2025 5:33:53"/>
    <s v="высший"/>
    <n v="659"/>
    <n v="43"/>
    <s v="Колос ООО"/>
    <s v="Егоян Артем Владимирович"/>
    <s v="А701СН"/>
    <s v="4.1"/>
    <s v="4.1"/>
    <s v="Фаворит"/>
    <s v="Горох овощной свежий 10.01"/>
    <n v="28180"/>
    <n v="15020"/>
    <n v="19.5"/>
    <n v="13160"/>
    <n v="10593.8"/>
    <x v="2"/>
    <x v="107"/>
    <n v="2566.2000000000007"/>
    <n v="0.19500000000000006"/>
    <n v="6"/>
    <n v="25"/>
    <x v="27"/>
    <x v="0"/>
  </r>
  <r>
    <s v="Акт входного контроля грин00151 от 25.06.2025 7:36:21"/>
    <s v="высший"/>
    <n v="660"/>
    <n v="44"/>
    <s v="Колос ООО"/>
    <s v="Мудрак Игорь Вадимович"/>
    <s v="С198УЕ"/>
    <s v="4.1"/>
    <s v="4.1"/>
    <s v="Фаворит"/>
    <s v="Горох овощной свежий 10.01"/>
    <n v="37380"/>
    <n v="24270"/>
    <n v="17.5"/>
    <n v="13110"/>
    <n v="10815.7"/>
    <x v="2"/>
    <x v="107"/>
    <n v="2294.2999999999993"/>
    <n v="0.17500381388253236"/>
    <n v="6"/>
    <n v="25"/>
    <x v="27"/>
    <x v="0"/>
  </r>
  <r>
    <s v="Акт входного контроля грин00152 от 25.06.2025 7:28:08"/>
    <s v="высший"/>
    <n v="661"/>
    <n v="45"/>
    <s v="Колос ООО"/>
    <s v="Никитась Сергей Анатольевич"/>
    <s v="К570ЕО"/>
    <s v="4.1"/>
    <s v="4.1"/>
    <s v="Фаворит"/>
    <s v="Горох овощной свежий 10.01"/>
    <n v="28450"/>
    <n v="15260"/>
    <n v="16.100000000000001"/>
    <n v="13190"/>
    <n v="11073"/>
    <x v="2"/>
    <x v="107"/>
    <n v="2117"/>
    <n v="0.16050037907505685"/>
    <n v="6"/>
    <n v="25"/>
    <x v="27"/>
    <x v="0"/>
  </r>
  <r>
    <s v="Акт входного контроля грин00153 от 25.06.2025 8:48:49"/>
    <s v="высший"/>
    <n v="662"/>
    <n v="46"/>
    <s v="Колос ООО"/>
    <s v="Огнев Максим Викторович"/>
    <s v="Р755НН"/>
    <s v="4.1"/>
    <s v="4.1"/>
    <s v="Фаворит"/>
    <s v="Горох овощной свежий 10.01"/>
    <n v="28180"/>
    <n v="14940"/>
    <n v="14.5"/>
    <n v="13240"/>
    <n v="11320.2"/>
    <x v="2"/>
    <x v="107"/>
    <n v="1919.7999999999993"/>
    <n v="0.14499999999999993"/>
    <n v="6"/>
    <n v="25"/>
    <x v="27"/>
    <x v="0"/>
  </r>
  <r>
    <s v="Акт входного контроля грин00162 от 25.06.2025 11:58:47"/>
    <s v="высший"/>
    <n v="664"/>
    <n v="48"/>
    <s v="Колос ООО"/>
    <s v="Лазаренко Вятчеслав Владимирович"/>
    <s v="Т239УС"/>
    <s v="4.1"/>
    <s v="4.1"/>
    <s v="Фаворит"/>
    <s v="Горох овощной свежий 10.01"/>
    <n v="15880"/>
    <n v="9720"/>
    <n v="19.5"/>
    <n v="6160"/>
    <n v="4958.8"/>
    <x v="2"/>
    <x v="107"/>
    <n v="1201.1999999999998"/>
    <n v="0.19499999999999998"/>
    <n v="6"/>
    <n v="25"/>
    <x v="27"/>
    <x v="0"/>
  </r>
  <r>
    <s v="Акт входного контроля грин00163 от 25.06.2025 12:13:20"/>
    <s v="высший"/>
    <n v="665"/>
    <n v="47"/>
    <s v="Колос ООО"/>
    <s v="Пугачев Сергей Викторович"/>
    <s v="Р258УХ"/>
    <s v="4.1"/>
    <s v="4.1"/>
    <s v="Фаворит"/>
    <s v="Горох овощной свежий 10.01"/>
    <n v="28810"/>
    <n v="15740"/>
    <n v="16.5"/>
    <n v="13070"/>
    <n v="10913.4"/>
    <x v="2"/>
    <x v="107"/>
    <n v="2156.6000000000004"/>
    <n v="0.16500382555470547"/>
    <n v="6"/>
    <n v="25"/>
    <x v="27"/>
    <x v="0"/>
  </r>
  <r>
    <s v="Акт входного контроля грин00165 от 28.06.2025 8:51:06"/>
    <s v="высший"/>
    <n v="671"/>
    <n v="54957"/>
    <s v="Агролидер ООО"/>
    <s v="Чигрин Н.А."/>
    <s v="А819ЕВ"/>
    <n v="14"/>
    <n v="14"/>
    <s v="Исток"/>
    <s v="Горох овощной свежий 10.01"/>
    <n v="18390"/>
    <n v="14220"/>
    <n v="17"/>
    <n v="4170"/>
    <n v="3461.1"/>
    <x v="2"/>
    <x v="108"/>
    <n v="708.90000000000009"/>
    <n v="0.17"/>
    <n v="6"/>
    <n v="28"/>
    <x v="30"/>
    <x v="0"/>
  </r>
  <r>
    <s v="Акт входного контроля грин00166 от 28.06.2025 14:07:38"/>
    <s v="высший"/>
    <n v="672"/>
    <n v="51"/>
    <s v="Колос ООО"/>
    <s v="Гужва А М."/>
    <s v="Т285ВЕ"/>
    <s v="4.1"/>
    <s v="4.1"/>
    <s v="Парус"/>
    <s v="Горох овощной свежий 10.01"/>
    <n v="28270"/>
    <n v="14880"/>
    <n v="14"/>
    <n v="13390"/>
    <n v="11515.4"/>
    <x v="2"/>
    <x v="108"/>
    <n v="1874.6000000000004"/>
    <n v="0.14000000000000001"/>
    <n v="6"/>
    <n v="28"/>
    <x v="30"/>
    <x v="0"/>
  </r>
  <r>
    <s v="Акт входного контроля грин00167 от 28.06.2025 13:46:13"/>
    <s v="высший"/>
    <n v="673"/>
    <n v="49"/>
    <s v="Колос ООО"/>
    <s v="Бербеницкий Сергей Николаевич"/>
    <s v="С400РР"/>
    <s v="4.1"/>
    <s v="4.1"/>
    <s v="Парус"/>
    <s v="Горох овощной свежий 10.01"/>
    <n v="29130"/>
    <n v="15110"/>
    <n v="14.5"/>
    <n v="14020"/>
    <n v="11987.1"/>
    <x v="2"/>
    <x v="108"/>
    <n v="2032.8999999999996"/>
    <n v="0.14499999999999996"/>
    <n v="6"/>
    <n v="28"/>
    <x v="30"/>
    <x v="0"/>
  </r>
  <r>
    <s v="Акт входного контроля грин00168 от 28.06.2025 18:24:24"/>
    <s v="высший"/>
    <n v="675"/>
    <n v="52"/>
    <s v="Колос ООО"/>
    <s v="Кудря Евгений"/>
    <s v="А719ОО"/>
    <s v="4.1"/>
    <s v="4.1"/>
    <s v="Тристар"/>
    <s v="Горох овощной свежий 10.01"/>
    <n v="22010"/>
    <n v="14920"/>
    <n v="19"/>
    <n v="7090"/>
    <n v="5742.9"/>
    <x v="2"/>
    <x v="108"/>
    <n v="1347.1000000000004"/>
    <n v="0.19000000000000006"/>
    <n v="6"/>
    <n v="28"/>
    <x v="30"/>
    <x v="0"/>
  </r>
  <r>
    <s v="Акт входного контроля грин00169 от 28.06.2025 18:43:52"/>
    <s v="высший"/>
    <n v="674"/>
    <n v="52"/>
    <s v="Колос ООО"/>
    <s v="Кудря Евгений"/>
    <s v="А719ОО"/>
    <s v="4.1"/>
    <s v="4.1"/>
    <s v="Парус"/>
    <s v="Горох овощной свежий 10.01"/>
    <n v="29040"/>
    <n v="22010"/>
    <n v="17"/>
    <n v="7030"/>
    <n v="5834.9"/>
    <x v="2"/>
    <x v="108"/>
    <n v="1195.1000000000004"/>
    <n v="0.17000000000000004"/>
    <n v="6"/>
    <n v="28"/>
    <x v="30"/>
    <x v="0"/>
  </r>
  <r>
    <s v="Акт входного контроля грин00170 от 28.06.2025 19:50:38"/>
    <s v="высший"/>
    <n v="676"/>
    <n v="50"/>
    <s v="Колос ООО"/>
    <s v="Жданов Андрей Иванович"/>
    <s v="С707ОУ"/>
    <s v="4.1"/>
    <s v="4.1"/>
    <s v="Тристар"/>
    <s v="Горох овощной свежий 10.01"/>
    <n v="29480"/>
    <n v="14430"/>
    <n v="15"/>
    <n v="15050"/>
    <n v="12792.5"/>
    <x v="2"/>
    <x v="108"/>
    <n v="2257.5"/>
    <n v="0.15"/>
    <n v="6"/>
    <n v="28"/>
    <x v="30"/>
    <x v="0"/>
  </r>
  <r>
    <s v="Акт входного контроля грин00171 от 29.06.2025 20:21:37"/>
    <s v="высший"/>
    <n v="678"/>
    <n v="55"/>
    <s v="Колос ООО"/>
    <s v="Соломатин А.М."/>
    <s v="Х514ОК"/>
    <s v="4.1"/>
    <s v="4.1"/>
    <s v="Тристар"/>
    <s v="Горох овощной свежий 10.01"/>
    <n v="35120"/>
    <n v="27970"/>
    <n v="10.5"/>
    <n v="7150"/>
    <n v="6399.2"/>
    <x v="2"/>
    <x v="109"/>
    <n v="750.80000000000018"/>
    <n v="0.10500699300699304"/>
    <n v="6"/>
    <n v="29"/>
    <x v="31"/>
    <x v="0"/>
  </r>
  <r>
    <s v="Акт входного контроля грин00172 от 29.06.2025 20:23:19"/>
    <s v="высший"/>
    <n v="679"/>
    <n v="55"/>
    <s v="Колос ООО"/>
    <s v="Соломатин А.М."/>
    <s v="Х514ОК"/>
    <s v="4.1"/>
    <s v="4.1"/>
    <s v="Парус"/>
    <s v="Горох овощной свежий 10.01"/>
    <n v="27970"/>
    <n v="20920"/>
    <n v="8.5"/>
    <n v="7050"/>
    <n v="6450.7"/>
    <x v="2"/>
    <x v="109"/>
    <n v="599.30000000000018"/>
    <n v="8.5007092198581588E-2"/>
    <n v="6"/>
    <n v="29"/>
    <x v="31"/>
    <x v="0"/>
  </r>
  <r>
    <s v="Акт входного контроля грин00173 от 29.06.2025 23:21:43"/>
    <s v="высший"/>
    <n v="680"/>
    <n v="54"/>
    <s v="Колос ООО"/>
    <s v="Мудрак Игорь Вадимович"/>
    <s v="С198УЕ"/>
    <s v="4.1"/>
    <s v="4.1"/>
    <s v="Парус"/>
    <s v="Горох овощной свежий 10.01"/>
    <n v="38080"/>
    <n v="24150"/>
    <n v="14"/>
    <n v="13930"/>
    <n v="11979.8"/>
    <x v="2"/>
    <x v="109"/>
    <n v="1950.2000000000007"/>
    <n v="0.14000000000000004"/>
    <n v="6"/>
    <n v="29"/>
    <x v="31"/>
    <x v="0"/>
  </r>
  <r>
    <s v="Акт входного контроля грин00174 от 29.06.2025 21:14:13"/>
    <s v="высший"/>
    <n v="681"/>
    <n v="54958"/>
    <s v="Агролидер ООО"/>
    <s v="Чигрин Н.А."/>
    <s v="А819ЕВ"/>
    <n v="14"/>
    <n v="14"/>
    <s v="Исток"/>
    <s v="Горох овощной свежий 10.01"/>
    <n v="23440"/>
    <n v="14350"/>
    <n v="13.5"/>
    <n v="9090"/>
    <n v="7862.8"/>
    <x v="2"/>
    <x v="109"/>
    <n v="1227.1999999999998"/>
    <n v="0.13500550055005497"/>
    <n v="6"/>
    <n v="29"/>
    <x v="31"/>
    <x v="0"/>
  </r>
  <r>
    <s v="Акт входного контроля грин00175 от 29.06.2025 22:47:04"/>
    <s v="высший"/>
    <n v="682"/>
    <n v="57"/>
    <s v="Колос ООО"/>
    <s v="Никитась Сергей Анатольевич"/>
    <s v="К570ЕО"/>
    <s v="4.1"/>
    <s v="4.1"/>
    <s v="Тристар"/>
    <s v="Горох овощной свежий 10.01"/>
    <n v="28620"/>
    <n v="14940"/>
    <n v="15"/>
    <n v="13680"/>
    <n v="11628"/>
    <x v="2"/>
    <x v="109"/>
    <n v="2052"/>
    <n v="0.15"/>
    <n v="6"/>
    <n v="29"/>
    <x v="31"/>
    <x v="0"/>
  </r>
  <r>
    <s v="Акт входного контроля грин00176 от 29.06.2025 22:57:42"/>
    <s v="высший"/>
    <n v="683"/>
    <n v="54958"/>
    <s v="Агролидер ООО"/>
    <s v="Роговской Роман Алексеевич"/>
    <s v="Т945РВ"/>
    <n v="14"/>
    <n v="14"/>
    <s v="Исток"/>
    <s v="Горох овощной свежий 10.01"/>
    <n v="9150"/>
    <n v="4610"/>
    <n v="12.5"/>
    <n v="4540"/>
    <n v="3972.5"/>
    <x v="2"/>
    <x v="109"/>
    <n v="567.5"/>
    <n v="0.125"/>
    <n v="6"/>
    <n v="29"/>
    <x v="31"/>
    <x v="0"/>
  </r>
  <r>
    <s v="Акт входного контроля грин00177 от 30.06.2025 7:15:52"/>
    <s v="высший"/>
    <n v="684"/>
    <n v="54953"/>
    <s v="Агролидер ООО"/>
    <s v="Грищенко Александр Александрович"/>
    <s v="К416ТН"/>
    <n v="14"/>
    <n v="14"/>
    <s v="Исток"/>
    <s v="Горох овощной свежий 10.01"/>
    <n v="18400"/>
    <n v="15660"/>
    <n v="11"/>
    <n v="2740"/>
    <n v="2438.6"/>
    <x v="2"/>
    <x v="110"/>
    <n v="301.40000000000009"/>
    <n v="0.11000000000000003"/>
    <n v="6"/>
    <n v="30"/>
    <x v="32"/>
    <x v="0"/>
  </r>
  <r>
    <s v="Акт входного контроля грин00182 от 29.06.2025 17:33:03"/>
    <s v="высший"/>
    <n v="677"/>
    <n v="53"/>
    <s v="Колос ООО"/>
    <s v="Погуляй А.Б.       "/>
    <s v="О824ТХ"/>
    <s v="4.1"/>
    <s v="4.1"/>
    <s v="Парус"/>
    <s v="Горох овощной свежий 10.01"/>
    <n v="29430"/>
    <n v="22535"/>
    <n v="9.5"/>
    <n v="6895"/>
    <n v="6240"/>
    <x v="2"/>
    <x v="109"/>
    <n v="655"/>
    <n v="9.4996374184191448E-2"/>
    <n v="6"/>
    <n v="29"/>
    <x v="31"/>
    <x v="0"/>
  </r>
  <r>
    <s v="Акт входного контроля грин00183 от 29.06.2025 13:50:07"/>
    <s v="высший"/>
    <n v="685"/>
    <n v="53"/>
    <s v="Колос ООО"/>
    <s v="Погуляй А.Б.       "/>
    <s v="О824ТХ"/>
    <s v="4.1"/>
    <s v="4.1"/>
    <s v="Тристар"/>
    <s v="Горох овощной свежий 10.01"/>
    <n v="22535"/>
    <n v="15640"/>
    <n v="12"/>
    <n v="6895"/>
    <n v="6067.6"/>
    <x v="2"/>
    <x v="109"/>
    <n v="827.39999999999964"/>
    <n v="0.11999999999999995"/>
    <n v="6"/>
    <n v="29"/>
    <x v="31"/>
    <x v="0"/>
  </r>
  <r>
    <s v="Акт входного контроля грин00184 от 30.06.2025 15:10:01"/>
    <s v="высший"/>
    <n v="687"/>
    <n v="54959"/>
    <s v="Агролидер ООО"/>
    <s v="Титаренко Максим Сергеевич"/>
    <s v="О398ХО"/>
    <n v="14"/>
    <n v="14"/>
    <s v="Исток"/>
    <s v="Горох овощной свежий 10.01"/>
    <n v="23370"/>
    <n v="14830"/>
    <n v="10.5"/>
    <n v="8540"/>
    <n v="7643.3"/>
    <x v="2"/>
    <x v="110"/>
    <n v="896.69999999999982"/>
    <n v="0.10499999999999998"/>
    <n v="6"/>
    <n v="30"/>
    <x v="32"/>
    <x v="0"/>
  </r>
  <r>
    <s v="Акт входного контроля грин00185 от 30.06.2025 13:14:40"/>
    <s v="высший"/>
    <n v="689"/>
    <n v="54960"/>
    <s v="Агролидер ООО"/>
    <s v="Игольницын Сергей Владимирович"/>
    <s v="В780ТТ"/>
    <n v="14"/>
    <n v="14"/>
    <s v="Исток"/>
    <s v="Горох овощной свежий 10.01"/>
    <n v="23950"/>
    <n v="15560"/>
    <n v="14"/>
    <n v="8390"/>
    <n v="7215.4"/>
    <x v="2"/>
    <x v="110"/>
    <n v="1174.6000000000004"/>
    <n v="0.14000000000000004"/>
    <n v="6"/>
    <n v="30"/>
    <x v="32"/>
    <x v="0"/>
  </r>
  <r>
    <s v="Акт входного контроля грин00186 от 30.06.2025 1:06:07"/>
    <s v="высший"/>
    <n v="690"/>
    <n v="54961"/>
    <s v="Агролидер ООО"/>
    <s v="Сайко Василий Викторович"/>
    <s v="А816ЕВ"/>
    <n v="14"/>
    <n v="14"/>
    <s v="Исток"/>
    <s v="Горох овощной свежий 10.01"/>
    <n v="22880"/>
    <n v="14180"/>
    <n v="15"/>
    <n v="8700"/>
    <n v="7395"/>
    <x v="2"/>
    <x v="110"/>
    <n v="1305"/>
    <n v="0.15"/>
    <n v="6"/>
    <n v="30"/>
    <x v="32"/>
    <x v="0"/>
  </r>
  <r>
    <s v="Акт входного контроля грин00187 от 01.07.2025 20:27:39"/>
    <s v="высший"/>
    <n v="692"/>
    <n v="59"/>
    <s v="Колос ООО"/>
    <s v="Богучарский А. И."/>
    <s v="Е404УС"/>
    <s v="4.1"/>
    <s v="4.1"/>
    <s v="Тристар"/>
    <s v="Горох овощной свежий 10.01"/>
    <n v="27500"/>
    <n v="13820"/>
    <n v="13"/>
    <n v="13680"/>
    <n v="11901.6"/>
    <x v="2"/>
    <x v="111"/>
    <n v="1778.3999999999996"/>
    <n v="0.12999999999999998"/>
    <n v="7"/>
    <n v="1"/>
    <x v="33"/>
    <x v="0"/>
  </r>
  <r>
    <s v="Акт входного контроля грин00188 от 01.07.2025 20:02:46"/>
    <s v="высший"/>
    <n v="693"/>
    <n v="58"/>
    <s v="Колос ООО"/>
    <s v="Лазаренко Вятчеслав Владимирович"/>
    <s v="Т239УС"/>
    <s v="4.1"/>
    <s v="4.1"/>
    <s v="Тристар"/>
    <s v="Горох овощной свежий 10.01"/>
    <n v="28870"/>
    <n v="14960"/>
    <n v="9"/>
    <n v="13910"/>
    <n v="12658.1"/>
    <x v="2"/>
    <x v="111"/>
    <n v="1251.8999999999996"/>
    <n v="8.9999999999999969E-2"/>
    <n v="7"/>
    <n v="1"/>
    <x v="33"/>
    <x v="0"/>
  </r>
  <r>
    <s v="Акт входного контроля грин00189 от 01.07.2025 20:50:50"/>
    <s v="высший"/>
    <n v="694"/>
    <n v="56"/>
    <s v="Колос ООО"/>
    <s v="Пугачев Сергей Викторович"/>
    <s v="Р258УХ"/>
    <s v="4.1"/>
    <s v="4.1"/>
    <s v="Тристар"/>
    <s v="Горох овощной свежий 10.01"/>
    <n v="29640"/>
    <n v="15750"/>
    <n v="16"/>
    <n v="13890"/>
    <n v="11667.6"/>
    <x v="2"/>
    <x v="111"/>
    <n v="2222.3999999999996"/>
    <n v="0.15999999999999998"/>
    <n v="7"/>
    <n v="1"/>
    <x v="33"/>
    <x v="0"/>
  </r>
  <r>
    <s v="Акт входного контроля грин00190 от 01.07.2025 22:28:02"/>
    <s v="высший"/>
    <n v="695"/>
    <n v="60"/>
    <s v="Колос ООО"/>
    <s v="Огнев Максим Викторович"/>
    <s v="Р755НН"/>
    <s v="4.1"/>
    <s v="4.1"/>
    <s v="Тристар"/>
    <s v="Горох овощной свежий 10.01"/>
    <n v="28640"/>
    <n v="14780"/>
    <n v="11"/>
    <n v="13860"/>
    <n v="12335.4"/>
    <x v="2"/>
    <x v="111"/>
    <n v="1524.6000000000004"/>
    <n v="0.11000000000000003"/>
    <n v="7"/>
    <n v="1"/>
    <x v="33"/>
    <x v="0"/>
  </r>
  <r>
    <s v="Акт входного контроля грин00191 от 01.07.2025 23:42:56"/>
    <s v="высший"/>
    <n v="696"/>
    <n v="61"/>
    <s v="Колос ООО"/>
    <s v="Никитась Сергей Анатольевич"/>
    <s v="К570ЕО"/>
    <s v="4.1"/>
    <s v="4.1"/>
    <s v="Тристар"/>
    <s v="Горох овощной свежий 10.01"/>
    <n v="29000"/>
    <n v="15150"/>
    <n v="15"/>
    <n v="13850"/>
    <n v="11772.5"/>
    <x v="2"/>
    <x v="111"/>
    <n v="2077.5"/>
    <n v="0.15"/>
    <n v="7"/>
    <n v="1"/>
    <x v="33"/>
    <x v="0"/>
  </r>
  <r>
    <s v="Акт входного контроля грин00192 от 02.07.2025 3:32:16"/>
    <s v="высший"/>
    <n v="697"/>
    <n v="62"/>
    <s v="Колос ООО"/>
    <s v="Чернецов Александр Михайлович"/>
    <s v="Р866РМ"/>
    <s v="4.1"/>
    <s v="4.1"/>
    <s v="Тристар"/>
    <s v="Горох овощной свежий 10.01"/>
    <n v="28630"/>
    <n v="14960"/>
    <n v="15.5"/>
    <n v="13670"/>
    <n v="11551.1"/>
    <x v="2"/>
    <x v="112"/>
    <n v="2118.8999999999996"/>
    <n v="0.15500365764447693"/>
    <n v="7"/>
    <n v="2"/>
    <x v="34"/>
    <x v="0"/>
  </r>
  <r>
    <s v="Акт входного контроля грин00193 от 02.07.2025 5:56:49"/>
    <s v="высший"/>
    <n v="698"/>
    <n v="63"/>
    <s v="Колос ООО"/>
    <s v="Жданов Андрей Иванович"/>
    <s v="С707ОУ"/>
    <s v="4.1"/>
    <s v="4.1"/>
    <s v="Тристар"/>
    <s v="Горох овощной свежий 10.01"/>
    <n v="28060"/>
    <n v="14450"/>
    <n v="13.5"/>
    <n v="13610"/>
    <n v="11772.6"/>
    <x v="2"/>
    <x v="112"/>
    <n v="1837.3999999999996"/>
    <n v="0.13500367376928726"/>
    <n v="7"/>
    <n v="2"/>
    <x v="34"/>
    <x v="0"/>
  </r>
  <r>
    <s v="Акт входного контроля грин00194 от 02.07.2025 9:11:23"/>
    <s v="высший"/>
    <n v="699"/>
    <n v="64"/>
    <s v="Колос ООО"/>
    <s v="Гужва А М."/>
    <s v="Т285ВЕ"/>
    <s v="4.1"/>
    <s v="4.1"/>
    <s v="Тристар"/>
    <s v="Горох овощной свежий 10.01"/>
    <n v="28320"/>
    <n v="14900"/>
    <n v="10.5"/>
    <n v="13420"/>
    <n v="12010.9"/>
    <x v="2"/>
    <x v="112"/>
    <n v="1409.1000000000004"/>
    <n v="0.10500000000000002"/>
    <n v="7"/>
    <n v="2"/>
    <x v="34"/>
    <x v="0"/>
  </r>
  <r>
    <s v="Акт входного контроля грин00195 от 02.07.2025 9:13:26"/>
    <s v="высший"/>
    <n v="700"/>
    <n v="65"/>
    <s v="Колос ООО"/>
    <s v="Кудря Евгений"/>
    <s v="А719ОО"/>
    <s v="4.1"/>
    <s v="4.1"/>
    <s v="Тристар"/>
    <s v="Горох овощной свежий 10.01"/>
    <n v="28080"/>
    <n v="14830"/>
    <n v="14.5"/>
    <n v="13250"/>
    <n v="11328.7"/>
    <x v="2"/>
    <x v="112"/>
    <n v="1921.2999999999993"/>
    <n v="0.1450037735849056"/>
    <n v="7"/>
    <n v="2"/>
    <x v="34"/>
    <x v="0"/>
  </r>
  <r>
    <s v="Акт входного контроля грин00196 от 02.07.2025 12:52:25"/>
    <s v="высший"/>
    <n v="701"/>
    <n v="66"/>
    <s v="Колос ООО"/>
    <s v="Блажко Алексей Николаевич"/>
    <s v="М676КО"/>
    <s v="4.1"/>
    <s v="4.1"/>
    <s v="Тристар"/>
    <s v="Горох овощной свежий 10.01"/>
    <n v="37610"/>
    <n v="24100"/>
    <n v="14.5"/>
    <n v="13510"/>
    <n v="11551"/>
    <x v="2"/>
    <x v="112"/>
    <n v="1959"/>
    <n v="0.14500370096225018"/>
    <n v="7"/>
    <n v="2"/>
    <x v="34"/>
    <x v="0"/>
  </r>
  <r>
    <s v="Акт входного контроля грин00197 от 02.07.2025 14:09:25"/>
    <s v="высший"/>
    <n v="702"/>
    <n v="67"/>
    <s v="Колос ООО"/>
    <s v="Дик Илья Александрович"/>
    <s v="М556ХВ"/>
    <s v="4.1"/>
    <s v="4.1"/>
    <s v="Парус"/>
    <s v="Горох овощной свежий 10.01"/>
    <n v="29160"/>
    <n v="22420"/>
    <n v="14.5"/>
    <n v="6740"/>
    <n v="5762.7"/>
    <x v="2"/>
    <x v="112"/>
    <n v="977.30000000000018"/>
    <n v="0.14500000000000002"/>
    <n v="7"/>
    <n v="2"/>
    <x v="34"/>
    <x v="0"/>
  </r>
  <r>
    <s v="Акт входного контроля грин00198 от 02.07.2025 14:14:04"/>
    <s v="высший"/>
    <n v="705"/>
    <n v="67"/>
    <s v="Колос ООО"/>
    <s v="Дик Илья Александрович"/>
    <s v="М556ХВ"/>
    <s v="4.1"/>
    <s v="4.1"/>
    <s v="Тристар"/>
    <s v="Горох овощной свежий 10.01"/>
    <n v="22430"/>
    <n v="15690"/>
    <n v="10.5"/>
    <n v="6740"/>
    <n v="6032.3"/>
    <x v="2"/>
    <x v="112"/>
    <n v="707.69999999999982"/>
    <n v="0.10499999999999997"/>
    <n v="7"/>
    <n v="2"/>
    <x v="34"/>
    <x v="0"/>
  </r>
  <r>
    <s v="Акт входного контроля грин00199 от 02.07.2025 14:17:55"/>
    <s v="высший"/>
    <n v="703"/>
    <n v="68"/>
    <s v="Колос ООО"/>
    <s v="Погуляй А.Б.       "/>
    <s v="О824ТХ"/>
    <s v="4.1"/>
    <s v="4.1"/>
    <s v="Парус"/>
    <s v="Горох овощной свежий 10.01"/>
    <n v="28880"/>
    <n v="15740"/>
    <n v="15.5"/>
    <n v="13140"/>
    <n v="11103.3"/>
    <x v="2"/>
    <x v="112"/>
    <n v="2036.7000000000007"/>
    <n v="0.15500000000000005"/>
    <n v="7"/>
    <n v="2"/>
    <x v="34"/>
    <x v="0"/>
  </r>
  <r>
    <s v="Акт входного контроля грин00200 от 02.07.2025 16:49:06"/>
    <s v="высший"/>
    <n v="704"/>
    <n v="69"/>
    <s v="Колос ООО"/>
    <s v="Богучарский А. И."/>
    <s v="Е404УС"/>
    <s v="4.1"/>
    <s v="4.1"/>
    <s v="Парус"/>
    <s v="Горох овощной свежий 10.01"/>
    <n v="27090"/>
    <n v="13830"/>
    <n v="12.5"/>
    <n v="13260"/>
    <n v="11602.5"/>
    <x v="2"/>
    <x v="112"/>
    <n v="1657.5"/>
    <n v="0.125"/>
    <n v="7"/>
    <n v="2"/>
    <x v="34"/>
    <x v="0"/>
  </r>
  <r>
    <s v="Акт входного контроля грин00201 от 02.07.2025 16:52:24"/>
    <s v="высший"/>
    <n v="707"/>
    <n v="70"/>
    <s v="Колос ООО"/>
    <s v="Мудрак Игорь Вадимович"/>
    <s v="С198УЕ"/>
    <s v="4.1"/>
    <s v="4.1"/>
    <s v="Парус"/>
    <s v="Горох овощной свежий 10.01"/>
    <n v="38010"/>
    <n v="24110"/>
    <n v="15"/>
    <n v="13900"/>
    <n v="11815"/>
    <x v="2"/>
    <x v="112"/>
    <n v="2085"/>
    <n v="0.15"/>
    <n v="7"/>
    <n v="2"/>
    <x v="34"/>
    <x v="0"/>
  </r>
  <r>
    <s v="Акт входного контроля грин00203 от 02.07.2025 18:13:29"/>
    <s v="высший"/>
    <n v="709"/>
    <n v="71"/>
    <s v="Колос ООО"/>
    <s v="Лазаренко Вятчеслав Владимирович"/>
    <s v="Т239УС"/>
    <s v="4.1"/>
    <s v="4.1"/>
    <s v="Парус"/>
    <s v="Горох овощной свежий 10.01"/>
    <n v="28780"/>
    <n v="14830"/>
    <n v="11.5"/>
    <n v="13950"/>
    <n v="12345.7"/>
    <x v="2"/>
    <x v="112"/>
    <n v="1604.2999999999993"/>
    <n v="0.11500358422939062"/>
    <n v="7"/>
    <n v="2"/>
    <x v="34"/>
    <x v="0"/>
  </r>
  <r>
    <s v="Акт входного контроля грин00204 от 02.07.2025 20:15:10"/>
    <s v="высший"/>
    <n v="710"/>
    <n v="72"/>
    <s v="Колос ООО"/>
    <s v="Пугачев Сергей Викторович"/>
    <s v="Р258УХ"/>
    <s v="4.2"/>
    <s v="4.2"/>
    <s v="Тристар"/>
    <s v="Горох овощной свежий 10.01"/>
    <n v="29430"/>
    <n v="15580"/>
    <n v="14"/>
    <n v="13850"/>
    <n v="11911"/>
    <x v="2"/>
    <x v="112"/>
    <n v="1939"/>
    <n v="0.14000000000000001"/>
    <n v="7"/>
    <n v="2"/>
    <x v="34"/>
    <x v="0"/>
  </r>
  <r>
    <s v="Акт входного контроля грин00205 от 02.07.2025 20:50:44"/>
    <s v="высший"/>
    <n v="711"/>
    <n v="73"/>
    <s v="Колос ООО"/>
    <s v="Огнев Максим Викторович"/>
    <s v="Р755НН"/>
    <s v="4.2"/>
    <s v="4.2"/>
    <s v="Тристар"/>
    <s v="Горох овощной свежий 10.01"/>
    <n v="28620"/>
    <n v="14670"/>
    <n v="17.5"/>
    <n v="13950"/>
    <n v="11508.7"/>
    <x v="2"/>
    <x v="112"/>
    <n v="2441.2999999999993"/>
    <n v="0.17500358422939064"/>
    <n v="7"/>
    <n v="2"/>
    <x v="34"/>
    <x v="0"/>
  </r>
  <r>
    <s v="Акт входного контроля грин00206 от 02.07.2025 22:13:53"/>
    <s v="высший"/>
    <n v="713"/>
    <n v="75"/>
    <s v="Колос ООО"/>
    <s v="Чернецов Александр Михайлович"/>
    <s v="Р866РМ"/>
    <s v="4.2"/>
    <s v="4.2"/>
    <s v="Тристар"/>
    <s v="Горох овощной свежий 10.01"/>
    <n v="28960"/>
    <n v="14850"/>
    <n v="16"/>
    <n v="14110"/>
    <n v="11852.4"/>
    <x v="2"/>
    <x v="112"/>
    <n v="2257.6000000000004"/>
    <n v="0.16000000000000003"/>
    <n v="7"/>
    <n v="2"/>
    <x v="34"/>
    <x v="0"/>
  </r>
  <r>
    <s v="Акт входного контроля грин00207 от 02.07.2025 23:01:23"/>
    <s v="высший"/>
    <n v="712"/>
    <n v="74"/>
    <s v="Колос ООО"/>
    <s v="Никитась Сергей Анатольевич"/>
    <s v="К570ЕО"/>
    <s v="4.2"/>
    <s v="4.2"/>
    <s v="Тристар"/>
    <s v="Горох овощной свежий 10.01"/>
    <n v="28980"/>
    <n v="14970"/>
    <n v="16.5"/>
    <n v="14010"/>
    <n v="11698.3"/>
    <x v="2"/>
    <x v="112"/>
    <n v="2311.7000000000007"/>
    <n v="0.16500356887937193"/>
    <n v="7"/>
    <n v="2"/>
    <x v="34"/>
    <x v="0"/>
  </r>
  <r>
    <s v="Акт входного контроля грин00208 от 02.07.2025 22:26:19"/>
    <s v="высший"/>
    <n v="714"/>
    <n v="76"/>
    <s v="Колос ООО"/>
    <s v="Кудря Евгений"/>
    <s v="А719ОО"/>
    <s v="4.2"/>
    <s v="4.2"/>
    <s v="Тристар"/>
    <s v="Горох овощной свежий 10.01"/>
    <n v="28700"/>
    <n v="14730"/>
    <n v="15.5"/>
    <n v="13970"/>
    <n v="11804.6"/>
    <x v="2"/>
    <x v="112"/>
    <n v="2165.3999999999996"/>
    <n v="0.15500357909806725"/>
    <n v="7"/>
    <n v="2"/>
    <x v="34"/>
    <x v="0"/>
  </r>
  <r>
    <s v="Акт входного контроля грин00209 от 02.07.2025 23:20:57"/>
    <s v="высший"/>
    <n v="715"/>
    <n v="77"/>
    <s v="Колос ООО"/>
    <s v="Блажко Алексей Николаевич"/>
    <s v="М676КО"/>
    <s v="4.2"/>
    <s v="4.2"/>
    <s v="Тристар"/>
    <s v="Горох овощной свежий 10.01"/>
    <n v="38160"/>
    <n v="24320"/>
    <n v="15"/>
    <n v="13840"/>
    <n v="11764"/>
    <x v="2"/>
    <x v="112"/>
    <n v="2076"/>
    <n v="0.15"/>
    <n v="7"/>
    <n v="2"/>
    <x v="34"/>
    <x v="0"/>
  </r>
  <r>
    <s v="Акт входного контроля грин00210 от 03.07.2025 2:57:48"/>
    <s v="высший"/>
    <n v="716"/>
    <n v="78"/>
    <s v="Колос ООО"/>
    <s v="Дик Илья Александрович"/>
    <s v="М556ХВ"/>
    <s v="4.2"/>
    <s v="4.2"/>
    <s v="Тристар"/>
    <s v="Горох овощной свежий 10.01"/>
    <n v="29310"/>
    <n v="15590"/>
    <n v="15.5"/>
    <n v="13720"/>
    <n v="11593.4"/>
    <x v="2"/>
    <x v="113"/>
    <n v="2126.6000000000004"/>
    <n v="0.15500000000000003"/>
    <n v="7"/>
    <n v="3"/>
    <x v="35"/>
    <x v="0"/>
  </r>
  <r>
    <s v="Акт входного контроля грин00211 от 03.07.2025 3:52:01"/>
    <s v="высший"/>
    <n v="717"/>
    <n v="79"/>
    <s v="Колос ООО"/>
    <s v="Погуляй А.Б.       "/>
    <s v="О824ТХ"/>
    <s v="4.2"/>
    <s v="4.2"/>
    <s v="Тристар"/>
    <s v="Горох овощной свежий 10.01"/>
    <n v="29240"/>
    <n v="15810"/>
    <n v="10.5"/>
    <n v="13430"/>
    <n v="12019.8"/>
    <x v="2"/>
    <x v="113"/>
    <n v="1410.2000000000007"/>
    <n v="0.10500372300819068"/>
    <n v="7"/>
    <n v="3"/>
    <x v="35"/>
    <x v="0"/>
  </r>
  <r>
    <s v="Акт входного контроля грин00212 от 03.07.2025 6:17:31"/>
    <s v="высший"/>
    <n v="718"/>
    <n v="81"/>
    <s v="Колос ООО"/>
    <s v="Жданов Андрей Иванович"/>
    <s v="С707ОУ"/>
    <s v="4.2"/>
    <s v="4.2"/>
    <s v="Тристар"/>
    <s v="Горох овощной свежий 10.01"/>
    <n v="28100"/>
    <n v="14460"/>
    <n v="15"/>
    <n v="13640"/>
    <n v="11594"/>
    <x v="2"/>
    <x v="113"/>
    <n v="2046"/>
    <n v="0.15"/>
    <n v="7"/>
    <n v="3"/>
    <x v="35"/>
    <x v="0"/>
  </r>
  <r>
    <s v="Акт входного контроля грин00213 от 03.07.2025 9:00:56"/>
    <s v="высший"/>
    <n v="719"/>
    <n v="80"/>
    <s v="Колос ООО"/>
    <s v="Пищев Александр Васильевич "/>
    <s v="Т522ОН"/>
    <s v="4.2"/>
    <s v="4.2"/>
    <s v="Тристар"/>
    <s v="Горох овощной свежий 10.01"/>
    <n v="29070"/>
    <n v="15760"/>
    <n v="15"/>
    <n v="13310"/>
    <n v="11313.5"/>
    <x v="2"/>
    <x v="113"/>
    <n v="1996.5"/>
    <n v="0.15"/>
    <n v="7"/>
    <n v="3"/>
    <x v="35"/>
    <x v="0"/>
  </r>
  <r>
    <s v="Акт входного контроля грин00214 от 03.07.2025 9:19:30"/>
    <s v="высший"/>
    <n v="720"/>
    <n v="82"/>
    <s v="Колос ООО"/>
    <s v="Гужва А М."/>
    <s v="Т285ВЕ"/>
    <s v="4.2"/>
    <s v="4.2"/>
    <s v="Тристар"/>
    <s v="Горох овощной свежий 10.01"/>
    <n v="28500"/>
    <n v="14870"/>
    <n v="22"/>
    <n v="13630"/>
    <n v="10631.4"/>
    <x v="2"/>
    <x v="113"/>
    <n v="2998.6000000000004"/>
    <n v="0.22000000000000003"/>
    <n v="7"/>
    <n v="3"/>
    <x v="35"/>
    <x v="0"/>
  </r>
  <r>
    <s v="Акт входного контроля грин00215 от 03.07.2025 10:27:41"/>
    <s v="высший"/>
    <n v="721"/>
    <n v="83"/>
    <s v="Колос ООО"/>
    <s v="Богучарский А. И."/>
    <s v="Е404УС"/>
    <s v="4.2"/>
    <s v="4.2"/>
    <s v="Тристар"/>
    <s v="Горох овощной свежий 10.01"/>
    <n v="27310"/>
    <n v="13840"/>
    <n v="22"/>
    <n v="13470"/>
    <n v="10506.6"/>
    <x v="2"/>
    <x v="113"/>
    <n v="2963.3999999999996"/>
    <n v="0.21999999999999997"/>
    <n v="7"/>
    <n v="3"/>
    <x v="35"/>
    <x v="0"/>
  </r>
  <r>
    <s v="Акт входного контроля грин00216 от 03.07.2025 15:44:34"/>
    <s v="высший"/>
    <n v="724"/>
    <n v="84"/>
    <s v="Колос ООО"/>
    <s v="Лазаренко Вятчеслав Владимирович"/>
    <s v="Т239УС"/>
    <s v="4.2"/>
    <s v="4.2"/>
    <s v="Тристар"/>
    <s v="Горох овощной свежий 10.01"/>
    <n v="28560"/>
    <n v="14790"/>
    <n v="17"/>
    <n v="13770"/>
    <n v="11429.1"/>
    <x v="2"/>
    <x v="113"/>
    <n v="2340.8999999999996"/>
    <n v="0.16999999999999998"/>
    <n v="7"/>
    <n v="3"/>
    <x v="35"/>
    <x v="0"/>
  </r>
  <r>
    <s v="Акт входного контроля грин00217 от 03.07.2025 15:51:59"/>
    <s v="высший"/>
    <n v="725"/>
    <n v="85"/>
    <s v="Колос ООО"/>
    <s v="Пугачев Сергей Викторович"/>
    <s v="Р258УХ"/>
    <s v="4.2"/>
    <s v="4.2"/>
    <s v="Тристар"/>
    <s v="Горох овощной свежий 10.01"/>
    <n v="29560"/>
    <n v="15730"/>
    <n v="19"/>
    <n v="13830"/>
    <n v="11202.3"/>
    <x v="2"/>
    <x v="113"/>
    <n v="2627.7000000000007"/>
    <n v="0.19000000000000006"/>
    <n v="7"/>
    <n v="3"/>
    <x v="35"/>
    <x v="0"/>
  </r>
  <r>
    <s v="Акт входного контроля грин00218 от 03.07.2025 17:59:04"/>
    <s v="высший"/>
    <n v="726"/>
    <n v="86"/>
    <s v="Колос ООО"/>
    <s v="Огнев Максим Викторович"/>
    <s v="Р755НН"/>
    <s v="4.2"/>
    <s v="4.2"/>
    <s v="Тристар"/>
    <s v="Горох овощной свежий 10.01"/>
    <n v="28510"/>
    <n v="14780"/>
    <n v="12"/>
    <n v="13730"/>
    <n v="12082.4"/>
    <x v="2"/>
    <x v="113"/>
    <n v="1647.6000000000004"/>
    <n v="0.12000000000000002"/>
    <n v="7"/>
    <n v="3"/>
    <x v="35"/>
    <x v="0"/>
  </r>
  <r>
    <s v="Акт входного контроля грин00219 от 03.07.2025 18:11:55"/>
    <s v="высший"/>
    <n v="727"/>
    <n v="87"/>
    <s v="Колос ООО"/>
    <s v="Чернецов Александр Михайлович"/>
    <s v="Р866РМ"/>
    <s v="4.2"/>
    <s v="4.2"/>
    <s v="Тристар"/>
    <s v="Горох овощной свежий 10.01"/>
    <n v="28700"/>
    <n v="14780"/>
    <n v="17"/>
    <n v="13920"/>
    <n v="11553.6"/>
    <x v="2"/>
    <x v="113"/>
    <n v="2366.3999999999996"/>
    <n v="0.16999999999999998"/>
    <n v="7"/>
    <n v="3"/>
    <x v="35"/>
    <x v="0"/>
  </r>
  <r>
    <s v="Акт входного контроля грин00220 от 03.07.2025 21:14:39"/>
    <s v="высший"/>
    <n v="728"/>
    <n v="88"/>
    <s v="Колос ООО"/>
    <s v="Мудрак Игорь Вадимович"/>
    <s v="С198УЕ"/>
    <s v="4.2"/>
    <s v="4.2"/>
    <s v="Тристар"/>
    <s v="Горох овощной свежий 10.01"/>
    <n v="37980"/>
    <n v="24020"/>
    <n v="14"/>
    <n v="13960"/>
    <n v="12005.6"/>
    <x v="2"/>
    <x v="113"/>
    <n v="1954.3999999999996"/>
    <n v="0.13999999999999999"/>
    <n v="7"/>
    <n v="3"/>
    <x v="35"/>
    <x v="0"/>
  </r>
  <r>
    <s v="Акт входного контроля грин00221 от 03.07.2025 21:17:29"/>
    <s v="высший"/>
    <n v="729"/>
    <n v="89"/>
    <s v="Колос ООО"/>
    <s v="Никитась Сергей Анатольевич"/>
    <s v="К570ЕО"/>
    <s v="4.2"/>
    <s v="4.2"/>
    <s v="Тристар"/>
    <s v="Горох овощной свежий 10.01"/>
    <n v="28940"/>
    <n v="14870"/>
    <n v="12.5"/>
    <n v="14070"/>
    <n v="12311.2"/>
    <x v="2"/>
    <x v="113"/>
    <n v="1758.7999999999993"/>
    <n v="0.12500355366027002"/>
    <n v="7"/>
    <n v="3"/>
    <x v="35"/>
    <x v="0"/>
  </r>
  <r>
    <s v="Акт входного контроля грин00222 от 03.07.2025 21:53:05"/>
    <s v="высший"/>
    <n v="730"/>
    <n v="90"/>
    <s v="Колос ООО"/>
    <s v="Кудря Евгений"/>
    <s v="А719ОО"/>
    <s v="4.2"/>
    <s v="4.2"/>
    <s v="Тристар"/>
    <s v="Горох овощной свежий 10.01"/>
    <n v="28690"/>
    <n v="14690"/>
    <n v="15.5"/>
    <n v="14000"/>
    <n v="11830"/>
    <x v="2"/>
    <x v="113"/>
    <n v="2170"/>
    <n v="0.155"/>
    <n v="7"/>
    <n v="3"/>
    <x v="35"/>
    <x v="0"/>
  </r>
  <r>
    <s v="Акт входного контроля грин00223 от 03.07.2025 23:17:42"/>
    <s v="высший"/>
    <n v="731"/>
    <n v="91"/>
    <s v="Колос ООО"/>
    <s v="Блажко Алексей Николаевич"/>
    <s v="М676КО"/>
    <s v="4.2"/>
    <s v="4.2"/>
    <s v="Тристар"/>
    <s v="Горох овощной свежий 10.01"/>
    <n v="38090"/>
    <n v="24200"/>
    <n v="16"/>
    <n v="13890"/>
    <n v="11667.6"/>
    <x v="2"/>
    <x v="113"/>
    <n v="2222.3999999999996"/>
    <n v="0.15999999999999998"/>
    <n v="7"/>
    <n v="3"/>
    <x v="35"/>
    <x v="0"/>
  </r>
  <r>
    <s v="Акт входного контроля грин00224 от 04.07.2025 3:34:51"/>
    <s v="высший"/>
    <n v="732"/>
    <n v="95"/>
    <s v="Колос ООО"/>
    <s v="Дик Илья Александрович"/>
    <s v="М556ХВ"/>
    <s v="4.1"/>
    <s v="4.1"/>
    <s v="Парус"/>
    <s v="Горох овощной свежий 10.01"/>
    <n v="29440"/>
    <n v="21370"/>
    <n v="11.5"/>
    <n v="8070"/>
    <n v="7141.9"/>
    <x v="2"/>
    <x v="114"/>
    <n v="928.10000000000036"/>
    <n v="0.11500619578686498"/>
    <n v="7"/>
    <n v="4"/>
    <x v="36"/>
    <x v="0"/>
  </r>
  <r>
    <s v="Акт входного контроля грин00225 от 04.07.2025 3:37:10"/>
    <s v="высший"/>
    <n v="734"/>
    <n v="95"/>
    <s v="Колос ООО"/>
    <s v="Дик Илья Александрович"/>
    <s v="М556ХВ"/>
    <s v="4.2"/>
    <s v="4.2"/>
    <s v="Тристар"/>
    <s v="Горох овощной свежий 10.01"/>
    <n v="21370"/>
    <n v="15690"/>
    <n v="15.5"/>
    <n v="5680"/>
    <n v="4799.6000000000004"/>
    <x v="2"/>
    <x v="114"/>
    <n v="880.39999999999964"/>
    <n v="0.15499999999999994"/>
    <n v="7"/>
    <n v="4"/>
    <x v="36"/>
    <x v="0"/>
  </r>
  <r>
    <s v="Акт входного контроля грин00226 от 04.07.2025 9:25:26"/>
    <s v="высший"/>
    <n v="733"/>
    <n v="92"/>
    <s v="Колос ООО"/>
    <s v="Пищев Александр Васильевич "/>
    <s v="Т522ОН"/>
    <s v="4.1"/>
    <s v="4.1"/>
    <s v="Парус"/>
    <s v="Горох овощной свежий 10.01"/>
    <n v="28830"/>
    <n v="15620"/>
    <n v="9.5"/>
    <n v="13210"/>
    <n v="11955"/>
    <x v="2"/>
    <x v="114"/>
    <n v="1255"/>
    <n v="9.5003785011355035E-2"/>
    <n v="7"/>
    <n v="4"/>
    <x v="36"/>
    <x v="0"/>
  </r>
  <r>
    <s v="Акт входного контроля грин00227 от 04.07.2025 9:47:17"/>
    <s v="высший"/>
    <n v="735"/>
    <n v="93"/>
    <s v="Колос ООО"/>
    <s v="Богучарский А. И."/>
    <s v="Е404УС"/>
    <s v="4.1"/>
    <s v="4.1"/>
    <s v="Парус"/>
    <s v="Горох овощной свежий 10.01"/>
    <n v="27020"/>
    <n v="13850"/>
    <n v="8.5"/>
    <n v="13170"/>
    <n v="12050.5"/>
    <x v="2"/>
    <x v="114"/>
    <n v="1119.5"/>
    <n v="8.5003796507213361E-2"/>
    <n v="7"/>
    <n v="4"/>
    <x v="36"/>
    <x v="0"/>
  </r>
  <r>
    <s v="Акт входного контроля грин00228 от 04.07.2025 9:50:33"/>
    <s v="высший"/>
    <n v="736"/>
    <n v="94"/>
    <s v="Колос ООО"/>
    <s v="Игольницын Сергей Владимирович"/>
    <s v="В780ТТ"/>
    <s v="4.1"/>
    <s v="4.1"/>
    <s v="Парус"/>
    <s v="Горох овощной свежий 10.01"/>
    <n v="28770"/>
    <n v="15540"/>
    <n v="11.5"/>
    <n v="13230"/>
    <n v="11708.5"/>
    <x v="2"/>
    <x v="114"/>
    <n v="1521.5"/>
    <n v="0.11500377928949357"/>
    <n v="7"/>
    <n v="4"/>
    <x v="36"/>
    <x v="0"/>
  </r>
  <r>
    <s v="Акт входного контроля грин00229 от 04.07.2025 11:26:10"/>
    <s v="высший"/>
    <n v="738"/>
    <n v="97"/>
    <s v="Колос ООО"/>
    <s v="Пугачев Сергей Викторович"/>
    <s v="Р258УХ"/>
    <s v="4.1"/>
    <s v="4.1"/>
    <s v="Парус"/>
    <s v="Горох овощной свежий 10.01"/>
    <n v="28900"/>
    <n v="15600"/>
    <n v="10"/>
    <n v="13300"/>
    <n v="11970"/>
    <x v="2"/>
    <x v="114"/>
    <n v="1330"/>
    <n v="0.1"/>
    <n v="7"/>
    <n v="4"/>
    <x v="36"/>
    <x v="0"/>
  </r>
  <r>
    <s v="Акт входного контроля грин00230 от 04.07.2025 12:04:49"/>
    <s v="высший"/>
    <n v="737"/>
    <n v="96"/>
    <s v="Колос ООО"/>
    <s v="Лазаренко Вятчеслав Владимирович"/>
    <s v="Т239УС"/>
    <s v="4.1"/>
    <s v="4.1"/>
    <s v="Парус"/>
    <s v="Горох овощной свежий 10.01"/>
    <n v="28050"/>
    <n v="14900"/>
    <n v="11.5"/>
    <n v="13150"/>
    <n v="11637.7"/>
    <x v="2"/>
    <x v="114"/>
    <n v="1512.2999999999993"/>
    <n v="0.11500380228136876"/>
    <n v="7"/>
    <n v="4"/>
    <x v="36"/>
    <x v="0"/>
  </r>
  <r>
    <s v="Акт входного контроля грин00231 от 04.07.2025 13:48:09"/>
    <s v="высший"/>
    <n v="741"/>
    <n v="99"/>
    <s v="Колос ООО"/>
    <s v="Чернецов Александр Михайлович"/>
    <s v="Р866РМ"/>
    <s v="4.1"/>
    <s v="4.1"/>
    <s v="Парус"/>
    <s v="Горох овощной свежий 10.01"/>
    <n v="28060"/>
    <n v="14960"/>
    <n v="7.5"/>
    <n v="13100"/>
    <n v="12117.5"/>
    <x v="2"/>
    <x v="114"/>
    <n v="982.5"/>
    <n v="7.4999999999999997E-2"/>
    <n v="7"/>
    <n v="4"/>
    <x v="36"/>
    <x v="0"/>
  </r>
  <r>
    <s v="Акт входного контроля грин00232 от 04.07.2025 15:20:46"/>
    <s v="высший"/>
    <n v="744"/>
    <n v="98"/>
    <s v="Колос ООО"/>
    <s v="Огнев Максим Викторович"/>
    <s v="Р755НН"/>
    <s v="4.1"/>
    <s v="4.1"/>
    <s v="Парус"/>
    <s v="Горох овощной свежий 10.01"/>
    <n v="28210"/>
    <n v="14660"/>
    <n v="9"/>
    <n v="13550"/>
    <n v="12330.5"/>
    <x v="2"/>
    <x v="114"/>
    <n v="1219.5"/>
    <n v="0.09"/>
    <n v="7"/>
    <n v="4"/>
    <x v="36"/>
    <x v="0"/>
  </r>
  <r>
    <s v="Акт входного контроля грин00233 от 04.07.2025 16:30:24"/>
    <s v="высший"/>
    <n v="745"/>
    <n v="100"/>
    <s v="Колос ООО"/>
    <s v="Никитась Сергей Анатольевич"/>
    <s v="К570ЕО"/>
    <s v="4.2"/>
    <s v="4.2"/>
    <s v="Тристар"/>
    <s v="Горох овощной свежий 10.01"/>
    <n v="28990"/>
    <n v="15080"/>
    <n v="17.5"/>
    <n v="13910"/>
    <n v="11475.7"/>
    <x v="2"/>
    <x v="114"/>
    <n v="2434.2999999999993"/>
    <n v="0.17500359453630476"/>
    <n v="7"/>
    <n v="4"/>
    <x v="36"/>
    <x v="0"/>
  </r>
  <r>
    <s v="Акт входного контроля грин00234 от 04.07.2025 17:57:51"/>
    <s v="высший"/>
    <n v="746"/>
    <n v="101"/>
    <s v="Колос ООО"/>
    <s v="Блажко Алексей Николаевич"/>
    <s v="М676КО"/>
    <s v="4.2"/>
    <s v="4.2"/>
    <s v="Тристар"/>
    <s v="Горох овощной свежий 10.01"/>
    <n v="37840"/>
    <n v="24070"/>
    <n v="12.5"/>
    <n v="13770"/>
    <n v="12048.7"/>
    <x v="2"/>
    <x v="114"/>
    <n v="1721.2999999999993"/>
    <n v="0.12500363108206239"/>
    <n v="7"/>
    <n v="4"/>
    <x v="36"/>
    <x v="0"/>
  </r>
  <r>
    <s v="Акт входного контроля грин00235 от 04.07.2025 19:24:49"/>
    <s v="высший"/>
    <n v="747"/>
    <n v="102"/>
    <s v="Колос ООО"/>
    <s v="Дик Илья Александрович"/>
    <s v="М556ХВ"/>
    <s v="4.2"/>
    <s v="4.2"/>
    <s v="Тристар"/>
    <s v="Горох овощной свежий 10.01"/>
    <n v="29440"/>
    <n v="15570"/>
    <n v="11.5"/>
    <n v="13870"/>
    <n v="12274.9"/>
    <x v="2"/>
    <x v="114"/>
    <n v="1595.1000000000004"/>
    <n v="0.11500360490266766"/>
    <n v="7"/>
    <n v="4"/>
    <x v="36"/>
    <x v="0"/>
  </r>
  <r>
    <s v="Акт входного контроля грин00236 от 04.07.2025 21:23:06"/>
    <s v="высший"/>
    <n v="748"/>
    <n v="103"/>
    <s v="Колос ООО"/>
    <s v="Пищев Александр Васильевич "/>
    <s v="Т522ОН"/>
    <s v="4.2"/>
    <s v="4.2"/>
    <s v="Тристар"/>
    <s v="Горох овощной свежий 10.01"/>
    <n v="29280"/>
    <n v="15500"/>
    <n v="12"/>
    <n v="13780"/>
    <n v="12126.4"/>
    <x v="2"/>
    <x v="114"/>
    <n v="1653.6000000000004"/>
    <n v="0.12000000000000002"/>
    <n v="7"/>
    <n v="4"/>
    <x v="36"/>
    <x v="0"/>
  </r>
  <r>
    <s v="Акт входного контроля грин00237 от 04.07.2025 22:24:47"/>
    <s v="высший"/>
    <n v="749"/>
    <n v="104"/>
    <s v="Колос ООО"/>
    <s v="Черевко Александр Владимирович"/>
    <s v="А114МК"/>
    <s v="4.2"/>
    <s v="4.2"/>
    <s v="Тристар"/>
    <s v="Горох овощной свежий 10.01"/>
    <n v="28410"/>
    <n v="14620"/>
    <n v="10"/>
    <n v="13790"/>
    <n v="12411"/>
    <x v="2"/>
    <x v="114"/>
    <n v="1379"/>
    <n v="0.1"/>
    <n v="7"/>
    <n v="4"/>
    <x v="36"/>
    <x v="0"/>
  </r>
  <r>
    <s v="Акт входного контроля грин00238 от 04.07.2025 22:30:22"/>
    <s v="высший"/>
    <n v="750"/>
    <n v="105"/>
    <s v="Колос ООО"/>
    <s v="Кудря Евгений"/>
    <s v="А719ОО"/>
    <s v="4.2"/>
    <s v="4.2"/>
    <s v="Тристар"/>
    <s v="Горох овощной свежий 10.01"/>
    <n v="29090"/>
    <n v="14910"/>
    <n v="15"/>
    <n v="14180"/>
    <n v="12053"/>
    <x v="2"/>
    <x v="114"/>
    <n v="2127"/>
    <n v="0.15"/>
    <n v="7"/>
    <n v="4"/>
    <x v="36"/>
    <x v="0"/>
  </r>
  <r>
    <s v="Акт входного контроля грин00239 от 04.07.2025 21:31:25"/>
    <s v="второй"/>
    <n v="751"/>
    <n v="106"/>
    <s v="Колос ООО"/>
    <s v="Гужва А М."/>
    <s v="Т285ВЕ"/>
    <s v="4.2"/>
    <s v="4.2"/>
    <s v="Тристар"/>
    <s v="Горох овощной свежий 10.01"/>
    <n v="28430"/>
    <n v="14870"/>
    <n v="6.5"/>
    <n v="13560"/>
    <n v="12678.6"/>
    <x v="2"/>
    <x v="114"/>
    <n v="881.39999999999964"/>
    <n v="6.4999999999999974E-2"/>
    <n v="7"/>
    <n v="4"/>
    <x v="36"/>
    <x v="0"/>
  </r>
  <r>
    <s v="Акт входного контроля грин00240 от 04.07.2025 22:00:00"/>
    <s v="второй"/>
    <n v="752"/>
    <n v="107"/>
    <s v="Колос ООО"/>
    <s v="Погуляй А.Б.       "/>
    <s v="О824ТХ"/>
    <s v="4.2"/>
    <s v="4.2"/>
    <s v="Тристар"/>
    <s v="Горох овощной свежий 10.01"/>
    <n v="26200"/>
    <n v="15790"/>
    <n v="10"/>
    <n v="10410"/>
    <n v="9369"/>
    <x v="2"/>
    <x v="114"/>
    <n v="1041"/>
    <n v="0.1"/>
    <n v="7"/>
    <n v="4"/>
    <x v="36"/>
    <x v="0"/>
  </r>
  <r>
    <s v="Акт входного контроля грин00241 от 05.07.2025 6:08:47"/>
    <s v="первый"/>
    <n v="753"/>
    <n v="108"/>
    <s v="Колос ООО"/>
    <s v="Игольницын Сергей Владимирович"/>
    <s v="В780ТТ"/>
    <s v="2.3"/>
    <s v="2.3"/>
    <s v="Тристар"/>
    <s v="Горох овощной свежий 10.01"/>
    <n v="28780"/>
    <n v="15520"/>
    <n v="18"/>
    <n v="13260"/>
    <n v="10873.2"/>
    <x v="2"/>
    <x v="115"/>
    <n v="2386.7999999999993"/>
    <n v="0.17999999999999994"/>
    <n v="7"/>
    <n v="5"/>
    <x v="37"/>
    <x v="0"/>
  </r>
  <r>
    <s v="Акт входного контроля грин00242 от 05.07.2025 8:06:00"/>
    <s v="высший"/>
    <n v="754"/>
    <n v="109"/>
    <s v="Колос ООО"/>
    <s v="Лазаренко Вятчеслав Владимирович"/>
    <s v="Т239УС"/>
    <s v="2.3"/>
    <s v="2.3"/>
    <s v="Тристар"/>
    <s v="Горох овощной свежий 10.01"/>
    <n v="28230"/>
    <n v="14800"/>
    <n v="14"/>
    <n v="13430"/>
    <n v="11549.8"/>
    <x v="2"/>
    <x v="115"/>
    <n v="1880.2000000000007"/>
    <n v="0.14000000000000004"/>
    <n v="7"/>
    <n v="5"/>
    <x v="37"/>
    <x v="0"/>
  </r>
  <r>
    <s v="Акт входного контроля грин00243 от 05.07.2025 17:41:39"/>
    <s v="высший"/>
    <n v="756"/>
    <n v="110"/>
    <s v="Колос ООО"/>
    <s v="Пугачев Сергей Викторович"/>
    <s v="Р258УХ"/>
    <s v="2.3"/>
    <s v="2.3"/>
    <s v="Тристар"/>
    <s v="Горох овощной свежий 10.01"/>
    <n v="29290"/>
    <n v="15490"/>
    <n v="12"/>
    <n v="13800"/>
    <n v="12144"/>
    <x v="2"/>
    <x v="115"/>
    <n v="1656"/>
    <n v="0.12"/>
    <n v="7"/>
    <n v="5"/>
    <x v="37"/>
    <x v="0"/>
  </r>
  <r>
    <s v="Акт входного контроля грин00244 от 05.07.2025 17:43:15"/>
    <s v="высший"/>
    <n v="757"/>
    <n v="111"/>
    <s v="Колос ООО"/>
    <s v="Чернецов Александр Михайлович"/>
    <s v="Р866РМ"/>
    <s v="2.3"/>
    <s v="2.3"/>
    <s v="Тристар"/>
    <s v="Горох овощной свежий 10.01"/>
    <n v="28420"/>
    <n v="14850"/>
    <n v="17"/>
    <n v="13570"/>
    <n v="11263.1"/>
    <x v="2"/>
    <x v="115"/>
    <n v="2306.8999999999996"/>
    <n v="0.16999999999999998"/>
    <n v="7"/>
    <n v="5"/>
    <x v="37"/>
    <x v="0"/>
  </r>
  <r>
    <s v="Акт входного контроля грин00245 от 05.07.2025 20:34:47"/>
    <s v="высший"/>
    <n v="758"/>
    <n v="112"/>
    <s v="Колос ООО"/>
    <s v="Огнев Максим Викторович"/>
    <s v="Р755НН"/>
    <s v="2.3"/>
    <s v="2.3"/>
    <s v="Тристар"/>
    <s v="Горох овощной свежий 10.01"/>
    <n v="32110"/>
    <n v="14780"/>
    <n v="11.5"/>
    <n v="17330"/>
    <n v="15337"/>
    <x v="2"/>
    <x v="115"/>
    <n v="1993"/>
    <n v="0.11500288517022504"/>
    <n v="7"/>
    <n v="5"/>
    <x v="37"/>
    <x v="0"/>
  </r>
  <r>
    <s v="Акт входного контроля грин00246 от 05.07.2025 23:57:29"/>
    <s v="первый"/>
    <n v="759"/>
    <n v="113"/>
    <s v="Колос ООО"/>
    <s v="Никитась Сергей Анатольевич"/>
    <s v="К570ЕО"/>
    <s v="4.1"/>
    <s v="4.1"/>
    <s v="Исток"/>
    <s v="Горох овощной свежий 10.01"/>
    <n v="28250"/>
    <n v="14960"/>
    <n v="7.5"/>
    <n v="13290"/>
    <n v="12293.2"/>
    <x v="2"/>
    <x v="115"/>
    <n v="996.79999999999927"/>
    <n v="7.5003762227238466E-2"/>
    <n v="7"/>
    <n v="5"/>
    <x v="37"/>
    <x v="0"/>
  </r>
  <r>
    <s v="Акт входного контроля грин00247 от 06.07.2025 1:44:07"/>
    <s v="второй"/>
    <n v="760"/>
    <n v="114"/>
    <s v="Колос ООО"/>
    <s v="Блажко Алексей Николаевич"/>
    <s v="М676КО"/>
    <s v="4.1"/>
    <s v="4.1"/>
    <s v="Исток"/>
    <s v="Горох овощной свежий 10.01"/>
    <n v="37540"/>
    <n v="24370"/>
    <n v="5.5"/>
    <n v="13170"/>
    <n v="12445.6"/>
    <x v="2"/>
    <x v="116"/>
    <n v="724.39999999999964"/>
    <n v="5.5003796507213334E-2"/>
    <n v="7"/>
    <n v="6"/>
    <x v="38"/>
    <x v="0"/>
  </r>
  <r>
    <s v="Акт входного контроля грин00248 от 06.07.2025 3:25:36"/>
    <s v="второй"/>
    <n v="761"/>
    <n v="115"/>
    <s v="Колос ООО"/>
    <s v="Жданов Андрей Иванович"/>
    <s v="С707ОУ"/>
    <s v="4.1"/>
    <s v="4.1"/>
    <s v="Исток"/>
    <s v="Горох овощной свежий 10.01"/>
    <n v="27570"/>
    <n v="14450"/>
    <n v="7.5"/>
    <n v="13120"/>
    <n v="12136"/>
    <x v="2"/>
    <x v="116"/>
    <n v="984"/>
    <n v="7.4999999999999997E-2"/>
    <n v="7"/>
    <n v="6"/>
    <x v="38"/>
    <x v="0"/>
  </r>
  <r>
    <s v="Акт входного контроля грин00249 от 06.07.2025 4:47:33"/>
    <s v="первый"/>
    <n v="762"/>
    <n v="116"/>
    <s v="Колос ООО"/>
    <s v="Богучарский А. И."/>
    <s v="Е404УС"/>
    <s v="4.1"/>
    <s v="4.1"/>
    <s v="Исток"/>
    <s v="Горох овощной свежий 10.01"/>
    <n v="27020"/>
    <n v="13810"/>
    <n v="8.5"/>
    <n v="13210"/>
    <n v="12087.1"/>
    <x v="2"/>
    <x v="116"/>
    <n v="1122.8999999999996"/>
    <n v="8.5003785011355013E-2"/>
    <n v="7"/>
    <n v="6"/>
    <x v="38"/>
    <x v="0"/>
  </r>
  <r>
    <s v="Акт входного контроля грин00250 от 06.07.2025 6:38:38"/>
    <s v="первый"/>
    <n v="763"/>
    <n v="117"/>
    <s v="Колос ООО"/>
    <s v="Дик Илья Александрович"/>
    <s v="М556ХВ"/>
    <s v="4.1"/>
    <s v="4.1"/>
    <s v="Исток"/>
    <s v="Горох овощной свежий 10.01"/>
    <n v="28630"/>
    <n v="15470"/>
    <n v="7.5"/>
    <n v="13160"/>
    <n v="12173"/>
    <x v="2"/>
    <x v="116"/>
    <n v="987"/>
    <n v="7.4999999999999997E-2"/>
    <n v="7"/>
    <n v="6"/>
    <x v="38"/>
    <x v="0"/>
  </r>
  <r>
    <s v="Акт входного контроля грин00251 от 06.07.2025 10:06:47"/>
    <s v="высший"/>
    <n v="764"/>
    <n v="118"/>
    <s v="Колос ООО"/>
    <s v="Пищев Александр Васильевич "/>
    <s v="Т522ОН"/>
    <s v="4.1"/>
    <s v="4.1"/>
    <s v="Исток"/>
    <s v="Горох овощной свежий 10.01"/>
    <n v="28720"/>
    <n v="15760"/>
    <n v="8.5"/>
    <n v="12960"/>
    <n v="11858.4"/>
    <x v="2"/>
    <x v="116"/>
    <n v="1101.6000000000004"/>
    <n v="8.5000000000000034E-2"/>
    <n v="7"/>
    <n v="6"/>
    <x v="38"/>
    <x v="0"/>
  </r>
  <r>
    <s v="Акт входного контроля грин00252 от 06.07.2025 11:49:56"/>
    <s v="высший"/>
    <n v="765"/>
    <n v="119"/>
    <s v="Колос ООО"/>
    <s v="Черевко Александр Владимирович"/>
    <s v="А114МК"/>
    <s v="4.1"/>
    <s v="4.1"/>
    <s v="Исток"/>
    <s v="Горох овощной свежий 10.01"/>
    <n v="27710"/>
    <n v="14520"/>
    <n v="12.5"/>
    <n v="13190"/>
    <n v="11541.2"/>
    <x v="2"/>
    <x v="116"/>
    <n v="1648.7999999999993"/>
    <n v="0.12500379075056856"/>
    <n v="7"/>
    <n v="6"/>
    <x v="38"/>
    <x v="0"/>
  </r>
  <r>
    <s v="Акт входного контроля грин00253 от 06.07.2025 13:45:04"/>
    <s v="высший"/>
    <n v="766"/>
    <n v="120"/>
    <s v="Колос ООО"/>
    <s v="Лазаренко Вятчеслав Владимирович"/>
    <s v="Т239УС"/>
    <s v="4.1"/>
    <s v="4.1"/>
    <s v="Исток"/>
    <s v="Горох овощной свежий 10.01"/>
    <n v="28080"/>
    <n v="14980"/>
    <n v="8.5"/>
    <n v="13100"/>
    <n v="11986.5"/>
    <x v="2"/>
    <x v="116"/>
    <n v="1113.5"/>
    <n v="8.5000000000000006E-2"/>
    <n v="7"/>
    <n v="6"/>
    <x v="38"/>
    <x v="0"/>
  </r>
  <r>
    <s v="Акт входного контроля грин00254 от 06.07.2025 15:40:00"/>
    <s v="высший"/>
    <n v="767"/>
    <n v="121"/>
    <s v="Колос ООО"/>
    <s v="Пугачев Сергей Викторович"/>
    <s v="Р258УХ"/>
    <s v="4.1"/>
    <s v="4.1"/>
    <s v="Исток"/>
    <s v="Горох овощной свежий 10.01"/>
    <n v="29000"/>
    <n v="15730"/>
    <n v="12.5"/>
    <n v="13270"/>
    <n v="11611.2"/>
    <x v="2"/>
    <x v="116"/>
    <n v="1658.7999999999993"/>
    <n v="0.12500376789751313"/>
    <n v="7"/>
    <n v="6"/>
    <x v="38"/>
    <x v="0"/>
  </r>
  <r>
    <s v="Акт входного контроля грин00255 от 06.07.2025 17:34:45"/>
    <s v="высший"/>
    <n v="769"/>
    <n v="122"/>
    <s v="Колос ООО"/>
    <s v="Чернецов Александр Михайлович"/>
    <s v="Р866РМ"/>
    <s v="4.1"/>
    <s v="4.1"/>
    <s v="Исток"/>
    <s v="Горох овощной свежий 10.01"/>
    <n v="28530"/>
    <n v="15020"/>
    <n v="9.5"/>
    <n v="13510"/>
    <n v="12226.5"/>
    <x v="2"/>
    <x v="116"/>
    <n v="1283.5"/>
    <n v="9.5003700962250179E-2"/>
    <n v="7"/>
    <n v="6"/>
    <x v="38"/>
    <x v="0"/>
  </r>
  <r>
    <s v="Акт входного контроля грин00256 от 06.07.2025 19:22:13"/>
    <s v="высший"/>
    <n v="770"/>
    <n v="123"/>
    <s v="Колос ООО"/>
    <s v="Огнев Максим Викторович"/>
    <s v="Р755НН"/>
    <s v="4.1"/>
    <s v="4.1"/>
    <s v="Исток"/>
    <s v="Горох овощной свежий 10.01"/>
    <n v="28120"/>
    <n v="14680"/>
    <n v="9.5"/>
    <n v="13440"/>
    <n v="12163.2"/>
    <x v="2"/>
    <x v="116"/>
    <n v="1276.7999999999993"/>
    <n v="9.4999999999999946E-2"/>
    <n v="7"/>
    <n v="6"/>
    <x v="38"/>
    <x v="0"/>
  </r>
  <r>
    <s v="Акт входного контроля грин00257 от 06.07.2025 21:40:47"/>
    <s v="высший"/>
    <n v="771"/>
    <n v="124"/>
    <s v="Колос ООО"/>
    <s v="Никитась Сергей Анатольевич"/>
    <s v="К570ЕО"/>
    <s v="4.1"/>
    <s v="4.1"/>
    <s v="Исток"/>
    <s v="Горох овощной свежий 10.01"/>
    <n v="28360"/>
    <n v="14860"/>
    <n v="10.5"/>
    <n v="13500"/>
    <n v="12082.5"/>
    <x v="2"/>
    <x v="116"/>
    <n v="1417.5"/>
    <n v="0.105"/>
    <n v="7"/>
    <n v="6"/>
    <x v="38"/>
    <x v="0"/>
  </r>
  <r>
    <s v="Акт входного контроля грин00258 от 06.07.2025 22:59:39"/>
    <s v="высший"/>
    <n v="772"/>
    <n v="125"/>
    <s v="Колос ООО"/>
    <s v="Блажко Алексей Николаевич"/>
    <s v="М676КО"/>
    <s v="4.1"/>
    <s v="4.1"/>
    <s v="Исток"/>
    <s v="Горох овощной свежий 10.01"/>
    <n v="37730"/>
    <n v="24240"/>
    <n v="8.5"/>
    <n v="13490"/>
    <n v="12343.3"/>
    <x v="2"/>
    <x v="116"/>
    <n v="1146.7000000000007"/>
    <n v="8.50037064492217E-2"/>
    <n v="7"/>
    <n v="6"/>
    <x v="38"/>
    <x v="0"/>
  </r>
  <r>
    <s v="Акт входного контроля грин00259 от 06.07.2025 17:54:38"/>
    <s v="высший"/>
    <n v="773"/>
    <n v="126"/>
    <s v="Колос ООО"/>
    <s v="Дик Илья Александрович"/>
    <s v="М556ХВ"/>
    <s v="4.1"/>
    <s v="4.1"/>
    <s v="Исток"/>
    <s v="Горох овощной свежий 10.01"/>
    <n v="29180"/>
    <n v="15720"/>
    <n v="11.5"/>
    <n v="13460"/>
    <n v="11912.1"/>
    <x v="2"/>
    <x v="116"/>
    <n v="1547.8999999999996"/>
    <n v="0.11499999999999998"/>
    <n v="7"/>
    <n v="6"/>
    <x v="38"/>
    <x v="0"/>
  </r>
  <r>
    <s v="Акт входного контроля грин00260 от 06.07.2025 18:49:26"/>
    <s v="высший"/>
    <n v="774"/>
    <n v="127"/>
    <s v="Колос ООО"/>
    <s v="Погуляй А.Б.       "/>
    <s v="О824ТХ"/>
    <s v="4.1"/>
    <s v="4.1"/>
    <s v="Исток"/>
    <s v="Горох овощной свежий 10.01"/>
    <n v="29370"/>
    <n v="15700"/>
    <n v="12.5"/>
    <n v="13670"/>
    <n v="11961.2"/>
    <x v="2"/>
    <x v="116"/>
    <n v="1708.7999999999993"/>
    <n v="0.12500365764447691"/>
    <n v="7"/>
    <n v="6"/>
    <x v="38"/>
    <x v="0"/>
  </r>
  <r>
    <s v="Акт входного контроля грин00261 от 06.07.2025 20:43:53"/>
    <s v="высший"/>
    <n v="775"/>
    <n v="128"/>
    <s v="Колос ООО"/>
    <s v="Пищев Александр Васильевич "/>
    <s v="Т522ОН"/>
    <s v="4.1"/>
    <s v="4.1"/>
    <s v="Исток"/>
    <s v="Горох овощной свежий 10.01"/>
    <n v="29300"/>
    <n v="15640"/>
    <n v="15"/>
    <n v="13660"/>
    <n v="11611"/>
    <x v="2"/>
    <x v="116"/>
    <n v="2049"/>
    <n v="0.15"/>
    <n v="7"/>
    <n v="6"/>
    <x v="38"/>
    <x v="0"/>
  </r>
  <r>
    <s v="Акт входного контроля грин00262 от 06.07.2025 22:20:13"/>
    <s v="высший"/>
    <n v="776"/>
    <n v="129"/>
    <s v="Колос ООО"/>
    <s v="Мудрак Игорь Вадимович"/>
    <s v="С198УЕ"/>
    <s v="4.1"/>
    <s v="4.1"/>
    <s v="Исток"/>
    <s v="Горох овощной свежий 10.01"/>
    <n v="39780"/>
    <n v="24080"/>
    <n v="10.5"/>
    <n v="15700"/>
    <n v="14051.5"/>
    <x v="2"/>
    <x v="116"/>
    <n v="1648.5"/>
    <n v="0.105"/>
    <n v="7"/>
    <n v="6"/>
    <x v="38"/>
    <x v="0"/>
  </r>
  <r>
    <s v="Акт входного контроля грин00263 от 06.07.2025 23:25:38"/>
    <s v="высший"/>
    <n v="777"/>
    <n v="130"/>
    <s v="Колос ООО"/>
    <s v="Лазаренко Вятчеслав Владимирович"/>
    <s v="Т239УС"/>
    <s v="4.1"/>
    <s v="4.1"/>
    <s v="Исток"/>
    <s v="Горох овощной свежий 10.01"/>
    <n v="25390"/>
    <n v="14880"/>
    <n v="12"/>
    <n v="10510"/>
    <n v="9248.7999999999993"/>
    <x v="2"/>
    <x v="116"/>
    <n v="1261.2000000000007"/>
    <n v="0.12000000000000006"/>
    <n v="7"/>
    <n v="6"/>
    <x v="38"/>
    <x v="0"/>
  </r>
  <r>
    <s v="Акт входного контроля грин00301 от 08.07.2025 19:39:57"/>
    <s v="первый"/>
    <n v="785"/>
    <n v="131"/>
    <s v="Колос ООО"/>
    <s v="Пугачев Сергей Викторович"/>
    <s v="Р258УХ"/>
    <s v="2.3"/>
    <s v="2.3"/>
    <s v="Тристар"/>
    <s v="Горох овощной свежий 10.01"/>
    <n v="29340"/>
    <n v="15610"/>
    <n v="7"/>
    <n v="13730"/>
    <n v="12768.9"/>
    <x v="2"/>
    <x v="117"/>
    <n v="961.10000000000036"/>
    <n v="7.0000000000000021E-2"/>
    <n v="7"/>
    <n v="8"/>
    <x v="41"/>
    <x v="0"/>
  </r>
  <r>
    <s v="Акт входного контроля грин00302 от 08.07.2025 20:47:38"/>
    <s v="высший"/>
    <n v="786"/>
    <n v="132"/>
    <s v="Колос ООО"/>
    <s v="Чернецов Александр Михайлович"/>
    <s v="Р866РМ"/>
    <s v="2.3"/>
    <s v="2.3"/>
    <s v="Тристар"/>
    <s v="Горох овощной свежий 10.01"/>
    <n v="28240"/>
    <n v="14910"/>
    <n v="12.5"/>
    <n v="13330"/>
    <n v="11663.7"/>
    <x v="2"/>
    <x v="117"/>
    <n v="1666.2999999999993"/>
    <n v="0.12500375093773439"/>
    <n v="7"/>
    <n v="8"/>
    <x v="41"/>
    <x v="0"/>
  </r>
  <r>
    <s v="Акт входного контроля грин00303 от 08.07.2025 21:59:31"/>
    <s v="высший"/>
    <n v="787"/>
    <n v="133"/>
    <s v="Колос ООО"/>
    <s v="Огнев Максим Викторович"/>
    <s v="Р755НН"/>
    <s v="2.3"/>
    <s v="2.3"/>
    <s v="Тристар"/>
    <s v="Горох овощной свежий 10.01"/>
    <n v="28220"/>
    <n v="14770"/>
    <n v="9.5"/>
    <n v="13450"/>
    <n v="12172.2"/>
    <x v="2"/>
    <x v="117"/>
    <n v="1277.7999999999993"/>
    <n v="9.5003717472118901E-2"/>
    <n v="7"/>
    <n v="8"/>
    <x v="41"/>
    <x v="0"/>
  </r>
  <r>
    <s v="Акт входного контроля грин00304 от 09.07.2025 1:54:57"/>
    <s v="высший"/>
    <n v="788"/>
    <n v="134"/>
    <s v="Колос ООО"/>
    <s v="Никитась Сергей Анатольевич"/>
    <s v="К570ЕО"/>
    <s v="2.3"/>
    <s v="2.3"/>
    <s v="Тристар"/>
    <s v="Горох овощной свежий 10.01"/>
    <n v="27930"/>
    <n v="15000"/>
    <n v="15.5"/>
    <n v="12930"/>
    <n v="10925.8"/>
    <x v="2"/>
    <x v="118"/>
    <n v="2004.2000000000007"/>
    <n v="0.15500386697602481"/>
    <n v="7"/>
    <n v="9"/>
    <x v="39"/>
    <x v="0"/>
  </r>
  <r>
    <s v="Акт входного контроля грин00305 от 09.07.2025 4:28:38"/>
    <s v="первый"/>
    <n v="789"/>
    <n v="135"/>
    <s v="Колос ООО"/>
    <s v="Блажко Алексей Николаевич"/>
    <s v="М676КО"/>
    <s v="2.3"/>
    <s v="2.3"/>
    <s v="Тристар"/>
    <s v="Горох овощной свежий 10.01"/>
    <n v="37350"/>
    <n v="24190"/>
    <n v="14.5"/>
    <n v="13160"/>
    <n v="11251.8"/>
    <x v="2"/>
    <x v="118"/>
    <n v="1908.2000000000007"/>
    <n v="0.14500000000000005"/>
    <n v="7"/>
    <n v="9"/>
    <x v="39"/>
    <x v="0"/>
  </r>
  <r>
    <s v="Акт входного контроля грин00306 от 09.07.2025 4:30:22"/>
    <s v="первый"/>
    <n v="790"/>
    <n v="137"/>
    <s v="Колос ООО"/>
    <s v="Богучарский А. И."/>
    <s v="Е404УС"/>
    <s v="2.3"/>
    <s v="2.3"/>
    <s v="Тристар"/>
    <s v="Горох овощной свежий 10.01"/>
    <n v="26940"/>
    <n v="13810"/>
    <n v="15.5"/>
    <n v="13130"/>
    <n v="11094.8"/>
    <x v="2"/>
    <x v="118"/>
    <n v="2035.2000000000007"/>
    <n v="0.15500380807311506"/>
    <n v="7"/>
    <n v="9"/>
    <x v="39"/>
    <x v="0"/>
  </r>
  <r>
    <s v="Акт входного контроля грин00307 от 09.07.2025 7:20:40"/>
    <s v="первый"/>
    <n v="791"/>
    <n v="136"/>
    <s v="Колос ООО"/>
    <s v="Черевко Александр Владимирович"/>
    <s v="А114МК"/>
    <s v="2.3"/>
    <s v="2.3"/>
    <s v="Бутана"/>
    <s v="Горох овощной свежий 10.01"/>
    <n v="27500"/>
    <n v="14560"/>
    <n v="10.5"/>
    <n v="12940"/>
    <n v="11581.3"/>
    <x v="2"/>
    <x v="118"/>
    <n v="1358.7000000000007"/>
    <n v="0.10500000000000005"/>
    <n v="7"/>
    <n v="9"/>
    <x v="39"/>
    <x v="0"/>
  </r>
  <r>
    <s v="Акт входного контроля грин00308 от 09.07.2025 9:57:04"/>
    <s v="первый"/>
    <n v="792"/>
    <n v="138"/>
    <s v="Колос ООО"/>
    <s v="Погуляй А.Б.       "/>
    <s v="О824ТХ"/>
    <s v="2.3"/>
    <s v="2.3"/>
    <s v="Бутана"/>
    <s v="Горох овощной свежий 10.01"/>
    <n v="28780"/>
    <n v="15730"/>
    <n v="7.5"/>
    <n v="13050"/>
    <n v="12071.2"/>
    <x v="2"/>
    <x v="118"/>
    <n v="978.79999999999927"/>
    <n v="7.500383141762447E-2"/>
    <n v="7"/>
    <n v="9"/>
    <x v="39"/>
    <x v="0"/>
  </r>
  <r>
    <s v="Акт входного контроля грин00309 от 09.07.2025 11:26:10"/>
    <s v="второй"/>
    <n v="793"/>
    <n v="139"/>
    <s v="Колос ООО"/>
    <s v="Жданов Андрей Иванович"/>
    <s v="С707ОУ"/>
    <s v="2.3"/>
    <s v="2.3"/>
    <s v="Бутана"/>
    <s v="Горох овощной свежий 10.01"/>
    <n v="27400"/>
    <n v="14420"/>
    <n v="12.5"/>
    <n v="12980"/>
    <n v="11357.5"/>
    <x v="2"/>
    <x v="118"/>
    <n v="1622.5"/>
    <n v="0.125"/>
    <n v="7"/>
    <n v="9"/>
    <x v="39"/>
    <x v="0"/>
  </r>
  <r>
    <s v="Акт входного контроля грин00310 от 09.07.2025 13:04:49"/>
    <s v="первый"/>
    <n v="795"/>
    <n v="140"/>
    <s v="Колос ООО"/>
    <s v="Гужва А М."/>
    <s v="Т285ВЕ"/>
    <s v="2.3"/>
    <s v="2.3"/>
    <s v="Бутана"/>
    <s v="Горох овощной свежий 10.01"/>
    <n v="28010"/>
    <n v="14870"/>
    <n v="8.5"/>
    <n v="13140"/>
    <n v="12023.1"/>
    <x v="2"/>
    <x v="118"/>
    <n v="1116.8999999999996"/>
    <n v="8.4999999999999978E-2"/>
    <n v="7"/>
    <n v="9"/>
    <x v="39"/>
    <x v="0"/>
  </r>
  <r>
    <s v="Акт входного контроля грин00311 от 09.07.2025 14:10:41"/>
    <s v="второй"/>
    <n v="796"/>
    <n v="140"/>
    <s v="Колос ООО"/>
    <s v="Пугачев Сергей Викторович"/>
    <s v="Р258УХ"/>
    <s v="2.3"/>
    <s v="2.3"/>
    <s v="Бутана"/>
    <s v="Горох овощной свежий 10.01"/>
    <n v="29040"/>
    <n v="15510"/>
    <n v="7.5"/>
    <n v="13530"/>
    <n v="12515.2"/>
    <x v="2"/>
    <x v="118"/>
    <n v="1014.7999999999993"/>
    <n v="7.5003695491500322E-2"/>
    <n v="7"/>
    <n v="9"/>
    <x v="39"/>
    <x v="0"/>
  </r>
  <r>
    <s v="Акт входного контроля грин00312 от 09.07.2025 18:10:06"/>
    <s v="второй"/>
    <n v="799"/>
    <n v="143"/>
    <s v="Колос ООО"/>
    <s v="Мудрак Игорь Вадимович"/>
    <s v="С198УЕ"/>
    <s v="2.3"/>
    <s v="2.3"/>
    <s v="Бутана"/>
    <s v="Горох овощной свежий 10.01"/>
    <n v="37250"/>
    <n v="24060"/>
    <n v="7.5"/>
    <n v="13190"/>
    <n v="12200.7"/>
    <x v="2"/>
    <x v="118"/>
    <n v="989.29999999999927"/>
    <n v="7.5003790750568552E-2"/>
    <n v="7"/>
    <n v="9"/>
    <x v="39"/>
    <x v="0"/>
  </r>
  <r>
    <s v="Акт входного контроля грин00313 от 09.07.2025 19:34:30"/>
    <s v="второй"/>
    <n v="800"/>
    <n v="144"/>
    <s v="Колос ООО"/>
    <s v="Кудря Евгений"/>
    <s v="А719ОО"/>
    <s v="2.3"/>
    <s v="2.3"/>
    <s v="Бутана"/>
    <s v="Горох овощной свежий 10.01"/>
    <n v="27910"/>
    <n v="15020"/>
    <n v="9.5"/>
    <n v="12890"/>
    <n v="11665.4"/>
    <x v="2"/>
    <x v="118"/>
    <n v="1224.6000000000004"/>
    <n v="9.5003878975950376E-2"/>
    <n v="7"/>
    <n v="9"/>
    <x v="39"/>
    <x v="0"/>
  </r>
  <r>
    <s v="Акт входного контроля грин00314 от 09.07.2025 22:43:17"/>
    <s v="первый"/>
    <n v="801"/>
    <n v="141"/>
    <s v="Колос ООО"/>
    <s v="Чернецов Александр Михайлович"/>
    <s v="Р866РМ"/>
    <s v="2.3"/>
    <s v="2.3"/>
    <s v="Бутана"/>
    <s v="Горох овощной свежий 10.01"/>
    <n v="27130"/>
    <n v="14830"/>
    <n v="25.5"/>
    <n v="12300"/>
    <n v="9163.5"/>
    <x v="2"/>
    <x v="118"/>
    <n v="3136.5"/>
    <n v="0.255"/>
    <n v="7"/>
    <n v="9"/>
    <x v="39"/>
    <x v="0"/>
  </r>
  <r>
    <s v="Акт входного контроля грин00315 от 10.07.2025 2:04:11"/>
    <s v="первый"/>
    <n v="802"/>
    <n v="147"/>
    <s v="Колос ООО"/>
    <s v="Огнев Максим Викторович"/>
    <s v="Р755НН"/>
    <s v="2.3"/>
    <s v="2.3"/>
    <s v="Бутана"/>
    <s v="Горох овощной свежий 10.01"/>
    <n v="26390"/>
    <n v="14500"/>
    <n v="11.5"/>
    <n v="11890"/>
    <n v="10522.6"/>
    <x v="2"/>
    <x v="119"/>
    <n v="1367.3999999999996"/>
    <n v="0.1150042052144659"/>
    <n v="7"/>
    <n v="10"/>
    <x v="40"/>
    <x v="0"/>
  </r>
  <r>
    <s v="Акт входного контроля грин00316 от 10.07.2025 5:42:10"/>
    <s v="второй"/>
    <n v="803"/>
    <n v="145"/>
    <s v="Колос ООО"/>
    <s v="Никитась Сергей Анатольевич"/>
    <s v="К570ЕО"/>
    <s v="2.3"/>
    <s v="2.3"/>
    <s v="Бутана"/>
    <s v="Горох овощной свежий 10.01"/>
    <n v="26950"/>
    <n v="14890"/>
    <n v="16.5"/>
    <n v="12060"/>
    <n v="10070.1"/>
    <x v="2"/>
    <x v="119"/>
    <n v="1989.8999999999996"/>
    <n v="0.16499999999999998"/>
    <n v="7"/>
    <n v="10"/>
    <x v="40"/>
    <x v="0"/>
  </r>
  <r>
    <s v="Акт входного контроля грин00317 от 10.07.2025 10:08:10"/>
    <s v="первый"/>
    <n v="804"/>
    <n v="146"/>
    <s v="Колос ООО"/>
    <s v="Блажко Алексей Николаевич"/>
    <s v="М676КО"/>
    <s v="2.3"/>
    <s v="2.3"/>
    <s v="Бутана"/>
    <s v="Горох овощной свежий 10.01"/>
    <n v="38830"/>
    <n v="24310"/>
    <n v="26"/>
    <n v="14520"/>
    <n v="10744.8"/>
    <x v="2"/>
    <x v="119"/>
    <n v="3775.2000000000007"/>
    <n v="0.26000000000000006"/>
    <n v="7"/>
    <n v="10"/>
    <x v="4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157.4000000000001"/>
    <n v="1320.13"/>
    <n v="1.140599619837567"/>
    <n v="257.2"/>
    <n v="237.24380450212948"/>
    <n v="0.92240981532709754"/>
    <n v="5.5644445711464332"/>
  </r>
  <r>
    <x v="1"/>
    <x v="0"/>
    <n v="910"/>
    <n v="503.65"/>
    <n v="0.55346153846153845"/>
    <n v="260"/>
    <n v="183.41254858411989"/>
    <n v="0.70543287916969188"/>
    <n v="2.7459953197750107"/>
  </r>
  <r>
    <x v="2"/>
    <x v="0"/>
    <n v="136.5"/>
    <n v="91.8"/>
    <n v="0.67252747252747247"/>
    <n v="39"/>
    <n v="31"/>
    <n v="0.79487179487179482"/>
    <n v="2.9612903225806453"/>
  </r>
  <r>
    <x v="3"/>
    <x v="0"/>
    <n v="936.2"/>
    <n v="769.25"/>
    <n v="0.82167271950437937"/>
    <n v="302"/>
    <n v="246.59801348128894"/>
    <n v="0.8165497135142018"/>
    <n v="3.119449297828055"/>
  </r>
  <r>
    <x v="4"/>
    <x v="1"/>
    <n v="765"/>
    <n v="842.08"/>
    <n v="1.1007581699346405"/>
    <n v="180"/>
    <n v="147.98974127065651"/>
    <n v="0.8221652292814251"/>
    <n v="5.6901241448887383"/>
  </r>
  <r>
    <x v="5"/>
    <x v="1"/>
    <n v="522.32500000000005"/>
    <n v="561.29999999999995"/>
    <n v="1.0746182932082513"/>
    <n v="120"/>
    <n v="120.02629244666062"/>
    <n v="1.0002191037221719"/>
    <n v="4.6764753668404797"/>
  </r>
  <r>
    <x v="6"/>
    <x v="1"/>
    <n v="586.5"/>
    <n v="1017.73"/>
    <n v="1.7352600170502983"/>
    <n v="138"/>
    <n v="138.00000000000003"/>
    <n v="1.0000000000000002"/>
    <n v="7.3748550724637667"/>
  </r>
  <r>
    <x v="7"/>
    <x v="1"/>
    <n v="1784.12"/>
    <n v="1992.2"/>
    <n v="1.1166289263054057"/>
    <n v="379.6"/>
    <n v="379.58968568872297"/>
    <n v="0.99997282847398039"/>
    <n v="5.248298557916230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s v="богара"/>
    <n v="3890"/>
    <n v="3765.1"/>
    <n v="0.96789203084832898"/>
    <n v="778"/>
    <n v="637.900000000001"/>
    <n v="0.81992287917737916"/>
    <n v="5.9023357893086601"/>
  </r>
  <r>
    <x v="1"/>
    <s v="полив"/>
    <n v="2100"/>
    <n v="719.04"/>
    <n v="0.34239999999999998"/>
    <n v="420"/>
    <n v="167.00000000000006"/>
    <n v="0.39761904761904776"/>
    <n v="4.3056287425149682"/>
  </r>
  <r>
    <x v="2"/>
    <s v="полив"/>
    <n v="1345"/>
    <n v="1384.14"/>
    <n v="1.029100371747212"/>
    <n v="269"/>
    <n v="269.00406076858297"/>
    <n v="1.0000150957939888"/>
    <n v="5.1454241844725859"/>
  </r>
  <r>
    <x v="3"/>
    <s v="полив"/>
    <n v="2200.8000000000002"/>
    <n v="886.23"/>
    <n v="0.40268538713195201"/>
    <n v="440.16"/>
    <n v="188.12000000000012"/>
    <n v="0.4273900399854601"/>
    <n v="4.710982351690407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7">
  <r>
    <s v="Степень зрелости"/>
    <m/>
    <n v="49"/>
    <x v="0"/>
    <x v="0"/>
    <m/>
    <n v="16070"/>
    <m/>
    <n v="12936.4"/>
    <x v="0"/>
    <s v="Тиара"/>
    <x v="0"/>
    <s v="Богучарский А. И."/>
    <m/>
    <m/>
    <m/>
    <m/>
    <s v="А718ВХ"/>
    <m/>
    <x v="0"/>
    <x v="0"/>
    <n v="3"/>
    <x v="0"/>
    <s v="богара"/>
    <n v="1"/>
    <x v="0"/>
    <x v="0"/>
    <s v="-"/>
    <s v="40-52"/>
    <x v="0"/>
    <x v="0"/>
    <d v="2026-06-03T00:00:00"/>
    <n v="1"/>
    <n v="49"/>
  </r>
  <r>
    <s v="Степень зрелости"/>
    <m/>
    <n v="53"/>
    <x v="1"/>
    <x v="0"/>
    <m/>
    <n v="13670"/>
    <m/>
    <n v="9637.4"/>
    <x v="0"/>
    <s v="Тиара"/>
    <x v="0"/>
    <s v="Сероштан Станислав Викторович"/>
    <m/>
    <m/>
    <m/>
    <m/>
    <s v="Е758РЕ"/>
    <m/>
    <x v="0"/>
    <x v="0"/>
    <n v="2.6"/>
    <x v="0"/>
    <s v="богара"/>
    <n v="1"/>
    <x v="0"/>
    <x v="0"/>
    <s v="-"/>
    <s v="53-63"/>
    <x v="0"/>
    <x v="1"/>
    <d v="2026-06-03T00:00:00"/>
    <n v="2"/>
    <n v="53"/>
  </r>
  <r>
    <s v="Степень зрелости"/>
    <m/>
    <n v="50"/>
    <x v="2"/>
    <x v="0"/>
    <m/>
    <n v="13610"/>
    <m/>
    <n v="10683.9"/>
    <x v="0"/>
    <s v="Тиара"/>
    <x v="0"/>
    <s v="Богучарский А. И."/>
    <m/>
    <m/>
    <m/>
    <m/>
    <s v="А718ВХ"/>
    <m/>
    <x v="0"/>
    <x v="0"/>
    <n v="2.6"/>
    <x v="0"/>
    <s v="богара"/>
    <n v="1"/>
    <x v="0"/>
    <x v="0"/>
    <s v="-"/>
    <s v="40-52"/>
    <x v="0"/>
    <x v="2"/>
    <d v="2026-06-03T00:00:00"/>
    <n v="3"/>
    <n v="50"/>
  </r>
  <r>
    <s v="Степень зрелости"/>
    <m/>
    <n v="54"/>
    <x v="3"/>
    <x v="0"/>
    <m/>
    <n v="13740"/>
    <m/>
    <n v="10648.5"/>
    <x v="0"/>
    <s v="Тиара"/>
    <x v="0"/>
    <s v="Кудря Евгений"/>
    <m/>
    <m/>
    <m/>
    <m/>
    <s v="А719ОО"/>
    <m/>
    <x v="0"/>
    <x v="0"/>
    <n v="2.6"/>
    <x v="0"/>
    <s v="богара"/>
    <n v="1"/>
    <x v="0"/>
    <x v="0"/>
    <s v="-"/>
    <s v="53-63"/>
    <x v="0"/>
    <x v="3"/>
    <d v="2026-06-03T00:00:00"/>
    <n v="4"/>
    <n v="54"/>
  </r>
  <r>
    <s v="Степень зрелости"/>
    <m/>
    <n v="53"/>
    <x v="4"/>
    <x v="0"/>
    <m/>
    <n v="13660"/>
    <m/>
    <n v="10996.3"/>
    <x v="0"/>
    <s v="Тиара"/>
    <x v="0"/>
    <s v="Богучарский А. И."/>
    <m/>
    <m/>
    <m/>
    <m/>
    <s v="А718ВХ"/>
    <m/>
    <x v="0"/>
    <x v="0"/>
    <n v="2.6"/>
    <x v="0"/>
    <s v="богара"/>
    <n v="1"/>
    <x v="0"/>
    <x v="0"/>
    <s v="-"/>
    <s v="53-63"/>
    <x v="0"/>
    <x v="4"/>
    <d v="2026-06-03T00:00:00"/>
    <n v="5"/>
    <n v="53"/>
  </r>
  <r>
    <s v="Степень зрелости"/>
    <m/>
    <n v="53"/>
    <x v="5"/>
    <x v="0"/>
    <m/>
    <n v="13390"/>
    <m/>
    <n v="10645.1"/>
    <x v="0"/>
    <s v="Тиара"/>
    <x v="0"/>
    <s v="Черевко Александр Владимирович"/>
    <m/>
    <m/>
    <m/>
    <m/>
    <s v="А114МК"/>
    <m/>
    <x v="0"/>
    <x v="0"/>
    <n v="2.5"/>
    <x v="0"/>
    <s v="богара"/>
    <n v="1"/>
    <x v="0"/>
    <x v="0"/>
    <s v="-"/>
    <s v="53-63"/>
    <x v="0"/>
    <x v="5"/>
    <d v="2026-06-03T00:00:00"/>
    <n v="6"/>
    <n v="53"/>
  </r>
  <r>
    <s v="Степень зрелости"/>
    <m/>
    <n v="52"/>
    <x v="6"/>
    <x v="0"/>
    <m/>
    <n v="13720"/>
    <m/>
    <n v="10907.4"/>
    <x v="0"/>
    <s v="Тиара"/>
    <x v="0"/>
    <s v="Кудря Евгений"/>
    <m/>
    <m/>
    <m/>
    <m/>
    <s v="А719ОО"/>
    <m/>
    <x v="0"/>
    <x v="0"/>
    <n v="2.6"/>
    <x v="0"/>
    <s v="богара"/>
    <n v="1"/>
    <x v="0"/>
    <x v="0"/>
    <s v="-"/>
    <s v="40-52"/>
    <x v="0"/>
    <x v="6"/>
    <d v="2026-06-03T00:00:00"/>
    <n v="7"/>
    <n v="52"/>
  </r>
  <r>
    <s v="Степень зрелости"/>
    <m/>
    <n v="52"/>
    <x v="7"/>
    <x v="0"/>
    <m/>
    <n v="13740"/>
    <m/>
    <n v="11060.7"/>
    <x v="0"/>
    <s v="Тиара"/>
    <x v="0"/>
    <s v="Богучарский А. И."/>
    <m/>
    <m/>
    <m/>
    <m/>
    <s v="А718ВХ"/>
    <m/>
    <x v="0"/>
    <x v="0"/>
    <n v="2.6"/>
    <x v="0"/>
    <s v="богара"/>
    <n v="1"/>
    <x v="0"/>
    <x v="0"/>
    <s v="-"/>
    <s v="40-52"/>
    <x v="0"/>
    <x v="7"/>
    <d v="2026-06-03T00:00:00"/>
    <n v="8"/>
    <n v="52"/>
  </r>
  <r>
    <s v="Степень зрелости"/>
    <m/>
    <n v="51"/>
    <x v="8"/>
    <x v="0"/>
    <m/>
    <n v="13260"/>
    <m/>
    <n v="10674.3"/>
    <x v="0"/>
    <s v="Тиара"/>
    <x v="0"/>
    <s v="Черевко Александр Владимирович"/>
    <m/>
    <m/>
    <m/>
    <m/>
    <s v="А114МК"/>
    <m/>
    <x v="0"/>
    <x v="0"/>
    <n v="2.5"/>
    <x v="0"/>
    <s v="богара"/>
    <n v="1"/>
    <x v="0"/>
    <x v="0"/>
    <s v="-"/>
    <s v="40-52"/>
    <x v="0"/>
    <x v="8"/>
    <d v="2026-06-04T00:00:00"/>
    <n v="9"/>
    <n v="51"/>
  </r>
  <r>
    <s v="Степень зрелости"/>
    <m/>
    <n v="53"/>
    <x v="9"/>
    <x v="0"/>
    <m/>
    <n v="13390"/>
    <m/>
    <n v="10779"/>
    <x v="0"/>
    <s v="Тиара"/>
    <x v="0"/>
    <s v="Кудря Евгений"/>
    <m/>
    <m/>
    <m/>
    <m/>
    <s v="А719ОО"/>
    <m/>
    <x v="0"/>
    <x v="0"/>
    <n v="2.5"/>
    <x v="0"/>
    <s v="богара"/>
    <n v="1"/>
    <x v="0"/>
    <x v="0"/>
    <s v="-"/>
    <s v="53-63"/>
    <x v="0"/>
    <x v="9"/>
    <d v="2026-06-04T00:00:00"/>
    <n v="10"/>
    <n v="53"/>
  </r>
  <r>
    <s v="Степень зрелости"/>
    <m/>
    <n v="55"/>
    <x v="10"/>
    <x v="0"/>
    <m/>
    <n v="13270"/>
    <m/>
    <n v="10815.1"/>
    <x v="0"/>
    <s v="Тиара"/>
    <x v="0"/>
    <s v="Богучарский А. И."/>
    <m/>
    <m/>
    <m/>
    <m/>
    <s v="А718ВХ"/>
    <m/>
    <x v="0"/>
    <x v="0"/>
    <n v="2.5"/>
    <x v="0"/>
    <s v="богара"/>
    <n v="1"/>
    <x v="0"/>
    <x v="0"/>
    <s v="-"/>
    <s v="53-63"/>
    <x v="0"/>
    <x v="10"/>
    <d v="2026-06-04T00:00:00"/>
    <n v="11"/>
    <n v="55"/>
  </r>
  <r>
    <s v="Степень зрелости"/>
    <m/>
    <n v="50"/>
    <x v="11"/>
    <x v="0"/>
    <m/>
    <n v="13200"/>
    <m/>
    <n v="10362"/>
    <x v="0"/>
    <s v="Тиара"/>
    <x v="0"/>
    <s v="Черевко Александр Владимирович"/>
    <m/>
    <m/>
    <m/>
    <m/>
    <s v="А114МК"/>
    <m/>
    <x v="0"/>
    <x v="0"/>
    <n v="2.5"/>
    <x v="0"/>
    <s v="богара"/>
    <n v="1"/>
    <x v="0"/>
    <x v="0"/>
    <s v="-"/>
    <s v="40-52"/>
    <x v="0"/>
    <x v="11"/>
    <d v="2026-06-04T00:00:00"/>
    <n v="12"/>
    <n v="50"/>
  </r>
  <r>
    <s v="Степень зрелости"/>
    <m/>
    <n v="53"/>
    <x v="12"/>
    <x v="0"/>
    <m/>
    <n v="13030"/>
    <m/>
    <n v="10489.2"/>
    <x v="0"/>
    <s v="Тиара"/>
    <x v="0"/>
    <s v="Кудря Евгений"/>
    <m/>
    <m/>
    <m/>
    <m/>
    <s v="А719ОО"/>
    <m/>
    <x v="0"/>
    <x v="0"/>
    <n v="2.4"/>
    <x v="0"/>
    <s v="богара"/>
    <n v="1"/>
    <x v="0"/>
    <x v="0"/>
    <s v="-"/>
    <s v="53-63"/>
    <x v="0"/>
    <x v="12"/>
    <d v="2026-06-04T00:00:00"/>
    <n v="13"/>
    <n v="53"/>
  </r>
  <r>
    <s v="Степень зрелости"/>
    <m/>
    <n v="54"/>
    <x v="13"/>
    <x v="0"/>
    <m/>
    <n v="13760"/>
    <m/>
    <n v="10939.2"/>
    <x v="0"/>
    <s v="Тиара"/>
    <x v="0"/>
    <s v="Погуляй А.Б.       "/>
    <m/>
    <m/>
    <m/>
    <m/>
    <s v="К403ЕМ"/>
    <m/>
    <x v="0"/>
    <x v="0"/>
    <n v="2.5"/>
    <x v="0"/>
    <s v="богара"/>
    <n v="1"/>
    <x v="0"/>
    <x v="0"/>
    <s v="-"/>
    <s v="53-63"/>
    <x v="0"/>
    <x v="13"/>
    <d v="2026-06-04T00:00:00"/>
    <n v="14"/>
    <n v="54"/>
  </r>
  <r>
    <s v="Степень зрелости"/>
    <m/>
    <n v="55"/>
    <x v="14"/>
    <x v="0"/>
    <m/>
    <n v="13570"/>
    <m/>
    <n v="10516.7"/>
    <x v="0"/>
    <s v="Тиара"/>
    <x v="1"/>
    <s v="Деревянко Н.Н."/>
    <m/>
    <m/>
    <m/>
    <m/>
    <s v="Р699ОН"/>
    <m/>
    <x v="0"/>
    <x v="0"/>
    <n v="2.5"/>
    <x v="0"/>
    <s v="богара"/>
    <n v="2"/>
    <x v="1"/>
    <x v="0"/>
    <s v="-"/>
    <s v="53-63"/>
    <x v="0"/>
    <x v="14"/>
    <d v="2026-06-04T00:00:00"/>
    <n v="15"/>
    <n v="55"/>
  </r>
  <r>
    <s v="Степень зрелости"/>
    <m/>
    <n v="55"/>
    <x v="15"/>
    <x v="0"/>
    <m/>
    <n v="13280"/>
    <m/>
    <n v="10823.2"/>
    <x v="0"/>
    <s v="Тиара"/>
    <x v="1"/>
    <s v="Осипов Александр Николаевич"/>
    <m/>
    <m/>
    <m/>
    <m/>
    <s v="Е732УС"/>
    <m/>
    <x v="0"/>
    <x v="0"/>
    <n v="2.4"/>
    <x v="0"/>
    <s v="богара"/>
    <n v="2"/>
    <x v="1"/>
    <x v="0"/>
    <s v="-"/>
    <s v="53-63"/>
    <x v="0"/>
    <x v="15"/>
    <d v="2026-06-04T00:00:00"/>
    <n v="16"/>
    <n v="55"/>
  </r>
  <r>
    <s v="Степень зрелости"/>
    <m/>
    <n v="53"/>
    <x v="16"/>
    <x v="0"/>
    <m/>
    <n v="13840"/>
    <m/>
    <n v="11418"/>
    <x v="0"/>
    <s v="Тиара"/>
    <x v="1"/>
    <s v="Бербеницкий Сергей Николаевич"/>
    <m/>
    <m/>
    <m/>
    <m/>
    <s v="С400РР"/>
    <m/>
    <x v="0"/>
    <x v="0"/>
    <n v="2.5"/>
    <x v="0"/>
    <s v="богара"/>
    <n v="2"/>
    <x v="1"/>
    <x v="0"/>
    <s v="-"/>
    <s v="53-63"/>
    <x v="0"/>
    <x v="16"/>
    <d v="2026-06-04T00:00:00"/>
    <n v="17"/>
    <n v="53"/>
  </r>
  <r>
    <s v="Степень зрелости"/>
    <m/>
    <n v="53"/>
    <x v="17"/>
    <x v="0"/>
    <m/>
    <n v="14080"/>
    <m/>
    <n v="11334.4"/>
    <x v="0"/>
    <s v="Тиара"/>
    <x v="0"/>
    <s v="Погуляй А.Б.       "/>
    <m/>
    <m/>
    <m/>
    <m/>
    <s v="К403ЕМ"/>
    <m/>
    <x v="0"/>
    <x v="0"/>
    <n v="2.5"/>
    <x v="0"/>
    <s v="богара"/>
    <n v="2"/>
    <x v="1"/>
    <x v="0"/>
    <s v="-"/>
    <s v="53-63"/>
    <x v="0"/>
    <x v="17"/>
    <d v="2026-06-04T00:00:00"/>
    <n v="18"/>
    <n v="53"/>
  </r>
  <r>
    <s v="Степень зрелости"/>
    <m/>
    <n v="52"/>
    <x v="18"/>
    <x v="0"/>
    <m/>
    <n v="14070"/>
    <m/>
    <n v="11467.1"/>
    <x v="0"/>
    <s v="Тиара"/>
    <x v="0"/>
    <s v="Деревянко Н.Н."/>
    <m/>
    <m/>
    <m/>
    <m/>
    <s v="Р699ОН"/>
    <m/>
    <x v="0"/>
    <x v="0"/>
    <n v="2.5"/>
    <x v="0"/>
    <s v="богара"/>
    <n v="2"/>
    <x v="1"/>
    <x v="0"/>
    <s v="-"/>
    <s v="40-52"/>
    <x v="0"/>
    <x v="18"/>
    <d v="2026-06-04T00:00:00"/>
    <n v="19"/>
    <n v="52"/>
  </r>
  <r>
    <s v="Степень зрелости"/>
    <m/>
    <n v="53"/>
    <x v="19"/>
    <x v="0"/>
    <m/>
    <n v="14230"/>
    <m/>
    <n v="11739.8"/>
    <x v="0"/>
    <s v="Тиара"/>
    <x v="0"/>
    <s v="Ревенко Андрей Вячеславович"/>
    <m/>
    <m/>
    <m/>
    <m/>
    <s v="А781РР"/>
    <m/>
    <x v="0"/>
    <x v="0"/>
    <n v="2.6"/>
    <x v="0"/>
    <s v="богара"/>
    <n v="2"/>
    <x v="1"/>
    <x v="0"/>
    <s v="-"/>
    <s v="53-63"/>
    <x v="0"/>
    <x v="19"/>
    <d v="2026-06-04T00:00:00"/>
    <n v="20"/>
    <n v="53"/>
  </r>
  <r>
    <s v="Степень зрелости"/>
    <m/>
    <n v="52"/>
    <x v="20"/>
    <x v="0"/>
    <m/>
    <n v="14070"/>
    <m/>
    <n v="11185.7"/>
    <x v="0"/>
    <s v="Тиара"/>
    <x v="0"/>
    <s v="Бербеницкий Сергей Николаевич"/>
    <m/>
    <m/>
    <m/>
    <m/>
    <s v="С400РР"/>
    <m/>
    <x v="0"/>
    <x v="0"/>
    <n v="2.5"/>
    <x v="0"/>
    <s v="богара"/>
    <n v="2"/>
    <x v="1"/>
    <x v="0"/>
    <s v="-"/>
    <s v="40-52"/>
    <x v="0"/>
    <x v="20"/>
    <d v="2026-06-04T00:00:00"/>
    <n v="21"/>
    <n v="52"/>
  </r>
  <r>
    <s v="Степень зрелости"/>
    <m/>
    <n v="53"/>
    <x v="21"/>
    <x v="0"/>
    <m/>
    <n v="14110"/>
    <m/>
    <n v="11781.8"/>
    <x v="0"/>
    <s v="Тиара"/>
    <x v="1"/>
    <s v="Погуляй А.Б.       "/>
    <m/>
    <m/>
    <m/>
    <m/>
    <s v="К403ЕМ"/>
    <m/>
    <x v="0"/>
    <x v="0"/>
    <n v="2.5"/>
    <x v="0"/>
    <s v="богара"/>
    <n v="2"/>
    <x v="1"/>
    <x v="0"/>
    <s v="-"/>
    <s v="53-63"/>
    <x v="0"/>
    <x v="21"/>
    <d v="2026-06-04T00:00:00"/>
    <n v="22"/>
    <n v="53"/>
  </r>
  <r>
    <s v="Степень зрелости"/>
    <m/>
    <n v="42"/>
    <x v="22"/>
    <x v="0"/>
    <m/>
    <n v="6120"/>
    <m/>
    <n v="4039.2"/>
    <x v="0"/>
    <s v="Авола"/>
    <x v="2"/>
    <s v="Деревянко Н.Н."/>
    <m/>
    <m/>
    <m/>
    <m/>
    <s v="Р699ОН"/>
    <m/>
    <x v="1"/>
    <x v="1"/>
    <n v="2"/>
    <x v="0"/>
    <s v="богара"/>
    <n v="2"/>
    <x v="1"/>
    <x v="0"/>
    <s v="-"/>
    <s v="40-52"/>
    <x v="0"/>
    <x v="22"/>
    <d v="2026-06-04T00:00:00"/>
    <n v="23"/>
    <n v="42"/>
  </r>
  <r>
    <s v="Степень зрелости"/>
    <m/>
    <n v="50"/>
    <x v="23"/>
    <x v="0"/>
    <m/>
    <n v="15750"/>
    <m/>
    <n v="13308.8"/>
    <x v="0"/>
    <s v="Тиара"/>
    <x v="3"/>
    <s v="Бербеницкий Сергей Николаевич"/>
    <m/>
    <m/>
    <m/>
    <m/>
    <s v="С400РР"/>
    <m/>
    <x v="2"/>
    <x v="0"/>
    <n v="3.2"/>
    <x v="0"/>
    <s v="богара"/>
    <n v="3"/>
    <x v="2"/>
    <x v="0"/>
    <s v="-"/>
    <s v="40-52"/>
    <x v="0"/>
    <x v="23"/>
    <d v="2026-06-06T00:00:00"/>
    <n v="24"/>
    <n v="50"/>
  </r>
  <r>
    <s v="Степень зрелости"/>
    <m/>
    <n v="54"/>
    <x v="24"/>
    <x v="0"/>
    <m/>
    <n v="8900"/>
    <m/>
    <n v="7609.5"/>
    <x v="0"/>
    <s v="Тиара"/>
    <x v="3"/>
    <s v="Чигрин Н.А."/>
    <m/>
    <m/>
    <m/>
    <m/>
    <s v="А819ЕВ"/>
    <m/>
    <x v="2"/>
    <x v="0"/>
    <n v="1.8"/>
    <x v="0"/>
    <s v="богара"/>
    <n v="3"/>
    <x v="2"/>
    <x v="0"/>
    <s v="-"/>
    <s v="53-63"/>
    <x v="0"/>
    <x v="24"/>
    <d v="2026-06-06T00:00:00"/>
    <n v="25"/>
    <n v="54"/>
  </r>
  <r>
    <s v="Степень зрелости"/>
    <m/>
    <n v="46"/>
    <x v="25"/>
    <x v="0"/>
    <m/>
    <n v="4550"/>
    <m/>
    <n v="3617.2"/>
    <x v="0"/>
    <s v="Тиара"/>
    <x v="1"/>
    <s v="Сайко Владимир Николаевич"/>
    <m/>
    <m/>
    <m/>
    <m/>
    <s v="Т919РВ"/>
    <m/>
    <x v="0"/>
    <x v="0"/>
    <n v="0.8"/>
    <x v="0"/>
    <s v="богара"/>
    <n v="3"/>
    <x v="2"/>
    <x v="0"/>
    <s v="-"/>
    <s v="40-52"/>
    <x v="0"/>
    <x v="25"/>
    <d v="2026-06-06T00:00:00"/>
    <n v="26"/>
    <n v="46"/>
  </r>
  <r>
    <s v="Степень зрелости"/>
    <m/>
    <n v="47"/>
    <x v="26"/>
    <x v="0"/>
    <m/>
    <n v="13630"/>
    <m/>
    <n v="10835.8"/>
    <x v="0"/>
    <s v="Тиара"/>
    <x v="1"/>
    <s v="Погуляй А.Б.       "/>
    <m/>
    <m/>
    <m/>
    <m/>
    <s v="О824ТХ"/>
    <m/>
    <x v="0"/>
    <x v="0"/>
    <n v="2.2999999999999998"/>
    <x v="0"/>
    <s v="богара"/>
    <n v="3"/>
    <x v="2"/>
    <x v="0"/>
    <s v="-"/>
    <s v="40-52"/>
    <x v="0"/>
    <x v="26"/>
    <d v="2026-06-06T00:00:00"/>
    <n v="27"/>
    <n v="47"/>
  </r>
  <r>
    <s v="Степень зрелости"/>
    <m/>
    <n v="47"/>
    <x v="27"/>
    <x v="0"/>
    <m/>
    <n v="13840"/>
    <m/>
    <n v="10726"/>
    <x v="0"/>
    <s v="Тиара"/>
    <x v="0"/>
    <s v="Деревянко Н.Н."/>
    <m/>
    <m/>
    <m/>
    <m/>
    <s v="Р699ОН"/>
    <m/>
    <x v="0"/>
    <x v="0"/>
    <n v="2.4"/>
    <x v="0"/>
    <s v="богара"/>
    <n v="3"/>
    <x v="2"/>
    <x v="0"/>
    <s v="-"/>
    <s v="40-52"/>
    <x v="0"/>
    <x v="27"/>
    <d v="2026-06-06T00:00:00"/>
    <n v="28"/>
    <n v="47"/>
  </r>
  <r>
    <s v="Степень зрелости"/>
    <m/>
    <n v="44"/>
    <x v="28"/>
    <x v="0"/>
    <m/>
    <n v="13640"/>
    <m/>
    <n v="10707.4"/>
    <x v="0"/>
    <s v="Тиара"/>
    <x v="0"/>
    <s v="Бербеницкий Сергей Николаевич"/>
    <m/>
    <m/>
    <m/>
    <m/>
    <s v="С400РР"/>
    <m/>
    <x v="0"/>
    <x v="0"/>
    <n v="2.2999999999999998"/>
    <x v="0"/>
    <s v="богара"/>
    <n v="3"/>
    <x v="2"/>
    <x v="0"/>
    <s v="-"/>
    <s v="40-52"/>
    <x v="0"/>
    <x v="28"/>
    <d v="2026-06-06T00:00:00"/>
    <n v="29"/>
    <n v="44"/>
  </r>
  <r>
    <s v="Степень зрелости"/>
    <m/>
    <n v="43"/>
    <x v="29"/>
    <x v="0"/>
    <m/>
    <n v="4660"/>
    <m/>
    <n v="3658.1"/>
    <x v="0"/>
    <s v="Тиара"/>
    <x v="1"/>
    <s v="Сайко Владимир Николаевич"/>
    <m/>
    <m/>
    <m/>
    <m/>
    <s v="Т919РВ"/>
    <m/>
    <x v="0"/>
    <x v="0"/>
    <n v="0.8"/>
    <x v="0"/>
    <s v="богара"/>
    <n v="3"/>
    <x v="2"/>
    <x v="0"/>
    <s v="-"/>
    <s v="40-52"/>
    <x v="0"/>
    <x v="29"/>
    <d v="2026-06-06T00:00:00"/>
    <n v="30"/>
    <n v="43"/>
  </r>
  <r>
    <s v="Степень зрелости"/>
    <m/>
    <n v="47"/>
    <x v="30"/>
    <x v="0"/>
    <m/>
    <n v="13710"/>
    <m/>
    <n v="10762.4"/>
    <x v="0"/>
    <s v="Тиара"/>
    <x v="0"/>
    <s v="Чигрин Н.А."/>
    <m/>
    <m/>
    <m/>
    <m/>
    <s v="А819ЕВ"/>
    <m/>
    <x v="0"/>
    <x v="0"/>
    <n v="2.4"/>
    <x v="0"/>
    <s v="богара"/>
    <n v="3"/>
    <x v="2"/>
    <x v="0"/>
    <s v="-"/>
    <s v="40-52"/>
    <x v="0"/>
    <x v="30"/>
    <d v="2026-06-06T00:00:00"/>
    <n v="31"/>
    <n v="47"/>
  </r>
  <r>
    <s v="Степень зрелости"/>
    <m/>
    <n v="45"/>
    <x v="31"/>
    <x v="0"/>
    <m/>
    <n v="14310"/>
    <m/>
    <n v="11233.3"/>
    <x v="0"/>
    <s v="Тиара"/>
    <x v="1"/>
    <s v="Погуляй А.Б.       "/>
    <m/>
    <m/>
    <m/>
    <m/>
    <s v="О824ТХ"/>
    <m/>
    <x v="0"/>
    <x v="0"/>
    <n v="2.5"/>
    <x v="0"/>
    <s v="богара"/>
    <n v="3"/>
    <x v="2"/>
    <x v="0"/>
    <s v="-"/>
    <s v="40-52"/>
    <x v="0"/>
    <x v="31"/>
    <d v="2026-06-06T00:00:00"/>
    <n v="32"/>
    <n v="45"/>
  </r>
  <r>
    <s v="Степень зрелости"/>
    <m/>
    <n v="50"/>
    <x v="32"/>
    <x v="0"/>
    <m/>
    <n v="13690"/>
    <m/>
    <n v="10472.9"/>
    <x v="0"/>
    <s v="Тиара"/>
    <x v="0"/>
    <s v="Деревянко Н.Н."/>
    <m/>
    <m/>
    <m/>
    <m/>
    <s v="Р699ОН"/>
    <m/>
    <x v="0"/>
    <x v="0"/>
    <n v="2.4"/>
    <x v="0"/>
    <s v="богара"/>
    <n v="3"/>
    <x v="2"/>
    <x v="0"/>
    <s v="-"/>
    <s v="40-52"/>
    <x v="0"/>
    <x v="32"/>
    <d v="2026-06-06T00:00:00"/>
    <n v="33"/>
    <n v="50"/>
  </r>
  <r>
    <s v="Степень зрелости"/>
    <m/>
    <n v="50"/>
    <x v="33"/>
    <x v="0"/>
    <m/>
    <n v="13840"/>
    <m/>
    <n v="11002.8"/>
    <x v="0"/>
    <s v="Тиара"/>
    <x v="1"/>
    <s v="Бербеницкий Сергей Николаевич"/>
    <m/>
    <m/>
    <m/>
    <m/>
    <s v="С400РР"/>
    <m/>
    <x v="0"/>
    <x v="0"/>
    <n v="2.4"/>
    <x v="0"/>
    <s v="богара"/>
    <n v="3"/>
    <x v="2"/>
    <x v="0"/>
    <s v="-"/>
    <s v="40-52"/>
    <x v="0"/>
    <x v="33"/>
    <d v="2026-06-06T00:00:00"/>
    <n v="34"/>
    <n v="50"/>
  </r>
  <r>
    <s v="Степень зрелости"/>
    <m/>
    <n v="53"/>
    <x v="34"/>
    <x v="0"/>
    <m/>
    <n v="13630"/>
    <m/>
    <n v="11244.8"/>
    <x v="0"/>
    <s v="Тиара"/>
    <x v="0"/>
    <s v="Чигрин Н.А."/>
    <m/>
    <m/>
    <m/>
    <m/>
    <s v="А819ЕВ"/>
    <m/>
    <x v="0"/>
    <x v="0"/>
    <n v="2.2999999999999998"/>
    <x v="0"/>
    <s v="богара"/>
    <n v="3"/>
    <x v="2"/>
    <x v="0"/>
    <s v="-"/>
    <s v="53-63"/>
    <x v="0"/>
    <x v="34"/>
    <d v="2026-06-06T00:00:00"/>
    <n v="35"/>
    <n v="53"/>
  </r>
  <r>
    <s v="Степень зрелости"/>
    <m/>
    <n v="45"/>
    <x v="35"/>
    <x v="0"/>
    <m/>
    <n v="4690"/>
    <m/>
    <n v="3728.5"/>
    <x v="0"/>
    <s v="Тиара"/>
    <x v="1"/>
    <s v="Сайко Владимир Николаевич"/>
    <m/>
    <m/>
    <m/>
    <m/>
    <s v="Т919РВ"/>
    <m/>
    <x v="0"/>
    <x v="0"/>
    <n v="0.8"/>
    <x v="0"/>
    <s v="богара"/>
    <n v="3"/>
    <x v="2"/>
    <x v="0"/>
    <s v="-"/>
    <s v="40-52"/>
    <x v="0"/>
    <x v="35"/>
    <d v="2026-06-06T00:00:00"/>
    <n v="36"/>
    <n v="45"/>
  </r>
  <r>
    <s v="Степень зрелости"/>
    <m/>
    <n v="49"/>
    <x v="36"/>
    <x v="0"/>
    <m/>
    <n v="15500"/>
    <m/>
    <n v="12322.5"/>
    <x v="0"/>
    <s v="Тиара"/>
    <x v="1"/>
    <s v="Погуляй А.Б.       "/>
    <m/>
    <m/>
    <m/>
    <m/>
    <s v="О824ТХ"/>
    <m/>
    <x v="0"/>
    <x v="0"/>
    <n v="2.7"/>
    <x v="0"/>
    <s v="богара"/>
    <n v="3"/>
    <x v="2"/>
    <x v="0"/>
    <s v="-"/>
    <s v="40-52"/>
    <x v="0"/>
    <x v="36"/>
    <d v="2026-06-06T00:00:00"/>
    <n v="37"/>
    <n v="49"/>
  </r>
  <r>
    <s v="Степень зрелости"/>
    <m/>
    <n v="49"/>
    <x v="37"/>
    <x v="0"/>
    <m/>
    <n v="13520"/>
    <m/>
    <n v="10342.799999999999"/>
    <x v="0"/>
    <s v="Тиара"/>
    <x v="1"/>
    <s v="Деревянко Н.Н."/>
    <m/>
    <m/>
    <m/>
    <m/>
    <s v="Р699ОН"/>
    <m/>
    <x v="0"/>
    <x v="0"/>
    <n v="2.2999999999999998"/>
    <x v="0"/>
    <s v="богара"/>
    <n v="3"/>
    <x v="2"/>
    <x v="0"/>
    <s v="-"/>
    <s v="40-52"/>
    <x v="0"/>
    <x v="37"/>
    <d v="2026-06-06T00:00:00"/>
    <n v="38"/>
    <n v="49"/>
  </r>
  <r>
    <s v="Степень зрелости"/>
    <m/>
    <n v="48"/>
    <x v="38"/>
    <x v="0"/>
    <m/>
    <n v="13550"/>
    <m/>
    <n v="10772.3"/>
    <x v="0"/>
    <s v="Тиара"/>
    <x v="0"/>
    <s v="Бербеницкий Сергей Николаевич"/>
    <m/>
    <m/>
    <m/>
    <m/>
    <s v="С400РР"/>
    <m/>
    <x v="0"/>
    <x v="0"/>
    <n v="2.2999999999999998"/>
    <x v="0"/>
    <s v="богара"/>
    <n v="3"/>
    <x v="2"/>
    <x v="0"/>
    <s v="-"/>
    <s v="40-52"/>
    <x v="0"/>
    <x v="38"/>
    <d v="2026-06-06T00:00:00"/>
    <n v="39"/>
    <n v="48"/>
  </r>
  <r>
    <s v="Степень зрелости"/>
    <m/>
    <n v="47"/>
    <x v="39"/>
    <x v="0"/>
    <m/>
    <n v="4470"/>
    <m/>
    <n v="3687.7"/>
    <x v="0"/>
    <s v="Тиара"/>
    <x v="1"/>
    <s v="Сайко Владимир Николаевич"/>
    <m/>
    <m/>
    <m/>
    <m/>
    <s v="Т919РВ"/>
    <m/>
    <x v="0"/>
    <x v="0"/>
    <n v="0.8"/>
    <x v="0"/>
    <s v="богара"/>
    <n v="3"/>
    <x v="2"/>
    <x v="0"/>
    <s v="-"/>
    <s v="40-52"/>
    <x v="0"/>
    <x v="39"/>
    <d v="2026-06-06T00:00:00"/>
    <n v="40"/>
    <n v="47"/>
  </r>
  <r>
    <s v="Степень зрелости"/>
    <m/>
    <n v="49"/>
    <x v="40"/>
    <x v="0"/>
    <m/>
    <n v="14560"/>
    <m/>
    <n v="12303.2"/>
    <x v="0"/>
    <s v="Тиара"/>
    <x v="1"/>
    <s v="Чигрин Н.А."/>
    <m/>
    <m/>
    <m/>
    <m/>
    <s v="А819ЕВ"/>
    <m/>
    <x v="0"/>
    <x v="0"/>
    <n v="2.5"/>
    <x v="0"/>
    <s v="богара"/>
    <n v="3"/>
    <x v="2"/>
    <x v="0"/>
    <s v="-"/>
    <s v="40-52"/>
    <x v="0"/>
    <x v="40"/>
    <d v="2026-06-06T00:00:00"/>
    <n v="41"/>
    <n v="49"/>
  </r>
  <r>
    <s v="Степень зрелости"/>
    <m/>
    <n v="47"/>
    <x v="41"/>
    <x v="0"/>
    <m/>
    <n v="13400"/>
    <m/>
    <n v="11457"/>
    <x v="0"/>
    <s v="Тиара"/>
    <x v="1"/>
    <s v="Погуляй А.Б.       "/>
    <m/>
    <m/>
    <m/>
    <m/>
    <s v="О824ТХ"/>
    <m/>
    <x v="0"/>
    <x v="0"/>
    <n v="2.2999999999999998"/>
    <x v="0"/>
    <s v="богара"/>
    <n v="3"/>
    <x v="2"/>
    <x v="0"/>
    <s v="-"/>
    <s v="40-52"/>
    <x v="0"/>
    <x v="41"/>
    <d v="2026-06-07T00:00:00"/>
    <n v="42"/>
    <n v="47"/>
  </r>
  <r>
    <s v="Степень зрелости"/>
    <m/>
    <n v="48"/>
    <x v="42"/>
    <x v="0"/>
    <m/>
    <n v="13470"/>
    <m/>
    <n v="11112.8"/>
    <x v="0"/>
    <s v="Тиара"/>
    <x v="0"/>
    <s v="Деревянко Н.Н."/>
    <m/>
    <m/>
    <m/>
    <m/>
    <s v="Р699ОН"/>
    <m/>
    <x v="0"/>
    <x v="0"/>
    <n v="2.2999999999999998"/>
    <x v="0"/>
    <s v="богара"/>
    <n v="3"/>
    <x v="2"/>
    <x v="0"/>
    <s v="-"/>
    <s v="40-52"/>
    <x v="0"/>
    <x v="42"/>
    <d v="2026-06-07T00:00:00"/>
    <n v="43"/>
    <n v="48"/>
  </r>
  <r>
    <s v="Степень зрелости"/>
    <m/>
    <n v="45"/>
    <x v="43"/>
    <x v="0"/>
    <m/>
    <n v="4490"/>
    <m/>
    <n v="3883.8"/>
    <x v="0"/>
    <s v="Тиара"/>
    <x v="1"/>
    <s v="Сайко Владимир Николаевич"/>
    <m/>
    <m/>
    <m/>
    <m/>
    <s v="Т919РВ"/>
    <m/>
    <x v="0"/>
    <x v="0"/>
    <n v="0.8"/>
    <x v="0"/>
    <s v="богара"/>
    <n v="3"/>
    <x v="2"/>
    <x v="0"/>
    <s v="-"/>
    <s v="40-52"/>
    <x v="0"/>
    <x v="43"/>
    <d v="2026-06-07T00:00:00"/>
    <n v="44"/>
    <n v="45"/>
  </r>
  <r>
    <s v="Степень зрелости"/>
    <m/>
    <n v="47"/>
    <x v="44"/>
    <x v="0"/>
    <m/>
    <n v="13580"/>
    <m/>
    <n v="11067.7"/>
    <x v="0"/>
    <s v="Тиара"/>
    <x v="0"/>
    <s v="Бербеницкий Сергей Николаевич"/>
    <m/>
    <m/>
    <m/>
    <m/>
    <s v="С400РР"/>
    <m/>
    <x v="0"/>
    <x v="0"/>
    <n v="2.2999999999999998"/>
    <x v="0"/>
    <s v="богара"/>
    <n v="3"/>
    <x v="2"/>
    <x v="0"/>
    <s v="-"/>
    <s v="40-52"/>
    <x v="0"/>
    <x v="44"/>
    <d v="2026-06-07T00:00:00"/>
    <n v="45"/>
    <n v="47"/>
  </r>
  <r>
    <s v="Степень зрелости"/>
    <m/>
    <n v="50"/>
    <x v="45"/>
    <x v="0"/>
    <m/>
    <n v="13540"/>
    <m/>
    <n v="11035.1"/>
    <x v="0"/>
    <s v="Тиара"/>
    <x v="0"/>
    <s v="Чигрин Н.А."/>
    <m/>
    <m/>
    <m/>
    <m/>
    <s v="А819ЕВ"/>
    <m/>
    <x v="0"/>
    <x v="0"/>
    <n v="2.2999999999999998"/>
    <x v="0"/>
    <s v="богара"/>
    <n v="3"/>
    <x v="2"/>
    <x v="0"/>
    <s v="-"/>
    <s v="40-52"/>
    <x v="0"/>
    <x v="45"/>
    <d v="2026-06-07T00:00:00"/>
    <n v="46"/>
    <n v="50"/>
  </r>
  <r>
    <s v="Степень зрелости"/>
    <m/>
    <n v="56"/>
    <x v="46"/>
    <x v="0"/>
    <m/>
    <n v="13880"/>
    <m/>
    <n v="11034.6"/>
    <x v="0"/>
    <s v="Тиара"/>
    <x v="0"/>
    <s v="Сероштан Станислав Викторович"/>
    <m/>
    <m/>
    <m/>
    <m/>
    <s v="Е758РЕ"/>
    <m/>
    <x v="0"/>
    <x v="0"/>
    <n v="2.9"/>
    <x v="0"/>
    <s v="богара"/>
    <n v="4"/>
    <x v="3"/>
    <x v="0"/>
    <s v="-"/>
    <s v="53-63"/>
    <x v="0"/>
    <x v="46"/>
    <d v="2026-06-07T00:00:00"/>
    <n v="47"/>
    <n v="56"/>
  </r>
  <r>
    <s v="Степень зрелости"/>
    <m/>
    <n v="57"/>
    <x v="47"/>
    <x v="0"/>
    <m/>
    <n v="4470"/>
    <m/>
    <n v="3866.5"/>
    <x v="0"/>
    <s v="Тиара"/>
    <x v="1"/>
    <s v="Роговской Роман Алексеевич"/>
    <m/>
    <m/>
    <m/>
    <m/>
    <s v="Т945РВ"/>
    <m/>
    <x v="0"/>
    <x v="0"/>
    <n v="0.9"/>
    <x v="0"/>
    <s v="богара"/>
    <n v="4"/>
    <x v="3"/>
    <x v="0"/>
    <s v="-"/>
    <s v="53-63"/>
    <x v="0"/>
    <x v="47"/>
    <d v="2026-06-07T00:00:00"/>
    <n v="48"/>
    <n v="57"/>
  </r>
  <r>
    <s v="Степень зрелости"/>
    <m/>
    <n v="50"/>
    <x v="48"/>
    <x v="0"/>
    <m/>
    <n v="13880"/>
    <m/>
    <n v="11589.8"/>
    <x v="0"/>
    <s v="Тиара"/>
    <x v="1"/>
    <s v="Гуйда Николай Николаевич"/>
    <m/>
    <m/>
    <m/>
    <m/>
    <s v="А816ЕВ"/>
    <m/>
    <x v="0"/>
    <x v="0"/>
    <n v="2.9"/>
    <x v="0"/>
    <s v="богара"/>
    <n v="4"/>
    <x v="3"/>
    <x v="0"/>
    <s v="-"/>
    <s v="40-52"/>
    <x v="0"/>
    <x v="48"/>
    <d v="2026-06-07T00:00:00"/>
    <n v="49"/>
    <n v="50"/>
  </r>
  <r>
    <s v="Степень зрелости"/>
    <m/>
    <n v="55"/>
    <x v="49"/>
    <x v="0"/>
    <m/>
    <n v="11920"/>
    <m/>
    <n v="8403.6"/>
    <x v="0"/>
    <s v="Тиара"/>
    <x v="0"/>
    <s v="Гужва А М."/>
    <m/>
    <m/>
    <m/>
    <m/>
    <s v="Т285ВЕ"/>
    <m/>
    <x v="0"/>
    <x v="0"/>
    <n v="2.5"/>
    <x v="0"/>
    <s v="богара"/>
    <n v="4"/>
    <x v="3"/>
    <x v="0"/>
    <s v="-"/>
    <s v="53-63"/>
    <x v="0"/>
    <x v="49"/>
    <d v="2026-06-07T00:00:00"/>
    <n v="50"/>
    <n v="55"/>
  </r>
  <r>
    <s v="Степень зрелости"/>
    <m/>
    <n v="50"/>
    <x v="50"/>
    <x v="0"/>
    <m/>
    <n v="1830"/>
    <m/>
    <n v="1564.6"/>
    <x v="0"/>
    <s v="Тиара"/>
    <x v="1"/>
    <s v="Роговской Роман Алексеевич"/>
    <m/>
    <m/>
    <m/>
    <m/>
    <s v="Т945РВ"/>
    <m/>
    <x v="0"/>
    <x v="0"/>
    <n v="0.4"/>
    <x v="0"/>
    <s v="богара"/>
    <n v="4"/>
    <x v="3"/>
    <x v="0"/>
    <s v="-"/>
    <s v="40-52"/>
    <x v="0"/>
    <x v="50"/>
    <d v="2026-06-07T00:00:00"/>
    <n v="51"/>
    <n v="50"/>
  </r>
  <r>
    <s v="Степень зрелости"/>
    <m/>
    <n v="50"/>
    <x v="51"/>
    <x v="0"/>
    <m/>
    <n v="15400"/>
    <m/>
    <n v="13321"/>
    <x v="0"/>
    <s v="Тиара"/>
    <x v="1"/>
    <s v="Жданов Андрей Иванович"/>
    <m/>
    <m/>
    <m/>
    <m/>
    <s v="С707ОУ"/>
    <m/>
    <x v="0"/>
    <x v="0"/>
    <n v="3.4"/>
    <x v="0"/>
    <s v="богара"/>
    <n v="4"/>
    <x v="3"/>
    <x v="0"/>
    <s v="-"/>
    <s v="40-52"/>
    <x v="0"/>
    <x v="51"/>
    <d v="2026-06-07T00:00:00"/>
    <n v="52"/>
    <n v="50"/>
  </r>
  <r>
    <s v="Степень зрелости"/>
    <m/>
    <n v="52"/>
    <x v="52"/>
    <x v="0"/>
    <m/>
    <n v="13400"/>
    <m/>
    <n v="10653"/>
    <x v="0"/>
    <s v="Авола"/>
    <x v="2"/>
    <s v="Сероштан Станислав Викторович"/>
    <m/>
    <m/>
    <m/>
    <m/>
    <s v="Е758РЕ"/>
    <m/>
    <x v="1"/>
    <x v="1"/>
    <n v="2.5"/>
    <x v="0"/>
    <s v="богара"/>
    <n v="4"/>
    <x v="3"/>
    <x v="0"/>
    <s v="-"/>
    <s v="40-52"/>
    <x v="0"/>
    <x v="52"/>
    <d v="2026-06-07T00:00:00"/>
    <n v="53"/>
    <n v="52"/>
  </r>
  <r>
    <s v="Степень зрелости"/>
    <m/>
    <n v="55"/>
    <x v="53"/>
    <x v="0"/>
    <m/>
    <n v="13150"/>
    <m/>
    <n v="10585.7"/>
    <x v="0"/>
    <s v="Авола"/>
    <x v="2"/>
    <s v="Гуйда Николай Николаевич"/>
    <m/>
    <m/>
    <m/>
    <m/>
    <s v="А816ЕВ"/>
    <m/>
    <x v="1"/>
    <x v="1"/>
    <n v="2.5"/>
    <x v="0"/>
    <s v="богара"/>
    <n v="4"/>
    <x v="3"/>
    <x v="0"/>
    <s v="-"/>
    <s v="53-63"/>
    <x v="0"/>
    <x v="53"/>
    <d v="2026-06-07T00:00:00"/>
    <n v="54"/>
    <n v="55"/>
  </r>
  <r>
    <s v="Степень зрелости"/>
    <m/>
    <n v="48"/>
    <x v="54"/>
    <x v="0"/>
    <m/>
    <n v="13450"/>
    <m/>
    <n v="10827.2"/>
    <x v="0"/>
    <s v="Авола"/>
    <x v="2"/>
    <s v="Гужва А М."/>
    <m/>
    <m/>
    <m/>
    <m/>
    <s v="Т285ВЕ"/>
    <m/>
    <x v="1"/>
    <x v="1"/>
    <n v="2.5"/>
    <x v="0"/>
    <s v="богара"/>
    <n v="4"/>
    <x v="3"/>
    <x v="0"/>
    <s v="-"/>
    <s v="40-52"/>
    <x v="0"/>
    <x v="54"/>
    <d v="2026-06-07T00:00:00"/>
    <n v="55"/>
    <n v="48"/>
  </r>
  <r>
    <s v="Степень зрелости"/>
    <m/>
    <n v="48"/>
    <x v="55"/>
    <x v="0"/>
    <m/>
    <n v="4590"/>
    <m/>
    <n v="3740.8"/>
    <x v="0"/>
    <s v="Авола"/>
    <x v="2"/>
    <s v="Роговской Роман Алексеевич"/>
    <m/>
    <m/>
    <m/>
    <m/>
    <s v="Т945РВ"/>
    <m/>
    <x v="1"/>
    <x v="1"/>
    <n v="0.9"/>
    <x v="0"/>
    <s v="богара"/>
    <n v="4"/>
    <x v="3"/>
    <x v="0"/>
    <s v="-"/>
    <s v="40-52"/>
    <x v="0"/>
    <x v="55"/>
    <d v="2026-06-07T00:00:00"/>
    <n v="56"/>
    <n v="48"/>
  </r>
  <r>
    <s v="Степень зрелости"/>
    <m/>
    <n v="46"/>
    <x v="56"/>
    <x v="0"/>
    <m/>
    <n v="13450"/>
    <m/>
    <n v="10827.2"/>
    <x v="0"/>
    <s v="Авола"/>
    <x v="2"/>
    <s v="Жданов Андрей Иванович"/>
    <m/>
    <m/>
    <m/>
    <m/>
    <s v="С707ОУ"/>
    <m/>
    <x v="1"/>
    <x v="1"/>
    <n v="2.5"/>
    <x v="0"/>
    <s v="богара"/>
    <n v="4"/>
    <x v="3"/>
    <x v="0"/>
    <s v="-"/>
    <s v="40-52"/>
    <x v="0"/>
    <x v="56"/>
    <d v="2026-06-07T00:00:00"/>
    <n v="57"/>
    <n v="46"/>
  </r>
  <r>
    <s v="Степень зрелости"/>
    <m/>
    <n v="56"/>
    <x v="57"/>
    <x v="0"/>
    <m/>
    <n v="13250"/>
    <m/>
    <n v="10997.5"/>
    <x v="0"/>
    <s v="Авола"/>
    <x v="2"/>
    <s v="Сероштан Станислав Викторович"/>
    <m/>
    <m/>
    <m/>
    <m/>
    <s v="Е758РЕ"/>
    <m/>
    <x v="1"/>
    <x v="1"/>
    <n v="2.5"/>
    <x v="0"/>
    <s v="богара"/>
    <n v="4"/>
    <x v="3"/>
    <x v="0"/>
    <s v="-"/>
    <s v="53-63"/>
    <x v="0"/>
    <x v="57"/>
    <d v="2026-06-07T00:00:00"/>
    <n v="58"/>
    <n v="56"/>
  </r>
  <r>
    <s v="Степень зрелости"/>
    <m/>
    <n v="50"/>
    <x v="58"/>
    <x v="0"/>
    <m/>
    <n v="13310"/>
    <m/>
    <n v="10714.5"/>
    <x v="0"/>
    <s v="Авола"/>
    <x v="2"/>
    <s v="Гуйда Николай Николаевич"/>
    <m/>
    <m/>
    <m/>
    <m/>
    <s v="А816ЕВ"/>
    <m/>
    <x v="1"/>
    <x v="1"/>
    <n v="2.5"/>
    <x v="0"/>
    <s v="богара"/>
    <n v="4"/>
    <x v="3"/>
    <x v="0"/>
    <s v="-"/>
    <s v="40-52"/>
    <x v="0"/>
    <x v="58"/>
    <d v="2026-06-07T00:00:00"/>
    <n v="59"/>
    <n v="50"/>
  </r>
  <r>
    <s v="Степень зрелости"/>
    <m/>
    <n v="50"/>
    <x v="59"/>
    <x v="0"/>
    <m/>
    <n v="13410"/>
    <m/>
    <n v="11130.3"/>
    <x v="0"/>
    <s v="Авола"/>
    <x v="2"/>
    <s v="Гужва А М."/>
    <m/>
    <m/>
    <m/>
    <m/>
    <s v="Т285ВЕ"/>
    <m/>
    <x v="1"/>
    <x v="1"/>
    <n v="2.5"/>
    <x v="0"/>
    <s v="богара"/>
    <n v="4"/>
    <x v="3"/>
    <x v="0"/>
    <s v="-"/>
    <s v="40-52"/>
    <x v="0"/>
    <x v="59"/>
    <d v="2026-06-07T00:00:00"/>
    <n v="60"/>
    <n v="50"/>
  </r>
  <r>
    <s v="Степень зрелости"/>
    <m/>
    <n v="48"/>
    <x v="60"/>
    <x v="0"/>
    <m/>
    <n v="4500"/>
    <m/>
    <n v="3622.5"/>
    <x v="0"/>
    <s v="Авола"/>
    <x v="2"/>
    <s v="Роговской Роман Алексеевич"/>
    <m/>
    <m/>
    <m/>
    <m/>
    <s v="Т945РВ"/>
    <m/>
    <x v="1"/>
    <x v="1"/>
    <n v="0.8"/>
    <x v="0"/>
    <s v="богара"/>
    <n v="4"/>
    <x v="3"/>
    <x v="0"/>
    <s v="-"/>
    <s v="40-52"/>
    <x v="0"/>
    <x v="60"/>
    <d v="2026-06-07T00:00:00"/>
    <n v="61"/>
    <n v="48"/>
  </r>
  <r>
    <s v="Степень зрелости"/>
    <m/>
    <n v="53"/>
    <x v="61"/>
    <x v="0"/>
    <m/>
    <n v="13450"/>
    <m/>
    <n v="10827.2"/>
    <x v="0"/>
    <s v="Авола"/>
    <x v="2"/>
    <s v="Жданов Андрей Иванович"/>
    <m/>
    <m/>
    <m/>
    <m/>
    <s v="С707ОУ"/>
    <m/>
    <x v="1"/>
    <x v="1"/>
    <n v="2.5"/>
    <x v="0"/>
    <s v="богара"/>
    <n v="4"/>
    <x v="3"/>
    <x v="0"/>
    <s v="-"/>
    <s v="53-63"/>
    <x v="0"/>
    <x v="61"/>
    <d v="2026-06-08T00:00:00"/>
    <n v="62"/>
    <n v="53"/>
  </r>
  <r>
    <s v="Степень зрелости"/>
    <m/>
    <n v="53"/>
    <x v="62"/>
    <x v="0"/>
    <m/>
    <n v="13560"/>
    <m/>
    <n v="11458.2"/>
    <x v="0"/>
    <s v="Авола"/>
    <x v="2"/>
    <s v="Сероштан Станислав Викторович"/>
    <m/>
    <m/>
    <m/>
    <m/>
    <s v="Е758РЕ"/>
    <m/>
    <x v="1"/>
    <x v="1"/>
    <n v="2.5"/>
    <x v="0"/>
    <s v="богара"/>
    <n v="4"/>
    <x v="3"/>
    <x v="0"/>
    <s v="-"/>
    <s v="53-63"/>
    <x v="0"/>
    <x v="62"/>
    <d v="2026-06-08T00:00:00"/>
    <n v="63"/>
    <n v="53"/>
  </r>
  <r>
    <s v="Степень зрелости"/>
    <m/>
    <n v="48"/>
    <x v="63"/>
    <x v="0"/>
    <m/>
    <n v="4510"/>
    <m/>
    <n v="3720.7"/>
    <x v="0"/>
    <s v="Авола"/>
    <x v="2"/>
    <s v="Роговской Роман Алексеевич"/>
    <m/>
    <m/>
    <m/>
    <m/>
    <s v="Т945РВ"/>
    <m/>
    <x v="1"/>
    <x v="1"/>
    <n v="0.8"/>
    <x v="0"/>
    <s v="богара"/>
    <n v="4"/>
    <x v="3"/>
    <x v="0"/>
    <s v="-"/>
    <s v="40-52"/>
    <x v="0"/>
    <x v="63"/>
    <d v="2026-06-08T00:00:00"/>
    <n v="64"/>
    <n v="48"/>
  </r>
  <r>
    <s v="Степень зрелости"/>
    <m/>
    <n v="50"/>
    <x v="64"/>
    <x v="0"/>
    <m/>
    <n v="13440"/>
    <m/>
    <n v="10819.2"/>
    <x v="0"/>
    <s v="Авола"/>
    <x v="2"/>
    <s v="Гуйда Николай Николаевич"/>
    <m/>
    <m/>
    <m/>
    <m/>
    <s v="А816ЕВ"/>
    <m/>
    <x v="1"/>
    <x v="1"/>
    <n v="2.5"/>
    <x v="0"/>
    <s v="богара"/>
    <n v="4"/>
    <x v="3"/>
    <x v="0"/>
    <s v="-"/>
    <s v="40-52"/>
    <x v="0"/>
    <x v="64"/>
    <d v="2026-06-08T00:00:00"/>
    <n v="65"/>
    <n v="50"/>
  </r>
  <r>
    <s v="Степень зрелости"/>
    <m/>
    <n v="49"/>
    <x v="65"/>
    <x v="0"/>
    <m/>
    <n v="13460"/>
    <m/>
    <n v="10700.7"/>
    <x v="0"/>
    <s v="Авола"/>
    <x v="2"/>
    <s v="Гужва А М."/>
    <m/>
    <m/>
    <m/>
    <m/>
    <s v="Т285ВЕ"/>
    <m/>
    <x v="1"/>
    <x v="1"/>
    <n v="2.5"/>
    <x v="0"/>
    <s v="богара"/>
    <n v="4"/>
    <x v="3"/>
    <x v="0"/>
    <s v="-"/>
    <s v="40-52"/>
    <x v="0"/>
    <x v="65"/>
    <d v="2026-06-08T00:00:00"/>
    <n v="66"/>
    <n v="49"/>
  </r>
  <r>
    <s v="Степень зрелости"/>
    <m/>
    <n v="48"/>
    <x v="66"/>
    <x v="0"/>
    <m/>
    <n v="13240"/>
    <m/>
    <n v="10790.6"/>
    <x v="0"/>
    <s v="Авола"/>
    <x v="2"/>
    <s v="Жданов Андрей Иванович"/>
    <m/>
    <m/>
    <m/>
    <m/>
    <s v="С707ОУ"/>
    <m/>
    <x v="1"/>
    <x v="1"/>
    <n v="2.2000000000000002"/>
    <x v="0"/>
    <s v="богара"/>
    <n v="5"/>
    <x v="4"/>
    <x v="0"/>
    <s v="-"/>
    <s v="40-52"/>
    <x v="0"/>
    <x v="66"/>
    <d v="2026-06-08T00:00:00"/>
    <n v="67"/>
    <n v="48"/>
  </r>
  <r>
    <s v="Степень зрелости"/>
    <m/>
    <n v="49"/>
    <x v="67"/>
    <x v="0"/>
    <m/>
    <n v="13580"/>
    <m/>
    <n v="10931.9"/>
    <x v="0"/>
    <s v="Авола"/>
    <x v="2"/>
    <s v="Сероштан Станислав Викторович"/>
    <m/>
    <m/>
    <m/>
    <m/>
    <s v="Е758РЕ"/>
    <m/>
    <x v="1"/>
    <x v="1"/>
    <n v="2.2999999999999998"/>
    <x v="0"/>
    <s v="богара"/>
    <n v="5"/>
    <x v="4"/>
    <x v="0"/>
    <s v="-"/>
    <s v="40-52"/>
    <x v="0"/>
    <x v="67"/>
    <d v="2026-06-08T00:00:00"/>
    <n v="68"/>
    <n v="49"/>
  </r>
  <r>
    <s v="Степень зрелости"/>
    <m/>
    <n v="47"/>
    <x v="68"/>
    <x v="0"/>
    <m/>
    <n v="4540"/>
    <m/>
    <n v="3609.3"/>
    <x v="0"/>
    <s v="Авола"/>
    <x v="2"/>
    <s v="Роговской Роман Алексеевич"/>
    <m/>
    <m/>
    <m/>
    <m/>
    <s v="Т945РВ"/>
    <m/>
    <x v="1"/>
    <x v="1"/>
    <n v="0.8"/>
    <x v="0"/>
    <s v="богара"/>
    <n v="5"/>
    <x v="4"/>
    <x v="0"/>
    <s v="-"/>
    <s v="40-52"/>
    <x v="0"/>
    <x v="68"/>
    <d v="2026-06-08T00:00:00"/>
    <n v="69"/>
    <n v="47"/>
  </r>
  <r>
    <s v="Степень зрелости"/>
    <m/>
    <n v="47"/>
    <x v="69"/>
    <x v="0"/>
    <m/>
    <n v="13410"/>
    <m/>
    <n v="10661"/>
    <x v="0"/>
    <s v="Авола"/>
    <x v="2"/>
    <s v="Ревенко Андрей Вячеславович"/>
    <m/>
    <m/>
    <m/>
    <m/>
    <s v="А781РР"/>
    <m/>
    <x v="1"/>
    <x v="1"/>
    <n v="2.2000000000000002"/>
    <x v="0"/>
    <s v="богара"/>
    <n v="5"/>
    <x v="4"/>
    <x v="0"/>
    <s v="-"/>
    <s v="40-52"/>
    <x v="0"/>
    <x v="69"/>
    <d v="2026-06-08T00:00:00"/>
    <n v="70"/>
    <n v="47"/>
  </r>
  <r>
    <s v="Степень зрелости"/>
    <m/>
    <n v="48"/>
    <x v="70"/>
    <x v="0"/>
    <m/>
    <n v="13650"/>
    <m/>
    <n v="11124.7"/>
    <x v="0"/>
    <s v="Авола"/>
    <x v="2"/>
    <s v="Извеков Владимир Владимирович"/>
    <m/>
    <m/>
    <m/>
    <m/>
    <s v="Н378ХЕ"/>
    <m/>
    <x v="1"/>
    <x v="1"/>
    <n v="2.2999999999999998"/>
    <x v="0"/>
    <s v="богара"/>
    <n v="5"/>
    <x v="4"/>
    <x v="0"/>
    <s v="-"/>
    <s v="40-52"/>
    <x v="0"/>
    <x v="70"/>
    <d v="2026-06-08T00:00:00"/>
    <n v="71"/>
    <n v="48"/>
  </r>
  <r>
    <s v="Степень зрелости"/>
    <m/>
    <n v="48"/>
    <x v="71"/>
    <x v="0"/>
    <m/>
    <n v="13630"/>
    <m/>
    <n v="11517.3"/>
    <x v="0"/>
    <s v="Авола"/>
    <x v="2"/>
    <s v="Емец Р.А."/>
    <m/>
    <m/>
    <m/>
    <m/>
    <s v="У315НХ"/>
    <m/>
    <x v="1"/>
    <x v="1"/>
    <n v="2.2999999999999998"/>
    <x v="0"/>
    <s v="богара"/>
    <n v="5"/>
    <x v="4"/>
    <x v="0"/>
    <s v="-"/>
    <s v="40-52"/>
    <x v="0"/>
    <x v="71"/>
    <d v="2026-06-08T00:00:00"/>
    <n v="72"/>
    <n v="48"/>
  </r>
  <r>
    <s v="Степень зрелости"/>
    <m/>
    <n v="49"/>
    <x v="72"/>
    <x v="0"/>
    <m/>
    <n v="6730"/>
    <m/>
    <n v="5653.2"/>
    <x v="0"/>
    <s v="Авола"/>
    <x v="2"/>
    <s v="Ревенко Андрей Вячеславович"/>
    <m/>
    <m/>
    <m/>
    <m/>
    <s v="А781РР"/>
    <m/>
    <x v="1"/>
    <x v="1"/>
    <n v="1.1000000000000001"/>
    <x v="0"/>
    <s v="богара"/>
    <n v="5"/>
    <x v="4"/>
    <x v="0"/>
    <s v="-"/>
    <s v="40-52"/>
    <x v="0"/>
    <x v="72"/>
    <d v="2026-06-08T00:00:00"/>
    <n v="73"/>
    <n v="49"/>
  </r>
  <r>
    <s v="Степень зрелости"/>
    <m/>
    <n v="49"/>
    <x v="73"/>
    <x v="0"/>
    <m/>
    <n v="6820"/>
    <m/>
    <n v="5558.3"/>
    <x v="0"/>
    <s v="Авола"/>
    <x v="2"/>
    <s v="Ревенко Андрей Вячеславович"/>
    <m/>
    <m/>
    <m/>
    <m/>
    <s v="А781РР"/>
    <m/>
    <x v="1"/>
    <x v="1"/>
    <n v="1.1000000000000001"/>
    <x v="0"/>
    <s v="богара"/>
    <n v="5"/>
    <x v="4"/>
    <x v="0"/>
    <s v="-"/>
    <s v="40-52"/>
    <x v="0"/>
    <x v="73"/>
    <d v="2026-06-08T00:00:00"/>
    <n v="74"/>
    <n v="49"/>
  </r>
  <r>
    <s v="Степень зрелости"/>
    <m/>
    <n v="50"/>
    <x v="74"/>
    <x v="0"/>
    <m/>
    <n v="13350"/>
    <m/>
    <n v="11547.7"/>
    <x v="0"/>
    <s v="Авола"/>
    <x v="2"/>
    <s v="Извеков Владимир Владимирович"/>
    <m/>
    <m/>
    <m/>
    <m/>
    <s v="Н378ХЕ"/>
    <m/>
    <x v="1"/>
    <x v="1"/>
    <n v="2.2000000000000002"/>
    <x v="0"/>
    <s v="богара"/>
    <n v="5"/>
    <x v="4"/>
    <x v="0"/>
    <s v="-"/>
    <s v="40-52"/>
    <x v="0"/>
    <x v="74"/>
    <d v="2026-06-08T00:00:00"/>
    <n v="75"/>
    <n v="50"/>
  </r>
  <r>
    <s v="Степень зрелости"/>
    <m/>
    <n v="51"/>
    <x v="75"/>
    <x v="0"/>
    <m/>
    <n v="13560"/>
    <m/>
    <n v="10915.8"/>
    <x v="0"/>
    <s v="Авола"/>
    <x v="2"/>
    <s v="Емец Р.А."/>
    <m/>
    <m/>
    <m/>
    <m/>
    <s v="У315НХ"/>
    <m/>
    <x v="1"/>
    <x v="1"/>
    <n v="2.2999999999999998"/>
    <x v="0"/>
    <s v="богара"/>
    <n v="5"/>
    <x v="4"/>
    <x v="0"/>
    <s v="-"/>
    <s v="40-52"/>
    <x v="0"/>
    <x v="75"/>
    <d v="2026-06-08T00:00:00"/>
    <n v="76"/>
    <n v="51"/>
  </r>
  <r>
    <s v="Степень зрелости"/>
    <m/>
    <n v="49"/>
    <x v="76"/>
    <x v="0"/>
    <m/>
    <n v="13690"/>
    <m/>
    <n v="11362.7"/>
    <x v="0"/>
    <s v="Авола"/>
    <x v="2"/>
    <s v="Ревенко Андрей Вячеславович"/>
    <m/>
    <m/>
    <m/>
    <m/>
    <s v="А781РР"/>
    <m/>
    <x v="1"/>
    <x v="1"/>
    <n v="2.2999999999999998"/>
    <x v="0"/>
    <s v="богара"/>
    <n v="5"/>
    <x v="4"/>
    <x v="0"/>
    <s v="-"/>
    <s v="40-52"/>
    <x v="0"/>
    <x v="76"/>
    <d v="2026-06-08T00:00:00"/>
    <n v="77"/>
    <n v="49"/>
  </r>
  <r>
    <s v="Степень зрелости"/>
    <m/>
    <n v="51"/>
    <x v="77"/>
    <x v="0"/>
    <m/>
    <n v="13980"/>
    <m/>
    <n v="11952.9"/>
    <x v="0"/>
    <s v="Авола"/>
    <x v="2"/>
    <s v="Извеков Владимир Владимирович"/>
    <m/>
    <m/>
    <m/>
    <m/>
    <s v="Н378ХЕ"/>
    <m/>
    <x v="1"/>
    <x v="1"/>
    <n v="2.2999999999999998"/>
    <x v="0"/>
    <s v="богара"/>
    <n v="5"/>
    <x v="4"/>
    <x v="0"/>
    <s v="-"/>
    <s v="40-52"/>
    <x v="0"/>
    <x v="77"/>
    <d v="2026-06-08T00:00:00"/>
    <n v="78"/>
    <n v="51"/>
  </r>
  <r>
    <s v="Степень зрелости"/>
    <m/>
    <n v="50"/>
    <x v="78"/>
    <x v="0"/>
    <m/>
    <n v="13180"/>
    <m/>
    <n v="10873.5"/>
    <x v="0"/>
    <s v="Авола"/>
    <x v="2"/>
    <s v="Емец Р.А."/>
    <m/>
    <m/>
    <m/>
    <m/>
    <s v="У315НХ"/>
    <m/>
    <x v="1"/>
    <x v="1"/>
    <n v="2.2000000000000002"/>
    <x v="0"/>
    <s v="богара"/>
    <n v="5"/>
    <x v="4"/>
    <x v="0"/>
    <s v="-"/>
    <s v="40-52"/>
    <x v="0"/>
    <x v="78"/>
    <d v="2026-06-08T00:00:00"/>
    <n v="79"/>
    <n v="50"/>
  </r>
  <r>
    <s v="Степень зрелости"/>
    <m/>
    <n v="48"/>
    <x v="79"/>
    <x v="0"/>
    <m/>
    <n v="13290"/>
    <m/>
    <n v="11230.1"/>
    <x v="0"/>
    <s v="Авола"/>
    <x v="2"/>
    <s v="Сероштан Станислав Викторович"/>
    <m/>
    <m/>
    <m/>
    <m/>
    <s v="Е758РЕ"/>
    <m/>
    <x v="1"/>
    <x v="1"/>
    <n v="2.2000000000000002"/>
    <x v="0"/>
    <s v="богара"/>
    <n v="5"/>
    <x v="4"/>
    <x v="0"/>
    <s v="-"/>
    <s v="40-52"/>
    <x v="0"/>
    <x v="79"/>
    <d v="2026-06-08T00:00:00"/>
    <n v="80"/>
    <n v="48"/>
  </r>
  <r>
    <s v="Степень зрелости"/>
    <m/>
    <n v="51"/>
    <x v="80"/>
    <x v="0"/>
    <m/>
    <n v="13330"/>
    <m/>
    <n v="10863.9"/>
    <x v="0"/>
    <s v="Авола"/>
    <x v="2"/>
    <s v="Ревенко Андрей Вячеславович"/>
    <m/>
    <m/>
    <m/>
    <m/>
    <s v="А781РР"/>
    <m/>
    <x v="1"/>
    <x v="1"/>
    <n v="2.2000000000000002"/>
    <x v="0"/>
    <s v="богара"/>
    <n v="5"/>
    <x v="4"/>
    <x v="0"/>
    <s v="-"/>
    <s v="40-52"/>
    <x v="0"/>
    <x v="80"/>
    <d v="2026-06-08T00:00:00"/>
    <n v="81"/>
    <n v="51"/>
  </r>
  <r>
    <s v="Степень зрелости"/>
    <m/>
    <n v="48"/>
    <x v="81"/>
    <x v="0"/>
    <m/>
    <n v="13340"/>
    <m/>
    <n v="10738.7"/>
    <x v="0"/>
    <s v="Авола"/>
    <x v="2"/>
    <s v="Извеков Владимир Владимирович"/>
    <m/>
    <m/>
    <m/>
    <m/>
    <s v="Н378ХЕ"/>
    <m/>
    <x v="1"/>
    <x v="1"/>
    <n v="2.2000000000000002"/>
    <x v="0"/>
    <s v="богара"/>
    <n v="5"/>
    <x v="4"/>
    <x v="0"/>
    <s v="-"/>
    <s v="40-52"/>
    <x v="0"/>
    <x v="81"/>
    <d v="2026-06-08T00:00:00"/>
    <n v="82"/>
    <n v="48"/>
  </r>
  <r>
    <s v="Степень зрелости"/>
    <m/>
    <n v="53"/>
    <x v="82"/>
    <x v="0"/>
    <m/>
    <n v="13020"/>
    <m/>
    <n v="10611.3"/>
    <x v="0"/>
    <s v="Авола"/>
    <x v="2"/>
    <s v="Емец Р.А."/>
    <m/>
    <m/>
    <m/>
    <m/>
    <s v="У315НХ"/>
    <m/>
    <x v="1"/>
    <x v="1"/>
    <n v="2.2000000000000002"/>
    <x v="0"/>
    <s v="богара"/>
    <n v="5"/>
    <x v="4"/>
    <x v="0"/>
    <s v="-"/>
    <s v="53-63"/>
    <x v="0"/>
    <x v="82"/>
    <d v="2026-06-09T00:00:00"/>
    <n v="83"/>
    <n v="53"/>
  </r>
  <r>
    <s v="Степень зрелости"/>
    <m/>
    <n v="52"/>
    <x v="83"/>
    <x v="0"/>
    <m/>
    <n v="13310"/>
    <m/>
    <n v="11113.9"/>
    <x v="0"/>
    <s v="Авола"/>
    <x v="2"/>
    <s v="Сероштан Станислав Викторович"/>
    <m/>
    <m/>
    <m/>
    <m/>
    <s v="Е758РЕ"/>
    <m/>
    <x v="1"/>
    <x v="1"/>
    <n v="2.2000000000000002"/>
    <x v="0"/>
    <s v="богара"/>
    <n v="5"/>
    <x v="4"/>
    <x v="0"/>
    <s v="-"/>
    <s v="40-52"/>
    <x v="0"/>
    <x v="83"/>
    <d v="2026-06-09T00:00:00"/>
    <n v="84"/>
    <n v="52"/>
  </r>
  <r>
    <s v="Степень зрелости"/>
    <m/>
    <n v="53"/>
    <x v="84"/>
    <x v="0"/>
    <m/>
    <n v="13340"/>
    <m/>
    <n v="10605.3"/>
    <x v="0"/>
    <s v="Авола"/>
    <x v="2"/>
    <s v="Ревенко Андрей Вячеславович"/>
    <m/>
    <m/>
    <m/>
    <m/>
    <s v="А781РР"/>
    <m/>
    <x v="1"/>
    <x v="1"/>
    <n v="2.2000000000000002"/>
    <x v="0"/>
    <s v="богара"/>
    <n v="5"/>
    <x v="4"/>
    <x v="0"/>
    <s v="-"/>
    <s v="53-63"/>
    <x v="0"/>
    <x v="84"/>
    <d v="2026-06-09T00:00:00"/>
    <n v="85"/>
    <n v="53"/>
  </r>
  <r>
    <s v="Степень зрелости"/>
    <m/>
    <n v="50"/>
    <x v="85"/>
    <x v="0"/>
    <m/>
    <n v="13510"/>
    <m/>
    <n v="10605.3"/>
    <x v="0"/>
    <s v="Авола"/>
    <x v="2"/>
    <s v="Извеков Владимир Владимирович"/>
    <m/>
    <m/>
    <m/>
    <m/>
    <s v="Н378ХЕ"/>
    <m/>
    <x v="1"/>
    <x v="1"/>
    <n v="2.2000000000000002"/>
    <x v="0"/>
    <s v="богара"/>
    <n v="5"/>
    <x v="4"/>
    <x v="0"/>
    <s v="-"/>
    <s v="40-52"/>
    <x v="0"/>
    <x v="85"/>
    <d v="2026-06-09T00:00:00"/>
    <n v="86"/>
    <n v="50"/>
  </r>
  <r>
    <s v="Степень зрелости"/>
    <m/>
    <n v="48"/>
    <x v="86"/>
    <x v="0"/>
    <m/>
    <n v="13230"/>
    <m/>
    <n v="9988.7000000000007"/>
    <x v="0"/>
    <s v="Авола"/>
    <x v="2"/>
    <s v="Емец Р.А."/>
    <m/>
    <m/>
    <m/>
    <m/>
    <s v="У315НХ"/>
    <m/>
    <x v="1"/>
    <x v="1"/>
    <n v="2.4"/>
    <x v="0"/>
    <s v="богара"/>
    <n v="6"/>
    <x v="5"/>
    <x v="0"/>
    <s v="-"/>
    <s v="40-52"/>
    <x v="0"/>
    <x v="86"/>
    <d v="2026-06-09T00:00:00"/>
    <n v="87"/>
    <n v="48"/>
  </r>
  <r>
    <s v="Степень зрелости"/>
    <m/>
    <n v="50"/>
    <x v="87"/>
    <x v="0"/>
    <m/>
    <n v="13160"/>
    <m/>
    <n v="9935.7999999999993"/>
    <x v="0"/>
    <s v="Авола"/>
    <x v="2"/>
    <s v="Сероштан Станислав Викторович"/>
    <m/>
    <m/>
    <m/>
    <m/>
    <s v="Е758РЕ"/>
    <m/>
    <x v="1"/>
    <x v="1"/>
    <n v="2.4"/>
    <x v="0"/>
    <s v="богара"/>
    <n v="6"/>
    <x v="5"/>
    <x v="0"/>
    <s v="-"/>
    <s v="40-52"/>
    <x v="0"/>
    <x v="87"/>
    <d v="2026-06-09T00:00:00"/>
    <n v="88"/>
    <n v="50"/>
  </r>
  <r>
    <s v="Степень зрелости"/>
    <m/>
    <n v="50"/>
    <x v="88"/>
    <x v="0"/>
    <m/>
    <n v="7110"/>
    <m/>
    <n v="5510.3"/>
    <x v="0"/>
    <s v="Авола"/>
    <x v="2"/>
    <s v="Ревенко Андрей Вячеславович"/>
    <m/>
    <m/>
    <m/>
    <m/>
    <s v="А781РР"/>
    <m/>
    <x v="1"/>
    <x v="1"/>
    <n v="1.2"/>
    <x v="0"/>
    <s v="богара"/>
    <n v="6"/>
    <x v="5"/>
    <x v="0"/>
    <s v="-"/>
    <s v="40-52"/>
    <x v="0"/>
    <x v="88"/>
    <d v="2026-06-09T00:00:00"/>
    <n v="89"/>
    <n v="50"/>
  </r>
  <r>
    <s v="Степень зрелости"/>
    <m/>
    <n v="51"/>
    <x v="89"/>
    <x v="0"/>
    <m/>
    <n v="13400"/>
    <m/>
    <n v="10653"/>
    <x v="0"/>
    <s v="Увертюра"/>
    <x v="3"/>
    <s v="Извеков Владимир Владимирович"/>
    <m/>
    <m/>
    <m/>
    <m/>
    <s v="Н378ХЕ"/>
    <m/>
    <x v="2"/>
    <x v="2"/>
    <n v="2"/>
    <x v="0"/>
    <s v="богара"/>
    <n v="6"/>
    <x v="5"/>
    <x v="0"/>
    <s v="-"/>
    <s v="40-52"/>
    <x v="0"/>
    <x v="89"/>
    <d v="2026-06-09T00:00:00"/>
    <n v="90"/>
    <n v="51"/>
  </r>
  <r>
    <s v="Степень зрелости"/>
    <m/>
    <n v="50"/>
    <x v="90"/>
    <x v="0"/>
    <m/>
    <n v="4560"/>
    <m/>
    <n v="3762"/>
    <x v="0"/>
    <s v="Увертюра"/>
    <x v="3"/>
    <s v="Роговской Роман Алексеевич"/>
    <m/>
    <m/>
    <m/>
    <m/>
    <s v="Т945РВ"/>
    <m/>
    <x v="2"/>
    <x v="2"/>
    <n v="0.7"/>
    <x v="0"/>
    <s v="богара"/>
    <n v="6"/>
    <x v="5"/>
    <x v="0"/>
    <s v="-"/>
    <s v="40-52"/>
    <x v="0"/>
    <x v="90"/>
    <d v="2026-06-09T00:00:00"/>
    <n v="91"/>
    <n v="50"/>
  </r>
  <r>
    <s v="Степень зрелости"/>
    <m/>
    <n v="53"/>
    <x v="91"/>
    <x v="0"/>
    <m/>
    <n v="13010"/>
    <m/>
    <n v="11513.8"/>
    <x v="0"/>
    <s v="Увертюра"/>
    <x v="4"/>
    <s v="Гуйда Николай Николаевич"/>
    <m/>
    <m/>
    <m/>
    <m/>
    <s v="А816ЕВ"/>
    <m/>
    <x v="2"/>
    <x v="2"/>
    <n v="1.9"/>
    <x v="0"/>
    <s v="богара"/>
    <n v="6"/>
    <x v="5"/>
    <x v="0"/>
    <s v="-"/>
    <s v="53-63"/>
    <x v="0"/>
    <x v="91"/>
    <d v="2026-06-09T00:00:00"/>
    <n v="92"/>
    <n v="53"/>
  </r>
  <r>
    <s v="Степень зрелости"/>
    <m/>
    <n v="53"/>
    <x v="92"/>
    <x v="0"/>
    <m/>
    <n v="13470"/>
    <m/>
    <n v="10978"/>
    <x v="0"/>
    <s v="Увертюра"/>
    <x v="4"/>
    <s v="Рудик Александр Иванович"/>
    <m/>
    <m/>
    <m/>
    <m/>
    <s v="А309АТ"/>
    <m/>
    <x v="2"/>
    <x v="2"/>
    <n v="2"/>
    <x v="0"/>
    <s v="богара"/>
    <n v="6"/>
    <x v="5"/>
    <x v="0"/>
    <s v="-"/>
    <s v="53-63"/>
    <x v="0"/>
    <x v="92"/>
    <d v="2026-06-09T00:00:00"/>
    <n v="93"/>
    <n v="53"/>
  </r>
  <r>
    <s v="Степень зрелости"/>
    <m/>
    <n v="58"/>
    <x v="93"/>
    <x v="0"/>
    <m/>
    <n v="17540"/>
    <m/>
    <n v="14875.5"/>
    <x v="0"/>
    <s v="Увертюра"/>
    <x v="4"/>
    <s v="Алтадуков Заур Баталбиевич"/>
    <m/>
    <m/>
    <m/>
    <m/>
    <s v="В841АН"/>
    <m/>
    <x v="2"/>
    <x v="2"/>
    <n v="2.6"/>
    <x v="0"/>
    <s v="богара"/>
    <n v="6"/>
    <x v="5"/>
    <x v="1"/>
    <s v="ТПК ЮЖНЫЙ ПРОДУКТ ООО"/>
    <s v="53-63"/>
    <x v="0"/>
    <x v="93"/>
    <d v="2026-06-09T00:00:00"/>
    <s v="165/2"/>
    <n v="58"/>
  </r>
  <r>
    <s v="Степень зрелости"/>
    <m/>
    <n v="54"/>
    <x v="94"/>
    <x v="0"/>
    <m/>
    <n v="15390"/>
    <m/>
    <n v="13701"/>
    <x v="0"/>
    <s v="Увертюра"/>
    <x v="3"/>
    <s v="Баранов Николай Александрович"/>
    <m/>
    <m/>
    <m/>
    <m/>
    <s v="М540АС"/>
    <m/>
    <x v="2"/>
    <x v="2"/>
    <n v="2.2999999999999998"/>
    <x v="0"/>
    <s v="богара"/>
    <n v="6"/>
    <x v="5"/>
    <x v="2"/>
    <s v="ТПК ЮЖНЫЙ ПРОДУКТ ООО"/>
    <s v="53-63"/>
    <x v="0"/>
    <x v="94"/>
    <d v="2026-06-15T00:00:00"/>
    <s v="166/1"/>
    <n v="54"/>
  </r>
  <r>
    <s v="Степень зрелости"/>
    <m/>
    <n v="56"/>
    <x v="95"/>
    <x v="0"/>
    <m/>
    <n v="13530"/>
    <m/>
    <n v="10756.3"/>
    <x v="0"/>
    <s v="Увертюра"/>
    <x v="4"/>
    <s v="Ревенко Андрей Вячеславович"/>
    <m/>
    <m/>
    <m/>
    <m/>
    <s v="А781РР"/>
    <m/>
    <x v="2"/>
    <x v="2"/>
    <n v="2"/>
    <x v="0"/>
    <s v="богара"/>
    <n v="6"/>
    <x v="5"/>
    <x v="0"/>
    <s v="-"/>
    <s v="53-63"/>
    <x v="0"/>
    <x v="95"/>
    <d v="2026-06-09T00:00:00"/>
    <n v="94"/>
    <n v="56"/>
  </r>
  <r>
    <s v="Степень зрелости"/>
    <m/>
    <n v="54"/>
    <x v="96"/>
    <x v="0"/>
    <m/>
    <n v="4090"/>
    <m/>
    <n v="3456.1"/>
    <x v="0"/>
    <s v="Увертюра"/>
    <x v="3"/>
    <s v="Роговской Роман Алексеевич"/>
    <m/>
    <m/>
    <m/>
    <m/>
    <s v="Т945РВ"/>
    <m/>
    <x v="2"/>
    <x v="2"/>
    <n v="0.6"/>
    <x v="0"/>
    <s v="богара"/>
    <n v="6"/>
    <x v="5"/>
    <x v="0"/>
    <s v="-"/>
    <s v="53-63"/>
    <x v="0"/>
    <x v="96"/>
    <d v="2026-06-09T00:00:00"/>
    <n v="95"/>
    <n v="54"/>
  </r>
  <r>
    <s v="Степень зрелости"/>
    <m/>
    <n v="56"/>
    <x v="97"/>
    <x v="0"/>
    <m/>
    <n v="13410"/>
    <m/>
    <n v="12136.1"/>
    <x v="0"/>
    <s v="Увертюра"/>
    <x v="3"/>
    <s v="Извеков Владимир Владимирович"/>
    <m/>
    <m/>
    <m/>
    <m/>
    <s v="Н378ХЕ"/>
    <m/>
    <x v="2"/>
    <x v="2"/>
    <n v="2"/>
    <x v="0"/>
    <s v="богара"/>
    <n v="6"/>
    <x v="5"/>
    <x v="0"/>
    <s v="-"/>
    <s v="53-63"/>
    <x v="0"/>
    <x v="97"/>
    <d v="2026-06-09T00:00:00"/>
    <n v="96"/>
    <n v="56"/>
  </r>
  <r>
    <s v="Степень зрелости"/>
    <m/>
    <n v="54"/>
    <x v="98"/>
    <x v="0"/>
    <m/>
    <n v="13300"/>
    <m/>
    <n v="11238.5"/>
    <x v="0"/>
    <s v="Увертюра"/>
    <x v="4"/>
    <s v="Гуйда Николай Николаевич"/>
    <m/>
    <m/>
    <m/>
    <m/>
    <s v="А816ЕВ"/>
    <m/>
    <x v="2"/>
    <x v="2"/>
    <n v="2"/>
    <x v="0"/>
    <s v="богара"/>
    <n v="6"/>
    <x v="5"/>
    <x v="0"/>
    <s v="-"/>
    <s v="53-63"/>
    <x v="0"/>
    <x v="98"/>
    <d v="2026-06-09T00:00:00"/>
    <n v="92"/>
    <n v="54"/>
  </r>
  <r>
    <s v="Степень зрелости"/>
    <m/>
    <n v="51"/>
    <x v="99"/>
    <x v="0"/>
    <m/>
    <n v="13070"/>
    <m/>
    <n v="11566.9"/>
    <x v="0"/>
    <s v="Увертюра"/>
    <x v="4"/>
    <s v="Рудик Александр Иванович"/>
    <m/>
    <m/>
    <m/>
    <m/>
    <s v="А309АТ"/>
    <m/>
    <x v="2"/>
    <x v="2"/>
    <n v="2"/>
    <x v="0"/>
    <s v="богара"/>
    <n v="6"/>
    <x v="5"/>
    <x v="0"/>
    <s v="-"/>
    <s v="40-52"/>
    <x v="0"/>
    <x v="99"/>
    <d v="2026-06-09T00:00:00"/>
    <n v="98"/>
    <n v="51"/>
  </r>
  <r>
    <s v="Степень зрелости"/>
    <m/>
    <n v="54"/>
    <x v="100"/>
    <x v="0"/>
    <m/>
    <n v="13100"/>
    <m/>
    <n v="10283.5"/>
    <x v="0"/>
    <s v="Увертюра"/>
    <x v="4"/>
    <s v="Ревенко Андрей Вячеславович"/>
    <m/>
    <m/>
    <m/>
    <m/>
    <s v="А781РР"/>
    <m/>
    <x v="2"/>
    <x v="2"/>
    <n v="2"/>
    <x v="0"/>
    <s v="богара"/>
    <n v="6"/>
    <x v="5"/>
    <x v="0"/>
    <s v="-"/>
    <s v="53-63"/>
    <x v="0"/>
    <x v="100"/>
    <d v="2026-06-09T00:00:00"/>
    <n v="99"/>
    <n v="54"/>
  </r>
  <r>
    <s v="Степень зрелости"/>
    <m/>
    <n v="53"/>
    <x v="101"/>
    <x v="0"/>
    <m/>
    <n v="4430"/>
    <m/>
    <n v="3743.4"/>
    <x v="0"/>
    <s v="Увертюра"/>
    <x v="3"/>
    <s v="Роговской Роман Алексеевич"/>
    <m/>
    <m/>
    <m/>
    <m/>
    <s v="Т945РВ"/>
    <m/>
    <x v="2"/>
    <x v="2"/>
    <n v="0.7"/>
    <x v="0"/>
    <s v="богара"/>
    <n v="6"/>
    <x v="5"/>
    <x v="0"/>
    <s v="-"/>
    <s v="53-63"/>
    <x v="0"/>
    <x v="101"/>
    <d v="2026-06-09T00:00:00"/>
    <n v="100"/>
    <n v="53"/>
  </r>
  <r>
    <s v="Степень зрелости"/>
    <m/>
    <n v="54"/>
    <x v="102"/>
    <x v="0"/>
    <m/>
    <n v="13270"/>
    <m/>
    <n v="11611.3"/>
    <x v="0"/>
    <s v="Увертюра"/>
    <x v="3"/>
    <s v="Извеков Владимир Владимирович"/>
    <m/>
    <m/>
    <m/>
    <m/>
    <s v="Н378ХЕ"/>
    <m/>
    <x v="2"/>
    <x v="2"/>
    <n v="2"/>
    <x v="0"/>
    <s v="богара"/>
    <n v="6"/>
    <x v="5"/>
    <x v="0"/>
    <s v="-"/>
    <s v="53-63"/>
    <x v="0"/>
    <x v="102"/>
    <d v="2026-06-09T00:00:00"/>
    <n v="101"/>
    <n v="54"/>
  </r>
  <r>
    <s v="Степень зрелости"/>
    <m/>
    <n v="53"/>
    <x v="103"/>
    <x v="0"/>
    <m/>
    <n v="13030"/>
    <m/>
    <n v="11448"/>
    <x v="0"/>
    <s v="Увертюра"/>
    <x v="5"/>
    <s v="Магадиев Александр Сайлаувич"/>
    <m/>
    <m/>
    <m/>
    <m/>
    <s v="У184НО"/>
    <m/>
    <x v="3"/>
    <x v="2"/>
    <n v="1.9"/>
    <x v="0"/>
    <s v="богара"/>
    <n v="6"/>
    <x v="5"/>
    <x v="3"/>
    <s v="ГРАНД-СТАР ООО"/>
    <s v="53-63"/>
    <x v="0"/>
    <x v="103"/>
    <d v="2026-06-09T00:00:00"/>
    <s v="176/3"/>
    <n v="53"/>
  </r>
  <r>
    <s v="Степень зрелости"/>
    <m/>
    <n v="50"/>
    <x v="104"/>
    <x v="0"/>
    <m/>
    <n v="13100"/>
    <m/>
    <n v="11283"/>
    <x v="0"/>
    <s v="Увертюра"/>
    <x v="5"/>
    <s v="Кулинич Евгений Владимирович"/>
    <m/>
    <m/>
    <m/>
    <m/>
    <s v="У801СТ"/>
    <m/>
    <x v="3"/>
    <x v="2"/>
    <n v="1.9"/>
    <x v="0"/>
    <s v="богара"/>
    <n v="6"/>
    <x v="5"/>
    <x v="4"/>
    <s v="ГРАНД-СТАР ООО"/>
    <s v="40-52"/>
    <x v="0"/>
    <x v="104"/>
    <d v="2026-06-09T00:00:00"/>
    <s v="177/4"/>
    <n v="50"/>
  </r>
  <r>
    <s v="Степень зрелости"/>
    <m/>
    <n v="55"/>
    <x v="105"/>
    <x v="0"/>
    <m/>
    <n v="12880"/>
    <m/>
    <n v="11527.6"/>
    <x v="0"/>
    <s v="Увертюра"/>
    <x v="3"/>
    <s v="Гуйда Николай Николаевич"/>
    <m/>
    <m/>
    <m/>
    <m/>
    <s v="А816ЕВ"/>
    <m/>
    <x v="2"/>
    <x v="2"/>
    <n v="1.9"/>
    <x v="0"/>
    <s v="богара"/>
    <n v="6"/>
    <x v="5"/>
    <x v="0"/>
    <s v="-"/>
    <s v="53-63"/>
    <x v="0"/>
    <x v="105"/>
    <d v="2026-06-09T00:00:00"/>
    <n v="102"/>
    <n v="55"/>
  </r>
  <r>
    <s v="Степень зрелости"/>
    <m/>
    <n v="56"/>
    <x v="106"/>
    <x v="0"/>
    <m/>
    <n v="12970"/>
    <m/>
    <n v="10700.3"/>
    <x v="0"/>
    <s v="Увертюра"/>
    <x v="3"/>
    <s v="Рудик Александр Иванович"/>
    <m/>
    <m/>
    <m/>
    <m/>
    <s v="А309АТ"/>
    <m/>
    <x v="2"/>
    <x v="2"/>
    <n v="1.9"/>
    <x v="0"/>
    <s v="богара"/>
    <n v="6"/>
    <x v="5"/>
    <x v="0"/>
    <s v="-"/>
    <s v="53-63"/>
    <x v="0"/>
    <x v="106"/>
    <d v="2026-06-09T00:00:00"/>
    <n v="103"/>
    <n v="56"/>
  </r>
  <r>
    <s v="Степень зрелости"/>
    <m/>
    <n v="55"/>
    <x v="107"/>
    <x v="0"/>
    <m/>
    <n v="15420"/>
    <m/>
    <n v="13338.3"/>
    <x v="0"/>
    <s v="Увертюра"/>
    <x v="3"/>
    <s v="Ревенко Андрей Вячеславович"/>
    <m/>
    <m/>
    <m/>
    <m/>
    <s v="А781РР"/>
    <m/>
    <x v="2"/>
    <x v="2"/>
    <n v="2.4"/>
    <x v="0"/>
    <s v="богара"/>
    <n v="6"/>
    <x v="5"/>
    <x v="0"/>
    <s v="-"/>
    <s v="53-63"/>
    <x v="0"/>
    <x v="107"/>
    <d v="2026-06-09T00:00:00"/>
    <n v="104"/>
    <n v="55"/>
  </r>
  <r>
    <s v="Степень зрелости"/>
    <m/>
    <n v="55"/>
    <x v="108"/>
    <x v="0"/>
    <m/>
    <n v="4250"/>
    <m/>
    <n v="3591.2"/>
    <x v="0"/>
    <s v="Увертюра"/>
    <x v="5"/>
    <s v="Роговской Роман Алексеевич"/>
    <m/>
    <m/>
    <m/>
    <m/>
    <s v="Т945РВ"/>
    <m/>
    <x v="3"/>
    <x v="2"/>
    <n v="0.7"/>
    <x v="0"/>
    <s v="богара"/>
    <n v="7"/>
    <x v="6"/>
    <x v="0"/>
    <s v="-"/>
    <s v="53-63"/>
    <x v="0"/>
    <x v="108"/>
    <d v="2026-06-10T00:00:00"/>
    <n v="105"/>
    <n v="55"/>
  </r>
  <r>
    <m/>
    <m/>
    <n v="56"/>
    <x v="109"/>
    <x v="0"/>
    <m/>
    <n v="12980"/>
    <m/>
    <n v="10968.1"/>
    <x v="0"/>
    <s v="Увертюра"/>
    <x v="5"/>
    <s v="Извеков Владимир Владимирович"/>
    <m/>
    <m/>
    <m/>
    <m/>
    <s v="Н378ХЕ"/>
    <m/>
    <x v="3"/>
    <x v="2"/>
    <n v="2"/>
    <x v="0"/>
    <s v="богара"/>
    <n v="7"/>
    <x v="6"/>
    <x v="0"/>
    <s v="-"/>
    <s v="53-63"/>
    <x v="0"/>
    <x v="109"/>
    <d v="2026-06-10T00:00:00"/>
    <n v="106"/>
    <n v="56"/>
  </r>
  <r>
    <s v="Степень зрелости"/>
    <m/>
    <n v="54"/>
    <x v="110"/>
    <x v="0"/>
    <m/>
    <n v="13060"/>
    <m/>
    <n v="11688.7"/>
    <x v="0"/>
    <s v="Увертюра"/>
    <x v="5"/>
    <s v="Гуйда Николай Николаевич"/>
    <m/>
    <m/>
    <m/>
    <m/>
    <s v="А816ЕВ"/>
    <m/>
    <x v="3"/>
    <x v="2"/>
    <n v="1.9"/>
    <x v="0"/>
    <s v="богара"/>
    <n v="6"/>
    <x v="5"/>
    <x v="0"/>
    <s v="-"/>
    <s v="53-63"/>
    <x v="0"/>
    <x v="110"/>
    <d v="2026-06-10T00:00:00"/>
    <n v="107"/>
    <n v="54"/>
  </r>
  <r>
    <s v="Степень зрелости"/>
    <m/>
    <n v="54"/>
    <x v="111"/>
    <x v="0"/>
    <m/>
    <n v="12930"/>
    <m/>
    <n v="11701.6"/>
    <x v="0"/>
    <s v="Увертюра"/>
    <x v="5"/>
    <s v="Рудик Александр Иванович"/>
    <m/>
    <m/>
    <m/>
    <m/>
    <s v="А309АТ"/>
    <m/>
    <x v="3"/>
    <x v="2"/>
    <n v="1.9"/>
    <x v="0"/>
    <s v="богара"/>
    <n v="6"/>
    <x v="5"/>
    <x v="0"/>
    <s v="-"/>
    <s v="53-63"/>
    <x v="0"/>
    <x v="111"/>
    <d v="2026-06-10T00:00:00"/>
    <n v="108"/>
    <n v="54"/>
  </r>
  <r>
    <m/>
    <m/>
    <n v="56"/>
    <x v="112"/>
    <x v="0"/>
    <m/>
    <n v="12930"/>
    <m/>
    <n v="10796.6"/>
    <x v="0"/>
    <s v="Увертюра"/>
    <x v="5"/>
    <s v="Ревенко Андрей Вячеславович"/>
    <m/>
    <m/>
    <m/>
    <m/>
    <s v="А781РР"/>
    <m/>
    <x v="3"/>
    <x v="2"/>
    <n v="1.9"/>
    <x v="0"/>
    <s v="богара"/>
    <n v="6"/>
    <x v="5"/>
    <x v="0"/>
    <s v="-"/>
    <s v="53-63"/>
    <x v="0"/>
    <x v="112"/>
    <d v="2026-06-10T00:00:00"/>
    <n v="109"/>
    <n v="56"/>
  </r>
  <r>
    <s v="Степень зрелости"/>
    <m/>
    <n v="53"/>
    <x v="113"/>
    <x v="0"/>
    <m/>
    <n v="4420"/>
    <m/>
    <n v="3734.9"/>
    <x v="0"/>
    <s v="Увертюра"/>
    <x v="5"/>
    <s v="Роговской Роман Алексеевич"/>
    <m/>
    <m/>
    <m/>
    <m/>
    <s v="Т945РВ"/>
    <m/>
    <x v="3"/>
    <x v="2"/>
    <n v="0.5"/>
    <x v="0"/>
    <s v="богара"/>
    <n v="6"/>
    <x v="5"/>
    <x v="0"/>
    <s v="-"/>
    <s v="53-63"/>
    <x v="0"/>
    <x v="113"/>
    <d v="2026-06-10T00:00:00"/>
    <n v="110"/>
    <n v="53"/>
  </r>
  <r>
    <s v="Степень зрелости"/>
    <m/>
    <n v="55"/>
    <x v="114"/>
    <x v="0"/>
    <m/>
    <n v="13160"/>
    <m/>
    <n v="11383.4"/>
    <x v="0"/>
    <s v="Увертюра"/>
    <x v="5"/>
    <s v="Черевко Александр Владимирович"/>
    <m/>
    <m/>
    <m/>
    <m/>
    <s v="А114МК"/>
    <m/>
    <x v="3"/>
    <x v="2"/>
    <n v="2.1"/>
    <x v="0"/>
    <s v="богара"/>
    <n v="7"/>
    <x v="6"/>
    <x v="0"/>
    <s v="-"/>
    <s v="53-63"/>
    <x v="0"/>
    <x v="114"/>
    <d v="2026-06-10T00:00:00"/>
    <n v="111"/>
    <n v="55"/>
  </r>
  <r>
    <s v="Степень зрелости"/>
    <m/>
    <n v="57"/>
    <x v="115"/>
    <x v="0"/>
    <m/>
    <n v="12700"/>
    <m/>
    <n v="10985.5"/>
    <x v="0"/>
    <s v="Увертюра"/>
    <x v="5"/>
    <s v="Богучарский А. И."/>
    <m/>
    <m/>
    <m/>
    <m/>
    <s v="А718ВХ"/>
    <m/>
    <x v="3"/>
    <x v="2"/>
    <n v="2"/>
    <x v="0"/>
    <s v="богара"/>
    <n v="7"/>
    <x v="6"/>
    <x v="0"/>
    <s v="-"/>
    <s v="53-63"/>
    <x v="0"/>
    <x v="115"/>
    <d v="2026-06-10T00:00:00"/>
    <n v="112"/>
    <n v="57"/>
  </r>
  <r>
    <s v="Степень зрелости"/>
    <m/>
    <n v="57"/>
    <x v="116"/>
    <x v="0"/>
    <m/>
    <n v="13380"/>
    <m/>
    <n v="11439.9"/>
    <x v="0"/>
    <s v="Увертюра"/>
    <x v="5"/>
    <s v="Кудря Евгений"/>
    <m/>
    <m/>
    <m/>
    <m/>
    <s v="А719ОО"/>
    <m/>
    <x v="3"/>
    <x v="2"/>
    <n v="2.1"/>
    <x v="0"/>
    <s v="богара"/>
    <n v="7"/>
    <x v="6"/>
    <x v="0"/>
    <s v="-"/>
    <s v="53-63"/>
    <x v="0"/>
    <x v="116"/>
    <d v="2026-06-10T00:00:00"/>
    <n v="113"/>
    <n v="57"/>
  </r>
  <r>
    <s v="Степень зрелости"/>
    <m/>
    <n v="53"/>
    <x v="117"/>
    <x v="0"/>
    <m/>
    <n v="8650"/>
    <m/>
    <n v="7612"/>
    <x v="0"/>
    <s v="Увертюра"/>
    <x v="5"/>
    <s v="Чигрин Н.А."/>
    <m/>
    <m/>
    <m/>
    <m/>
    <s v="А819ЕВ"/>
    <m/>
    <x v="3"/>
    <x v="2"/>
    <n v="1.1000000000000001"/>
    <x v="0"/>
    <s v="богара"/>
    <n v="7"/>
    <x v="6"/>
    <x v="0"/>
    <s v="-"/>
    <s v="53-63"/>
    <x v="0"/>
    <x v="117"/>
    <d v="2026-06-10T00:00:00"/>
    <n v="114"/>
    <n v="53"/>
  </r>
  <r>
    <s v="Степень зрелости"/>
    <m/>
    <n v="52"/>
    <x v="118"/>
    <x v="0"/>
    <m/>
    <n v="13430"/>
    <m/>
    <n v="11111"/>
    <x v="0"/>
    <s v="Авола"/>
    <x v="6"/>
    <s v="Магадиев Александр Сайлаувич"/>
    <m/>
    <m/>
    <m/>
    <m/>
    <s v="У184НО"/>
    <m/>
    <x v="4"/>
    <x v="1"/>
    <n v="1.7"/>
    <x v="0"/>
    <s v="богара"/>
    <n v="7"/>
    <x v="6"/>
    <x v="5"/>
    <s v="ГРАНД-СТАР ООО"/>
    <s v="40-52"/>
    <x v="0"/>
    <x v="118"/>
    <d v="2026-06-10T00:00:00"/>
    <s v="194/5"/>
    <n v="52"/>
  </r>
  <r>
    <s v="Степень зрелости"/>
    <m/>
    <n v="50"/>
    <x v="119"/>
    <x v="0"/>
    <m/>
    <n v="12890"/>
    <m/>
    <n v="10816"/>
    <x v="0"/>
    <s v="Авола"/>
    <x v="6"/>
    <s v="Кулинич Евгений Владимирович"/>
    <m/>
    <m/>
    <m/>
    <m/>
    <s v="У801СТ"/>
    <m/>
    <x v="4"/>
    <x v="1"/>
    <n v="1.7"/>
    <x v="0"/>
    <s v="богара"/>
    <n v="7"/>
    <x v="6"/>
    <x v="6"/>
    <s v="ГРАНД-СТАР ООО"/>
    <s v="40-52"/>
    <x v="0"/>
    <x v="119"/>
    <d v="2026-06-10T00:00:00"/>
    <s v="195/6"/>
    <n v="50"/>
  </r>
  <r>
    <s v="Степень зрелости"/>
    <m/>
    <n v="63"/>
    <x v="120"/>
    <x v="0"/>
    <m/>
    <n v="4430"/>
    <m/>
    <n v="4142"/>
    <x v="0"/>
    <s v="Авола"/>
    <x v="7"/>
    <s v="Сайко Владимир Николаевич"/>
    <m/>
    <m/>
    <m/>
    <m/>
    <s v="Т919РВ"/>
    <m/>
    <x v="5"/>
    <x v="1"/>
    <n v="1"/>
    <x v="0"/>
    <s v="богара"/>
    <n v="7"/>
    <x v="6"/>
    <x v="0"/>
    <s v="-"/>
    <s v="53-63"/>
    <x v="1"/>
    <x v="120"/>
    <d v="2026-06-10T00:00:00"/>
    <n v="115"/>
    <n v="63"/>
  </r>
  <r>
    <s v="Степень зрелости"/>
    <m/>
    <n v="59"/>
    <x v="121"/>
    <x v="0"/>
    <m/>
    <n v="13220"/>
    <m/>
    <n v="11964.1"/>
    <x v="0"/>
    <s v="Авола"/>
    <x v="6"/>
    <s v="Черевко Александр Владимирович"/>
    <m/>
    <m/>
    <m/>
    <m/>
    <s v="А114МК"/>
    <m/>
    <x v="4"/>
    <x v="1"/>
    <n v="1.7"/>
    <x v="0"/>
    <s v="богара"/>
    <n v="7"/>
    <x v="6"/>
    <x v="0"/>
    <s v="-"/>
    <s v="53-63"/>
    <x v="0"/>
    <x v="121"/>
    <d v="2026-06-10T00:00:00"/>
    <n v="116"/>
    <n v="59"/>
  </r>
  <r>
    <s v="Степень зрелости"/>
    <m/>
    <n v="57"/>
    <x v="122"/>
    <x v="0"/>
    <m/>
    <n v="6800"/>
    <m/>
    <n v="5984"/>
    <x v="0"/>
    <s v="Авола"/>
    <x v="8"/>
    <s v="Чигрин Н.А."/>
    <m/>
    <m/>
    <m/>
    <m/>
    <s v="А819ЕВ"/>
    <m/>
    <x v="6"/>
    <x v="1"/>
    <n v="1.2"/>
    <x v="0"/>
    <s v="богара"/>
    <n v="7"/>
    <x v="6"/>
    <x v="0"/>
    <s v="-"/>
    <s v="53-63"/>
    <x v="0"/>
    <x v="122"/>
    <d v="2026-06-10T00:00:00"/>
    <n v="117"/>
    <n v="57"/>
  </r>
  <r>
    <s v="Степень зрелости"/>
    <m/>
    <n v="53"/>
    <x v="123"/>
    <x v="0"/>
    <m/>
    <n v="13060"/>
    <m/>
    <n v="11230"/>
    <x v="0"/>
    <s v="Авола"/>
    <x v="6"/>
    <s v="Ревенко Андрей Вячеславович"/>
    <m/>
    <m/>
    <m/>
    <m/>
    <s v="А781РР"/>
    <m/>
    <x v="4"/>
    <x v="1"/>
    <n v="1.7"/>
    <x v="0"/>
    <s v="богара"/>
    <n v="7"/>
    <x v="6"/>
    <x v="7"/>
    <s v="ГРАНД-СТАР ООО"/>
    <s v="53-63"/>
    <x v="0"/>
    <x v="123"/>
    <d v="2026-06-10T00:00:00"/>
    <s v="200/7"/>
    <n v="53"/>
  </r>
  <r>
    <s v="Степень зрелости"/>
    <m/>
    <n v="60"/>
    <x v="124"/>
    <x v="0"/>
    <m/>
    <n v="13210"/>
    <m/>
    <n v="11955.1"/>
    <x v="0"/>
    <s v="Авола"/>
    <x v="6"/>
    <s v="Богучарский А. И."/>
    <m/>
    <m/>
    <m/>
    <m/>
    <s v="А718ВХ"/>
    <m/>
    <x v="4"/>
    <x v="1"/>
    <n v="1.7"/>
    <x v="0"/>
    <s v="богара"/>
    <n v="7"/>
    <x v="6"/>
    <x v="0"/>
    <s v="-"/>
    <s v="53-63"/>
    <x v="0"/>
    <x v="124"/>
    <d v="2026-06-10T00:00:00"/>
    <n v="118"/>
    <n v="60"/>
  </r>
  <r>
    <s v="Степень зрелости"/>
    <m/>
    <n v="54"/>
    <x v="125"/>
    <x v="0"/>
    <m/>
    <n v="4620"/>
    <m/>
    <n v="4204.2"/>
    <x v="0"/>
    <s v="Авола"/>
    <x v="9"/>
    <s v="Сайко Владимир Николаевич"/>
    <m/>
    <m/>
    <m/>
    <m/>
    <s v="Т919РВ"/>
    <m/>
    <x v="6"/>
    <x v="1"/>
    <n v="0.8"/>
    <x v="0"/>
    <s v="богара"/>
    <n v="7"/>
    <x v="6"/>
    <x v="0"/>
    <s v="-"/>
    <s v="53-63"/>
    <x v="0"/>
    <x v="125"/>
    <d v="2026-06-10T00:00:00"/>
    <n v="119"/>
    <n v="54"/>
  </r>
  <r>
    <s v="Степень зрелости"/>
    <m/>
    <n v="44"/>
    <x v="126"/>
    <x v="0"/>
    <m/>
    <n v="12830"/>
    <m/>
    <n v="11499"/>
    <x v="0"/>
    <s v="Авола"/>
    <x v="6"/>
    <s v="Извеков Владимир Владимирович"/>
    <m/>
    <m/>
    <m/>
    <m/>
    <s v="Н378ХЕ"/>
    <m/>
    <x v="4"/>
    <x v="1"/>
    <n v="1.7"/>
    <x v="0"/>
    <s v="богара"/>
    <n v="7"/>
    <x v="6"/>
    <x v="8"/>
    <s v="ГРАНД-СТАР ООО"/>
    <s v="40-52"/>
    <x v="0"/>
    <x v="126"/>
    <d v="2026-06-10T00:00:00"/>
    <s v="203/8"/>
    <n v="44"/>
  </r>
  <r>
    <s v="Степень зрелости"/>
    <m/>
    <n v="58"/>
    <x v="127"/>
    <x v="0"/>
    <m/>
    <n v="13310"/>
    <m/>
    <n v="12378.3"/>
    <x v="0"/>
    <s v="Авола"/>
    <x v="6"/>
    <s v="Кудря Евгений"/>
    <m/>
    <m/>
    <m/>
    <m/>
    <s v="А719ОО"/>
    <m/>
    <x v="4"/>
    <x v="1"/>
    <n v="1.7"/>
    <x v="0"/>
    <s v="богара"/>
    <n v="7"/>
    <x v="6"/>
    <x v="0"/>
    <s v="-"/>
    <s v="53-63"/>
    <x v="0"/>
    <x v="127"/>
    <d v="2026-06-10T00:00:00"/>
    <n v="120"/>
    <n v="58"/>
  </r>
  <r>
    <s v="Степень зрелости"/>
    <m/>
    <n v="48"/>
    <x v="128"/>
    <x v="0"/>
    <m/>
    <n v="17430"/>
    <m/>
    <n v="16555"/>
    <x v="0"/>
    <s v="Авола"/>
    <x v="6"/>
    <s v="Мормуль А.Е."/>
    <m/>
    <m/>
    <m/>
    <m/>
    <s v="Х474КЕ"/>
    <m/>
    <x v="4"/>
    <x v="1"/>
    <n v="2.2999999999999998"/>
    <x v="0"/>
    <s v="богара"/>
    <n v="7"/>
    <x v="6"/>
    <x v="9"/>
    <s v="Пищевик ООО"/>
    <s v="40-52"/>
    <x v="0"/>
    <x v="128"/>
    <d v="2026-06-10T00:00:00"/>
    <s v="205/9"/>
    <n v="48"/>
  </r>
  <r>
    <s v="Степень зрелости"/>
    <m/>
    <n v="61"/>
    <x v="129"/>
    <x v="0"/>
    <m/>
    <n v="13330"/>
    <m/>
    <n v="11730.4"/>
    <x v="0"/>
    <s v="Авола"/>
    <x v="6"/>
    <s v="Черевко Александр Владимирович"/>
    <m/>
    <m/>
    <m/>
    <m/>
    <s v="А114МК"/>
    <m/>
    <x v="4"/>
    <x v="1"/>
    <n v="1.7"/>
    <x v="0"/>
    <s v="богара"/>
    <n v="7"/>
    <x v="6"/>
    <x v="0"/>
    <s v="-"/>
    <s v="53-63"/>
    <x v="0"/>
    <x v="129"/>
    <d v="2026-06-10T00:00:00"/>
    <n v="121"/>
    <n v="61"/>
  </r>
  <r>
    <s v="Степень зрелости"/>
    <m/>
    <n v="53"/>
    <x v="130"/>
    <x v="0"/>
    <m/>
    <n v="13060"/>
    <m/>
    <n v="11667"/>
    <x v="0"/>
    <s v="Авола"/>
    <x v="10"/>
    <s v="Магадиев Александр Сайлаувич"/>
    <m/>
    <m/>
    <m/>
    <m/>
    <s v="У184НО"/>
    <m/>
    <x v="4"/>
    <x v="1"/>
    <n v="1.6"/>
    <x v="0"/>
    <s v="богара"/>
    <n v="7"/>
    <x v="6"/>
    <x v="7"/>
    <s v="ГРАНД-СТАР ООО"/>
    <s v="53-63"/>
    <x v="0"/>
    <x v="130"/>
    <d v="2026-06-10T00:00:00"/>
    <s v="207/13"/>
    <n v="53"/>
  </r>
  <r>
    <s v="Степень зрелости"/>
    <m/>
    <n v="55"/>
    <x v="131"/>
    <x v="0"/>
    <m/>
    <n v="13700"/>
    <m/>
    <n v="11987.5"/>
    <x v="0"/>
    <s v="Авола"/>
    <x v="6"/>
    <s v="Чигрин Н.А."/>
    <m/>
    <m/>
    <m/>
    <m/>
    <s v="А819ЕВ"/>
    <m/>
    <x v="4"/>
    <x v="1"/>
    <n v="1.8"/>
    <x v="0"/>
    <s v="богара"/>
    <n v="7"/>
    <x v="6"/>
    <x v="0"/>
    <s v="-"/>
    <s v="53-63"/>
    <x v="0"/>
    <x v="131"/>
    <d v="2026-06-10T00:00:00"/>
    <n v="122"/>
    <n v="55"/>
  </r>
  <r>
    <s v="Степень зрелости"/>
    <m/>
    <n v="59"/>
    <x v="132"/>
    <x v="0"/>
    <m/>
    <n v="13040"/>
    <m/>
    <n v="11670.8"/>
    <x v="0"/>
    <s v="Авола"/>
    <x v="6"/>
    <s v="Богучарский А. И."/>
    <m/>
    <m/>
    <m/>
    <m/>
    <s v="А718ВХ"/>
    <m/>
    <x v="4"/>
    <x v="1"/>
    <n v="1.7"/>
    <x v="0"/>
    <s v="богара"/>
    <n v="7"/>
    <x v="6"/>
    <x v="0"/>
    <s v="-"/>
    <s v="53-63"/>
    <x v="0"/>
    <x v="132"/>
    <d v="2026-06-10T00:00:00"/>
    <n v="118"/>
    <n v="59"/>
  </r>
  <r>
    <s v="Степень зрелости"/>
    <m/>
    <n v="57"/>
    <x v="133"/>
    <x v="0"/>
    <m/>
    <n v="4400"/>
    <m/>
    <n v="3894"/>
    <x v="0"/>
    <s v="Авола"/>
    <x v="6"/>
    <s v="Сайко Владимир Николаевич"/>
    <m/>
    <m/>
    <m/>
    <m/>
    <s v="Т919РВ"/>
    <m/>
    <x v="4"/>
    <x v="1"/>
    <n v="0.6"/>
    <x v="0"/>
    <s v="богара"/>
    <n v="7"/>
    <x v="6"/>
    <x v="0"/>
    <s v="-"/>
    <s v="53-63"/>
    <x v="0"/>
    <x v="133"/>
    <d v="2026-06-10T00:00:00"/>
    <n v="124"/>
    <n v="57"/>
  </r>
  <r>
    <s v="Степень зрелости"/>
    <m/>
    <n v="49"/>
    <x v="134"/>
    <x v="0"/>
    <m/>
    <n v="19890"/>
    <m/>
    <n v="19213.7"/>
    <x v="0"/>
    <s v="Авола"/>
    <x v="6"/>
    <s v="Кучеренко К А"/>
    <m/>
    <m/>
    <m/>
    <m/>
    <s v="К475ВМ"/>
    <m/>
    <x v="4"/>
    <x v="1"/>
    <n v="2.6"/>
    <x v="0"/>
    <s v="богара"/>
    <n v="7"/>
    <x v="6"/>
    <x v="10"/>
    <s v="Пищевик ООО"/>
    <s v="40-52"/>
    <x v="0"/>
    <x v="134"/>
    <d v="2026-06-10T00:00:00"/>
    <s v="213/10"/>
    <n v="49"/>
  </r>
  <r>
    <s v="Степень зрелости"/>
    <m/>
    <n v="59"/>
    <x v="135"/>
    <x v="0"/>
    <m/>
    <n v="17480"/>
    <m/>
    <n v="14501"/>
    <x v="0"/>
    <s v="Авола"/>
    <x v="6"/>
    <s v="Шаповалов Олег Анатольевич"/>
    <m/>
    <m/>
    <m/>
    <m/>
    <s v="М351СК"/>
    <m/>
    <x v="4"/>
    <x v="1"/>
    <n v="2.2999999999999998"/>
    <x v="0"/>
    <s v="богара"/>
    <n v="7"/>
    <x v="6"/>
    <x v="11"/>
    <s v="ТПК ЮЖНЫЙ ПРОДУКТ ООО"/>
    <s v="53-63"/>
    <x v="0"/>
    <x v="135"/>
    <d v="2026-06-11T00:00:00"/>
    <s v="214/11"/>
    <n v="59"/>
  </r>
  <r>
    <s v="Степень зрелости"/>
    <m/>
    <n v="62"/>
    <x v="136"/>
    <x v="0"/>
    <m/>
    <n v="14790"/>
    <m/>
    <n v="12734"/>
    <x v="0"/>
    <s v="Авола"/>
    <x v="6"/>
    <s v="Безменов Александр Борисович"/>
    <m/>
    <m/>
    <m/>
    <m/>
    <s v="А268ОХ"/>
    <m/>
    <x v="4"/>
    <x v="1"/>
    <n v="1.9"/>
    <x v="0"/>
    <s v="богара"/>
    <n v="7"/>
    <x v="6"/>
    <x v="12"/>
    <s v="ТПК ЮЖНЫЙ ПРОДУКТ ООО"/>
    <s v="53-63"/>
    <x v="0"/>
    <x v="136"/>
    <d v="2026-06-11T00:00:00"/>
    <s v="215/12"/>
    <n v="62"/>
  </r>
  <r>
    <s v="Степень зрелости"/>
    <m/>
    <n v="57"/>
    <x v="137"/>
    <x v="0"/>
    <m/>
    <n v="13130"/>
    <m/>
    <n v="11357.4"/>
    <x v="0"/>
    <s v="Авола"/>
    <x v="6"/>
    <s v="Кудря Евгений"/>
    <m/>
    <m/>
    <m/>
    <m/>
    <s v="А719ОО"/>
    <m/>
    <x v="4"/>
    <x v="1"/>
    <n v="1.7"/>
    <x v="0"/>
    <s v="богара"/>
    <n v="7"/>
    <x v="6"/>
    <x v="0"/>
    <s v="-"/>
    <s v="53-63"/>
    <x v="0"/>
    <x v="137"/>
    <d v="2026-06-11T00:00:00"/>
    <n v="120"/>
    <n v="57"/>
  </r>
  <r>
    <s v="Степень зрелости"/>
    <m/>
    <n v="54"/>
    <x v="138"/>
    <x v="0"/>
    <m/>
    <n v="12910"/>
    <m/>
    <n v="11555"/>
    <x v="0"/>
    <s v="Фаворит"/>
    <x v="11"/>
    <s v="Кулинич Евгений Владимирович"/>
    <m/>
    <m/>
    <m/>
    <m/>
    <s v="У801СТ"/>
    <m/>
    <x v="7"/>
    <x v="3"/>
    <n v="1.6"/>
    <x v="0"/>
    <s v="богара"/>
    <n v="8"/>
    <x v="7"/>
    <x v="13"/>
    <s v="ГРАНД-СТАР ООО"/>
    <s v="53-63"/>
    <x v="0"/>
    <x v="138"/>
    <d v="2026-06-11T00:00:00"/>
    <s v="217/15"/>
    <n v="54"/>
  </r>
  <r>
    <s v="Степень зрелости"/>
    <m/>
    <n v="55"/>
    <x v="139"/>
    <x v="0"/>
    <m/>
    <n v="12970"/>
    <m/>
    <n v="11608.1"/>
    <x v="0"/>
    <s v="Авола"/>
    <x v="6"/>
    <s v="Черевко Александр Владимирович"/>
    <m/>
    <m/>
    <m/>
    <m/>
    <s v="А114МК"/>
    <m/>
    <x v="4"/>
    <x v="1"/>
    <n v="1.7"/>
    <x v="0"/>
    <s v="богара"/>
    <n v="7"/>
    <x v="6"/>
    <x v="0"/>
    <s v="-"/>
    <s v="53-63"/>
    <x v="0"/>
    <x v="139"/>
    <d v="2026-06-11T00:00:00"/>
    <n v="126"/>
    <n v="55"/>
  </r>
  <r>
    <s v="Степень зрелости"/>
    <m/>
    <n v="57"/>
    <x v="140"/>
    <x v="0"/>
    <m/>
    <n v="13210"/>
    <m/>
    <n v="11558.7"/>
    <x v="0"/>
    <s v="Авола"/>
    <x v="6"/>
    <s v="Чигрин Н.А."/>
    <m/>
    <m/>
    <m/>
    <m/>
    <s v="А819ЕВ"/>
    <m/>
    <x v="4"/>
    <x v="1"/>
    <n v="1.7"/>
    <x v="0"/>
    <s v="богара"/>
    <n v="7"/>
    <x v="6"/>
    <x v="0"/>
    <s v="-"/>
    <s v="53-63"/>
    <x v="0"/>
    <x v="140"/>
    <d v="2026-06-11T00:00:00"/>
    <n v="127"/>
    <n v="57"/>
  </r>
  <r>
    <s v="Степень зрелости"/>
    <m/>
    <n v="57"/>
    <x v="141"/>
    <x v="0"/>
    <m/>
    <n v="13110"/>
    <m/>
    <n v="11602.3"/>
    <x v="0"/>
    <s v="Авола"/>
    <x v="6"/>
    <s v="Богучарский А. И."/>
    <m/>
    <m/>
    <m/>
    <m/>
    <s v="А718ВХ"/>
    <m/>
    <x v="4"/>
    <x v="1"/>
    <n v="1.7"/>
    <x v="0"/>
    <s v="богара"/>
    <n v="7"/>
    <x v="6"/>
    <x v="0"/>
    <s v="-"/>
    <s v="53-63"/>
    <x v="0"/>
    <x v="141"/>
    <d v="2026-06-11T00:00:00"/>
    <n v="128"/>
    <n v="57"/>
  </r>
  <r>
    <s v="Степень зрелости"/>
    <m/>
    <n v="55"/>
    <x v="142"/>
    <x v="0"/>
    <m/>
    <n v="4520"/>
    <m/>
    <n v="3932.4"/>
    <x v="0"/>
    <s v="Авола"/>
    <x v="6"/>
    <s v="Сайко Владимир Николаевич"/>
    <m/>
    <m/>
    <m/>
    <m/>
    <s v="Т919РВ"/>
    <m/>
    <x v="4"/>
    <x v="1"/>
    <n v="0.6"/>
    <x v="0"/>
    <s v="богара"/>
    <n v="7"/>
    <x v="6"/>
    <x v="0"/>
    <s v="-"/>
    <s v="53-63"/>
    <x v="0"/>
    <x v="142"/>
    <d v="2026-06-11T00:00:00"/>
    <n v="129"/>
    <n v="55"/>
  </r>
  <r>
    <s v="Степень зрелости"/>
    <m/>
    <n v="56"/>
    <x v="143"/>
    <x v="0"/>
    <m/>
    <n v="16700"/>
    <m/>
    <n v="14445.5"/>
    <x v="0"/>
    <s v="Авола"/>
    <x v="6"/>
    <s v="Кудря Евгений"/>
    <m/>
    <m/>
    <m/>
    <m/>
    <s v="А719ОО"/>
    <m/>
    <x v="4"/>
    <x v="1"/>
    <n v="2.2000000000000002"/>
    <x v="0"/>
    <s v="богара"/>
    <n v="7"/>
    <x v="6"/>
    <x v="0"/>
    <s v="-"/>
    <s v="53-63"/>
    <x v="0"/>
    <x v="143"/>
    <d v="2026-06-11T00:00:00"/>
    <n v="130"/>
    <n v="56"/>
  </r>
  <r>
    <s v="Степень зрелости"/>
    <m/>
    <n v="59"/>
    <x v="144"/>
    <x v="0"/>
    <m/>
    <n v="13090"/>
    <m/>
    <n v="11911.9"/>
    <x v="0"/>
    <s v="Авола"/>
    <x v="12"/>
    <s v="Черевко Александр Владимирович"/>
    <m/>
    <m/>
    <m/>
    <m/>
    <s v="А114МК"/>
    <m/>
    <x v="8"/>
    <x v="1"/>
    <n v="2.4633757961783438"/>
    <x v="0"/>
    <s v="богара"/>
    <n v="8"/>
    <x v="7"/>
    <x v="0"/>
    <s v="-"/>
    <s v="53-63"/>
    <x v="0"/>
    <x v="144"/>
    <d v="2026-06-11T00:00:00"/>
    <n v="131"/>
    <n v="59"/>
  </r>
  <r>
    <s v="Степень зрелости"/>
    <m/>
    <n v="70"/>
    <x v="145"/>
    <x v="0"/>
    <m/>
    <n v="13420"/>
    <m/>
    <n v="11980"/>
    <x v="0"/>
    <s v="Авола"/>
    <x v="10"/>
    <s v="Баранов Николай Александрович"/>
    <m/>
    <m/>
    <m/>
    <m/>
    <s v="М540АС"/>
    <m/>
    <x v="8"/>
    <x v="1"/>
    <n v="2.5254777070063694"/>
    <x v="0"/>
    <s v="богара"/>
    <n v="8"/>
    <x v="7"/>
    <x v="14"/>
    <s v="ТПК ЮЖНЫЙ ПРОДУКТ ООО"/>
    <s v="67-85"/>
    <x v="1"/>
    <x v="145"/>
    <d v="2026-06-11T00:00:00"/>
    <s v="225/14"/>
    <n v="70"/>
  </r>
  <r>
    <s v="Степень зрелости"/>
    <m/>
    <n v="59"/>
    <x v="146"/>
    <x v="0"/>
    <m/>
    <n v="13180"/>
    <m/>
    <n v="11400.7"/>
    <x v="0"/>
    <s v="Авола"/>
    <x v="12"/>
    <s v="Деревянко Н.Н."/>
    <m/>
    <m/>
    <m/>
    <m/>
    <s v="Р699ОН"/>
    <m/>
    <x v="8"/>
    <x v="1"/>
    <n v="2.4803126809496234"/>
    <x v="0"/>
    <s v="богара"/>
    <n v="8"/>
    <x v="7"/>
    <x v="0"/>
    <s v="-"/>
    <s v="53-63"/>
    <x v="0"/>
    <x v="146"/>
    <d v="2026-06-11T00:00:00"/>
    <n v="132"/>
    <n v="59"/>
  </r>
  <r>
    <s v="Степень зрелости"/>
    <m/>
    <n v="61"/>
    <x v="147"/>
    <x v="0"/>
    <m/>
    <n v="13350"/>
    <m/>
    <n v="12282"/>
    <x v="0"/>
    <s v="Авола"/>
    <x v="12"/>
    <s v="Осипов Александр Николаевич"/>
    <m/>
    <m/>
    <m/>
    <m/>
    <s v="Е732УС"/>
    <m/>
    <x v="8"/>
    <x v="1"/>
    <n v="2.5123045744064854"/>
    <x v="0"/>
    <s v="богара"/>
    <n v="8"/>
    <x v="7"/>
    <x v="0"/>
    <s v="-"/>
    <s v="53-63"/>
    <x v="0"/>
    <x v="147"/>
    <d v="2026-06-11T00:00:00"/>
    <n v="133"/>
    <n v="61"/>
  </r>
  <r>
    <s v="Степень зрелости"/>
    <m/>
    <n v="64"/>
    <x v="148"/>
    <x v="0"/>
    <m/>
    <n v="13460"/>
    <m/>
    <n v="12114"/>
    <x v="0"/>
    <s v="Авола"/>
    <x v="12"/>
    <s v="Погуляй А.Б.       "/>
    <m/>
    <m/>
    <m/>
    <m/>
    <s v="К403ЕМ"/>
    <m/>
    <x v="8"/>
    <x v="1"/>
    <n v="2.5330052113491606"/>
    <x v="0"/>
    <s v="богара"/>
    <n v="8"/>
    <x v="7"/>
    <x v="0"/>
    <s v="-"/>
    <s v="64-66"/>
    <x v="1"/>
    <x v="148"/>
    <d v="2026-06-11T00:00:00"/>
    <n v="134"/>
    <n v="64"/>
  </r>
  <r>
    <s v="Степень зрелости"/>
    <m/>
    <n v="54"/>
    <x v="149"/>
    <x v="0"/>
    <m/>
    <n v="4510"/>
    <m/>
    <n v="3991.4"/>
    <x v="0"/>
    <s v="Авола"/>
    <x v="12"/>
    <s v="Роговской Роман Алексеевич"/>
    <m/>
    <m/>
    <m/>
    <m/>
    <s v="Т945РВ"/>
    <m/>
    <x v="8"/>
    <x v="1"/>
    <n v="0.84872611464968151"/>
    <x v="0"/>
    <s v="богара"/>
    <n v="8"/>
    <x v="7"/>
    <x v="0"/>
    <s v="-"/>
    <s v="53-63"/>
    <x v="0"/>
    <x v="149"/>
    <d v="2026-06-11T00:00:00"/>
    <n v="135"/>
    <n v="54"/>
  </r>
  <r>
    <s v="Степень зрелости"/>
    <m/>
    <n v="64"/>
    <x v="150"/>
    <x v="0"/>
    <m/>
    <n v="13440"/>
    <m/>
    <n v="12096"/>
    <x v="0"/>
    <s v="Авола"/>
    <x v="10"/>
    <s v="Бербеницкий Сергей Николаевич"/>
    <m/>
    <m/>
    <m/>
    <m/>
    <s v="С400РР"/>
    <m/>
    <x v="8"/>
    <x v="1"/>
    <n v="2.529241459177765"/>
    <x v="0"/>
    <s v="богара"/>
    <n v="8"/>
    <x v="7"/>
    <x v="0"/>
    <s v="-"/>
    <s v="64-66"/>
    <x v="1"/>
    <x v="150"/>
    <d v="2026-06-11T00:00:00"/>
    <n v="136"/>
    <n v="64"/>
  </r>
  <r>
    <s v="Степень зрелости"/>
    <m/>
    <n v="64"/>
    <x v="151"/>
    <x v="0"/>
    <m/>
    <n v="13360"/>
    <m/>
    <n v="12024"/>
    <x v="0"/>
    <s v="Авола"/>
    <x v="12"/>
    <s v="Деревянко Н.Н."/>
    <m/>
    <m/>
    <m/>
    <m/>
    <s v="Р699ОН"/>
    <m/>
    <x v="8"/>
    <x v="1"/>
    <n v="2.5141864504921831"/>
    <x v="0"/>
    <s v="богара"/>
    <n v="8"/>
    <x v="7"/>
    <x v="0"/>
    <s v="-"/>
    <s v="64-66"/>
    <x v="1"/>
    <x v="151"/>
    <d v="2026-06-11T00:00:00"/>
    <n v="137"/>
    <n v="64"/>
  </r>
  <r>
    <s v="Степень зрелости"/>
    <m/>
    <n v="67"/>
    <x v="152"/>
    <x v="0"/>
    <m/>
    <n v="13250"/>
    <m/>
    <n v="11792.5"/>
    <x v="0"/>
    <s v="Авола"/>
    <x v="12"/>
    <s v="Осипов Александр Николаевич"/>
    <m/>
    <m/>
    <m/>
    <m/>
    <s v="Е732УС"/>
    <m/>
    <x v="8"/>
    <x v="1"/>
    <n v="2.4934858135495079"/>
    <x v="0"/>
    <s v="богара"/>
    <n v="8"/>
    <x v="7"/>
    <x v="0"/>
    <s v="-"/>
    <s v="67-85"/>
    <x v="1"/>
    <x v="152"/>
    <d v="2026-06-11T00:00:00"/>
    <n v="138"/>
    <n v="67"/>
  </r>
  <r>
    <s v="Степень зрелости"/>
    <m/>
    <n v="67"/>
    <x v="153"/>
    <x v="0"/>
    <m/>
    <n v="13400"/>
    <m/>
    <n v="12328"/>
    <x v="0"/>
    <s v="Авола"/>
    <x v="12"/>
    <s v="Погуляй А.Б.       "/>
    <m/>
    <m/>
    <m/>
    <m/>
    <s v="К403ЕМ"/>
    <m/>
    <x v="8"/>
    <x v="1"/>
    <n v="2.5217139548349738"/>
    <x v="0"/>
    <s v="богара"/>
    <n v="8"/>
    <x v="7"/>
    <x v="0"/>
    <s v="-"/>
    <s v="67-85"/>
    <x v="1"/>
    <x v="153"/>
    <d v="2026-06-11T00:00:00"/>
    <n v="139"/>
    <n v="67"/>
  </r>
  <r>
    <s v="Степень зрелости"/>
    <m/>
    <n v="54"/>
    <x v="154"/>
    <x v="0"/>
    <m/>
    <n v="12850"/>
    <m/>
    <n v="11564"/>
    <x v="0"/>
    <s v="Фаворит"/>
    <x v="11"/>
    <s v="Извеков Владимир Владимирович"/>
    <m/>
    <m/>
    <m/>
    <m/>
    <s v="Н378ХЕ"/>
    <m/>
    <x v="7"/>
    <x v="3"/>
    <n v="1.6"/>
    <x v="0"/>
    <s v="богара"/>
    <n v="8"/>
    <x v="7"/>
    <x v="15"/>
    <s v="ГРАНД-СТАР ООО"/>
    <s v="53-63"/>
    <x v="0"/>
    <x v="154"/>
    <d v="2026-06-11T00:00:00"/>
    <s v="241/16"/>
    <n v="54"/>
  </r>
  <r>
    <s v="Степень зрелости"/>
    <m/>
    <n v="71"/>
    <x v="155"/>
    <x v="0"/>
    <m/>
    <n v="13700"/>
    <m/>
    <n v="12467"/>
    <x v="0"/>
    <s v="Авола"/>
    <x v="12"/>
    <s v="Бербеницкий Сергей Николаевич"/>
    <m/>
    <m/>
    <m/>
    <m/>
    <s v="С400РР"/>
    <m/>
    <x v="8"/>
    <x v="1"/>
    <n v="2.5781702374059061"/>
    <x v="0"/>
    <s v="богара"/>
    <n v="8"/>
    <x v="7"/>
    <x v="0"/>
    <s v="-"/>
    <s v="67-85"/>
    <x v="1"/>
    <x v="155"/>
    <d v="2026-06-11T00:00:00"/>
    <n v="140"/>
    <n v="71"/>
  </r>
  <r>
    <s v="Степень зрелости"/>
    <m/>
    <n v="63"/>
    <x v="156"/>
    <x v="0"/>
    <m/>
    <n v="12920"/>
    <m/>
    <n v="11628"/>
    <x v="0"/>
    <s v="Фаворит"/>
    <x v="13"/>
    <s v="Деревянко Н.Н."/>
    <m/>
    <m/>
    <m/>
    <m/>
    <s v="Р699ОН"/>
    <m/>
    <x v="7"/>
    <x v="3"/>
    <n v="1.6"/>
    <x v="0"/>
    <s v="богара"/>
    <n v="8"/>
    <x v="7"/>
    <x v="0"/>
    <s v="-"/>
    <s v="53-63"/>
    <x v="0"/>
    <x v="156"/>
    <d v="2026-06-11T00:00:00"/>
    <n v="141"/>
    <n v="63"/>
  </r>
  <r>
    <s v="Степень зрелости"/>
    <m/>
    <n v="64"/>
    <x v="157"/>
    <x v="0"/>
    <m/>
    <n v="12630"/>
    <m/>
    <n v="11240.7"/>
    <x v="0"/>
    <s v="Фаворит"/>
    <x v="11"/>
    <s v="Осипов Александр Николаевич"/>
    <m/>
    <m/>
    <m/>
    <m/>
    <s v="Е732УС"/>
    <m/>
    <x v="7"/>
    <x v="3"/>
    <n v="1.6"/>
    <x v="0"/>
    <s v="богара"/>
    <n v="8"/>
    <x v="7"/>
    <x v="0"/>
    <s v="-"/>
    <s v="64-66"/>
    <x v="0"/>
    <x v="157"/>
    <d v="2026-06-11T00:00:00"/>
    <n v="142"/>
    <n v="64"/>
  </r>
  <r>
    <s v="Степень зрелости"/>
    <m/>
    <n v="64"/>
    <x v="158"/>
    <x v="0"/>
    <m/>
    <n v="13140"/>
    <m/>
    <n v="12088.8"/>
    <x v="0"/>
    <s v="Фаворит"/>
    <x v="11"/>
    <s v="Погуляй А.Б.       "/>
    <m/>
    <m/>
    <m/>
    <m/>
    <s v="К403ЕМ"/>
    <m/>
    <x v="7"/>
    <x v="3"/>
    <n v="1.6"/>
    <x v="0"/>
    <s v="богара"/>
    <n v="8"/>
    <x v="7"/>
    <x v="0"/>
    <s v="-"/>
    <s v="64-66"/>
    <x v="0"/>
    <x v="158"/>
    <d v="2026-06-11T00:00:00"/>
    <n v="143"/>
    <n v="64"/>
  </r>
  <r>
    <s v="Степень зрелости"/>
    <m/>
    <n v="61"/>
    <x v="159"/>
    <x v="0"/>
    <m/>
    <n v="13040"/>
    <m/>
    <n v="11801.2"/>
    <x v="0"/>
    <s v="Фаворит"/>
    <x v="13"/>
    <s v="Бербеницкий Сергей Николаевич"/>
    <m/>
    <m/>
    <m/>
    <m/>
    <s v="С400РР"/>
    <m/>
    <x v="7"/>
    <x v="3"/>
    <n v="1.6"/>
    <x v="0"/>
    <s v="богара"/>
    <n v="8"/>
    <x v="7"/>
    <x v="0"/>
    <s v="-"/>
    <s v="53-63"/>
    <x v="0"/>
    <x v="159"/>
    <d v="2026-06-11T00:00:00"/>
    <n v="144"/>
    <n v="61"/>
  </r>
  <r>
    <s v="Степень зрелости"/>
    <m/>
    <n v="59"/>
    <x v="160"/>
    <x v="0"/>
    <m/>
    <n v="4150"/>
    <m/>
    <n v="3880.3"/>
    <x v="0"/>
    <s v="Фаворит"/>
    <x v="13"/>
    <s v="Роговской Роман Алексеевич"/>
    <m/>
    <m/>
    <m/>
    <m/>
    <s v="Т945РВ"/>
    <m/>
    <x v="7"/>
    <x v="3"/>
    <n v="0.5"/>
    <x v="0"/>
    <s v="богара"/>
    <n v="8"/>
    <x v="7"/>
    <x v="0"/>
    <s v="-"/>
    <s v="53-63"/>
    <x v="0"/>
    <x v="160"/>
    <d v="2026-06-12T00:00:00"/>
    <n v="145"/>
    <n v="59"/>
  </r>
  <r>
    <s v="Степень зрелости"/>
    <m/>
    <n v="60"/>
    <x v="161"/>
    <x v="0"/>
    <m/>
    <n v="12830"/>
    <m/>
    <n v="11547"/>
    <x v="0"/>
    <s v="Фаворит"/>
    <x v="11"/>
    <s v="Гуйда Николай Николаевич"/>
    <m/>
    <m/>
    <m/>
    <m/>
    <s v="А816ЕВ"/>
    <m/>
    <x v="7"/>
    <x v="3"/>
    <n v="1.6"/>
    <x v="0"/>
    <s v="богара"/>
    <n v="8"/>
    <x v="7"/>
    <x v="0"/>
    <s v="-"/>
    <s v="53-63"/>
    <x v="0"/>
    <x v="161"/>
    <d v="2026-06-12T00:00:00"/>
    <n v="146"/>
    <n v="60"/>
  </r>
  <r>
    <s v="Степень зрелости"/>
    <m/>
    <n v="61"/>
    <x v="162"/>
    <x v="0"/>
    <m/>
    <n v="12830"/>
    <m/>
    <n v="11226.2"/>
    <x v="0"/>
    <s v="Фаворит"/>
    <x v="11"/>
    <s v="Деревянко Н.Н."/>
    <m/>
    <m/>
    <m/>
    <m/>
    <s v="Р699ОН"/>
    <m/>
    <x v="7"/>
    <x v="3"/>
    <n v="1.6"/>
    <x v="0"/>
    <s v="богара"/>
    <n v="8"/>
    <x v="7"/>
    <x v="0"/>
    <s v="-"/>
    <s v="53-63"/>
    <x v="0"/>
    <x v="162"/>
    <d v="2026-06-12T00:00:00"/>
    <n v="147"/>
    <n v="61"/>
  </r>
  <r>
    <s v="Степень зрелости"/>
    <m/>
    <n v="61"/>
    <x v="163"/>
    <x v="0"/>
    <m/>
    <n v="12860"/>
    <m/>
    <n v="11574"/>
    <x v="0"/>
    <s v="Фаворит"/>
    <x v="11"/>
    <s v="Осипов Александр Николаевич"/>
    <m/>
    <m/>
    <m/>
    <m/>
    <s v="Е732УС"/>
    <m/>
    <x v="7"/>
    <x v="3"/>
    <n v="1.6"/>
    <x v="0"/>
    <s v="богара"/>
    <n v="8"/>
    <x v="7"/>
    <x v="0"/>
    <s v="-"/>
    <s v="53-63"/>
    <x v="0"/>
    <x v="163"/>
    <d v="2026-06-12T00:00:00"/>
    <n v="148"/>
    <n v="61"/>
  </r>
  <r>
    <s v="Степень зрелости"/>
    <m/>
    <n v="59"/>
    <x v="164"/>
    <x v="0"/>
    <m/>
    <n v="12750"/>
    <m/>
    <n v="11921.3"/>
    <x v="0"/>
    <s v="Фаворит"/>
    <x v="13"/>
    <s v="Погуляй А.Б.       "/>
    <m/>
    <m/>
    <m/>
    <m/>
    <s v="К403ЕМ"/>
    <m/>
    <x v="7"/>
    <x v="3"/>
    <n v="1.6"/>
    <x v="0"/>
    <s v="богара"/>
    <n v="8"/>
    <x v="7"/>
    <x v="0"/>
    <s v="-"/>
    <s v="53-63"/>
    <x v="0"/>
    <x v="164"/>
    <d v="2026-06-12T00:00:00"/>
    <n v="149"/>
    <n v="59"/>
  </r>
  <r>
    <s v="Степень зрелости"/>
    <m/>
    <n v="58"/>
    <x v="165"/>
    <x v="0"/>
    <m/>
    <n v="13000"/>
    <m/>
    <n v="11765"/>
    <x v="0"/>
    <s v="Фаворит"/>
    <x v="13"/>
    <s v="Бербеницкий Сергей Николаевич"/>
    <m/>
    <m/>
    <m/>
    <m/>
    <s v="С400РР"/>
    <m/>
    <x v="7"/>
    <x v="3"/>
    <n v="1.6"/>
    <x v="0"/>
    <s v="богара"/>
    <n v="8"/>
    <x v="7"/>
    <x v="0"/>
    <s v="-"/>
    <s v="53-63"/>
    <x v="0"/>
    <x v="165"/>
    <d v="2026-06-12T00:00:00"/>
    <n v="150"/>
    <n v="58"/>
  </r>
  <r>
    <s v="Степень зрелости"/>
    <m/>
    <n v="57"/>
    <x v="166"/>
    <x v="0"/>
    <m/>
    <n v="4460"/>
    <m/>
    <n v="4125.5"/>
    <x v="0"/>
    <s v="Фаворит"/>
    <x v="11"/>
    <s v="Роговской Роман Алексеевич"/>
    <m/>
    <m/>
    <m/>
    <m/>
    <s v="Т945РВ"/>
    <m/>
    <x v="7"/>
    <x v="3"/>
    <n v="0.6"/>
    <x v="0"/>
    <s v="богара"/>
    <n v="8"/>
    <x v="7"/>
    <x v="0"/>
    <s v="-"/>
    <s v="53-63"/>
    <x v="0"/>
    <x v="166"/>
    <d v="2026-06-12T00:00:00"/>
    <n v="151"/>
    <n v="57"/>
  </r>
  <r>
    <s v="Степень зрелости"/>
    <m/>
    <n v="59"/>
    <x v="167"/>
    <x v="0"/>
    <m/>
    <n v="13010"/>
    <m/>
    <n v="11904.1"/>
    <x v="0"/>
    <s v="Фаворит"/>
    <x v="11"/>
    <s v="Гуйда Николай Николаевич"/>
    <m/>
    <m/>
    <m/>
    <m/>
    <s v="А816ЕВ"/>
    <m/>
    <x v="7"/>
    <x v="3"/>
    <n v="1.7"/>
    <x v="0"/>
    <s v="богара"/>
    <n v="8"/>
    <x v="7"/>
    <x v="0"/>
    <s v="-"/>
    <s v="53-63"/>
    <x v="0"/>
    <x v="167"/>
    <d v="2026-06-12T00:00:00"/>
    <n v="152"/>
    <n v="59"/>
  </r>
  <r>
    <s v="Степень зрелости"/>
    <m/>
    <n v="58"/>
    <x v="168"/>
    <x v="0"/>
    <m/>
    <n v="13120"/>
    <m/>
    <n v="11676.8"/>
    <x v="0"/>
    <s v="Фаворит"/>
    <x v="13"/>
    <s v="Жданов Андрей Иванович"/>
    <m/>
    <m/>
    <m/>
    <m/>
    <s v="С707ОУ"/>
    <m/>
    <x v="7"/>
    <x v="3"/>
    <n v="2.1"/>
    <x v="0"/>
    <s v="богара"/>
    <n v="9"/>
    <x v="8"/>
    <x v="0"/>
    <s v="-"/>
    <s v="53-63"/>
    <x v="0"/>
    <x v="168"/>
    <d v="2026-06-12T00:00:00"/>
    <n v="153"/>
    <n v="58"/>
  </r>
  <r>
    <s v="Степень зрелости"/>
    <m/>
    <n v="59"/>
    <x v="169"/>
    <x v="0"/>
    <m/>
    <n v="13180"/>
    <m/>
    <n v="12059.7"/>
    <x v="0"/>
    <s v="Фаворит"/>
    <x v="13"/>
    <s v="Гужва А М."/>
    <m/>
    <m/>
    <m/>
    <m/>
    <s v="Т285ВЕ"/>
    <m/>
    <x v="7"/>
    <x v="3"/>
    <n v="2.2000000000000002"/>
    <x v="0"/>
    <s v="богара"/>
    <n v="9"/>
    <x v="8"/>
    <x v="0"/>
    <s v="-"/>
    <s v="53-63"/>
    <x v="0"/>
    <x v="169"/>
    <d v="2026-06-12T00:00:00"/>
    <n v="154"/>
    <n v="59"/>
  </r>
  <r>
    <s v="Степень зрелости"/>
    <m/>
    <n v="59"/>
    <x v="170"/>
    <x v="0"/>
    <m/>
    <n v="12820"/>
    <m/>
    <n v="11025.2"/>
    <x v="0"/>
    <s v="Фаворит"/>
    <x v="13"/>
    <s v="Сероштан Станислав Викторович"/>
    <m/>
    <m/>
    <m/>
    <m/>
    <s v="Е758РЕ"/>
    <m/>
    <x v="7"/>
    <x v="3"/>
    <n v="2.1"/>
    <x v="0"/>
    <s v="богара"/>
    <n v="9"/>
    <x v="8"/>
    <x v="0"/>
    <s v="-"/>
    <s v="53-63"/>
    <x v="0"/>
    <x v="170"/>
    <d v="2026-06-12T00:00:00"/>
    <n v="155"/>
    <n v="59"/>
  </r>
  <r>
    <s v="Степень зрелости"/>
    <m/>
    <n v="56"/>
    <x v="171"/>
    <x v="0"/>
    <m/>
    <n v="4390"/>
    <m/>
    <n v="3687.6"/>
    <x v="0"/>
    <s v="Фаворит"/>
    <x v="13"/>
    <s v="Сайко Владимир Николаевич"/>
    <m/>
    <m/>
    <m/>
    <m/>
    <s v="Т919РВ"/>
    <m/>
    <x v="7"/>
    <x v="3"/>
    <n v="0.7"/>
    <x v="0"/>
    <s v="богара"/>
    <n v="9"/>
    <x v="8"/>
    <x v="0"/>
    <s v="-"/>
    <s v="53-63"/>
    <x v="0"/>
    <x v="171"/>
    <d v="2026-06-12T00:00:00"/>
    <n v="156"/>
    <n v="56"/>
  </r>
  <r>
    <s v="Степень зрелости"/>
    <m/>
    <n v="58"/>
    <x v="172"/>
    <x v="0"/>
    <m/>
    <n v="12980"/>
    <m/>
    <n v="11682"/>
    <x v="0"/>
    <s v="Фаворит"/>
    <x v="13"/>
    <s v="Чигрин Н.А."/>
    <m/>
    <m/>
    <m/>
    <m/>
    <s v="А819ЕВ"/>
    <m/>
    <x v="7"/>
    <x v="3"/>
    <n v="2.1"/>
    <x v="0"/>
    <s v="богара"/>
    <n v="9"/>
    <x v="8"/>
    <x v="0"/>
    <s v="-"/>
    <s v="53-63"/>
    <x v="0"/>
    <x v="172"/>
    <d v="2026-06-12T00:00:00"/>
    <n v="157"/>
    <n v="58"/>
  </r>
  <r>
    <s v="Степень зрелости"/>
    <m/>
    <n v="60"/>
    <x v="173"/>
    <x v="0"/>
    <m/>
    <n v="12460"/>
    <m/>
    <n v="11338.6"/>
    <x v="0"/>
    <s v="Фаворит"/>
    <x v="13"/>
    <s v="Жданов Андрей Иванович"/>
    <m/>
    <m/>
    <m/>
    <m/>
    <s v="С707ОУ"/>
    <m/>
    <x v="7"/>
    <x v="3"/>
    <n v="2"/>
    <x v="0"/>
    <s v="богара"/>
    <n v="9"/>
    <x v="8"/>
    <x v="0"/>
    <s v="-"/>
    <s v="53-63"/>
    <x v="0"/>
    <x v="173"/>
    <d v="2026-06-12T00:00:00"/>
    <n v="158"/>
    <n v="60"/>
  </r>
  <r>
    <s v="Степень зрелости"/>
    <m/>
    <n v="57"/>
    <x v="174"/>
    <x v="0"/>
    <m/>
    <n v="12990"/>
    <m/>
    <n v="11397"/>
    <x v="0"/>
    <s v="Фаворит"/>
    <x v="11"/>
    <s v="Магадиев Александр Сайлаувич"/>
    <m/>
    <m/>
    <m/>
    <m/>
    <s v="У184НО"/>
    <m/>
    <x v="7"/>
    <x v="3"/>
    <n v="1.6"/>
    <x v="0"/>
    <s v="богара"/>
    <n v="8"/>
    <x v="7"/>
    <x v="16"/>
    <s v="ГРАНД-СТАР ООО"/>
    <s v="53-63"/>
    <x v="0"/>
    <x v="174"/>
    <d v="2026-06-12T00:00:00"/>
    <s v="264/17"/>
    <n v="57"/>
  </r>
  <r>
    <s v="Степень зрелости"/>
    <m/>
    <n v="64"/>
    <x v="175"/>
    <x v="0"/>
    <m/>
    <n v="12530"/>
    <m/>
    <n v="10838.5"/>
    <x v="0"/>
    <s v="Фаворит"/>
    <x v="13"/>
    <s v="Гужва А М."/>
    <m/>
    <m/>
    <m/>
    <m/>
    <s v="Т285ВЕ"/>
    <m/>
    <x v="7"/>
    <x v="3"/>
    <n v="2.1"/>
    <x v="0"/>
    <s v="богара"/>
    <n v="9"/>
    <x v="8"/>
    <x v="0"/>
    <s v="-"/>
    <s v="64-66"/>
    <x v="0"/>
    <x v="175"/>
    <d v="2026-06-12T00:00:00"/>
    <n v="159"/>
    <n v="64"/>
  </r>
  <r>
    <s v="Степень зрелости"/>
    <m/>
    <n v="59"/>
    <x v="176"/>
    <x v="0"/>
    <m/>
    <n v="12630"/>
    <m/>
    <n v="11240.7"/>
    <x v="0"/>
    <s v="Фаворит"/>
    <x v="13"/>
    <s v="Сероштан Станислав Викторович"/>
    <m/>
    <m/>
    <m/>
    <m/>
    <s v="Е758РЕ"/>
    <m/>
    <x v="7"/>
    <x v="3"/>
    <n v="2.1"/>
    <x v="0"/>
    <s v="богара"/>
    <n v="9"/>
    <x v="8"/>
    <x v="0"/>
    <s v="-"/>
    <s v="53-63"/>
    <x v="0"/>
    <x v="176"/>
    <d v="2026-06-12T00:00:00"/>
    <n v="160"/>
    <n v="59"/>
  </r>
  <r>
    <s v="Степень зрелости"/>
    <m/>
    <n v="60"/>
    <x v="177"/>
    <x v="0"/>
    <m/>
    <n v="4150"/>
    <m/>
    <n v="3859.5"/>
    <x v="0"/>
    <s v="Фаворит"/>
    <x v="13"/>
    <s v="Сайко Владимир Николаевич"/>
    <m/>
    <m/>
    <m/>
    <m/>
    <s v="Т919РВ"/>
    <m/>
    <x v="7"/>
    <x v="3"/>
    <n v="0.7"/>
    <x v="0"/>
    <s v="богара"/>
    <n v="9"/>
    <x v="8"/>
    <x v="0"/>
    <s v="-"/>
    <s v="53-63"/>
    <x v="0"/>
    <x v="177"/>
    <d v="2026-06-12T00:00:00"/>
    <n v="161"/>
    <n v="60"/>
  </r>
  <r>
    <s v="Степень зрелости"/>
    <m/>
    <n v="61"/>
    <x v="178"/>
    <x v="0"/>
    <m/>
    <n v="5300"/>
    <m/>
    <n v="4929"/>
    <x v="0"/>
    <s v="Фаворит"/>
    <x v="13"/>
    <s v="Чигрин Н.А."/>
    <m/>
    <m/>
    <m/>
    <m/>
    <s v="А819ЕВ"/>
    <m/>
    <x v="7"/>
    <x v="3"/>
    <n v="0.9"/>
    <x v="0"/>
    <s v="богара"/>
    <n v="9"/>
    <x v="8"/>
    <x v="0"/>
    <s v="-"/>
    <s v="53-63"/>
    <x v="0"/>
    <x v="178"/>
    <d v="2026-06-12T00:00:00"/>
    <n v="162"/>
    <n v="61"/>
  </r>
  <r>
    <s v="Степень зрелости"/>
    <m/>
    <n v="0"/>
    <x v="179"/>
    <x v="0"/>
    <m/>
    <n v="13440"/>
    <m/>
    <n v="11656"/>
    <x v="0"/>
    <s v="Авола"/>
    <x v="14"/>
    <s v="Фомин Николай Григорьевич"/>
    <m/>
    <m/>
    <m/>
    <m/>
    <s v="А731ВА"/>
    <m/>
    <x v="9"/>
    <x v="1"/>
    <n v="2"/>
    <x v="0"/>
    <s v="богара"/>
    <n v="9"/>
    <x v="8"/>
    <x v="17"/>
    <s v="ГРАНД-СТАР ООО"/>
    <s v="нет данных"/>
    <x v="0"/>
    <x v="179"/>
    <d v="2026-06-12T00:00:00"/>
    <s v="269/18"/>
    <n v="54"/>
  </r>
  <r>
    <s v="Степень зрелости"/>
    <m/>
    <n v="66"/>
    <x v="180"/>
    <x v="0"/>
    <m/>
    <n v="13750"/>
    <m/>
    <n v="12100"/>
    <x v="0"/>
    <s v="Авола"/>
    <x v="14"/>
    <s v="Жданов Андрей Иванович"/>
    <m/>
    <m/>
    <m/>
    <m/>
    <s v="С707ОУ"/>
    <m/>
    <x v="10"/>
    <x v="1"/>
    <n v="2.7"/>
    <x v="0"/>
    <s v="богара"/>
    <n v="9"/>
    <x v="8"/>
    <x v="0"/>
    <s v="-"/>
    <s v="64-66"/>
    <x v="1"/>
    <x v="180"/>
    <d v="2026-06-12T00:00:00"/>
    <n v="163"/>
    <n v="66"/>
  </r>
  <r>
    <s v="Степень зрелости"/>
    <m/>
    <n v="68"/>
    <x v="181"/>
    <x v="0"/>
    <m/>
    <n v="13270"/>
    <m/>
    <n v="12142.1"/>
    <x v="0"/>
    <s v="Авола"/>
    <x v="14"/>
    <s v="Гужва А М."/>
    <m/>
    <m/>
    <m/>
    <m/>
    <s v="Т285ВЕ"/>
    <m/>
    <x v="10"/>
    <x v="1"/>
    <n v="2.6"/>
    <x v="0"/>
    <s v="богара"/>
    <n v="9"/>
    <x v="8"/>
    <x v="0"/>
    <s v="-"/>
    <s v="67-85"/>
    <x v="1"/>
    <x v="181"/>
    <d v="2026-06-12T00:00:00"/>
    <n v="164"/>
    <n v="68"/>
  </r>
  <r>
    <s v="Степень зрелости"/>
    <m/>
    <n v="69"/>
    <x v="182"/>
    <x v="0"/>
    <m/>
    <n v="13220"/>
    <m/>
    <n v="11633.6"/>
    <x v="0"/>
    <s v="Авола"/>
    <x v="14"/>
    <s v="Сероштан Станислав Викторович"/>
    <m/>
    <m/>
    <m/>
    <m/>
    <s v="Е758РЕ"/>
    <m/>
    <x v="10"/>
    <x v="1"/>
    <n v="2.7"/>
    <x v="0"/>
    <s v="богара"/>
    <n v="9"/>
    <x v="8"/>
    <x v="0"/>
    <s v="-"/>
    <s v="67-85"/>
    <x v="1"/>
    <x v="182"/>
    <d v="2026-06-12T00:00:00"/>
    <n v="165"/>
    <n v="69"/>
  </r>
  <r>
    <s v="Степень зрелости"/>
    <m/>
    <n v="66"/>
    <x v="183"/>
    <x v="0"/>
    <m/>
    <n v="12760"/>
    <m/>
    <n v="10718.4"/>
    <x v="0"/>
    <s v="Авола"/>
    <x v="14"/>
    <s v="Чигрин Н.А."/>
    <m/>
    <m/>
    <m/>
    <m/>
    <s v="А819ЕВ"/>
    <m/>
    <x v="10"/>
    <x v="1"/>
    <n v="2.5"/>
    <x v="0"/>
    <s v="богара"/>
    <n v="9"/>
    <x v="8"/>
    <x v="0"/>
    <s v="-"/>
    <s v="64-66"/>
    <x v="1"/>
    <x v="183"/>
    <d v="2026-06-12T00:00:00"/>
    <n v="166"/>
    <n v="66"/>
  </r>
  <r>
    <s v="Степень зрелости"/>
    <m/>
    <n v="73"/>
    <x v="184"/>
    <x v="0"/>
    <m/>
    <n v="4640"/>
    <m/>
    <n v="4176"/>
    <x v="0"/>
    <s v="Авола"/>
    <x v="14"/>
    <s v="Сайко Владимир Николаевич"/>
    <m/>
    <m/>
    <m/>
    <m/>
    <s v="Т919РВ"/>
    <m/>
    <x v="10"/>
    <x v="1"/>
    <n v="0.9"/>
    <x v="0"/>
    <s v="богара"/>
    <n v="9"/>
    <x v="8"/>
    <x v="0"/>
    <s v="-"/>
    <s v="67-85"/>
    <x v="2"/>
    <x v="184"/>
    <d v="2026-06-12T00:00:00"/>
    <n v="167"/>
    <n v="73"/>
  </r>
  <r>
    <s v="Степень зрелости"/>
    <m/>
    <n v="65"/>
    <x v="185"/>
    <x v="0"/>
    <m/>
    <n v="13350"/>
    <m/>
    <n v="11481"/>
    <x v="0"/>
    <s v="Авола"/>
    <x v="15"/>
    <s v="Жданов Андрей Иванович"/>
    <m/>
    <m/>
    <m/>
    <m/>
    <s v="С707ОУ"/>
    <m/>
    <x v="10"/>
    <x v="1"/>
    <n v="2.6"/>
    <x v="0"/>
    <s v="богара"/>
    <n v="9"/>
    <x v="8"/>
    <x v="0"/>
    <s v="-"/>
    <s v="64-66"/>
    <x v="1"/>
    <x v="185"/>
    <d v="2026-06-12T00:00:00"/>
    <n v="168"/>
    <n v="65"/>
  </r>
  <r>
    <s v="Степень зрелости"/>
    <m/>
    <n v="65"/>
    <x v="186"/>
    <x v="0"/>
    <m/>
    <n v="13220"/>
    <m/>
    <n v="11435.3"/>
    <x v="0"/>
    <s v="Авола"/>
    <x v="14"/>
    <s v="Гужва А М."/>
    <m/>
    <m/>
    <m/>
    <m/>
    <s v="Т285ВЕ"/>
    <m/>
    <x v="9"/>
    <x v="1"/>
    <n v="2"/>
    <x v="0"/>
    <s v="богара"/>
    <n v="9"/>
    <x v="8"/>
    <x v="0"/>
    <s v="-"/>
    <s v="64-66"/>
    <x v="1"/>
    <x v="186"/>
    <d v="2026-06-12T00:00:00"/>
    <n v="169"/>
    <n v="65"/>
  </r>
  <r>
    <s v="Степень зрелости"/>
    <m/>
    <n v="0"/>
    <x v="187"/>
    <x v="0"/>
    <m/>
    <n v="17450"/>
    <m/>
    <n v="14772"/>
    <x v="0"/>
    <s v="Авола"/>
    <x v="14"/>
    <s v="Шаповалов Олег Анатольевич"/>
    <m/>
    <m/>
    <m/>
    <m/>
    <s v="М351СК"/>
    <m/>
    <x v="9"/>
    <x v="1"/>
    <n v="2.6"/>
    <x v="0"/>
    <s v="богара"/>
    <n v="9"/>
    <x v="8"/>
    <x v="18"/>
    <s v="ТПК ЮЖНЫЙ ПРОДУКТ ООО"/>
    <s v="нет данных"/>
    <x v="1"/>
    <x v="187"/>
    <d v="2026-06-13T00:00:00"/>
    <s v="277/19"/>
    <n v="69"/>
  </r>
  <r>
    <s v="Степень зрелости"/>
    <m/>
    <n v="64"/>
    <x v="188"/>
    <x v="0"/>
    <m/>
    <n v="12990"/>
    <m/>
    <n v="11171.4"/>
    <x v="0"/>
    <s v="Авола"/>
    <x v="15"/>
    <s v="Сероштан Станислав Викторович"/>
    <m/>
    <m/>
    <m/>
    <m/>
    <s v="Е758РЕ"/>
    <m/>
    <x v="9"/>
    <x v="1"/>
    <n v="1.9"/>
    <x v="0"/>
    <s v="богара"/>
    <n v="9"/>
    <x v="8"/>
    <x v="0"/>
    <s v="-"/>
    <s v="64-66"/>
    <x v="1"/>
    <x v="188"/>
    <d v="2026-06-13T00:00:00"/>
    <n v="170"/>
    <n v="64"/>
  </r>
  <r>
    <s v="Степень зрелости"/>
    <m/>
    <n v="65"/>
    <x v="189"/>
    <x v="0"/>
    <m/>
    <n v="4410"/>
    <m/>
    <n v="3991"/>
    <x v="0"/>
    <s v="Авола"/>
    <x v="15"/>
    <s v="Сайко Владимир Николаевич"/>
    <m/>
    <m/>
    <m/>
    <m/>
    <s v="Т919РВ"/>
    <m/>
    <x v="9"/>
    <x v="1"/>
    <n v="0.6"/>
    <x v="0"/>
    <s v="богара"/>
    <n v="9"/>
    <x v="8"/>
    <x v="0"/>
    <s v="-"/>
    <s v="64-66"/>
    <x v="1"/>
    <x v="189"/>
    <d v="2026-06-13T00:00:00"/>
    <n v="171"/>
    <n v="65"/>
  </r>
  <r>
    <s v="Степень зрелости"/>
    <m/>
    <n v="65"/>
    <x v="190"/>
    <x v="0"/>
    <m/>
    <n v="13150"/>
    <m/>
    <n v="11243.3"/>
    <x v="0"/>
    <s v="Авола"/>
    <x v="14"/>
    <s v="Чигрин Н.А."/>
    <m/>
    <m/>
    <m/>
    <m/>
    <s v="А819ЕВ"/>
    <m/>
    <x v="9"/>
    <x v="1"/>
    <n v="1.9"/>
    <x v="0"/>
    <s v="богара"/>
    <n v="9"/>
    <x v="8"/>
    <x v="0"/>
    <s v="-"/>
    <s v="64-66"/>
    <x v="1"/>
    <x v="190"/>
    <d v="2026-06-13T00:00:00"/>
    <n v="172"/>
    <n v="65"/>
  </r>
  <r>
    <s v="Степень зрелости"/>
    <m/>
    <n v="63"/>
    <x v="191"/>
    <x v="0"/>
    <m/>
    <n v="13300"/>
    <m/>
    <n v="11770.5"/>
    <x v="0"/>
    <s v="Авола"/>
    <x v="14"/>
    <s v="Жданов Андрей Иванович"/>
    <m/>
    <m/>
    <m/>
    <m/>
    <s v="С707ОУ"/>
    <m/>
    <x v="9"/>
    <x v="1"/>
    <n v="2"/>
    <x v="0"/>
    <s v="богара"/>
    <n v="9"/>
    <x v="8"/>
    <x v="0"/>
    <s v="-"/>
    <s v="53-63"/>
    <x v="1"/>
    <x v="191"/>
    <d v="2026-06-13T00:00:00"/>
    <n v="173"/>
    <n v="63"/>
  </r>
  <r>
    <s v="Степень зрелости"/>
    <m/>
    <n v="68"/>
    <x v="192"/>
    <x v="0"/>
    <m/>
    <n v="13360"/>
    <m/>
    <n v="11556.4"/>
    <x v="0"/>
    <s v="Авола"/>
    <x v="14"/>
    <s v="Гужва А М."/>
    <m/>
    <m/>
    <m/>
    <m/>
    <s v="Т285ВЕ"/>
    <m/>
    <x v="9"/>
    <x v="1"/>
    <n v="2"/>
    <x v="0"/>
    <s v="богара"/>
    <n v="9"/>
    <x v="8"/>
    <x v="0"/>
    <s v="-"/>
    <s v="67-85"/>
    <x v="1"/>
    <x v="192"/>
    <d v="2026-06-13T00:00:00"/>
    <n v="174"/>
    <n v="68"/>
  </r>
  <r>
    <s v="Степень зрелости"/>
    <m/>
    <n v="57"/>
    <x v="193"/>
    <x v="0"/>
    <m/>
    <n v="13090"/>
    <m/>
    <n v="11192"/>
    <x v="0"/>
    <s v="Авола"/>
    <x v="14"/>
    <s v="Рудик Александр Иванович"/>
    <m/>
    <m/>
    <m/>
    <m/>
    <s v="А309АТ"/>
    <m/>
    <x v="9"/>
    <x v="1"/>
    <n v="1.7"/>
    <x v="0"/>
    <s v="богара"/>
    <n v="10"/>
    <x v="9"/>
    <x v="0"/>
    <s v="-"/>
    <s v="53-63"/>
    <x v="0"/>
    <x v="193"/>
    <d v="2026-06-13T00:00:00"/>
    <n v="175"/>
    <n v="57"/>
  </r>
  <r>
    <s v="Степень зрелости"/>
    <m/>
    <n v="55"/>
    <x v="194"/>
    <x v="0"/>
    <m/>
    <n v="17660"/>
    <m/>
    <n v="16777"/>
    <x v="0"/>
    <s v="Авола"/>
    <x v="14"/>
    <s v="Володин Евгений Сергеевич"/>
    <m/>
    <m/>
    <m/>
    <m/>
    <s v="Н300УМ"/>
    <m/>
    <x v="9"/>
    <x v="1"/>
    <n v="2.2000000000000002"/>
    <x v="0"/>
    <s v="богара"/>
    <n v="10"/>
    <x v="9"/>
    <x v="19"/>
    <s v="Славянский консервный комбинат"/>
    <s v="53-63"/>
    <x v="0"/>
    <x v="194"/>
    <d v="2026-06-13T00:00:00"/>
    <s v="285/20"/>
    <n v="55"/>
  </r>
  <r>
    <s v="Степень зрелости"/>
    <m/>
    <n v="58"/>
    <x v="195"/>
    <x v="0"/>
    <m/>
    <n v="13190"/>
    <m/>
    <n v="10881.8"/>
    <x v="0"/>
    <s v="Авола"/>
    <x v="14"/>
    <s v="Черевко Александр Владимирович"/>
    <m/>
    <m/>
    <m/>
    <m/>
    <s v="А114МК"/>
    <m/>
    <x v="9"/>
    <x v="1"/>
    <n v="1.6"/>
    <x v="0"/>
    <s v="богара"/>
    <n v="10"/>
    <x v="9"/>
    <x v="0"/>
    <s v="-"/>
    <s v="53-63"/>
    <x v="0"/>
    <x v="195"/>
    <d v="2026-06-13T00:00:00"/>
    <n v="176"/>
    <n v="58"/>
  </r>
  <r>
    <s v="Степень зрелости"/>
    <m/>
    <n v="59"/>
    <x v="196"/>
    <x v="0"/>
    <m/>
    <n v="13240"/>
    <m/>
    <n v="11717.4"/>
    <x v="0"/>
    <s v="Авола"/>
    <x v="14"/>
    <s v="Богучарский А. И."/>
    <m/>
    <m/>
    <m/>
    <m/>
    <s v="А718ВХ"/>
    <m/>
    <x v="9"/>
    <x v="1"/>
    <n v="1.6"/>
    <x v="0"/>
    <s v="богара"/>
    <n v="10"/>
    <x v="9"/>
    <x v="0"/>
    <s v="-"/>
    <s v="53-63"/>
    <x v="0"/>
    <x v="196"/>
    <d v="2026-06-13T00:00:00"/>
    <n v="177"/>
    <n v="59"/>
  </r>
  <r>
    <s v="Степень зрелости"/>
    <m/>
    <n v="55"/>
    <x v="197"/>
    <x v="0"/>
    <m/>
    <n v="6690"/>
    <m/>
    <n v="5920.6"/>
    <x v="0"/>
    <s v="Авола"/>
    <x v="14"/>
    <s v="Гуйда Николай Николаевич"/>
    <m/>
    <m/>
    <m/>
    <m/>
    <s v="А816ЕВ"/>
    <m/>
    <x v="9"/>
    <x v="1"/>
    <n v="0.8"/>
    <x v="0"/>
    <s v="богара"/>
    <n v="10"/>
    <x v="9"/>
    <x v="0"/>
    <s v="-"/>
    <s v="53-63"/>
    <x v="0"/>
    <x v="197"/>
    <d v="2026-06-13T00:00:00"/>
    <n v="178"/>
    <n v="55"/>
  </r>
  <r>
    <s v="Степень зрелости"/>
    <m/>
    <n v="60"/>
    <x v="198"/>
    <x v="0"/>
    <m/>
    <n v="4470"/>
    <m/>
    <n v="3777.2"/>
    <x v="0"/>
    <s v="Авола"/>
    <x v="14"/>
    <s v="Роговской Роман Алексеевич"/>
    <m/>
    <m/>
    <m/>
    <m/>
    <s v="Т945РВ"/>
    <m/>
    <x v="9"/>
    <x v="1"/>
    <n v="0.6"/>
    <x v="0"/>
    <s v="богара"/>
    <n v="10"/>
    <x v="9"/>
    <x v="0"/>
    <s v="-"/>
    <s v="53-63"/>
    <x v="0"/>
    <x v="198"/>
    <d v="2026-06-13T00:00:00"/>
    <n v="179"/>
    <n v="60"/>
  </r>
  <r>
    <s v="Степень зрелости"/>
    <m/>
    <n v="57"/>
    <x v="199"/>
    <x v="0"/>
    <m/>
    <n v="19880"/>
    <m/>
    <n v="18688"/>
    <x v="0"/>
    <s v="Авола"/>
    <x v="14"/>
    <s v="Милахин Андрей Юрьевич"/>
    <m/>
    <m/>
    <m/>
    <m/>
    <s v="Т911ТХ"/>
    <m/>
    <x v="9"/>
    <x v="1"/>
    <n v="2.5"/>
    <x v="0"/>
    <s v="богара"/>
    <n v="10"/>
    <x v="9"/>
    <x v="20"/>
    <s v="Славянский консервный комбинат"/>
    <s v="53-63"/>
    <x v="0"/>
    <x v="199"/>
    <d v="2026-06-13T00:00:00"/>
    <s v="292/21"/>
    <n v="57"/>
  </r>
  <r>
    <s v="Степень зрелости"/>
    <m/>
    <n v="65"/>
    <x v="200"/>
    <x v="0"/>
    <m/>
    <n v="13410"/>
    <m/>
    <n v="11733.8"/>
    <x v="0"/>
    <s v="Авола"/>
    <x v="14"/>
    <s v="Черевко Александр Владимирович"/>
    <m/>
    <m/>
    <m/>
    <m/>
    <s v="А114МК"/>
    <m/>
    <x v="9"/>
    <x v="1"/>
    <n v="1.7"/>
    <x v="0"/>
    <s v="богара"/>
    <n v="10"/>
    <x v="9"/>
    <x v="0"/>
    <s v="-"/>
    <s v="64-66"/>
    <x v="0"/>
    <x v="200"/>
    <d v="2026-06-13T00:00:00"/>
    <n v="180"/>
    <n v="65"/>
  </r>
  <r>
    <s v="Степень зрелости"/>
    <m/>
    <n v="66"/>
    <x v="201"/>
    <x v="0"/>
    <m/>
    <n v="13270"/>
    <m/>
    <n v="12009.4"/>
    <x v="0"/>
    <s v="Авола"/>
    <x v="14"/>
    <s v="Рудик Александр Иванович"/>
    <m/>
    <m/>
    <m/>
    <m/>
    <s v="А309АТ"/>
    <m/>
    <x v="9"/>
    <x v="1"/>
    <n v="1.6"/>
    <x v="0"/>
    <s v="богара"/>
    <n v="10"/>
    <x v="9"/>
    <x v="0"/>
    <s v="-"/>
    <s v="64-66"/>
    <x v="0"/>
    <x v="201"/>
    <d v="2026-06-13T00:00:00"/>
    <n v="181"/>
    <n v="66"/>
  </r>
  <r>
    <s v="Степень зрелости"/>
    <m/>
    <n v="57"/>
    <x v="202"/>
    <x v="0"/>
    <m/>
    <n v="13000"/>
    <m/>
    <n v="10985"/>
    <x v="0"/>
    <s v="Авола"/>
    <x v="14"/>
    <s v="Гуйда Николай Николаевич"/>
    <m/>
    <m/>
    <m/>
    <m/>
    <s v="А816ЕВ"/>
    <m/>
    <x v="9"/>
    <x v="1"/>
    <n v="1.6"/>
    <x v="0"/>
    <s v="богара"/>
    <n v="10"/>
    <x v="9"/>
    <x v="0"/>
    <s v="-"/>
    <s v="53-63"/>
    <x v="0"/>
    <x v="202"/>
    <d v="2026-06-13T00:00:00"/>
    <n v="182"/>
    <n v="57"/>
  </r>
  <r>
    <s v="Степень зрелости"/>
    <m/>
    <n v="58"/>
    <x v="203"/>
    <x v="0"/>
    <m/>
    <n v="17550"/>
    <m/>
    <n v="16409"/>
    <x v="0"/>
    <s v="Авола"/>
    <x v="14"/>
    <s v="Станкевич Сергей Алексеевич"/>
    <m/>
    <m/>
    <m/>
    <m/>
    <s v="Н591УХ"/>
    <m/>
    <x v="9"/>
    <x v="1"/>
    <n v="2.2000000000000002"/>
    <x v="0"/>
    <s v="богара"/>
    <n v="10"/>
    <x v="9"/>
    <x v="21"/>
    <s v="Славянский консервный комбинат"/>
    <s v="53-63"/>
    <x v="0"/>
    <x v="203"/>
    <d v="2026-06-13T00:00:00"/>
    <s v="298/22"/>
    <n v="58"/>
  </r>
  <r>
    <s v="Степень зрелости"/>
    <m/>
    <n v="58"/>
    <x v="204"/>
    <x v="0"/>
    <m/>
    <n v="13140"/>
    <m/>
    <n v="10709.1"/>
    <x v="0"/>
    <s v="Авола"/>
    <x v="14"/>
    <s v="Богучарский А. И."/>
    <m/>
    <m/>
    <m/>
    <m/>
    <s v="А718ВХ"/>
    <m/>
    <x v="9"/>
    <x v="1"/>
    <n v="1.6"/>
    <x v="0"/>
    <s v="богара"/>
    <n v="10"/>
    <x v="9"/>
    <x v="0"/>
    <s v="-"/>
    <s v="53-63"/>
    <x v="0"/>
    <x v="204"/>
    <d v="2026-06-13T00:00:00"/>
    <n v="183"/>
    <n v="58"/>
  </r>
  <r>
    <s v="Степень зрелости"/>
    <m/>
    <n v="60"/>
    <x v="205"/>
    <x v="0"/>
    <m/>
    <n v="4200"/>
    <m/>
    <n v="3675"/>
    <x v="0"/>
    <s v="Авола"/>
    <x v="14"/>
    <s v="Роговской Роман Алексеевич"/>
    <m/>
    <m/>
    <m/>
    <m/>
    <s v="Т945РВ"/>
    <m/>
    <x v="9"/>
    <x v="1"/>
    <n v="0.5"/>
    <x v="0"/>
    <s v="богара"/>
    <n v="10"/>
    <x v="9"/>
    <x v="0"/>
    <s v="-"/>
    <s v="53-63"/>
    <x v="0"/>
    <x v="205"/>
    <d v="2026-06-13T00:00:00"/>
    <n v="184"/>
    <n v="60"/>
  </r>
  <r>
    <s v="Степень зрелости"/>
    <m/>
    <n v="65"/>
    <x v="206"/>
    <x v="0"/>
    <m/>
    <n v="12940"/>
    <m/>
    <n v="12098.9"/>
    <x v="0"/>
    <s v="Авола"/>
    <x v="14"/>
    <s v="Рудик Александр Иванович"/>
    <m/>
    <m/>
    <m/>
    <m/>
    <s v="А309АТ"/>
    <m/>
    <x v="9"/>
    <x v="1"/>
    <n v="1.6"/>
    <x v="0"/>
    <s v="богара"/>
    <n v="10"/>
    <x v="9"/>
    <x v="0"/>
    <s v="-"/>
    <s v="64-66"/>
    <x v="1"/>
    <x v="206"/>
    <d v="2026-06-13T00:00:00"/>
    <n v="185"/>
    <n v="65"/>
  </r>
  <r>
    <s v="Степень зрелости"/>
    <m/>
    <n v="70"/>
    <x v="207"/>
    <x v="0"/>
    <m/>
    <n v="12780"/>
    <m/>
    <n v="11821.5"/>
    <x v="0"/>
    <s v="Авола"/>
    <x v="14"/>
    <s v="Черевко Александр Владимирович"/>
    <m/>
    <m/>
    <m/>
    <m/>
    <s v="А114МК"/>
    <m/>
    <x v="9"/>
    <x v="1"/>
    <n v="1.6"/>
    <x v="0"/>
    <s v="богара"/>
    <n v="10"/>
    <x v="9"/>
    <x v="0"/>
    <s v="-"/>
    <s v="67-85"/>
    <x v="1"/>
    <x v="207"/>
    <d v="2026-06-13T00:00:00"/>
    <n v="186"/>
    <n v="70"/>
  </r>
  <r>
    <s v="Степень зрелости"/>
    <m/>
    <n v="65"/>
    <x v="208"/>
    <x v="0"/>
    <m/>
    <n v="12660"/>
    <m/>
    <n v="11710.5"/>
    <x v="0"/>
    <s v="Авола"/>
    <x v="14"/>
    <s v="Гуйда Николай Николаевич"/>
    <m/>
    <m/>
    <m/>
    <m/>
    <s v="А816ЕВ"/>
    <m/>
    <x v="9"/>
    <x v="1"/>
    <n v="1.6"/>
    <x v="0"/>
    <s v="богара"/>
    <n v="10"/>
    <x v="9"/>
    <x v="0"/>
    <s v="-"/>
    <s v="64-66"/>
    <x v="1"/>
    <x v="208"/>
    <d v="2026-06-13T00:00:00"/>
    <n v="187"/>
    <n v="65"/>
  </r>
  <r>
    <s v="Степень зрелости"/>
    <m/>
    <n v="64"/>
    <x v="209"/>
    <x v="0"/>
    <m/>
    <n v="2160"/>
    <m/>
    <n v="1998"/>
    <x v="0"/>
    <s v="Авола"/>
    <x v="14"/>
    <s v="Роговской Роман Алексеевич"/>
    <m/>
    <m/>
    <m/>
    <m/>
    <s v="Т945РВ"/>
    <m/>
    <x v="9"/>
    <x v="1"/>
    <n v="0.3"/>
    <x v="0"/>
    <s v="богара"/>
    <n v="10"/>
    <x v="9"/>
    <x v="0"/>
    <s v="-"/>
    <s v="64-66"/>
    <x v="1"/>
    <x v="209"/>
    <d v="2026-06-13T00:00:00"/>
    <n v="188"/>
    <n v="64"/>
  </r>
  <r>
    <s v="Степень зрелости"/>
    <m/>
    <n v="66"/>
    <x v="210"/>
    <x v="0"/>
    <m/>
    <n v="6790"/>
    <m/>
    <n v="6348.7"/>
    <x v="0"/>
    <s v="Авола"/>
    <x v="14"/>
    <s v="Богучарский А. И."/>
    <m/>
    <m/>
    <m/>
    <m/>
    <s v="А718ВХ"/>
    <m/>
    <x v="9"/>
    <x v="1"/>
    <n v="0.7"/>
    <x v="0"/>
    <s v="богара"/>
    <n v="10"/>
    <x v="9"/>
    <x v="0"/>
    <s v="-"/>
    <s v="64-66"/>
    <x v="1"/>
    <x v="210"/>
    <d v="2026-06-13T00:00:00"/>
    <n v="189"/>
    <n v="66"/>
  </r>
  <r>
    <s v="Степень зрелости"/>
    <m/>
    <n v="68"/>
    <x v="211"/>
    <x v="0"/>
    <m/>
    <n v="8700"/>
    <m/>
    <n v="8091"/>
    <x v="0"/>
    <s v="Авола"/>
    <x v="16"/>
    <s v="Магадиев Александр Сайлаувич"/>
    <m/>
    <m/>
    <m/>
    <m/>
    <s v="У184НО"/>
    <m/>
    <x v="11"/>
    <x v="1"/>
    <n v="1.1000000000000001"/>
    <x v="0"/>
    <s v="богара"/>
    <n v="11"/>
    <x v="10"/>
    <x v="0"/>
    <s v="-"/>
    <s v="67-85"/>
    <x v="1"/>
    <x v="211"/>
    <d v="2026-06-14T00:00:00"/>
    <n v="190"/>
    <n v="68"/>
  </r>
  <r>
    <s v="Степень зрелости"/>
    <m/>
    <n v="57"/>
    <x v="212"/>
    <x v="0"/>
    <m/>
    <n v="13510"/>
    <m/>
    <n v="10537.8"/>
    <x v="0"/>
    <s v="Авола"/>
    <x v="17"/>
    <s v="Кулинич Евгений Владимирович"/>
    <m/>
    <m/>
    <m/>
    <m/>
    <s v="У801СТ"/>
    <m/>
    <x v="11"/>
    <x v="1"/>
    <n v="1.8"/>
    <x v="0"/>
    <s v="богара"/>
    <n v="11"/>
    <x v="10"/>
    <x v="0"/>
    <s v="-"/>
    <s v="53-63"/>
    <x v="0"/>
    <x v="212"/>
    <d v="2026-06-14T00:00:00"/>
    <n v="191"/>
    <n v="57"/>
  </r>
  <r>
    <s v="Степень зрелости"/>
    <m/>
    <n v="57"/>
    <x v="213"/>
    <x v="0"/>
    <m/>
    <n v="13000"/>
    <m/>
    <n v="10270"/>
    <x v="0"/>
    <s v="Авола"/>
    <x v="17"/>
    <s v="Бербеницкий Сергей Николаевич"/>
    <m/>
    <m/>
    <m/>
    <m/>
    <s v="С400РР"/>
    <m/>
    <x v="11"/>
    <x v="1"/>
    <n v="1.7"/>
    <x v="0"/>
    <s v="богара"/>
    <n v="11"/>
    <x v="10"/>
    <x v="0"/>
    <s v="-"/>
    <s v="53-63"/>
    <x v="0"/>
    <x v="213"/>
    <d v="2026-06-14T00:00:00"/>
    <n v="192"/>
    <n v="57"/>
  </r>
  <r>
    <s v="Степень зрелости"/>
    <m/>
    <n v="55"/>
    <x v="214"/>
    <x v="0"/>
    <m/>
    <n v="13470"/>
    <m/>
    <n v="11382.1"/>
    <x v="0"/>
    <s v="Авола"/>
    <x v="18"/>
    <s v="Фомин Николай Григорьевич"/>
    <m/>
    <m/>
    <m/>
    <m/>
    <s v="А731ВА"/>
    <m/>
    <x v="11"/>
    <x v="1"/>
    <n v="1.8"/>
    <x v="0"/>
    <s v="богара"/>
    <n v="11"/>
    <x v="10"/>
    <x v="0"/>
    <s v="-"/>
    <s v="53-63"/>
    <x v="0"/>
    <x v="214"/>
    <d v="2026-06-14T00:00:00"/>
    <n v="193"/>
    <n v="55"/>
  </r>
  <r>
    <s v="Степень зрелости"/>
    <m/>
    <n v="56"/>
    <x v="215"/>
    <x v="0"/>
    <m/>
    <n v="4520"/>
    <m/>
    <n v="3593.4"/>
    <x v="0"/>
    <s v="Авола"/>
    <x v="18"/>
    <s v="Сайко Владимир Николаевич"/>
    <m/>
    <m/>
    <m/>
    <m/>
    <s v="Т919РВ"/>
    <m/>
    <x v="11"/>
    <x v="1"/>
    <n v="0.6"/>
    <x v="0"/>
    <s v="богара"/>
    <n v="11"/>
    <x v="10"/>
    <x v="0"/>
    <s v="-"/>
    <s v="53-63"/>
    <x v="0"/>
    <x v="215"/>
    <d v="2026-06-14T00:00:00"/>
    <n v="194"/>
    <n v="56"/>
  </r>
  <r>
    <s v="Степень зрелости"/>
    <m/>
    <n v="54"/>
    <x v="216"/>
    <x v="0"/>
    <m/>
    <n v="15620"/>
    <m/>
    <n v="13198.9"/>
    <x v="0"/>
    <s v="Авола"/>
    <x v="17"/>
    <s v="Магадиев Александр Сайлаувич"/>
    <m/>
    <m/>
    <m/>
    <m/>
    <s v="У184НО"/>
    <m/>
    <x v="11"/>
    <x v="1"/>
    <n v="2"/>
    <x v="0"/>
    <s v="богара"/>
    <n v="11"/>
    <x v="10"/>
    <x v="0"/>
    <s v="-"/>
    <s v="53-63"/>
    <x v="0"/>
    <x v="216"/>
    <d v="2026-06-14T00:00:00"/>
    <n v="195"/>
    <n v="54"/>
  </r>
  <r>
    <s v="Степень зрелости"/>
    <m/>
    <n v="64"/>
    <x v="217"/>
    <x v="0"/>
    <m/>
    <n v="12900"/>
    <m/>
    <n v="11158.5"/>
    <x v="0"/>
    <s v="Авола"/>
    <x v="16"/>
    <s v="Кулинич Евгений Владимирович"/>
    <m/>
    <m/>
    <m/>
    <m/>
    <s v="У801СТ"/>
    <m/>
    <x v="12"/>
    <x v="1"/>
    <n v="2.1"/>
    <x v="0"/>
    <s v="богара"/>
    <n v="11"/>
    <x v="10"/>
    <x v="0"/>
    <s v="-"/>
    <s v="64-66"/>
    <x v="1"/>
    <x v="217"/>
    <d v="2026-06-14T00:00:00"/>
    <n v="196"/>
    <n v="64"/>
  </r>
  <r>
    <s v="Степень зрелости"/>
    <m/>
    <n v="60"/>
    <x v="218"/>
    <x v="0"/>
    <m/>
    <n v="2210"/>
    <m/>
    <n v="1856.4"/>
    <x v="0"/>
    <s v="Авола"/>
    <x v="16"/>
    <s v="Сайко Владимир Николаевич"/>
    <m/>
    <m/>
    <m/>
    <m/>
    <s v="Т919РВ"/>
    <m/>
    <x v="12"/>
    <x v="1"/>
    <n v="0.4"/>
    <x v="0"/>
    <s v="богара"/>
    <n v="11"/>
    <x v="10"/>
    <x v="0"/>
    <s v="-"/>
    <s v="53-63"/>
    <x v="0"/>
    <x v="218"/>
    <d v="2026-06-14T00:00:00"/>
    <n v="197"/>
    <n v="60"/>
  </r>
  <r>
    <s v="Степень зрелости"/>
    <m/>
    <n v="63"/>
    <x v="219"/>
    <x v="0"/>
    <m/>
    <n v="14440"/>
    <m/>
    <n v="12562.8"/>
    <x v="0"/>
    <s v="Авола"/>
    <x v="16"/>
    <s v="Бербеницкий Сергей Николаевич"/>
    <m/>
    <m/>
    <m/>
    <m/>
    <s v="С400РР"/>
    <m/>
    <x v="12"/>
    <x v="1"/>
    <n v="2.4"/>
    <x v="0"/>
    <s v="богара"/>
    <n v="11"/>
    <x v="10"/>
    <x v="0"/>
    <s v="-"/>
    <s v="53-63"/>
    <x v="0"/>
    <x v="219"/>
    <d v="2026-06-14T00:00:00"/>
    <n v="198"/>
    <n v="63"/>
  </r>
  <r>
    <s v="Степень зрелости"/>
    <m/>
    <n v="64"/>
    <x v="220"/>
    <x v="0"/>
    <m/>
    <n v="14290"/>
    <m/>
    <n v="12718.1"/>
    <x v="0"/>
    <s v="Авола"/>
    <x v="16"/>
    <s v="Фомин Николай Григорьевич"/>
    <m/>
    <m/>
    <m/>
    <m/>
    <s v="А731ВА"/>
    <m/>
    <x v="12"/>
    <x v="1"/>
    <n v="2.2999999999999998"/>
    <x v="0"/>
    <s v="богара"/>
    <n v="11"/>
    <x v="10"/>
    <x v="0"/>
    <s v="-"/>
    <s v="64-66"/>
    <x v="0"/>
    <x v="220"/>
    <d v="2026-06-14T00:00:00"/>
    <n v="199"/>
    <n v="64"/>
  </r>
  <r>
    <s v="Степень зрелости"/>
    <m/>
    <n v="66"/>
    <x v="221"/>
    <x v="0"/>
    <m/>
    <n v="8620"/>
    <m/>
    <n v="7585.6"/>
    <x v="0"/>
    <s v="Авола"/>
    <x v="16"/>
    <s v="Магадиев Александр Сайлаувич"/>
    <m/>
    <m/>
    <m/>
    <m/>
    <s v="У184НО"/>
    <m/>
    <x v="12"/>
    <x v="1"/>
    <n v="1.4"/>
    <x v="0"/>
    <s v="богара"/>
    <n v="11"/>
    <x v="10"/>
    <x v="0"/>
    <s v="-"/>
    <s v="64-66"/>
    <x v="0"/>
    <x v="221"/>
    <d v="2026-06-14T00:00:00"/>
    <n v="200"/>
    <n v="66"/>
  </r>
  <r>
    <s v="Степень зрелости"/>
    <m/>
    <n v="69"/>
    <x v="222"/>
    <x v="0"/>
    <m/>
    <n v="8990"/>
    <m/>
    <n v="8001.1"/>
    <x v="0"/>
    <s v="Авола"/>
    <x v="16"/>
    <s v="Кулинич Евгений Владимирович"/>
    <m/>
    <m/>
    <m/>
    <m/>
    <s v="У801СТ"/>
    <m/>
    <x v="12"/>
    <x v="1"/>
    <n v="1.5"/>
    <x v="0"/>
    <s v="богара"/>
    <n v="11"/>
    <x v="10"/>
    <x v="0"/>
    <s v="-"/>
    <s v="67-85"/>
    <x v="1"/>
    <x v="222"/>
    <d v="2026-06-14T00:00:00"/>
    <n v="201"/>
    <n v="69"/>
  </r>
  <r>
    <s v="Степень зрелости"/>
    <m/>
    <n v="57"/>
    <x v="223"/>
    <x v="0"/>
    <m/>
    <n v="13110"/>
    <m/>
    <n v="10946.9"/>
    <x v="0"/>
    <s v="Авола"/>
    <x v="16"/>
    <s v="Бербеницкий Сергей Николаевич"/>
    <m/>
    <m/>
    <m/>
    <m/>
    <s v="С400РР"/>
    <m/>
    <x v="12"/>
    <x v="1"/>
    <n v="2.1"/>
    <x v="0"/>
    <s v="богара"/>
    <n v="11"/>
    <x v="10"/>
    <x v="0"/>
    <s v="-"/>
    <s v="53-63"/>
    <x v="0"/>
    <x v="223"/>
    <d v="2026-06-14T00:00:00"/>
    <n v="202"/>
    <n v="57"/>
  </r>
  <r>
    <s v="Степень зрелости"/>
    <m/>
    <n v="59"/>
    <x v="224"/>
    <x v="0"/>
    <m/>
    <n v="13130"/>
    <m/>
    <n v="10635.3"/>
    <x v="0"/>
    <s v="Авола"/>
    <x v="16"/>
    <s v="Фомин Николай Григорьевич"/>
    <m/>
    <m/>
    <m/>
    <m/>
    <s v="А731ВА"/>
    <m/>
    <x v="12"/>
    <x v="1"/>
    <n v="2.1"/>
    <x v="0"/>
    <s v="богара"/>
    <n v="11"/>
    <x v="10"/>
    <x v="0"/>
    <s v="-"/>
    <s v="53-63"/>
    <x v="0"/>
    <x v="224"/>
    <d v="2026-06-14T00:00:00"/>
    <n v="203"/>
    <n v="59"/>
  </r>
  <r>
    <s v="Степень зрелости"/>
    <m/>
    <n v="62"/>
    <x v="225"/>
    <x v="0"/>
    <m/>
    <n v="12750"/>
    <m/>
    <n v="10965"/>
    <x v="0"/>
    <s v="Авола"/>
    <x v="16"/>
    <s v="Магадиев Александр Сайлаувич"/>
    <m/>
    <m/>
    <m/>
    <m/>
    <s v="У184НО"/>
    <m/>
    <x v="12"/>
    <x v="1"/>
    <n v="2.1"/>
    <x v="0"/>
    <s v="богара"/>
    <n v="11"/>
    <x v="10"/>
    <x v="0"/>
    <s v="-"/>
    <s v="53-63"/>
    <x v="0"/>
    <x v="225"/>
    <d v="2026-06-14T00:00:00"/>
    <n v="204"/>
    <n v="62"/>
  </r>
  <r>
    <s v="Степень зрелости"/>
    <m/>
    <n v="62"/>
    <x v="226"/>
    <x v="0"/>
    <m/>
    <n v="12750"/>
    <m/>
    <n v="11092.5"/>
    <x v="0"/>
    <s v="Авола"/>
    <x v="19"/>
    <s v="Кулинич Евгений Владимирович"/>
    <m/>
    <m/>
    <m/>
    <m/>
    <s v="У801СТ"/>
    <m/>
    <x v="12"/>
    <x v="1"/>
    <n v="2.1"/>
    <x v="0"/>
    <s v="богара"/>
    <n v="11"/>
    <x v="10"/>
    <x v="0"/>
    <s v="-"/>
    <s v="53-63"/>
    <x v="0"/>
    <x v="226"/>
    <d v="2026-06-14T00:00:00"/>
    <n v="205"/>
    <n v="62"/>
  </r>
  <r>
    <s v="Степень зрелости"/>
    <m/>
    <n v="63"/>
    <x v="227"/>
    <x v="0"/>
    <m/>
    <n v="12440"/>
    <m/>
    <n v="10574"/>
    <x v="0"/>
    <s v="Авола"/>
    <x v="16"/>
    <s v="Бербеницкий Сергей Николаевич"/>
    <m/>
    <m/>
    <m/>
    <m/>
    <s v="С400РР"/>
    <m/>
    <x v="12"/>
    <x v="1"/>
    <n v="2"/>
    <x v="0"/>
    <s v="богара"/>
    <n v="11"/>
    <x v="10"/>
    <x v="0"/>
    <s v="-"/>
    <s v="53-63"/>
    <x v="0"/>
    <x v="227"/>
    <d v="2026-06-14T00:00:00"/>
    <n v="206"/>
    <n v="63"/>
  </r>
  <r>
    <s v="Степень зрелости"/>
    <m/>
    <n v="67"/>
    <x v="228"/>
    <x v="0"/>
    <m/>
    <n v="12820"/>
    <m/>
    <n v="10704.7"/>
    <x v="0"/>
    <s v="Авола"/>
    <x v="19"/>
    <s v="Фомин Николай Григорьевич"/>
    <m/>
    <m/>
    <m/>
    <m/>
    <s v="А731ВА"/>
    <m/>
    <x v="12"/>
    <x v="1"/>
    <n v="2.1"/>
    <x v="0"/>
    <s v="богара"/>
    <n v="11"/>
    <x v="10"/>
    <x v="0"/>
    <s v="-"/>
    <s v="67-85"/>
    <x v="1"/>
    <x v="228"/>
    <d v="2026-06-14T00:00:00"/>
    <n v="207"/>
    <n v="67"/>
  </r>
  <r>
    <s v="Степень зрелости"/>
    <m/>
    <n v="65"/>
    <x v="229"/>
    <x v="0"/>
    <m/>
    <n v="12280"/>
    <m/>
    <n v="10990.6"/>
    <x v="0"/>
    <s v="Авола"/>
    <x v="19"/>
    <s v="Магадиев Александр Сайлаувич"/>
    <m/>
    <m/>
    <m/>
    <m/>
    <s v="У184НО"/>
    <m/>
    <x v="12"/>
    <x v="1"/>
    <n v="2"/>
    <x v="0"/>
    <s v="богара"/>
    <n v="11"/>
    <x v="10"/>
    <x v="0"/>
    <s v="-"/>
    <s v="64-66"/>
    <x v="0"/>
    <x v="229"/>
    <d v="2026-06-15T00:00:00"/>
    <n v="208"/>
    <n v="65"/>
  </r>
  <r>
    <s v="Степень зрелости"/>
    <m/>
    <n v="67"/>
    <x v="230"/>
    <x v="0"/>
    <m/>
    <n v="12820"/>
    <m/>
    <n v="10448.299999999999"/>
    <x v="0"/>
    <s v="Авола"/>
    <x v="16"/>
    <s v="Кулинич Евгений Владимирович"/>
    <m/>
    <m/>
    <m/>
    <m/>
    <s v="У801СТ"/>
    <m/>
    <x v="12"/>
    <x v="1"/>
    <n v="2.1"/>
    <x v="0"/>
    <s v="богара"/>
    <n v="11"/>
    <x v="10"/>
    <x v="0"/>
    <s v="-"/>
    <s v="67-85"/>
    <x v="1"/>
    <x v="230"/>
    <d v="2026-06-15T00:00:00"/>
    <n v="209"/>
    <n v="67"/>
  </r>
  <r>
    <s v="Степень зрелости"/>
    <m/>
    <n v="65"/>
    <x v="231"/>
    <x v="0"/>
    <m/>
    <n v="13070"/>
    <m/>
    <n v="11305.6"/>
    <x v="0"/>
    <s v="Авола"/>
    <x v="16"/>
    <s v="Бербеницкий Сергей Николаевич"/>
    <m/>
    <m/>
    <m/>
    <m/>
    <s v="С400РР"/>
    <m/>
    <x v="12"/>
    <x v="1"/>
    <n v="2.1"/>
    <x v="0"/>
    <s v="богара"/>
    <n v="11"/>
    <x v="10"/>
    <x v="0"/>
    <s v="-"/>
    <s v="64-66"/>
    <x v="1"/>
    <x v="231"/>
    <d v="2026-06-15T00:00:00"/>
    <n v="210"/>
    <n v="65"/>
  </r>
  <r>
    <s v="Степень зрелости"/>
    <m/>
    <n v="63"/>
    <x v="232"/>
    <x v="0"/>
    <m/>
    <n v="12580"/>
    <m/>
    <n v="10378.5"/>
    <x v="0"/>
    <s v="Авола"/>
    <x v="16"/>
    <s v="Фомин Николай Григорьевич"/>
    <m/>
    <m/>
    <m/>
    <m/>
    <s v="А731ВА"/>
    <m/>
    <x v="12"/>
    <x v="1"/>
    <n v="2"/>
    <x v="0"/>
    <s v="богара"/>
    <n v="11"/>
    <x v="10"/>
    <x v="0"/>
    <s v="-"/>
    <s v="53-63"/>
    <x v="1"/>
    <x v="232"/>
    <d v="2026-06-15T00:00:00"/>
    <n v="211"/>
    <n v="63"/>
  </r>
  <r>
    <s v="Степень зрелости"/>
    <m/>
    <n v="68"/>
    <x v="233"/>
    <x v="0"/>
    <m/>
    <n v="12910"/>
    <m/>
    <n v="11038"/>
    <x v="0"/>
    <s v="Авола"/>
    <x v="19"/>
    <s v="Магадиев Александр Сайлаувич"/>
    <m/>
    <m/>
    <m/>
    <m/>
    <s v="У184НО"/>
    <m/>
    <x v="12"/>
    <x v="1"/>
    <n v="2.1"/>
    <x v="0"/>
    <s v="богара"/>
    <n v="11"/>
    <x v="10"/>
    <x v="0"/>
    <s v="-"/>
    <s v="67-85"/>
    <x v="1"/>
    <x v="233"/>
    <d v="2026-06-15T00:00:00"/>
    <n v="212"/>
    <n v="68"/>
  </r>
  <r>
    <m/>
    <m/>
    <n v="66"/>
    <x v="234"/>
    <x v="0"/>
    <m/>
    <n v="12840"/>
    <m/>
    <n v="10464.6"/>
    <x v="0"/>
    <s v="Авола"/>
    <x v="16"/>
    <s v="Кулинич Евгений Владимирович"/>
    <m/>
    <m/>
    <m/>
    <m/>
    <s v="У801СТ"/>
    <m/>
    <x v="12"/>
    <x v="1"/>
    <n v="2.1"/>
    <x v="0"/>
    <s v="богара"/>
    <n v="11"/>
    <x v="10"/>
    <x v="0"/>
    <s v="-"/>
    <s v="64-66"/>
    <x v="1"/>
    <x v="234"/>
    <d v="2026-06-15T00:00:00"/>
    <n v="213"/>
    <n v="66"/>
  </r>
  <r>
    <m/>
    <m/>
    <n v="62"/>
    <x v="235"/>
    <x v="0"/>
    <m/>
    <n v="12900"/>
    <m/>
    <n v="10642.5"/>
    <x v="0"/>
    <s v="Авола"/>
    <x v="19"/>
    <s v="Черевко Александр Владимирович"/>
    <m/>
    <m/>
    <m/>
    <m/>
    <s v="А114МК"/>
    <m/>
    <x v="12"/>
    <x v="1"/>
    <n v="3.1"/>
    <x v="0"/>
    <s v="богара"/>
    <n v="12"/>
    <x v="11"/>
    <x v="0"/>
    <s v="-"/>
    <s v="53-63"/>
    <x v="0"/>
    <x v="235"/>
    <d v="2026-06-15T00:00:00"/>
    <n v="214"/>
    <n v="62"/>
  </r>
  <r>
    <s v="Степень зрелости"/>
    <m/>
    <n v="62"/>
    <x v="236"/>
    <x v="0"/>
    <m/>
    <n v="13350"/>
    <m/>
    <n v="10880.3"/>
    <x v="0"/>
    <s v="Авола"/>
    <x v="16"/>
    <s v="Кудря Евгений"/>
    <m/>
    <m/>
    <m/>
    <m/>
    <s v="А719ОО"/>
    <m/>
    <x v="12"/>
    <x v="1"/>
    <n v="3.2"/>
    <x v="0"/>
    <s v="богара"/>
    <n v="12"/>
    <x v="11"/>
    <x v="0"/>
    <s v="-"/>
    <s v="53-63"/>
    <x v="0"/>
    <x v="236"/>
    <d v="2026-06-15T00:00:00"/>
    <n v="215"/>
    <n v="62"/>
  </r>
  <r>
    <s v="Степень зрелости"/>
    <m/>
    <n v="58"/>
    <x v="237"/>
    <x v="0"/>
    <m/>
    <n v="13220"/>
    <m/>
    <n v="10840.4"/>
    <x v="0"/>
    <s v="Авола"/>
    <x v="16"/>
    <s v="Богучарский А. И."/>
    <m/>
    <m/>
    <m/>
    <m/>
    <s v="А718ВХ"/>
    <m/>
    <x v="12"/>
    <x v="1"/>
    <n v="3.2"/>
    <x v="0"/>
    <s v="богара"/>
    <n v="12"/>
    <x v="11"/>
    <x v="0"/>
    <s v="-"/>
    <s v="53-63"/>
    <x v="0"/>
    <x v="237"/>
    <d v="2026-06-15T00:00:00"/>
    <n v="216"/>
    <n v="58"/>
  </r>
  <r>
    <s v="Степень зрелости"/>
    <m/>
    <n v="66"/>
    <x v="238"/>
    <x v="0"/>
    <m/>
    <n v="13280"/>
    <m/>
    <n v="11620"/>
    <x v="0"/>
    <s v="Авола"/>
    <x v="16"/>
    <s v="Гуйда Николай Николаевич"/>
    <m/>
    <m/>
    <m/>
    <m/>
    <s v="А816ЕВ"/>
    <m/>
    <x v="12"/>
    <x v="1"/>
    <n v="3.2"/>
    <x v="0"/>
    <s v="богара"/>
    <n v="12"/>
    <x v="11"/>
    <x v="0"/>
    <s v="-"/>
    <s v="64-66"/>
    <x v="1"/>
    <x v="238"/>
    <d v="2026-06-15T00:00:00"/>
    <n v="217"/>
    <n v="66"/>
  </r>
  <r>
    <s v="Степень зрелости"/>
    <m/>
    <n v="67"/>
    <x v="239"/>
    <x v="0"/>
    <m/>
    <n v="4450"/>
    <m/>
    <n v="3982.8"/>
    <x v="0"/>
    <s v="Авола"/>
    <x v="16"/>
    <s v="Роговской Роман Алексеевич"/>
    <m/>
    <m/>
    <m/>
    <m/>
    <s v="Т945РВ"/>
    <m/>
    <x v="12"/>
    <x v="1"/>
    <n v="1.1000000000000001"/>
    <x v="0"/>
    <s v="богара"/>
    <n v="12"/>
    <x v="11"/>
    <x v="0"/>
    <s v="-"/>
    <s v="67-85"/>
    <x v="1"/>
    <x v="239"/>
    <d v="2026-06-15T00:00:00"/>
    <n v="218"/>
    <n v="67"/>
  </r>
  <r>
    <s v="Степень зрелости"/>
    <m/>
    <n v="69"/>
    <x v="240"/>
    <x v="0"/>
    <m/>
    <n v="13650"/>
    <m/>
    <n v="11875.5"/>
    <x v="0"/>
    <s v="Авола"/>
    <x v="16"/>
    <s v="Черевко Александр Владимирович"/>
    <m/>
    <m/>
    <m/>
    <m/>
    <s v="А114МК"/>
    <m/>
    <x v="12"/>
    <x v="1"/>
    <n v="3.2"/>
    <x v="0"/>
    <s v="богара"/>
    <n v="12"/>
    <x v="11"/>
    <x v="0"/>
    <s v="-"/>
    <s v="67-85"/>
    <x v="1"/>
    <x v="240"/>
    <d v="2026-06-15T00:00:00"/>
    <n v="219"/>
    <n v="69"/>
  </r>
  <r>
    <s v="Степень зрелости"/>
    <m/>
    <n v="56"/>
    <x v="241"/>
    <x v="0"/>
    <m/>
    <n v="13410"/>
    <m/>
    <n v="11197.3"/>
    <x v="0"/>
    <s v="Авола"/>
    <x v="18"/>
    <s v="Кудря Евгений"/>
    <m/>
    <m/>
    <m/>
    <m/>
    <s v="А719ОО"/>
    <m/>
    <x v="11"/>
    <x v="1"/>
    <n v="3"/>
    <x v="0"/>
    <s v="богара"/>
    <n v="12"/>
    <x v="11"/>
    <x v="0"/>
    <s v="-"/>
    <s v="53-63"/>
    <x v="0"/>
    <x v="241"/>
    <d v="2026-06-15T00:00:00"/>
    <n v="220"/>
    <n v="56"/>
  </r>
  <r>
    <s v="Степень зрелости"/>
    <m/>
    <n v="62"/>
    <x v="242"/>
    <x v="0"/>
    <m/>
    <n v="13300"/>
    <m/>
    <n v="11903.5"/>
    <x v="0"/>
    <s v="Авола"/>
    <x v="18"/>
    <s v="Богучарский А. И."/>
    <m/>
    <m/>
    <m/>
    <m/>
    <s v="А718ВХ"/>
    <m/>
    <x v="11"/>
    <x v="1"/>
    <n v="3"/>
    <x v="0"/>
    <s v="богара"/>
    <n v="12"/>
    <x v="11"/>
    <x v="0"/>
    <s v="-"/>
    <s v="53-63"/>
    <x v="0"/>
    <x v="242"/>
    <d v="2026-06-15T00:00:00"/>
    <n v="221"/>
    <n v="62"/>
  </r>
  <r>
    <s v="Степень зрелости"/>
    <m/>
    <n v="59"/>
    <x v="243"/>
    <x v="0"/>
    <m/>
    <n v="13120"/>
    <m/>
    <n v="10496"/>
    <x v="0"/>
    <s v="Авола"/>
    <x v="17"/>
    <s v="Гуйда Николай Николаевич"/>
    <m/>
    <m/>
    <m/>
    <m/>
    <s v="А816ЕВ"/>
    <m/>
    <x v="11"/>
    <x v="1"/>
    <n v="2.9"/>
    <x v="0"/>
    <s v="богара"/>
    <n v="12"/>
    <x v="11"/>
    <x v="0"/>
    <s v="-"/>
    <s v="53-63"/>
    <x v="0"/>
    <x v="243"/>
    <d v="2026-06-15T00:00:00"/>
    <n v="222"/>
    <n v="59"/>
  </r>
  <r>
    <s v="Степень зрелости"/>
    <m/>
    <n v="64"/>
    <x v="244"/>
    <x v="0"/>
    <m/>
    <n v="4430"/>
    <m/>
    <n v="3964.9"/>
    <x v="0"/>
    <s v="Авола"/>
    <x v="17"/>
    <s v="Роговской Роман Алексеевич"/>
    <m/>
    <m/>
    <m/>
    <m/>
    <s v="Т945РВ"/>
    <m/>
    <x v="11"/>
    <x v="1"/>
    <n v="1"/>
    <x v="0"/>
    <s v="богара"/>
    <n v="12"/>
    <x v="11"/>
    <x v="0"/>
    <s v="-"/>
    <s v="64-66"/>
    <x v="1"/>
    <x v="244"/>
    <d v="2026-06-15T00:00:00"/>
    <n v="223"/>
    <n v="64"/>
  </r>
  <r>
    <s v="Степень зрелости"/>
    <m/>
    <n v="63"/>
    <x v="245"/>
    <x v="0"/>
    <m/>
    <n v="13420"/>
    <m/>
    <n v="11809.6"/>
    <x v="0"/>
    <s v="Авола"/>
    <x v="17"/>
    <s v="Черевко Александр Владимирович"/>
    <m/>
    <m/>
    <m/>
    <m/>
    <s v="А114МК"/>
    <m/>
    <x v="11"/>
    <x v="1"/>
    <n v="3"/>
    <x v="0"/>
    <s v="богара"/>
    <n v="12"/>
    <x v="11"/>
    <x v="0"/>
    <s v="-"/>
    <s v="53-63"/>
    <x v="0"/>
    <x v="245"/>
    <d v="2026-06-15T00:00:00"/>
    <n v="224"/>
    <n v="63"/>
  </r>
  <r>
    <s v="Степень зрелости"/>
    <m/>
    <n v="65"/>
    <x v="246"/>
    <x v="0"/>
    <m/>
    <n v="13190"/>
    <m/>
    <n v="11673.2"/>
    <x v="0"/>
    <s v="Авола"/>
    <x v="17"/>
    <s v="Кудря Евгений"/>
    <m/>
    <m/>
    <m/>
    <m/>
    <s v="А719ОО"/>
    <m/>
    <x v="11"/>
    <x v="1"/>
    <n v="2.9"/>
    <x v="0"/>
    <s v="богара"/>
    <n v="12"/>
    <x v="11"/>
    <x v="0"/>
    <s v="-"/>
    <s v="64-66"/>
    <x v="1"/>
    <x v="246"/>
    <d v="2026-06-15T00:00:00"/>
    <n v="225"/>
    <n v="65"/>
  </r>
  <r>
    <s v="Степень зрелости"/>
    <m/>
    <n v="63"/>
    <x v="247"/>
    <x v="0"/>
    <m/>
    <n v="13330"/>
    <m/>
    <n v="11463.8"/>
    <x v="0"/>
    <s v="Авола"/>
    <x v="17"/>
    <s v="Богучарский А. И."/>
    <m/>
    <m/>
    <m/>
    <m/>
    <s v="А718ВХ"/>
    <m/>
    <x v="11"/>
    <x v="1"/>
    <n v="3"/>
    <x v="0"/>
    <s v="богара"/>
    <n v="12"/>
    <x v="11"/>
    <x v="0"/>
    <s v="-"/>
    <s v="53-63"/>
    <x v="1"/>
    <x v="247"/>
    <d v="2026-06-15T00:00:00"/>
    <n v="226"/>
    <n v="63"/>
  </r>
  <r>
    <s v="Степень зрелости"/>
    <m/>
    <n v="59"/>
    <x v="248"/>
    <x v="0"/>
    <m/>
    <n v="13160"/>
    <m/>
    <n v="11712.4"/>
    <x v="0"/>
    <s v="Авола"/>
    <x v="17"/>
    <s v="Гуйда Николай Николаевич"/>
    <m/>
    <m/>
    <m/>
    <m/>
    <s v="А816ЕВ"/>
    <m/>
    <x v="11"/>
    <x v="1"/>
    <n v="2.9"/>
    <x v="0"/>
    <s v="богара"/>
    <n v="12"/>
    <x v="11"/>
    <x v="0"/>
    <s v="-"/>
    <s v="53-63"/>
    <x v="0"/>
    <x v="248"/>
    <d v="2026-06-15T00:00:00"/>
    <n v="227"/>
    <n v="59"/>
  </r>
  <r>
    <s v="Степень зрелости"/>
    <m/>
    <n v="65"/>
    <x v="249"/>
    <x v="0"/>
    <m/>
    <n v="4340"/>
    <m/>
    <n v="3797.5"/>
    <x v="0"/>
    <s v="Авола"/>
    <x v="17"/>
    <s v="Роговской Роман Алексеевич"/>
    <m/>
    <m/>
    <m/>
    <m/>
    <s v="Т945РВ"/>
    <m/>
    <x v="11"/>
    <x v="1"/>
    <n v="1"/>
    <x v="0"/>
    <s v="богара"/>
    <n v="12"/>
    <x v="11"/>
    <x v="0"/>
    <s v="-"/>
    <s v="64-66"/>
    <x v="1"/>
    <x v="249"/>
    <d v="2026-06-15T00:00:00"/>
    <n v="228"/>
    <n v="65"/>
  </r>
  <r>
    <s v="Степень зрелости"/>
    <m/>
    <n v="62"/>
    <x v="250"/>
    <x v="0"/>
    <m/>
    <n v="13300"/>
    <m/>
    <n v="11970"/>
    <x v="0"/>
    <s v="Авола"/>
    <x v="17"/>
    <s v="Черевко Александр Владимирович"/>
    <m/>
    <m/>
    <m/>
    <m/>
    <s v="А114МК"/>
    <m/>
    <x v="11"/>
    <x v="1"/>
    <n v="3"/>
    <x v="0"/>
    <s v="богара"/>
    <n v="12"/>
    <x v="11"/>
    <x v="0"/>
    <s v="-"/>
    <s v="53-63"/>
    <x v="0"/>
    <x v="250"/>
    <d v="2026-06-15T00:00:00"/>
    <n v="229"/>
    <n v="62"/>
  </r>
  <r>
    <s v="Степень зрелости"/>
    <m/>
    <n v="60"/>
    <x v="251"/>
    <x v="0"/>
    <m/>
    <n v="13180"/>
    <m/>
    <n v="11862"/>
    <x v="0"/>
    <s v="Авола"/>
    <x v="17"/>
    <s v="Кудря Евгений"/>
    <m/>
    <m/>
    <m/>
    <m/>
    <s v="А719ОО"/>
    <m/>
    <x v="11"/>
    <x v="1"/>
    <n v="2.9"/>
    <x v="0"/>
    <s v="богара"/>
    <n v="12"/>
    <x v="11"/>
    <x v="0"/>
    <s v="-"/>
    <s v="53-63"/>
    <x v="0"/>
    <x v="251"/>
    <d v="2026-06-16T00:00:00"/>
    <n v="230"/>
    <n v="60"/>
  </r>
  <r>
    <s v="Степень зрелости"/>
    <m/>
    <n v="56"/>
    <x v="252"/>
    <x v="0"/>
    <m/>
    <n v="13350"/>
    <m/>
    <n v="11080.5"/>
    <x v="0"/>
    <s v="Авола"/>
    <x v="17"/>
    <s v="Богучарский А. И."/>
    <m/>
    <m/>
    <m/>
    <m/>
    <s v="А718ВХ"/>
    <m/>
    <x v="11"/>
    <x v="1"/>
    <n v="3"/>
    <x v="0"/>
    <s v="богара"/>
    <n v="12"/>
    <x v="11"/>
    <x v="0"/>
    <s v="-"/>
    <s v="53-63"/>
    <x v="0"/>
    <x v="252"/>
    <d v="2026-06-16T00:00:00"/>
    <n v="231"/>
    <n v="56"/>
  </r>
  <r>
    <s v="Степень зрелости"/>
    <m/>
    <n v="61"/>
    <x v="253"/>
    <x v="0"/>
    <m/>
    <n v="13360"/>
    <m/>
    <n v="11088.8"/>
    <x v="0"/>
    <s v="Авола"/>
    <x v="17"/>
    <s v="Гуйда Николай Николаевич"/>
    <m/>
    <m/>
    <m/>
    <m/>
    <s v="А816ЕВ"/>
    <m/>
    <x v="11"/>
    <x v="1"/>
    <n v="3"/>
    <x v="0"/>
    <s v="богара"/>
    <n v="12"/>
    <x v="11"/>
    <x v="0"/>
    <s v="-"/>
    <s v="53-63"/>
    <x v="0"/>
    <x v="253"/>
    <d v="2026-06-16T00:00:00"/>
    <n v="232"/>
    <n v="61"/>
  </r>
  <r>
    <s v="Степень зрелости"/>
    <m/>
    <n v="60"/>
    <x v="254"/>
    <x v="0"/>
    <m/>
    <n v="4340"/>
    <m/>
    <n v="3906"/>
    <x v="0"/>
    <s v="Авола"/>
    <x v="17"/>
    <s v="Роговской Роман Алексеевич"/>
    <m/>
    <m/>
    <m/>
    <m/>
    <s v="Т945РВ"/>
    <m/>
    <x v="11"/>
    <x v="1"/>
    <n v="1"/>
    <x v="0"/>
    <s v="богара"/>
    <n v="12"/>
    <x v="11"/>
    <x v="0"/>
    <s v="-"/>
    <s v="53-63"/>
    <x v="0"/>
    <x v="254"/>
    <d v="2026-06-16T00:00:00"/>
    <n v="233"/>
    <n v="60"/>
  </r>
  <r>
    <s v="Степень зрелости"/>
    <m/>
    <n v="60"/>
    <x v="255"/>
    <x v="0"/>
    <m/>
    <n v="13460"/>
    <m/>
    <n v="11642.9"/>
    <x v="0"/>
    <s v="Авола"/>
    <x v="18"/>
    <s v="Черевко Александр Владимирович"/>
    <m/>
    <m/>
    <m/>
    <m/>
    <s v="А114МК"/>
    <m/>
    <x v="11"/>
    <x v="1"/>
    <n v="3"/>
    <x v="0"/>
    <s v="богара"/>
    <n v="12"/>
    <x v="11"/>
    <x v="0"/>
    <s v="-"/>
    <s v="53-63"/>
    <x v="0"/>
    <x v="255"/>
    <d v="2026-06-16T00:00:00"/>
    <n v="234"/>
    <n v="60"/>
  </r>
  <r>
    <s v="Степень зрелости"/>
    <m/>
    <n v="60"/>
    <x v="256"/>
    <x v="0"/>
    <m/>
    <n v="13050"/>
    <m/>
    <n v="11614.5"/>
    <x v="0"/>
    <s v="Авола"/>
    <x v="17"/>
    <s v="Кудря Евгений"/>
    <m/>
    <m/>
    <m/>
    <m/>
    <s v="А719ОО"/>
    <m/>
    <x v="11"/>
    <x v="1"/>
    <n v="2.9"/>
    <x v="0"/>
    <s v="богара"/>
    <n v="12"/>
    <x v="11"/>
    <x v="0"/>
    <s v="-"/>
    <s v="53-63"/>
    <x v="0"/>
    <x v="256"/>
    <d v="2026-06-16T00:00:00"/>
    <n v="235"/>
    <n v="60"/>
  </r>
  <r>
    <s v="Степень зрелости"/>
    <m/>
    <n v="63"/>
    <x v="257"/>
    <x v="0"/>
    <m/>
    <n v="18130"/>
    <m/>
    <n v="16589"/>
    <x v="0"/>
    <s v="Авола"/>
    <x v="17"/>
    <s v="Богучарский А. И."/>
    <m/>
    <m/>
    <m/>
    <m/>
    <s v="А718ВХ"/>
    <m/>
    <x v="11"/>
    <x v="1"/>
    <n v="4"/>
    <x v="0"/>
    <s v="богара"/>
    <n v="12"/>
    <x v="11"/>
    <x v="0"/>
    <s v="-"/>
    <s v="53-63"/>
    <x v="0"/>
    <x v="257"/>
    <d v="2026-06-16T00:00:00"/>
    <n v="236"/>
    <n v="63"/>
  </r>
  <r>
    <s v="Степень зрелости"/>
    <m/>
    <n v="62"/>
    <x v="258"/>
    <x v="0"/>
    <m/>
    <n v="13350"/>
    <m/>
    <n v="12015"/>
    <x v="0"/>
    <s v="Фаворит"/>
    <x v="20"/>
    <s v="Погуляй А.Б.       "/>
    <m/>
    <m/>
    <m/>
    <m/>
    <s v="К403ЕМ"/>
    <m/>
    <x v="12"/>
    <x v="3"/>
    <n v="2.4"/>
    <x v="0"/>
    <s v="богара"/>
    <n v="13"/>
    <x v="12"/>
    <x v="0"/>
    <s v="-"/>
    <s v="53-63"/>
    <x v="0"/>
    <x v="258"/>
    <d v="2026-06-16T00:00:00"/>
    <n v="237"/>
    <n v="62"/>
  </r>
  <r>
    <s v="Степень зрелости"/>
    <m/>
    <n v="57"/>
    <x v="259"/>
    <x v="0"/>
    <m/>
    <n v="4260"/>
    <m/>
    <n v="3706.2"/>
    <x v="0"/>
    <s v="Фаворит"/>
    <x v="16"/>
    <s v="Сайко Владимир Николаевич"/>
    <m/>
    <m/>
    <m/>
    <m/>
    <s v="Т919РВ"/>
    <m/>
    <x v="13"/>
    <x v="3"/>
    <n v="0.5"/>
    <x v="0"/>
    <s v="богара"/>
    <n v="13"/>
    <x v="12"/>
    <x v="0"/>
    <s v="-"/>
    <s v="53-63"/>
    <x v="0"/>
    <x v="259"/>
    <d v="2026-06-16T00:00:00"/>
    <n v="238"/>
    <n v="57"/>
  </r>
  <r>
    <s v="Степень зрелости"/>
    <m/>
    <n v="57"/>
    <x v="260"/>
    <x v="0"/>
    <m/>
    <n v="13990"/>
    <m/>
    <n v="12311.2"/>
    <x v="0"/>
    <s v="Фаворит"/>
    <x v="20"/>
    <s v="Деревянко Н.Н."/>
    <m/>
    <m/>
    <m/>
    <m/>
    <s v="Р699ОН"/>
    <m/>
    <x v="12"/>
    <x v="3"/>
    <n v="2.6"/>
    <x v="0"/>
    <s v="богара"/>
    <n v="13"/>
    <x v="12"/>
    <x v="0"/>
    <s v="-"/>
    <s v="53-63"/>
    <x v="0"/>
    <x v="260"/>
    <d v="2026-06-16T00:00:00"/>
    <n v="239"/>
    <n v="57"/>
  </r>
  <r>
    <s v="Степень зрелости"/>
    <m/>
    <n v="61"/>
    <x v="261"/>
    <x v="0"/>
    <m/>
    <n v="12240"/>
    <m/>
    <n v="10281.6"/>
    <x v="1"/>
    <s v="Тристар"/>
    <x v="21"/>
    <s v="Бербеницкий Сергей Николаевич"/>
    <m/>
    <m/>
    <m/>
    <m/>
    <s v="С400РР"/>
    <m/>
    <x v="14"/>
    <x v="4"/>
    <n v="4"/>
    <x v="1"/>
    <s v="полив"/>
    <n v="13"/>
    <x v="12"/>
    <x v="0"/>
    <s v="-"/>
    <s v="53-63"/>
    <x v="0"/>
    <x v="261"/>
    <d v="2026-06-16T00:00:00"/>
    <n v="240"/>
    <n v="61"/>
  </r>
  <r>
    <s v="Степень зрелости"/>
    <m/>
    <n v="58"/>
    <x v="262"/>
    <x v="0"/>
    <m/>
    <n v="12810"/>
    <m/>
    <n v="11144.7"/>
    <x v="0"/>
    <s v="Фаворит"/>
    <x v="20"/>
    <s v="Погуляй А.Б.       "/>
    <m/>
    <m/>
    <m/>
    <m/>
    <s v="К403ЕМ"/>
    <m/>
    <x v="13"/>
    <x v="3"/>
    <n v="1.6"/>
    <x v="0"/>
    <s v="богара"/>
    <n v="13"/>
    <x v="12"/>
    <x v="0"/>
    <s v="-"/>
    <s v="53-63"/>
    <x v="0"/>
    <x v="262"/>
    <d v="2026-06-16T00:00:00"/>
    <n v="241"/>
    <n v="58"/>
  </r>
  <r>
    <s v="Степень зрелости"/>
    <m/>
    <n v="60"/>
    <x v="263"/>
    <x v="0"/>
    <m/>
    <n v="4210"/>
    <m/>
    <n v="3810.1"/>
    <x v="0"/>
    <s v="Тристар"/>
    <x v="22"/>
    <s v="Сайко Владимир Николаевич"/>
    <m/>
    <m/>
    <m/>
    <m/>
    <s v="Т919РВ"/>
    <m/>
    <x v="5"/>
    <x v="4"/>
    <n v="1"/>
    <x v="0"/>
    <s v="богара"/>
    <n v="13"/>
    <x v="12"/>
    <x v="0"/>
    <s v="-"/>
    <s v="53-63"/>
    <x v="0"/>
    <x v="263"/>
    <d v="2026-06-16T00:00:00"/>
    <n v="242"/>
    <n v="60"/>
  </r>
  <r>
    <s v="Степень зрелости"/>
    <m/>
    <n v="55"/>
    <x v="264"/>
    <x v="0"/>
    <m/>
    <n v="6580"/>
    <m/>
    <n v="5823.3"/>
    <x v="0"/>
    <s v="Тристар"/>
    <x v="7"/>
    <s v="Деревянко Н.Н."/>
    <m/>
    <m/>
    <m/>
    <m/>
    <s v="Р699ОН"/>
    <m/>
    <x v="5"/>
    <x v="4"/>
    <n v="1.6"/>
    <x v="0"/>
    <s v="богара"/>
    <n v="13"/>
    <x v="12"/>
    <x v="0"/>
    <s v="-"/>
    <s v="53-63"/>
    <x v="0"/>
    <x v="264"/>
    <d v="2026-06-16T00:00:00"/>
    <n v="243"/>
    <n v="55"/>
  </r>
  <r>
    <s v="Степень зрелости"/>
    <m/>
    <n v="59"/>
    <x v="265"/>
    <x v="0"/>
    <m/>
    <n v="13020"/>
    <m/>
    <n v="11132.1"/>
    <x v="0"/>
    <s v="Тристар"/>
    <x v="22"/>
    <s v="Чигрин Н.А."/>
    <m/>
    <m/>
    <m/>
    <m/>
    <s v="А819ЕВ"/>
    <m/>
    <x v="5"/>
    <x v="4"/>
    <n v="3.1"/>
    <x v="0"/>
    <s v="богара"/>
    <n v="13"/>
    <x v="12"/>
    <x v="0"/>
    <s v="-"/>
    <s v="53-63"/>
    <x v="0"/>
    <x v="265"/>
    <d v="2026-06-16T00:00:00"/>
    <n v="245"/>
    <n v="59"/>
  </r>
  <r>
    <s v="Степень зрелости"/>
    <m/>
    <n v="58"/>
    <x v="266"/>
    <x v="0"/>
    <m/>
    <n v="6350"/>
    <m/>
    <n v="5334"/>
    <x v="0"/>
    <s v="Фаворит"/>
    <x v="16"/>
    <s v="Деревянко Н.Н."/>
    <m/>
    <m/>
    <m/>
    <m/>
    <s v="Р699ОН"/>
    <m/>
    <x v="13"/>
    <x v="3"/>
    <n v="0.9"/>
    <x v="0"/>
    <s v="богара"/>
    <n v="13"/>
    <x v="12"/>
    <x v="0"/>
    <s v="-"/>
    <s v="53-63"/>
    <x v="0"/>
    <x v="266"/>
    <d v="2026-06-16T00:00:00"/>
    <n v="244"/>
    <n v="58"/>
  </r>
  <r>
    <s v="Степень зрелости"/>
    <m/>
    <n v="56"/>
    <x v="267"/>
    <x v="0"/>
    <m/>
    <n v="13260"/>
    <m/>
    <n v="12132.9"/>
    <x v="0"/>
    <s v="Тристар"/>
    <x v="22"/>
    <s v="Бербеницкий Сергей Николаевич"/>
    <m/>
    <m/>
    <m/>
    <m/>
    <s v="С400РР"/>
    <m/>
    <x v="5"/>
    <x v="4"/>
    <n v="3.2"/>
    <x v="0"/>
    <s v="богара"/>
    <n v="13"/>
    <x v="12"/>
    <x v="0"/>
    <s v="-"/>
    <s v="53-63"/>
    <x v="0"/>
    <x v="267"/>
    <d v="2026-06-16T00:00:00"/>
    <n v="246"/>
    <n v="56"/>
  </r>
  <r>
    <s v="Степень зрелости"/>
    <m/>
    <n v="60"/>
    <x v="268"/>
    <x v="0"/>
    <m/>
    <n v="13070"/>
    <m/>
    <n v="11697.6"/>
    <x v="0"/>
    <s v="Тристар"/>
    <x v="7"/>
    <s v="Погуляй А.Б.       "/>
    <m/>
    <m/>
    <m/>
    <m/>
    <s v="К403ЕМ"/>
    <m/>
    <x v="5"/>
    <x v="4"/>
    <n v="3.2"/>
    <x v="0"/>
    <s v="богара"/>
    <n v="13"/>
    <x v="12"/>
    <x v="0"/>
    <s v="-"/>
    <s v="53-63"/>
    <x v="0"/>
    <x v="268"/>
    <d v="2026-06-16T00:00:00"/>
    <n v="247"/>
    <n v="60"/>
  </r>
  <r>
    <s v="Степень зрелости"/>
    <m/>
    <n v="59"/>
    <x v="269"/>
    <x v="0"/>
    <m/>
    <n v="13290"/>
    <m/>
    <n v="11628.7"/>
    <x v="0"/>
    <s v="Тристар"/>
    <x v="7"/>
    <s v="Деревянко Н.Н."/>
    <m/>
    <m/>
    <m/>
    <m/>
    <s v="Р699ОН"/>
    <m/>
    <x v="5"/>
    <x v="4"/>
    <n v="3.2"/>
    <x v="0"/>
    <s v="богара"/>
    <n v="13"/>
    <x v="12"/>
    <x v="0"/>
    <s v="-"/>
    <s v="53-63"/>
    <x v="0"/>
    <x v="269"/>
    <d v="2026-06-16T00:00:00"/>
    <n v="248"/>
    <n v="59"/>
  </r>
  <r>
    <s v="Степень зрелости"/>
    <m/>
    <n v="65"/>
    <x v="270"/>
    <x v="0"/>
    <m/>
    <n v="13160"/>
    <m/>
    <n v="11515"/>
    <x v="0"/>
    <s v="Тристар"/>
    <x v="7"/>
    <s v="Чигрин Н.А."/>
    <m/>
    <m/>
    <m/>
    <m/>
    <s v="А819ЕВ"/>
    <m/>
    <x v="5"/>
    <x v="4"/>
    <n v="3.2"/>
    <x v="0"/>
    <s v="богара"/>
    <n v="13"/>
    <x v="12"/>
    <x v="0"/>
    <s v="-"/>
    <s v="64-66"/>
    <x v="1"/>
    <x v="270"/>
    <d v="2026-06-16T00:00:00"/>
    <n v="249"/>
    <n v="65"/>
  </r>
  <r>
    <s v="Степень зрелости"/>
    <m/>
    <n v="65"/>
    <x v="271"/>
    <x v="0"/>
    <m/>
    <n v="4350"/>
    <m/>
    <n v="3980.2"/>
    <x v="0"/>
    <s v="Тристар"/>
    <x v="7"/>
    <s v="Сайко Владимир Николаевич"/>
    <m/>
    <m/>
    <m/>
    <m/>
    <s v="Т919РВ"/>
    <m/>
    <x v="5"/>
    <x v="4"/>
    <n v="1.1000000000000001"/>
    <x v="0"/>
    <s v="богара"/>
    <n v="13"/>
    <x v="12"/>
    <x v="0"/>
    <s v="-"/>
    <s v="64-66"/>
    <x v="1"/>
    <x v="271"/>
    <d v="2026-06-16T00:00:00"/>
    <n v="242"/>
    <n v="65"/>
  </r>
  <r>
    <s v="Степень зрелости"/>
    <m/>
    <n v="66"/>
    <x v="272"/>
    <x v="0"/>
    <m/>
    <n v="12560"/>
    <m/>
    <n v="11429.6"/>
    <x v="0"/>
    <s v="Тристар"/>
    <x v="7"/>
    <s v="Бербеницкий Сергей Николаевич"/>
    <m/>
    <m/>
    <m/>
    <m/>
    <s v="С400РР"/>
    <m/>
    <x v="5"/>
    <x v="4"/>
    <n v="3"/>
    <x v="0"/>
    <s v="богара"/>
    <n v="13"/>
    <x v="12"/>
    <x v="0"/>
    <s v="-"/>
    <s v="64-66"/>
    <x v="1"/>
    <x v="272"/>
    <d v="2026-06-16T00:00:00"/>
    <n v="251"/>
    <n v="66"/>
  </r>
  <r>
    <s v="Степень зрелости"/>
    <m/>
    <n v="66"/>
    <x v="273"/>
    <x v="0"/>
    <m/>
    <n v="4880"/>
    <m/>
    <n v="4465.2"/>
    <x v="0"/>
    <s v="Тристар"/>
    <x v="7"/>
    <s v="Сайко Владимир Николаевич"/>
    <m/>
    <m/>
    <m/>
    <m/>
    <s v="Т919РВ"/>
    <m/>
    <x v="5"/>
    <x v="4"/>
    <n v="1.2"/>
    <x v="0"/>
    <s v="богара"/>
    <n v="13"/>
    <x v="12"/>
    <x v="0"/>
    <s v="-"/>
    <s v="64-66"/>
    <x v="1"/>
    <x v="273"/>
    <d v="2026-06-16T00:00:00"/>
    <n v="252"/>
    <n v="66"/>
  </r>
  <r>
    <s v="Степень зрелости"/>
    <m/>
    <n v="63"/>
    <x v="274"/>
    <x v="0"/>
    <m/>
    <n v="12680"/>
    <m/>
    <n v="11602.2"/>
    <x v="0"/>
    <s v="Тристар"/>
    <x v="7"/>
    <s v="Погуляй А.Б.       "/>
    <m/>
    <m/>
    <m/>
    <m/>
    <s v="К403ЕМ"/>
    <m/>
    <x v="5"/>
    <x v="4"/>
    <n v="3.1"/>
    <x v="0"/>
    <s v="богара"/>
    <n v="13"/>
    <x v="12"/>
    <x v="0"/>
    <s v="-"/>
    <s v="53-63"/>
    <x v="1"/>
    <x v="274"/>
    <d v="2026-06-17T00:00:00"/>
    <n v="253"/>
    <n v="63"/>
  </r>
  <r>
    <s v="Степень зрелости"/>
    <m/>
    <n v="67"/>
    <x v="275"/>
    <x v="0"/>
    <m/>
    <n v="12400"/>
    <m/>
    <n v="11470"/>
    <x v="0"/>
    <s v="Тристар"/>
    <x v="22"/>
    <s v="Деревянко Н.Н."/>
    <m/>
    <m/>
    <m/>
    <m/>
    <s v="Р699ОН"/>
    <m/>
    <x v="5"/>
    <x v="4"/>
    <n v="3"/>
    <x v="0"/>
    <s v="богара"/>
    <n v="13"/>
    <x v="12"/>
    <x v="0"/>
    <s v="-"/>
    <s v="67-85"/>
    <x v="1"/>
    <x v="275"/>
    <d v="2026-06-17T00:00:00"/>
    <n v="254"/>
    <n v="67"/>
  </r>
  <r>
    <s v="Степень зрелости"/>
    <m/>
    <n v="67"/>
    <x v="276"/>
    <x v="0"/>
    <m/>
    <n v="12760"/>
    <m/>
    <n v="11547.8"/>
    <x v="0"/>
    <s v="Тристар"/>
    <x v="22"/>
    <s v="Чигрин Н.А."/>
    <m/>
    <m/>
    <m/>
    <m/>
    <s v="А819ЕВ"/>
    <m/>
    <x v="5"/>
    <x v="4"/>
    <n v="3.1"/>
    <x v="0"/>
    <s v="богара"/>
    <n v="13"/>
    <x v="12"/>
    <x v="0"/>
    <s v="-"/>
    <s v="67-85"/>
    <x v="1"/>
    <x v="276"/>
    <d v="2026-06-17T00:00:00"/>
    <n v="255"/>
    <n v="67"/>
  </r>
  <r>
    <s v="Степень зрелости"/>
    <m/>
    <n v="66"/>
    <x v="277"/>
    <x v="0"/>
    <m/>
    <n v="12600"/>
    <m/>
    <n v="11403"/>
    <x v="0"/>
    <s v="Тристар"/>
    <x v="22"/>
    <s v="Бербеницкий Сергей Николаевич"/>
    <m/>
    <m/>
    <m/>
    <m/>
    <s v="С400РР"/>
    <m/>
    <x v="5"/>
    <x v="4"/>
    <n v="3"/>
    <x v="0"/>
    <s v="богара"/>
    <n v="13"/>
    <x v="12"/>
    <x v="0"/>
    <s v="-"/>
    <s v="64-66"/>
    <x v="1"/>
    <x v="277"/>
    <d v="2026-06-17T00:00:00"/>
    <n v="256"/>
    <n v="66"/>
  </r>
  <r>
    <s v="Степень зрелости"/>
    <m/>
    <n v="67"/>
    <x v="278"/>
    <x v="0"/>
    <m/>
    <n v="12620"/>
    <m/>
    <n v="11799.7"/>
    <x v="0"/>
    <s v="Тристар"/>
    <x v="22"/>
    <s v="Погуляй А.Б.       "/>
    <m/>
    <m/>
    <m/>
    <m/>
    <s v="К403ЕМ"/>
    <m/>
    <x v="5"/>
    <x v="4"/>
    <n v="3"/>
    <x v="0"/>
    <s v="богара"/>
    <n v="13"/>
    <x v="12"/>
    <x v="0"/>
    <s v="-"/>
    <s v="67-85"/>
    <x v="1"/>
    <x v="278"/>
    <d v="2026-06-17T00:00:00"/>
    <n v="257"/>
    <n v="67"/>
  </r>
  <r>
    <s v="Степень зрелости"/>
    <m/>
    <n v="68"/>
    <x v="279"/>
    <x v="0"/>
    <m/>
    <n v="12650"/>
    <m/>
    <n v="11574.8"/>
    <x v="0"/>
    <s v="Тристар"/>
    <x v="22"/>
    <s v="Сероштан Станислав Викторович"/>
    <m/>
    <m/>
    <m/>
    <m/>
    <s v="Е758РЕ"/>
    <m/>
    <x v="15"/>
    <x v="4"/>
    <n v="1.9"/>
    <x v="1"/>
    <s v="полив"/>
    <n v="14"/>
    <x v="13"/>
    <x v="0"/>
    <s v="-"/>
    <s v="67-85"/>
    <x v="1"/>
    <x v="279"/>
    <d v="2026-06-17T00:00:00"/>
    <n v="258"/>
    <n v="68"/>
  </r>
  <r>
    <s v="Степень зрелости"/>
    <m/>
    <n v="68"/>
    <x v="280"/>
    <x v="0"/>
    <m/>
    <n v="12610"/>
    <m/>
    <n v="11664.3"/>
    <x v="0"/>
    <s v="Тристар"/>
    <x v="22"/>
    <s v="Гужва А М."/>
    <m/>
    <m/>
    <m/>
    <m/>
    <s v="Т285ВЕ"/>
    <m/>
    <x v="15"/>
    <x v="4"/>
    <n v="1.9"/>
    <x v="1"/>
    <s v="полив"/>
    <n v="14"/>
    <x v="13"/>
    <x v="0"/>
    <s v="-"/>
    <s v="67-85"/>
    <x v="1"/>
    <x v="280"/>
    <d v="2026-06-17T00:00:00"/>
    <n v="259"/>
    <n v="68"/>
  </r>
  <r>
    <m/>
    <m/>
    <n v="68"/>
    <x v="281"/>
    <x v="0"/>
    <m/>
    <n v="12640"/>
    <m/>
    <n v="11692"/>
    <x v="0"/>
    <s v="Тристар"/>
    <x v="7"/>
    <s v="Гуйда Николай Николаевич"/>
    <m/>
    <m/>
    <m/>
    <m/>
    <s v="А816ЕВ"/>
    <m/>
    <x v="15"/>
    <x v="4"/>
    <n v="1.9"/>
    <x v="1"/>
    <s v="полив"/>
    <n v="14"/>
    <x v="13"/>
    <x v="0"/>
    <s v="-"/>
    <s v="67-85"/>
    <x v="1"/>
    <x v="281"/>
    <d v="2026-06-17T00:00:00"/>
    <n v="260"/>
    <n v="68"/>
  </r>
  <r>
    <m/>
    <m/>
    <n v="64"/>
    <x v="282"/>
    <x v="0"/>
    <m/>
    <n v="4390"/>
    <m/>
    <n v="4016.9"/>
    <x v="0"/>
    <s v="Тристар"/>
    <x v="22"/>
    <s v="Роговской Роман Алексеевич"/>
    <m/>
    <m/>
    <m/>
    <m/>
    <s v="Т945РВ"/>
    <m/>
    <x v="15"/>
    <x v="4"/>
    <n v="0.7"/>
    <x v="1"/>
    <s v="полив"/>
    <n v="14"/>
    <x v="13"/>
    <x v="0"/>
    <s v="-"/>
    <s v="64-66"/>
    <x v="1"/>
    <x v="282"/>
    <d v="2026-06-17T00:00:00"/>
    <n v="261"/>
    <n v="64"/>
  </r>
  <r>
    <m/>
    <m/>
    <n v="55"/>
    <x v="283"/>
    <x v="0"/>
    <m/>
    <n v="13340"/>
    <m/>
    <n v="11272.3"/>
    <x v="0"/>
    <s v="Тристар"/>
    <x v="22"/>
    <s v="Жданов Андрей Иванович"/>
    <m/>
    <m/>
    <m/>
    <m/>
    <s v="С707ОУ"/>
    <m/>
    <x v="15"/>
    <x v="4"/>
    <n v="2"/>
    <x v="1"/>
    <s v="полив"/>
    <n v="14"/>
    <x v="13"/>
    <x v="0"/>
    <s v="-"/>
    <s v="53-63"/>
    <x v="0"/>
    <x v="283"/>
    <d v="2026-06-17T00:00:00"/>
    <n v="262"/>
    <n v="55"/>
  </r>
  <r>
    <m/>
    <m/>
    <n v="53"/>
    <x v="284"/>
    <x v="0"/>
    <m/>
    <n v="14140"/>
    <m/>
    <n v="12231.1"/>
    <x v="0"/>
    <s v="Тристар"/>
    <x v="22"/>
    <s v="Сероштан Станислав Викторович"/>
    <m/>
    <m/>
    <m/>
    <m/>
    <s v="Е758РЕ"/>
    <m/>
    <x v="15"/>
    <x v="4"/>
    <n v="2.1"/>
    <x v="1"/>
    <s v="полив"/>
    <n v="14"/>
    <x v="13"/>
    <x v="0"/>
    <s v="-"/>
    <s v="53-63"/>
    <x v="0"/>
    <x v="284"/>
    <d v="2026-06-17T00:00:00"/>
    <n v="263"/>
    <n v="53"/>
  </r>
  <r>
    <m/>
    <m/>
    <n v="55"/>
    <x v="285"/>
    <x v="0"/>
    <m/>
    <n v="14160"/>
    <m/>
    <n v="12106.8"/>
    <x v="0"/>
    <s v="Тристар"/>
    <x v="22"/>
    <s v="Гужва А М."/>
    <m/>
    <m/>
    <m/>
    <m/>
    <s v="Т285ВЕ"/>
    <m/>
    <x v="15"/>
    <x v="4"/>
    <n v="2.1"/>
    <x v="1"/>
    <s v="полив"/>
    <n v="14"/>
    <x v="13"/>
    <x v="0"/>
    <s v="-"/>
    <s v="53-63"/>
    <x v="0"/>
    <x v="285"/>
    <d v="2026-06-17T00:00:00"/>
    <n v="259"/>
    <n v="55"/>
  </r>
  <r>
    <m/>
    <m/>
    <n v="54"/>
    <x v="286"/>
    <x v="0"/>
    <m/>
    <n v="4530"/>
    <m/>
    <n v="4009.1"/>
    <x v="0"/>
    <s v="Тристар"/>
    <x v="22"/>
    <s v="Роговской Роман Алексеевич"/>
    <m/>
    <m/>
    <m/>
    <m/>
    <s v="Т945РВ"/>
    <m/>
    <x v="15"/>
    <x v="4"/>
    <n v="0.7"/>
    <x v="1"/>
    <s v="полив"/>
    <n v="14"/>
    <x v="13"/>
    <x v="0"/>
    <s v="-"/>
    <s v="53-63"/>
    <x v="0"/>
    <x v="286"/>
    <d v="2026-06-17T00:00:00"/>
    <n v="265"/>
    <n v="54"/>
  </r>
  <r>
    <m/>
    <m/>
    <n v="53"/>
    <x v="287"/>
    <x v="0"/>
    <m/>
    <n v="13570"/>
    <m/>
    <n v="11873.8"/>
    <x v="0"/>
    <s v="Тристар"/>
    <x v="22"/>
    <s v="Гуйда Николай Николаевич"/>
    <m/>
    <m/>
    <m/>
    <m/>
    <s v="А816ЕВ"/>
    <m/>
    <x v="15"/>
    <x v="4"/>
    <n v="2"/>
    <x v="1"/>
    <s v="полив"/>
    <n v="14"/>
    <x v="13"/>
    <x v="0"/>
    <s v="-"/>
    <s v="53-63"/>
    <x v="0"/>
    <x v="287"/>
    <d v="2026-06-17T00:00:00"/>
    <n v="266"/>
    <n v="53"/>
  </r>
  <r>
    <m/>
    <m/>
    <n v="52"/>
    <x v="288"/>
    <x v="0"/>
    <m/>
    <n v="13410"/>
    <m/>
    <n v="11465.6"/>
    <x v="0"/>
    <s v="Тристар"/>
    <x v="22"/>
    <s v="Жданов Андрей Иванович"/>
    <m/>
    <m/>
    <m/>
    <m/>
    <s v="С707ОУ"/>
    <m/>
    <x v="15"/>
    <x v="4"/>
    <n v="2"/>
    <x v="1"/>
    <s v="полив"/>
    <n v="14"/>
    <x v="13"/>
    <x v="0"/>
    <s v="-"/>
    <s v="40-52"/>
    <x v="0"/>
    <x v="288"/>
    <d v="2026-06-17T00:00:00"/>
    <n v="267"/>
    <n v="52"/>
  </r>
  <r>
    <m/>
    <m/>
    <n v="51"/>
    <x v="289"/>
    <x v="0"/>
    <m/>
    <n v="13410"/>
    <m/>
    <n v="12002"/>
    <x v="0"/>
    <s v="Тристар"/>
    <x v="22"/>
    <s v="Сероштан Станислав Викторович"/>
    <m/>
    <m/>
    <m/>
    <m/>
    <s v="Е758РЕ"/>
    <m/>
    <x v="15"/>
    <x v="4"/>
    <n v="2"/>
    <x v="1"/>
    <s v="полив"/>
    <n v="14"/>
    <x v="13"/>
    <x v="0"/>
    <s v="-"/>
    <s v="40-52"/>
    <x v="0"/>
    <x v="289"/>
    <d v="2026-06-17T00:00:00"/>
    <n v="263"/>
    <n v="51"/>
  </r>
  <r>
    <m/>
    <m/>
    <n v="51"/>
    <x v="290"/>
    <x v="0"/>
    <m/>
    <n v="4540"/>
    <m/>
    <n v="3972.5"/>
    <x v="0"/>
    <s v="Тристар"/>
    <x v="7"/>
    <s v="Роговской Роман Алексеевич"/>
    <m/>
    <m/>
    <m/>
    <m/>
    <s v="Т945РВ"/>
    <m/>
    <x v="15"/>
    <x v="4"/>
    <n v="0.7"/>
    <x v="1"/>
    <s v="полив"/>
    <n v="14"/>
    <x v="13"/>
    <x v="0"/>
    <s v="-"/>
    <s v="40-52"/>
    <x v="0"/>
    <x v="290"/>
    <d v="2026-06-17T00:00:00"/>
    <n v="269"/>
    <n v="51"/>
  </r>
  <r>
    <m/>
    <m/>
    <n v="56"/>
    <x v="291"/>
    <x v="0"/>
    <m/>
    <n v="13010"/>
    <m/>
    <n v="11383.8"/>
    <x v="0"/>
    <s v="Тристар"/>
    <x v="23"/>
    <s v="Гужва А М."/>
    <m/>
    <m/>
    <m/>
    <m/>
    <s v="Т285ВЕ"/>
    <m/>
    <x v="16"/>
    <x v="4"/>
    <n v="2.2000000000000002"/>
    <x v="0"/>
    <s v="богара"/>
    <n v="14"/>
    <x v="13"/>
    <x v="0"/>
    <s v="-"/>
    <s v="53-63"/>
    <x v="0"/>
    <x v="291"/>
    <d v="2026-06-17T00:00:00"/>
    <n v="270"/>
    <n v="56"/>
  </r>
  <r>
    <m/>
    <m/>
    <n v="57"/>
    <x v="292"/>
    <x v="0"/>
    <m/>
    <n v="13170"/>
    <m/>
    <n v="11655.5"/>
    <x v="0"/>
    <s v="Тристар"/>
    <x v="23"/>
    <s v="Жданов Андрей Иванович"/>
    <m/>
    <m/>
    <m/>
    <m/>
    <s v="С707ОУ"/>
    <m/>
    <x v="16"/>
    <x v="4"/>
    <n v="2.2000000000000002"/>
    <x v="0"/>
    <s v="богара"/>
    <n v="14"/>
    <x v="13"/>
    <x v="0"/>
    <s v="-"/>
    <s v="53-63"/>
    <x v="0"/>
    <x v="292"/>
    <d v="2026-06-17T00:00:00"/>
    <n v="271"/>
    <n v="57"/>
  </r>
  <r>
    <m/>
    <m/>
    <n v="57"/>
    <x v="293"/>
    <x v="0"/>
    <m/>
    <n v="13250"/>
    <m/>
    <n v="11991.3"/>
    <x v="0"/>
    <s v="Тристар"/>
    <x v="23"/>
    <s v="Сероштан Станислав Викторович"/>
    <m/>
    <m/>
    <m/>
    <m/>
    <s v="Е758РЕ"/>
    <m/>
    <x v="16"/>
    <x v="4"/>
    <n v="2.2000000000000002"/>
    <x v="0"/>
    <s v="богара"/>
    <n v="14"/>
    <x v="13"/>
    <x v="0"/>
    <s v="-"/>
    <s v="53-63"/>
    <x v="0"/>
    <x v="293"/>
    <d v="2026-06-17T00:00:00"/>
    <n v="272"/>
    <n v="57"/>
  </r>
  <r>
    <m/>
    <m/>
    <n v="55"/>
    <x v="294"/>
    <x v="0"/>
    <m/>
    <n v="4410"/>
    <m/>
    <n v="3858.8"/>
    <x v="0"/>
    <s v="Тристар"/>
    <x v="23"/>
    <s v="Роговской Роман Алексеевич"/>
    <m/>
    <m/>
    <m/>
    <m/>
    <s v="Т945РВ"/>
    <m/>
    <x v="16"/>
    <x v="4"/>
    <n v="0.7"/>
    <x v="0"/>
    <s v="богара"/>
    <n v="14"/>
    <x v="13"/>
    <x v="0"/>
    <s v="-"/>
    <s v="53-63"/>
    <x v="0"/>
    <x v="294"/>
    <d v="2026-06-17T00:00:00"/>
    <n v="273"/>
    <n v="55"/>
  </r>
  <r>
    <m/>
    <m/>
    <n v="55"/>
    <x v="295"/>
    <x v="0"/>
    <m/>
    <n v="13130"/>
    <m/>
    <n v="11488.8"/>
    <x v="0"/>
    <s v="Тристар"/>
    <x v="23"/>
    <s v="Гужва А М."/>
    <m/>
    <m/>
    <m/>
    <m/>
    <s v="Т285ВЕ"/>
    <m/>
    <x v="16"/>
    <x v="4"/>
    <n v="2.2000000000000002"/>
    <x v="0"/>
    <s v="богара"/>
    <n v="14"/>
    <x v="13"/>
    <x v="0"/>
    <s v="-"/>
    <s v="53-63"/>
    <x v="0"/>
    <x v="295"/>
    <d v="2026-06-18T00:00:00"/>
    <n v="274"/>
    <n v="55"/>
  </r>
  <r>
    <m/>
    <m/>
    <n v="56"/>
    <x v="296"/>
    <x v="0"/>
    <m/>
    <n v="13080"/>
    <m/>
    <n v="11706.6"/>
    <x v="0"/>
    <s v="Тристар"/>
    <x v="23"/>
    <s v="Жданов Андрей Иванович"/>
    <m/>
    <m/>
    <m/>
    <m/>
    <s v="С707ОУ"/>
    <m/>
    <x v="16"/>
    <x v="4"/>
    <n v="2.2000000000000002"/>
    <x v="0"/>
    <s v="богара"/>
    <n v="14"/>
    <x v="13"/>
    <x v="0"/>
    <s v="-"/>
    <s v="53-63"/>
    <x v="0"/>
    <x v="296"/>
    <d v="2026-06-18T00:00:00"/>
    <n v="275"/>
    <n v="56"/>
  </r>
  <r>
    <m/>
    <m/>
    <n v="53"/>
    <x v="297"/>
    <x v="0"/>
    <m/>
    <n v="12940"/>
    <m/>
    <n v="11581.3"/>
    <x v="0"/>
    <s v="Тристар"/>
    <x v="23"/>
    <s v="Сероштан Станислав Викторович"/>
    <m/>
    <m/>
    <m/>
    <m/>
    <s v="Е758РЕ"/>
    <m/>
    <x v="16"/>
    <x v="4"/>
    <n v="2.1"/>
    <x v="0"/>
    <s v="богара"/>
    <n v="14"/>
    <x v="13"/>
    <x v="0"/>
    <s v="-"/>
    <s v="53-63"/>
    <x v="0"/>
    <x v="297"/>
    <d v="2026-06-18T00:00:00"/>
    <n v="276"/>
    <n v="53"/>
  </r>
  <r>
    <m/>
    <m/>
    <n v="54"/>
    <x v="298"/>
    <x v="0"/>
    <m/>
    <n v="4340"/>
    <m/>
    <n v="3884.3"/>
    <x v="0"/>
    <s v="Тристар"/>
    <x v="23"/>
    <s v="Роговской Роман Алексеевич"/>
    <m/>
    <m/>
    <m/>
    <m/>
    <s v="Т945РВ"/>
    <m/>
    <x v="16"/>
    <x v="4"/>
    <n v="0.7"/>
    <x v="0"/>
    <s v="богара"/>
    <n v="14"/>
    <x v="13"/>
    <x v="0"/>
    <s v="-"/>
    <s v="53-63"/>
    <x v="0"/>
    <x v="298"/>
    <d v="2026-06-18T00:00:00"/>
    <n v="277"/>
    <n v="54"/>
  </r>
  <r>
    <m/>
    <m/>
    <n v="55"/>
    <x v="299"/>
    <x v="0"/>
    <m/>
    <n v="13140"/>
    <m/>
    <n v="11891.7"/>
    <x v="0"/>
    <s v="Тристар"/>
    <x v="23"/>
    <s v="Гужва А М."/>
    <m/>
    <m/>
    <m/>
    <m/>
    <s v="Т285ВЕ"/>
    <m/>
    <x v="16"/>
    <x v="4"/>
    <n v="2.2000000000000002"/>
    <x v="0"/>
    <s v="богара"/>
    <n v="14"/>
    <x v="13"/>
    <x v="0"/>
    <s v="-"/>
    <s v="53-63"/>
    <x v="0"/>
    <x v="299"/>
    <d v="2026-06-18T00:00:00"/>
    <n v="278"/>
    <n v="55"/>
  </r>
  <r>
    <m/>
    <m/>
    <n v="53"/>
    <x v="300"/>
    <x v="0"/>
    <m/>
    <n v="12980"/>
    <m/>
    <n v="11876.7"/>
    <x v="0"/>
    <s v="Тристар"/>
    <x v="23"/>
    <s v="Жданов Андрей Иванович"/>
    <m/>
    <m/>
    <m/>
    <m/>
    <s v="С707ОУ"/>
    <m/>
    <x v="16"/>
    <x v="4"/>
    <n v="2.2000000000000002"/>
    <x v="0"/>
    <s v="богара"/>
    <n v="14"/>
    <x v="13"/>
    <x v="0"/>
    <s v="-"/>
    <s v="53-63"/>
    <x v="0"/>
    <x v="300"/>
    <d v="2026-06-18T00:00:00"/>
    <n v="279"/>
    <n v="53"/>
  </r>
  <r>
    <m/>
    <m/>
    <n v="54"/>
    <x v="301"/>
    <x v="0"/>
    <m/>
    <n v="13300"/>
    <m/>
    <n v="11903.5"/>
    <x v="0"/>
    <s v="Тристар"/>
    <x v="23"/>
    <s v="Сероштан Станислав Викторович"/>
    <m/>
    <m/>
    <m/>
    <m/>
    <s v="Е758РЕ"/>
    <m/>
    <x v="16"/>
    <x v="4"/>
    <n v="2.2000000000000002"/>
    <x v="0"/>
    <s v="богара"/>
    <n v="14"/>
    <x v="13"/>
    <x v="0"/>
    <s v="-"/>
    <s v="53-63"/>
    <x v="0"/>
    <x v="301"/>
    <d v="2026-06-18T00:00:00"/>
    <n v="280"/>
    <n v="54"/>
  </r>
  <r>
    <m/>
    <m/>
    <n v="53"/>
    <x v="302"/>
    <x v="0"/>
    <m/>
    <n v="13170"/>
    <m/>
    <n v="10338.5"/>
    <x v="0"/>
    <s v="Тристар"/>
    <x v="23"/>
    <s v="Рудик Александр Иванович"/>
    <m/>
    <m/>
    <m/>
    <m/>
    <s v="А309АТ"/>
    <m/>
    <x v="16"/>
    <x v="4"/>
    <n v="2.1"/>
    <x v="0"/>
    <s v="богара"/>
    <n v="15"/>
    <x v="14"/>
    <x v="0"/>
    <s v="-"/>
    <s v="53-63"/>
    <x v="0"/>
    <x v="302"/>
    <d v="2026-06-18T00:00:00"/>
    <n v="281"/>
    <n v="53"/>
  </r>
  <r>
    <m/>
    <m/>
    <n v="50"/>
    <x v="303"/>
    <x v="0"/>
    <m/>
    <n v="12740"/>
    <m/>
    <n v="10000.9"/>
    <x v="0"/>
    <s v="Тристар"/>
    <x v="23"/>
    <s v="Извеков Владимир Владимирович"/>
    <m/>
    <m/>
    <m/>
    <m/>
    <s v="Н378ХЕ"/>
    <m/>
    <x v="16"/>
    <x v="4"/>
    <n v="2"/>
    <x v="0"/>
    <s v="богара"/>
    <n v="15"/>
    <x v="14"/>
    <x v="0"/>
    <s v="-"/>
    <s v="40-52"/>
    <x v="0"/>
    <x v="303"/>
    <d v="2026-06-18T00:00:00"/>
    <n v="282"/>
    <n v="50"/>
  </r>
  <r>
    <m/>
    <m/>
    <n v="51"/>
    <x v="304"/>
    <x v="0"/>
    <m/>
    <n v="13180"/>
    <m/>
    <n v="9291.9"/>
    <x v="0"/>
    <s v="Тристар"/>
    <x v="23"/>
    <s v="Ревенко Андрей Вячеславович"/>
    <m/>
    <m/>
    <m/>
    <m/>
    <s v="А781РР"/>
    <m/>
    <x v="16"/>
    <x v="4"/>
    <n v="2.1"/>
    <x v="0"/>
    <s v="богара"/>
    <n v="15"/>
    <x v="14"/>
    <x v="0"/>
    <s v="-"/>
    <s v="40-52"/>
    <x v="0"/>
    <x v="304"/>
    <d v="2026-06-18T00:00:00"/>
    <n v="283"/>
    <n v="51"/>
  </r>
  <r>
    <m/>
    <m/>
    <n v="52"/>
    <x v="305"/>
    <x v="0"/>
    <m/>
    <n v="4270"/>
    <m/>
    <n v="3074.4"/>
    <x v="0"/>
    <s v="Тристар"/>
    <x v="24"/>
    <s v="Сайко Владимир Николаевич"/>
    <m/>
    <m/>
    <m/>
    <m/>
    <s v="Т919РВ"/>
    <m/>
    <x v="16"/>
    <x v="4"/>
    <n v="0.7"/>
    <x v="0"/>
    <s v="богара"/>
    <n v="15"/>
    <x v="14"/>
    <x v="0"/>
    <s v="-"/>
    <s v="40-52"/>
    <x v="0"/>
    <x v="305"/>
    <d v="2026-06-18T00:00:00"/>
    <n v="284"/>
    <n v="52"/>
  </r>
  <r>
    <m/>
    <m/>
    <n v="53"/>
    <x v="306"/>
    <x v="0"/>
    <m/>
    <n v="13330"/>
    <m/>
    <n v="10064.200000000001"/>
    <x v="0"/>
    <s v="Тристар"/>
    <x v="23"/>
    <s v="Чигрин Н.А."/>
    <m/>
    <m/>
    <m/>
    <m/>
    <s v="А819ЕВ"/>
    <m/>
    <x v="16"/>
    <x v="4"/>
    <n v="2.1"/>
    <x v="0"/>
    <s v="богара"/>
    <n v="15"/>
    <x v="14"/>
    <x v="0"/>
    <s v="-"/>
    <s v="53-63"/>
    <x v="0"/>
    <x v="306"/>
    <d v="2026-06-18T00:00:00"/>
    <n v="285"/>
    <n v="53"/>
  </r>
  <r>
    <m/>
    <m/>
    <n v="55"/>
    <x v="307"/>
    <x v="0"/>
    <m/>
    <n v="13470"/>
    <m/>
    <n v="11112.8"/>
    <x v="0"/>
    <s v="Тристар"/>
    <x v="23"/>
    <s v="Рудик Александр Иванович"/>
    <m/>
    <m/>
    <m/>
    <m/>
    <s v="А309АТ"/>
    <m/>
    <x v="16"/>
    <x v="4"/>
    <n v="2.1"/>
    <x v="0"/>
    <s v="богара"/>
    <n v="15"/>
    <x v="14"/>
    <x v="0"/>
    <s v="-"/>
    <s v="53-63"/>
    <x v="0"/>
    <x v="307"/>
    <d v="2026-06-18T00:00:00"/>
    <n v="286"/>
    <n v="55"/>
  </r>
  <r>
    <m/>
    <m/>
    <n v="53"/>
    <x v="308"/>
    <x v="0"/>
    <m/>
    <n v="13020"/>
    <m/>
    <n v="10741.5"/>
    <x v="0"/>
    <s v="Тристар"/>
    <x v="23"/>
    <s v="Извеков Владимир Владимирович"/>
    <m/>
    <m/>
    <m/>
    <m/>
    <s v="Н378ХЕ"/>
    <m/>
    <x v="16"/>
    <x v="4"/>
    <n v="2"/>
    <x v="0"/>
    <s v="богара"/>
    <n v="15"/>
    <x v="14"/>
    <x v="0"/>
    <s v="-"/>
    <s v="53-63"/>
    <x v="0"/>
    <x v="308"/>
    <d v="2026-06-18T00:00:00"/>
    <n v="287"/>
    <n v="53"/>
  </r>
  <r>
    <m/>
    <m/>
    <n v="53"/>
    <x v="309"/>
    <x v="0"/>
    <m/>
    <n v="13660"/>
    <m/>
    <n v="11679.3"/>
    <x v="0"/>
    <s v="Тристар"/>
    <x v="23"/>
    <s v="Ревенко Андрей Вячеславович"/>
    <m/>
    <m/>
    <m/>
    <m/>
    <s v="А781РР"/>
    <m/>
    <x v="16"/>
    <x v="4"/>
    <n v="2.1"/>
    <x v="0"/>
    <s v="богара"/>
    <n v="15"/>
    <x v="14"/>
    <x v="0"/>
    <s v="-"/>
    <s v="53-63"/>
    <x v="0"/>
    <x v="309"/>
    <d v="2026-06-18T00:00:00"/>
    <n v="288"/>
    <n v="53"/>
  </r>
  <r>
    <m/>
    <m/>
    <n v="54"/>
    <x v="310"/>
    <x v="0"/>
    <m/>
    <n v="4290"/>
    <m/>
    <n v="3689.4"/>
    <x v="0"/>
    <s v="Тристар"/>
    <x v="23"/>
    <s v="Сайко Владимир Николаевич"/>
    <m/>
    <m/>
    <m/>
    <m/>
    <s v="Т919РВ"/>
    <m/>
    <x v="16"/>
    <x v="4"/>
    <n v="0.7"/>
    <x v="0"/>
    <s v="богара"/>
    <n v="15"/>
    <x v="14"/>
    <x v="0"/>
    <s v="-"/>
    <s v="53-63"/>
    <x v="0"/>
    <x v="310"/>
    <d v="2026-06-18T00:00:00"/>
    <n v="289"/>
    <n v="54"/>
  </r>
  <r>
    <m/>
    <m/>
    <n v="52"/>
    <x v="311"/>
    <x v="0"/>
    <m/>
    <n v="13530"/>
    <m/>
    <n v="11635.8"/>
    <x v="0"/>
    <s v="Тристар"/>
    <x v="23"/>
    <s v="Чигрин Н.А."/>
    <m/>
    <m/>
    <m/>
    <m/>
    <s v="А819ЕВ"/>
    <m/>
    <x v="16"/>
    <x v="4"/>
    <n v="2.1"/>
    <x v="0"/>
    <s v="богара"/>
    <n v="15"/>
    <x v="14"/>
    <x v="0"/>
    <s v="-"/>
    <s v="40-52"/>
    <x v="0"/>
    <x v="311"/>
    <d v="2026-06-18T00:00:00"/>
    <n v="290"/>
    <n v="52"/>
  </r>
  <r>
    <m/>
    <m/>
    <n v="49"/>
    <x v="312"/>
    <x v="0"/>
    <m/>
    <n v="6770"/>
    <m/>
    <n v="5652.9"/>
    <x v="0"/>
    <s v="Женева"/>
    <x v="25"/>
    <s v="Рудик Александр Иванович"/>
    <m/>
    <m/>
    <m/>
    <m/>
    <s v="А309АТ"/>
    <m/>
    <x v="17"/>
    <x v="5"/>
    <n v="1.2"/>
    <x v="0"/>
    <s v="богара"/>
    <n v="15"/>
    <x v="14"/>
    <x v="0"/>
    <s v="-"/>
    <s v="40-52"/>
    <x v="0"/>
    <x v="312"/>
    <d v="2026-06-18T00:00:00"/>
    <n v="292"/>
    <n v="49"/>
  </r>
  <r>
    <m/>
    <m/>
    <n v="50"/>
    <x v="313"/>
    <x v="0"/>
    <m/>
    <n v="15790"/>
    <m/>
    <n v="13184.7"/>
    <x v="0"/>
    <s v="Женева"/>
    <x v="25"/>
    <s v="Извеков Владимир Владимирович"/>
    <m/>
    <m/>
    <m/>
    <m/>
    <s v="Н378ХЕ"/>
    <m/>
    <x v="17"/>
    <x v="5"/>
    <n v="2.8"/>
    <x v="0"/>
    <s v="богара"/>
    <n v="15"/>
    <x v="14"/>
    <x v="0"/>
    <s v="-"/>
    <s v="40-52"/>
    <x v="0"/>
    <x v="313"/>
    <d v="2026-06-18T00:00:00"/>
    <n v="293"/>
    <n v="50"/>
  </r>
  <r>
    <m/>
    <m/>
    <n v="51"/>
    <x v="314"/>
    <x v="0"/>
    <m/>
    <n v="8430"/>
    <m/>
    <n v="7292"/>
    <x v="0"/>
    <s v="Тристар"/>
    <x v="23"/>
    <s v="Рудик Александр Иванович"/>
    <m/>
    <m/>
    <m/>
    <m/>
    <s v="А309АТ"/>
    <m/>
    <x v="16"/>
    <x v="4"/>
    <n v="1.5"/>
    <x v="0"/>
    <s v="богара"/>
    <n v="15"/>
    <x v="14"/>
    <x v="0"/>
    <s v="-"/>
    <s v="40-52"/>
    <x v="0"/>
    <x v="314"/>
    <d v="2026-06-18T00:00:00"/>
    <n v="291"/>
    <n v="51"/>
  </r>
  <r>
    <m/>
    <m/>
    <n v="57"/>
    <x v="315"/>
    <x v="0"/>
    <m/>
    <n v="5630"/>
    <m/>
    <n v="4701"/>
    <x v="0"/>
    <s v="Женева"/>
    <x v="18"/>
    <s v="Сайко Владимир Николаевич"/>
    <m/>
    <m/>
    <m/>
    <m/>
    <s v="Т919РВ"/>
    <m/>
    <x v="11"/>
    <x v="5"/>
    <n v="1.5"/>
    <x v="0"/>
    <s v="богара"/>
    <n v="15"/>
    <x v="14"/>
    <x v="0"/>
    <s v="-"/>
    <s v="53-63"/>
    <x v="0"/>
    <x v="315"/>
    <d v="2026-06-18T00:00:00"/>
    <n v="294"/>
    <n v="57"/>
  </r>
  <r>
    <m/>
    <m/>
    <n v="56"/>
    <x v="316"/>
    <x v="0"/>
    <m/>
    <n v="13050"/>
    <m/>
    <n v="11810.3"/>
    <x v="0"/>
    <s v="Тристар"/>
    <x v="23"/>
    <s v="Ревенко Андрей Вячеславович"/>
    <m/>
    <m/>
    <m/>
    <m/>
    <s v="А781РР"/>
    <m/>
    <x v="16"/>
    <x v="4"/>
    <n v="2"/>
    <x v="0"/>
    <s v="богара"/>
    <n v="15"/>
    <x v="14"/>
    <x v="0"/>
    <s v="-"/>
    <s v="53-63"/>
    <x v="0"/>
    <x v="316"/>
    <d v="2026-06-18T00:00:00"/>
    <n v="295"/>
    <n v="56"/>
  </r>
  <r>
    <m/>
    <m/>
    <n v="52"/>
    <x v="317"/>
    <x v="0"/>
    <m/>
    <n v="12920"/>
    <m/>
    <n v="11563.4"/>
    <x v="0"/>
    <s v="Тристар"/>
    <x v="24"/>
    <s v="Чигрин Н.А."/>
    <m/>
    <m/>
    <m/>
    <m/>
    <s v="А819ЕВ"/>
    <m/>
    <x v="16"/>
    <x v="4"/>
    <n v="2"/>
    <x v="0"/>
    <s v="богара"/>
    <n v="15"/>
    <x v="14"/>
    <x v="0"/>
    <s v="-"/>
    <s v="40-52"/>
    <x v="0"/>
    <x v="317"/>
    <d v="2026-06-18T00:00:00"/>
    <n v="296"/>
    <n v="52"/>
  </r>
  <r>
    <m/>
    <m/>
    <n v="53"/>
    <x v="318"/>
    <x v="0"/>
    <m/>
    <n v="12850"/>
    <m/>
    <n v="11243.8"/>
    <x v="0"/>
    <s v="Тристар"/>
    <x v="23"/>
    <s v="Рудик Александр Иванович"/>
    <m/>
    <m/>
    <m/>
    <m/>
    <s v="А309АТ"/>
    <m/>
    <x v="16"/>
    <x v="4"/>
    <n v="2"/>
    <x v="0"/>
    <s v="богара"/>
    <n v="15"/>
    <x v="14"/>
    <x v="0"/>
    <s v="-"/>
    <s v="53-63"/>
    <x v="0"/>
    <x v="318"/>
    <d v="2026-06-18T00:00:00"/>
    <n v="297"/>
    <n v="53"/>
  </r>
  <r>
    <m/>
    <m/>
    <n v="54"/>
    <x v="319"/>
    <x v="0"/>
    <m/>
    <n v="4450"/>
    <m/>
    <n v="3715.8"/>
    <x v="0"/>
    <s v="Тристар"/>
    <x v="23"/>
    <s v="Сайко Владимир Николаевич"/>
    <m/>
    <m/>
    <m/>
    <m/>
    <s v="Т919РВ"/>
    <m/>
    <x v="16"/>
    <x v="4"/>
    <n v="0.7"/>
    <x v="0"/>
    <s v="богара"/>
    <n v="15"/>
    <x v="14"/>
    <x v="0"/>
    <s v="-"/>
    <s v="53-63"/>
    <x v="0"/>
    <x v="319"/>
    <d v="2026-06-18T00:00:00"/>
    <n v="298"/>
    <n v="54"/>
  </r>
  <r>
    <m/>
    <m/>
    <n v="60"/>
    <x v="320"/>
    <x v="0"/>
    <m/>
    <n v="13170"/>
    <m/>
    <n v="11787.2"/>
    <x v="0"/>
    <s v="Тристар"/>
    <x v="23"/>
    <s v="Извеков Владимир Владимирович"/>
    <m/>
    <m/>
    <m/>
    <m/>
    <s v="Н378ХЕ"/>
    <m/>
    <x v="16"/>
    <x v="4"/>
    <n v="2.1"/>
    <x v="0"/>
    <s v="богара"/>
    <n v="15"/>
    <x v="14"/>
    <x v="0"/>
    <s v="-"/>
    <s v="53-63"/>
    <x v="0"/>
    <x v="320"/>
    <d v="2026-06-19T00:00:00"/>
    <n v="299"/>
    <n v="60"/>
  </r>
  <r>
    <m/>
    <m/>
    <n v="52"/>
    <x v="321"/>
    <x v="0"/>
    <m/>
    <n v="12870"/>
    <m/>
    <n v="11261.2"/>
    <x v="0"/>
    <s v="Тристар"/>
    <x v="24"/>
    <s v="Ревенко Андрей Вячеславович"/>
    <m/>
    <m/>
    <m/>
    <m/>
    <s v="А781РР"/>
    <m/>
    <x v="16"/>
    <x v="4"/>
    <n v="2"/>
    <x v="0"/>
    <s v="богара"/>
    <n v="15"/>
    <x v="14"/>
    <x v="0"/>
    <s v="-"/>
    <s v="40-52"/>
    <x v="0"/>
    <x v="321"/>
    <d v="2026-06-19T00:00:00"/>
    <n v="300"/>
    <n v="52"/>
  </r>
  <r>
    <m/>
    <m/>
    <n v="51"/>
    <x v="322"/>
    <x v="0"/>
    <m/>
    <n v="12860"/>
    <m/>
    <n v="10609.5"/>
    <x v="0"/>
    <s v="Тристар"/>
    <x v="24"/>
    <s v="Чигрин Н.А."/>
    <m/>
    <m/>
    <m/>
    <m/>
    <s v="А819ЕВ"/>
    <m/>
    <x v="16"/>
    <x v="4"/>
    <n v="2"/>
    <x v="0"/>
    <s v="богара"/>
    <n v="15"/>
    <x v="14"/>
    <x v="0"/>
    <s v="-"/>
    <s v="40-52"/>
    <x v="0"/>
    <x v="322"/>
    <d v="2026-06-19T00:00:00"/>
    <n v="301"/>
    <n v="51"/>
  </r>
  <r>
    <m/>
    <m/>
    <n v="52"/>
    <x v="323"/>
    <x v="0"/>
    <m/>
    <n v="12490"/>
    <m/>
    <n v="10679"/>
    <x v="0"/>
    <s v="Тристар"/>
    <x v="23"/>
    <s v="Рудик АИ"/>
    <m/>
    <m/>
    <m/>
    <m/>
    <s v="А309АТ"/>
    <m/>
    <x v="16"/>
    <x v="4"/>
    <n v="2"/>
    <x v="0"/>
    <s v="богара"/>
    <n v="15"/>
    <x v="14"/>
    <x v="0"/>
    <s v="-"/>
    <s v="40-52"/>
    <x v="0"/>
    <x v="323"/>
    <d v="2026-06-19T00:00:00"/>
    <n v="302"/>
    <n v="52"/>
  </r>
  <r>
    <m/>
    <m/>
    <n v="52"/>
    <x v="324"/>
    <x v="0"/>
    <m/>
    <n v="4120"/>
    <m/>
    <n v="3728.6"/>
    <x v="0"/>
    <s v="Тристар"/>
    <x v="23"/>
    <s v="Сайко Владимир Николаевич"/>
    <m/>
    <m/>
    <m/>
    <m/>
    <s v="Т919РВ"/>
    <m/>
    <x v="16"/>
    <x v="4"/>
    <n v="0.6"/>
    <x v="0"/>
    <s v="богара"/>
    <n v="15"/>
    <x v="14"/>
    <x v="0"/>
    <s v="-"/>
    <s v="40-52"/>
    <x v="0"/>
    <x v="324"/>
    <d v="2026-06-19T00:00:00"/>
    <n v="303"/>
    <n v="52"/>
  </r>
  <r>
    <m/>
    <m/>
    <n v="51"/>
    <x v="325"/>
    <x v="0"/>
    <m/>
    <n v="12840"/>
    <m/>
    <n v="10978.2"/>
    <x v="0"/>
    <s v="Тристар"/>
    <x v="23"/>
    <s v="Извеков Владимир Владимирович"/>
    <m/>
    <m/>
    <m/>
    <m/>
    <s v="Н378ХЕ"/>
    <m/>
    <x v="16"/>
    <x v="4"/>
    <n v="2"/>
    <x v="0"/>
    <s v="богара"/>
    <n v="15"/>
    <x v="14"/>
    <x v="0"/>
    <s v="-"/>
    <s v="40-52"/>
    <x v="0"/>
    <x v="325"/>
    <d v="2026-06-19T00:00:00"/>
    <n v="304"/>
    <n v="51"/>
  </r>
  <r>
    <m/>
    <m/>
    <n v="55"/>
    <x v="326"/>
    <x v="0"/>
    <m/>
    <n v="13640"/>
    <m/>
    <n v="11935"/>
    <x v="0"/>
    <s v="Тристар"/>
    <x v="23"/>
    <s v="Ревенко Андрей Вячеславович"/>
    <m/>
    <m/>
    <m/>
    <m/>
    <s v="А781РР"/>
    <m/>
    <x v="16"/>
    <x v="4"/>
    <n v="2.1"/>
    <x v="0"/>
    <s v="богара"/>
    <n v="15"/>
    <x v="14"/>
    <x v="0"/>
    <s v="-"/>
    <s v="53-63"/>
    <x v="0"/>
    <x v="326"/>
    <d v="2026-06-19T00:00:00"/>
    <n v="305"/>
    <n v="55"/>
  </r>
  <r>
    <m/>
    <m/>
    <n v="51"/>
    <x v="327"/>
    <x v="0"/>
    <m/>
    <n v="15380"/>
    <m/>
    <n v="13918.9"/>
    <x v="0"/>
    <s v="Тристар"/>
    <x v="24"/>
    <s v="Рудик АИ"/>
    <m/>
    <m/>
    <m/>
    <m/>
    <s v="А309АТ"/>
    <m/>
    <x v="16"/>
    <x v="4"/>
    <n v="2.9"/>
    <x v="0"/>
    <s v="богара"/>
    <n v="16"/>
    <x v="15"/>
    <x v="0"/>
    <s v="-"/>
    <s v="40-52"/>
    <x v="0"/>
    <x v="327"/>
    <d v="2026-06-19T00:00:00"/>
    <n v="306"/>
    <n v="51"/>
  </r>
  <r>
    <m/>
    <m/>
    <n v="52"/>
    <x v="328"/>
    <x v="0"/>
    <m/>
    <n v="4550"/>
    <m/>
    <n v="4072.3"/>
    <x v="0"/>
    <s v="Патриот"/>
    <x v="26"/>
    <s v="Роговской Роман Алексеевич"/>
    <m/>
    <m/>
    <m/>
    <m/>
    <s v="Т945РВ"/>
    <m/>
    <x v="18"/>
    <x v="6"/>
    <n v="1.4188888181760326"/>
    <x v="0"/>
    <s v="богара"/>
    <n v="16"/>
    <x v="15"/>
    <x v="0"/>
    <s v="-"/>
    <s v="40-52"/>
    <x v="0"/>
    <x v="328"/>
    <d v="2026-06-19T00:00:00"/>
    <n v="307"/>
    <n v="52"/>
  </r>
  <r>
    <m/>
    <m/>
    <n v="50"/>
    <x v="329"/>
    <x v="0"/>
    <m/>
    <n v="6150"/>
    <m/>
    <n v="5442.8"/>
    <x v="0"/>
    <s v="Патриот"/>
    <x v="26"/>
    <s v="Бербеницкий Сергей Николаевич"/>
    <m/>
    <m/>
    <m/>
    <m/>
    <s v="С400РР"/>
    <m/>
    <x v="18"/>
    <x v="6"/>
    <n v="1.9178387322599122"/>
    <x v="0"/>
    <s v="богара"/>
    <n v="16"/>
    <x v="15"/>
    <x v="0"/>
    <s v="-"/>
    <s v="40-52"/>
    <x v="0"/>
    <x v="329"/>
    <d v="2026-06-19T00:00:00"/>
    <n v="308"/>
    <n v="50"/>
  </r>
  <r>
    <m/>
    <m/>
    <n v="45"/>
    <x v="330"/>
    <x v="0"/>
    <m/>
    <n v="13770"/>
    <m/>
    <n v="11360.2"/>
    <x v="2"/>
    <s v="Тристар"/>
    <x v="27"/>
    <s v="Богучарский А. И."/>
    <m/>
    <m/>
    <m/>
    <m/>
    <s v="А718ВХ"/>
    <m/>
    <x v="19"/>
    <x v="4"/>
    <n v="3"/>
    <x v="2"/>
    <s v="полив"/>
    <n v="16"/>
    <x v="15"/>
    <x v="0"/>
    <s v="-"/>
    <s v="40-52"/>
    <x v="0"/>
    <x v="330"/>
    <d v="2026-06-19T00:00:00"/>
    <n v="1"/>
    <n v="45"/>
  </r>
  <r>
    <m/>
    <m/>
    <n v="42"/>
    <x v="331"/>
    <x v="0"/>
    <m/>
    <n v="4590"/>
    <m/>
    <n v="3878.5"/>
    <x v="1"/>
    <s v="Женева"/>
    <x v="21"/>
    <s v="Роговской Роман Алексеевич"/>
    <m/>
    <m/>
    <m/>
    <m/>
    <s v="Т945РВ"/>
    <m/>
    <x v="20"/>
    <x v="5"/>
    <n v="1"/>
    <x v="1"/>
    <s v="полив"/>
    <n v="16"/>
    <x v="15"/>
    <x v="0"/>
    <s v="-"/>
    <s v="40-52"/>
    <x v="0"/>
    <x v="331"/>
    <d v="2026-06-19T00:00:00"/>
    <n v="309"/>
    <n v="42"/>
  </r>
  <r>
    <m/>
    <m/>
    <n v="44"/>
    <x v="332"/>
    <x v="0"/>
    <m/>
    <n v="4490"/>
    <m/>
    <n v="3659.3"/>
    <x v="2"/>
    <s v="Женева"/>
    <x v="27"/>
    <s v="Сероштан Станислав Викторович"/>
    <m/>
    <m/>
    <m/>
    <m/>
    <s v="Е758РЕ"/>
    <m/>
    <x v="19"/>
    <x v="5"/>
    <n v="1"/>
    <x v="2"/>
    <s v="полив"/>
    <n v="16"/>
    <x v="15"/>
    <x v="0"/>
    <s v="-"/>
    <s v="40-52"/>
    <x v="0"/>
    <x v="332"/>
    <d v="2026-06-19T00:00:00"/>
    <n v="2"/>
    <n v="44"/>
  </r>
  <r>
    <m/>
    <m/>
    <n v="47"/>
    <x v="333"/>
    <x v="0"/>
    <m/>
    <n v="2350"/>
    <m/>
    <n v="1680.2"/>
    <x v="1"/>
    <s v="Женева"/>
    <x v="21"/>
    <s v="Сайко Владимир Николаевич"/>
    <m/>
    <m/>
    <m/>
    <m/>
    <s v="Т919РВ"/>
    <m/>
    <x v="20"/>
    <x v="5"/>
    <n v="0.5"/>
    <x v="1"/>
    <s v="полив"/>
    <n v="17"/>
    <x v="16"/>
    <x v="0"/>
    <s v="-"/>
    <s v="40-52"/>
    <x v="0"/>
    <x v="333"/>
    <d v="2026-06-20T00:00:00"/>
    <n v="310"/>
    <n v="47"/>
  </r>
  <r>
    <m/>
    <m/>
    <n v="50"/>
    <x v="334"/>
    <x v="0"/>
    <m/>
    <n v="4460"/>
    <m/>
    <n v="3902.5"/>
    <x v="2"/>
    <s v="Тристар"/>
    <x v="28"/>
    <s v="Чигрин Н.А."/>
    <m/>
    <m/>
    <m/>
    <m/>
    <s v="А819ЕВ"/>
    <m/>
    <x v="21"/>
    <x v="4"/>
    <n v="1"/>
    <x v="2"/>
    <s v="полив"/>
    <n v="17"/>
    <x v="16"/>
    <x v="0"/>
    <s v="-"/>
    <s v="40-52"/>
    <x v="0"/>
    <x v="334"/>
    <d v="2026-06-20T00:00:00"/>
    <n v="3"/>
    <n v="50"/>
  </r>
  <r>
    <m/>
    <m/>
    <n v="47"/>
    <x v="335"/>
    <x v="0"/>
    <m/>
    <n v="4440"/>
    <m/>
    <n v="3796.2"/>
    <x v="2"/>
    <s v="Тристар"/>
    <x v="27"/>
    <s v="Чигрин Н.А."/>
    <m/>
    <m/>
    <m/>
    <m/>
    <s v="А819ЕВ"/>
    <m/>
    <x v="19"/>
    <x v="4"/>
    <n v="1.2"/>
    <x v="2"/>
    <s v="полив"/>
    <n v="17"/>
    <x v="16"/>
    <x v="0"/>
    <s v="-"/>
    <s v="40-52"/>
    <x v="0"/>
    <x v="335"/>
    <d v="2026-06-20T00:00:00"/>
    <n v="3"/>
    <n v="47"/>
  </r>
  <r>
    <m/>
    <m/>
    <n v="53"/>
    <x v="336"/>
    <x v="0"/>
    <m/>
    <n v="12990"/>
    <m/>
    <n v="11106.4"/>
    <x v="2"/>
    <s v="Тристар"/>
    <x v="27"/>
    <s v="Деревянко Н.Н."/>
    <m/>
    <m/>
    <m/>
    <m/>
    <s v="Р699ОН"/>
    <m/>
    <x v="19"/>
    <x v="4"/>
    <n v="3.6"/>
    <x v="2"/>
    <s v="полив"/>
    <n v="17"/>
    <x v="16"/>
    <x v="0"/>
    <s v="-"/>
    <s v="53-63"/>
    <x v="0"/>
    <x v="336"/>
    <d v="2026-06-20T00:00:00"/>
    <n v="4"/>
    <n v="53"/>
  </r>
  <r>
    <m/>
    <m/>
    <n v="54"/>
    <x v="337"/>
    <x v="0"/>
    <m/>
    <n v="12870"/>
    <m/>
    <n v="11389.9"/>
    <x v="2"/>
    <s v="Тристар"/>
    <x v="27"/>
    <s v="Черевко Александр Владимирович"/>
    <m/>
    <m/>
    <m/>
    <m/>
    <s v="А114МК"/>
    <m/>
    <x v="19"/>
    <x v="4"/>
    <n v="3.6"/>
    <x v="2"/>
    <s v="полив"/>
    <n v="17"/>
    <x v="16"/>
    <x v="0"/>
    <s v="-"/>
    <s v="53-63"/>
    <x v="0"/>
    <x v="337"/>
    <d v="2026-06-21T00:00:00"/>
    <n v="5"/>
    <n v="54"/>
  </r>
  <r>
    <m/>
    <m/>
    <n v="53"/>
    <x v="338"/>
    <x v="0"/>
    <m/>
    <n v="3980"/>
    <m/>
    <n v="3562.1"/>
    <x v="2"/>
    <s v="Тристар"/>
    <x v="27"/>
    <s v="Сайко Владимир Николаевич"/>
    <m/>
    <m/>
    <m/>
    <m/>
    <s v="Т919РВ"/>
    <m/>
    <x v="19"/>
    <x v="4"/>
    <n v="1.1000000000000001"/>
    <x v="2"/>
    <s v="полив"/>
    <n v="17"/>
    <x v="16"/>
    <x v="0"/>
    <s v="-"/>
    <s v="53-63"/>
    <x v="0"/>
    <x v="338"/>
    <d v="2026-06-21T00:00:00"/>
    <n v="317"/>
    <n v="53"/>
  </r>
  <r>
    <m/>
    <m/>
    <n v="56"/>
    <x v="339"/>
    <x v="0"/>
    <m/>
    <n v="12720"/>
    <m/>
    <n v="11002.8"/>
    <x v="2"/>
    <s v="Тристар"/>
    <x v="27"/>
    <s v="Гужва А М."/>
    <m/>
    <m/>
    <m/>
    <m/>
    <s v="Т285ВЕ"/>
    <m/>
    <x v="19"/>
    <x v="4"/>
    <n v="3.5"/>
    <x v="2"/>
    <s v="полив"/>
    <n v="17"/>
    <x v="16"/>
    <x v="0"/>
    <s v="-"/>
    <s v="53-63"/>
    <x v="0"/>
    <x v="339"/>
    <d v="2026-06-21T00:00:00"/>
    <n v="6"/>
    <n v="56"/>
  </r>
  <r>
    <m/>
    <m/>
    <n v="56"/>
    <x v="340"/>
    <x v="0"/>
    <m/>
    <n v="12650"/>
    <m/>
    <n v="10942.2"/>
    <x v="2"/>
    <s v="Тристар"/>
    <x v="27"/>
    <s v="Рудик АИ"/>
    <m/>
    <m/>
    <m/>
    <m/>
    <s v="А309АТ"/>
    <m/>
    <x v="21"/>
    <x v="4"/>
    <n v="2"/>
    <x v="2"/>
    <s v="полив"/>
    <n v="18"/>
    <x v="17"/>
    <x v="0"/>
    <s v="-"/>
    <s v="53-63"/>
    <x v="0"/>
    <x v="340"/>
    <d v="2026-06-21T00:00:00"/>
    <n v="7"/>
    <n v="56"/>
  </r>
  <r>
    <m/>
    <m/>
    <n v="54"/>
    <x v="341"/>
    <x v="0"/>
    <m/>
    <n v="12990"/>
    <m/>
    <n v="10911.6"/>
    <x v="2"/>
    <s v="Тристар"/>
    <x v="27"/>
    <s v="Бербеницкий Сергей Николаевич"/>
    <m/>
    <m/>
    <m/>
    <m/>
    <s v="С400РР"/>
    <m/>
    <x v="21"/>
    <x v="4"/>
    <n v="2.1"/>
    <x v="2"/>
    <s v="полив"/>
    <n v="18"/>
    <x v="17"/>
    <x v="0"/>
    <s v="-"/>
    <s v="53-63"/>
    <x v="0"/>
    <x v="341"/>
    <d v="2026-06-21T00:00:00"/>
    <n v="9"/>
    <n v="54"/>
  </r>
  <r>
    <m/>
    <m/>
    <n v="56"/>
    <x v="342"/>
    <x v="0"/>
    <m/>
    <n v="12770"/>
    <m/>
    <n v="11620.7"/>
    <x v="2"/>
    <s v="Тристар"/>
    <x v="27"/>
    <s v="Богучарский А. И."/>
    <m/>
    <m/>
    <m/>
    <m/>
    <s v="А718ВХ"/>
    <m/>
    <x v="21"/>
    <x v="4"/>
    <n v="2"/>
    <x v="2"/>
    <s v="полив"/>
    <n v="18"/>
    <x v="17"/>
    <x v="0"/>
    <s v="-"/>
    <s v="53-63"/>
    <x v="0"/>
    <x v="342"/>
    <d v="2026-06-21T00:00:00"/>
    <n v="11"/>
    <n v="56"/>
  </r>
  <r>
    <m/>
    <m/>
    <n v="52"/>
    <x v="343"/>
    <x v="0"/>
    <m/>
    <n v="4340"/>
    <m/>
    <n v="3710.7"/>
    <x v="1"/>
    <s v="Женева"/>
    <x v="29"/>
    <s v="Роговской Роман Алексеевич"/>
    <m/>
    <m/>
    <m/>
    <m/>
    <s v="Т945РВ"/>
    <m/>
    <x v="20"/>
    <x v="5"/>
    <n v="0.8"/>
    <x v="1"/>
    <s v="полив"/>
    <n v="18"/>
    <x v="17"/>
    <x v="0"/>
    <s v="-"/>
    <s v="40-52"/>
    <x v="0"/>
    <x v="343"/>
    <d v="2026-06-21T00:00:00"/>
    <n v="311"/>
    <n v="52"/>
  </r>
  <r>
    <m/>
    <m/>
    <n v="53"/>
    <x v="344"/>
    <x v="0"/>
    <m/>
    <n v="13220"/>
    <m/>
    <n v="11369.2"/>
    <x v="1"/>
    <s v="Женева"/>
    <x v="29"/>
    <s v="Чигрин Н.А."/>
    <m/>
    <m/>
    <m/>
    <m/>
    <s v="А819ЕВ"/>
    <m/>
    <x v="20"/>
    <x v="5"/>
    <n v="2.6"/>
    <x v="1"/>
    <s v="полив"/>
    <n v="18"/>
    <x v="17"/>
    <x v="0"/>
    <s v="-"/>
    <s v="53-63"/>
    <x v="0"/>
    <x v="344"/>
    <d v="2026-06-21T00:00:00"/>
    <n v="312"/>
    <n v="53"/>
  </r>
  <r>
    <m/>
    <m/>
    <n v="57"/>
    <x v="345"/>
    <x v="0"/>
    <m/>
    <n v="12810"/>
    <m/>
    <n v="11657.1"/>
    <x v="2"/>
    <s v="Тристар"/>
    <x v="27"/>
    <s v="Сероштан Станислав Викторович"/>
    <m/>
    <m/>
    <m/>
    <m/>
    <s v="Е758РЕ"/>
    <m/>
    <x v="21"/>
    <x v="4"/>
    <n v="2"/>
    <x v="2"/>
    <s v="полив"/>
    <n v="18"/>
    <x v="17"/>
    <x v="0"/>
    <s v="-"/>
    <s v="53-63"/>
    <x v="0"/>
    <x v="345"/>
    <d v="2026-06-21T00:00:00"/>
    <n v="10"/>
    <n v="57"/>
  </r>
  <r>
    <m/>
    <m/>
    <n v="53"/>
    <x v="346"/>
    <x v="0"/>
    <m/>
    <n v="13650"/>
    <m/>
    <n v="12148.5"/>
    <x v="1"/>
    <s v="Женева"/>
    <x v="29"/>
    <s v="Бербеницкий Сергей Николаевич"/>
    <m/>
    <m/>
    <m/>
    <m/>
    <s v="С400РР"/>
    <m/>
    <x v="20"/>
    <x v="5"/>
    <n v="2.6"/>
    <x v="1"/>
    <s v="полив"/>
    <n v="18"/>
    <x v="17"/>
    <x v="0"/>
    <s v="-"/>
    <s v="53-63"/>
    <x v="0"/>
    <x v="346"/>
    <d v="2026-06-21T00:00:00"/>
    <n v="313"/>
    <n v="53"/>
  </r>
  <r>
    <m/>
    <m/>
    <n v="59"/>
    <x v="347"/>
    <x v="0"/>
    <m/>
    <n v="12870"/>
    <m/>
    <n v="11132.6"/>
    <x v="2"/>
    <s v="Тристар"/>
    <x v="27"/>
    <s v="Черевко Александр Владимирович"/>
    <m/>
    <m/>
    <m/>
    <m/>
    <s v="А114МК"/>
    <m/>
    <x v="21"/>
    <x v="4"/>
    <n v="2"/>
    <x v="2"/>
    <s v="полив"/>
    <n v="18"/>
    <x v="17"/>
    <x v="0"/>
    <s v="-"/>
    <s v="53-63"/>
    <x v="0"/>
    <x v="347"/>
    <d v="2026-06-21T00:00:00"/>
    <n v="12"/>
    <n v="59"/>
  </r>
  <r>
    <m/>
    <m/>
    <n v="57"/>
    <x v="348"/>
    <x v="0"/>
    <m/>
    <n v="13840"/>
    <m/>
    <n v="12040.8"/>
    <x v="1"/>
    <s v="Женева"/>
    <x v="29"/>
    <s v="Богучарский А. И."/>
    <m/>
    <m/>
    <m/>
    <m/>
    <s v="А718ВХ"/>
    <m/>
    <x v="20"/>
    <x v="5"/>
    <n v="2.7"/>
    <x v="1"/>
    <s v="полив"/>
    <n v="18"/>
    <x v="17"/>
    <x v="0"/>
    <s v="-"/>
    <s v="53-63"/>
    <x v="0"/>
    <x v="348"/>
    <d v="2026-06-21T00:00:00"/>
    <n v="314"/>
    <n v="57"/>
  </r>
  <r>
    <m/>
    <m/>
    <n v="62"/>
    <x v="349"/>
    <x v="0"/>
    <m/>
    <n v="13050"/>
    <m/>
    <n v="11679.8"/>
    <x v="2"/>
    <s v="Тристар"/>
    <x v="27"/>
    <s v="Рудик АИ"/>
    <m/>
    <m/>
    <m/>
    <m/>
    <s v="А309АТ"/>
    <m/>
    <x v="21"/>
    <x v="4"/>
    <n v="2.1"/>
    <x v="2"/>
    <s v="полив"/>
    <n v="18"/>
    <x v="17"/>
    <x v="0"/>
    <s v="-"/>
    <s v="53-63"/>
    <x v="0"/>
    <x v="349"/>
    <d v="2026-06-21T00:00:00"/>
    <n v="13"/>
    <n v="62"/>
  </r>
  <r>
    <m/>
    <m/>
    <n v="51"/>
    <x v="350"/>
    <x v="0"/>
    <m/>
    <n v="13550"/>
    <m/>
    <n v="11314.3"/>
    <x v="1"/>
    <s v="Женева"/>
    <x v="29"/>
    <s v="Кудря Евгений"/>
    <m/>
    <m/>
    <m/>
    <m/>
    <s v="А719ОО"/>
    <m/>
    <x v="20"/>
    <x v="5"/>
    <n v="2.6"/>
    <x v="1"/>
    <s v="полив"/>
    <n v="18"/>
    <x v="17"/>
    <x v="0"/>
    <s v="-"/>
    <s v="40-52"/>
    <x v="0"/>
    <x v="350"/>
    <d v="2026-06-21T00:00:00"/>
    <n v="315"/>
    <n v="51"/>
  </r>
  <r>
    <m/>
    <m/>
    <n v="51"/>
    <x v="351"/>
    <x v="0"/>
    <m/>
    <n v="4520"/>
    <m/>
    <n v="3751.6"/>
    <x v="1"/>
    <s v="Женева"/>
    <x v="29"/>
    <s v="Роговской Роман Алексеевич"/>
    <m/>
    <m/>
    <m/>
    <m/>
    <s v="Т945РВ"/>
    <m/>
    <x v="20"/>
    <x v="5"/>
    <n v="0.9"/>
    <x v="1"/>
    <s v="полив"/>
    <n v="18"/>
    <x v="17"/>
    <x v="0"/>
    <s v="-"/>
    <s v="40-52"/>
    <x v="0"/>
    <x v="351"/>
    <d v="2026-06-21T00:00:00"/>
    <n v="316"/>
    <n v="51"/>
  </r>
  <r>
    <m/>
    <m/>
    <n v="65"/>
    <x v="352"/>
    <x v="0"/>
    <m/>
    <n v="13150"/>
    <m/>
    <n v="11900.7"/>
    <x v="2"/>
    <s v="Тристар"/>
    <x v="27"/>
    <s v="Жданов Андрей Иванович"/>
    <m/>
    <m/>
    <m/>
    <m/>
    <s v="С707ОУ"/>
    <m/>
    <x v="21"/>
    <x v="4"/>
    <n v="2.1"/>
    <x v="2"/>
    <s v="полив"/>
    <n v="18"/>
    <x v="17"/>
    <x v="0"/>
    <s v="-"/>
    <s v="64-66"/>
    <x v="1"/>
    <x v="352"/>
    <d v="2026-06-21T00:00:00"/>
    <n v="14"/>
    <n v="65"/>
  </r>
  <r>
    <m/>
    <m/>
    <n v="51"/>
    <x v="353"/>
    <x v="0"/>
    <m/>
    <n v="4540"/>
    <m/>
    <n v="3927.1"/>
    <x v="1"/>
    <s v="Женева"/>
    <x v="29"/>
    <s v="Чигрин Н.А."/>
    <m/>
    <m/>
    <m/>
    <m/>
    <s v="А819ЕВ"/>
    <m/>
    <x v="20"/>
    <x v="5"/>
    <n v="0.9"/>
    <x v="1"/>
    <s v="полив"/>
    <n v="18"/>
    <x v="17"/>
    <x v="0"/>
    <s v="-"/>
    <s v="40-52"/>
    <x v="0"/>
    <x v="353"/>
    <d v="2026-06-21T00:00:00"/>
    <n v="317"/>
    <n v="51"/>
  </r>
  <r>
    <m/>
    <m/>
    <n v="63"/>
    <x v="354"/>
    <x v="0"/>
    <m/>
    <n v="13190"/>
    <m/>
    <n v="11871"/>
    <x v="2"/>
    <s v="Тристар"/>
    <x v="27"/>
    <s v="Погуляй А.Б.       "/>
    <m/>
    <m/>
    <m/>
    <m/>
    <s v="О824ТХ"/>
    <m/>
    <x v="21"/>
    <x v="4"/>
    <n v="2.1"/>
    <x v="2"/>
    <s v="полив"/>
    <n v="18"/>
    <x v="17"/>
    <x v="0"/>
    <s v="-"/>
    <s v="53-63"/>
    <x v="1"/>
    <x v="354"/>
    <d v="2026-06-21T00:00:00"/>
    <n v="15"/>
    <n v="63"/>
  </r>
  <r>
    <m/>
    <m/>
    <n v="52"/>
    <x v="355"/>
    <x v="0"/>
    <m/>
    <n v="4470"/>
    <m/>
    <n v="3352.5"/>
    <x v="1"/>
    <s v="Женева"/>
    <x v="21"/>
    <s v="Роговской Роман Алексеевич"/>
    <m/>
    <m/>
    <m/>
    <m/>
    <s v="Т945РВ"/>
    <m/>
    <x v="20"/>
    <x v="5"/>
    <n v="0.9"/>
    <x v="1"/>
    <s v="полив"/>
    <n v="18"/>
    <x v="17"/>
    <x v="0"/>
    <s v="-"/>
    <s v="40-52"/>
    <x v="0"/>
    <x v="355"/>
    <d v="2026-06-21T00:00:00"/>
    <n v="318"/>
    <n v="52"/>
  </r>
  <r>
    <m/>
    <m/>
    <n v="59"/>
    <x v="356"/>
    <x v="0"/>
    <m/>
    <n v="8830"/>
    <m/>
    <n v="7902.9"/>
    <x v="2"/>
    <s v="Тристар"/>
    <x v="27"/>
    <s v="Сероштан Станислав Викторович"/>
    <m/>
    <m/>
    <m/>
    <m/>
    <s v="Е758РЕ"/>
    <m/>
    <x v="21"/>
    <x v="4"/>
    <n v="1.4"/>
    <x v="2"/>
    <s v="полив"/>
    <n v="18"/>
    <x v="17"/>
    <x v="0"/>
    <s v="-"/>
    <s v="53-63"/>
    <x v="0"/>
    <x v="356"/>
    <d v="2026-06-21T00:00:00"/>
    <n v="16"/>
    <n v="59"/>
  </r>
  <r>
    <m/>
    <m/>
    <n v="51"/>
    <x v="357"/>
    <x v="0"/>
    <m/>
    <n v="8940"/>
    <m/>
    <n v="8090.7"/>
    <x v="1"/>
    <s v="Женева"/>
    <x v="29"/>
    <s v="Магадиев Александр Сайлаувич"/>
    <m/>
    <m/>
    <m/>
    <m/>
    <s v="У184НО"/>
    <m/>
    <x v="20"/>
    <x v="5"/>
    <n v="1.7"/>
    <x v="1"/>
    <s v="полив"/>
    <n v="18"/>
    <x v="17"/>
    <x v="0"/>
    <s v="-"/>
    <s v="40-52"/>
    <x v="0"/>
    <x v="357"/>
    <d v="2026-06-21T00:00:00"/>
    <n v="319"/>
    <n v="51"/>
  </r>
  <r>
    <m/>
    <m/>
    <n v="51"/>
    <x v="358"/>
    <x v="0"/>
    <m/>
    <n v="4410"/>
    <m/>
    <n v="3682.4"/>
    <x v="1"/>
    <s v="Женева"/>
    <x v="29"/>
    <s v="Чигрин Н.А."/>
    <m/>
    <m/>
    <m/>
    <m/>
    <s v="А819ЕВ"/>
    <m/>
    <x v="20"/>
    <x v="5"/>
    <n v="0.9"/>
    <x v="1"/>
    <s v="полив"/>
    <n v="18"/>
    <x v="17"/>
    <x v="0"/>
    <s v="-"/>
    <s v="40-52"/>
    <x v="0"/>
    <x v="358"/>
    <d v="2026-06-21T00:00:00"/>
    <n v="320"/>
    <n v="51"/>
  </r>
  <r>
    <m/>
    <m/>
    <n v="58"/>
    <x v="359"/>
    <x v="0"/>
    <m/>
    <n v="13190"/>
    <m/>
    <n v="12200.8"/>
    <x v="2"/>
    <s v="Тристар"/>
    <x v="27"/>
    <s v="Бербеницкий Сергей Николаевич"/>
    <m/>
    <m/>
    <m/>
    <m/>
    <s v="С400РР"/>
    <m/>
    <x v="21"/>
    <x v="4"/>
    <n v="2.1"/>
    <x v="2"/>
    <s v="полив"/>
    <n v="18"/>
    <x v="17"/>
    <x v="0"/>
    <s v="-"/>
    <s v="53-63"/>
    <x v="0"/>
    <x v="359"/>
    <d v="2026-06-22T00:00:00"/>
    <n v="17"/>
    <n v="58"/>
  </r>
  <r>
    <m/>
    <m/>
    <n v="52"/>
    <x v="360"/>
    <x v="0"/>
    <m/>
    <n v="4470"/>
    <m/>
    <n v="3821.9"/>
    <x v="1"/>
    <s v="Женева"/>
    <x v="29"/>
    <s v="Роговской Роман Алексеевич"/>
    <m/>
    <m/>
    <m/>
    <m/>
    <s v="Т945РВ"/>
    <m/>
    <x v="20"/>
    <x v="5"/>
    <n v="0.9"/>
    <x v="1"/>
    <s v="полив"/>
    <n v="18"/>
    <x v="17"/>
    <x v="0"/>
    <s v="-"/>
    <s v="40-52"/>
    <x v="0"/>
    <x v="360"/>
    <d v="2026-06-22T00:00:00"/>
    <n v="321"/>
    <n v="52"/>
  </r>
  <r>
    <m/>
    <m/>
    <n v="55"/>
    <x v="361"/>
    <x v="0"/>
    <m/>
    <n v="4440"/>
    <m/>
    <n v="3574.2"/>
    <x v="1"/>
    <s v="Женева"/>
    <x v="29"/>
    <s v="Чигрин Н.А."/>
    <m/>
    <m/>
    <m/>
    <m/>
    <s v="А819ЕВ"/>
    <m/>
    <x v="20"/>
    <x v="5"/>
    <n v="0.9"/>
    <x v="1"/>
    <s v="полив"/>
    <n v="18"/>
    <x v="17"/>
    <x v="0"/>
    <s v="-"/>
    <s v="53-63"/>
    <x v="0"/>
    <x v="361"/>
    <d v="2026-06-22T00:00:00"/>
    <n v="322"/>
    <n v="55"/>
  </r>
  <r>
    <m/>
    <m/>
    <n v="57"/>
    <x v="362"/>
    <x v="0"/>
    <m/>
    <n v="12810"/>
    <m/>
    <n v="11464.9"/>
    <x v="2"/>
    <s v="Тристар"/>
    <x v="27"/>
    <s v="Черевко Александр Владимирович"/>
    <m/>
    <m/>
    <m/>
    <m/>
    <s v="А114МК"/>
    <m/>
    <x v="21"/>
    <x v="4"/>
    <n v="2"/>
    <x v="2"/>
    <s v="полив"/>
    <n v="18"/>
    <x v="17"/>
    <x v="0"/>
    <s v="-"/>
    <s v="53-63"/>
    <x v="0"/>
    <x v="362"/>
    <d v="2026-06-22T00:00:00"/>
    <n v="18"/>
    <n v="57"/>
  </r>
  <r>
    <m/>
    <m/>
    <n v="59"/>
    <x v="363"/>
    <x v="0"/>
    <m/>
    <n v="12750"/>
    <m/>
    <n v="11028.7"/>
    <x v="2"/>
    <s v="Тристар"/>
    <x v="27"/>
    <s v="Богучарский А. И."/>
    <m/>
    <m/>
    <m/>
    <m/>
    <s v="А718ВХ"/>
    <m/>
    <x v="21"/>
    <x v="4"/>
    <n v="2"/>
    <x v="2"/>
    <s v="полив"/>
    <n v="18"/>
    <x v="17"/>
    <x v="0"/>
    <s v="-"/>
    <s v="53-63"/>
    <x v="0"/>
    <x v="363"/>
    <d v="2026-06-22T00:00:00"/>
    <n v="19"/>
    <n v="59"/>
  </r>
  <r>
    <m/>
    <m/>
    <n v="54"/>
    <x v="364"/>
    <x v="0"/>
    <m/>
    <n v="4500"/>
    <m/>
    <n v="4027.5"/>
    <x v="1"/>
    <s v="Женева"/>
    <x v="29"/>
    <s v="Роговской Роман Алексеевич"/>
    <m/>
    <m/>
    <m/>
    <m/>
    <s v="Т945РВ"/>
    <m/>
    <x v="20"/>
    <x v="5"/>
    <n v="0.9"/>
    <x v="1"/>
    <s v="полив"/>
    <n v="18"/>
    <x v="17"/>
    <x v="0"/>
    <s v="-"/>
    <s v="53-63"/>
    <x v="0"/>
    <x v="364"/>
    <d v="2026-06-22T00:00:00"/>
    <n v="323"/>
    <n v="54"/>
  </r>
  <r>
    <m/>
    <m/>
    <n v="61"/>
    <x v="365"/>
    <x v="0"/>
    <m/>
    <n v="12790"/>
    <m/>
    <n v="11958.7"/>
    <x v="2"/>
    <s v="Тристар"/>
    <x v="27"/>
    <s v="Кудря Евгений"/>
    <m/>
    <m/>
    <m/>
    <m/>
    <s v="А719ОО"/>
    <m/>
    <x v="21"/>
    <x v="4"/>
    <n v="2"/>
    <x v="2"/>
    <s v="полив"/>
    <n v="18"/>
    <x v="17"/>
    <x v="0"/>
    <s v="-"/>
    <s v="53-63"/>
    <x v="0"/>
    <x v="365"/>
    <d v="2026-06-22T00:00:00"/>
    <n v="20"/>
    <n v="61"/>
  </r>
  <r>
    <m/>
    <m/>
    <n v="53"/>
    <x v="366"/>
    <x v="0"/>
    <m/>
    <n v="4320"/>
    <m/>
    <n v="3780"/>
    <x v="1"/>
    <s v="Женева"/>
    <x v="29"/>
    <s v="Чигрин Н.А."/>
    <m/>
    <m/>
    <m/>
    <m/>
    <s v="А819ЕВ"/>
    <m/>
    <x v="20"/>
    <x v="5"/>
    <n v="0.8"/>
    <x v="1"/>
    <s v="полив"/>
    <n v="18"/>
    <x v="17"/>
    <x v="0"/>
    <s v="-"/>
    <s v="53-63"/>
    <x v="0"/>
    <x v="366"/>
    <d v="2026-06-22T00:00:00"/>
    <n v="324"/>
    <n v="53"/>
  </r>
  <r>
    <m/>
    <m/>
    <n v="59"/>
    <x v="367"/>
    <x v="0"/>
    <m/>
    <n v="12890"/>
    <m/>
    <n v="11665.5"/>
    <x v="2"/>
    <s v="Тристар"/>
    <x v="27"/>
    <s v="Рудик АИ"/>
    <m/>
    <m/>
    <m/>
    <m/>
    <s v="А309АТ"/>
    <m/>
    <x v="21"/>
    <x v="4"/>
    <n v="2"/>
    <x v="2"/>
    <s v="полив"/>
    <n v="18"/>
    <x v="17"/>
    <x v="0"/>
    <s v="-"/>
    <s v="53-63"/>
    <x v="0"/>
    <x v="367"/>
    <d v="2026-06-22T00:00:00"/>
    <n v="21"/>
    <n v="59"/>
  </r>
  <r>
    <m/>
    <m/>
    <n v="57"/>
    <x v="368"/>
    <x v="0"/>
    <m/>
    <n v="12670"/>
    <m/>
    <n v="11339.7"/>
    <x v="2"/>
    <s v="Тристар"/>
    <x v="27"/>
    <s v="Кулик О В"/>
    <m/>
    <m/>
    <m/>
    <m/>
    <s v="К403ЕМ"/>
    <m/>
    <x v="21"/>
    <x v="4"/>
    <n v="2"/>
    <x v="2"/>
    <s v="полив"/>
    <n v="18"/>
    <x v="17"/>
    <x v="0"/>
    <s v="-"/>
    <s v="53-63"/>
    <x v="0"/>
    <x v="368"/>
    <d v="2026-06-22T00:00:00"/>
    <n v="22"/>
    <n v="57"/>
  </r>
  <r>
    <m/>
    <m/>
    <n v="60"/>
    <x v="369"/>
    <x v="0"/>
    <m/>
    <n v="12830"/>
    <m/>
    <n v="11739.5"/>
    <x v="2"/>
    <s v="Тристар"/>
    <x v="27"/>
    <s v="Сероштан Станислав Викторович"/>
    <m/>
    <m/>
    <m/>
    <m/>
    <s v="Е758РЕ"/>
    <m/>
    <x v="21"/>
    <x v="4"/>
    <n v="2"/>
    <x v="2"/>
    <s v="полив"/>
    <n v="18"/>
    <x v="17"/>
    <x v="0"/>
    <s v="-"/>
    <s v="53-63"/>
    <x v="0"/>
    <x v="369"/>
    <d v="2026-06-22T00:00:00"/>
    <n v="23"/>
    <n v="60"/>
  </r>
  <r>
    <m/>
    <m/>
    <n v="52"/>
    <x v="370"/>
    <x v="0"/>
    <m/>
    <n v="9170"/>
    <m/>
    <n v="7932.1"/>
    <x v="1"/>
    <s v="Женева"/>
    <x v="29"/>
    <s v="Осипов Александр Николаевич"/>
    <m/>
    <m/>
    <m/>
    <m/>
    <s v="Е732УС"/>
    <m/>
    <x v="20"/>
    <x v="5"/>
    <n v="1.4"/>
    <x v="1"/>
    <s v="полив"/>
    <n v="19"/>
    <x v="18"/>
    <x v="0"/>
    <s v="-"/>
    <s v="40-52"/>
    <x v="0"/>
    <x v="370"/>
    <d v="2026-06-22T00:00:00"/>
    <n v="325"/>
    <n v="52"/>
  </r>
  <r>
    <m/>
    <m/>
    <n v="61"/>
    <x v="371"/>
    <x v="0"/>
    <m/>
    <n v="12870"/>
    <m/>
    <n v="11647.4"/>
    <x v="2"/>
    <s v="Тристар"/>
    <x v="27"/>
    <s v="Магадиев Александр Сайлаувич"/>
    <m/>
    <m/>
    <m/>
    <m/>
    <s v="У184НО"/>
    <m/>
    <x v="19"/>
    <x v="4"/>
    <n v="3.4"/>
    <x v="2"/>
    <s v="полив"/>
    <n v="19"/>
    <x v="18"/>
    <x v="0"/>
    <s v="-"/>
    <s v="53-63"/>
    <x v="0"/>
    <x v="371"/>
    <d v="2026-06-22T00:00:00"/>
    <n v="24"/>
    <n v="61"/>
  </r>
  <r>
    <m/>
    <m/>
    <n v="47"/>
    <x v="372"/>
    <x v="0"/>
    <m/>
    <n v="4600"/>
    <m/>
    <n v="3726"/>
    <x v="1"/>
    <s v="Женева"/>
    <x v="29"/>
    <s v="Сайко Владимир Николаевич"/>
    <m/>
    <m/>
    <m/>
    <m/>
    <s v="Т919РВ"/>
    <m/>
    <x v="20"/>
    <x v="5"/>
    <n v="0.7"/>
    <x v="1"/>
    <s v="полив"/>
    <n v="19"/>
    <x v="18"/>
    <x v="0"/>
    <s v="-"/>
    <s v="40-52"/>
    <x v="0"/>
    <x v="372"/>
    <d v="2026-06-22T00:00:00"/>
    <n v="326"/>
    <n v="47"/>
  </r>
  <r>
    <m/>
    <m/>
    <n v="59"/>
    <x v="373"/>
    <x v="0"/>
    <m/>
    <n v="13140"/>
    <m/>
    <n v="12154.5"/>
    <x v="2"/>
    <s v="Тристар"/>
    <x v="27"/>
    <s v="Бербеницкий Сергей Николаевич"/>
    <m/>
    <m/>
    <m/>
    <m/>
    <s v="С400РР"/>
    <m/>
    <x v="19"/>
    <x v="4"/>
    <n v="3.5"/>
    <x v="2"/>
    <s v="полив"/>
    <n v="19"/>
    <x v="18"/>
    <x v="0"/>
    <s v="-"/>
    <s v="53-63"/>
    <x v="0"/>
    <x v="373"/>
    <d v="2026-06-22T00:00:00"/>
    <n v="25"/>
    <n v="59"/>
  </r>
  <r>
    <m/>
    <m/>
    <n v="65"/>
    <x v="374"/>
    <x v="0"/>
    <m/>
    <n v="13140"/>
    <m/>
    <n v="12023.1"/>
    <x v="2"/>
    <s v="Тристар"/>
    <x v="27"/>
    <s v="Черевко Александр Владимирович"/>
    <m/>
    <m/>
    <m/>
    <m/>
    <s v="А114МК"/>
    <m/>
    <x v="19"/>
    <x v="4"/>
    <n v="3.5"/>
    <x v="2"/>
    <s v="полив"/>
    <n v="19"/>
    <x v="18"/>
    <x v="0"/>
    <s v="-"/>
    <s v="64-66"/>
    <x v="1"/>
    <x v="374"/>
    <d v="2026-06-22T00:00:00"/>
    <n v="26"/>
    <n v="65"/>
  </r>
  <r>
    <m/>
    <m/>
    <n v="63"/>
    <x v="375"/>
    <x v="0"/>
    <m/>
    <n v="16020"/>
    <m/>
    <n v="14658.3"/>
    <x v="2"/>
    <s v="Тристар"/>
    <x v="27"/>
    <s v="Чернецов Александр"/>
    <m/>
    <m/>
    <m/>
    <m/>
    <s v="В577ЕТ"/>
    <m/>
    <x v="19"/>
    <x v="4"/>
    <n v="4.2"/>
    <x v="2"/>
    <s v="полив"/>
    <n v="19"/>
    <x v="18"/>
    <x v="0"/>
    <s v="-"/>
    <s v="53-63"/>
    <x v="0"/>
    <x v="375"/>
    <d v="2026-06-22T00:00:00"/>
    <n v="27"/>
    <n v="63"/>
  </r>
  <r>
    <m/>
    <m/>
    <n v="52"/>
    <x v="376"/>
    <x v="0"/>
    <m/>
    <n v="9200"/>
    <m/>
    <n v="8234"/>
    <x v="1"/>
    <s v="Женева"/>
    <x v="21"/>
    <s v="Осипов Александр Николаевич"/>
    <m/>
    <m/>
    <m/>
    <m/>
    <s v="Е732УС"/>
    <m/>
    <x v="20"/>
    <x v="5"/>
    <n v="1.4"/>
    <x v="1"/>
    <s v="полив"/>
    <n v="19"/>
    <x v="18"/>
    <x v="0"/>
    <s v="-"/>
    <s v="40-52"/>
    <x v="0"/>
    <x v="376"/>
    <d v="2026-06-22T00:00:00"/>
    <n v="327"/>
    <n v="52"/>
  </r>
  <r>
    <m/>
    <m/>
    <n v="48"/>
    <x v="377"/>
    <x v="0"/>
    <m/>
    <n v="4600"/>
    <m/>
    <n v="4025"/>
    <x v="1"/>
    <s v="Женева"/>
    <x v="29"/>
    <s v="Сайко Владимир Николаевич"/>
    <m/>
    <m/>
    <m/>
    <m/>
    <s v="Т919РВ"/>
    <m/>
    <x v="20"/>
    <x v="5"/>
    <n v="0.7"/>
    <x v="1"/>
    <s v="полив"/>
    <n v="19"/>
    <x v="18"/>
    <x v="0"/>
    <s v="-"/>
    <s v="40-52"/>
    <x v="0"/>
    <x v="377"/>
    <d v="2026-06-22T00:00:00"/>
    <n v="328"/>
    <n v="48"/>
  </r>
  <r>
    <m/>
    <m/>
    <n v="63"/>
    <x v="378"/>
    <x v="0"/>
    <m/>
    <n v="13260"/>
    <m/>
    <n v="12398.1"/>
    <x v="2"/>
    <s v="Тристар"/>
    <x v="28"/>
    <s v="Кудря Евгений"/>
    <m/>
    <m/>
    <m/>
    <m/>
    <s v="А719ОО"/>
    <m/>
    <x v="21"/>
    <x v="4"/>
    <n v="1.8"/>
    <x v="2"/>
    <s v="полив"/>
    <n v="19"/>
    <x v="18"/>
    <x v="0"/>
    <s v="-"/>
    <s v="53-63"/>
    <x v="1"/>
    <x v="378"/>
    <d v="2026-06-22T00:00:00"/>
    <n v="28"/>
    <n v="63"/>
  </r>
  <r>
    <m/>
    <m/>
    <n v="62"/>
    <x v="379"/>
    <x v="0"/>
    <m/>
    <n v="13090"/>
    <m/>
    <n v="11977.4"/>
    <x v="2"/>
    <s v="Тристар"/>
    <x v="28"/>
    <s v="Деревянко Н.Н."/>
    <m/>
    <m/>
    <m/>
    <m/>
    <s v="Р699ОН"/>
    <m/>
    <x v="21"/>
    <x v="4"/>
    <n v="1.8"/>
    <x v="2"/>
    <s v="полив"/>
    <n v="19"/>
    <x v="18"/>
    <x v="0"/>
    <s v="-"/>
    <s v="53-63"/>
    <x v="0"/>
    <x v="379"/>
    <d v="2026-06-22T00:00:00"/>
    <n v="29"/>
    <n v="62"/>
  </r>
  <r>
    <m/>
    <m/>
    <n v="59"/>
    <x v="380"/>
    <x v="0"/>
    <m/>
    <n v="13440"/>
    <m/>
    <n v="12028.8"/>
    <x v="2"/>
    <s v="Тристар"/>
    <x v="28"/>
    <s v="Фомин Николай Григорьевич"/>
    <m/>
    <m/>
    <m/>
    <m/>
    <s v="А731ВА"/>
    <m/>
    <x v="21"/>
    <x v="4"/>
    <n v="1.8"/>
    <x v="2"/>
    <s v="полив"/>
    <n v="19"/>
    <x v="18"/>
    <x v="0"/>
    <s v="-"/>
    <s v="53-63"/>
    <x v="0"/>
    <x v="380"/>
    <d v="2026-06-22T00:00:00"/>
    <n v="30"/>
    <n v="59"/>
  </r>
  <r>
    <m/>
    <m/>
    <n v="53"/>
    <x v="381"/>
    <x v="0"/>
    <m/>
    <n v="9180"/>
    <m/>
    <n v="7940.7"/>
    <x v="1"/>
    <s v="Женева"/>
    <x v="29"/>
    <s v="Осипов Александр Николаевич"/>
    <m/>
    <m/>
    <m/>
    <m/>
    <s v="Е732УС"/>
    <m/>
    <x v="20"/>
    <x v="5"/>
    <n v="1.4"/>
    <x v="1"/>
    <s v="полив"/>
    <n v="19"/>
    <x v="18"/>
    <x v="0"/>
    <s v="-"/>
    <s v="53-63"/>
    <x v="0"/>
    <x v="381"/>
    <d v="2026-06-22T00:00:00"/>
    <n v="329"/>
    <n v="53"/>
  </r>
  <r>
    <m/>
    <m/>
    <n v="54"/>
    <x v="382"/>
    <x v="0"/>
    <m/>
    <n v="4530"/>
    <m/>
    <n v="3895.8"/>
    <x v="1"/>
    <s v="Женева"/>
    <x v="29"/>
    <s v="Сайко Владимир Николаевич"/>
    <m/>
    <m/>
    <m/>
    <m/>
    <s v="Т919РВ"/>
    <m/>
    <x v="20"/>
    <x v="5"/>
    <n v="0.7"/>
    <x v="1"/>
    <s v="полив"/>
    <n v="19"/>
    <x v="18"/>
    <x v="0"/>
    <s v="-"/>
    <s v="53-63"/>
    <x v="0"/>
    <x v="382"/>
    <d v="2026-06-22T00:00:00"/>
    <n v="330"/>
    <n v="54"/>
  </r>
  <r>
    <m/>
    <m/>
    <n v="58"/>
    <x v="383"/>
    <x v="0"/>
    <m/>
    <n v="13330"/>
    <m/>
    <n v="11730.4"/>
    <x v="2"/>
    <s v="Тристар"/>
    <x v="28"/>
    <s v="Рудик АИ"/>
    <m/>
    <m/>
    <m/>
    <m/>
    <s v="А309АТ"/>
    <m/>
    <x v="21"/>
    <x v="4"/>
    <n v="1.8"/>
    <x v="2"/>
    <s v="полив"/>
    <n v="19"/>
    <x v="18"/>
    <x v="0"/>
    <s v="-"/>
    <s v="53-63"/>
    <x v="0"/>
    <x v="383"/>
    <d v="2026-06-22T00:00:00"/>
    <n v="31"/>
    <n v="58"/>
  </r>
  <r>
    <m/>
    <m/>
    <n v="59"/>
    <x v="384"/>
    <x v="0"/>
    <m/>
    <n v="13200"/>
    <m/>
    <n v="12078"/>
    <x v="2"/>
    <s v="Тристар"/>
    <x v="28"/>
    <s v="Богучарский А. И."/>
    <m/>
    <m/>
    <m/>
    <m/>
    <s v="А718ВХ"/>
    <m/>
    <x v="21"/>
    <x v="4"/>
    <n v="1.8"/>
    <x v="2"/>
    <s v="полив"/>
    <n v="19"/>
    <x v="18"/>
    <x v="0"/>
    <s v="-"/>
    <s v="53-63"/>
    <x v="0"/>
    <x v="384"/>
    <d v="2026-06-22T00:00:00"/>
    <n v="32"/>
    <n v="59"/>
  </r>
  <r>
    <m/>
    <m/>
    <n v="66"/>
    <x v="385"/>
    <x v="0"/>
    <m/>
    <n v="13090"/>
    <m/>
    <n v="11846.5"/>
    <x v="2"/>
    <s v="Тристар"/>
    <x v="28"/>
    <s v="Кулик О В"/>
    <m/>
    <m/>
    <m/>
    <m/>
    <s v="К403ЕМ"/>
    <m/>
    <x v="21"/>
    <x v="4"/>
    <n v="1.8"/>
    <x v="2"/>
    <s v="полив"/>
    <n v="19"/>
    <x v="18"/>
    <x v="0"/>
    <s v="-"/>
    <s v="64-66"/>
    <x v="1"/>
    <x v="385"/>
    <d v="2026-06-23T00:00:00"/>
    <n v="33"/>
    <n v="66"/>
  </r>
  <r>
    <m/>
    <m/>
    <n v="57"/>
    <x v="386"/>
    <x v="0"/>
    <m/>
    <n v="9140"/>
    <m/>
    <n v="7997.5"/>
    <x v="1"/>
    <s v="Женева"/>
    <x v="30"/>
    <s v="Осипов Александр Николаевич"/>
    <m/>
    <m/>
    <m/>
    <m/>
    <s v="Е732УС"/>
    <m/>
    <x v="22"/>
    <x v="5"/>
    <n v="4"/>
    <x v="1"/>
    <s v="полив"/>
    <n v="19"/>
    <x v="18"/>
    <x v="0"/>
    <s v="-"/>
    <s v="53-63"/>
    <x v="0"/>
    <x v="386"/>
    <d v="2026-06-23T00:00:00"/>
    <n v="331"/>
    <n v="57"/>
  </r>
  <r>
    <m/>
    <m/>
    <n v="65"/>
    <x v="387"/>
    <x v="0"/>
    <m/>
    <n v="12870"/>
    <m/>
    <n v="11068.2"/>
    <x v="2"/>
    <s v="Тристар"/>
    <x v="28"/>
    <s v="Ушаков С Е."/>
    <m/>
    <m/>
    <m/>
    <m/>
    <s v="О212РТ"/>
    <m/>
    <x v="21"/>
    <x v="4"/>
    <n v="1.7"/>
    <x v="2"/>
    <s v="полив"/>
    <n v="19"/>
    <x v="18"/>
    <x v="0"/>
    <s v="-"/>
    <s v="64-66"/>
    <x v="1"/>
    <x v="387"/>
    <d v="2026-06-23T00:00:00"/>
    <n v="34"/>
    <n v="65"/>
  </r>
  <r>
    <m/>
    <m/>
    <n v="66"/>
    <x v="388"/>
    <x v="0"/>
    <m/>
    <n v="12800"/>
    <m/>
    <n v="11200"/>
    <x v="2"/>
    <s v="Тристар"/>
    <x v="28"/>
    <s v="Сероштан Станислав Викторович"/>
    <m/>
    <m/>
    <m/>
    <m/>
    <s v="Е758РЕ"/>
    <m/>
    <x v="21"/>
    <x v="4"/>
    <n v="1.7"/>
    <x v="2"/>
    <s v="полив"/>
    <n v="19"/>
    <x v="18"/>
    <x v="0"/>
    <s v="-"/>
    <s v="64-66"/>
    <x v="1"/>
    <x v="388"/>
    <d v="2026-06-23T00:00:00"/>
    <n v="35"/>
    <n v="66"/>
  </r>
  <r>
    <m/>
    <m/>
    <n v="55"/>
    <x v="389"/>
    <x v="0"/>
    <m/>
    <n v="4690"/>
    <m/>
    <n v="4197.6000000000004"/>
    <x v="1"/>
    <s v="Женева"/>
    <x v="30"/>
    <s v="Сайко Владимир Николаевич"/>
    <m/>
    <m/>
    <m/>
    <m/>
    <s v="Т919РВ"/>
    <m/>
    <x v="22"/>
    <x v="5"/>
    <n v="2"/>
    <x v="1"/>
    <s v="полив"/>
    <n v="19"/>
    <x v="18"/>
    <x v="0"/>
    <s v="-"/>
    <s v="53-63"/>
    <x v="0"/>
    <x v="389"/>
    <d v="2026-06-23T00:00:00"/>
    <n v="332"/>
    <n v="55"/>
  </r>
  <r>
    <m/>
    <m/>
    <n v="65"/>
    <x v="390"/>
    <x v="0"/>
    <m/>
    <n v="12810"/>
    <m/>
    <n v="11849.3"/>
    <x v="2"/>
    <s v="Тристар"/>
    <x v="28"/>
    <s v="Магадиев Александр Сайлаувич"/>
    <m/>
    <m/>
    <m/>
    <m/>
    <s v="У184НО"/>
    <m/>
    <x v="21"/>
    <x v="4"/>
    <n v="1.7"/>
    <x v="2"/>
    <s v="полив"/>
    <n v="19"/>
    <x v="18"/>
    <x v="0"/>
    <s v="-"/>
    <s v="64-66"/>
    <x v="1"/>
    <x v="390"/>
    <d v="2026-06-23T00:00:00"/>
    <n v="36"/>
    <n v="65"/>
  </r>
  <r>
    <m/>
    <m/>
    <n v="69"/>
    <x v="391"/>
    <x v="0"/>
    <m/>
    <n v="12780"/>
    <m/>
    <n v="11054.7"/>
    <x v="2"/>
    <s v="Тристар"/>
    <x v="28"/>
    <s v="Никитась Сергей Анатольевич"/>
    <m/>
    <m/>
    <m/>
    <m/>
    <s v="К570ЕО"/>
    <m/>
    <x v="21"/>
    <x v="4"/>
    <n v="1.7"/>
    <x v="2"/>
    <s v="полив"/>
    <n v="19"/>
    <x v="18"/>
    <x v="0"/>
    <s v="-"/>
    <s v="67-85"/>
    <x v="0"/>
    <x v="391"/>
    <d v="2026-06-23T00:00:00"/>
    <n v="37"/>
    <n v="69"/>
  </r>
  <r>
    <m/>
    <m/>
    <n v="59"/>
    <x v="392"/>
    <x v="0"/>
    <m/>
    <n v="12960"/>
    <m/>
    <n v="11599.2"/>
    <x v="2"/>
    <s v="Тристар"/>
    <x v="28"/>
    <s v="Бербеницкий Сергей Николаевич"/>
    <m/>
    <m/>
    <m/>
    <m/>
    <s v="С400РР"/>
    <m/>
    <x v="21"/>
    <x v="4"/>
    <n v="1.7"/>
    <x v="2"/>
    <s v="полив"/>
    <n v="19"/>
    <x v="18"/>
    <x v="0"/>
    <s v="-"/>
    <s v="53-63"/>
    <x v="0"/>
    <x v="392"/>
    <d v="2026-06-23T00:00:00"/>
    <n v="38"/>
    <n v="59"/>
  </r>
  <r>
    <m/>
    <m/>
    <n v="53"/>
    <x v="393"/>
    <x v="0"/>
    <m/>
    <n v="11140"/>
    <m/>
    <n v="9636.1"/>
    <x v="1"/>
    <s v="Женева"/>
    <x v="29"/>
    <s v="Осипов Александр Николаевич"/>
    <m/>
    <m/>
    <m/>
    <m/>
    <s v="Е732УС"/>
    <m/>
    <x v="20"/>
    <x v="5"/>
    <n v="1.7"/>
    <x v="1"/>
    <s v="полив"/>
    <n v="19"/>
    <x v="18"/>
    <x v="0"/>
    <s v="-"/>
    <s v="53-63"/>
    <x v="0"/>
    <x v="393"/>
    <d v="2026-06-23T00:00:00"/>
    <n v="333"/>
    <n v="53"/>
  </r>
  <r>
    <m/>
    <m/>
    <n v="60"/>
    <x v="394"/>
    <x v="0"/>
    <m/>
    <n v="13070"/>
    <m/>
    <n v="11567"/>
    <x v="2"/>
    <s v="Тристар"/>
    <x v="28"/>
    <s v="Черевко Александр Владимирович"/>
    <m/>
    <m/>
    <m/>
    <m/>
    <s v="А114МК"/>
    <m/>
    <x v="21"/>
    <x v="4"/>
    <n v="1.8"/>
    <x v="2"/>
    <s v="полив"/>
    <n v="19"/>
    <x v="18"/>
    <x v="0"/>
    <s v="-"/>
    <s v="53-63"/>
    <x v="0"/>
    <x v="394"/>
    <d v="2026-06-23T00:00:00"/>
    <n v="39"/>
    <n v="60"/>
  </r>
  <r>
    <m/>
    <m/>
    <n v="59"/>
    <x v="395"/>
    <x v="0"/>
    <m/>
    <n v="13130"/>
    <m/>
    <n v="11357.5"/>
    <x v="2"/>
    <s v="Тристар"/>
    <x v="28"/>
    <s v="Чернецов Александр"/>
    <m/>
    <m/>
    <m/>
    <m/>
    <s v="В577ЕТ"/>
    <m/>
    <x v="21"/>
    <x v="4"/>
    <n v="2"/>
    <x v="2"/>
    <s v="полив"/>
    <n v="20"/>
    <x v="19"/>
    <x v="0"/>
    <s v="-"/>
    <s v="53-63"/>
    <x v="0"/>
    <x v="395"/>
    <d v="2026-06-23T00:00:00"/>
    <n v="40"/>
    <n v="59"/>
  </r>
  <r>
    <m/>
    <m/>
    <n v="58"/>
    <x v="396"/>
    <x v="0"/>
    <m/>
    <n v="4550"/>
    <m/>
    <n v="4026.8"/>
    <x v="1"/>
    <s v="Женева"/>
    <x v="29"/>
    <s v="Роговской Роман Алексеевич"/>
    <m/>
    <m/>
    <m/>
    <m/>
    <s v="Т945РВ"/>
    <m/>
    <x v="20"/>
    <x v="5"/>
    <n v="1"/>
    <x v="1"/>
    <s v="полив"/>
    <n v="20"/>
    <x v="19"/>
    <x v="0"/>
    <s v="-"/>
    <s v="53-63"/>
    <x v="0"/>
    <x v="396"/>
    <d v="2026-06-23T00:00:00"/>
    <n v="334"/>
    <n v="58"/>
  </r>
  <r>
    <m/>
    <m/>
    <n v="59"/>
    <x v="397"/>
    <x v="0"/>
    <m/>
    <n v="13290"/>
    <m/>
    <n v="11628.8"/>
    <x v="2"/>
    <s v="Тристар"/>
    <x v="28"/>
    <s v="Гужва А М."/>
    <m/>
    <m/>
    <m/>
    <m/>
    <s v="Т285ВЕ"/>
    <m/>
    <x v="21"/>
    <x v="4"/>
    <n v="2"/>
    <x v="2"/>
    <s v="полив"/>
    <n v="20"/>
    <x v="19"/>
    <x v="0"/>
    <s v="-"/>
    <s v="53-63"/>
    <x v="0"/>
    <x v="397"/>
    <d v="2026-06-23T00:00:00"/>
    <n v="41"/>
    <n v="59"/>
  </r>
  <r>
    <m/>
    <m/>
    <n v="60"/>
    <x v="398"/>
    <x v="0"/>
    <m/>
    <n v="13230"/>
    <m/>
    <n v="11708.6"/>
    <x v="2"/>
    <s v="Тристар"/>
    <x v="28"/>
    <s v="Жданов Андрей Иванович"/>
    <m/>
    <m/>
    <m/>
    <m/>
    <s v="С707ОУ"/>
    <m/>
    <x v="21"/>
    <x v="4"/>
    <n v="2"/>
    <x v="2"/>
    <s v="полив"/>
    <n v="20"/>
    <x v="19"/>
    <x v="0"/>
    <s v="-"/>
    <s v="53-63"/>
    <x v="0"/>
    <x v="398"/>
    <d v="2026-06-23T00:00:00"/>
    <n v="42"/>
    <n v="60"/>
  </r>
  <r>
    <m/>
    <m/>
    <n v="56"/>
    <x v="399"/>
    <x v="0"/>
    <m/>
    <n v="9100"/>
    <m/>
    <n v="7644"/>
    <x v="1"/>
    <s v="Женева"/>
    <x v="29"/>
    <s v="Чигрин Н.А."/>
    <m/>
    <m/>
    <m/>
    <m/>
    <s v="А819ЕВ"/>
    <m/>
    <x v="20"/>
    <x v="5"/>
    <n v="1.9"/>
    <x v="1"/>
    <s v="полив"/>
    <n v="20"/>
    <x v="19"/>
    <x v="0"/>
    <s v="-"/>
    <s v="53-63"/>
    <x v="0"/>
    <x v="399"/>
    <d v="2026-06-23T00:00:00"/>
    <n v="335"/>
    <n v="56"/>
  </r>
  <r>
    <m/>
    <m/>
    <n v="60"/>
    <x v="400"/>
    <x v="0"/>
    <m/>
    <n v="13140"/>
    <m/>
    <n v="11497.5"/>
    <x v="2"/>
    <s v="Тристар"/>
    <x v="28"/>
    <s v="Кудря Евгений"/>
    <m/>
    <m/>
    <m/>
    <m/>
    <s v="А719ОО"/>
    <m/>
    <x v="21"/>
    <x v="4"/>
    <n v="2"/>
    <x v="2"/>
    <s v="полив"/>
    <n v="20"/>
    <x v="19"/>
    <x v="0"/>
    <s v="-"/>
    <s v="53-63"/>
    <x v="0"/>
    <x v="400"/>
    <d v="2026-06-23T00:00:00"/>
    <n v="43"/>
    <n v="60"/>
  </r>
  <r>
    <m/>
    <m/>
    <n v="63"/>
    <x v="401"/>
    <x v="0"/>
    <m/>
    <n v="13230"/>
    <m/>
    <n v="12105.5"/>
    <x v="2"/>
    <s v="Тристар"/>
    <x v="28"/>
    <s v="Ушаков С Е."/>
    <m/>
    <m/>
    <m/>
    <m/>
    <s v="О212РТ"/>
    <m/>
    <x v="21"/>
    <x v="4"/>
    <n v="2"/>
    <x v="2"/>
    <s v="полив"/>
    <n v="20"/>
    <x v="19"/>
    <x v="0"/>
    <s v="-"/>
    <s v="53-63"/>
    <x v="0"/>
    <x v="401"/>
    <d v="2026-06-23T00:00:00"/>
    <n v="44"/>
    <n v="63"/>
  </r>
  <r>
    <m/>
    <m/>
    <n v="59"/>
    <x v="402"/>
    <x v="0"/>
    <m/>
    <n v="4570"/>
    <m/>
    <n v="3861.7"/>
    <x v="1"/>
    <s v="Женева"/>
    <x v="29"/>
    <s v="Роговской Роман Алексеевич"/>
    <m/>
    <m/>
    <m/>
    <m/>
    <s v="Т945РВ"/>
    <m/>
    <x v="20"/>
    <x v="5"/>
    <n v="1"/>
    <x v="1"/>
    <s v="полив"/>
    <n v="20"/>
    <x v="19"/>
    <x v="0"/>
    <s v="-"/>
    <s v="53-63"/>
    <x v="0"/>
    <x v="402"/>
    <d v="2026-06-23T00:00:00"/>
    <n v="336"/>
    <n v="59"/>
  </r>
  <r>
    <m/>
    <m/>
    <n v="59"/>
    <x v="403"/>
    <x v="0"/>
    <m/>
    <n v="13480"/>
    <m/>
    <n v="12064.6"/>
    <x v="2"/>
    <s v="Женева"/>
    <x v="27"/>
    <s v="Деревянко Н.Н."/>
    <m/>
    <m/>
    <m/>
    <m/>
    <s v="Р699ОН"/>
    <m/>
    <x v="19"/>
    <x v="5"/>
    <n v="2.8"/>
    <x v="2"/>
    <s v="полив"/>
    <n v="20"/>
    <x v="19"/>
    <x v="0"/>
    <s v="-"/>
    <s v="53-63"/>
    <x v="0"/>
    <x v="403"/>
    <d v="2026-06-23T00:00:00"/>
    <n v="45"/>
    <n v="59"/>
  </r>
  <r>
    <m/>
    <m/>
    <n v="61"/>
    <x v="404"/>
    <x v="0"/>
    <m/>
    <n v="9060"/>
    <m/>
    <n v="8108.7"/>
    <x v="1"/>
    <s v="Женева"/>
    <x v="29"/>
    <s v="Чигрин Н.А."/>
    <m/>
    <m/>
    <m/>
    <m/>
    <s v="А819ЕВ"/>
    <m/>
    <x v="20"/>
    <x v="5"/>
    <n v="1.9"/>
    <x v="1"/>
    <s v="полив"/>
    <n v="20"/>
    <x v="19"/>
    <x v="0"/>
    <s v="-"/>
    <s v="53-63"/>
    <x v="0"/>
    <x v="404"/>
    <d v="2026-06-23T00:00:00"/>
    <n v="337"/>
    <n v="61"/>
  </r>
  <r>
    <m/>
    <m/>
    <n v="58"/>
    <x v="405"/>
    <x v="0"/>
    <m/>
    <n v="13390"/>
    <m/>
    <n v="11716.2"/>
    <x v="2"/>
    <s v="Женева"/>
    <x v="27"/>
    <s v="Рудик АИ"/>
    <m/>
    <m/>
    <m/>
    <m/>
    <s v="А309АТ"/>
    <m/>
    <x v="19"/>
    <x v="5"/>
    <n v="2.8"/>
    <x v="2"/>
    <s v="полив"/>
    <n v="20"/>
    <x v="19"/>
    <x v="0"/>
    <s v="-"/>
    <s v="53-63"/>
    <x v="0"/>
    <x v="405"/>
    <d v="2026-06-23T00:00:00"/>
    <n v="46"/>
    <n v="58"/>
  </r>
  <r>
    <m/>
    <m/>
    <n v="60"/>
    <x v="406"/>
    <x v="0"/>
    <m/>
    <n v="4530"/>
    <m/>
    <n v="4054.4"/>
    <x v="1"/>
    <s v="Женева"/>
    <x v="29"/>
    <s v="Роговской Роман Алексеевич"/>
    <m/>
    <m/>
    <m/>
    <m/>
    <s v="Т945РВ"/>
    <m/>
    <x v="20"/>
    <x v="5"/>
    <n v="1"/>
    <x v="1"/>
    <s v="полив"/>
    <n v="20"/>
    <x v="19"/>
    <x v="0"/>
    <s v="-"/>
    <s v="53-63"/>
    <x v="0"/>
    <x v="406"/>
    <d v="2026-06-23T00:00:00"/>
    <n v="338"/>
    <n v="60"/>
  </r>
  <r>
    <m/>
    <m/>
    <n v="57"/>
    <x v="407"/>
    <x v="0"/>
    <m/>
    <n v="8970"/>
    <m/>
    <n v="7490"/>
    <x v="1"/>
    <s v="Женева"/>
    <x v="29"/>
    <s v="Чигрин Н.А."/>
    <m/>
    <m/>
    <m/>
    <m/>
    <s v="А819ЕВ"/>
    <m/>
    <x v="20"/>
    <x v="5"/>
    <n v="1.9"/>
    <x v="1"/>
    <s v="полив"/>
    <n v="20"/>
    <x v="19"/>
    <x v="0"/>
    <s v="-"/>
    <s v="53-63"/>
    <x v="0"/>
    <x v="407"/>
    <d v="2026-06-23T00:00:00"/>
    <n v="339"/>
    <n v="57"/>
  </r>
  <r>
    <m/>
    <m/>
    <n v="60"/>
    <x v="408"/>
    <x v="0"/>
    <m/>
    <n v="16590"/>
    <m/>
    <n v="14682.1"/>
    <x v="2"/>
    <s v="Женева"/>
    <x v="27"/>
    <s v="Сероштан Станислав Викторович"/>
    <m/>
    <m/>
    <m/>
    <m/>
    <s v="Е758РЕ"/>
    <m/>
    <x v="19"/>
    <x v="5"/>
    <n v="3.4"/>
    <x v="2"/>
    <s v="полив"/>
    <n v="20"/>
    <x v="19"/>
    <x v="0"/>
    <s v="-"/>
    <s v="53-63"/>
    <x v="0"/>
    <x v="408"/>
    <d v="2026-06-23T00:00:00"/>
    <n v="47"/>
    <n v="60"/>
  </r>
  <r>
    <m/>
    <m/>
    <n v="56"/>
    <x v="409"/>
    <x v="0"/>
    <m/>
    <n v="4510"/>
    <m/>
    <n v="3946.2"/>
    <x v="1"/>
    <s v="Женева"/>
    <x v="29"/>
    <s v="Роговской Роман Алексеевич"/>
    <m/>
    <m/>
    <m/>
    <m/>
    <s v="Т945РВ"/>
    <m/>
    <x v="20"/>
    <x v="5"/>
    <n v="1"/>
    <x v="1"/>
    <s v="полив"/>
    <n v="20"/>
    <x v="19"/>
    <x v="0"/>
    <s v="-"/>
    <s v="53-63"/>
    <x v="0"/>
    <x v="409"/>
    <d v="2026-06-24T00:00:00"/>
    <n v="340"/>
    <n v="56"/>
  </r>
  <r>
    <m/>
    <m/>
    <n v="62"/>
    <x v="410"/>
    <x v="0"/>
    <m/>
    <n v="13080"/>
    <m/>
    <n v="11706.6"/>
    <x v="2"/>
    <s v="Женева"/>
    <x v="27"/>
    <s v="Никитась Сергей Анатольевич"/>
    <m/>
    <m/>
    <m/>
    <m/>
    <s v="К570ЕО"/>
    <m/>
    <x v="19"/>
    <x v="5"/>
    <n v="2.7"/>
    <x v="2"/>
    <s v="полив"/>
    <n v="20"/>
    <x v="19"/>
    <x v="0"/>
    <s v="-"/>
    <s v="53-63"/>
    <x v="0"/>
    <x v="410"/>
    <d v="2026-06-24T00:00:00"/>
    <n v="48"/>
    <n v="62"/>
  </r>
  <r>
    <m/>
    <m/>
    <n v="60"/>
    <x v="411"/>
    <x v="0"/>
    <m/>
    <n v="13050"/>
    <m/>
    <n v="12071.2"/>
    <x v="2"/>
    <s v="Женева"/>
    <x v="27"/>
    <s v="Бербеницкий Сергей Николаевич"/>
    <m/>
    <m/>
    <m/>
    <m/>
    <s v="С400РР"/>
    <m/>
    <x v="19"/>
    <x v="5"/>
    <n v="2.7"/>
    <x v="2"/>
    <s v="полив"/>
    <n v="20"/>
    <x v="19"/>
    <x v="0"/>
    <s v="-"/>
    <s v="53-63"/>
    <x v="0"/>
    <x v="411"/>
    <d v="2026-06-24T00:00:00"/>
    <n v="49"/>
    <n v="60"/>
  </r>
  <r>
    <m/>
    <m/>
    <n v="62"/>
    <x v="412"/>
    <x v="0"/>
    <m/>
    <n v="9190"/>
    <m/>
    <n v="8179.1"/>
    <x v="1"/>
    <s v="Женева"/>
    <x v="29"/>
    <s v="Чигрин Н.А."/>
    <m/>
    <m/>
    <m/>
    <m/>
    <s v="А819ЕВ"/>
    <m/>
    <x v="20"/>
    <x v="5"/>
    <n v="2"/>
    <x v="1"/>
    <s v="полив"/>
    <n v="20"/>
    <x v="19"/>
    <x v="0"/>
    <s v="-"/>
    <s v="53-63"/>
    <x v="0"/>
    <x v="412"/>
    <d v="2026-06-24T00:00:00"/>
    <n v="341"/>
    <n v="62"/>
  </r>
  <r>
    <m/>
    <m/>
    <n v="55"/>
    <x v="413"/>
    <x v="0"/>
    <m/>
    <n v="4510"/>
    <m/>
    <n v="4013.9"/>
    <x v="1"/>
    <s v="Женева"/>
    <x v="29"/>
    <s v="Роговской Роман Алексеевич"/>
    <m/>
    <m/>
    <m/>
    <m/>
    <s v="Т945РВ"/>
    <m/>
    <x v="20"/>
    <x v="5"/>
    <n v="1"/>
    <x v="1"/>
    <s v="полив"/>
    <n v="20"/>
    <x v="19"/>
    <x v="0"/>
    <s v="-"/>
    <s v="53-63"/>
    <x v="0"/>
    <x v="413"/>
    <d v="2026-06-24T00:00:00"/>
    <n v="342"/>
    <n v="55"/>
  </r>
  <r>
    <m/>
    <m/>
    <n v="62"/>
    <x v="414"/>
    <x v="0"/>
    <m/>
    <n v="13040"/>
    <m/>
    <n v="11149.2"/>
    <x v="2"/>
    <s v="Женева"/>
    <x v="27"/>
    <s v="Богучарский А. И."/>
    <m/>
    <m/>
    <m/>
    <m/>
    <s v="А718ВХ"/>
    <m/>
    <x v="19"/>
    <x v="5"/>
    <n v="2.7"/>
    <x v="2"/>
    <s v="полив"/>
    <n v="20"/>
    <x v="19"/>
    <x v="0"/>
    <s v="-"/>
    <s v="53-63"/>
    <x v="0"/>
    <x v="414"/>
    <d v="2026-06-24T00:00:00"/>
    <n v="51"/>
    <n v="62"/>
  </r>
  <r>
    <m/>
    <m/>
    <n v="60"/>
    <x v="415"/>
    <x v="0"/>
    <m/>
    <n v="13090"/>
    <m/>
    <n v="11846.5"/>
    <x v="2"/>
    <s v="Женева"/>
    <x v="27"/>
    <s v="Чернецов Александр"/>
    <m/>
    <m/>
    <m/>
    <m/>
    <s v="В577ЕТ"/>
    <m/>
    <x v="19"/>
    <x v="5"/>
    <n v="2.7"/>
    <x v="2"/>
    <s v="полив"/>
    <n v="20"/>
    <x v="19"/>
    <x v="0"/>
    <s v="-"/>
    <s v="53-63"/>
    <x v="0"/>
    <x v="415"/>
    <d v="2026-06-24T00:00:00"/>
    <n v="52"/>
    <n v="60"/>
  </r>
  <r>
    <m/>
    <m/>
    <n v="65"/>
    <x v="416"/>
    <x v="0"/>
    <m/>
    <n v="8940"/>
    <m/>
    <n v="8090.7"/>
    <x v="1"/>
    <s v="Женева"/>
    <x v="29"/>
    <s v="Чигрин Н.А."/>
    <m/>
    <m/>
    <m/>
    <m/>
    <s v="А819ЕВ"/>
    <m/>
    <x v="20"/>
    <x v="5"/>
    <n v="1.9"/>
    <x v="1"/>
    <s v="полив"/>
    <n v="20"/>
    <x v="19"/>
    <x v="0"/>
    <s v="-"/>
    <s v="64-66"/>
    <x v="1"/>
    <x v="416"/>
    <d v="2026-06-24T00:00:00"/>
    <n v="443"/>
    <n v="65"/>
  </r>
  <r>
    <m/>
    <m/>
    <n v="65"/>
    <x v="417"/>
    <x v="0"/>
    <m/>
    <n v="13380"/>
    <m/>
    <n v="12510.3"/>
    <x v="2"/>
    <s v="Женева"/>
    <x v="27"/>
    <s v="Черевко Александр Владимирович"/>
    <m/>
    <m/>
    <m/>
    <m/>
    <s v="А114МК"/>
    <m/>
    <x v="19"/>
    <x v="5"/>
    <n v="2.8"/>
    <x v="2"/>
    <s v="полив"/>
    <n v="20"/>
    <x v="19"/>
    <x v="0"/>
    <s v="-"/>
    <s v="64-66"/>
    <x v="1"/>
    <x v="417"/>
    <d v="2026-06-24T00:00:00"/>
    <n v="53"/>
    <n v="65"/>
  </r>
  <r>
    <m/>
    <m/>
    <n v="66"/>
    <x v="418"/>
    <x v="0"/>
    <m/>
    <n v="7330"/>
    <m/>
    <n v="6780.3"/>
    <x v="1"/>
    <s v="Женева"/>
    <x v="29"/>
    <s v="Сероштан Станислав Викторович"/>
    <m/>
    <m/>
    <m/>
    <m/>
    <s v="Е758РЕ"/>
    <m/>
    <x v="20"/>
    <x v="5"/>
    <n v="2"/>
    <x v="1"/>
    <s v="полив"/>
    <n v="21"/>
    <x v="20"/>
    <x v="0"/>
    <s v="-"/>
    <s v="64-66"/>
    <x v="1"/>
    <x v="418"/>
    <d v="2026-06-24T00:00:00"/>
    <n v="344"/>
    <n v="66"/>
  </r>
  <r>
    <m/>
    <m/>
    <n v="64"/>
    <x v="419"/>
    <x v="0"/>
    <m/>
    <n v="12970"/>
    <m/>
    <n v="12191.8"/>
    <x v="2"/>
    <s v="Женева"/>
    <x v="27"/>
    <s v="Кулик О В"/>
    <m/>
    <m/>
    <m/>
    <m/>
    <s v="К403ЕМ"/>
    <m/>
    <x v="19"/>
    <x v="5"/>
    <n v="2.7"/>
    <x v="2"/>
    <s v="полив"/>
    <n v="21"/>
    <x v="20"/>
    <x v="0"/>
    <s v="-"/>
    <s v="64-66"/>
    <x v="1"/>
    <x v="419"/>
    <d v="2026-06-24T00:00:00"/>
    <n v="54"/>
    <n v="64"/>
  </r>
  <r>
    <m/>
    <m/>
    <n v="55"/>
    <x v="420"/>
    <x v="0"/>
    <m/>
    <n v="4530"/>
    <m/>
    <n v="3873.1"/>
    <x v="1"/>
    <s v="Тристар"/>
    <x v="29"/>
    <s v="Сайко Владимир Николаевич"/>
    <m/>
    <m/>
    <m/>
    <m/>
    <s v="Т919РВ"/>
    <m/>
    <x v="14"/>
    <x v="4"/>
    <n v="1.2"/>
    <x v="1"/>
    <s v="полив"/>
    <n v="21"/>
    <x v="20"/>
    <x v="0"/>
    <s v="-"/>
    <s v="53-63"/>
    <x v="0"/>
    <x v="420"/>
    <d v="2026-06-24T00:00:00"/>
    <n v="345"/>
    <n v="55"/>
  </r>
  <r>
    <m/>
    <m/>
    <n v="64"/>
    <x v="421"/>
    <x v="0"/>
    <m/>
    <n v="13190"/>
    <m/>
    <n v="12134.8"/>
    <x v="2"/>
    <s v="Женева"/>
    <x v="27"/>
    <s v="Жданов Андрей Иванович"/>
    <m/>
    <m/>
    <m/>
    <m/>
    <s v="С707ОУ"/>
    <m/>
    <x v="19"/>
    <x v="5"/>
    <n v="2.7"/>
    <x v="2"/>
    <s v="полив"/>
    <n v="21"/>
    <x v="20"/>
    <x v="0"/>
    <s v="-"/>
    <s v="64-66"/>
    <x v="1"/>
    <x v="421"/>
    <d v="2026-06-24T00:00:00"/>
    <n v="56"/>
    <n v="64"/>
  </r>
  <r>
    <m/>
    <m/>
    <n v="58"/>
    <x v="422"/>
    <x v="0"/>
    <m/>
    <n v="4660"/>
    <m/>
    <n v="3914.4"/>
    <x v="1"/>
    <s v="Тристар"/>
    <x v="29"/>
    <s v="Сероштан Станислав Викторович"/>
    <m/>
    <m/>
    <m/>
    <m/>
    <s v="Е758РЕ"/>
    <m/>
    <x v="14"/>
    <x v="4"/>
    <n v="1.2"/>
    <x v="1"/>
    <s v="полив"/>
    <n v="21"/>
    <x v="20"/>
    <x v="0"/>
    <s v="-"/>
    <s v="53-63"/>
    <x v="0"/>
    <x v="422"/>
    <d v="2026-06-24T00:00:00"/>
    <n v="346"/>
    <n v="58"/>
  </r>
  <r>
    <m/>
    <m/>
    <n v="59"/>
    <x v="423"/>
    <x v="0"/>
    <m/>
    <n v="4710"/>
    <m/>
    <n v="4309.6000000000004"/>
    <x v="1"/>
    <s v="Тристар"/>
    <x v="29"/>
    <s v="Сайко Владимир Николаевич"/>
    <m/>
    <m/>
    <m/>
    <m/>
    <s v="Т919РВ"/>
    <m/>
    <x v="14"/>
    <x v="4"/>
    <n v="1.2"/>
    <x v="1"/>
    <s v="полив"/>
    <n v="21"/>
    <x v="20"/>
    <x v="0"/>
    <s v="-"/>
    <s v="53-63"/>
    <x v="0"/>
    <x v="423"/>
    <d v="2026-06-24T00:00:00"/>
    <n v="347"/>
    <n v="59"/>
  </r>
  <r>
    <m/>
    <m/>
    <n v="65"/>
    <x v="424"/>
    <x v="0"/>
    <m/>
    <n v="9240"/>
    <m/>
    <n v="8269.7999999999993"/>
    <x v="1"/>
    <s v="Тристар"/>
    <x v="29"/>
    <s v="Сероштан Станислав Викторович"/>
    <m/>
    <m/>
    <m/>
    <m/>
    <s v="Е758РЕ"/>
    <m/>
    <x v="14"/>
    <x v="4"/>
    <n v="2.4"/>
    <x v="1"/>
    <s v="полив"/>
    <n v="21"/>
    <x v="20"/>
    <x v="0"/>
    <s v="-"/>
    <s v="64-66"/>
    <x v="1"/>
    <x v="424"/>
    <d v="2026-06-24T00:00:00"/>
    <n v="348"/>
    <n v="65"/>
  </r>
  <r>
    <m/>
    <m/>
    <n v="70"/>
    <x v="425"/>
    <x v="0"/>
    <m/>
    <n v="16090"/>
    <m/>
    <n v="15365.9"/>
    <x v="2"/>
    <s v="Женева"/>
    <x v="27"/>
    <s v="Гужва А М."/>
    <m/>
    <m/>
    <m/>
    <m/>
    <s v="Т285ВЕ"/>
    <m/>
    <x v="19"/>
    <x v="5"/>
    <n v="3.3"/>
    <x v="2"/>
    <s v="полив"/>
    <n v="21"/>
    <x v="20"/>
    <x v="0"/>
    <s v="-"/>
    <s v="67-85"/>
    <x v="1"/>
    <x v="425"/>
    <d v="2026-06-24T00:00:00"/>
    <n v="57"/>
    <n v="70"/>
  </r>
  <r>
    <m/>
    <m/>
    <n v="60"/>
    <x v="426"/>
    <x v="0"/>
    <m/>
    <n v="9060"/>
    <m/>
    <n v="8199.2999999999993"/>
    <x v="1"/>
    <s v="Тристар"/>
    <x v="29"/>
    <s v="Никитась Сергей Анатольевич"/>
    <m/>
    <m/>
    <m/>
    <m/>
    <s v="К570ЕО"/>
    <m/>
    <x v="14"/>
    <x v="4"/>
    <n v="2.4"/>
    <x v="1"/>
    <s v="полив"/>
    <n v="21"/>
    <x v="20"/>
    <x v="0"/>
    <s v="-"/>
    <s v="53-63"/>
    <x v="0"/>
    <x v="426"/>
    <d v="2026-06-24T00:00:00"/>
    <n v="349"/>
    <n v="60"/>
  </r>
  <r>
    <m/>
    <m/>
    <n v="61"/>
    <x v="427"/>
    <x v="0"/>
    <m/>
    <n v="4600"/>
    <m/>
    <n v="4071"/>
    <x v="1"/>
    <s v="Тристар"/>
    <x v="29"/>
    <s v="Сайко Владимир Николаевич"/>
    <m/>
    <m/>
    <m/>
    <m/>
    <s v="Т919РВ"/>
    <m/>
    <x v="14"/>
    <x v="4"/>
    <n v="1.2"/>
    <x v="1"/>
    <s v="полив"/>
    <n v="21"/>
    <x v="20"/>
    <x v="0"/>
    <s v="-"/>
    <s v="53-63"/>
    <x v="0"/>
    <x v="427"/>
    <d v="2026-06-24T00:00:00"/>
    <n v="350"/>
    <n v="61"/>
  </r>
  <r>
    <m/>
    <m/>
    <n v="62"/>
    <x v="428"/>
    <x v="0"/>
    <m/>
    <n v="9170"/>
    <m/>
    <n v="8023.8"/>
    <x v="1"/>
    <s v="Тристар"/>
    <x v="29"/>
    <s v="Сероштан Станислав Викторович"/>
    <m/>
    <m/>
    <m/>
    <m/>
    <s v="Е758РЕ"/>
    <m/>
    <x v="14"/>
    <x v="4"/>
    <n v="2.4"/>
    <x v="1"/>
    <s v="полив"/>
    <n v="21"/>
    <x v="20"/>
    <x v="0"/>
    <s v="-"/>
    <s v="53-63"/>
    <x v="0"/>
    <x v="428"/>
    <d v="2026-06-24T00:00:00"/>
    <n v="351"/>
    <n v="62"/>
  </r>
  <r>
    <m/>
    <m/>
    <n v="57"/>
    <x v="429"/>
    <x v="0"/>
    <m/>
    <n v="9250"/>
    <m/>
    <n v="8278.7999999999993"/>
    <x v="2"/>
    <s v="Тристар"/>
    <x v="31"/>
    <s v="Ушаков С Е."/>
    <m/>
    <m/>
    <m/>
    <m/>
    <s v="О212РТ"/>
    <m/>
    <x v="23"/>
    <x v="4"/>
    <n v="1.3"/>
    <x v="2"/>
    <s v="полив"/>
    <n v="21"/>
    <x v="20"/>
    <x v="0"/>
    <s v="-"/>
    <s v="53-63"/>
    <x v="0"/>
    <x v="429"/>
    <d v="2026-06-24T00:00:00"/>
    <n v="58"/>
    <n v="57"/>
  </r>
  <r>
    <m/>
    <m/>
    <n v="59"/>
    <x v="430"/>
    <x v="0"/>
    <m/>
    <n v="13230"/>
    <m/>
    <n v="11840.9"/>
    <x v="1"/>
    <s v="Тристар"/>
    <x v="29"/>
    <s v="Никитась Сергей Анатольевич"/>
    <m/>
    <m/>
    <m/>
    <m/>
    <s v="К570ЕО"/>
    <m/>
    <x v="14"/>
    <x v="4"/>
    <n v="3.5"/>
    <x v="1"/>
    <s v="полив"/>
    <n v="21"/>
    <x v="20"/>
    <x v="0"/>
    <s v="-"/>
    <s v="53-63"/>
    <x v="0"/>
    <x v="430"/>
    <d v="2026-06-24T00:00:00"/>
    <n v="352"/>
    <n v="59"/>
  </r>
  <r>
    <m/>
    <m/>
    <n v="63"/>
    <x v="431"/>
    <x v="0"/>
    <m/>
    <n v="4590"/>
    <m/>
    <n v="4108.1000000000004"/>
    <x v="1"/>
    <s v="Тристар"/>
    <x v="29"/>
    <s v="Сайко Владимир Николаевич"/>
    <m/>
    <m/>
    <m/>
    <m/>
    <s v="Т919РВ"/>
    <m/>
    <x v="14"/>
    <x v="4"/>
    <n v="1.2"/>
    <x v="1"/>
    <s v="полив"/>
    <n v="21"/>
    <x v="20"/>
    <x v="0"/>
    <s v="-"/>
    <s v="53-63"/>
    <x v="0"/>
    <x v="431"/>
    <d v="2026-06-24T00:00:00"/>
    <n v="353"/>
    <n v="63"/>
  </r>
  <r>
    <m/>
    <m/>
    <n v="61"/>
    <x v="432"/>
    <x v="0"/>
    <m/>
    <n v="17540"/>
    <m/>
    <n v="15698.3"/>
    <x v="1"/>
    <s v="Тристар"/>
    <x v="29"/>
    <s v="Сероштан Станислав Викторович"/>
    <m/>
    <m/>
    <m/>
    <m/>
    <s v="Е758РЕ"/>
    <m/>
    <x v="14"/>
    <x v="4"/>
    <n v="4.5999999999999996"/>
    <x v="1"/>
    <s v="полив"/>
    <n v="21"/>
    <x v="20"/>
    <x v="0"/>
    <s v="-"/>
    <s v="53-63"/>
    <x v="0"/>
    <x v="432"/>
    <d v="2026-06-24T00:00:00"/>
    <n v="354"/>
    <n v="61"/>
  </r>
  <r>
    <m/>
    <m/>
    <n v="62"/>
    <x v="433"/>
    <x v="0"/>
    <m/>
    <n v="17580"/>
    <m/>
    <n v="14855.1"/>
    <x v="1"/>
    <s v="Тристар"/>
    <x v="29"/>
    <s v="Никитась Сергей Анатольевич"/>
    <m/>
    <m/>
    <m/>
    <m/>
    <s v="К570ЕО"/>
    <m/>
    <x v="14"/>
    <x v="4"/>
    <n v="4.5999999999999996"/>
    <x v="1"/>
    <s v="полив"/>
    <n v="21"/>
    <x v="20"/>
    <x v="0"/>
    <s v="-"/>
    <s v="53-63"/>
    <x v="0"/>
    <x v="433"/>
    <d v="2026-06-25T00:00:00"/>
    <n v="355"/>
    <n v="62"/>
  </r>
  <r>
    <m/>
    <m/>
    <n v="67"/>
    <x v="434"/>
    <x v="0"/>
    <m/>
    <n v="4460"/>
    <m/>
    <n v="3857.9"/>
    <x v="1"/>
    <s v="Тристар"/>
    <x v="29"/>
    <s v="Сайко Владимир Николаевич"/>
    <m/>
    <m/>
    <m/>
    <m/>
    <s v="Т919РВ"/>
    <m/>
    <x v="14"/>
    <x v="4"/>
    <n v="1.2"/>
    <x v="1"/>
    <s v="полив"/>
    <n v="21"/>
    <x v="20"/>
    <x v="0"/>
    <s v="-"/>
    <s v="67-85"/>
    <x v="1"/>
    <x v="434"/>
    <d v="2026-06-25T00:00:00"/>
    <n v="356"/>
    <n v="67"/>
  </r>
  <r>
    <m/>
    <m/>
    <n v="67"/>
    <x v="435"/>
    <x v="0"/>
    <m/>
    <n v="17680"/>
    <m/>
    <n v="16000.4"/>
    <x v="1"/>
    <s v="Тристар"/>
    <x v="29"/>
    <s v="Сероштан Станислав Викторович"/>
    <m/>
    <m/>
    <m/>
    <m/>
    <s v="Е758РЕ"/>
    <m/>
    <x v="14"/>
    <x v="4"/>
    <n v="4.5999999999999996"/>
    <x v="1"/>
    <s v="полив"/>
    <n v="21"/>
    <x v="20"/>
    <x v="0"/>
    <s v="-"/>
    <s v="67-85"/>
    <x v="1"/>
    <x v="435"/>
    <d v="2026-06-25T00:00:00"/>
    <n v="357"/>
    <n v="67"/>
  </r>
  <r>
    <m/>
    <m/>
    <n v="53"/>
    <x v="436"/>
    <x v="0"/>
    <m/>
    <n v="8800"/>
    <m/>
    <n v="7260"/>
    <x v="2"/>
    <s v="Тристар"/>
    <x v="31"/>
    <s v="Ушаков С Е."/>
    <m/>
    <m/>
    <m/>
    <m/>
    <s v="О212РТ"/>
    <m/>
    <x v="23"/>
    <x v="4"/>
    <n v="1.3"/>
    <x v="2"/>
    <s v="полив"/>
    <n v="21"/>
    <x v="20"/>
    <x v="0"/>
    <s v="-"/>
    <s v="53-63"/>
    <x v="0"/>
    <x v="436"/>
    <d v="2026-06-25T00:00:00"/>
    <n v="62"/>
    <n v="53"/>
  </r>
  <r>
    <m/>
    <m/>
    <n v="67"/>
    <x v="437"/>
    <x v="0"/>
    <m/>
    <n v="17850"/>
    <m/>
    <n v="15440.3"/>
    <x v="1"/>
    <s v="Тристар"/>
    <x v="29"/>
    <s v="Никитась Сергей Анатольевич"/>
    <m/>
    <m/>
    <m/>
    <m/>
    <s v="К570ЕО"/>
    <m/>
    <x v="20"/>
    <x v="4"/>
    <n v="4.5"/>
    <x v="1"/>
    <s v="полив"/>
    <n v="22"/>
    <x v="21"/>
    <x v="0"/>
    <s v="-"/>
    <s v="67-85"/>
    <x v="1"/>
    <x v="437"/>
    <d v="2026-06-25T00:00:00"/>
    <n v="358"/>
    <n v="67"/>
  </r>
  <r>
    <m/>
    <m/>
    <n v="61"/>
    <x v="438"/>
    <x v="0"/>
    <m/>
    <n v="4430"/>
    <m/>
    <n v="4053.5"/>
    <x v="1"/>
    <s v="Тристар"/>
    <x v="29"/>
    <s v="Сайко Владимир Николаевич"/>
    <m/>
    <m/>
    <m/>
    <m/>
    <s v="Т919РВ"/>
    <m/>
    <x v="14"/>
    <x v="4"/>
    <n v="1.2"/>
    <x v="1"/>
    <s v="полив"/>
    <n v="21"/>
    <x v="20"/>
    <x v="0"/>
    <s v="-"/>
    <s v="53-63"/>
    <x v="0"/>
    <x v="438"/>
    <d v="2026-06-25T00:00:00"/>
    <n v="359"/>
    <n v="61"/>
  </r>
  <r>
    <m/>
    <m/>
    <n v="56"/>
    <x v="439"/>
    <x v="0"/>
    <m/>
    <n v="8530"/>
    <m/>
    <n v="7207.9"/>
    <x v="2"/>
    <s v="Тристар"/>
    <x v="31"/>
    <s v="Черевко Александр Владимирович"/>
    <m/>
    <m/>
    <m/>
    <m/>
    <s v="А114МК"/>
    <m/>
    <x v="23"/>
    <x v="4"/>
    <n v="1.2"/>
    <x v="2"/>
    <s v="полив"/>
    <n v="21"/>
    <x v="20"/>
    <x v="0"/>
    <s v="-"/>
    <s v="53-63"/>
    <x v="0"/>
    <x v="439"/>
    <d v="2026-06-25T00:00:00"/>
    <n v="63"/>
    <n v="56"/>
  </r>
  <r>
    <m/>
    <m/>
    <n v="63"/>
    <x v="440"/>
    <x v="0"/>
    <m/>
    <n v="18010"/>
    <m/>
    <n v="16659.2"/>
    <x v="1"/>
    <s v="Тристар"/>
    <x v="29"/>
    <s v="Сероштан Станислав Викторович"/>
    <m/>
    <m/>
    <m/>
    <m/>
    <s v="Е758РЕ"/>
    <m/>
    <x v="20"/>
    <x v="4"/>
    <n v="4.3"/>
    <x v="1"/>
    <s v="полив"/>
    <n v="22"/>
    <x v="21"/>
    <x v="0"/>
    <s v="-"/>
    <s v="53-63"/>
    <x v="1"/>
    <x v="440"/>
    <d v="2026-06-25T00:00:00"/>
    <n v="360"/>
    <n v="63"/>
  </r>
  <r>
    <m/>
    <m/>
    <n v="55"/>
    <x v="441"/>
    <x v="0"/>
    <m/>
    <n v="8520"/>
    <m/>
    <n v="7199.4"/>
    <x v="2"/>
    <s v="Тристар"/>
    <x v="31"/>
    <s v="Кудря Евгений"/>
    <m/>
    <m/>
    <m/>
    <m/>
    <s v="А719ОО"/>
    <m/>
    <x v="23"/>
    <x v="4"/>
    <n v="1.3"/>
    <x v="2"/>
    <s v="полив"/>
    <n v="22"/>
    <x v="21"/>
    <x v="0"/>
    <s v="-"/>
    <s v="53-63"/>
    <x v="0"/>
    <x v="441"/>
    <d v="2026-06-25T00:00:00"/>
    <n v="64"/>
    <n v="55"/>
  </r>
  <r>
    <m/>
    <m/>
    <n v="62"/>
    <x v="442"/>
    <x v="0"/>
    <m/>
    <n v="13630"/>
    <m/>
    <n v="12471.4"/>
    <x v="1"/>
    <s v="Тристар"/>
    <x v="29"/>
    <s v="Чигрин Н.А."/>
    <m/>
    <m/>
    <m/>
    <m/>
    <s v="А819ЕВ"/>
    <m/>
    <x v="14"/>
    <x v="4"/>
    <n v="2.1"/>
    <x v="1"/>
    <s v="полив"/>
    <n v="22"/>
    <x v="21"/>
    <x v="0"/>
    <s v="-"/>
    <s v="53-63"/>
    <x v="0"/>
    <x v="442"/>
    <d v="2026-06-25T00:00:00"/>
    <n v="361"/>
    <n v="62"/>
  </r>
  <r>
    <m/>
    <m/>
    <n v="54"/>
    <x v="443"/>
    <x v="0"/>
    <m/>
    <n v="8710"/>
    <m/>
    <n v="7882.5"/>
    <x v="2"/>
    <s v="Тристар"/>
    <x v="31"/>
    <s v="Извеков Владимир Владимирович"/>
    <m/>
    <m/>
    <m/>
    <m/>
    <s v="Н378ХЕ"/>
    <m/>
    <x v="23"/>
    <x v="4"/>
    <n v="1.3"/>
    <x v="2"/>
    <s v="полив"/>
    <n v="22"/>
    <x v="21"/>
    <x v="0"/>
    <s v="-"/>
    <s v="53-63"/>
    <x v="0"/>
    <x v="443"/>
    <d v="2026-06-25T00:00:00"/>
    <n v="66"/>
    <n v="54"/>
  </r>
  <r>
    <m/>
    <m/>
    <n v="69"/>
    <x v="444"/>
    <x v="0"/>
    <m/>
    <n v="10510"/>
    <m/>
    <n v="9879.4"/>
    <x v="1"/>
    <s v="Тристар"/>
    <x v="32"/>
    <s v="Черевко Александр Владимирович"/>
    <m/>
    <m/>
    <m/>
    <m/>
    <s v="А114МК"/>
    <m/>
    <x v="24"/>
    <x v="4"/>
    <n v="2"/>
    <x v="1"/>
    <s v="полив"/>
    <n v="22"/>
    <x v="21"/>
    <x v="0"/>
    <s v="-"/>
    <s v="67-85"/>
    <x v="1"/>
    <x v="444"/>
    <d v="2026-06-25T00:00:00"/>
    <n v="362"/>
    <n v="69"/>
  </r>
  <r>
    <m/>
    <m/>
    <n v="60"/>
    <x v="445"/>
    <x v="0"/>
    <m/>
    <n v="14080"/>
    <m/>
    <n v="12515"/>
    <x v="1"/>
    <s v="Тристар"/>
    <x v="32"/>
    <s v="Магадиев Александр Сайлаувич"/>
    <m/>
    <m/>
    <m/>
    <m/>
    <s v="У184НО"/>
    <m/>
    <x v="24"/>
    <x v="4"/>
    <n v="2.7"/>
    <x v="1"/>
    <s v="полив"/>
    <n v="22"/>
    <x v="21"/>
    <x v="22"/>
    <s v="ГРАНД-СТАР ООО"/>
    <s v="53-63"/>
    <x v="0"/>
    <x v="445"/>
    <d v="2026-06-25T00:00:00"/>
    <s v="592/62 Продажа Гранд Стар "/>
    <n v="60"/>
  </r>
  <r>
    <m/>
    <m/>
    <n v="55"/>
    <x v="446"/>
    <x v="0"/>
    <m/>
    <n v="8790"/>
    <m/>
    <n v="8394.4"/>
    <x v="2"/>
    <s v="Тристар"/>
    <x v="31"/>
    <s v="Бербеницкий Сергей Николаевич"/>
    <m/>
    <m/>
    <m/>
    <m/>
    <s v="С400РР"/>
    <m/>
    <x v="23"/>
    <x v="4"/>
    <n v="1.3"/>
    <x v="2"/>
    <s v="полив"/>
    <n v="22"/>
    <x v="21"/>
    <x v="0"/>
    <s v="-"/>
    <s v="53-63"/>
    <x v="0"/>
    <x v="446"/>
    <d v="2026-06-25T00:00:00"/>
    <n v="65"/>
    <n v="55"/>
  </r>
  <r>
    <m/>
    <m/>
    <n v="62"/>
    <x v="447"/>
    <x v="0"/>
    <m/>
    <n v="13510"/>
    <m/>
    <n v="12510"/>
    <x v="1"/>
    <s v="Тристар"/>
    <x v="32"/>
    <s v="Фомин Николай Григорьевич"/>
    <m/>
    <m/>
    <m/>
    <m/>
    <s v="А731ВА"/>
    <m/>
    <x v="24"/>
    <x v="4"/>
    <n v="2.5"/>
    <x v="1"/>
    <s v="полив"/>
    <n v="22"/>
    <x v="21"/>
    <x v="23"/>
    <s v="ГРАНД-СТАР ООО"/>
    <s v="53-63"/>
    <x v="0"/>
    <x v="447"/>
    <d v="2026-06-25T00:00:00"/>
    <s v="595/63Продажа Гранд Стар"/>
    <n v="62"/>
  </r>
  <r>
    <m/>
    <m/>
    <n v="59"/>
    <x v="448"/>
    <x v="0"/>
    <m/>
    <n v="8810"/>
    <m/>
    <n v="7885"/>
    <x v="2"/>
    <s v="Тристар"/>
    <x v="31"/>
    <s v="Ушаков С Е."/>
    <m/>
    <m/>
    <m/>
    <m/>
    <s v="О212РТ"/>
    <m/>
    <x v="23"/>
    <x v="4"/>
    <n v="1.3"/>
    <x v="2"/>
    <s v="полив"/>
    <n v="22"/>
    <x v="21"/>
    <x v="0"/>
    <s v="-"/>
    <s v="53-63"/>
    <x v="0"/>
    <x v="448"/>
    <d v="2026-06-25T00:00:00"/>
    <n v="67"/>
    <n v="59"/>
  </r>
  <r>
    <m/>
    <m/>
    <n v="67"/>
    <x v="449"/>
    <x v="0"/>
    <m/>
    <n v="10110"/>
    <m/>
    <n v="9301.2000000000007"/>
    <x v="1"/>
    <s v="Тристар"/>
    <x v="33"/>
    <s v="Черевко Александр Владимирович"/>
    <m/>
    <m/>
    <m/>
    <m/>
    <s v="А114МК"/>
    <m/>
    <x v="24"/>
    <x v="4"/>
    <n v="1.9"/>
    <x v="1"/>
    <s v="полив"/>
    <n v="22"/>
    <x v="21"/>
    <x v="0"/>
    <s v="-"/>
    <s v="67-85"/>
    <x v="1"/>
    <x v="449"/>
    <d v="2026-06-25T00:00:00"/>
    <n v="363"/>
    <n v="67"/>
  </r>
  <r>
    <m/>
    <m/>
    <n v="64"/>
    <x v="450"/>
    <x v="0"/>
    <m/>
    <n v="13890"/>
    <m/>
    <n v="12431.5"/>
    <x v="1"/>
    <s v="Тристар"/>
    <x v="32"/>
    <s v="Кудря Евгений"/>
    <m/>
    <m/>
    <m/>
    <m/>
    <s v="А719ОО"/>
    <m/>
    <x v="24"/>
    <x v="4"/>
    <n v="2.6"/>
    <x v="1"/>
    <s v="полив"/>
    <n v="22"/>
    <x v="21"/>
    <x v="0"/>
    <s v="-"/>
    <s v="64-66"/>
    <x v="1"/>
    <x v="450"/>
    <d v="2026-06-25T00:00:00"/>
    <n v="364"/>
    <n v="64"/>
  </r>
  <r>
    <m/>
    <m/>
    <n v="59"/>
    <x v="451"/>
    <x v="0"/>
    <m/>
    <n v="8810"/>
    <m/>
    <n v="7620.6"/>
    <x v="2"/>
    <s v="Тристар"/>
    <x v="31"/>
    <s v="Кулик О В"/>
    <m/>
    <m/>
    <m/>
    <m/>
    <s v="К403ЕМ"/>
    <m/>
    <x v="23"/>
    <x v="4"/>
    <n v="1.3"/>
    <x v="2"/>
    <s v="полив"/>
    <n v="22"/>
    <x v="21"/>
    <x v="0"/>
    <s v="-"/>
    <s v="53-63"/>
    <x v="0"/>
    <x v="451"/>
    <d v="2026-06-25T00:00:00"/>
    <n v="68"/>
    <n v="59"/>
  </r>
  <r>
    <m/>
    <m/>
    <n v="55"/>
    <x v="452"/>
    <x v="0"/>
    <m/>
    <n v="8750"/>
    <m/>
    <n v="7831.3"/>
    <x v="2"/>
    <s v="Тристар"/>
    <x v="31"/>
    <s v="Рудик АИ"/>
    <m/>
    <m/>
    <m/>
    <m/>
    <s v="А309АТ"/>
    <m/>
    <x v="23"/>
    <x v="4"/>
    <n v="1.3"/>
    <x v="2"/>
    <s v="полив"/>
    <n v="22"/>
    <x v="21"/>
    <x v="0"/>
    <s v="-"/>
    <s v="53-63"/>
    <x v="0"/>
    <x v="452"/>
    <d v="2026-06-25T00:00:00"/>
    <n v="69"/>
    <n v="55"/>
  </r>
  <r>
    <m/>
    <m/>
    <n v="65"/>
    <x v="453"/>
    <x v="0"/>
    <m/>
    <n v="8710"/>
    <m/>
    <n v="7969.7"/>
    <x v="1"/>
    <s v="Тристар"/>
    <x v="32"/>
    <s v="Черевко Александр Владимирович"/>
    <m/>
    <m/>
    <m/>
    <m/>
    <s v="А114МК"/>
    <m/>
    <x v="24"/>
    <x v="4"/>
    <n v="1.6"/>
    <x v="1"/>
    <s v="полив"/>
    <n v="22"/>
    <x v="21"/>
    <x v="0"/>
    <s v="-"/>
    <s v="64-66"/>
    <x v="1"/>
    <x v="453"/>
    <d v="2026-06-25T00:00:00"/>
    <n v="365"/>
    <n v="65"/>
  </r>
  <r>
    <m/>
    <m/>
    <n v="60"/>
    <x v="454"/>
    <x v="0"/>
    <m/>
    <n v="13770"/>
    <m/>
    <n v="12875"/>
    <x v="3"/>
    <s v="Фаворит"/>
    <x v="34"/>
    <s v="Погуляй А.Б.       "/>
    <m/>
    <m/>
    <m/>
    <m/>
    <s v="О824ТХ"/>
    <m/>
    <x v="25"/>
    <x v="3"/>
    <n v="3.5"/>
    <x v="3"/>
    <s v="полив"/>
    <n v="22"/>
    <x v="21"/>
    <x v="0"/>
    <s v="-"/>
    <s v="53-63"/>
    <x v="0"/>
    <x v="454"/>
    <d v="2026-06-25T00:00:00"/>
    <n v="1"/>
    <n v="60"/>
  </r>
  <r>
    <m/>
    <m/>
    <n v="68"/>
    <x v="455"/>
    <x v="0"/>
    <m/>
    <n v="6630"/>
    <m/>
    <n v="6265.4"/>
    <x v="1"/>
    <s v="Тристар"/>
    <x v="32"/>
    <s v="Чигрин Н.А."/>
    <m/>
    <m/>
    <m/>
    <m/>
    <s v="А819ЕВ"/>
    <m/>
    <x v="24"/>
    <x v="4"/>
    <n v="1.3"/>
    <x v="1"/>
    <s v="полив"/>
    <n v="22"/>
    <x v="21"/>
    <x v="0"/>
    <s v="-"/>
    <s v="67-85"/>
    <x v="1"/>
    <x v="455"/>
    <d v="2026-06-25T00:00:00"/>
    <n v="366"/>
    <n v="68"/>
  </r>
  <r>
    <m/>
    <m/>
    <n v="59"/>
    <x v="456"/>
    <x v="0"/>
    <m/>
    <n v="13410"/>
    <m/>
    <n v="12404.3"/>
    <x v="3"/>
    <s v="Фаворит"/>
    <x v="34"/>
    <s v="Пугачев Сергей Викторович"/>
    <m/>
    <m/>
    <m/>
    <m/>
    <s v="Р258УХ"/>
    <m/>
    <x v="25"/>
    <x v="3"/>
    <n v="3.4"/>
    <x v="3"/>
    <s v="полив"/>
    <n v="22"/>
    <x v="21"/>
    <x v="0"/>
    <s v="-"/>
    <s v="53-63"/>
    <x v="0"/>
    <x v="456"/>
    <d v="2026-06-25T00:00:00"/>
    <n v="2"/>
    <n v="59"/>
  </r>
  <r>
    <m/>
    <m/>
    <n v="56"/>
    <x v="457"/>
    <x v="0"/>
    <m/>
    <n v="13370"/>
    <m/>
    <n v="11832.4"/>
    <x v="3"/>
    <s v="Фаворит"/>
    <x v="34"/>
    <s v="Никитась Сергей Анатольевич"/>
    <m/>
    <m/>
    <m/>
    <m/>
    <s v="К570ЕО"/>
    <m/>
    <x v="25"/>
    <x v="3"/>
    <n v="3.4"/>
    <x v="3"/>
    <s v="полив"/>
    <n v="22"/>
    <x v="21"/>
    <x v="0"/>
    <s v="-"/>
    <s v="53-63"/>
    <x v="0"/>
    <x v="457"/>
    <d v="2026-06-26T00:00:00"/>
    <n v="3"/>
    <n v="56"/>
  </r>
  <r>
    <m/>
    <m/>
    <n v="70"/>
    <x v="458"/>
    <x v="0"/>
    <m/>
    <n v="8730"/>
    <m/>
    <n v="8162.6"/>
    <x v="1"/>
    <s v="Тристар"/>
    <x v="32"/>
    <s v="Черевко Александр Владимирович"/>
    <m/>
    <m/>
    <m/>
    <m/>
    <s v="А114МК"/>
    <m/>
    <x v="24"/>
    <x v="4"/>
    <n v="1.6"/>
    <x v="1"/>
    <s v="полив"/>
    <n v="22"/>
    <x v="21"/>
    <x v="0"/>
    <s v="-"/>
    <s v="67-85"/>
    <x v="1"/>
    <x v="458"/>
    <d v="2026-06-26T00:00:00"/>
    <n v="367"/>
    <n v="70"/>
  </r>
  <r>
    <m/>
    <m/>
    <n v="60"/>
    <x v="459"/>
    <x v="0"/>
    <m/>
    <n v="13190"/>
    <m/>
    <n v="11805.1"/>
    <x v="2"/>
    <s v="Тристар"/>
    <x v="31"/>
    <s v="Богучарский А. И."/>
    <m/>
    <m/>
    <m/>
    <m/>
    <s v="А718ВХ"/>
    <m/>
    <x v="23"/>
    <x v="4"/>
    <n v="2"/>
    <x v="2"/>
    <s v="полив"/>
    <n v="22"/>
    <x v="21"/>
    <x v="0"/>
    <s v="-"/>
    <s v="53-63"/>
    <x v="0"/>
    <x v="459"/>
    <d v="2026-06-26T00:00:00"/>
    <n v="70"/>
    <n v="60"/>
  </r>
  <r>
    <m/>
    <m/>
    <n v="74"/>
    <x v="460"/>
    <x v="0"/>
    <m/>
    <n v="2220"/>
    <m/>
    <n v="2075.6999999999998"/>
    <x v="1"/>
    <s v="Тристар"/>
    <x v="32"/>
    <s v="Чигрин Н.А."/>
    <m/>
    <m/>
    <m/>
    <m/>
    <s v="А819ЕВ"/>
    <m/>
    <x v="24"/>
    <x v="4"/>
    <n v="0.5"/>
    <x v="1"/>
    <s v="полив"/>
    <n v="22"/>
    <x v="21"/>
    <x v="0"/>
    <s v="-"/>
    <s v="67-85"/>
    <x v="2"/>
    <x v="460"/>
    <d v="2026-06-26T00:00:00"/>
    <n v="368"/>
    <n v="74"/>
  </r>
  <r>
    <m/>
    <m/>
    <n v="58"/>
    <x v="461"/>
    <x v="0"/>
    <m/>
    <n v="12930"/>
    <m/>
    <n v="11572.4"/>
    <x v="2"/>
    <s v="Тристар"/>
    <x v="31"/>
    <s v="Ушаков С.Е."/>
    <m/>
    <m/>
    <m/>
    <m/>
    <s v="0212РТ"/>
    <m/>
    <x v="23"/>
    <x v="4"/>
    <n v="2"/>
    <x v="2"/>
    <s v="полив"/>
    <n v="22"/>
    <x v="21"/>
    <x v="0"/>
    <s v="-"/>
    <s v="53-63"/>
    <x v="0"/>
    <x v="461"/>
    <d v="2026-06-26T00:00:00"/>
    <n v="71"/>
    <n v="58"/>
  </r>
  <r>
    <m/>
    <m/>
    <n v="55"/>
    <x v="462"/>
    <x v="0"/>
    <m/>
    <n v="13290"/>
    <m/>
    <n v="11628.8"/>
    <x v="3"/>
    <s v="Фаворит"/>
    <x v="34"/>
    <s v="Гужва А М."/>
    <m/>
    <m/>
    <m/>
    <m/>
    <s v="Т285ВЕ"/>
    <m/>
    <x v="25"/>
    <x v="3"/>
    <n v="3.4"/>
    <x v="3"/>
    <s v="полив"/>
    <n v="22"/>
    <x v="21"/>
    <x v="0"/>
    <s v="-"/>
    <s v="53-63"/>
    <x v="0"/>
    <x v="462"/>
    <d v="2026-06-26T00:00:00"/>
    <n v="5"/>
    <n v="55"/>
  </r>
  <r>
    <m/>
    <m/>
    <n v="59"/>
    <x v="463"/>
    <x v="0"/>
    <m/>
    <n v="12840"/>
    <m/>
    <n v="11363.4"/>
    <x v="2"/>
    <s v="Тристар"/>
    <x v="31"/>
    <s v="Бербеницкий Сергей Николаевич"/>
    <m/>
    <m/>
    <m/>
    <m/>
    <s v="С400РР"/>
    <m/>
    <x v="23"/>
    <x v="4"/>
    <n v="2"/>
    <x v="2"/>
    <s v="полив"/>
    <n v="22"/>
    <x v="21"/>
    <x v="0"/>
    <s v="-"/>
    <s v="53-63"/>
    <x v="0"/>
    <x v="463"/>
    <d v="2026-06-26T00:00:00"/>
    <n v="72"/>
    <n v="59"/>
  </r>
  <r>
    <m/>
    <m/>
    <n v="68"/>
    <x v="464"/>
    <x v="0"/>
    <m/>
    <n v="12280"/>
    <m/>
    <n v="11420.4"/>
    <x v="1"/>
    <s v="Тристар"/>
    <x v="32"/>
    <s v="Черевко Александр Владимирович"/>
    <m/>
    <m/>
    <m/>
    <m/>
    <s v="А114МК"/>
    <m/>
    <x v="24"/>
    <x v="4"/>
    <n v="2.2999999999999998"/>
    <x v="1"/>
    <s v="полив"/>
    <n v="22"/>
    <x v="21"/>
    <x v="0"/>
    <s v="-"/>
    <s v="67-85"/>
    <x v="1"/>
    <x v="464"/>
    <d v="2026-06-26T00:00:00"/>
    <n v="369"/>
    <n v="68"/>
  </r>
  <r>
    <m/>
    <m/>
    <n v="62"/>
    <x v="465"/>
    <x v="0"/>
    <m/>
    <n v="12770"/>
    <m/>
    <n v="11556.9"/>
    <x v="2"/>
    <s v="Тристар"/>
    <x v="31"/>
    <s v="Кудря Евгений"/>
    <m/>
    <m/>
    <m/>
    <m/>
    <s v="А719ОО"/>
    <m/>
    <x v="23"/>
    <x v="4"/>
    <n v="2"/>
    <x v="2"/>
    <s v="полив"/>
    <n v="22"/>
    <x v="21"/>
    <x v="0"/>
    <s v="-"/>
    <s v="53-63"/>
    <x v="0"/>
    <x v="465"/>
    <d v="2026-06-26T00:00:00"/>
    <n v="73"/>
    <n v="62"/>
  </r>
  <r>
    <m/>
    <m/>
    <n v="60"/>
    <x v="466"/>
    <x v="0"/>
    <m/>
    <n v="13200"/>
    <m/>
    <n v="11418"/>
    <x v="3"/>
    <s v="Фаворит"/>
    <x v="34"/>
    <s v="Жданов Андрей Иванович"/>
    <m/>
    <m/>
    <m/>
    <m/>
    <s v="С707ОУ"/>
    <m/>
    <x v="25"/>
    <x v="3"/>
    <n v="3.3"/>
    <x v="3"/>
    <s v="полив"/>
    <n v="22"/>
    <x v="21"/>
    <x v="0"/>
    <s v="-"/>
    <s v="53-63"/>
    <x v="0"/>
    <x v="466"/>
    <d v="2026-06-26T00:00:00"/>
    <n v="6"/>
    <n v="60"/>
  </r>
  <r>
    <m/>
    <m/>
    <n v="65"/>
    <x v="467"/>
    <x v="0"/>
    <m/>
    <n v="4150"/>
    <m/>
    <n v="3569"/>
    <x v="1"/>
    <s v="Патриот"/>
    <x v="26"/>
    <s v="Гужва А М."/>
    <m/>
    <m/>
    <m/>
    <m/>
    <s v="Т285ВЕ"/>
    <m/>
    <x v="18"/>
    <x v="6"/>
    <n v="1.2941513396550628"/>
    <x v="0"/>
    <s v="богара"/>
    <n v="23"/>
    <x v="22"/>
    <x v="0"/>
    <s v="-"/>
    <s v="64-66"/>
    <x v="1"/>
    <x v="467"/>
    <d v="2026-06-26T00:00:00"/>
    <n v="370"/>
    <n v="65"/>
  </r>
  <r>
    <m/>
    <m/>
    <n v="59"/>
    <x v="468"/>
    <x v="0"/>
    <m/>
    <n v="4280"/>
    <m/>
    <n v="3894.8"/>
    <x v="1"/>
    <s v="Патриот"/>
    <x v="26"/>
    <s v="Сайко Владимир Николаевич"/>
    <m/>
    <m/>
    <m/>
    <m/>
    <s v="Т919РВ"/>
    <m/>
    <x v="18"/>
    <x v="6"/>
    <n v="1.3346910201743778"/>
    <x v="0"/>
    <s v="богара"/>
    <n v="23"/>
    <x v="22"/>
    <x v="0"/>
    <s v="-"/>
    <s v="53-63"/>
    <x v="0"/>
    <x v="468"/>
    <d v="2026-06-26T00:00:00"/>
    <n v="371"/>
    <n v="59"/>
  </r>
  <r>
    <m/>
    <m/>
    <n v="66"/>
    <x v="469"/>
    <x v="0"/>
    <m/>
    <n v="13250"/>
    <m/>
    <n v="11461.3"/>
    <x v="2"/>
    <s v="Тристар"/>
    <x v="31"/>
    <s v="Рудик АИ"/>
    <m/>
    <m/>
    <m/>
    <m/>
    <s v="А309АТ"/>
    <m/>
    <x v="21"/>
    <x v="4"/>
    <n v="3.4"/>
    <x v="2"/>
    <s v="полив"/>
    <n v="23"/>
    <x v="22"/>
    <x v="0"/>
    <s v="-"/>
    <s v="64-66"/>
    <x v="1"/>
    <x v="469"/>
    <d v="2026-06-26T00:00:00"/>
    <n v="74"/>
    <n v="66"/>
  </r>
  <r>
    <m/>
    <m/>
    <n v="66"/>
    <x v="470"/>
    <x v="0"/>
    <m/>
    <n v="3970"/>
    <m/>
    <n v="3632.6"/>
    <x v="1"/>
    <s v="Патриот"/>
    <x v="26"/>
    <s v="Роговской Роман Алексеевич"/>
    <m/>
    <m/>
    <m/>
    <m/>
    <s v="Т945РВ"/>
    <m/>
    <x v="18"/>
    <x v="6"/>
    <n v="1.2380194743206263"/>
    <x v="0"/>
    <s v="богара"/>
    <n v="23"/>
    <x v="22"/>
    <x v="0"/>
    <s v="-"/>
    <s v="64-66"/>
    <x v="1"/>
    <x v="470"/>
    <d v="2026-06-26T00:00:00"/>
    <n v="372"/>
    <n v="66"/>
  </r>
  <r>
    <m/>
    <m/>
    <n v="66"/>
    <x v="471"/>
    <x v="0"/>
    <m/>
    <n v="13180"/>
    <m/>
    <n v="12191.5"/>
    <x v="2"/>
    <s v="Тристар"/>
    <x v="31"/>
    <s v="Кулик О В"/>
    <m/>
    <m/>
    <m/>
    <m/>
    <s v="К403ЕМ"/>
    <m/>
    <x v="23"/>
    <x v="4"/>
    <n v="1.5"/>
    <x v="2"/>
    <s v="полив"/>
    <n v="23"/>
    <x v="22"/>
    <x v="0"/>
    <s v="-"/>
    <s v="64-66"/>
    <x v="1"/>
    <x v="471"/>
    <d v="2026-06-26T00:00:00"/>
    <n v="77"/>
    <n v="66"/>
  </r>
  <r>
    <m/>
    <m/>
    <n v="64"/>
    <x v="472"/>
    <x v="0"/>
    <m/>
    <n v="13030"/>
    <m/>
    <n v="12313.4"/>
    <x v="2"/>
    <s v="Тристар"/>
    <x v="31"/>
    <s v="Богучарский А. И."/>
    <m/>
    <m/>
    <m/>
    <m/>
    <s v="А718ВХ"/>
    <m/>
    <x v="21"/>
    <x v="4"/>
    <n v="3.4"/>
    <x v="2"/>
    <s v="полив"/>
    <n v="23"/>
    <x v="22"/>
    <x v="0"/>
    <s v="-"/>
    <s v="64-66"/>
    <x v="1"/>
    <x v="472"/>
    <d v="2026-06-26T00:00:00"/>
    <n v="78"/>
    <n v="64"/>
  </r>
  <r>
    <m/>
    <m/>
    <n v="67"/>
    <x v="473"/>
    <x v="0"/>
    <m/>
    <n v="4360"/>
    <m/>
    <n v="4076.6"/>
    <x v="1"/>
    <s v="Патриот"/>
    <x v="26"/>
    <s v="Сайко Владимир Николаевич"/>
    <m/>
    <m/>
    <m/>
    <m/>
    <s v="Т919РВ"/>
    <m/>
    <x v="18"/>
    <x v="6"/>
    <n v="1.359638515878572"/>
    <x v="0"/>
    <s v="богара"/>
    <n v="23"/>
    <x v="22"/>
    <x v="0"/>
    <s v="-"/>
    <s v="67-85"/>
    <x v="1"/>
    <x v="473"/>
    <d v="2026-06-26T00:00:00"/>
    <n v="373"/>
    <n v="67"/>
  </r>
  <r>
    <m/>
    <m/>
    <n v="65"/>
    <x v="474"/>
    <x v="0"/>
    <m/>
    <n v="4480"/>
    <m/>
    <n v="4032"/>
    <x v="1"/>
    <s v="Патриот"/>
    <x v="26"/>
    <s v="Роговской Роман Алексеевич"/>
    <m/>
    <m/>
    <m/>
    <m/>
    <s v="Т945РВ"/>
    <m/>
    <x v="18"/>
    <x v="6"/>
    <n v="1.3970597594348628"/>
    <x v="0"/>
    <s v="богара"/>
    <n v="23"/>
    <x v="22"/>
    <x v="0"/>
    <s v="-"/>
    <s v="64-66"/>
    <x v="1"/>
    <x v="474"/>
    <d v="2026-06-26T00:00:00"/>
    <n v="374"/>
    <n v="65"/>
  </r>
  <r>
    <m/>
    <m/>
    <n v="69"/>
    <x v="475"/>
    <x v="0"/>
    <m/>
    <n v="13180"/>
    <m/>
    <n v="12455.1"/>
    <x v="2"/>
    <s v="Тристар"/>
    <x v="31"/>
    <s v="Никитась Сергей Анатольевич"/>
    <m/>
    <m/>
    <m/>
    <m/>
    <s v="К570ЕО"/>
    <m/>
    <x v="21"/>
    <x v="4"/>
    <n v="3.4"/>
    <x v="2"/>
    <s v="полив"/>
    <n v="23"/>
    <x v="22"/>
    <x v="0"/>
    <s v="-"/>
    <s v="67-85"/>
    <x v="1"/>
    <x v="475"/>
    <d v="2026-06-26T00:00:00"/>
    <n v="79"/>
    <n v="69"/>
  </r>
  <r>
    <m/>
    <m/>
    <n v="68"/>
    <x v="476"/>
    <x v="0"/>
    <m/>
    <n v="13020"/>
    <m/>
    <n v="11587.8"/>
    <x v="2"/>
    <s v="Тристар"/>
    <x v="31"/>
    <s v="Сероштан Станислав Викторович"/>
    <m/>
    <m/>
    <m/>
    <m/>
    <s v="Е758РЕ"/>
    <m/>
    <x v="21"/>
    <x v="4"/>
    <n v="3.4"/>
    <x v="2"/>
    <s v="полив"/>
    <n v="23"/>
    <x v="22"/>
    <x v="0"/>
    <s v="-"/>
    <s v="67-85"/>
    <x v="1"/>
    <x v="476"/>
    <d v="2026-06-26T00:00:00"/>
    <n v="81"/>
    <n v="68"/>
  </r>
  <r>
    <m/>
    <m/>
    <n v="69"/>
    <x v="477"/>
    <x v="0"/>
    <m/>
    <n v="13370"/>
    <m/>
    <n v="12768.3"/>
    <x v="2"/>
    <s v="Тристар"/>
    <x v="31"/>
    <s v="Кудря Евгений"/>
    <m/>
    <m/>
    <m/>
    <m/>
    <s v="А719ОО"/>
    <m/>
    <x v="21"/>
    <x v="4"/>
    <n v="3.4"/>
    <x v="2"/>
    <s v="полив"/>
    <n v="23"/>
    <x v="22"/>
    <x v="0"/>
    <s v="-"/>
    <s v="67-85"/>
    <x v="1"/>
    <x v="477"/>
    <d v="2026-06-26T00:00:00"/>
    <n v="80"/>
    <n v="69"/>
  </r>
  <r>
    <m/>
    <m/>
    <n v="62"/>
    <x v="478"/>
    <x v="0"/>
    <m/>
    <n v="12440"/>
    <m/>
    <n v="11755.8"/>
    <x v="3"/>
    <s v="Фаворит"/>
    <x v="34"/>
    <s v="Пугачев Сергей Викторович"/>
    <m/>
    <m/>
    <m/>
    <m/>
    <s v="Р258УХ"/>
    <m/>
    <x v="25"/>
    <x v="3"/>
    <n v="5.9"/>
    <x v="3"/>
    <s v="полив"/>
    <n v="23"/>
    <x v="22"/>
    <x v="0"/>
    <s v="-"/>
    <s v="53-63"/>
    <x v="0"/>
    <x v="478"/>
    <d v="2026-06-26T00:00:00"/>
    <n v="7"/>
    <n v="62"/>
  </r>
  <r>
    <m/>
    <m/>
    <n v="74"/>
    <x v="479"/>
    <x v="0"/>
    <m/>
    <n v="13240"/>
    <m/>
    <n v="12644.2"/>
    <x v="2"/>
    <s v="Тристар"/>
    <x v="31"/>
    <s v="Погуляй А.Б.       "/>
    <m/>
    <m/>
    <m/>
    <m/>
    <s v="О824ТХ"/>
    <m/>
    <x v="21"/>
    <x v="4"/>
    <n v="3.5"/>
    <x v="2"/>
    <s v="полив"/>
    <n v="23"/>
    <x v="22"/>
    <x v="0"/>
    <s v="-"/>
    <s v="67-85"/>
    <x v="2"/>
    <x v="479"/>
    <d v="2026-06-26T00:00:00"/>
    <n v="82"/>
    <n v="74"/>
  </r>
  <r>
    <m/>
    <m/>
    <n v="74"/>
    <x v="480"/>
    <x v="0"/>
    <m/>
    <n v="12990"/>
    <m/>
    <n v="12080.7"/>
    <x v="2"/>
    <s v="Тристар"/>
    <x v="31"/>
    <s v="Бербеницкий Сергей Николаевич"/>
    <m/>
    <m/>
    <m/>
    <m/>
    <s v="С400РР"/>
    <m/>
    <x v="21"/>
    <x v="4"/>
    <n v="3.4"/>
    <x v="2"/>
    <s v="полив"/>
    <n v="23"/>
    <x v="22"/>
    <x v="0"/>
    <s v="-"/>
    <s v="67-85"/>
    <x v="2"/>
    <x v="480"/>
    <d v="2026-06-26T00:00:00"/>
    <n v="84"/>
    <n v="74"/>
  </r>
  <r>
    <m/>
    <m/>
    <n v="52"/>
    <x v="481"/>
    <x v="0"/>
    <m/>
    <n v="14590"/>
    <m/>
    <n v="12620.4"/>
    <x v="3"/>
    <s v="Фаворит"/>
    <x v="34"/>
    <s v="Чернецов Александр"/>
    <m/>
    <m/>
    <m/>
    <m/>
    <s v="В577ЕТ"/>
    <m/>
    <x v="25"/>
    <x v="3"/>
    <n v="7"/>
    <x v="3"/>
    <s v="полив"/>
    <n v="23"/>
    <x v="22"/>
    <x v="0"/>
    <s v="-"/>
    <s v="40-52"/>
    <x v="0"/>
    <x v="481"/>
    <d v="2026-06-27T00:00:00"/>
    <n v="11"/>
    <n v="52"/>
  </r>
  <r>
    <m/>
    <m/>
    <n v="61"/>
    <x v="482"/>
    <x v="0"/>
    <m/>
    <n v="13020"/>
    <m/>
    <n v="11392.5"/>
    <x v="3"/>
    <s v="Фаворит"/>
    <x v="34"/>
    <s v="Ушаков С.Е."/>
    <m/>
    <m/>
    <m/>
    <m/>
    <s v="0212РТ"/>
    <m/>
    <x v="25"/>
    <x v="3"/>
    <n v="6.2"/>
    <x v="3"/>
    <s v="полив"/>
    <n v="23"/>
    <x v="22"/>
    <x v="0"/>
    <s v="-"/>
    <s v="53-63"/>
    <x v="0"/>
    <x v="482"/>
    <d v="2026-06-27T00:00:00"/>
    <n v="12"/>
    <n v="61"/>
  </r>
  <r>
    <m/>
    <m/>
    <n v="64"/>
    <x v="483"/>
    <x v="0"/>
    <m/>
    <n v="12660"/>
    <m/>
    <n v="10950.9"/>
    <x v="3"/>
    <s v="Фаворит"/>
    <x v="34"/>
    <s v="Никитась Сергей Анатольевич"/>
    <m/>
    <m/>
    <m/>
    <m/>
    <s v="К570ЕО"/>
    <m/>
    <x v="25"/>
    <x v="3"/>
    <n v="6.1"/>
    <x v="3"/>
    <s v="полив"/>
    <n v="23"/>
    <x v="22"/>
    <x v="0"/>
    <s v="-"/>
    <s v="64-66"/>
    <x v="1"/>
    <x v="483"/>
    <d v="2026-06-27T00:00:00"/>
    <n v="13"/>
    <n v="64"/>
  </r>
  <r>
    <m/>
    <m/>
    <n v="69"/>
    <x v="484"/>
    <x v="0"/>
    <m/>
    <n v="8810"/>
    <m/>
    <n v="7532.5"/>
    <x v="3"/>
    <s v="Фаворит"/>
    <x v="34"/>
    <s v="Осипов Александр Николаевич"/>
    <m/>
    <m/>
    <m/>
    <m/>
    <s v="Е732УС"/>
    <m/>
    <x v="25"/>
    <x v="3"/>
    <n v="4.2"/>
    <x v="3"/>
    <s v="полив"/>
    <n v="24"/>
    <x v="23"/>
    <x v="0"/>
    <s v="-"/>
    <s v="67-85"/>
    <x v="1"/>
    <x v="484"/>
    <d v="2026-06-27T00:00:00"/>
    <n v="16"/>
    <n v="69"/>
  </r>
  <r>
    <m/>
    <m/>
    <n v="55"/>
    <x v="485"/>
    <x v="0"/>
    <m/>
    <n v="13240"/>
    <m/>
    <n v="11717.4"/>
    <x v="3"/>
    <s v="Фаворит"/>
    <x v="34"/>
    <s v="Сероштан Станислав Викторович"/>
    <m/>
    <m/>
    <m/>
    <m/>
    <s v="Е758РЕ"/>
    <m/>
    <x v="25"/>
    <x v="3"/>
    <n v="6.3"/>
    <x v="3"/>
    <s v="полив"/>
    <n v="24"/>
    <x v="23"/>
    <x v="0"/>
    <s v="-"/>
    <s v="53-63"/>
    <x v="0"/>
    <x v="485"/>
    <d v="2026-06-27T00:00:00"/>
    <n v="14"/>
    <n v="55"/>
  </r>
  <r>
    <m/>
    <m/>
    <n v="61"/>
    <x v="486"/>
    <x v="0"/>
    <m/>
    <n v="13360"/>
    <m/>
    <n v="11289.2"/>
    <x v="3"/>
    <s v="Фаворит"/>
    <x v="34"/>
    <s v="Рудик АИ"/>
    <m/>
    <m/>
    <m/>
    <m/>
    <s v="А309АТ"/>
    <m/>
    <x v="25"/>
    <x v="3"/>
    <n v="6.4"/>
    <x v="3"/>
    <s v="полив"/>
    <n v="24"/>
    <x v="23"/>
    <x v="0"/>
    <s v="-"/>
    <s v="53-63"/>
    <x v="0"/>
    <x v="486"/>
    <d v="2026-06-27T00:00:00"/>
    <n v="15"/>
    <n v="61"/>
  </r>
  <r>
    <m/>
    <m/>
    <n v="77"/>
    <x v="487"/>
    <x v="0"/>
    <m/>
    <n v="14600"/>
    <m/>
    <n v="12921"/>
    <x v="3"/>
    <s v="Фаворит"/>
    <x v="34"/>
    <s v="Кулик О В"/>
    <m/>
    <m/>
    <m/>
    <m/>
    <s v="К403ЕМ"/>
    <m/>
    <x v="25"/>
    <x v="3"/>
    <n v="7"/>
    <x v="3"/>
    <s v="полив"/>
    <n v="24"/>
    <x v="23"/>
    <x v="0"/>
    <s v="-"/>
    <s v="67-85"/>
    <x v="2"/>
    <x v="487"/>
    <d v="2026-06-27T00:00:00"/>
    <n v="17"/>
    <n v="77"/>
  </r>
  <r>
    <m/>
    <m/>
    <n v="75"/>
    <x v="488"/>
    <x v="0"/>
    <m/>
    <n v="15280"/>
    <m/>
    <n v="14439.6"/>
    <x v="2"/>
    <s v="Тристар"/>
    <x v="31"/>
    <s v="Черевко Александр Владимирович"/>
    <m/>
    <m/>
    <m/>
    <m/>
    <s v="А114МК"/>
    <m/>
    <x v="21"/>
    <x v="4"/>
    <n v="2.2999999999999998"/>
    <x v="2"/>
    <s v="полив"/>
    <n v="24"/>
    <x v="23"/>
    <x v="0"/>
    <s v="-"/>
    <s v="67-85"/>
    <x v="2"/>
    <x v="488"/>
    <d v="2026-06-27T00:00:00"/>
    <n v="103"/>
    <n v="75"/>
  </r>
  <r>
    <m/>
    <m/>
    <n v="64"/>
    <x v="489"/>
    <x v="0"/>
    <m/>
    <n v="14390"/>
    <m/>
    <n v="13166.9"/>
    <x v="3"/>
    <s v="Фаворит"/>
    <x v="35"/>
    <s v="Кудря Евгений"/>
    <m/>
    <m/>
    <m/>
    <m/>
    <s v="А719ОО"/>
    <m/>
    <x v="26"/>
    <x v="3"/>
    <n v="2.2000000000000002"/>
    <x v="3"/>
    <s v="полив"/>
    <n v="25"/>
    <x v="24"/>
    <x v="0"/>
    <s v="-"/>
    <s v="64-66"/>
    <x v="1"/>
    <x v="489"/>
    <d v="2026-06-28T00:00:00"/>
    <n v="18"/>
    <n v="64"/>
  </r>
  <r>
    <m/>
    <m/>
    <n v="59"/>
    <x v="490"/>
    <x v="0"/>
    <m/>
    <n v="11220"/>
    <m/>
    <n v="9817.5"/>
    <x v="3"/>
    <s v="Фаворит"/>
    <x v="35"/>
    <s v="Пугачев Сергей Викторович"/>
    <m/>
    <m/>
    <m/>
    <m/>
    <s v="Р258УХ"/>
    <m/>
    <x v="26"/>
    <x v="3"/>
    <n v="1.7"/>
    <x v="3"/>
    <s v="полив"/>
    <n v="25"/>
    <x v="24"/>
    <x v="0"/>
    <s v="-"/>
    <s v="53-63"/>
    <x v="0"/>
    <x v="490"/>
    <d v="2026-06-28T00:00:00"/>
    <n v="19"/>
    <n v="59"/>
  </r>
  <r>
    <m/>
    <m/>
    <n v="77"/>
    <x v="491"/>
    <x v="0"/>
    <m/>
    <n v="15310"/>
    <m/>
    <n v="14544.5"/>
    <x v="2"/>
    <s v="Тристар"/>
    <x v="31"/>
    <s v="Погуляй А.Б.       "/>
    <m/>
    <m/>
    <m/>
    <m/>
    <s v="О824ТХ"/>
    <m/>
    <x v="21"/>
    <x v="4"/>
    <n v="2.2999999999999998"/>
    <x v="2"/>
    <s v="полив"/>
    <n v="25"/>
    <x v="24"/>
    <x v="0"/>
    <s v="-"/>
    <s v="67-85"/>
    <x v="2"/>
    <x v="491"/>
    <d v="2026-06-28T00:00:00"/>
    <n v="105"/>
    <n v="77"/>
  </r>
  <r>
    <m/>
    <m/>
    <n v="77"/>
    <x v="492"/>
    <x v="0"/>
    <m/>
    <n v="15110"/>
    <m/>
    <n v="14430.1"/>
    <x v="2"/>
    <s v="Тристар"/>
    <x v="31"/>
    <s v="Богучарский А. И."/>
    <m/>
    <m/>
    <m/>
    <m/>
    <s v="А718ВХ"/>
    <m/>
    <x v="21"/>
    <x v="4"/>
    <n v="2.2999999999999998"/>
    <x v="2"/>
    <s v="полив"/>
    <n v="25"/>
    <x v="24"/>
    <x v="0"/>
    <s v="-"/>
    <s v="67-85"/>
    <x v="2"/>
    <x v="492"/>
    <d v="2026-06-28T00:00:00"/>
    <n v="107"/>
    <n v="77"/>
  </r>
  <r>
    <m/>
    <m/>
    <n v="80"/>
    <x v="493"/>
    <x v="0"/>
    <m/>
    <n v="15140"/>
    <m/>
    <n v="14610.1"/>
    <x v="2"/>
    <s v="Тристар"/>
    <x v="31"/>
    <s v="Жданов Андрей Иванович"/>
    <m/>
    <m/>
    <m/>
    <m/>
    <s v="С707ОУ"/>
    <m/>
    <x v="21"/>
    <x v="4"/>
    <n v="2.2999999999999998"/>
    <x v="2"/>
    <s v="полив"/>
    <n v="25"/>
    <x v="24"/>
    <x v="0"/>
    <s v="-"/>
    <s v="67-85"/>
    <x v="2"/>
    <x v="493"/>
    <d v="2026-06-28T00:00:00"/>
    <n v="108"/>
    <n v="80"/>
  </r>
  <r>
    <m/>
    <m/>
    <n v="56"/>
    <x v="494"/>
    <x v="0"/>
    <m/>
    <n v="14540"/>
    <m/>
    <n v="13304.1"/>
    <x v="3"/>
    <s v="Фаворит"/>
    <x v="35"/>
    <s v="Ушаков С.Е."/>
    <m/>
    <m/>
    <m/>
    <m/>
    <s v="0212РТ"/>
    <m/>
    <x v="26"/>
    <x v="3"/>
    <n v="2.2999999999999998"/>
    <x v="3"/>
    <s v="полив"/>
    <n v="25"/>
    <x v="24"/>
    <x v="0"/>
    <s v="-"/>
    <s v="53-63"/>
    <x v="0"/>
    <x v="494"/>
    <d v="2026-06-28T00:00:00"/>
    <n v="20"/>
    <n v="56"/>
  </r>
  <r>
    <m/>
    <m/>
    <n v="53"/>
    <x v="495"/>
    <x v="0"/>
    <m/>
    <n v="13760"/>
    <m/>
    <n v="12040"/>
    <x v="3"/>
    <s v="Тристар"/>
    <x v="35"/>
    <s v="Никитась Сергей Анатольевич"/>
    <m/>
    <m/>
    <m/>
    <m/>
    <s v="К570ЕО"/>
    <m/>
    <x v="26"/>
    <x v="7"/>
    <n v="2.4373823915900132"/>
    <x v="3"/>
    <s v="полив"/>
    <n v="26"/>
    <x v="25"/>
    <x v="0"/>
    <s v="-"/>
    <s v="53-63"/>
    <x v="0"/>
    <x v="495"/>
    <d v="2026-06-28T00:00:00"/>
    <n v="21"/>
    <n v="53"/>
  </r>
  <r>
    <m/>
    <m/>
    <n v="51"/>
    <x v="496"/>
    <x v="0"/>
    <m/>
    <n v="13530"/>
    <m/>
    <n v="11568.1"/>
    <x v="3"/>
    <s v="Тристар"/>
    <x v="35"/>
    <s v="Пугачев Сергей Викторович"/>
    <m/>
    <m/>
    <m/>
    <m/>
    <s v="Р258УХ"/>
    <m/>
    <x v="26"/>
    <x v="7"/>
    <n v="2.3966412614980293"/>
    <x v="3"/>
    <s v="полив"/>
    <n v="26"/>
    <x v="25"/>
    <x v="0"/>
    <s v="-"/>
    <s v="40-52"/>
    <x v="0"/>
    <x v="496"/>
    <d v="2026-06-28T00:00:00"/>
    <n v="22"/>
    <n v="51"/>
  </r>
  <r>
    <m/>
    <m/>
    <n v="55"/>
    <x v="497"/>
    <x v="0"/>
    <m/>
    <n v="13550"/>
    <m/>
    <n v="11585.2"/>
    <x v="3"/>
    <s v="Тристар"/>
    <x v="35"/>
    <s v="Сероштан Станислав Викторович"/>
    <m/>
    <m/>
    <m/>
    <m/>
    <s v="Е758РЕ"/>
    <m/>
    <x v="26"/>
    <x v="7"/>
    <n v="2.4001839684625494"/>
    <x v="3"/>
    <s v="полив"/>
    <n v="26"/>
    <x v="25"/>
    <x v="0"/>
    <s v="-"/>
    <s v="53-63"/>
    <x v="0"/>
    <x v="497"/>
    <d v="2026-06-28T00:00:00"/>
    <n v="23"/>
    <n v="55"/>
  </r>
  <r>
    <m/>
    <m/>
    <n v="54"/>
    <x v="498"/>
    <x v="0"/>
    <m/>
    <n v="13280"/>
    <m/>
    <n v="11686.4"/>
    <x v="3"/>
    <s v="Тристар"/>
    <x v="35"/>
    <s v="Богучарский А. И."/>
    <m/>
    <m/>
    <m/>
    <m/>
    <s v="А718ВХ"/>
    <m/>
    <x v="26"/>
    <x v="7"/>
    <n v="2.3523574244415246"/>
    <x v="3"/>
    <s v="полив"/>
    <n v="26"/>
    <x v="25"/>
    <x v="0"/>
    <s v="-"/>
    <s v="53-63"/>
    <x v="0"/>
    <x v="498"/>
    <d v="2026-06-28T00:00:00"/>
    <n v="24"/>
    <n v="54"/>
  </r>
  <r>
    <m/>
    <m/>
    <n v="53"/>
    <x v="499"/>
    <x v="0"/>
    <m/>
    <n v="13290"/>
    <m/>
    <n v="11695.2"/>
    <x v="3"/>
    <s v="Тристар"/>
    <x v="35"/>
    <s v="Осипов Александр Николаевич"/>
    <m/>
    <m/>
    <m/>
    <m/>
    <s v="Е732УС"/>
    <m/>
    <x v="26"/>
    <x v="7"/>
    <n v="2.3541287779237847"/>
    <x v="3"/>
    <s v="полив"/>
    <n v="26"/>
    <x v="25"/>
    <x v="0"/>
    <s v="-"/>
    <s v="53-63"/>
    <x v="0"/>
    <x v="499"/>
    <d v="2026-06-28T00:00:00"/>
    <n v="25"/>
    <n v="53"/>
  </r>
  <r>
    <m/>
    <m/>
    <n v="53"/>
    <x v="500"/>
    <x v="0"/>
    <m/>
    <n v="13570"/>
    <m/>
    <n v="11670.2"/>
    <x v="3"/>
    <s v="Тристар"/>
    <x v="35"/>
    <s v="Емец Р.А."/>
    <m/>
    <m/>
    <m/>
    <m/>
    <s v="У315НХ"/>
    <m/>
    <x v="26"/>
    <x v="7"/>
    <n v="2.4037266754270701"/>
    <x v="3"/>
    <s v="полив"/>
    <n v="26"/>
    <x v="25"/>
    <x v="0"/>
    <s v="-"/>
    <s v="53-63"/>
    <x v="0"/>
    <x v="500"/>
    <d v="2026-06-28T00:00:00"/>
    <n v="26"/>
    <n v="53"/>
  </r>
  <r>
    <m/>
    <m/>
    <n v="53"/>
    <x v="501"/>
    <x v="0"/>
    <m/>
    <n v="13020"/>
    <m/>
    <n v="11197.2"/>
    <x v="3"/>
    <s v="Тристар"/>
    <x v="35"/>
    <s v="Кудря Евгений"/>
    <m/>
    <m/>
    <m/>
    <m/>
    <s v="А719ОО"/>
    <m/>
    <x v="26"/>
    <x v="7"/>
    <n v="2.3063022339027599"/>
    <x v="3"/>
    <s v="полив"/>
    <n v="26"/>
    <x v="25"/>
    <x v="0"/>
    <s v="-"/>
    <s v="53-63"/>
    <x v="0"/>
    <x v="501"/>
    <d v="2026-06-28T00:00:00"/>
    <n v="27"/>
    <n v="53"/>
  </r>
  <r>
    <m/>
    <m/>
    <n v="53"/>
    <x v="502"/>
    <x v="0"/>
    <m/>
    <n v="12950"/>
    <m/>
    <n v="11137"/>
    <x v="3"/>
    <s v="Тристар"/>
    <x v="35"/>
    <s v="Ушаков С Е."/>
    <m/>
    <m/>
    <m/>
    <m/>
    <s v="О212РТ"/>
    <m/>
    <x v="26"/>
    <x v="7"/>
    <n v="2.2939027595269383"/>
    <x v="3"/>
    <s v="полив"/>
    <n v="24"/>
    <x v="23"/>
    <x v="0"/>
    <s v="-"/>
    <s v="53-63"/>
    <x v="0"/>
    <x v="502"/>
    <d v="2026-06-29T00:00:00"/>
    <n v="28"/>
    <n v="53"/>
  </r>
  <r>
    <m/>
    <m/>
    <n v="52"/>
    <x v="503"/>
    <x v="0"/>
    <m/>
    <n v="12710"/>
    <m/>
    <n v="10803.5"/>
    <x v="3"/>
    <s v="Тристар"/>
    <x v="35"/>
    <s v="Рудик АИ"/>
    <m/>
    <m/>
    <m/>
    <m/>
    <s v="А309АТ"/>
    <m/>
    <x v="26"/>
    <x v="7"/>
    <n v="2.2513902759526943"/>
    <x v="3"/>
    <s v="полив"/>
    <n v="24"/>
    <x v="23"/>
    <x v="0"/>
    <s v="-"/>
    <s v="40-52"/>
    <x v="0"/>
    <x v="503"/>
    <d v="2026-06-29T00:00:00"/>
    <n v="29"/>
    <n v="52"/>
  </r>
  <r>
    <m/>
    <m/>
    <n v="51"/>
    <x v="504"/>
    <x v="0"/>
    <m/>
    <n v="12910"/>
    <m/>
    <n v="10844.4"/>
    <x v="3"/>
    <s v="Тристар"/>
    <x v="35"/>
    <s v="Бербеницкий Сергей Николаевич"/>
    <m/>
    <m/>
    <m/>
    <m/>
    <s v="С400РР"/>
    <m/>
    <x v="26"/>
    <x v="7"/>
    <n v="2.286817345597898"/>
    <x v="3"/>
    <s v="полив"/>
    <n v="24"/>
    <x v="23"/>
    <x v="0"/>
    <s v="-"/>
    <s v="40-52"/>
    <x v="0"/>
    <x v="504"/>
    <d v="2026-06-29T00:00:00"/>
    <n v="30"/>
    <n v="51"/>
  </r>
  <r>
    <m/>
    <m/>
    <n v="55"/>
    <x v="505"/>
    <x v="0"/>
    <m/>
    <n v="12770"/>
    <m/>
    <n v="11556.9"/>
    <x v="3"/>
    <s v="Тристар"/>
    <x v="35"/>
    <s v="Кулик О В"/>
    <m/>
    <m/>
    <m/>
    <m/>
    <s v="К403ЕМ"/>
    <m/>
    <x v="26"/>
    <x v="3"/>
    <n v="1.9"/>
    <x v="3"/>
    <s v="полив"/>
    <n v="25"/>
    <x v="24"/>
    <x v="0"/>
    <s v="-"/>
    <s v="53-63"/>
    <x v="0"/>
    <x v="505"/>
    <d v="2026-06-29T00:00:00"/>
    <n v="31"/>
    <n v="55"/>
  </r>
  <r>
    <m/>
    <m/>
    <n v="52"/>
    <x v="506"/>
    <x v="0"/>
    <m/>
    <n v="12710"/>
    <m/>
    <n v="11375.5"/>
    <x v="3"/>
    <s v="Тристар"/>
    <x v="35"/>
    <s v="Жданов Андрей Иванович"/>
    <m/>
    <m/>
    <m/>
    <m/>
    <s v="С707ОУ"/>
    <m/>
    <x v="26"/>
    <x v="3"/>
    <n v="1.9"/>
    <x v="3"/>
    <s v="полив"/>
    <n v="25"/>
    <x v="24"/>
    <x v="0"/>
    <s v="-"/>
    <s v="40-52"/>
    <x v="0"/>
    <x v="506"/>
    <d v="2026-06-29T00:00:00"/>
    <n v="32"/>
    <n v="52"/>
  </r>
  <r>
    <m/>
    <m/>
    <n v="53"/>
    <x v="507"/>
    <x v="0"/>
    <m/>
    <n v="12870"/>
    <m/>
    <n v="11261.3"/>
    <x v="3"/>
    <s v="Тристар"/>
    <x v="35"/>
    <s v="Гужва А М."/>
    <m/>
    <m/>
    <m/>
    <m/>
    <s v="Т285ВЕ"/>
    <m/>
    <x v="26"/>
    <x v="3"/>
    <n v="1.9"/>
    <x v="3"/>
    <s v="полив"/>
    <n v="25"/>
    <x v="24"/>
    <x v="0"/>
    <s v="-"/>
    <s v="53-63"/>
    <x v="0"/>
    <x v="507"/>
    <d v="2026-06-29T00:00:00"/>
    <n v="33"/>
    <n v="53"/>
  </r>
  <r>
    <m/>
    <m/>
    <n v="50"/>
    <x v="508"/>
    <x v="0"/>
    <m/>
    <n v="12690"/>
    <m/>
    <n v="11294.1"/>
    <x v="3"/>
    <s v="Тристар"/>
    <x v="35"/>
    <s v="Никитась Сергей Анатольевич"/>
    <m/>
    <m/>
    <m/>
    <m/>
    <s v="К570ЕО"/>
    <m/>
    <x v="26"/>
    <x v="3"/>
    <n v="1.9"/>
    <x v="3"/>
    <s v="полив"/>
    <n v="25"/>
    <x v="24"/>
    <x v="0"/>
    <s v="-"/>
    <s v="40-52"/>
    <x v="0"/>
    <x v="508"/>
    <d v="2026-06-29T00:00:00"/>
    <n v="34"/>
    <n v="50"/>
  </r>
  <r>
    <m/>
    <m/>
    <n v="50"/>
    <x v="509"/>
    <x v="0"/>
    <m/>
    <n v="12760"/>
    <m/>
    <n v="11356.4"/>
    <x v="3"/>
    <s v="Тристар"/>
    <x v="35"/>
    <s v="Извеков Владимир Владимирович"/>
    <m/>
    <m/>
    <m/>
    <m/>
    <s v="Н378ХЕ"/>
    <m/>
    <x v="26"/>
    <x v="3"/>
    <n v="1.9"/>
    <x v="3"/>
    <s v="полив"/>
    <n v="25"/>
    <x v="24"/>
    <x v="0"/>
    <s v="-"/>
    <s v="40-52"/>
    <x v="0"/>
    <x v="509"/>
    <d v="2026-06-29T00:00:00"/>
    <n v="35"/>
    <n v="50"/>
  </r>
  <r>
    <m/>
    <m/>
    <n v="53"/>
    <x v="510"/>
    <x v="0"/>
    <m/>
    <n v="13220"/>
    <m/>
    <n v="11964.1"/>
    <x v="3"/>
    <s v="Тристар"/>
    <x v="35"/>
    <s v="Черевко Александр Владимирович"/>
    <m/>
    <m/>
    <m/>
    <m/>
    <s v="А114МК"/>
    <m/>
    <x v="26"/>
    <x v="3"/>
    <n v="2"/>
    <x v="3"/>
    <s v="полив"/>
    <n v="25"/>
    <x v="24"/>
    <x v="0"/>
    <s v="-"/>
    <s v="53-63"/>
    <x v="0"/>
    <x v="510"/>
    <d v="2026-06-29T00:00:00"/>
    <n v="36"/>
    <n v="53"/>
  </r>
  <r>
    <m/>
    <m/>
    <n v="55"/>
    <x v="511"/>
    <x v="0"/>
    <m/>
    <n v="12710"/>
    <m/>
    <n v="11883.9"/>
    <x v="3"/>
    <s v="Тристар"/>
    <x v="35"/>
    <s v="Пугачев Сергей Викторович"/>
    <m/>
    <m/>
    <m/>
    <m/>
    <s v="Р258УХ"/>
    <m/>
    <x v="26"/>
    <x v="3"/>
    <n v="1.9"/>
    <x v="3"/>
    <s v="полив"/>
    <n v="25"/>
    <x v="24"/>
    <x v="0"/>
    <s v="-"/>
    <s v="53-63"/>
    <x v="0"/>
    <x v="511"/>
    <d v="2026-06-29T00:00:00"/>
    <n v="37"/>
    <n v="55"/>
  </r>
  <r>
    <m/>
    <m/>
    <n v="55"/>
    <x v="512"/>
    <x v="0"/>
    <m/>
    <n v="12760"/>
    <m/>
    <n v="11547.8"/>
    <x v="3"/>
    <s v="Тристар"/>
    <x v="35"/>
    <s v="Сероштан Станислав Викторович"/>
    <m/>
    <m/>
    <m/>
    <m/>
    <s v="Е758РЕ"/>
    <m/>
    <x v="26"/>
    <x v="3"/>
    <n v="1.9"/>
    <x v="3"/>
    <s v="полив"/>
    <n v="25"/>
    <x v="24"/>
    <x v="0"/>
    <s v="-"/>
    <s v="53-63"/>
    <x v="0"/>
    <x v="512"/>
    <d v="2026-06-29T00:00:00"/>
    <n v="38"/>
    <n v="55"/>
  </r>
  <r>
    <m/>
    <m/>
    <n v="54"/>
    <x v="513"/>
    <x v="0"/>
    <m/>
    <n v="12910"/>
    <m/>
    <n v="11812.7"/>
    <x v="3"/>
    <s v="Тристар"/>
    <x v="35"/>
    <s v="Кудря Евгений"/>
    <m/>
    <m/>
    <m/>
    <m/>
    <s v="А719ОО"/>
    <m/>
    <x v="26"/>
    <x v="3"/>
    <n v="1.9"/>
    <x v="3"/>
    <s v="полив"/>
    <n v="25"/>
    <x v="24"/>
    <x v="0"/>
    <s v="-"/>
    <s v="53-63"/>
    <x v="0"/>
    <x v="513"/>
    <d v="2026-06-29T00:00:00"/>
    <n v="40"/>
    <n v="54"/>
  </r>
  <r>
    <m/>
    <m/>
    <n v="51"/>
    <x v="514"/>
    <x v="0"/>
    <m/>
    <n v="13350"/>
    <m/>
    <n v="12081.8"/>
    <x v="3"/>
    <s v="Тристар"/>
    <x v="35"/>
    <s v="Емец Р.А."/>
    <m/>
    <m/>
    <m/>
    <m/>
    <s v="У315НХ"/>
    <m/>
    <x v="26"/>
    <x v="3"/>
    <n v="2"/>
    <x v="3"/>
    <s v="полив"/>
    <n v="25"/>
    <x v="24"/>
    <x v="0"/>
    <s v="-"/>
    <s v="40-52"/>
    <x v="0"/>
    <x v="514"/>
    <d v="2026-06-29T00:00:00"/>
    <n v="39"/>
    <n v="51"/>
  </r>
  <r>
    <m/>
    <m/>
    <n v="51"/>
    <x v="515"/>
    <x v="0"/>
    <m/>
    <n v="12880"/>
    <m/>
    <n v="11270"/>
    <x v="3"/>
    <s v="Тристар"/>
    <x v="35"/>
    <s v="Рудик АИ"/>
    <m/>
    <m/>
    <m/>
    <m/>
    <s v="А309АТ"/>
    <m/>
    <x v="26"/>
    <x v="3"/>
    <n v="1.9"/>
    <x v="3"/>
    <s v="полив"/>
    <n v="25"/>
    <x v="24"/>
    <x v="0"/>
    <s v="-"/>
    <s v="40-52"/>
    <x v="0"/>
    <x v="515"/>
    <d v="2026-06-29T00:00:00"/>
    <n v="41"/>
    <n v="51"/>
  </r>
  <r>
    <m/>
    <m/>
    <n v="56"/>
    <x v="516"/>
    <x v="0"/>
    <m/>
    <n v="13010"/>
    <m/>
    <n v="11644"/>
    <x v="3"/>
    <s v="Тристар"/>
    <x v="35"/>
    <s v="Ушаков С.Е."/>
    <m/>
    <m/>
    <m/>
    <m/>
    <s v="0212РТ"/>
    <m/>
    <x v="26"/>
    <x v="7"/>
    <n v="2.3045308804204998"/>
    <x v="3"/>
    <s v="полив"/>
    <n v="26"/>
    <x v="25"/>
    <x v="0"/>
    <s v="-"/>
    <s v="53-63"/>
    <x v="0"/>
    <x v="516"/>
    <d v="2026-06-29T00:00:00"/>
    <n v="42"/>
    <n v="56"/>
  </r>
  <r>
    <m/>
    <m/>
    <n v="59"/>
    <x v="517"/>
    <x v="0"/>
    <m/>
    <n v="13530"/>
    <m/>
    <n v="12447.6"/>
    <x v="3"/>
    <s v="Тристар"/>
    <x v="35"/>
    <s v="Погуляй А.Б.       "/>
    <m/>
    <m/>
    <m/>
    <m/>
    <s v="О824ТХ"/>
    <m/>
    <x v="26"/>
    <x v="7"/>
    <n v="2.3966412614980293"/>
    <x v="3"/>
    <s v="полив"/>
    <n v="26"/>
    <x v="25"/>
    <x v="0"/>
    <s v="-"/>
    <s v="53-63"/>
    <x v="0"/>
    <x v="517"/>
    <d v="2026-06-29T00:00:00"/>
    <n v="43"/>
    <n v="59"/>
  </r>
  <r>
    <m/>
    <m/>
    <n v="58"/>
    <x v="518"/>
    <x v="0"/>
    <m/>
    <n v="12940"/>
    <m/>
    <n v="11969.5"/>
    <x v="3"/>
    <s v="Тристар"/>
    <x v="35"/>
    <s v="Осипов Александр Николаевич"/>
    <m/>
    <m/>
    <m/>
    <m/>
    <s v="Е732УС"/>
    <m/>
    <x v="26"/>
    <x v="7"/>
    <n v="2.2921314060446782"/>
    <x v="3"/>
    <s v="полив"/>
    <n v="26"/>
    <x v="25"/>
    <x v="0"/>
    <s v="-"/>
    <s v="53-63"/>
    <x v="0"/>
    <x v="518"/>
    <d v="2026-06-29T00:00:00"/>
    <n v="44"/>
    <n v="58"/>
  </r>
  <r>
    <m/>
    <m/>
    <n v="60"/>
    <x v="519"/>
    <x v="0"/>
    <m/>
    <n v="13030"/>
    <m/>
    <n v="12052.8"/>
    <x v="3"/>
    <s v="Тристар"/>
    <x v="35"/>
    <s v="Никитась Сергей Анатольевич"/>
    <m/>
    <m/>
    <m/>
    <m/>
    <s v="К570ЕО"/>
    <m/>
    <x v="26"/>
    <x v="7"/>
    <n v="2.30807358738502"/>
    <x v="3"/>
    <s v="полив"/>
    <n v="26"/>
    <x v="25"/>
    <x v="0"/>
    <s v="-"/>
    <s v="53-63"/>
    <x v="0"/>
    <x v="519"/>
    <d v="2026-06-29T00:00:00"/>
    <n v="45"/>
    <n v="60"/>
  </r>
  <r>
    <m/>
    <m/>
    <n v="57"/>
    <x v="520"/>
    <x v="0"/>
    <m/>
    <n v="13220"/>
    <m/>
    <n v="11964.1"/>
    <x v="3"/>
    <s v="Тристар"/>
    <x v="35"/>
    <s v="Пищев Александр Васильевич "/>
    <m/>
    <m/>
    <m/>
    <m/>
    <s v="Т522ОН"/>
    <m/>
    <x v="26"/>
    <x v="7"/>
    <n v="2.3417293035479636"/>
    <x v="3"/>
    <s v="полив"/>
    <n v="26"/>
    <x v="25"/>
    <x v="0"/>
    <s v="-"/>
    <s v="53-63"/>
    <x v="0"/>
    <x v="520"/>
    <d v="2026-06-29T00:00:00"/>
    <n v="46"/>
    <n v="57"/>
  </r>
  <r>
    <m/>
    <m/>
    <n v="58"/>
    <x v="521"/>
    <x v="0"/>
    <m/>
    <n v="13040"/>
    <m/>
    <n v="11540.4"/>
    <x v="3"/>
    <s v="Тристар"/>
    <x v="35"/>
    <s v="Бербеницкий Сергей Николаевич"/>
    <m/>
    <m/>
    <m/>
    <m/>
    <s v="С400РР"/>
    <m/>
    <x v="26"/>
    <x v="7"/>
    <n v="2.3098449408672801"/>
    <x v="3"/>
    <s v="полив"/>
    <n v="26"/>
    <x v="25"/>
    <x v="0"/>
    <s v="-"/>
    <s v="53-63"/>
    <x v="0"/>
    <x v="521"/>
    <d v="2026-06-29T00:00:00"/>
    <n v="47"/>
    <n v="58"/>
  </r>
  <r>
    <m/>
    <m/>
    <n v="57"/>
    <x v="522"/>
    <x v="0"/>
    <m/>
    <n v="12100"/>
    <m/>
    <n v="10950.5"/>
    <x v="3"/>
    <s v="Тристар"/>
    <x v="35"/>
    <s v="Пугачев Сергей Викторович"/>
    <m/>
    <m/>
    <m/>
    <m/>
    <s v="Р258УХ"/>
    <m/>
    <x v="26"/>
    <x v="7"/>
    <n v="2.1433377135348231"/>
    <x v="3"/>
    <s v="полив"/>
    <n v="26"/>
    <x v="25"/>
    <x v="0"/>
    <s v="-"/>
    <s v="53-63"/>
    <x v="0"/>
    <x v="522"/>
    <d v="2026-06-29T00:00:00"/>
    <n v="48"/>
    <n v="57"/>
  </r>
  <r>
    <m/>
    <m/>
    <n v="59"/>
    <x v="523"/>
    <x v="0"/>
    <m/>
    <n v="12830"/>
    <m/>
    <n v="11482.9"/>
    <x v="3"/>
    <s v="Тристар"/>
    <x v="35"/>
    <s v="Черевко Александр Владимирович"/>
    <m/>
    <m/>
    <m/>
    <m/>
    <s v="А114МК"/>
    <m/>
    <x v="26"/>
    <x v="7"/>
    <n v="2.2726465177398163"/>
    <x v="3"/>
    <s v="полив"/>
    <n v="26"/>
    <x v="25"/>
    <x v="0"/>
    <s v="-"/>
    <s v="53-63"/>
    <x v="0"/>
    <x v="523"/>
    <d v="2026-06-30T00:00:00"/>
    <n v="49"/>
    <n v="59"/>
  </r>
  <r>
    <m/>
    <m/>
    <n v="60"/>
    <x v="524"/>
    <x v="0"/>
    <m/>
    <n v="13090"/>
    <m/>
    <n v="11846.5"/>
    <x v="3"/>
    <s v="Тристар"/>
    <x v="35"/>
    <s v="Кулик О В"/>
    <m/>
    <m/>
    <m/>
    <m/>
    <s v="К403ЕМ"/>
    <m/>
    <x v="26"/>
    <x v="7"/>
    <n v="2.318701708278581"/>
    <x v="3"/>
    <s v="полив"/>
    <n v="26"/>
    <x v="25"/>
    <x v="0"/>
    <s v="-"/>
    <s v="53-63"/>
    <x v="0"/>
    <x v="524"/>
    <d v="2026-06-30T00:00:00"/>
    <n v="50"/>
    <n v="60"/>
  </r>
  <r>
    <m/>
    <m/>
    <n v="56"/>
    <x v="525"/>
    <x v="0"/>
    <m/>
    <n v="12860"/>
    <m/>
    <n v="11895.5"/>
    <x v="3"/>
    <s v="Тристар"/>
    <x v="35"/>
    <s v="Дик Илья Александрович"/>
    <m/>
    <m/>
    <m/>
    <m/>
    <s v="М556ХВ"/>
    <m/>
    <x v="26"/>
    <x v="7"/>
    <n v="2.277960578186597"/>
    <x v="3"/>
    <s v="полив"/>
    <n v="26"/>
    <x v="25"/>
    <x v="0"/>
    <s v="-"/>
    <s v="53-63"/>
    <x v="0"/>
    <x v="525"/>
    <d v="2026-06-30T00:00:00"/>
    <n v="51"/>
    <n v="56"/>
  </r>
  <r>
    <m/>
    <m/>
    <n v="57"/>
    <x v="526"/>
    <x v="0"/>
    <m/>
    <n v="12850"/>
    <m/>
    <n v="11372.3"/>
    <x v="3"/>
    <s v="Тристар"/>
    <x v="35"/>
    <s v="Кудря Евгений"/>
    <m/>
    <m/>
    <m/>
    <m/>
    <s v="А719ОО"/>
    <m/>
    <x v="26"/>
    <x v="7"/>
    <n v="2.2761892247043365"/>
    <x v="3"/>
    <s v="полив"/>
    <n v="26"/>
    <x v="25"/>
    <x v="0"/>
    <s v="-"/>
    <s v="53-63"/>
    <x v="0"/>
    <x v="526"/>
    <d v="2026-06-30T00:00:00"/>
    <n v="52"/>
    <n v="57"/>
  </r>
  <r>
    <m/>
    <m/>
    <n v="61"/>
    <x v="527"/>
    <x v="0"/>
    <m/>
    <n v="12870"/>
    <m/>
    <n v="12033.5"/>
    <x v="3"/>
    <s v="Тристар"/>
    <x v="35"/>
    <s v="Фомин Николай Григорьевич"/>
    <m/>
    <m/>
    <m/>
    <m/>
    <s v="А731ВА"/>
    <m/>
    <x v="26"/>
    <x v="7"/>
    <n v="2.2797319316688571"/>
    <x v="3"/>
    <s v="полив"/>
    <n v="26"/>
    <x v="25"/>
    <x v="0"/>
    <s v="-"/>
    <s v="53-63"/>
    <x v="0"/>
    <x v="527"/>
    <d v="2026-06-30T00:00:00"/>
    <n v="53"/>
    <n v="61"/>
  </r>
  <r>
    <m/>
    <m/>
    <n v="55"/>
    <x v="528"/>
    <x v="0"/>
    <m/>
    <n v="12730"/>
    <m/>
    <n v="11393.4"/>
    <x v="3"/>
    <s v="Тристар"/>
    <x v="35"/>
    <s v="Ушаков С.Е."/>
    <m/>
    <m/>
    <m/>
    <m/>
    <s v="0212РТ"/>
    <m/>
    <x v="26"/>
    <x v="7"/>
    <n v="2.2549329829172144"/>
    <x v="3"/>
    <s v="полив"/>
    <n v="26"/>
    <x v="25"/>
    <x v="0"/>
    <s v="-"/>
    <s v="53-63"/>
    <x v="0"/>
    <x v="528"/>
    <d v="2026-06-30T00:00:00"/>
    <n v="54"/>
    <n v="55"/>
  </r>
  <r>
    <m/>
    <m/>
    <n v="57"/>
    <x v="529"/>
    <x v="0"/>
    <m/>
    <n v="12800"/>
    <m/>
    <n v="11456"/>
    <x v="3"/>
    <s v="Тристар"/>
    <x v="35"/>
    <s v="Жданов Андрей Иванович"/>
    <m/>
    <m/>
    <m/>
    <m/>
    <s v="С707ОУ"/>
    <m/>
    <x v="26"/>
    <x v="7"/>
    <n v="2.2673324572930356"/>
    <x v="3"/>
    <s v="полив"/>
    <n v="27"/>
    <x v="26"/>
    <x v="0"/>
    <s v="-"/>
    <s v="53-63"/>
    <x v="0"/>
    <x v="529"/>
    <d v="2026-06-30T00:00:00"/>
    <n v="55"/>
    <n v="57"/>
  </r>
  <r>
    <m/>
    <m/>
    <n v="56"/>
    <x v="530"/>
    <x v="0"/>
    <m/>
    <n v="13140"/>
    <m/>
    <n v="12154.5"/>
    <x v="3"/>
    <s v="Тристар"/>
    <x v="35"/>
    <s v="Рудик АИ"/>
    <m/>
    <m/>
    <m/>
    <m/>
    <s v="А309АТ"/>
    <m/>
    <x v="26"/>
    <x v="7"/>
    <n v="2.3275584756898819"/>
    <x v="3"/>
    <s v="полив"/>
    <n v="27"/>
    <x v="26"/>
    <x v="0"/>
    <s v="-"/>
    <s v="53-63"/>
    <x v="0"/>
    <x v="530"/>
    <d v="2026-06-30T00:00:00"/>
    <n v="56"/>
    <n v="56"/>
  </r>
  <r>
    <m/>
    <m/>
    <n v="59"/>
    <x v="531"/>
    <x v="0"/>
    <m/>
    <n v="12830"/>
    <m/>
    <n v="12060.2"/>
    <x v="3"/>
    <s v="Тристар"/>
    <x v="35"/>
    <s v="Пищев Александр Васильевич "/>
    <m/>
    <m/>
    <m/>
    <m/>
    <s v="Т522ОН"/>
    <m/>
    <x v="26"/>
    <x v="3"/>
    <n v="1.9"/>
    <x v="3"/>
    <s v="полив"/>
    <n v="25"/>
    <x v="24"/>
    <x v="8"/>
    <s v="-"/>
    <s v="53-63"/>
    <x v="0"/>
    <x v="531"/>
    <d v="2026-06-30T00:00:00"/>
    <n v="57"/>
    <n v="59"/>
  </r>
  <r>
    <m/>
    <m/>
    <n v="55"/>
    <x v="532"/>
    <x v="1"/>
    <m/>
    <n v="4490"/>
    <m/>
    <n v="4108.3999999999996"/>
    <x v="1"/>
    <s v="Увертюра"/>
    <x v="36"/>
    <s v="Чигрин Н.А."/>
    <m/>
    <m/>
    <m/>
    <m/>
    <s v="А819ЕВ"/>
    <m/>
    <x v="27"/>
    <x v="2"/>
    <n v="2.2999999999999998"/>
    <x v="1"/>
    <s v="полив"/>
    <n v="27"/>
    <x v="26"/>
    <x v="24"/>
    <s v="-"/>
    <s v="53-63"/>
    <x v="0"/>
    <x v="532"/>
    <d v="2026-06-30T00:00:00"/>
    <n v="375"/>
    <n v="55"/>
  </r>
  <r>
    <m/>
    <m/>
    <n v="59"/>
    <x v="533"/>
    <x v="1"/>
    <m/>
    <n v="12820"/>
    <m/>
    <n v="11730.3"/>
    <x v="3"/>
    <s v="Тристар"/>
    <x v="35"/>
    <s v="Никитась Сергей Анатольевич"/>
    <m/>
    <m/>
    <m/>
    <m/>
    <s v="К570ЕО"/>
    <m/>
    <x v="26"/>
    <x v="3"/>
    <n v="1.9"/>
    <x v="3"/>
    <s v="полив"/>
    <n v="25"/>
    <x v="24"/>
    <x v="25"/>
    <s v="-"/>
    <s v="53-63"/>
    <x v="0"/>
    <x v="533"/>
    <d v="2026-06-30T00:00:00"/>
    <n v="58"/>
    <n v="59"/>
  </r>
  <r>
    <m/>
    <m/>
    <n v="59"/>
    <x v="534"/>
    <x v="0"/>
    <m/>
    <n v="12730"/>
    <m/>
    <n v="11648"/>
    <x v="3"/>
    <s v="Тристар"/>
    <x v="35"/>
    <s v="Пугачев Сергей Викторович"/>
    <m/>
    <m/>
    <m/>
    <m/>
    <s v="Р258УХ"/>
    <m/>
    <x v="26"/>
    <x v="3"/>
    <n v="1.9"/>
    <x v="3"/>
    <s v="полив"/>
    <n v="25"/>
    <x v="24"/>
    <x v="26"/>
    <s v="-"/>
    <s v="53-63"/>
    <x v="0"/>
    <x v="534"/>
    <d v="2026-06-30T00:00:00"/>
    <n v="59"/>
    <n v="59"/>
  </r>
  <r>
    <m/>
    <m/>
    <n v="59"/>
    <x v="535"/>
    <x v="0"/>
    <m/>
    <n v="3910"/>
    <m/>
    <n v="3440.8"/>
    <x v="1"/>
    <s v="Увертюра"/>
    <x v="36"/>
    <s v="Роговской Роман Алексеевич"/>
    <m/>
    <m/>
    <m/>
    <m/>
    <s v="Т945РВ"/>
    <m/>
    <x v="27"/>
    <x v="2"/>
    <n v="2"/>
    <x v="1"/>
    <s v="полив"/>
    <n v="27"/>
    <x v="26"/>
    <x v="27"/>
    <s v="-"/>
    <s v="53-63"/>
    <x v="0"/>
    <x v="535"/>
    <d v="2026-06-30T00:00:00"/>
    <n v="376"/>
    <n v="59"/>
  </r>
  <r>
    <m/>
    <m/>
    <n v="60"/>
    <x v="536"/>
    <x v="0"/>
    <m/>
    <n v="13180"/>
    <m/>
    <n v="12059.7"/>
    <x v="3"/>
    <s v="Тристар"/>
    <x v="35"/>
    <s v="Сероштан Станислав Викторович"/>
    <m/>
    <m/>
    <m/>
    <m/>
    <s v="Е758РЕ"/>
    <m/>
    <x v="26"/>
    <x v="3"/>
    <n v="2"/>
    <x v="3"/>
    <s v="полив"/>
    <n v="25"/>
    <x v="24"/>
    <x v="28"/>
    <s v="-"/>
    <s v="53-63"/>
    <x v="0"/>
    <x v="536"/>
    <d v="2026-06-30T00:00:00"/>
    <n v="60"/>
    <n v="60"/>
  </r>
  <r>
    <m/>
    <m/>
    <n v="61"/>
    <x v="537"/>
    <x v="0"/>
    <m/>
    <n v="12730"/>
    <m/>
    <n v="11775.3"/>
    <x v="3"/>
    <s v="Тристар"/>
    <x v="35"/>
    <s v="Дик Илья Александрович"/>
    <m/>
    <m/>
    <m/>
    <m/>
    <s v="М556ХВ"/>
    <m/>
    <x v="26"/>
    <x v="7"/>
    <n v="2.2549329829172144"/>
    <x v="3"/>
    <s v="полив"/>
    <n v="27"/>
    <x v="26"/>
    <x v="26"/>
    <s v="-"/>
    <s v="53-63"/>
    <x v="0"/>
    <x v="537"/>
    <d v="2026-06-30T00:00:00"/>
    <n v="61"/>
    <n v="61"/>
  </r>
  <r>
    <m/>
    <m/>
    <n v="61"/>
    <x v="538"/>
    <x v="0"/>
    <m/>
    <n v="12740"/>
    <m/>
    <n v="11911.9"/>
    <x v="3"/>
    <s v="Тристар"/>
    <x v="35"/>
    <s v="Кудря Евгений"/>
    <m/>
    <m/>
    <m/>
    <m/>
    <s v="А719ОО"/>
    <m/>
    <x v="26"/>
    <x v="7"/>
    <n v="2.2567043363994745"/>
    <x v="3"/>
    <s v="полив"/>
    <n v="27"/>
    <x v="26"/>
    <x v="29"/>
    <s v="-"/>
    <s v="53-63"/>
    <x v="0"/>
    <x v="538"/>
    <d v="2026-06-30T00:00:00"/>
    <n v="62"/>
    <n v="61"/>
  </r>
  <r>
    <m/>
    <m/>
    <n v="59"/>
    <x v="539"/>
    <x v="0"/>
    <m/>
    <n v="8550"/>
    <m/>
    <n v="6882.8"/>
    <x v="1"/>
    <s v="Увертюра"/>
    <x v="36"/>
    <s v="Чигрин Н.А."/>
    <m/>
    <m/>
    <m/>
    <m/>
    <s v="А819ЕВ"/>
    <m/>
    <x v="27"/>
    <x v="2"/>
    <n v="4.4000000000000004"/>
    <x v="1"/>
    <s v="полив"/>
    <n v="27"/>
    <x v="26"/>
    <x v="30"/>
    <s v="-"/>
    <s v="53-63"/>
    <x v="0"/>
    <x v="539"/>
    <d v="2026-06-30T00:00:00"/>
    <n v="377"/>
    <n v="59"/>
  </r>
  <r>
    <m/>
    <m/>
    <n v="61"/>
    <x v="540"/>
    <x v="0"/>
    <m/>
    <n v="15180"/>
    <m/>
    <n v="14345.1"/>
    <x v="3"/>
    <s v="Тристар"/>
    <x v="35"/>
    <s v="Осипов Александр Николаевич"/>
    <m/>
    <m/>
    <m/>
    <m/>
    <s v="Е732УС"/>
    <m/>
    <x v="26"/>
    <x v="7"/>
    <n v="2.6889145860709598"/>
    <x v="3"/>
    <s v="полив"/>
    <n v="27"/>
    <x v="26"/>
    <x v="31"/>
    <s v="-"/>
    <s v="53-63"/>
    <x v="0"/>
    <x v="540"/>
    <d v="2026-06-30T00:00:00"/>
    <n v="63"/>
    <n v="61"/>
  </r>
  <r>
    <m/>
    <m/>
    <n v="55"/>
    <x v="541"/>
    <x v="0"/>
    <m/>
    <n v="4150"/>
    <m/>
    <n v="3382.3"/>
    <x v="1"/>
    <s v="Увертюра"/>
    <x v="36"/>
    <s v="Роговской Роман Алексеевич"/>
    <m/>
    <m/>
    <m/>
    <m/>
    <s v="Т945РВ"/>
    <m/>
    <x v="27"/>
    <x v="2"/>
    <n v="2.3000000000000003"/>
    <x v="1"/>
    <s v="полив"/>
    <n v="27"/>
    <x v="26"/>
    <x v="32"/>
    <s v="-"/>
    <s v="53-63"/>
    <x v="0"/>
    <x v="541"/>
    <d v="2026-06-30T00:00:00"/>
    <n v="378"/>
    <n v="55"/>
  </r>
  <r>
    <m/>
    <m/>
    <n v="48"/>
    <x v="542"/>
    <x v="0"/>
    <m/>
    <n v="13240"/>
    <m/>
    <n v="12313.2"/>
    <x v="3"/>
    <s v="Беркут"/>
    <x v="35"/>
    <s v="Магадиев Александр Сайлаувич"/>
    <m/>
    <m/>
    <m/>
    <m/>
    <s v="У184НО"/>
    <m/>
    <x v="26"/>
    <x v="7"/>
    <n v="2.3452720105124838"/>
    <x v="3"/>
    <s v="полив"/>
    <n v="27"/>
    <x v="26"/>
    <x v="33"/>
    <s v="-"/>
    <s v="40-52"/>
    <x v="0"/>
    <x v="542"/>
    <d v="2026-06-30T00:00:00"/>
    <n v="66"/>
    <n v="48"/>
  </r>
  <r>
    <m/>
    <m/>
    <n v="46"/>
    <x v="543"/>
    <x v="2"/>
    <m/>
    <n v="13740"/>
    <m/>
    <n v="11679"/>
    <x v="3"/>
    <s v="Фаворит"/>
    <x v="34"/>
    <s v="Ревенко Андрей Вячеславович"/>
    <m/>
    <m/>
    <m/>
    <m/>
    <s v="А781РР"/>
    <m/>
    <x v="28"/>
    <x v="3"/>
    <n v="2.5725528151386712"/>
    <x v="3"/>
    <s v="полив"/>
    <n v="27"/>
    <x v="26"/>
    <x v="34"/>
    <s v="-"/>
    <s v="40-52"/>
    <x v="0"/>
    <x v="543"/>
    <d v="2026-06-30T00:00:00"/>
    <n v="64"/>
    <n v="46"/>
  </r>
  <r>
    <m/>
    <m/>
    <n v="57"/>
    <x v="544"/>
    <x v="2"/>
    <m/>
    <n v="8430"/>
    <m/>
    <n v="7587"/>
    <x v="1"/>
    <s v="Увертюра"/>
    <x v="36"/>
    <s v="Чигрин Н.А."/>
    <m/>
    <m/>
    <m/>
    <m/>
    <s v="А819ЕВ"/>
    <m/>
    <x v="27"/>
    <x v="2"/>
    <n v="4.3"/>
    <x v="1"/>
    <s v="полив"/>
    <n v="27"/>
    <x v="26"/>
    <x v="35"/>
    <s v="-"/>
    <s v="53-63"/>
    <x v="0"/>
    <x v="544"/>
    <d v="2026-07-01T00:00:00"/>
    <n v="379"/>
    <n v="57"/>
  </r>
  <r>
    <m/>
    <m/>
    <n v="54"/>
    <x v="545"/>
    <x v="2"/>
    <m/>
    <n v="13540"/>
    <m/>
    <n v="12186"/>
    <x v="3"/>
    <s v="Беркут"/>
    <x v="37"/>
    <s v="Фомин Николай Григорьевич"/>
    <m/>
    <m/>
    <m/>
    <m/>
    <s v="А731ВА"/>
    <m/>
    <x v="28"/>
    <x v="3"/>
    <n v="2.5351066315121984"/>
    <x v="3"/>
    <s v="полив"/>
    <n v="27"/>
    <x v="26"/>
    <x v="36"/>
    <s v="-"/>
    <s v="53-63"/>
    <x v="0"/>
    <x v="545"/>
    <d v="2026-07-01T00:00:00"/>
    <n v="65"/>
    <n v="54"/>
  </r>
  <r>
    <m/>
    <m/>
    <n v="53"/>
    <x v="546"/>
    <x v="2"/>
    <m/>
    <n v="4220"/>
    <m/>
    <n v="3776.9"/>
    <x v="1"/>
    <s v="Увертюра"/>
    <x v="36"/>
    <s v="Роговской Роман Алексеевич"/>
    <m/>
    <m/>
    <m/>
    <m/>
    <s v="Т945РВ"/>
    <m/>
    <x v="27"/>
    <x v="2"/>
    <n v="2.2000000000000002"/>
    <x v="1"/>
    <s v="полив"/>
    <n v="27"/>
    <x v="26"/>
    <x v="37"/>
    <s v="-"/>
    <s v="53-63"/>
    <x v="0"/>
    <x v="546"/>
    <d v="2026-07-01T00:00:00"/>
    <n v="380"/>
    <n v="53"/>
  </r>
  <r>
    <m/>
    <m/>
    <n v="56"/>
    <x v="547"/>
    <x v="2"/>
    <m/>
    <n v="12440"/>
    <m/>
    <n v="11133.8"/>
    <x v="3"/>
    <s v="Беркут"/>
    <x v="37"/>
    <s v="Ушаков С.Е."/>
    <m/>
    <m/>
    <m/>
    <m/>
    <s v="0212РТ"/>
    <m/>
    <x v="28"/>
    <x v="3"/>
    <n v="2.3291526215665987"/>
    <x v="3"/>
    <s v="полив"/>
    <n v="27"/>
    <x v="26"/>
    <x v="38"/>
    <s v="-"/>
    <s v="53-63"/>
    <x v="0"/>
    <x v="547"/>
    <d v="2026-07-01T00:00:00"/>
    <n v="67"/>
    <n v="56"/>
  </r>
  <r>
    <m/>
    <m/>
    <n v="53"/>
    <x v="548"/>
    <x v="3"/>
    <m/>
    <n v="8260"/>
    <m/>
    <n v="7310.1"/>
    <x v="1"/>
    <s v="Увертюра"/>
    <x v="36"/>
    <s v="Чигрин Н.А."/>
    <m/>
    <m/>
    <m/>
    <m/>
    <s v="А819ЕВ"/>
    <m/>
    <x v="27"/>
    <x v="2"/>
    <n v="4.2"/>
    <x v="1"/>
    <s v="полив"/>
    <n v="27"/>
    <x v="26"/>
    <x v="39"/>
    <s v="-"/>
    <s v="53-63"/>
    <x v="0"/>
    <x v="548"/>
    <d v="2026-07-01T00:00:00"/>
    <n v="381"/>
    <n v="53"/>
  </r>
  <r>
    <m/>
    <m/>
    <n v="48"/>
    <x v="549"/>
    <x v="3"/>
    <m/>
    <n v="11570"/>
    <m/>
    <n v="9834.5"/>
    <x v="3"/>
    <s v="Беркут"/>
    <x v="37"/>
    <s v="Погуляй А.Б.       "/>
    <m/>
    <m/>
    <m/>
    <m/>
    <s v="О824ТХ"/>
    <m/>
    <x v="28"/>
    <x v="3"/>
    <n v="2.1662617227914427"/>
    <x v="3"/>
    <s v="полив"/>
    <n v="27"/>
    <x v="26"/>
    <x v="40"/>
    <s v="-"/>
    <s v="40-52"/>
    <x v="0"/>
    <x v="549"/>
    <d v="2026-07-01T00:00:00"/>
    <n v="68"/>
    <n v="48"/>
  </r>
  <r>
    <m/>
    <m/>
    <n v="59"/>
    <x v="550"/>
    <x v="3"/>
    <m/>
    <n v="8360"/>
    <m/>
    <n v="7231.4"/>
    <x v="1"/>
    <s v="Увертюра"/>
    <x v="36"/>
    <s v="Ревенко Андрей Вячеславович"/>
    <m/>
    <m/>
    <m/>
    <m/>
    <s v="А781РР"/>
    <m/>
    <x v="27"/>
    <x v="2"/>
    <n v="4.3"/>
    <x v="1"/>
    <s v="полив"/>
    <n v="27"/>
    <x v="26"/>
    <x v="41"/>
    <s v="-"/>
    <s v="53-63"/>
    <x v="0"/>
    <x v="550"/>
    <d v="2026-07-01T00:00:00"/>
    <n v="382"/>
    <n v="59"/>
  </r>
  <r>
    <m/>
    <m/>
    <n v="50"/>
    <x v="551"/>
    <x v="3"/>
    <m/>
    <n v="4170"/>
    <m/>
    <n v="3607.1"/>
    <x v="1"/>
    <s v="Увертюра"/>
    <x v="36"/>
    <s v="Роговской Роман Алексеевич"/>
    <m/>
    <m/>
    <m/>
    <m/>
    <s v="Т945РВ"/>
    <m/>
    <x v="27"/>
    <x v="2"/>
    <n v="2.1"/>
    <x v="1"/>
    <s v="полив"/>
    <n v="27"/>
    <x v="26"/>
    <x v="42"/>
    <s v="-"/>
    <s v="40-52"/>
    <x v="0"/>
    <x v="551"/>
    <d v="2026-07-01T00:00:00"/>
    <n v="383"/>
    <n v="50"/>
  </r>
  <r>
    <m/>
    <m/>
    <n v="59"/>
    <x v="552"/>
    <x v="3"/>
    <m/>
    <n v="7350"/>
    <m/>
    <n v="6431.3"/>
    <x v="1"/>
    <s v="Увертюра"/>
    <x v="36"/>
    <s v="Извеков Владимир Владимирович"/>
    <m/>
    <m/>
    <m/>
    <m/>
    <s v="Н378ХЕ"/>
    <m/>
    <x v="27"/>
    <x v="2"/>
    <n v="1.7"/>
    <x v="1"/>
    <s v="полив"/>
    <n v="28"/>
    <x v="27"/>
    <x v="43"/>
    <s v="-"/>
    <s v="53-63"/>
    <x v="0"/>
    <x v="552"/>
    <d v="2026-07-01T00:00:00"/>
    <n v="384"/>
    <n v="59"/>
  </r>
  <r>
    <m/>
    <m/>
    <n v="59"/>
    <x v="553"/>
    <x v="3"/>
    <m/>
    <n v="6900"/>
    <m/>
    <n v="5727"/>
    <x v="1"/>
    <s v="Увертюра"/>
    <x v="36"/>
    <s v="Фомин Николай Григорьевич"/>
    <m/>
    <m/>
    <m/>
    <m/>
    <s v="А731ВА"/>
    <m/>
    <x v="27"/>
    <x v="2"/>
    <n v="1.6"/>
    <x v="1"/>
    <s v="полив"/>
    <n v="28"/>
    <x v="27"/>
    <x v="44"/>
    <s v="-"/>
    <s v="53-63"/>
    <x v="0"/>
    <x v="553"/>
    <d v="2026-07-01T00:00:00"/>
    <n v="385"/>
    <n v="59"/>
  </r>
  <r>
    <m/>
    <m/>
    <n v="59"/>
    <x v="554"/>
    <x v="3"/>
    <m/>
    <n v="6900"/>
    <m/>
    <n v="6003"/>
    <x v="1"/>
    <s v="Увертюра"/>
    <x v="36"/>
    <s v="Извеков Владимир Владимирович"/>
    <m/>
    <m/>
    <m/>
    <m/>
    <s v="Н378ХЕ"/>
    <m/>
    <x v="27"/>
    <x v="2"/>
    <n v="1.6"/>
    <x v="1"/>
    <s v="полив"/>
    <n v="28"/>
    <x v="27"/>
    <x v="44"/>
    <s v="-"/>
    <s v="53-63"/>
    <x v="0"/>
    <x v="554"/>
    <d v="2026-07-01T00:00:00"/>
    <n v="386"/>
    <n v="59"/>
  </r>
  <r>
    <m/>
    <m/>
    <n v="58"/>
    <x v="555"/>
    <x v="3"/>
    <m/>
    <n v="14000"/>
    <m/>
    <n v="12040"/>
    <x v="3"/>
    <s v="Беркут"/>
    <x v="38"/>
    <s v="Лазаренко Вячеслав Владимирович"/>
    <m/>
    <m/>
    <m/>
    <m/>
    <s v="Т239УС"/>
    <m/>
    <x v="29"/>
    <x v="7"/>
    <n v="2.8"/>
    <x v="3"/>
    <s v="полив"/>
    <n v="28"/>
    <x v="27"/>
    <x v="45"/>
    <s v="-"/>
    <s v="53-63"/>
    <x v="0"/>
    <x v="555"/>
    <d v="2026-07-01T00:00:00"/>
    <n v="70"/>
    <n v="58"/>
  </r>
  <r>
    <m/>
    <m/>
    <n v="54"/>
    <x v="556"/>
    <x v="3"/>
    <m/>
    <n v="9080"/>
    <m/>
    <n v="7672.6"/>
    <x v="1"/>
    <s v="Фаворит"/>
    <x v="26"/>
    <s v="Фомин Николай Григорьевич"/>
    <m/>
    <m/>
    <m/>
    <m/>
    <s v="А731ВА"/>
    <m/>
    <x v="18"/>
    <x v="3"/>
    <n v="2.8315407624260165"/>
    <x v="1"/>
    <s v="полив"/>
    <n v="28"/>
    <x v="27"/>
    <x v="46"/>
    <s v="-"/>
    <s v="53-63"/>
    <x v="0"/>
    <x v="556"/>
    <d v="2026-07-01T00:00:00"/>
    <n v="387"/>
    <n v="54"/>
  </r>
  <r>
    <m/>
    <m/>
    <n v="51"/>
    <x v="557"/>
    <x v="3"/>
    <m/>
    <n v="13960"/>
    <m/>
    <n v="11517"/>
    <x v="3"/>
    <s v="Фаворит"/>
    <x v="38"/>
    <s v="Бербеницкий Сергей Николаевич"/>
    <m/>
    <m/>
    <m/>
    <m/>
    <s v="С400РР"/>
    <m/>
    <x v="29"/>
    <x v="3"/>
    <n v="2.8"/>
    <x v="3"/>
    <s v="полив"/>
    <n v="28"/>
    <x v="27"/>
    <x v="47"/>
    <s v="-"/>
    <s v="40-52"/>
    <x v="0"/>
    <x v="557"/>
    <d v="2026-07-01T00:00:00"/>
    <n v="69"/>
    <n v="51"/>
  </r>
  <r>
    <m/>
    <m/>
    <n v="53"/>
    <x v="558"/>
    <x v="4"/>
    <m/>
    <n v="9030"/>
    <m/>
    <n v="7675.5"/>
    <x v="1"/>
    <s v="Фаворит"/>
    <x v="26"/>
    <s v="Извеков Владимир Владимирович"/>
    <m/>
    <m/>
    <m/>
    <m/>
    <s v="Н378ХЕ"/>
    <m/>
    <x v="18"/>
    <x v="3"/>
    <n v="2.8159485776108952"/>
    <x v="1"/>
    <s v="полив"/>
    <n v="28"/>
    <x v="27"/>
    <x v="48"/>
    <s v="-"/>
    <s v="53-63"/>
    <x v="0"/>
    <x v="558"/>
    <d v="2026-07-01T00:00:00"/>
    <n v="388"/>
    <n v="53"/>
  </r>
  <r>
    <m/>
    <m/>
    <n v="50"/>
    <x v="559"/>
    <x v="4"/>
    <m/>
    <n v="13900"/>
    <m/>
    <n v="11745.5"/>
    <x v="3"/>
    <s v="Фаворит"/>
    <x v="38"/>
    <s v="Рудик АИ"/>
    <m/>
    <m/>
    <m/>
    <m/>
    <s v="А309АТ"/>
    <m/>
    <x v="29"/>
    <x v="3"/>
    <n v="2.8"/>
    <x v="3"/>
    <s v="полив"/>
    <n v="28"/>
    <x v="27"/>
    <x v="49"/>
    <s v="-"/>
    <s v="40-52"/>
    <x v="0"/>
    <x v="559"/>
    <d v="2026-07-01T00:00:00"/>
    <n v="72"/>
    <n v="50"/>
  </r>
  <r>
    <m/>
    <m/>
    <n v="51"/>
    <x v="560"/>
    <x v="4"/>
    <m/>
    <n v="13720"/>
    <m/>
    <n v="11456.2"/>
    <x v="3"/>
    <s v="Фаворит"/>
    <x v="38"/>
    <s v="Пугачев Сергей Викторович"/>
    <m/>
    <m/>
    <m/>
    <m/>
    <s v="Р258УХ"/>
    <m/>
    <x v="29"/>
    <x v="3"/>
    <n v="2.8"/>
    <x v="3"/>
    <s v="полив"/>
    <n v="28"/>
    <x v="27"/>
    <x v="50"/>
    <s v="-"/>
    <s v="40-52"/>
    <x v="0"/>
    <x v="560"/>
    <d v="2026-07-01T00:00:00"/>
    <n v="73"/>
    <n v="51"/>
  </r>
  <r>
    <m/>
    <m/>
    <n v="55"/>
    <x v="561"/>
    <x v="4"/>
    <m/>
    <n v="13590"/>
    <m/>
    <n v="10260.5"/>
    <x v="1"/>
    <s v="Фаворит"/>
    <x v="26"/>
    <s v="Фомин Николай Григорьевич"/>
    <m/>
    <m/>
    <m/>
    <m/>
    <s v="А731ВА"/>
    <m/>
    <x v="18"/>
    <x v="3"/>
    <n v="4.237955832749952"/>
    <x v="1"/>
    <s v="полив"/>
    <n v="28"/>
    <x v="27"/>
    <x v="51"/>
    <s v="-"/>
    <s v="53-63"/>
    <x v="0"/>
    <x v="561"/>
    <d v="2026-07-01T00:00:00"/>
    <n v="389"/>
    <n v="55"/>
  </r>
  <r>
    <m/>
    <m/>
    <n v="55"/>
    <x v="562"/>
    <x v="0"/>
    <m/>
    <n v="13920"/>
    <m/>
    <n v="11623.2"/>
    <x v="3"/>
    <s v="Фаворит"/>
    <x v="38"/>
    <s v="Кулик О В"/>
    <m/>
    <m/>
    <m/>
    <m/>
    <s v="К403ЕМ"/>
    <m/>
    <x v="29"/>
    <x v="3"/>
    <n v="2.8"/>
    <x v="3"/>
    <s v="полив"/>
    <n v="28"/>
    <x v="27"/>
    <x v="52"/>
    <s v="-"/>
    <s v="53-63"/>
    <x v="0"/>
    <x v="562"/>
    <d v="2026-07-01T00:00:00"/>
    <n v="74"/>
    <n v="55"/>
  </r>
  <r>
    <m/>
    <m/>
    <n v="59"/>
    <x v="563"/>
    <x v="0"/>
    <m/>
    <n v="13170"/>
    <m/>
    <n v="10601.9"/>
    <x v="1"/>
    <s v="Фаворит"/>
    <x v="26"/>
    <s v="Извеков Владимир Владимирович"/>
    <m/>
    <m/>
    <m/>
    <m/>
    <s v="Н378ХЕ"/>
    <m/>
    <x v="18"/>
    <x v="3"/>
    <n v="4.1069814803029336"/>
    <x v="1"/>
    <s v="полив"/>
    <n v="28"/>
    <x v="27"/>
    <x v="53"/>
    <s v="-"/>
    <s v="53-63"/>
    <x v="0"/>
    <x v="563"/>
    <d v="2026-07-01T00:00:00"/>
    <n v="390"/>
    <n v="59"/>
  </r>
  <r>
    <m/>
    <m/>
    <n v="53"/>
    <x v="564"/>
    <x v="0"/>
    <m/>
    <n v="13470"/>
    <m/>
    <n v="11651.6"/>
    <x v="3"/>
    <s v="Фаворит"/>
    <x v="38"/>
    <s v="Черевко Александр Владимирович"/>
    <m/>
    <m/>
    <m/>
    <m/>
    <s v="А114МК"/>
    <m/>
    <x v="29"/>
    <x v="3"/>
    <n v="2.7"/>
    <x v="3"/>
    <s v="полив"/>
    <n v="28"/>
    <x v="27"/>
    <x v="0"/>
    <s v="-"/>
    <s v="53-63"/>
    <x v="0"/>
    <x v="564"/>
    <d v="2026-07-01T00:00:00"/>
    <n v="75"/>
    <n v="53"/>
  </r>
  <r>
    <m/>
    <m/>
    <n v="55"/>
    <x v="565"/>
    <x v="0"/>
    <m/>
    <n v="13100"/>
    <m/>
    <n v="10152.5"/>
    <x v="1"/>
    <s v="Фаворит"/>
    <x v="26"/>
    <s v="Фомин Николай Григорьевич"/>
    <m/>
    <m/>
    <m/>
    <m/>
    <s v="А731ВА"/>
    <m/>
    <x v="18"/>
    <x v="3"/>
    <n v="4.0851524215617641"/>
    <x v="1"/>
    <s v="полив"/>
    <n v="28"/>
    <x v="27"/>
    <x v="0"/>
    <s v="-"/>
    <s v="53-63"/>
    <x v="0"/>
    <x v="565"/>
    <d v="2026-07-02T00:00:00"/>
    <n v="391"/>
    <n v="55"/>
  </r>
  <r>
    <m/>
    <m/>
    <n v="53"/>
    <x v="566"/>
    <x v="0"/>
    <m/>
    <n v="13070"/>
    <m/>
    <n v="11632.3"/>
    <x v="3"/>
    <s v="Фаворит"/>
    <x v="38"/>
    <s v="Ушаков С Е."/>
    <m/>
    <m/>
    <m/>
    <m/>
    <s v="О212РТ"/>
    <m/>
    <x v="29"/>
    <x v="3"/>
    <n v="2.6"/>
    <x v="3"/>
    <s v="полив"/>
    <n v="28"/>
    <x v="27"/>
    <x v="0"/>
    <s v="-"/>
    <s v="53-63"/>
    <x v="0"/>
    <x v="566"/>
    <d v="2026-07-02T00:00:00"/>
    <n v="76"/>
    <n v="53"/>
  </r>
  <r>
    <m/>
    <m/>
    <n v="50"/>
    <x v="567"/>
    <x v="0"/>
    <m/>
    <n v="13210"/>
    <m/>
    <n v="11294.6"/>
    <x v="3"/>
    <s v="Фаворит"/>
    <x v="38"/>
    <s v="Кудря Евгений"/>
    <m/>
    <m/>
    <m/>
    <m/>
    <s v="А719ОО"/>
    <m/>
    <x v="29"/>
    <x v="3"/>
    <n v="2.7"/>
    <x v="3"/>
    <s v="полив"/>
    <n v="28"/>
    <x v="27"/>
    <x v="0"/>
    <s v="-"/>
    <s v="40-52"/>
    <x v="0"/>
    <x v="567"/>
    <d v="2026-07-02T00:00:00"/>
    <n v="77"/>
    <n v="50"/>
  </r>
  <r>
    <m/>
    <m/>
    <n v="57"/>
    <x v="568"/>
    <x v="0"/>
    <m/>
    <n v="13080"/>
    <m/>
    <n v="11052.6"/>
    <x v="1"/>
    <s v="Фаворит"/>
    <x v="26"/>
    <s v="Извеков Владимир Владимирович"/>
    <m/>
    <m/>
    <m/>
    <m/>
    <s v="Н378ХЕ"/>
    <m/>
    <x v="18"/>
    <x v="3"/>
    <n v="4.0789155476357157"/>
    <x v="1"/>
    <s v="полив"/>
    <n v="28"/>
    <x v="27"/>
    <x v="0"/>
    <s v="-"/>
    <s v="53-63"/>
    <x v="0"/>
    <x v="568"/>
    <d v="2026-07-02T00:00:00"/>
    <n v="392"/>
    <n v="57"/>
  </r>
  <r>
    <m/>
    <m/>
    <n v="51"/>
    <x v="569"/>
    <x v="0"/>
    <m/>
    <n v="13110"/>
    <m/>
    <n v="11012.4"/>
    <x v="3"/>
    <s v="Фаворит"/>
    <x v="38"/>
    <s v="Погуляй А.Б.       "/>
    <m/>
    <m/>
    <m/>
    <m/>
    <s v="О824ТХ"/>
    <m/>
    <x v="29"/>
    <x v="3"/>
    <n v="2.6"/>
    <x v="3"/>
    <s v="полив"/>
    <n v="28"/>
    <x v="27"/>
    <x v="0"/>
    <s v="-"/>
    <s v="40-52"/>
    <x v="0"/>
    <x v="569"/>
    <d v="2026-07-02T00:00:00"/>
    <n v="78"/>
    <n v="51"/>
  </r>
  <r>
    <m/>
    <m/>
    <n v="55"/>
    <x v="570"/>
    <x v="0"/>
    <m/>
    <n v="13130"/>
    <m/>
    <n v="11882.6"/>
    <x v="3"/>
    <s v="Фаворит"/>
    <x v="38"/>
    <s v="Лазаренко Вячеслав Владимирович"/>
    <m/>
    <m/>
    <m/>
    <m/>
    <s v="Т239УС"/>
    <m/>
    <x v="29"/>
    <x v="3"/>
    <n v="2.6"/>
    <x v="3"/>
    <s v="полив"/>
    <n v="28"/>
    <x v="27"/>
    <x v="0"/>
    <s v="-"/>
    <s v="53-63"/>
    <x v="0"/>
    <x v="570"/>
    <d v="2026-07-02T00:00:00"/>
    <n v="79"/>
    <n v="55"/>
  </r>
  <r>
    <m/>
    <m/>
    <n v="56"/>
    <x v="571"/>
    <x v="0"/>
    <m/>
    <n v="13360"/>
    <m/>
    <n v="11422.8"/>
    <x v="1"/>
    <s v="Фаворит"/>
    <x v="26"/>
    <s v="Фомин Николай Григорьевич"/>
    <m/>
    <m/>
    <m/>
    <m/>
    <s v="А731ВА"/>
    <m/>
    <x v="18"/>
    <x v="3"/>
    <n v="4.166231782600395"/>
    <x v="1"/>
    <s v="полив"/>
    <n v="28"/>
    <x v="27"/>
    <x v="0"/>
    <s v="-"/>
    <s v="53-63"/>
    <x v="0"/>
    <x v="571"/>
    <d v="2026-07-02T00:00:00"/>
    <n v="393"/>
    <n v="56"/>
  </r>
  <r>
    <m/>
    <m/>
    <n v="54"/>
    <x v="572"/>
    <x v="0"/>
    <m/>
    <n v="13520"/>
    <m/>
    <n v="11965.2"/>
    <x v="3"/>
    <s v="Фаворит"/>
    <x v="38"/>
    <s v="Гужва А М."/>
    <m/>
    <m/>
    <m/>
    <m/>
    <s v="Т285ВЕ"/>
    <m/>
    <x v="29"/>
    <x v="3"/>
    <n v="2.7"/>
    <x v="3"/>
    <s v="полив"/>
    <n v="28"/>
    <x v="27"/>
    <x v="0"/>
    <s v="-"/>
    <s v="53-63"/>
    <x v="0"/>
    <x v="572"/>
    <d v="2026-07-02T00:00:00"/>
    <n v="81"/>
    <n v="54"/>
  </r>
  <r>
    <m/>
    <m/>
    <n v="50"/>
    <x v="573"/>
    <x v="0"/>
    <m/>
    <n v="13490"/>
    <m/>
    <n v="11938.7"/>
    <x v="1"/>
    <s v="Фаворит"/>
    <x v="39"/>
    <s v="Богучарский А. И."/>
    <m/>
    <m/>
    <m/>
    <m/>
    <s v="А718ВХ"/>
    <m/>
    <x v="30"/>
    <x v="3"/>
    <n v="5.4"/>
    <x v="1"/>
    <s v="полив"/>
    <n v="29"/>
    <x v="28"/>
    <x v="0"/>
    <s v="-"/>
    <s v="40-52"/>
    <x v="0"/>
    <x v="573"/>
    <d v="2026-07-02T00:00:00"/>
    <n v="400"/>
    <n v="50"/>
  </r>
  <r>
    <m/>
    <m/>
    <n v="55"/>
    <x v="574"/>
    <x v="0"/>
    <m/>
    <n v="13880"/>
    <m/>
    <n v="11867.4"/>
    <x v="3"/>
    <s v="Фаворит"/>
    <x v="40"/>
    <s v="Погуляй А.Б.       "/>
    <m/>
    <m/>
    <m/>
    <m/>
    <s v="О824ТХ"/>
    <m/>
    <x v="31"/>
    <x v="3"/>
    <n v="4.2"/>
    <x v="3"/>
    <s v="полив"/>
    <n v="29"/>
    <x v="28"/>
    <x v="0"/>
    <s v="-"/>
    <s v="53-63"/>
    <x v="0"/>
    <x v="574"/>
    <d v="2026-07-02T00:00:00"/>
    <n v="87"/>
    <n v="55"/>
  </r>
  <r>
    <m/>
    <m/>
    <n v="50"/>
    <x v="575"/>
    <x v="0"/>
    <m/>
    <n v="13140"/>
    <m/>
    <n v="11103.3"/>
    <x v="1"/>
    <s v="Фаворит"/>
    <x v="39"/>
    <s v="Бербеницкий Сергей Николаевич"/>
    <m/>
    <m/>
    <m/>
    <m/>
    <s v="С400РР"/>
    <m/>
    <x v="30"/>
    <x v="3"/>
    <n v="5.3"/>
    <x v="1"/>
    <s v="полив"/>
    <n v="29"/>
    <x v="28"/>
    <x v="0"/>
    <s v="-"/>
    <s v="40-52"/>
    <x v="0"/>
    <x v="575"/>
    <d v="2026-07-03T00:00:00"/>
    <n v="401"/>
    <n v="50"/>
  </r>
  <r>
    <m/>
    <m/>
    <n v="57"/>
    <x v="576"/>
    <x v="0"/>
    <m/>
    <n v="13460"/>
    <m/>
    <n v="12181.3"/>
    <x v="3"/>
    <s v="Фаворит"/>
    <x v="41"/>
    <s v="Лазаренко Вячеслав Владимирович"/>
    <m/>
    <m/>
    <m/>
    <m/>
    <s v="Т239УС"/>
    <m/>
    <x v="32"/>
    <x v="3"/>
    <n v="4.4604446586732545"/>
    <x v="3"/>
    <s v="полив"/>
    <n v="29"/>
    <x v="28"/>
    <x v="0"/>
    <s v="-"/>
    <s v="53-63"/>
    <x v="0"/>
    <x v="576"/>
    <d v="2026-07-03T00:00:00"/>
    <n v="88"/>
    <n v="57"/>
  </r>
  <r>
    <m/>
    <m/>
    <n v="53"/>
    <x v="577"/>
    <x v="0"/>
    <m/>
    <n v="13550"/>
    <m/>
    <n v="11043.3"/>
    <x v="1"/>
    <s v="Фаворит"/>
    <x v="39"/>
    <s v="Богучарский А. И."/>
    <m/>
    <m/>
    <m/>
    <m/>
    <s v="А718ВХ"/>
    <m/>
    <x v="30"/>
    <x v="3"/>
    <n v="5.4"/>
    <x v="1"/>
    <s v="полив"/>
    <n v="29"/>
    <x v="28"/>
    <x v="0"/>
    <s v="-"/>
    <s v="53-63"/>
    <x v="0"/>
    <x v="577"/>
    <d v="2026-07-03T00:00:00"/>
    <n v="402"/>
    <n v="53"/>
  </r>
  <r>
    <m/>
    <m/>
    <n v="57"/>
    <x v="578"/>
    <x v="0"/>
    <m/>
    <n v="13800"/>
    <m/>
    <n v="11868"/>
    <x v="3"/>
    <s v="Фаворит"/>
    <x v="41"/>
    <s v="Осипов Александр Николаевич"/>
    <m/>
    <m/>
    <m/>
    <m/>
    <s v="Е732УС"/>
    <m/>
    <x v="32"/>
    <x v="3"/>
    <n v="4.5731156233054167"/>
    <x v="3"/>
    <s v="полив"/>
    <n v="29"/>
    <x v="28"/>
    <x v="0"/>
    <s v="-"/>
    <s v="53-63"/>
    <x v="0"/>
    <x v="578"/>
    <d v="2026-07-03T00:00:00"/>
    <n v="89"/>
    <n v="57"/>
  </r>
  <r>
    <m/>
    <m/>
    <n v="51"/>
    <x v="579"/>
    <x v="0"/>
    <m/>
    <n v="13050"/>
    <m/>
    <n v="11288.3"/>
    <x v="1"/>
    <s v="Фаворит"/>
    <x v="39"/>
    <s v="Бербеницкий Сергей Николаевич"/>
    <m/>
    <m/>
    <m/>
    <m/>
    <s v="С400РР"/>
    <m/>
    <x v="30"/>
    <x v="3"/>
    <n v="5.2"/>
    <x v="1"/>
    <s v="полив"/>
    <n v="29"/>
    <x v="28"/>
    <x v="0"/>
    <s v="-"/>
    <s v="40-52"/>
    <x v="0"/>
    <x v="579"/>
    <d v="2026-07-03T00:00:00"/>
    <n v="403"/>
    <n v="51"/>
  </r>
  <r>
    <m/>
    <m/>
    <n v="58"/>
    <x v="580"/>
    <x v="0"/>
    <m/>
    <n v="13850"/>
    <m/>
    <n v="12534.3"/>
    <x v="3"/>
    <s v="Фаворит"/>
    <x v="41"/>
    <s v="Зателепа Вячеслав Анатольевич "/>
    <m/>
    <m/>
    <m/>
    <m/>
    <s v="Х775ХА"/>
    <m/>
    <x v="32"/>
    <x v="3"/>
    <n v="4.589684882810146"/>
    <x v="3"/>
    <s v="полив"/>
    <n v="29"/>
    <x v="28"/>
    <x v="0"/>
    <s v="-"/>
    <s v="53-63"/>
    <x v="0"/>
    <x v="580"/>
    <d v="2026-07-03T00:00:00"/>
    <n v="90"/>
    <n v="58"/>
  </r>
  <r>
    <m/>
    <m/>
    <n v="58"/>
    <x v="581"/>
    <x v="0"/>
    <m/>
    <n v="13830"/>
    <m/>
    <n v="11686.4"/>
    <x v="3"/>
    <s v="Фаворит"/>
    <x v="41"/>
    <s v="Ушаков С.Е."/>
    <m/>
    <m/>
    <m/>
    <m/>
    <s v="0212РТ"/>
    <m/>
    <x v="32"/>
    <x v="3"/>
    <n v="4.5830571790082546"/>
    <x v="3"/>
    <s v="полив"/>
    <n v="29"/>
    <x v="28"/>
    <x v="0"/>
    <s v="-"/>
    <s v="53-63"/>
    <x v="0"/>
    <x v="581"/>
    <d v="2026-07-03T00:00:00"/>
    <n v="91"/>
    <n v="58"/>
  </r>
  <r>
    <m/>
    <m/>
    <n v="50"/>
    <x v="582"/>
    <x v="0"/>
    <m/>
    <n v="13740"/>
    <m/>
    <n v="11610.3"/>
    <x v="1"/>
    <s v="Фаворит"/>
    <x v="39"/>
    <s v="Богучарский А. И."/>
    <m/>
    <m/>
    <m/>
    <m/>
    <s v="А718ВХ"/>
    <m/>
    <x v="30"/>
    <x v="3"/>
    <n v="5.5"/>
    <x v="1"/>
    <s v="полив"/>
    <n v="29"/>
    <x v="28"/>
    <x v="0"/>
    <s v="-"/>
    <s v="40-52"/>
    <x v="0"/>
    <x v="582"/>
    <d v="2026-07-03T00:00:00"/>
    <n v="404"/>
    <n v="50"/>
  </r>
  <r>
    <m/>
    <m/>
    <n v="49"/>
    <x v="583"/>
    <x v="0"/>
    <m/>
    <n v="4550"/>
    <m/>
    <n v="3890.3"/>
    <x v="1"/>
    <s v="Фаворит"/>
    <x v="39"/>
    <s v="Роговской Роман Алексеевич"/>
    <m/>
    <m/>
    <m/>
    <m/>
    <s v="Т945РВ"/>
    <m/>
    <x v="30"/>
    <x v="3"/>
    <n v="1.8"/>
    <x v="1"/>
    <s v="полив"/>
    <n v="29"/>
    <x v="28"/>
    <x v="0"/>
    <s v="-"/>
    <s v="40-52"/>
    <x v="0"/>
    <x v="583"/>
    <d v="2026-07-03T00:00:00"/>
    <n v="405"/>
    <n v="49"/>
  </r>
  <r>
    <m/>
    <m/>
    <n v="52"/>
    <x v="584"/>
    <x v="0"/>
    <m/>
    <n v="9140"/>
    <m/>
    <n v="8043.2"/>
    <x v="1"/>
    <s v="Фаворит"/>
    <x v="39"/>
    <s v="Осипов Александр Николаевич"/>
    <m/>
    <m/>
    <m/>
    <m/>
    <s v="Е732УС"/>
    <m/>
    <x v="30"/>
    <x v="3"/>
    <n v="3.7"/>
    <x v="1"/>
    <s v="полив"/>
    <n v="30"/>
    <x v="29"/>
    <x v="0"/>
    <s v="-"/>
    <s v="40-52"/>
    <x v="0"/>
    <x v="584"/>
    <d v="2026-07-03T00:00:00"/>
    <n v="406"/>
    <n v="52"/>
  </r>
  <r>
    <m/>
    <m/>
    <n v="60"/>
    <x v="585"/>
    <x v="0"/>
    <m/>
    <n v="13600"/>
    <m/>
    <n v="12580"/>
    <x v="3"/>
    <s v="Фаворит"/>
    <x v="41"/>
    <s v="Рудик АИ"/>
    <m/>
    <m/>
    <m/>
    <m/>
    <s v="А309АТ"/>
    <m/>
    <x v="32"/>
    <x v="3"/>
    <n v="4.5068385852864976"/>
    <x v="3"/>
    <s v="полив"/>
    <n v="30"/>
    <x v="29"/>
    <x v="0"/>
    <s v="-"/>
    <s v="53-63"/>
    <x v="0"/>
    <x v="585"/>
    <d v="2026-07-03T00:00:00"/>
    <n v="92"/>
    <n v="60"/>
  </r>
  <r>
    <m/>
    <m/>
    <n v="61"/>
    <x v="586"/>
    <x v="0"/>
    <m/>
    <n v="13970"/>
    <m/>
    <n v="12642.9"/>
    <x v="3"/>
    <s v="Фаворит"/>
    <x v="41"/>
    <s v="Пугачев Сергей Викторович"/>
    <m/>
    <m/>
    <m/>
    <m/>
    <s v="Р258УХ"/>
    <m/>
    <x v="32"/>
    <x v="3"/>
    <n v="4.6294511056214978"/>
    <x v="3"/>
    <s v="полив"/>
    <n v="30"/>
    <x v="29"/>
    <x v="0"/>
    <s v="-"/>
    <s v="53-63"/>
    <x v="0"/>
    <x v="586"/>
    <d v="2026-07-03T00:00:00"/>
    <n v="93"/>
    <n v="61"/>
  </r>
  <r>
    <m/>
    <m/>
    <n v="55"/>
    <x v="587"/>
    <x v="0"/>
    <m/>
    <n v="13670"/>
    <m/>
    <n v="12508.1"/>
    <x v="1"/>
    <s v="Фаворит"/>
    <x v="39"/>
    <s v="Гужва А М."/>
    <m/>
    <m/>
    <m/>
    <m/>
    <s v="Т285ВЕ"/>
    <m/>
    <x v="30"/>
    <x v="3"/>
    <n v="5.5"/>
    <x v="1"/>
    <s v="полив"/>
    <n v="30"/>
    <x v="29"/>
    <x v="0"/>
    <s v="-"/>
    <s v="53-63"/>
    <x v="0"/>
    <x v="587"/>
    <d v="2026-07-03T00:00:00"/>
    <n v="407"/>
    <n v="55"/>
  </r>
  <r>
    <m/>
    <m/>
    <n v="59"/>
    <x v="588"/>
    <x v="0"/>
    <m/>
    <n v="12950"/>
    <m/>
    <n v="10683.8"/>
    <x v="0"/>
    <s v="Фаворит"/>
    <x v="42"/>
    <s v="Богучарский А. И."/>
    <m/>
    <m/>
    <m/>
    <m/>
    <s v="А718ВХ"/>
    <m/>
    <x v="33"/>
    <x v="3"/>
    <n v="2.5"/>
    <x v="0"/>
    <s v="богара"/>
    <n v="31"/>
    <x v="30"/>
    <x v="0"/>
    <s v="-"/>
    <s v="53-63"/>
    <x v="0"/>
    <x v="588"/>
    <d v="2026-07-04T00:00:00"/>
    <n v="416"/>
    <n v="59"/>
  </r>
  <r>
    <m/>
    <m/>
    <n v="56"/>
    <x v="589"/>
    <x v="0"/>
    <m/>
    <n v="12910"/>
    <m/>
    <n v="9747.1"/>
    <x v="0"/>
    <s v="Фаворит"/>
    <x v="42"/>
    <s v="Осипов Александр Николаевич"/>
    <m/>
    <m/>
    <m/>
    <m/>
    <s v="Е732УС"/>
    <m/>
    <x v="33"/>
    <x v="3"/>
    <n v="2.5"/>
    <x v="0"/>
    <s v="богара"/>
    <n v="31"/>
    <x v="30"/>
    <x v="0"/>
    <s v="-"/>
    <s v="53-63"/>
    <x v="0"/>
    <x v="589"/>
    <d v="2026-07-04T00:00:00"/>
    <n v="417"/>
    <n v="56"/>
  </r>
  <r>
    <m/>
    <m/>
    <n v="54"/>
    <x v="590"/>
    <x v="0"/>
    <m/>
    <n v="4400"/>
    <m/>
    <n v="3586"/>
    <x v="0"/>
    <s v="Фаворит"/>
    <x v="42"/>
    <s v="Сайко Владимир Николаевич"/>
    <m/>
    <m/>
    <m/>
    <m/>
    <s v="Т919РВ"/>
    <m/>
    <x v="33"/>
    <x v="3"/>
    <n v="0.8"/>
    <x v="0"/>
    <s v="богара"/>
    <n v="31"/>
    <x v="30"/>
    <x v="0"/>
    <s v="-"/>
    <s v="53-63"/>
    <x v="0"/>
    <x v="590"/>
    <d v="2026-07-04T00:00:00"/>
    <n v="418"/>
    <n v="54"/>
  </r>
  <r>
    <m/>
    <m/>
    <n v="56"/>
    <x v="591"/>
    <x v="0"/>
    <m/>
    <n v="7390"/>
    <m/>
    <n v="6577.1"/>
    <x v="3"/>
    <s v="Беркут"/>
    <x v="37"/>
    <s v="Рудик АИ"/>
    <m/>
    <m/>
    <m/>
    <m/>
    <s v="А309АТ"/>
    <m/>
    <x v="28"/>
    <x v="3"/>
    <n v="1.3836364849981644"/>
    <x v="3"/>
    <s v="полив"/>
    <n v="31"/>
    <x v="30"/>
    <x v="0"/>
    <s v="-"/>
    <s v="53-63"/>
    <x v="0"/>
    <x v="591"/>
    <d v="2026-07-04T00:00:00"/>
    <n v="103"/>
    <n v="56"/>
  </r>
  <r>
    <m/>
    <m/>
    <n v="58"/>
    <x v="592"/>
    <x v="0"/>
    <m/>
    <n v="12810"/>
    <m/>
    <n v="10952.6"/>
    <x v="0"/>
    <s v="Фаворит"/>
    <x v="42"/>
    <s v="Богучарский А. И."/>
    <m/>
    <m/>
    <m/>
    <m/>
    <s v="А718ВХ"/>
    <m/>
    <x v="33"/>
    <x v="3"/>
    <n v="2.5"/>
    <x v="0"/>
    <s v="богара"/>
    <n v="31"/>
    <x v="30"/>
    <x v="0"/>
    <s v="-"/>
    <s v="53-63"/>
    <x v="0"/>
    <x v="592"/>
    <d v="2026-07-04T00:00:00"/>
    <n v="419"/>
    <n v="58"/>
  </r>
  <r>
    <m/>
    <m/>
    <n v="62"/>
    <x v="593"/>
    <x v="0"/>
    <m/>
    <n v="12920"/>
    <m/>
    <n v="10271.4"/>
    <x v="0"/>
    <s v="Фаворит"/>
    <x v="42"/>
    <s v="Осипов Александр Николаевич"/>
    <m/>
    <m/>
    <m/>
    <m/>
    <s v="Е732УС"/>
    <m/>
    <x v="33"/>
    <x v="3"/>
    <n v="2.5"/>
    <x v="0"/>
    <s v="богара"/>
    <n v="31"/>
    <x v="30"/>
    <x v="0"/>
    <s v="-"/>
    <s v="53-63"/>
    <x v="0"/>
    <x v="593"/>
    <d v="2026-07-04T00:00:00"/>
    <n v="420"/>
    <n v="62"/>
  </r>
  <r>
    <m/>
    <m/>
    <n v="64"/>
    <x v="594"/>
    <x v="0"/>
    <m/>
    <n v="4170"/>
    <m/>
    <n v="3899"/>
    <x v="0"/>
    <s v="Фаворит"/>
    <x v="42"/>
    <s v="Сайко Владимир Николаевич"/>
    <m/>
    <m/>
    <m/>
    <m/>
    <s v="Т919РВ"/>
    <m/>
    <x v="33"/>
    <x v="3"/>
    <n v="0.8"/>
    <x v="0"/>
    <s v="богара"/>
    <n v="31"/>
    <x v="30"/>
    <x v="0"/>
    <s v="-"/>
    <s v="64-66"/>
    <x v="1"/>
    <x v="594"/>
    <d v="2026-07-04T00:00:00"/>
    <n v="421"/>
    <n v="64"/>
  </r>
  <r>
    <m/>
    <m/>
    <n v="59"/>
    <x v="595"/>
    <x v="0"/>
    <m/>
    <n v="13150"/>
    <m/>
    <n v="11900.8"/>
    <x v="0"/>
    <s v="Фаворит"/>
    <x v="42"/>
    <s v="Рудик АИ"/>
    <m/>
    <m/>
    <m/>
    <m/>
    <s v="А309АТ"/>
    <m/>
    <x v="33"/>
    <x v="3"/>
    <n v="2.5"/>
    <x v="0"/>
    <s v="богара"/>
    <n v="31"/>
    <x v="30"/>
    <x v="0"/>
    <s v="-"/>
    <s v="53-63"/>
    <x v="0"/>
    <x v="595"/>
    <d v="2026-07-04T00:00:00"/>
    <n v="422"/>
    <n v="59"/>
  </r>
  <r>
    <m/>
    <m/>
    <n v="61"/>
    <x v="596"/>
    <x v="0"/>
    <m/>
    <n v="3060"/>
    <m/>
    <n v="2845.8"/>
    <x v="3"/>
    <s v="Беркут"/>
    <x v="37"/>
    <s v="Никитась Сергей Анатольевич"/>
    <m/>
    <m/>
    <m/>
    <m/>
    <s v="К570ЕО"/>
    <m/>
    <x v="28"/>
    <x v="3"/>
    <n v="0.57292660948503149"/>
    <x v="3"/>
    <s v="полив"/>
    <n v="31"/>
    <x v="30"/>
    <x v="0"/>
    <s v="-"/>
    <s v="53-63"/>
    <x v="0"/>
    <x v="596"/>
    <d v="2026-07-04T00:00:00"/>
    <n v="104"/>
    <n v="61"/>
  </r>
  <r>
    <m/>
    <m/>
    <n v="61"/>
    <x v="597"/>
    <x v="0"/>
    <m/>
    <n v="12950"/>
    <m/>
    <n v="11978.8"/>
    <x v="0"/>
    <s v="Фаворит"/>
    <x v="42"/>
    <s v="Богучарский А. И."/>
    <m/>
    <m/>
    <m/>
    <m/>
    <s v="А718ВХ"/>
    <m/>
    <x v="33"/>
    <x v="3"/>
    <n v="2.5"/>
    <x v="0"/>
    <s v="богара"/>
    <n v="31"/>
    <x v="30"/>
    <x v="0"/>
    <s v="-"/>
    <s v="53-63"/>
    <x v="0"/>
    <x v="597"/>
    <d v="2026-07-04T00:00:00"/>
    <n v="423"/>
    <n v="61"/>
  </r>
  <r>
    <m/>
    <m/>
    <n v="59"/>
    <x v="598"/>
    <x v="0"/>
    <m/>
    <n v="13120"/>
    <m/>
    <n v="11611.2"/>
    <x v="0"/>
    <s v="Фаворит"/>
    <x v="42"/>
    <s v="Осипов Александр Николаевич"/>
    <m/>
    <m/>
    <m/>
    <m/>
    <s v="Е732УС"/>
    <m/>
    <x v="33"/>
    <x v="3"/>
    <n v="2.5"/>
    <x v="0"/>
    <s v="богара"/>
    <n v="31"/>
    <x v="30"/>
    <x v="0"/>
    <s v="-"/>
    <s v="53-63"/>
    <x v="0"/>
    <x v="598"/>
    <d v="2026-07-04T00:00:00"/>
    <n v="424"/>
    <n v="59"/>
  </r>
  <r>
    <m/>
    <m/>
    <n v="60"/>
    <x v="599"/>
    <x v="0"/>
    <m/>
    <n v="4390"/>
    <m/>
    <n v="3841.3"/>
    <x v="0"/>
    <s v="Фаворит"/>
    <x v="42"/>
    <s v="Сайко Владимир Николаевич"/>
    <m/>
    <m/>
    <m/>
    <m/>
    <s v="Т919РВ"/>
    <m/>
    <x v="33"/>
    <x v="3"/>
    <n v="0.8"/>
    <x v="0"/>
    <s v="богара"/>
    <n v="31"/>
    <x v="30"/>
    <x v="0"/>
    <s v="-"/>
    <s v="53-63"/>
    <x v="0"/>
    <x v="599"/>
    <d v="2026-07-04T00:00:00"/>
    <n v="425"/>
    <n v="60"/>
  </r>
  <r>
    <m/>
    <m/>
    <n v="67"/>
    <x v="600"/>
    <x v="0"/>
    <m/>
    <n v="13050"/>
    <m/>
    <n v="12071.2"/>
    <x v="0"/>
    <s v="Фаворит"/>
    <x v="42"/>
    <s v="Богучарский А. И."/>
    <m/>
    <m/>
    <m/>
    <m/>
    <s v="А718ВХ"/>
    <m/>
    <x v="33"/>
    <x v="3"/>
    <n v="2.5"/>
    <x v="0"/>
    <s v="богара"/>
    <n v="31"/>
    <x v="30"/>
    <x v="0"/>
    <s v="-"/>
    <s v="67-85"/>
    <x v="0"/>
    <x v="600"/>
    <d v="2026-07-04T00:00:00"/>
    <n v="426"/>
    <n v="67"/>
  </r>
  <r>
    <m/>
    <m/>
    <n v="57"/>
    <x v="601"/>
    <x v="0"/>
    <m/>
    <n v="4300"/>
    <m/>
    <n v="3977.5"/>
    <x v="0"/>
    <s v="Фаворит"/>
    <x v="42"/>
    <s v="Сайко Владимир Николаевич"/>
    <m/>
    <m/>
    <m/>
    <m/>
    <s v="Т919РВ"/>
    <m/>
    <x v="33"/>
    <x v="3"/>
    <n v="0.9"/>
    <x v="0"/>
    <s v="богара"/>
    <n v="31"/>
    <x v="30"/>
    <x v="0"/>
    <s v="-"/>
    <s v="53-63"/>
    <x v="0"/>
    <x v="601"/>
    <d v="2026-07-05T00:00:00"/>
    <n v="427"/>
    <n v="57"/>
  </r>
  <r>
    <m/>
    <m/>
    <n v="64"/>
    <x v="602"/>
    <x v="0"/>
    <m/>
    <n v="12950"/>
    <m/>
    <n v="11590.3"/>
    <x v="0"/>
    <s v="Фаворит"/>
    <x v="42"/>
    <s v="Осипов Александр Николаевич"/>
    <m/>
    <m/>
    <m/>
    <m/>
    <s v="Е732УС"/>
    <m/>
    <x v="33"/>
    <x v="3"/>
    <n v="2.5"/>
    <x v="0"/>
    <s v="богара"/>
    <n v="31"/>
    <x v="30"/>
    <x v="0"/>
    <s v="-"/>
    <s v="64-66"/>
    <x v="1"/>
    <x v="602"/>
    <d v="2026-07-05T00:00:00"/>
    <n v="428"/>
    <n v="64"/>
  </r>
  <r>
    <m/>
    <m/>
    <n v="64"/>
    <x v="603"/>
    <x v="0"/>
    <m/>
    <n v="13640"/>
    <m/>
    <n v="11798.6"/>
    <x v="1"/>
    <s v="Патриот"/>
    <x v="43"/>
    <s v="Жданов Андрей Иванович"/>
    <m/>
    <m/>
    <m/>
    <m/>
    <s v="С707ОУ"/>
    <m/>
    <x v="34"/>
    <x v="6"/>
    <n v="4.3"/>
    <x v="1"/>
    <s v="полив"/>
    <n v="32"/>
    <x v="31"/>
    <x v="0"/>
    <s v="-"/>
    <s v="64-66"/>
    <x v="1"/>
    <x v="603"/>
    <d v="2026-07-05T00:00:00"/>
    <n v="437"/>
    <n v="64"/>
  </r>
  <r>
    <m/>
    <m/>
    <n v="66"/>
    <x v="604"/>
    <x v="0"/>
    <m/>
    <n v="4430"/>
    <m/>
    <n v="3942.7"/>
    <x v="1"/>
    <s v="Патриот"/>
    <x v="43"/>
    <s v="Роговской Роман Алексеевич"/>
    <m/>
    <m/>
    <m/>
    <m/>
    <s v="Т945РВ"/>
    <m/>
    <x v="34"/>
    <x v="6"/>
    <n v="1.4"/>
    <x v="1"/>
    <s v="полив"/>
    <n v="32"/>
    <x v="31"/>
    <x v="0"/>
    <s v="-"/>
    <s v="64-66"/>
    <x v="1"/>
    <x v="604"/>
    <d v="2026-07-05T00:00:00"/>
    <n v="438"/>
    <n v="66"/>
  </r>
  <r>
    <m/>
    <m/>
    <n v="57"/>
    <x v="605"/>
    <x v="0"/>
    <m/>
    <n v="13410"/>
    <m/>
    <n v="12538.4"/>
    <x v="3"/>
    <s v="Беркут"/>
    <x v="37"/>
    <s v="Кудря Евгений"/>
    <m/>
    <m/>
    <m/>
    <m/>
    <s v="А719ОО"/>
    <m/>
    <x v="28"/>
    <x v="3"/>
    <n v="2.510766612154991"/>
    <x v="3"/>
    <s v="полив"/>
    <n v="32"/>
    <x v="31"/>
    <x v="0"/>
    <s v="-"/>
    <s v="64-66"/>
    <x v="1"/>
    <x v="605"/>
    <d v="2026-07-05T00:00:00"/>
    <n v="105"/>
    <n v="64"/>
  </r>
  <r>
    <m/>
    <m/>
    <n v="59"/>
    <x v="606"/>
    <x v="0"/>
    <m/>
    <n v="12910"/>
    <m/>
    <n v="12070.9"/>
    <x v="3"/>
    <s v="Беркут"/>
    <x v="37"/>
    <s v="Никитась Сергей Анатольевич"/>
    <m/>
    <m/>
    <m/>
    <m/>
    <s v="К570ЕО"/>
    <m/>
    <x v="28"/>
    <x v="3"/>
    <n v="2.4171511530888097"/>
    <x v="3"/>
    <s v="полив"/>
    <n v="32"/>
    <x v="31"/>
    <x v="0"/>
    <s v="-"/>
    <s v="64-66"/>
    <x v="1"/>
    <x v="606"/>
    <d v="2026-07-05T00:00:00"/>
    <n v="112"/>
    <n v="65"/>
  </r>
  <r>
    <m/>
    <m/>
    <n v="53"/>
    <x v="607"/>
    <x v="0"/>
    <m/>
    <n v="13460"/>
    <m/>
    <n v="11575.6"/>
    <x v="1"/>
    <s v="Патриот"/>
    <x v="43"/>
    <s v="Гужва А М."/>
    <m/>
    <m/>
    <m/>
    <m/>
    <s v="Т285ВЕ"/>
    <m/>
    <x v="34"/>
    <x v="6"/>
    <n v="4.3"/>
    <x v="1"/>
    <s v="полив"/>
    <n v="32"/>
    <x v="31"/>
    <x v="0"/>
    <s v="-"/>
    <s v="64-66"/>
    <x v="1"/>
    <x v="607"/>
    <d v="2026-07-05T00:00:00"/>
    <n v="439"/>
    <n v="64"/>
  </r>
  <r>
    <m/>
    <m/>
    <n v="60"/>
    <x v="608"/>
    <x v="0"/>
    <m/>
    <n v="12930"/>
    <m/>
    <n v="12283.5"/>
    <x v="3"/>
    <s v="Беркут"/>
    <x v="37"/>
    <s v="Лазаренко Вячеслав Владимирович"/>
    <m/>
    <m/>
    <m/>
    <m/>
    <s v="Т239УС"/>
    <m/>
    <x v="28"/>
    <x v="3"/>
    <n v="2.4208957714514567"/>
    <x v="3"/>
    <s v="полив"/>
    <n v="32"/>
    <x v="31"/>
    <x v="0"/>
    <s v="-"/>
    <s v="64-66"/>
    <x v="1"/>
    <x v="608"/>
    <d v="2026-07-05T00:00:00"/>
    <n v="113"/>
    <n v="64"/>
  </r>
  <r>
    <m/>
    <m/>
    <n v="70"/>
    <x v="609"/>
    <x v="0"/>
    <m/>
    <n v="13250"/>
    <m/>
    <n v="12057.5"/>
    <x v="1"/>
    <s v="Патриот"/>
    <x v="43"/>
    <s v="Жданов Андрей Иванович"/>
    <m/>
    <m/>
    <m/>
    <m/>
    <s v="С707ОУ"/>
    <m/>
    <x v="34"/>
    <x v="6"/>
    <n v="4.2"/>
    <x v="1"/>
    <s v="полив"/>
    <n v="32"/>
    <x v="31"/>
    <x v="0"/>
    <s v="-"/>
    <s v="67-85"/>
    <x v="1"/>
    <x v="609"/>
    <d v="2026-07-05T00:00:00"/>
    <n v="440"/>
    <n v="70"/>
  </r>
  <r>
    <m/>
    <m/>
    <n v="58"/>
    <x v="610"/>
    <x v="0"/>
    <m/>
    <n v="13370"/>
    <m/>
    <n v="12434.1"/>
    <x v="3"/>
    <s v="Беркут"/>
    <x v="37"/>
    <s v="Погуляй А.Б.       "/>
    <m/>
    <m/>
    <m/>
    <m/>
    <s v="О824ТХ"/>
    <m/>
    <x v="28"/>
    <x v="3"/>
    <n v="2.5032773754296964"/>
    <x v="3"/>
    <s v="полив"/>
    <n v="32"/>
    <x v="31"/>
    <x v="0"/>
    <s v="-"/>
    <s v="67-85"/>
    <x v="1"/>
    <x v="610"/>
    <d v="2026-07-05T00:00:00"/>
    <n v="114"/>
    <n v="67"/>
  </r>
  <r>
    <m/>
    <m/>
    <n v="70"/>
    <x v="611"/>
    <x v="0"/>
    <m/>
    <n v="4390"/>
    <m/>
    <n v="3907.1"/>
    <x v="1"/>
    <s v="Патриот"/>
    <x v="43"/>
    <s v="Роговской Роман Алексеевич"/>
    <m/>
    <m/>
    <m/>
    <m/>
    <s v="Т945РВ"/>
    <m/>
    <x v="34"/>
    <x v="6"/>
    <n v="1.4"/>
    <x v="1"/>
    <s v="полив"/>
    <n v="32"/>
    <x v="31"/>
    <x v="0"/>
    <s v="-"/>
    <s v="67-85"/>
    <x v="1"/>
    <x v="611"/>
    <d v="2026-07-05T00:00:00"/>
    <n v="441"/>
    <n v="70"/>
  </r>
  <r>
    <m/>
    <m/>
    <n v="60"/>
    <x v="612"/>
    <x v="0"/>
    <m/>
    <n v="13130"/>
    <m/>
    <n v="12079.6"/>
    <x v="1"/>
    <s v="Патриот"/>
    <x v="43"/>
    <s v="Гужва А М."/>
    <m/>
    <m/>
    <m/>
    <m/>
    <s v="Т285ВЕ"/>
    <m/>
    <x v="34"/>
    <x v="6"/>
    <n v="4.2"/>
    <x v="1"/>
    <s v="полив"/>
    <n v="32"/>
    <x v="31"/>
    <x v="0"/>
    <s v="-"/>
    <s v="67-85"/>
    <x v="1"/>
    <x v="612"/>
    <d v="2026-07-06T00:00:00"/>
    <n v="442"/>
    <n v="70"/>
  </r>
  <r>
    <m/>
    <m/>
    <n v="55"/>
    <x v="613"/>
    <x v="0"/>
    <m/>
    <n v="13340"/>
    <m/>
    <n v="12539.6"/>
    <x v="3"/>
    <s v="Беркут"/>
    <x v="37"/>
    <s v="Рудик АИ"/>
    <m/>
    <m/>
    <m/>
    <m/>
    <s v="А309АТ"/>
    <m/>
    <x v="28"/>
    <x v="3"/>
    <n v="2.4976604478857256"/>
    <x v="3"/>
    <s v="полив"/>
    <n v="32"/>
    <x v="31"/>
    <x v="0"/>
    <s v="-"/>
    <s v="67-85"/>
    <x v="1"/>
    <x v="613"/>
    <d v="2026-07-06T00:00:00"/>
    <n v="115"/>
    <n v="67"/>
  </r>
  <r>
    <m/>
    <m/>
    <n v="50"/>
    <x v="614"/>
    <x v="0"/>
    <m/>
    <n v="13220"/>
    <m/>
    <n v="12162.4"/>
    <x v="3"/>
    <s v="Беркут"/>
    <x v="37"/>
    <s v="Зателепа Вячеслав Анатольевич "/>
    <m/>
    <m/>
    <m/>
    <m/>
    <s v="Х775ХА"/>
    <m/>
    <x v="28"/>
    <x v="3"/>
    <n v="2.4751927377098419"/>
    <x v="3"/>
    <s v="полив"/>
    <n v="32"/>
    <x v="31"/>
    <x v="0"/>
    <s v="-"/>
    <s v="64-66"/>
    <x v="1"/>
    <x v="614"/>
    <d v="2026-07-06T00:00:00"/>
    <n v="116"/>
    <n v="64"/>
  </r>
  <r>
    <m/>
    <m/>
    <n v="59"/>
    <x v="615"/>
    <x v="0"/>
    <m/>
    <n v="13180"/>
    <m/>
    <n v="12389.2"/>
    <x v="1"/>
    <s v="Патриот"/>
    <x v="43"/>
    <s v="Жданов Андрей Иванович"/>
    <m/>
    <m/>
    <m/>
    <m/>
    <s v="С707ОУ"/>
    <m/>
    <x v="34"/>
    <x v="6"/>
    <n v="4.1658157062971064"/>
    <x v="1"/>
    <s v="полив"/>
    <n v="33"/>
    <x v="32"/>
    <x v="0"/>
    <s v="-"/>
    <s v="67-85"/>
    <x v="1"/>
    <x v="615"/>
    <d v="2026-07-06T00:00:00"/>
    <n v="443"/>
    <n v="71"/>
  </r>
  <r>
    <m/>
    <m/>
    <n v="68"/>
    <x v="616"/>
    <x v="0"/>
    <m/>
    <n v="15440"/>
    <m/>
    <n v="14513.6"/>
    <x v="3"/>
    <s v="Беркут"/>
    <x v="37"/>
    <s v="Черевко Александр Владимирович"/>
    <m/>
    <m/>
    <m/>
    <m/>
    <s v="А114МК"/>
    <m/>
    <x v="28"/>
    <x v="3"/>
    <n v="2.8908453759636887"/>
    <x v="3"/>
    <s v="полив"/>
    <n v="32"/>
    <x v="32"/>
    <x v="0"/>
    <s v="-"/>
    <s v="67-85"/>
    <x v="1"/>
    <x v="616"/>
    <d v="2026-07-06T00:00:00"/>
    <n v="117"/>
    <n v="68"/>
  </r>
  <r>
    <m/>
    <m/>
    <n v="55"/>
    <x v="617"/>
    <x v="0"/>
    <m/>
    <n v="4320"/>
    <m/>
    <n v="4039.2"/>
    <x v="1"/>
    <s v="Патриот"/>
    <x v="43"/>
    <s v="Сайко Владимир Николаевич"/>
    <m/>
    <m/>
    <m/>
    <m/>
    <s v="Т919РВ"/>
    <m/>
    <x v="34"/>
    <x v="6"/>
    <n v="1.3654266958424508"/>
    <x v="1"/>
    <s v="полив"/>
    <n v="33"/>
    <x v="32"/>
    <x v="0"/>
    <s v="-"/>
    <s v="64-66"/>
    <x v="1"/>
    <x v="617"/>
    <d v="2026-07-06T00:00:00"/>
    <n v="444"/>
    <n v="66"/>
  </r>
  <r>
    <m/>
    <m/>
    <n v="50"/>
    <x v="618"/>
    <x v="0"/>
    <m/>
    <n v="11150"/>
    <m/>
    <n v="9812"/>
    <x v="3"/>
    <s v="Фаворит"/>
    <x v="40"/>
    <s v="Жданов Андрей Иванович"/>
    <m/>
    <m/>
    <m/>
    <m/>
    <s v="С707ОУ"/>
    <m/>
    <x v="31"/>
    <x v="3"/>
    <n v="5.7"/>
    <x v="3"/>
    <s v="полив"/>
    <n v="29"/>
    <x v="32"/>
    <x v="0"/>
    <s v="-"/>
    <s v="53-63"/>
    <x v="0"/>
    <x v="618"/>
    <d v="2026-07-02T00:00:00"/>
    <n v="80"/>
    <n v="59"/>
  </r>
  <r>
    <m/>
    <m/>
    <n v="57"/>
    <x v="619"/>
    <x v="0"/>
    <m/>
    <n v="12670"/>
    <m/>
    <n v="10832.9"/>
    <x v="1"/>
    <s v="Фаворит"/>
    <x v="26"/>
    <s v="Бербеницкий Сергей Николаевич"/>
    <m/>
    <m/>
    <m/>
    <m/>
    <s v="С400РР"/>
    <m/>
    <x v="18"/>
    <x v="3"/>
    <n v="3.9510596321517215"/>
    <x v="1"/>
    <s v="полив"/>
    <n v="29"/>
    <x v="32"/>
    <x v="0"/>
    <s v="-"/>
    <s v="53-63"/>
    <x v="0"/>
    <x v="619"/>
    <d v="2026-07-02T00:00:00"/>
    <n v="394"/>
    <n v="57"/>
  </r>
  <r>
    <m/>
    <m/>
    <n v="59"/>
    <x v="620"/>
    <x v="0"/>
    <m/>
    <n v="13500"/>
    <m/>
    <n v="10192.5"/>
    <x v="1"/>
    <s v="Фаворит"/>
    <x v="26"/>
    <s v="Черевко Александр Владимирович"/>
    <m/>
    <m/>
    <m/>
    <m/>
    <s v="А114МК"/>
    <m/>
    <x v="18"/>
    <x v="3"/>
    <n v="4.2098899000827341"/>
    <x v="1"/>
    <s v="полив"/>
    <n v="29"/>
    <x v="32"/>
    <x v="0"/>
    <s v="-"/>
    <s v="53-63"/>
    <x v="0"/>
    <x v="620"/>
    <d v="2026-07-02T00:00:00"/>
    <n v="395"/>
    <n v="59"/>
  </r>
  <r>
    <m/>
    <m/>
    <n v="53"/>
    <x v="621"/>
    <x v="0"/>
    <m/>
    <n v="15040"/>
    <m/>
    <n v="13536"/>
    <x v="3"/>
    <s v="Фаворит"/>
    <x v="40"/>
    <s v="Рудик АИ"/>
    <m/>
    <m/>
    <m/>
    <m/>
    <s v="А309АТ"/>
    <m/>
    <x v="31"/>
    <x v="3"/>
    <n v="3.5"/>
    <x v="3"/>
    <s v="полив"/>
    <n v="29"/>
    <x v="32"/>
    <x v="0"/>
    <s v="-"/>
    <s v="53-63"/>
    <x v="0"/>
    <x v="621"/>
    <d v="2026-07-02T00:00:00"/>
    <n v="72"/>
    <n v="53"/>
  </r>
  <r>
    <m/>
    <m/>
    <n v="51"/>
    <x v="622"/>
    <x v="0"/>
    <m/>
    <n v="14610"/>
    <m/>
    <n v="13514.2"/>
    <x v="1"/>
    <s v="Фаворит"/>
    <x v="26"/>
    <s v="Жданов Андрей Иванович"/>
    <m/>
    <m/>
    <m/>
    <m/>
    <s v="С707ОУ"/>
    <m/>
    <x v="18"/>
    <x v="3"/>
    <n v="4.5560364029784255"/>
    <x v="1"/>
    <s v="полив"/>
    <n v="29"/>
    <x v="32"/>
    <x v="0"/>
    <s v="-"/>
    <s v="53-63"/>
    <x v="0"/>
    <x v="622"/>
    <d v="2026-07-02T00:00:00"/>
    <n v="396"/>
    <n v="60"/>
  </r>
  <r>
    <m/>
    <m/>
    <n v="58"/>
    <x v="623"/>
    <x v="0"/>
    <m/>
    <n v="9250"/>
    <m/>
    <n v="8741.2999999999993"/>
    <x v="3"/>
    <s v="Фаворит"/>
    <x v="40"/>
    <s v="Пугачев Сергей Викторович"/>
    <m/>
    <m/>
    <m/>
    <m/>
    <s v="Р258УХ"/>
    <m/>
    <x v="31"/>
    <x v="3"/>
    <n v="3.5"/>
    <x v="3"/>
    <s v="полив"/>
    <n v="29"/>
    <x v="32"/>
    <x v="0"/>
    <s v="-"/>
    <s v="53-63"/>
    <x v="0"/>
    <x v="623"/>
    <d v="2026-07-02T00:00:00"/>
    <n v="83"/>
    <n v="58"/>
  </r>
  <r>
    <m/>
    <m/>
    <n v="0"/>
    <x v="624"/>
    <x v="0"/>
    <m/>
    <n v="12820"/>
    <m/>
    <n v="10191.9"/>
    <x v="1"/>
    <s v="Фаворит"/>
    <x v="43"/>
    <s v="Гужва А М."/>
    <m/>
    <m/>
    <m/>
    <m/>
    <s v="Т285ВЕ"/>
    <m/>
    <x v="34"/>
    <x v="6"/>
    <n v="2.7"/>
    <x v="1"/>
    <s v="полив"/>
    <n v="29"/>
    <x v="32"/>
    <x v="0"/>
    <s v="-"/>
    <s v="нет данных"/>
    <x v="0"/>
    <x v="624"/>
    <d v="2026-07-02T00:00:00"/>
    <n v="397"/>
    <n v="56"/>
  </r>
  <r>
    <m/>
    <m/>
    <n v="50"/>
    <x v="625"/>
    <x v="0"/>
    <m/>
    <n v="9180"/>
    <m/>
    <n v="8399.7000000000007"/>
    <x v="3"/>
    <s v="Фаворит"/>
    <x v="40"/>
    <s v="Ушаков С.Е."/>
    <m/>
    <m/>
    <m/>
    <m/>
    <s v="0212РТ"/>
    <m/>
    <x v="31"/>
    <x v="3"/>
    <n v="3.5"/>
    <x v="3"/>
    <s v="полив"/>
    <n v="29"/>
    <x v="32"/>
    <x v="0"/>
    <s v="-"/>
    <s v="53-63"/>
    <x v="0"/>
    <x v="625"/>
    <d v="2026-07-02T00:00:00"/>
    <n v="84"/>
    <n v="57"/>
  </r>
  <r>
    <m/>
    <m/>
    <n v="49"/>
    <x v="626"/>
    <x v="0"/>
    <m/>
    <n v="13170"/>
    <m/>
    <n v="11918.9"/>
    <x v="1"/>
    <s v="Фаворит"/>
    <x v="43"/>
    <s v="Бербеницкий Сергей Николаевич"/>
    <m/>
    <m/>
    <m/>
    <m/>
    <s v="С400РР"/>
    <m/>
    <x v="34"/>
    <x v="6"/>
    <n v="3.1"/>
    <x v="1"/>
    <s v="полив"/>
    <n v="29"/>
    <x v="32"/>
    <x v="0"/>
    <s v="-"/>
    <s v="53-63"/>
    <x v="0"/>
    <x v="626"/>
    <d v="2026-07-02T00:00:00"/>
    <n v="398"/>
    <n v="59"/>
  </r>
  <r>
    <m/>
    <m/>
    <n v="55"/>
    <x v="627"/>
    <x v="0"/>
    <m/>
    <n v="9160"/>
    <m/>
    <n v="8381.4"/>
    <x v="3"/>
    <s v="Фаворит"/>
    <x v="40"/>
    <s v="Никитась Сергей Анатольевич"/>
    <m/>
    <m/>
    <m/>
    <m/>
    <s v="К570ЕО"/>
    <m/>
    <x v="31"/>
    <x v="3"/>
    <n v="3.4"/>
    <x v="3"/>
    <s v="полив"/>
    <n v="29"/>
    <x v="32"/>
    <x v="0"/>
    <s v="-"/>
    <s v="53-63"/>
    <x v="0"/>
    <x v="627"/>
    <d v="2026-07-02T00:00:00"/>
    <n v="85"/>
    <n v="55"/>
  </r>
  <r>
    <m/>
    <m/>
    <n v="60"/>
    <x v="628"/>
    <x v="0"/>
    <m/>
    <n v="13150"/>
    <m/>
    <n v="12032.3"/>
    <x v="1"/>
    <s v="Фаворит"/>
    <x v="43"/>
    <s v="Черевко Александр Владимирович"/>
    <m/>
    <m/>
    <m/>
    <m/>
    <s v="А114МК"/>
    <m/>
    <x v="34"/>
    <x v="6"/>
    <n v="3.1"/>
    <x v="1"/>
    <s v="полив"/>
    <n v="29"/>
    <x v="32"/>
    <x v="0"/>
    <s v="-"/>
    <s v="53-63"/>
    <x v="0"/>
    <x v="628"/>
    <d v="2026-07-02T00:00:00"/>
    <n v="399"/>
    <n v="60"/>
  </r>
  <r>
    <m/>
    <m/>
    <n v="57"/>
    <x v="629"/>
    <x v="0"/>
    <m/>
    <n v="8990"/>
    <m/>
    <n v="7956.2"/>
    <x v="3"/>
    <s v="Фаворит"/>
    <x v="40"/>
    <s v="Кудря Евгений"/>
    <m/>
    <m/>
    <m/>
    <m/>
    <s v="А719ОО"/>
    <m/>
    <x v="31"/>
    <x v="3"/>
    <n v="5.2"/>
    <x v="3"/>
    <s v="полив"/>
    <n v="29"/>
    <x v="32"/>
    <x v="0"/>
    <s v="-"/>
    <s v="53-63"/>
    <x v="0"/>
    <x v="629"/>
    <d v="2026-07-02T00:00:00"/>
    <n v="86"/>
    <n v="57"/>
  </r>
  <r>
    <m/>
    <m/>
    <n v="56"/>
    <x v="630"/>
    <x v="0"/>
    <m/>
    <n v="4520"/>
    <m/>
    <n v="4090.6"/>
    <x v="1"/>
    <s v="Фаворит"/>
    <x v="39"/>
    <s v="Роговской Роман Алексеевич"/>
    <m/>
    <m/>
    <m/>
    <m/>
    <s v="Т945РВ"/>
    <m/>
    <x v="30"/>
    <x v="3"/>
    <n v="1.8"/>
    <x v="1"/>
    <s v="полив"/>
    <n v="30"/>
    <x v="32"/>
    <x v="0"/>
    <s v="-"/>
    <s v="53-63"/>
    <x v="0"/>
    <x v="630"/>
    <d v="2026-07-03T00:00:00"/>
    <n v="408"/>
    <n v="56"/>
  </r>
  <r>
    <m/>
    <m/>
    <n v="60"/>
    <x v="631"/>
    <x v="0"/>
    <m/>
    <n v="13940"/>
    <m/>
    <n v="12755.1"/>
    <x v="3"/>
    <s v="Фаворит"/>
    <x v="41"/>
    <s v="Никитась Сергей Анатольевич"/>
    <m/>
    <m/>
    <m/>
    <m/>
    <s v="К570ЕО"/>
    <m/>
    <x v="32"/>
    <x v="3"/>
    <n v="4.6195095499186598"/>
    <x v="3"/>
    <s v="полив"/>
    <n v="30"/>
    <x v="32"/>
    <x v="0"/>
    <s v="-"/>
    <s v="53-63"/>
    <x v="0"/>
    <x v="631"/>
    <d v="2026-07-03T00:00:00"/>
    <n v="94"/>
    <n v="60"/>
  </r>
  <r>
    <m/>
    <m/>
    <n v="0"/>
    <x v="632"/>
    <x v="0"/>
    <m/>
    <n v="13590"/>
    <m/>
    <n v="11483.6"/>
    <x v="1"/>
    <s v="Фаворит"/>
    <x v="39"/>
    <s v="Гужва А М."/>
    <m/>
    <m/>
    <m/>
    <m/>
    <s v="Т285ВЕ"/>
    <m/>
    <x v="30"/>
    <x v="3"/>
    <n v="5.4"/>
    <x v="1"/>
    <s v="полив"/>
    <n v="30"/>
    <x v="32"/>
    <x v="0"/>
    <s v="-"/>
    <s v="нет данных"/>
    <x v="0"/>
    <x v="632"/>
    <d v="2026-07-03T00:00:00"/>
    <n v="409"/>
    <n v="54"/>
  </r>
  <r>
    <m/>
    <m/>
    <n v="59"/>
    <x v="633"/>
    <x v="0"/>
    <m/>
    <n v="13960"/>
    <m/>
    <n v="12913"/>
    <x v="3"/>
    <s v="Фаворит"/>
    <x v="41"/>
    <s v="Кудря Евгений"/>
    <m/>
    <m/>
    <m/>
    <m/>
    <s v="А719ОО"/>
    <m/>
    <x v="32"/>
    <x v="3"/>
    <n v="4.6261372537205521"/>
    <x v="3"/>
    <s v="полив"/>
    <n v="30"/>
    <x v="32"/>
    <x v="0"/>
    <s v="-"/>
    <s v="53-63"/>
    <x v="0"/>
    <x v="633"/>
    <d v="2026-07-03T00:00:00"/>
    <n v="95"/>
    <n v="59"/>
  </r>
  <r>
    <m/>
    <m/>
    <n v="59"/>
    <x v="634"/>
    <x v="0"/>
    <m/>
    <n v="4410"/>
    <m/>
    <n v="3991.1"/>
    <x v="1"/>
    <s v="Фаворит"/>
    <x v="39"/>
    <s v="Роговской Роман Алексеевич"/>
    <m/>
    <m/>
    <m/>
    <m/>
    <s v="Т945РВ"/>
    <m/>
    <x v="30"/>
    <x v="3"/>
    <n v="1.7"/>
    <x v="1"/>
    <s v="полив"/>
    <n v="30"/>
    <x v="32"/>
    <x v="0"/>
    <s v="-"/>
    <s v="53-63"/>
    <x v="0"/>
    <x v="634"/>
    <d v="2026-07-03T00:00:00"/>
    <n v="410"/>
    <n v="59"/>
  </r>
  <r>
    <m/>
    <m/>
    <n v="62"/>
    <x v="635"/>
    <x v="0"/>
    <m/>
    <n v="14100"/>
    <m/>
    <n v="12619.5"/>
    <x v="3"/>
    <s v="Фаворит"/>
    <x v="41"/>
    <s v="Черевко Александр Владимирович"/>
    <m/>
    <m/>
    <m/>
    <m/>
    <s v="А114МК"/>
    <m/>
    <x v="32"/>
    <x v="3"/>
    <n v="4.6725311803337952"/>
    <x v="3"/>
    <s v="полив"/>
    <n v="30"/>
    <x v="32"/>
    <x v="0"/>
    <s v="-"/>
    <s v="53-63"/>
    <x v="0"/>
    <x v="635"/>
    <d v="2026-07-03T00:00:00"/>
    <n v="96"/>
    <n v="62"/>
  </r>
  <r>
    <m/>
    <m/>
    <n v="61"/>
    <x v="636"/>
    <x v="0"/>
    <m/>
    <n v="13800"/>
    <m/>
    <n v="12903"/>
    <x v="3"/>
    <s v="Фаворит"/>
    <x v="41"/>
    <s v="Лазаренко Вячеслав Владимирович"/>
    <m/>
    <m/>
    <m/>
    <m/>
    <s v="Т239УС"/>
    <m/>
    <x v="32"/>
    <x v="3"/>
    <n v="4.5731156233054167"/>
    <x v="3"/>
    <s v="полив"/>
    <n v="30"/>
    <x v="32"/>
    <x v="0"/>
    <s v="-"/>
    <s v="53-63"/>
    <x v="0"/>
    <x v="636"/>
    <d v="2026-07-03T00:00:00"/>
    <n v="97"/>
    <n v="61"/>
  </r>
  <r>
    <m/>
    <m/>
    <n v="59"/>
    <x v="637"/>
    <x v="0"/>
    <m/>
    <n v="13460"/>
    <m/>
    <n v="11777.5"/>
    <x v="1"/>
    <s v="Фаворит"/>
    <x v="39"/>
    <s v="Гужва А М."/>
    <m/>
    <m/>
    <m/>
    <m/>
    <s v="Т285ВЕ"/>
    <m/>
    <x v="30"/>
    <x v="3"/>
    <n v="5.4"/>
    <x v="1"/>
    <s v="полив"/>
    <n v="30"/>
    <x v="32"/>
    <x v="0"/>
    <s v="-"/>
    <s v="53-63"/>
    <x v="0"/>
    <x v="637"/>
    <d v="2026-07-03T00:00:00"/>
    <n v="411"/>
    <n v="59"/>
  </r>
  <r>
    <m/>
    <m/>
    <n v="62"/>
    <x v="638"/>
    <x v="0"/>
    <m/>
    <n v="13800"/>
    <m/>
    <n v="12351"/>
    <x v="3"/>
    <s v="Фаворит"/>
    <x v="41"/>
    <s v="Зателепа Вячеслав Анатольевич "/>
    <m/>
    <m/>
    <m/>
    <m/>
    <s v="Х775ХА"/>
    <m/>
    <x v="32"/>
    <x v="3"/>
    <n v="4.5731156233054167"/>
    <x v="3"/>
    <s v="полив"/>
    <n v="30"/>
    <x v="32"/>
    <x v="0"/>
    <s v="-"/>
    <s v="53-63"/>
    <x v="0"/>
    <x v="638"/>
    <d v="2026-07-03T00:00:00"/>
    <n v="98"/>
    <n v="62"/>
  </r>
  <r>
    <m/>
    <m/>
    <n v="65"/>
    <x v="639"/>
    <x v="0"/>
    <m/>
    <n v="13460"/>
    <m/>
    <n v="12046.7"/>
    <x v="1"/>
    <s v="Фаворит"/>
    <x v="39"/>
    <s v="Жданов Андрей Иванович"/>
    <m/>
    <m/>
    <m/>
    <m/>
    <s v="С707ОУ"/>
    <m/>
    <x v="30"/>
    <x v="3"/>
    <n v="5.4"/>
    <x v="1"/>
    <s v="полив"/>
    <n v="30"/>
    <x v="32"/>
    <x v="0"/>
    <s v="-"/>
    <s v="64-66"/>
    <x v="1"/>
    <x v="639"/>
    <d v="2026-07-04T00:00:00"/>
    <n v="412"/>
    <n v="65"/>
  </r>
  <r>
    <m/>
    <m/>
    <n v="58"/>
    <x v="640"/>
    <x v="0"/>
    <m/>
    <n v="4500"/>
    <m/>
    <n v="3892.5"/>
    <x v="1"/>
    <s v="Фаворит"/>
    <x v="39"/>
    <s v="Роговской Роман Алексеевич"/>
    <m/>
    <m/>
    <m/>
    <m/>
    <s v="Т945РВ"/>
    <m/>
    <x v="30"/>
    <x v="3"/>
    <n v="1.8"/>
    <x v="1"/>
    <s v="полив"/>
    <n v="30"/>
    <x v="32"/>
    <x v="0"/>
    <s v="-"/>
    <s v="53-63"/>
    <x v="0"/>
    <x v="640"/>
    <d v="2026-07-04T00:00:00"/>
    <n v="413"/>
    <n v="58"/>
  </r>
  <r>
    <m/>
    <m/>
    <n v="64"/>
    <x v="641"/>
    <x v="0"/>
    <m/>
    <n v="13860"/>
    <m/>
    <n v="12820.5"/>
    <x v="3"/>
    <s v="Фаворит"/>
    <x v="41"/>
    <s v="Ушаков С.Е."/>
    <m/>
    <m/>
    <m/>
    <m/>
    <s v="0212РТ"/>
    <m/>
    <x v="32"/>
    <x v="3"/>
    <n v="4.5929987347110925"/>
    <x v="3"/>
    <s v="полив"/>
    <n v="30"/>
    <x v="32"/>
    <x v="0"/>
    <s v="-"/>
    <s v="64-66"/>
    <x v="1"/>
    <x v="641"/>
    <d v="2026-07-04T00:00:00"/>
    <n v="99"/>
    <n v="64"/>
  </r>
  <r>
    <m/>
    <m/>
    <n v="59"/>
    <x v="642"/>
    <x v="0"/>
    <m/>
    <n v="13710"/>
    <m/>
    <n v="12956"/>
    <x v="3"/>
    <s v="Фаворит"/>
    <x v="40"/>
    <s v="Погуляй А.Б.       "/>
    <m/>
    <m/>
    <m/>
    <m/>
    <s v="О824ТХ"/>
    <m/>
    <x v="31"/>
    <x v="3"/>
    <n v="4.8"/>
    <x v="3"/>
    <s v="полив"/>
    <n v="30"/>
    <x v="32"/>
    <x v="0"/>
    <s v="-"/>
    <s v="53-63"/>
    <x v="0"/>
    <x v="642"/>
    <d v="2026-07-04T00:00:00"/>
    <n v="100"/>
    <n v="59"/>
  </r>
  <r>
    <m/>
    <m/>
    <n v="58"/>
    <x v="643"/>
    <x v="0"/>
    <m/>
    <n v="6670"/>
    <m/>
    <n v="5836.3"/>
    <x v="1"/>
    <s v="Фаворит"/>
    <x v="39"/>
    <s v="Гужва А М."/>
    <m/>
    <m/>
    <m/>
    <m/>
    <s v="Т285ВЕ"/>
    <m/>
    <x v="30"/>
    <x v="3"/>
    <n v="2.7"/>
    <x v="1"/>
    <s v="полив"/>
    <n v="30"/>
    <x v="32"/>
    <x v="0"/>
    <s v="-"/>
    <s v="53-63"/>
    <x v="0"/>
    <x v="643"/>
    <d v="2026-07-04T00:00:00"/>
    <n v="414"/>
    <n v="58"/>
  </r>
  <r>
    <m/>
    <m/>
    <n v="58"/>
    <x v="644"/>
    <x v="0"/>
    <m/>
    <n v="13600"/>
    <m/>
    <n v="12580"/>
    <x v="3"/>
    <s v="Фаворит"/>
    <x v="40"/>
    <s v="Бербеницкий Сергей Николаевич"/>
    <m/>
    <m/>
    <m/>
    <m/>
    <s v="С400РР"/>
    <m/>
    <x v="31"/>
    <x v="3"/>
    <n v="4.8"/>
    <x v="3"/>
    <s v="полив"/>
    <n v="30"/>
    <x v="32"/>
    <x v="0"/>
    <s v="-"/>
    <s v="53-63"/>
    <x v="0"/>
    <x v="644"/>
    <d v="2026-07-04T00:00:00"/>
    <n v="101"/>
    <n v="58"/>
  </r>
  <r>
    <m/>
    <m/>
    <n v="62"/>
    <x v="645"/>
    <x v="0"/>
    <m/>
    <n v="13210"/>
    <m/>
    <n v="10171.700000000001"/>
    <x v="3"/>
    <s v="Беркут"/>
    <x v="37"/>
    <s v="Пугачев Владимир Сергеевич "/>
    <m/>
    <m/>
    <m/>
    <m/>
    <s v="Р866РМ"/>
    <m/>
    <x v="28"/>
    <x v="3"/>
    <n v="2.4733204285285186"/>
    <x v="3"/>
    <s v="полив"/>
    <n v="31"/>
    <x v="32"/>
    <x v="0"/>
    <s v="-"/>
    <s v="53-63"/>
    <x v="0"/>
    <x v="645"/>
    <d v="2026-07-04T00:00:00"/>
    <n v="102"/>
    <n v="62"/>
  </r>
  <r>
    <m/>
    <m/>
    <n v="56"/>
    <x v="646"/>
    <x v="0"/>
    <m/>
    <n v="12950"/>
    <m/>
    <n v="10683.8"/>
    <x v="0"/>
    <s v="Фаворит"/>
    <x v="42"/>
    <s v="Жданов Андрей Иванович"/>
    <m/>
    <m/>
    <m/>
    <m/>
    <s v="С707ОУ"/>
    <m/>
    <x v="33"/>
    <x v="3"/>
    <n v="2.5"/>
    <x v="0"/>
    <s v="полив"/>
    <n v="31"/>
    <x v="32"/>
    <x v="0"/>
    <s v="-"/>
    <s v="53-63"/>
    <x v="0"/>
    <x v="646"/>
    <d v="2026-07-04T00:00:00"/>
    <n v="415"/>
    <n v="56"/>
  </r>
  <r>
    <m/>
    <m/>
    <n v="61"/>
    <x v="647"/>
    <x v="0"/>
    <m/>
    <n v="4320"/>
    <m/>
    <n v="3909.6"/>
    <x v="0"/>
    <s v="Фаворит"/>
    <x v="42"/>
    <s v="Сайко Владимир Николаевич"/>
    <m/>
    <m/>
    <m/>
    <m/>
    <s v="Т919РВ"/>
    <m/>
    <x v="33"/>
    <x v="3"/>
    <n v="0.8"/>
    <x v="0"/>
    <s v="полив"/>
    <n v="31"/>
    <x v="32"/>
    <x v="0"/>
    <s v="-"/>
    <s v="53-63"/>
    <x v="0"/>
    <x v="647"/>
    <d v="2026-07-05T00:00:00"/>
    <n v="429"/>
    <n v="61"/>
  </r>
  <r>
    <m/>
    <m/>
    <n v="65"/>
    <x v="648"/>
    <x v="0"/>
    <m/>
    <n v="14940"/>
    <m/>
    <n v="13670.1"/>
    <x v="0"/>
    <s v="Фаворит"/>
    <x v="42"/>
    <s v="Богучарский А. И."/>
    <m/>
    <m/>
    <m/>
    <m/>
    <s v="А718ВХ"/>
    <m/>
    <x v="33"/>
    <x v="3"/>
    <n v="2.9"/>
    <x v="0"/>
    <s v="полив"/>
    <n v="31"/>
    <x v="32"/>
    <x v="0"/>
    <s v="-"/>
    <s v="64-66"/>
    <x v="1"/>
    <x v="648"/>
    <d v="2026-07-05T00:00:00"/>
    <n v="430"/>
    <n v="65"/>
  </r>
  <r>
    <m/>
    <m/>
    <n v="59"/>
    <x v="649"/>
    <x v="0"/>
    <m/>
    <n v="12940"/>
    <m/>
    <n v="11257.8"/>
    <x v="1"/>
    <s v="Патриот"/>
    <x v="43"/>
    <s v="Осипов Александр Николаевич"/>
    <m/>
    <m/>
    <m/>
    <m/>
    <s v="Е732УС"/>
    <m/>
    <x v="34"/>
    <x v="6"/>
    <n v="3.8"/>
    <x v="1"/>
    <s v="полив"/>
    <n v="31"/>
    <x v="32"/>
    <x v="0"/>
    <s v="-"/>
    <s v="53-63"/>
    <x v="0"/>
    <x v="649"/>
    <d v="2026-07-05T00:00:00"/>
    <n v="431"/>
    <n v="59"/>
  </r>
  <r>
    <m/>
    <m/>
    <n v="65"/>
    <x v="650"/>
    <x v="0"/>
    <m/>
    <n v="12480"/>
    <m/>
    <n v="11419.2"/>
    <x v="3"/>
    <s v="Беркут"/>
    <x v="37"/>
    <s v="Лазаренко Вячеслав Владимирович"/>
    <m/>
    <m/>
    <m/>
    <m/>
    <s v="Т239УС"/>
    <m/>
    <x v="28"/>
    <x v="3"/>
    <n v="2.3366418582918933"/>
    <x v="3"/>
    <s v="полив"/>
    <n v="31"/>
    <x v="32"/>
    <x v="0"/>
    <s v="-"/>
    <s v="64-66"/>
    <x v="0"/>
    <x v="650"/>
    <d v="2026-07-05T00:00:00"/>
    <n v="106"/>
    <n v="65"/>
  </r>
  <r>
    <m/>
    <m/>
    <n v="59"/>
    <x v="651"/>
    <x v="0"/>
    <m/>
    <n v="14430"/>
    <m/>
    <n v="13203.5"/>
    <x v="1"/>
    <s v="Патриот"/>
    <x v="43"/>
    <s v="Богучарский А. И."/>
    <m/>
    <m/>
    <m/>
    <m/>
    <s v="А718ВХ"/>
    <m/>
    <x v="34"/>
    <x v="6"/>
    <n v="4.2"/>
    <x v="1"/>
    <s v="полив"/>
    <n v="31"/>
    <x v="32"/>
    <x v="0"/>
    <s v="-"/>
    <s v="53-63"/>
    <x v="0"/>
    <x v="651"/>
    <d v="2026-07-05T00:00:00"/>
    <n v="432"/>
    <n v="59"/>
  </r>
  <r>
    <m/>
    <m/>
    <n v="60"/>
    <x v="652"/>
    <x v="0"/>
    <m/>
    <n v="12930"/>
    <m/>
    <n v="11572.4"/>
    <x v="3"/>
    <s v="Беркут"/>
    <x v="37"/>
    <s v="Черевко Александр Владимирович"/>
    <m/>
    <m/>
    <m/>
    <m/>
    <s v="А114МК"/>
    <m/>
    <x v="28"/>
    <x v="3"/>
    <n v="2.4208957714514567"/>
    <x v="3"/>
    <s v="полив"/>
    <n v="31"/>
    <x v="32"/>
    <x v="0"/>
    <s v="-"/>
    <s v="53-63"/>
    <x v="0"/>
    <x v="652"/>
    <d v="2026-07-05T00:00:00"/>
    <n v="107"/>
    <n v="60"/>
  </r>
  <r>
    <m/>
    <m/>
    <n v="68"/>
    <x v="653"/>
    <x v="0"/>
    <m/>
    <n v="13060"/>
    <m/>
    <n v="12472.3"/>
    <x v="3"/>
    <s v="Беркут"/>
    <x v="37"/>
    <s v="Зателепа Вячеслав Анатольевич "/>
    <m/>
    <m/>
    <m/>
    <m/>
    <s v="Х775ХА"/>
    <m/>
    <x v="28"/>
    <x v="3"/>
    <n v="2.4452357908086642"/>
    <x v="3"/>
    <s v="полив"/>
    <n v="31"/>
    <x v="32"/>
    <x v="0"/>
    <s v="-"/>
    <s v="67-85"/>
    <x v="1"/>
    <x v="653"/>
    <d v="2026-07-05T00:00:00"/>
    <n v="108"/>
    <n v="68"/>
  </r>
  <r>
    <m/>
    <m/>
    <n v="64"/>
    <x v="654"/>
    <x v="0"/>
    <m/>
    <n v="13190"/>
    <m/>
    <n v="11211.5"/>
    <x v="1"/>
    <s v="Патриот"/>
    <x v="43"/>
    <s v="Гужва А М."/>
    <m/>
    <m/>
    <m/>
    <m/>
    <s v="Т285ВЕ"/>
    <m/>
    <x v="34"/>
    <x v="6"/>
    <n v="4.2"/>
    <x v="1"/>
    <s v="полив"/>
    <n v="32"/>
    <x v="32"/>
    <x v="0"/>
    <s v="-"/>
    <s v="64-66"/>
    <x v="1"/>
    <x v="654"/>
    <d v="2026-07-05T00:00:00"/>
    <n v="433"/>
    <n v="64"/>
  </r>
  <r>
    <m/>
    <m/>
    <n v="59"/>
    <x v="655"/>
    <x v="0"/>
    <m/>
    <n v="12920"/>
    <m/>
    <n v="12080.2"/>
    <x v="3"/>
    <s v="Беркут"/>
    <x v="37"/>
    <s v="Ушаков С Е."/>
    <m/>
    <m/>
    <m/>
    <m/>
    <s v="О212РТ"/>
    <m/>
    <x v="28"/>
    <x v="3"/>
    <n v="2.419023462270133"/>
    <x v="3"/>
    <s v="полив"/>
    <n v="32"/>
    <x v="32"/>
    <x v="0"/>
    <s v="-"/>
    <s v="53-63"/>
    <x v="0"/>
    <x v="655"/>
    <d v="2026-07-05T00:00:00"/>
    <n v="109"/>
    <n v="59"/>
  </r>
  <r>
    <m/>
    <m/>
    <n v="58"/>
    <x v="656"/>
    <x v="0"/>
    <m/>
    <n v="13410"/>
    <m/>
    <n v="11532.6"/>
    <x v="1"/>
    <s v="Патриот"/>
    <x v="43"/>
    <s v="Жданов Андрей Иванович"/>
    <m/>
    <m/>
    <m/>
    <m/>
    <s v="С707ОУ"/>
    <m/>
    <x v="34"/>
    <x v="6"/>
    <n v="4.3"/>
    <x v="1"/>
    <s v="полив"/>
    <n v="32"/>
    <x v="32"/>
    <x v="0"/>
    <s v="-"/>
    <s v="53-63"/>
    <x v="0"/>
    <x v="656"/>
    <d v="2026-07-05T00:00:00"/>
    <n v="434"/>
    <n v="58"/>
  </r>
  <r>
    <m/>
    <m/>
    <n v="61"/>
    <x v="657"/>
    <x v="0"/>
    <m/>
    <n v="4640"/>
    <m/>
    <n v="4222.3999999999996"/>
    <x v="1"/>
    <s v="Патриот"/>
    <x v="43"/>
    <s v="Роговской Роман Алексеевич"/>
    <m/>
    <m/>
    <m/>
    <m/>
    <s v="Т945РВ"/>
    <m/>
    <x v="34"/>
    <x v="6"/>
    <n v="1.5"/>
    <x v="1"/>
    <s v="полив"/>
    <n v="32"/>
    <x v="32"/>
    <x v="0"/>
    <s v="-"/>
    <s v="53-63"/>
    <x v="0"/>
    <x v="657"/>
    <d v="2026-07-05T00:00:00"/>
    <n v="435"/>
    <n v="61"/>
  </r>
  <r>
    <m/>
    <m/>
    <n v="59"/>
    <x v="658"/>
    <x v="0"/>
    <m/>
    <n v="13520"/>
    <m/>
    <n v="12506"/>
    <x v="3"/>
    <s v="Беркут"/>
    <x v="37"/>
    <s v="Пугачев Сергей Викторович"/>
    <m/>
    <m/>
    <m/>
    <m/>
    <s v="Р258УХ"/>
    <m/>
    <x v="28"/>
    <x v="3"/>
    <n v="2.5313620131495509"/>
    <x v="3"/>
    <s v="полив"/>
    <n v="32"/>
    <x v="32"/>
    <x v="0"/>
    <s v="-"/>
    <s v="53-63"/>
    <x v="0"/>
    <x v="658"/>
    <d v="2026-07-05T00:00:00"/>
    <n v="110"/>
    <n v="59"/>
  </r>
  <r>
    <m/>
    <m/>
    <n v="59"/>
    <x v="659"/>
    <x v="0"/>
    <m/>
    <n v="13450"/>
    <m/>
    <n v="12306.8"/>
    <x v="3"/>
    <s v="Беркут"/>
    <x v="37"/>
    <s v="Пугачев Владимир Сергеевич "/>
    <m/>
    <m/>
    <m/>
    <m/>
    <s v="Р866РМ"/>
    <m/>
    <x v="28"/>
    <x v="3"/>
    <n v="2.5182558488802855"/>
    <x v="3"/>
    <s v="полив"/>
    <n v="32"/>
    <x v="32"/>
    <x v="0"/>
    <s v="-"/>
    <s v="53-63"/>
    <x v="0"/>
    <x v="659"/>
    <d v="2026-07-05T00:00:00"/>
    <n v="111"/>
    <n v="59"/>
  </r>
  <r>
    <m/>
    <m/>
    <n v="65"/>
    <x v="660"/>
    <x v="0"/>
    <m/>
    <n v="13490"/>
    <m/>
    <n v="12208.5"/>
    <x v="1"/>
    <s v="Патриот"/>
    <x v="43"/>
    <s v="Гужва А М."/>
    <m/>
    <m/>
    <m/>
    <m/>
    <s v="Т285ВЕ"/>
    <m/>
    <x v="34"/>
    <x v="6"/>
    <n v="4.3"/>
    <x v="1"/>
    <s v="полив"/>
    <n v="32"/>
    <x v="32"/>
    <x v="0"/>
    <s v="-"/>
    <s v="64-66"/>
    <x v="1"/>
    <x v="660"/>
    <d v="2026-07-05T00:00:00"/>
    <n v="436"/>
    <n v="65"/>
  </r>
  <r>
    <m/>
    <m/>
    <n v="64"/>
    <x v="661"/>
    <x v="0"/>
    <m/>
    <n v="12710"/>
    <m/>
    <n v="11756.8"/>
    <x v="1"/>
    <s v="Патриот"/>
    <x v="43"/>
    <s v="Богучарский А. И."/>
    <m/>
    <m/>
    <m/>
    <m/>
    <s v="А718ВХ"/>
    <m/>
    <x v="34"/>
    <x v="6"/>
    <n v="4.0172623389253586"/>
    <x v="1"/>
    <s v="полив"/>
    <n v="33"/>
    <x v="32"/>
    <x v="0"/>
    <s v="-"/>
    <s v="64-66"/>
    <x v="1"/>
    <x v="661"/>
    <d v="2026-07-06T00:00:00"/>
    <n v="445"/>
    <n v="64"/>
  </r>
  <r>
    <m/>
    <m/>
    <n v="66"/>
    <x v="662"/>
    <x v="0"/>
    <m/>
    <n v="12440"/>
    <m/>
    <n v="11444.8"/>
    <x v="3"/>
    <s v="Беркут"/>
    <x v="37"/>
    <s v="Ушаков С.Е."/>
    <m/>
    <m/>
    <m/>
    <m/>
    <s v="0212РТ"/>
    <m/>
    <x v="28"/>
    <x v="3"/>
    <n v="2.3291526215665987"/>
    <x v="3"/>
    <s v="полив"/>
    <n v="33"/>
    <x v="32"/>
    <x v="0"/>
    <s v="-"/>
    <s v="64-66"/>
    <x v="1"/>
    <x v="662"/>
    <d v="2026-07-06T00:00:00"/>
    <n v="118"/>
    <n v="66"/>
  </r>
  <r>
    <m/>
    <m/>
    <n v="66"/>
    <x v="663"/>
    <x v="0"/>
    <m/>
    <n v="12670"/>
    <m/>
    <n v="11149.6"/>
    <x v="1"/>
    <s v="Патриот"/>
    <x v="43"/>
    <s v="Осипов Александр Николаевич"/>
    <m/>
    <m/>
    <m/>
    <m/>
    <s v="Е732УС"/>
    <m/>
    <x v="34"/>
    <x v="6"/>
    <n v="4.0046194991490394"/>
    <x v="1"/>
    <s v="полив"/>
    <n v="33"/>
    <x v="32"/>
    <x v="0"/>
    <s v="-"/>
    <s v="64-66"/>
    <x v="1"/>
    <x v="663"/>
    <d v="2026-07-06T00:00:00"/>
    <n v="446"/>
    <n v="66"/>
  </r>
  <r>
    <m/>
    <m/>
    <n v="66"/>
    <x v="664"/>
    <x v="0"/>
    <m/>
    <n v="12720"/>
    <m/>
    <n v="12020.4"/>
    <x v="3"/>
    <s v="Беркут"/>
    <x v="37"/>
    <s v="Бербеницкий Сергей Николаевич"/>
    <m/>
    <m/>
    <m/>
    <m/>
    <s v="С400РР"/>
    <m/>
    <x v="28"/>
    <x v="3"/>
    <n v="2.3815772786436606"/>
    <x v="3"/>
    <s v="полив"/>
    <n v="33"/>
    <x v="32"/>
    <x v="0"/>
    <s v="-"/>
    <s v="64-66"/>
    <x v="1"/>
    <x v="664"/>
    <d v="2026-07-06T00:00:00"/>
    <n v="119"/>
    <n v="66"/>
  </r>
  <r>
    <m/>
    <m/>
    <n v="69"/>
    <x v="665"/>
    <x v="0"/>
    <m/>
    <n v="13130"/>
    <m/>
    <n v="12145.2"/>
    <x v="3"/>
    <s v="Беркут"/>
    <x v="37"/>
    <s v="Пугачев Сергей Викторович"/>
    <m/>
    <m/>
    <m/>
    <m/>
    <s v="Р258УХ"/>
    <m/>
    <x v="28"/>
    <x v="3"/>
    <n v="2.4583419550779295"/>
    <x v="3"/>
    <s v="полив"/>
    <n v="33"/>
    <x v="32"/>
    <x v="0"/>
    <s v="-"/>
    <s v="67-85"/>
    <x v="1"/>
    <x v="665"/>
    <d v="2026-07-06T00:00:00"/>
    <n v="120"/>
    <n v="69"/>
  </r>
  <r>
    <m/>
    <m/>
    <n v="65"/>
    <x v="666"/>
    <x v="0"/>
    <m/>
    <n v="13410"/>
    <m/>
    <n v="12203.1"/>
    <x v="3"/>
    <s v="Беркут"/>
    <x v="37"/>
    <s v="Пугачев Владимир Сергеевич "/>
    <m/>
    <m/>
    <m/>
    <m/>
    <s v="Р866РМ"/>
    <m/>
    <x v="28"/>
    <x v="3"/>
    <n v="2.510766612154991"/>
    <x v="3"/>
    <s v="полив"/>
    <n v="33"/>
    <x v="32"/>
    <x v="0"/>
    <s v="-"/>
    <s v="64-66"/>
    <x v="1"/>
    <x v="666"/>
    <d v="2026-07-06T00:00:00"/>
    <n v="121"/>
    <n v="65"/>
  </r>
  <r>
    <m/>
    <m/>
    <n v="67"/>
    <x v="667"/>
    <x v="0"/>
    <m/>
    <n v="13100"/>
    <m/>
    <n v="11462.5"/>
    <x v="1"/>
    <s v="Патриот"/>
    <x v="43"/>
    <s v="Богучарский А. И."/>
    <m/>
    <m/>
    <m/>
    <m/>
    <s v="А718ВХ"/>
    <m/>
    <x v="34"/>
    <x v="6"/>
    <n v="4.1405300267444689"/>
    <x v="1"/>
    <s v="полив"/>
    <n v="33"/>
    <x v="32"/>
    <x v="0"/>
    <s v="-"/>
    <s v="67-85"/>
    <x v="1"/>
    <x v="667"/>
    <d v="2026-07-06T00:00:00"/>
    <n v="447"/>
    <n v="67"/>
  </r>
  <r>
    <m/>
    <m/>
    <n v="69"/>
    <x v="668"/>
    <x v="0"/>
    <m/>
    <n v="14620"/>
    <m/>
    <n v="13742.8"/>
    <x v="3"/>
    <s v="Беркут"/>
    <x v="38"/>
    <s v="Кудря Евгений"/>
    <m/>
    <m/>
    <m/>
    <m/>
    <s v="А719ОО"/>
    <m/>
    <x v="29"/>
    <x v="7"/>
    <n v="2.1571375876060492"/>
    <x v="3"/>
    <s v="полив"/>
    <n v="33"/>
    <x v="32"/>
    <x v="0"/>
    <s v="-"/>
    <s v="67-85"/>
    <x v="1"/>
    <x v="668"/>
    <d v="2026-07-06T00:00:00"/>
    <n v="122"/>
    <n v="69"/>
  </r>
  <r>
    <m/>
    <m/>
    <n v="71"/>
    <x v="669"/>
    <x v="0"/>
    <m/>
    <n v="13090"/>
    <m/>
    <n v="12304.6"/>
    <x v="3"/>
    <s v="Беркут"/>
    <x v="38"/>
    <s v="Никитась Сергей Анатольевич"/>
    <m/>
    <m/>
    <m/>
    <m/>
    <s v="К570ЕО"/>
    <m/>
    <x v="29"/>
    <x v="7"/>
    <n v="1.931390630763556"/>
    <x v="3"/>
    <s v="полив"/>
    <n v="33"/>
    <x v="32"/>
    <x v="0"/>
    <s v="-"/>
    <s v="67-85"/>
    <x v="2"/>
    <x v="669"/>
    <d v="2026-07-06T00:00:00"/>
    <n v="123"/>
    <n v="71"/>
  </r>
  <r>
    <m/>
    <m/>
    <n v="74"/>
    <x v="670"/>
    <x v="0"/>
    <m/>
    <n v="12610"/>
    <m/>
    <n v="12042.6"/>
    <x v="3"/>
    <s v="Беркут"/>
    <x v="38"/>
    <s v="Лазаренко Вячеслав Владимирович"/>
    <m/>
    <m/>
    <m/>
    <m/>
    <s v="Т239УС"/>
    <m/>
    <x v="29"/>
    <x v="7"/>
    <n v="1.8605680560678717"/>
    <x v="3"/>
    <s v="полив"/>
    <n v="33"/>
    <x v="32"/>
    <x v="0"/>
    <s v="-"/>
    <s v="67-85"/>
    <x v="2"/>
    <x v="670"/>
    <d v="2026-07-06T00:00:00"/>
    <n v="124"/>
    <n v="74"/>
  </r>
  <r>
    <m/>
    <m/>
    <n v="70"/>
    <x v="671"/>
    <x v="0"/>
    <m/>
    <n v="13470"/>
    <m/>
    <n v="12729.2"/>
    <x v="1"/>
    <s v="Патриот"/>
    <x v="43"/>
    <s v="Осипов Александр Николаевич"/>
    <m/>
    <m/>
    <m/>
    <m/>
    <s v="Е732УС"/>
    <m/>
    <x v="34"/>
    <x v="6"/>
    <n v="4.2574762946754197"/>
    <x v="1"/>
    <s v="полив"/>
    <n v="33"/>
    <x v="32"/>
    <x v="0"/>
    <s v="-"/>
    <s v="67-85"/>
    <x v="1"/>
    <x v="671"/>
    <d v="2026-07-06T00:00:00"/>
    <n v="448"/>
    <n v="70"/>
  </r>
  <r>
    <m/>
    <m/>
    <n v="66"/>
    <x v="672"/>
    <x v="0"/>
    <m/>
    <n v="12810"/>
    <m/>
    <n v="11400.9"/>
    <x v="1"/>
    <s v="Патриот"/>
    <x v="43"/>
    <s v="Богучарский А. И."/>
    <m/>
    <m/>
    <m/>
    <m/>
    <s v="А718ВХ"/>
    <m/>
    <x v="34"/>
    <x v="6"/>
    <n v="4.0488694383661556"/>
    <x v="1"/>
    <s v="полив"/>
    <n v="33"/>
    <x v="32"/>
    <x v="0"/>
    <s v="-"/>
    <s v="64-66"/>
    <x v="1"/>
    <x v="672"/>
    <d v="2026-07-06T00:00:00"/>
    <n v="449"/>
    <n v="66"/>
  </r>
  <r>
    <m/>
    <m/>
    <n v="74"/>
    <x v="673"/>
    <x v="0"/>
    <m/>
    <n v="14580"/>
    <m/>
    <n v="13705.2"/>
    <x v="3"/>
    <s v="Беркут"/>
    <x v="38"/>
    <s v="Рудик АИ"/>
    <m/>
    <m/>
    <m/>
    <m/>
    <s v="А309АТ"/>
    <m/>
    <x v="29"/>
    <x v="7"/>
    <n v="2.1512357063814092"/>
    <x v="3"/>
    <s v="полив"/>
    <n v="33"/>
    <x v="32"/>
    <x v="0"/>
    <s v="-"/>
    <s v="67-85"/>
    <x v="2"/>
    <x v="673"/>
    <d v="2026-07-06T00:00:00"/>
    <n v="125"/>
    <n v="74"/>
  </r>
  <r>
    <m/>
    <m/>
    <n v="73"/>
    <x v="674"/>
    <x v="0"/>
    <m/>
    <n v="14150"/>
    <m/>
    <n v="13230.3"/>
    <x v="3"/>
    <s v="Беркут"/>
    <x v="38"/>
    <s v="Погуляй А.Б.       "/>
    <m/>
    <m/>
    <m/>
    <m/>
    <s v="О824ТХ"/>
    <m/>
    <x v="29"/>
    <x v="7"/>
    <n v="2.0877904832165251"/>
    <x v="3"/>
    <s v="полив"/>
    <n v="33"/>
    <x v="32"/>
    <x v="0"/>
    <s v="-"/>
    <s v="67-85"/>
    <x v="2"/>
    <x v="674"/>
    <d v="2026-07-07T00:00:00"/>
    <n v="126"/>
    <n v="73"/>
  </r>
  <r>
    <m/>
    <m/>
    <n v="73"/>
    <x v="675"/>
    <x v="0"/>
    <m/>
    <n v="12280"/>
    <m/>
    <n v="11359"/>
    <x v="3"/>
    <s v="Беркут"/>
    <x v="38"/>
    <s v="Ушаков С Е."/>
    <m/>
    <m/>
    <m/>
    <m/>
    <s v="О212РТ"/>
    <m/>
    <x v="29"/>
    <x v="7"/>
    <n v="1.9118775359645888"/>
    <x v="3"/>
    <s v="полив"/>
    <n v="33"/>
    <x v="32"/>
    <x v="0"/>
    <s v="-"/>
    <s v="67-85"/>
    <x v="2"/>
    <x v="675"/>
    <d v="2026-07-07T00:00:00"/>
    <n v="127"/>
    <n v="73"/>
  </r>
  <r>
    <m/>
    <m/>
    <n v="62"/>
    <x v="676"/>
    <x v="0"/>
    <m/>
    <n v="17720"/>
    <m/>
    <n v="16018"/>
    <x v="2"/>
    <s v="Тристар"/>
    <x v="31"/>
    <s v="Панченко О.М."/>
    <m/>
    <m/>
    <m/>
    <m/>
    <s v="О791СР 123"/>
    <m/>
    <x v="21"/>
    <x v="4"/>
    <n v="2.6"/>
    <x v="2"/>
    <s v="полив"/>
    <n v="24"/>
    <x v="23"/>
    <x v="54"/>
    <s v="ГРАНД-СТАР ООО"/>
    <s v="53-63"/>
    <x v="0"/>
    <x v="676"/>
    <d v="2026-06-27T00:00:00"/>
    <s v="Продажа Гранд Стар отвес №327"/>
    <n v="62"/>
  </r>
  <r>
    <m/>
    <m/>
    <n v="0"/>
    <x v="676"/>
    <x v="0"/>
    <m/>
    <n v="17680"/>
    <m/>
    <n v="16194"/>
    <x v="2"/>
    <s v="Тристар"/>
    <x v="31"/>
    <s v="Ревенко А.В."/>
    <m/>
    <m/>
    <m/>
    <m/>
    <s v="А781РР 123"/>
    <m/>
    <x v="23"/>
    <x v="4"/>
    <n v="4.5999999999999996"/>
    <x v="2"/>
    <s v="полив"/>
    <n v="24"/>
    <x v="23"/>
    <x v="55"/>
    <s v="ГРАНД-СТАР ООО"/>
    <s v="нет данных"/>
    <x v="1"/>
    <x v="677"/>
    <d v="2026-06-27T00:00:00"/>
    <s v="Продажа Гранд Стар отвес №326"/>
    <n v="65"/>
  </r>
  <r>
    <m/>
    <m/>
    <n v="65"/>
    <x v="676"/>
    <x v="0"/>
    <m/>
    <n v="17480"/>
    <m/>
    <n v="15818"/>
    <x v="2"/>
    <s v="Тристар"/>
    <x v="31"/>
    <s v="Глебов А Ю."/>
    <m/>
    <m/>
    <m/>
    <m/>
    <s v="О766ОР 123"/>
    <m/>
    <x v="23"/>
    <x v="4"/>
    <n v="4.5"/>
    <x v="2"/>
    <s v="полив"/>
    <n v="24"/>
    <x v="23"/>
    <x v="11"/>
    <s v="ГРАНД-СТАР ООО"/>
    <s v="64-66"/>
    <x v="1"/>
    <x v="678"/>
    <d v="2026-06-27T00:00:00"/>
    <s v="Продажа Гранд Стар отвес №325"/>
    <n v="65"/>
  </r>
  <r>
    <m/>
    <m/>
    <n v="66"/>
    <x v="676"/>
    <x v="0"/>
    <m/>
    <n v="18080"/>
    <m/>
    <n v="16029"/>
    <x v="2"/>
    <s v="Тристар"/>
    <x v="31"/>
    <s v="Извеков Владимир Владимирович"/>
    <m/>
    <m/>
    <m/>
    <m/>
    <s v="Н378ХЕ 93"/>
    <m/>
    <x v="23"/>
    <x v="4"/>
    <n v="4.7"/>
    <x v="2"/>
    <s v="полив"/>
    <n v="24"/>
    <x v="23"/>
    <x v="56"/>
    <s v="ГРАНД-СТАР ООО"/>
    <s v="64-66"/>
    <x v="1"/>
    <x v="679"/>
    <d v="2026-06-27T00:00:00"/>
    <s v="Продажа Гранд Стар отвес №324"/>
    <n v="66"/>
  </r>
  <r>
    <m/>
    <m/>
    <n v="65"/>
    <x v="676"/>
    <x v="0"/>
    <m/>
    <n v="15140"/>
    <m/>
    <n v="13796"/>
    <x v="2"/>
    <s v="Тристар"/>
    <x v="31"/>
    <s v="Звада Евгений Евгеньевич"/>
    <m/>
    <m/>
    <m/>
    <m/>
    <s v="А688АМ 193"/>
    <m/>
    <x v="23"/>
    <x v="4"/>
    <n v="4.4000000000000004"/>
    <x v="2"/>
    <s v="полив"/>
    <n v="24"/>
    <x v="23"/>
    <x v="57"/>
    <s v="ГРАНД-СТАР ООО"/>
    <s v="64-66"/>
    <x v="1"/>
    <x v="680"/>
    <d v="2026-06-27T00:00:00"/>
    <s v="Продажа Гранд Стар отвес №323"/>
    <n v="65"/>
  </r>
  <r>
    <m/>
    <m/>
    <n v="59"/>
    <x v="676"/>
    <x v="0"/>
    <m/>
    <n v="13220"/>
    <m/>
    <n v="11791"/>
    <x v="2"/>
    <s v="Тристар"/>
    <x v="31"/>
    <s v="Фомин Николай Григорьевич"/>
    <m/>
    <m/>
    <m/>
    <m/>
    <s v="А731ВА123"/>
    <m/>
    <x v="21"/>
    <x v="4"/>
    <n v="2"/>
    <x v="2"/>
    <s v="полив"/>
    <n v="22"/>
    <x v="21"/>
    <x v="58"/>
    <s v="ГРАНД-СТАР ООО"/>
    <s v="53-63"/>
    <x v="0"/>
    <x v="681"/>
    <d v="2026-06-26T00:00:00"/>
    <s v="Продажа Гранд Стар отвес №310"/>
    <n v="59"/>
  </r>
  <r>
    <m/>
    <m/>
    <n v="51"/>
    <x v="676"/>
    <x v="0"/>
    <m/>
    <n v="13560"/>
    <m/>
    <n v="12079"/>
    <x v="2"/>
    <s v="Тристар"/>
    <x v="31"/>
    <s v="Магадиев Александр Сайлаувич"/>
    <m/>
    <m/>
    <m/>
    <m/>
    <s v="У184НО 123"/>
    <m/>
    <x v="21"/>
    <x v="4"/>
    <n v="2.1"/>
    <x v="2"/>
    <s v="полив"/>
    <n v="22"/>
    <x v="21"/>
    <x v="59"/>
    <s v="ГРАНД-СТАР ООО"/>
    <s v="40-52"/>
    <x v="0"/>
    <x v="682"/>
    <d v="2026-06-26T00:00:00"/>
    <s v="Продажа Гранд Стар отвес №306"/>
    <n v="51"/>
  </r>
  <r>
    <m/>
    <m/>
    <n v="60"/>
    <x v="676"/>
    <x v="0"/>
    <m/>
    <n v="13200"/>
    <m/>
    <n v="12078"/>
    <x v="2"/>
    <s v="Тристар"/>
    <x v="31"/>
    <s v="Магадиев Александр Сайлаувич"/>
    <m/>
    <m/>
    <m/>
    <m/>
    <s v="У184НО 123"/>
    <m/>
    <x v="21"/>
    <x v="4"/>
    <n v="3.4"/>
    <x v="2"/>
    <s v="полив"/>
    <n v="23"/>
    <x v="22"/>
    <x v="60"/>
    <s v="ГРАНД-СТАР ООО"/>
    <s v="53-63"/>
    <x v="0"/>
    <x v="683"/>
    <d v="2026-06-26T00:00:00"/>
    <s v="Продажа Гранд Стар отвес №313"/>
    <n v="60"/>
  </r>
  <r>
    <m/>
    <m/>
    <n v="66"/>
    <x v="676"/>
    <x v="0"/>
    <m/>
    <n v="17500"/>
    <m/>
    <n v="15931"/>
    <x v="2"/>
    <s v="Тристар"/>
    <x v="31"/>
    <s v="Звада Евгений Евгеньевич"/>
    <m/>
    <m/>
    <m/>
    <m/>
    <s v="АП688АМ 193"/>
    <m/>
    <x v="23"/>
    <x v="4"/>
    <n v="4.5"/>
    <x v="2"/>
    <s v="полив"/>
    <n v="25"/>
    <x v="24"/>
    <x v="61"/>
    <s v="ГРАНД-СТАР ООО"/>
    <s v="64-66"/>
    <x v="1"/>
    <x v="684"/>
    <d v="2026-06-28T00:00:00"/>
    <s v="Продажа Гранд Стар отвес №330"/>
    <n v="66"/>
  </r>
  <r>
    <m/>
    <m/>
    <n v="56"/>
    <x v="676"/>
    <x v="0"/>
    <m/>
    <n v="13120"/>
    <m/>
    <n v="11730"/>
    <x v="2"/>
    <s v="Женева"/>
    <x v="28"/>
    <s v="Магадиев Александр Сайлаувич"/>
    <m/>
    <m/>
    <m/>
    <m/>
    <s v="У184НО 123"/>
    <m/>
    <x v="19"/>
    <x v="5"/>
    <n v="2.7"/>
    <x v="2"/>
    <s v="полив"/>
    <n v="20"/>
    <x v="19"/>
    <x v="62"/>
    <s v="ГРАНД-СТАР ООО"/>
    <s v="53-63"/>
    <x v="0"/>
    <x v="685"/>
    <d v="2026-06-24T00:00:00"/>
    <s v="Продажа Гранд Стар отвес №283"/>
    <n v="56"/>
  </r>
  <r>
    <m/>
    <m/>
    <n v="54"/>
    <x v="676"/>
    <x v="0"/>
    <m/>
    <n v="13320"/>
    <m/>
    <n v="12184"/>
    <x v="2"/>
    <s v="Женева"/>
    <x v="28"/>
    <s v="Панченко О.М."/>
    <m/>
    <m/>
    <m/>
    <m/>
    <s v="о791ср 123"/>
    <m/>
    <x v="19"/>
    <x v="5"/>
    <n v="2.7"/>
    <x v="2"/>
    <s v="полив"/>
    <n v="21"/>
    <x v="20"/>
    <x v="63"/>
    <s v="ГРАНД-СТАР ООО"/>
    <s v="53-63"/>
    <x v="0"/>
    <x v="686"/>
    <d v="2026-06-24T00:00:00"/>
    <s v="Продажа Гранд Стар отвес №284"/>
    <n v="54"/>
  </r>
  <r>
    <m/>
    <m/>
    <n v="64"/>
    <x v="676"/>
    <x v="0"/>
    <m/>
    <n v="13080"/>
    <m/>
    <n v="11661"/>
    <x v="2"/>
    <s v="Женева"/>
    <x v="28"/>
    <s v="Фомин Николай Григорьевич"/>
    <m/>
    <m/>
    <m/>
    <m/>
    <s v="А731ВЛ 123"/>
    <m/>
    <x v="19"/>
    <x v="5"/>
    <n v="2.8"/>
    <x v="2"/>
    <s v="полив"/>
    <n v="21"/>
    <x v="20"/>
    <x v="64"/>
    <s v="ГРАНД-СТАР ООО"/>
    <s v="64-66"/>
    <x v="1"/>
    <x v="687"/>
    <d v="2026-06-24T00:00:00"/>
    <s v="Продажа Гранд Стар отвес №287"/>
    <n v="64"/>
  </r>
  <r>
    <m/>
    <m/>
    <n v="62"/>
    <x v="676"/>
    <x v="0"/>
    <m/>
    <n v="13240"/>
    <m/>
    <n v="11997"/>
    <x v="2"/>
    <s v="Тристар"/>
    <x v="31"/>
    <s v="Фомин Николай Григорьевич"/>
    <m/>
    <m/>
    <m/>
    <m/>
    <s v="А731ВА123"/>
    <m/>
    <x v="21"/>
    <x v="4"/>
    <n v="3.4"/>
    <x v="2"/>
    <s v="полив"/>
    <n v="23"/>
    <x v="22"/>
    <x v="33"/>
    <s v="ГРАНД-СТАР ООО"/>
    <s v="53-63"/>
    <x v="0"/>
    <x v="688"/>
    <d v="2026-06-26T00:00:00"/>
    <s v="Продажа Гранд Стар отвес №317"/>
    <n v="62"/>
  </r>
  <r>
    <m/>
    <m/>
    <n v="63"/>
    <x v="676"/>
    <x v="0"/>
    <m/>
    <n v="13320"/>
    <m/>
    <n v="11853"/>
    <x v="2"/>
    <s v="Тристар"/>
    <x v="31"/>
    <s v="Грищенко Александр Александрович"/>
    <m/>
    <m/>
    <m/>
    <m/>
    <s v="КА416ТН 123"/>
    <m/>
    <x v="21"/>
    <x v="4"/>
    <n v="3.4"/>
    <x v="2"/>
    <s v="полив"/>
    <n v="23"/>
    <x v="22"/>
    <x v="63"/>
    <s v="ГРАНД-СТАР ООО"/>
    <s v="53-63"/>
    <x v="1"/>
    <x v="689"/>
    <d v="2026-06-26T00:00:00"/>
    <s v="Продажа Гранд Стар отвес №319"/>
    <n v="63"/>
  </r>
  <r>
    <m/>
    <m/>
    <n v="62"/>
    <x v="676"/>
    <x v="0"/>
    <m/>
    <n v="13520"/>
    <m/>
    <n v="11992"/>
    <x v="2"/>
    <s v="Тристар"/>
    <x v="31"/>
    <s v="Ревенко А.В."/>
    <m/>
    <m/>
    <m/>
    <m/>
    <s v="А781РР 123"/>
    <m/>
    <x v="21"/>
    <x v="4"/>
    <n v="3.5"/>
    <x v="2"/>
    <s v="полив"/>
    <n v="23"/>
    <x v="22"/>
    <x v="65"/>
    <s v="ГРАНД-СТАР ООО"/>
    <s v="53-63"/>
    <x v="0"/>
    <x v="690"/>
    <d v="2026-06-26T00:00:00"/>
    <s v="Продажа Гранд Стар отвес №316"/>
    <n v="62"/>
  </r>
  <r>
    <m/>
    <m/>
    <n v="65"/>
    <x v="676"/>
    <x v="0"/>
    <m/>
    <n v="15000"/>
    <m/>
    <n v="13724"/>
    <x v="2"/>
    <s v="Тристар"/>
    <x v="31"/>
    <s v="Извеков Владимир Владимирович"/>
    <m/>
    <m/>
    <m/>
    <m/>
    <s v="Н378ХЕ 93"/>
    <m/>
    <x v="23"/>
    <x v="4"/>
    <n v="3.9"/>
    <x v="2"/>
    <s v="полив"/>
    <n v="25"/>
    <x v="24"/>
    <x v="66"/>
    <s v="ГРАНД-СТАР ООО"/>
    <s v="64-66"/>
    <x v="1"/>
    <x v="691"/>
    <d v="2026-06-28T00:00:00"/>
    <s v="Продажа Гранд Стар отвес №331"/>
    <n v="65"/>
  </r>
  <r>
    <m/>
    <m/>
    <n v="54"/>
    <x v="676"/>
    <x v="0"/>
    <m/>
    <n v="13420"/>
    <m/>
    <n v="12305"/>
    <x v="2"/>
    <s v="Женева"/>
    <x v="28"/>
    <s v="Магадиев Александр Сайлаувич"/>
    <m/>
    <m/>
    <m/>
    <m/>
    <s v="У184НО 123"/>
    <m/>
    <x v="19"/>
    <x v="5"/>
    <n v="2.8"/>
    <x v="2"/>
    <s v="полив"/>
    <n v="20"/>
    <x v="19"/>
    <x v="14"/>
    <s v="ГРАНД-СТАР ООО"/>
    <s v="53-63"/>
    <x v="0"/>
    <x v="692"/>
    <d v="2026-06-23T00:00:00"/>
    <s v="Продажа Гранд Стар отвес №277"/>
    <n v="54"/>
  </r>
  <r>
    <m/>
    <m/>
    <n v="0"/>
    <x v="676"/>
    <x v="0"/>
    <m/>
    <n v="13800"/>
    <m/>
    <n v="11387"/>
    <x v="2"/>
    <s v="Женева"/>
    <x v="28"/>
    <s v="Фомин Николай Григорьевич"/>
    <m/>
    <m/>
    <m/>
    <m/>
    <s v="А731ВА 123"/>
    <m/>
    <x v="19"/>
    <x v="5"/>
    <n v="2.8"/>
    <x v="2"/>
    <s v="полив"/>
    <n v="20"/>
    <x v="19"/>
    <x v="67"/>
    <s v="ГРАНД-СТАР ООО"/>
    <s v="нет данных"/>
    <x v="0"/>
    <x v="693"/>
    <d v="2026-06-23T00:00:00"/>
    <s v="Продажа Гранд Стар отвес №278"/>
    <n v="54"/>
  </r>
  <r>
    <m/>
    <m/>
    <n v="65"/>
    <x v="676"/>
    <x v="0"/>
    <m/>
    <n v="17420"/>
    <m/>
    <n v="15990"/>
    <x v="2"/>
    <s v="Тристар"/>
    <x v="31"/>
    <s v="Фомин Николай Григорьевич"/>
    <m/>
    <m/>
    <m/>
    <m/>
    <s v="А731ВЛ 123"/>
    <m/>
    <x v="23"/>
    <x v="4"/>
    <n v="4.5"/>
    <x v="2"/>
    <s v="полив"/>
    <n v="24"/>
    <x v="23"/>
    <x v="68"/>
    <s v="ГРАНД-СТАР ООО"/>
    <s v="64-66"/>
    <x v="1"/>
    <x v="694"/>
    <d v="2026-06-27T00:00:00"/>
    <s v="Продажа Гранд Стар отвес №329"/>
    <n v="65"/>
  </r>
  <r>
    <m/>
    <m/>
    <n v="66"/>
    <x v="676"/>
    <x v="0"/>
    <m/>
    <n v="17200"/>
    <m/>
    <n v="14465"/>
    <x v="2"/>
    <s v="Тристар"/>
    <x v="31"/>
    <s v="Емец Р.А."/>
    <m/>
    <m/>
    <m/>
    <m/>
    <s v="У315НХ 123"/>
    <m/>
    <x v="23"/>
    <x v="4"/>
    <n v="4.4000000000000004"/>
    <x v="2"/>
    <s v="полив"/>
    <n v="24"/>
    <x v="23"/>
    <x v="69"/>
    <s v="ГРАНД-СТАР ООО"/>
    <s v="64-66"/>
    <x v="1"/>
    <x v="695"/>
    <d v="2026-06-27T00:00:00"/>
    <s v="Продажа Гранд Стар отвес №328"/>
    <n v="66"/>
  </r>
  <r>
    <m/>
    <m/>
    <n v="65"/>
    <x v="676"/>
    <x v="0"/>
    <m/>
    <n v="13380"/>
    <m/>
    <n v="12392"/>
    <x v="2"/>
    <s v="Тристар"/>
    <x v="31"/>
    <s v="Звада Евгений Евгеньевич"/>
    <m/>
    <m/>
    <m/>
    <m/>
    <s v="АП688АМ 193"/>
    <m/>
    <x v="21"/>
    <x v="4"/>
    <n v="3.5"/>
    <x v="2"/>
    <s v="полив"/>
    <n v="23"/>
    <x v="22"/>
    <x v="70"/>
    <s v="ГРАНД-СТАР ООО"/>
    <s v="64-66"/>
    <x v="1"/>
    <x v="696"/>
    <d v="2026-06-26T00:00:00"/>
    <s v="Продажа Гранд Стар отвес №315"/>
    <n v="65"/>
  </r>
  <r>
    <m/>
    <m/>
    <n v="65"/>
    <x v="676"/>
    <x v="0"/>
    <m/>
    <n v="12900"/>
    <m/>
    <n v="11701"/>
    <x v="2"/>
    <s v="Тристар"/>
    <x v="31"/>
    <s v="Фомин Николай Григорьевич"/>
    <m/>
    <m/>
    <m/>
    <m/>
    <s v="А731ВЛ 123"/>
    <m/>
    <x v="21"/>
    <x v="4"/>
    <n v="1.9"/>
    <x v="2"/>
    <s v="полив"/>
    <n v="24"/>
    <x v="23"/>
    <x v="71"/>
    <s v="ГРАНД-СТАР ООО"/>
    <s v="64-66"/>
    <x v="1"/>
    <x v="697"/>
    <d v="2026-06-27T00:00:00"/>
    <s v="Продажа Гранд Стар отвес №322"/>
    <n v="65"/>
  </r>
  <r>
    <m/>
    <m/>
    <n v="65"/>
    <x v="676"/>
    <x v="0"/>
    <m/>
    <n v="13280"/>
    <m/>
    <n v="11726"/>
    <x v="2"/>
    <s v="Тристар"/>
    <x v="31"/>
    <s v="Павленко Е.Е."/>
    <m/>
    <m/>
    <m/>
    <m/>
    <s v="о791ср 123"/>
    <m/>
    <x v="21"/>
    <x v="4"/>
    <n v="2"/>
    <x v="2"/>
    <s v="полив"/>
    <n v="24"/>
    <x v="23"/>
    <x v="72"/>
    <s v="ГРАНД-СТАР ООО"/>
    <s v="64-66"/>
    <x v="1"/>
    <x v="698"/>
    <d v="2026-06-27T00:00:00"/>
    <s v="Продажа Гранд Стар отвес №321"/>
    <n v="65"/>
  </r>
  <r>
    <m/>
    <m/>
    <n v="63"/>
    <x v="676"/>
    <x v="0"/>
    <m/>
    <n v="13300"/>
    <m/>
    <n v="12355"/>
    <x v="2"/>
    <s v="Тристар"/>
    <x v="31"/>
    <s v="Извеков Владимир Владимирович"/>
    <m/>
    <m/>
    <m/>
    <m/>
    <s v="Н378ХЕ 93"/>
    <m/>
    <x v="21"/>
    <x v="4"/>
    <n v="2"/>
    <x v="2"/>
    <s v="полив"/>
    <n v="24"/>
    <x v="23"/>
    <x v="73"/>
    <s v="ГРАНД-СТАР ООО"/>
    <s v="53-63"/>
    <x v="1"/>
    <x v="699"/>
    <d v="2026-06-27T00:00:00"/>
    <s v="Продажа Гранд Стар отвес №320"/>
    <n v="63"/>
  </r>
  <r>
    <m/>
    <m/>
    <n v="62"/>
    <x v="676"/>
    <x v="0"/>
    <m/>
    <n v="13560"/>
    <m/>
    <n v="11966"/>
    <x v="2"/>
    <s v="Тристар"/>
    <x v="31"/>
    <s v="Кобельков Б.Б."/>
    <m/>
    <m/>
    <m/>
    <m/>
    <s v="О766ОР 123"/>
    <m/>
    <x v="21"/>
    <x v="4"/>
    <n v="2"/>
    <x v="2"/>
    <s v="полив"/>
    <n v="24"/>
    <x v="23"/>
    <x v="59"/>
    <s v="ГРАНД-СТАР ООО"/>
    <s v="53-63"/>
    <x v="1"/>
    <x v="700"/>
    <d v="2026-06-27T00:00:00"/>
    <s v="Продажа Гранд Стар отвес №319"/>
    <n v="62"/>
  </r>
  <r>
    <m/>
    <m/>
    <n v="66"/>
    <x v="676"/>
    <x v="0"/>
    <m/>
    <n v="16040"/>
    <m/>
    <n v="14620"/>
    <x v="2"/>
    <s v="Тристар"/>
    <x v="31"/>
    <s v="Глебов А Ю."/>
    <m/>
    <m/>
    <m/>
    <m/>
    <s v="О766ОР 123"/>
    <m/>
    <x v="23"/>
    <x v="4"/>
    <n v="2.6"/>
    <x v="2"/>
    <s v="полив"/>
    <n v="25"/>
    <x v="24"/>
    <x v="74"/>
    <s v="ГРАНД-СТАР ООО"/>
    <s v="64-66"/>
    <x v="1"/>
    <x v="701"/>
    <d v="2026-06-28T00:00:00"/>
    <s v="Продажа Гранд Стар отвес №322"/>
    <n v="66"/>
  </r>
  <r>
    <m/>
    <m/>
    <n v="67"/>
    <x v="676"/>
    <x v="0"/>
    <m/>
    <n v="16840"/>
    <m/>
    <n v="15410"/>
    <x v="2"/>
    <s v="Тристар"/>
    <x v="31"/>
    <s v="Ревенко А.В."/>
    <m/>
    <m/>
    <m/>
    <m/>
    <s v="А781РР 123"/>
    <m/>
    <x v="23"/>
    <x v="4"/>
    <n v="4.3"/>
    <x v="2"/>
    <s v="полив"/>
    <n v="25"/>
    <x v="24"/>
    <x v="75"/>
    <s v="ГРАНД-СТАР ООО"/>
    <s v="67-85"/>
    <x v="1"/>
    <x v="702"/>
    <d v="2026-06-28T00:00:00"/>
    <s v="Продажа Гранд Стар отвес №333"/>
    <n v="67"/>
  </r>
  <r>
    <m/>
    <m/>
    <n v="46"/>
    <x v="676"/>
    <x v="0"/>
    <m/>
    <n v="11700"/>
    <m/>
    <n v="9898"/>
    <x v="4"/>
    <s v="Фаворит"/>
    <x v="34"/>
    <s v="Глебов А Ю."/>
    <m/>
    <m/>
    <m/>
    <m/>
    <s v="О766СР 123"/>
    <m/>
    <x v="25"/>
    <x v="3"/>
    <n v="3"/>
    <x v="3"/>
    <s v="полив"/>
    <n v="22"/>
    <x v="21"/>
    <x v="76"/>
    <s v="ГРАНД-СТАР ООО"/>
    <s v="40-52"/>
    <x v="0"/>
    <x v="703"/>
    <d v="2026-06-25T00:00:00"/>
    <s v="Продажа Гранд Стар отвес №312"/>
    <n v="46"/>
  </r>
  <r>
    <m/>
    <m/>
    <n v="50"/>
    <x v="676"/>
    <x v="0"/>
    <m/>
    <n v="13400"/>
    <m/>
    <n v="11961"/>
    <x v="4"/>
    <s v="Фаворит"/>
    <x v="34"/>
    <s v="Емец Р.А."/>
    <m/>
    <m/>
    <m/>
    <m/>
    <s v="У315НХ 123"/>
    <m/>
    <x v="25"/>
    <x v="3"/>
    <n v="3.4"/>
    <x v="3"/>
    <s v="полив"/>
    <n v="22"/>
    <x v="21"/>
    <x v="77"/>
    <s v="ГРАНД-СТАР ООО"/>
    <s v="40-52"/>
    <x v="0"/>
    <x v="704"/>
    <d v="2026-06-25T00:00:00"/>
    <s v="Продажа Гранд Стар отвес №304"/>
    <n v="50"/>
  </r>
  <r>
    <m/>
    <m/>
    <n v="47"/>
    <x v="676"/>
    <x v="0"/>
    <m/>
    <n v="14880"/>
    <m/>
    <n v="13200"/>
    <x v="4"/>
    <s v="Фаворит"/>
    <x v="34"/>
    <s v="Ревенко А.В."/>
    <m/>
    <m/>
    <m/>
    <m/>
    <s v="А781РР 123"/>
    <m/>
    <x v="25"/>
    <x v="3"/>
    <n v="3.8"/>
    <x v="3"/>
    <s v="полив"/>
    <n v="22"/>
    <x v="21"/>
    <x v="78"/>
    <s v="ГРАНД-СТАР ООО"/>
    <s v="40-52"/>
    <x v="0"/>
    <x v="705"/>
    <d v="2026-06-25T00:00:00"/>
    <s v="Продажа Гранд Стар отвес №308"/>
    <n v="47"/>
  </r>
  <r>
    <m/>
    <m/>
    <n v="46"/>
    <x v="676"/>
    <x v="0"/>
    <m/>
    <n v="11360"/>
    <m/>
    <n v="9467"/>
    <x v="4"/>
    <s v="Фаворит"/>
    <x v="34"/>
    <s v="Звада Евгений Евгеньевич"/>
    <m/>
    <m/>
    <m/>
    <m/>
    <s v="А688АМ 123"/>
    <m/>
    <x v="25"/>
    <x v="3"/>
    <n v="2.8"/>
    <x v="3"/>
    <s v="полив"/>
    <n v="22"/>
    <x v="21"/>
    <x v="79"/>
    <s v="ГРАНД-СТАР ООО"/>
    <s v="40-52"/>
    <x v="0"/>
    <x v="706"/>
    <d v="2026-06-25T00:00:00"/>
    <s v="Продажа Гранд Стар отвес №309"/>
    <n v="46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x v="0"/>
    <n v="11"/>
    <n v="1.5"/>
    <n v="0"/>
  </r>
  <r>
    <x v="0"/>
    <x v="0"/>
    <x v="1"/>
    <n v="11"/>
    <n v="8"/>
    <n v="11"/>
  </r>
  <r>
    <x v="0"/>
    <x v="0"/>
    <x v="2"/>
    <n v="11"/>
    <n v="1.5"/>
    <n v="0"/>
  </r>
  <r>
    <x v="0"/>
    <x v="1"/>
    <x v="3"/>
    <n v="56"/>
    <n v="54.5"/>
    <n v="54.499999999999993"/>
  </r>
  <r>
    <x v="0"/>
    <x v="1"/>
    <x v="0"/>
    <n v="56"/>
    <n v="1.5"/>
    <n v="1.5"/>
  </r>
  <r>
    <x v="0"/>
    <x v="2"/>
    <x v="3"/>
    <n v="14"/>
    <n v="14"/>
    <n v="2"/>
  </r>
  <r>
    <x v="0"/>
    <x v="3"/>
    <x v="3"/>
    <n v="40"/>
    <n v="10"/>
    <n v="1"/>
  </r>
  <r>
    <x v="0"/>
    <x v="3"/>
    <x v="2"/>
    <n v="40"/>
    <n v="30"/>
    <n v="39"/>
  </r>
  <r>
    <x v="0"/>
    <x v="4"/>
    <x v="0"/>
    <n v="4"/>
    <n v="4"/>
    <n v="4"/>
  </r>
  <r>
    <x v="0"/>
    <x v="5"/>
    <x v="2"/>
    <n v="63"/>
    <n v="63"/>
    <n v="63.000000000000014"/>
  </r>
  <r>
    <x v="0"/>
    <x v="6"/>
    <x v="4"/>
    <n v="47"/>
    <n v="47"/>
    <n v="32"/>
  </r>
  <r>
    <x v="0"/>
    <x v="7"/>
    <x v="5"/>
    <n v="36"/>
    <n v="5"/>
    <n v="5"/>
  </r>
  <r>
    <x v="0"/>
    <x v="7"/>
    <x v="6"/>
    <n v="36"/>
    <n v="31"/>
    <n v="30.999999999999996"/>
  </r>
  <r>
    <x v="0"/>
    <x v="8"/>
    <x v="6"/>
    <n v="41"/>
    <n v="20"/>
    <n v="20.000000000000004"/>
  </r>
  <r>
    <x v="0"/>
    <x v="8"/>
    <x v="4"/>
    <n v="41"/>
    <n v="21"/>
    <n v="0"/>
  </r>
  <r>
    <x v="0"/>
    <x v="9"/>
    <x v="4"/>
    <n v="39"/>
    <n v="39"/>
    <n v="39.000000000000007"/>
  </r>
  <r>
    <x v="0"/>
    <x v="10"/>
    <x v="3"/>
    <n v="79"/>
    <n v="79"/>
    <n v="79.000000000000028"/>
  </r>
  <r>
    <x v="0"/>
    <x v="11"/>
    <x v="3"/>
    <n v="38"/>
    <n v="38"/>
    <n v="38.000000000000007"/>
  </r>
  <r>
    <x v="0"/>
    <x v="12"/>
    <x v="5"/>
    <n v="111"/>
    <n v="111"/>
    <n v="111.00000000000001"/>
  </r>
  <r>
    <x v="0"/>
    <x v="13"/>
    <x v="3"/>
    <n v="63"/>
    <n v="63"/>
    <n v="26"/>
  </r>
  <r>
    <x v="0"/>
    <x v="14"/>
    <x v="3"/>
    <n v="41"/>
    <n v="41"/>
    <n v="41.000000000000014"/>
  </r>
  <r>
    <x v="0"/>
    <x v="15"/>
    <x v="3"/>
    <n v="14"/>
    <n v="14"/>
    <n v="14"/>
  </r>
  <r>
    <x v="0"/>
    <x v="16"/>
    <x v="4"/>
    <n v="24"/>
    <n v="24"/>
    <n v="3"/>
  </r>
  <r>
    <x v="0"/>
    <x v="17"/>
    <x v="3"/>
    <n v="57"/>
    <n v="52"/>
    <n v="52.000000000000021"/>
  </r>
  <r>
    <x v="0"/>
    <x v="17"/>
    <x v="4"/>
    <n v="57"/>
    <n v="5"/>
    <n v="5"/>
  </r>
  <r>
    <x v="1"/>
    <x v="0"/>
    <x v="1"/>
    <n v="49"/>
    <n v="33"/>
    <n v="0"/>
  </r>
  <r>
    <x v="1"/>
    <x v="0"/>
    <x v="4"/>
    <n v="49"/>
    <n v="16"/>
    <n v="48.999999999999993"/>
  </r>
  <r>
    <x v="1"/>
    <x v="18"/>
    <x v="1"/>
    <n v="102"/>
    <n v="102"/>
    <n v="76.999999999999986"/>
  </r>
  <r>
    <x v="1"/>
    <x v="19"/>
    <x v="2"/>
    <n v="20"/>
    <n v="20"/>
    <n v="19.999999999999996"/>
  </r>
  <r>
    <x v="1"/>
    <x v="20"/>
    <x v="4"/>
    <n v="62"/>
    <n v="62"/>
    <n v="62"/>
  </r>
  <r>
    <x v="1"/>
    <x v="21"/>
    <x v="0"/>
    <n v="55"/>
    <n v="54"/>
    <n v="46.199999999999982"/>
  </r>
  <r>
    <x v="1"/>
    <x v="21"/>
    <x v="2"/>
    <n v="55"/>
    <n v="1"/>
    <n v="8.8000000000000007"/>
  </r>
  <r>
    <x v="1"/>
    <x v="22"/>
    <x v="2"/>
    <n v="39"/>
    <n v="39"/>
    <n v="39"/>
  </r>
  <r>
    <x v="1"/>
    <x v="23"/>
    <x v="6"/>
    <n v="54"/>
    <n v="54"/>
    <n v="33"/>
  </r>
  <r>
    <x v="1"/>
    <x v="24"/>
    <x v="2"/>
    <n v="19"/>
    <n v="19"/>
    <n v="19"/>
  </r>
  <r>
    <x v="1"/>
    <x v="25"/>
    <x v="0"/>
    <n v="20"/>
    <n v="8"/>
    <n v="6"/>
  </r>
  <r>
    <x v="1"/>
    <x v="25"/>
    <x v="2"/>
    <n v="20"/>
    <n v="12"/>
    <n v="0"/>
  </r>
  <r>
    <x v="2"/>
    <x v="26"/>
    <x v="0"/>
    <n v="76.64"/>
    <n v="46"/>
    <n v="46.099999999999994"/>
  </r>
  <r>
    <x v="2"/>
    <x v="26"/>
    <x v="2"/>
    <n v="76.64"/>
    <n v="30.64"/>
    <n v="30.599999999999998"/>
  </r>
  <r>
    <x v="2"/>
    <x v="27"/>
    <x v="2"/>
    <n v="63.51"/>
    <n v="63.51"/>
    <n v="63.5"/>
  </r>
  <r>
    <x v="2"/>
    <x v="28"/>
    <x v="2"/>
    <n v="128.85"/>
    <n v="128.85"/>
    <n v="128.90000000000003"/>
  </r>
  <r>
    <x v="3"/>
    <x v="29"/>
    <x v="4"/>
    <n v="38.6"/>
    <n v="38.6"/>
    <n v="38.599999999999994"/>
  </r>
  <r>
    <x v="3"/>
    <x v="30"/>
    <x v="4"/>
    <n v="55"/>
    <n v="55"/>
    <n v="55.000000000000007"/>
  </r>
  <r>
    <x v="3"/>
    <x v="31"/>
    <x v="2"/>
    <n v="94.1"/>
    <n v="81.7"/>
    <n v="0"/>
  </r>
  <r>
    <x v="3"/>
    <x v="31"/>
    <x v="4"/>
    <n v="94.1"/>
    <n v="12.4"/>
    <n v="79.099999999999994"/>
  </r>
  <r>
    <x v="3"/>
    <x v="32"/>
    <x v="7"/>
    <n v="93.9"/>
    <n v="46.6"/>
    <n v="14.899999999999997"/>
  </r>
  <r>
    <x v="3"/>
    <x v="32"/>
    <x v="2"/>
    <n v="93.9"/>
    <n v="3.3"/>
    <n v="0"/>
  </r>
  <r>
    <x v="3"/>
    <x v="32"/>
    <x v="4"/>
    <n v="93.9"/>
    <n v="44"/>
    <n v="27.1"/>
  </r>
  <r>
    <x v="3"/>
    <x v="33"/>
    <x v="7"/>
    <n v="102.44"/>
    <n v="70.400000000000006"/>
    <n v="67.400000000000006"/>
  </r>
  <r>
    <x v="3"/>
    <x v="33"/>
    <x v="4"/>
    <n v="102.44"/>
    <n v="32.04"/>
    <n v="34.999999999999993"/>
  </r>
  <r>
    <x v="3"/>
    <x v="34"/>
    <x v="4"/>
    <n v="56.12"/>
    <n v="56.12"/>
    <n v="56.09999999999999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s v="Преладо"/>
    <n v="48"/>
    <n v="48"/>
    <n v="0"/>
    <n v="1"/>
    <n v="3.6"/>
    <n v="2.4102083333333333"/>
    <n v="172.8"/>
    <n v="115.69"/>
    <n v="0.6695023148148147"/>
  </r>
  <r>
    <x v="0"/>
    <x v="0"/>
    <x v="0"/>
    <s v="Увертюра"/>
    <n v="5"/>
    <n v="5"/>
    <n v="0"/>
    <n v="1"/>
    <n v="3.6"/>
    <n v="1.0640000000000001"/>
    <n v="18"/>
    <n v="5.32"/>
    <n v="0.29555555555555557"/>
  </r>
  <r>
    <x v="0"/>
    <x v="0"/>
    <x v="1"/>
    <s v="Изюминка"/>
    <n v="4"/>
    <n v="4"/>
    <n v="0"/>
    <n v="1"/>
    <n v="3.8"/>
    <n v="1.3049999999999999"/>
    <n v="15.2"/>
    <n v="5.22"/>
    <n v="0.34342105263157896"/>
  </r>
  <r>
    <x v="0"/>
    <x v="0"/>
    <x v="1"/>
    <s v="Преладо"/>
    <n v="112"/>
    <n v="112"/>
    <n v="0"/>
    <n v="1"/>
    <n v="3"/>
    <n v="2.0101785714285714"/>
    <n v="336"/>
    <n v="225.14"/>
    <n v="0.67005952380952372"/>
  </r>
  <r>
    <x v="0"/>
    <x v="0"/>
    <x v="1"/>
    <s v="Увертюра"/>
    <n v="85"/>
    <n v="85"/>
    <n v="0"/>
    <n v="1"/>
    <n v="3.6"/>
    <n v="2.3927058823529412"/>
    <n v="306"/>
    <n v="203.38000000000002"/>
    <n v="0.6646405228758171"/>
  </r>
  <r>
    <x v="0"/>
    <x v="0"/>
    <x v="2"/>
    <s v="Асана"/>
    <n v="7"/>
    <n v="7"/>
    <n v="0"/>
    <n v="1"/>
    <n v="3.8"/>
    <n v="0.72285714285714275"/>
    <n v="26.599999999999998"/>
    <n v="5.0599999999999996"/>
    <n v="0.19022556390977444"/>
  </r>
  <r>
    <x v="0"/>
    <x v="0"/>
    <x v="2"/>
    <s v="Преладо"/>
    <n v="66"/>
    <n v="66"/>
    <n v="0"/>
    <n v="1"/>
    <n v="3"/>
    <n v="1.3886363636363634"/>
    <n v="198"/>
    <n v="91.649999999999991"/>
    <n v="0.46287878787878783"/>
  </r>
  <r>
    <x v="0"/>
    <x v="0"/>
    <x v="3"/>
    <s v="Беркут"/>
    <n v="4"/>
    <n v="4"/>
    <n v="0"/>
    <n v="1"/>
    <n v="4"/>
    <n v="2.2574999999999998"/>
    <n v="16"/>
    <n v="9.0299999999999994"/>
    <n v="0.56437499999999996"/>
  </r>
  <r>
    <x v="0"/>
    <x v="0"/>
    <x v="3"/>
    <s v="Женева"/>
    <n v="20"/>
    <n v="20"/>
    <n v="0"/>
    <n v="1"/>
    <n v="4"/>
    <n v="3.6265000000000001"/>
    <n v="80"/>
    <n v="72.53"/>
    <n v="0.90662500000000001"/>
  </r>
  <r>
    <x v="0"/>
    <x v="0"/>
    <x v="3"/>
    <s v="Маяк"/>
    <n v="4"/>
    <n v="4"/>
    <n v="0"/>
    <n v="1"/>
    <n v="4"/>
    <n v="2.9275000000000002"/>
    <n v="16"/>
    <n v="11.71"/>
    <n v="0.73187500000000005"/>
  </r>
  <r>
    <x v="0"/>
    <x v="0"/>
    <x v="3"/>
    <s v="Увертюра"/>
    <n v="80"/>
    <n v="80"/>
    <n v="0"/>
    <n v="1"/>
    <n v="3.6"/>
    <n v="3.2246249999999996"/>
    <n v="288"/>
    <n v="257.96999999999997"/>
    <n v="0.89572916666666658"/>
  </r>
  <r>
    <x v="0"/>
    <x v="0"/>
    <x v="4"/>
    <s v="Женева"/>
    <n v="86"/>
    <n v="86"/>
    <n v="0"/>
    <n v="1"/>
    <n v="4"/>
    <n v="3.9625581395348832"/>
    <n v="344"/>
    <n v="340.78"/>
    <n v="0.99063953488372081"/>
  </r>
  <r>
    <x v="0"/>
    <x v="0"/>
    <x v="5"/>
    <s v="Амалфи"/>
    <n v="43"/>
    <n v="43"/>
    <n v="0"/>
    <n v="1"/>
    <n v="4"/>
    <n v="3.976511627906977"/>
    <n v="172"/>
    <n v="170.99"/>
    <n v="0.99412790697674425"/>
  </r>
  <r>
    <x v="0"/>
    <x v="0"/>
    <x v="5"/>
    <s v="Женева"/>
    <n v="41"/>
    <n v="41"/>
    <n v="0"/>
    <n v="1"/>
    <n v="4"/>
    <n v="2.6343902439024394"/>
    <n v="164"/>
    <n v="108.01"/>
    <n v="0.65859756097560984"/>
  </r>
  <r>
    <x v="0"/>
    <x v="0"/>
    <x v="5"/>
    <s v="Исток"/>
    <n v="4"/>
    <n v="4"/>
    <n v="0"/>
    <n v="1"/>
    <n v="4"/>
    <n v="2.27"/>
    <n v="16"/>
    <n v="9.08"/>
    <n v="0.5675"/>
  </r>
  <r>
    <x v="0"/>
    <x v="0"/>
    <x v="5"/>
    <s v="Патриот"/>
    <n v="4"/>
    <n v="4"/>
    <n v="0"/>
    <n v="1"/>
    <n v="4"/>
    <n v="2.3025000000000002"/>
    <n v="16"/>
    <n v="9.2100000000000009"/>
    <n v="0.57562500000000005"/>
  </r>
  <r>
    <x v="1"/>
    <x v="0"/>
    <x v="6"/>
    <s v="Женева"/>
    <n v="32"/>
    <n v="32"/>
    <n v="0"/>
    <n v="1"/>
    <n v="5"/>
    <n v="3.7771875000000001"/>
    <n v="160"/>
    <n v="120.87"/>
    <n v="0.75543749999999998"/>
  </r>
  <r>
    <x v="1"/>
    <x v="0"/>
    <x v="6"/>
    <s v="Сомервуд"/>
    <n v="55.9"/>
    <n v="55.9"/>
    <n v="0"/>
    <n v="1"/>
    <n v="5"/>
    <n v="3.7227191413237923"/>
    <n v="279.5"/>
    <n v="208.1"/>
    <n v="0.74454382826475851"/>
  </r>
  <r>
    <x v="1"/>
    <x v="0"/>
    <x v="7"/>
    <s v="Бинго"/>
    <n v="29"/>
    <n v="29"/>
    <n v="0"/>
    <n v="1"/>
    <n v="5"/>
    <n v="4.2451724137931031"/>
    <n v="145"/>
    <n v="123.10999999999999"/>
    <n v="0.84903448275862059"/>
  </r>
  <r>
    <x v="1"/>
    <x v="0"/>
    <x v="7"/>
    <s v="Грюнди"/>
    <n v="45"/>
    <n v="45"/>
    <n v="0"/>
    <n v="1"/>
    <n v="5"/>
    <n v="2.2713333333333332"/>
    <n v="225"/>
    <n v="102.21"/>
    <n v="0.45426666666666665"/>
  </r>
  <r>
    <x v="1"/>
    <x v="0"/>
    <x v="7"/>
    <s v="Донана"/>
    <n v="18"/>
    <n v="18"/>
    <n v="0"/>
    <n v="1"/>
    <n v="5"/>
    <n v="2.0072222222222225"/>
    <n v="90"/>
    <n v="36.130000000000003"/>
    <n v="0.40144444444444449"/>
  </r>
  <r>
    <x v="1"/>
    <x v="0"/>
    <x v="7"/>
    <s v="Сомервуд"/>
    <n v="21.6"/>
    <n v="21.6"/>
    <n v="0"/>
    <n v="1"/>
    <n v="5"/>
    <n v="3.2180555555555554"/>
    <n v="108"/>
    <n v="69.510000000000005"/>
    <n v="0.64361111111111113"/>
  </r>
  <r>
    <x v="1"/>
    <x v="1"/>
    <x v="8"/>
    <s v="Стандана"/>
    <n v="32.9"/>
    <n v="32.9"/>
    <n v="0"/>
    <n v="1"/>
    <n v="5.5"/>
    <n v="1.3872340425531915"/>
    <n v="180.95"/>
    <n v="45.64"/>
    <n v="0.25222437137330755"/>
  </r>
  <r>
    <x v="1"/>
    <x v="1"/>
    <x v="9"/>
    <s v="Стандана"/>
    <n v="70.599999999999994"/>
    <n v="60"/>
    <n v="10.599999999999994"/>
    <n v="0.84985835694050993"/>
    <n v="5.5"/>
    <n v="1.921"/>
    <n v="388.29999999999995"/>
    <n v="115.26"/>
    <n v="0.2968323461241309"/>
  </r>
  <r>
    <x v="1"/>
    <x v="1"/>
    <x v="10"/>
    <s v="Бутана"/>
    <n v="97.4"/>
    <n v="97.4"/>
    <n v="0"/>
    <n v="1"/>
    <n v="5.5"/>
    <n v="1.8309034907597532"/>
    <n v="535.70000000000005"/>
    <n v="178.32999999999998"/>
    <n v="0.33289154377450059"/>
  </r>
  <r>
    <x v="1"/>
    <x v="1"/>
    <x v="11"/>
    <s v="Бутана"/>
    <n v="39.6"/>
    <n v="39.6"/>
    <n v="0"/>
    <n v="1"/>
    <n v="5.5"/>
    <n v="3.0151515151515147"/>
    <n v="217.8"/>
    <n v="119.39999999999999"/>
    <n v="0.54820936639118456"/>
  </r>
  <r>
    <x v="1"/>
    <x v="1"/>
    <x v="11"/>
    <s v="Стандана"/>
    <n v="48.3"/>
    <n v="48.3"/>
    <n v="0"/>
    <n v="1"/>
    <n v="5.5"/>
    <n v="4.8710144927536234"/>
    <n v="265.64999999999998"/>
    <n v="235.26999999999998"/>
    <n v="0.88563899868247697"/>
  </r>
  <r>
    <x v="1"/>
    <x v="1"/>
    <x v="12"/>
    <s v="Джоф"/>
    <n v="93"/>
    <n v="93"/>
    <n v="0"/>
    <n v="1"/>
    <n v="5.5"/>
    <n v="3.3659139784946235"/>
    <n v="511.5"/>
    <n v="313.02999999999997"/>
    <n v="0.61198435972629517"/>
  </r>
  <r>
    <x v="1"/>
    <x v="1"/>
    <x v="12"/>
    <s v="Фалькон"/>
    <n v="3.5"/>
    <n v="3.5"/>
    <n v="0"/>
    <n v="1"/>
    <n v="5.5"/>
    <n v="3.891428571428571"/>
    <n v="19.25"/>
    <n v="13.62"/>
    <n v="0.70753246753246746"/>
  </r>
  <r>
    <x v="1"/>
    <x v="1"/>
    <x v="13"/>
    <s v="Джоф"/>
    <n v="35"/>
    <n v="0"/>
    <n v="35"/>
    <n v="0"/>
    <n v="5.5"/>
    <s v="-"/>
    <n v="192.5"/>
    <n v="0"/>
    <n v="0"/>
  </r>
  <r>
    <x v="1"/>
    <x v="1"/>
    <x v="13"/>
    <s v="Донана"/>
    <n v="8.5"/>
    <n v="8.5"/>
    <n v="0"/>
    <n v="1"/>
    <n v="5.5"/>
    <n v="0.76235294117647068"/>
    <n v="46.75"/>
    <n v="6.48"/>
    <n v="0.1386096256684492"/>
  </r>
  <r>
    <x v="1"/>
    <x v="1"/>
    <x v="13"/>
    <s v="Стандана"/>
    <n v="8"/>
    <n v="0"/>
    <n v="8"/>
    <n v="0"/>
    <n v="5.5"/>
    <s v="-"/>
    <n v="44"/>
    <n v="0"/>
    <n v="0"/>
  </r>
  <r>
    <x v="1"/>
    <x v="1"/>
    <x v="13"/>
    <s v="Фалькон"/>
    <n v="10.5"/>
    <n v="10.5"/>
    <n v="0"/>
    <n v="1"/>
    <n v="5.5"/>
    <n v="4.8114285714285714"/>
    <n v="57.75"/>
    <n v="50.519999999999996"/>
    <n v="0.8748051948051947"/>
  </r>
  <r>
    <x v="2"/>
    <x v="1"/>
    <x v="14"/>
    <s v="Женева"/>
    <n v="72"/>
    <n v="0"/>
    <n v="72"/>
    <n v="0"/>
    <n v="5.5"/>
    <s v="-"/>
    <n v="396"/>
    <n v="0"/>
    <n v="0"/>
  </r>
  <r>
    <x v="2"/>
    <x v="1"/>
    <x v="15"/>
    <s v="Женева"/>
    <n v="52"/>
    <n v="45"/>
    <n v="7"/>
    <n v="0.86538461538461542"/>
    <n v="5.5"/>
    <n v="5.7866666666666653"/>
    <n v="286"/>
    <n v="260.39999999999992"/>
    <n v="0.91048951048951021"/>
  </r>
  <r>
    <x v="2"/>
    <x v="1"/>
    <x v="16"/>
    <s v="Женева"/>
    <n v="45"/>
    <n v="45"/>
    <n v="0"/>
    <n v="1"/>
    <n v="5.5"/>
    <n v="5.2142222222222223"/>
    <n v="247.5"/>
    <n v="234.64"/>
    <n v="0.94804040404040402"/>
  </r>
  <r>
    <x v="3"/>
    <x v="0"/>
    <x v="17"/>
    <s v="Асана"/>
    <n v="81.900000000000006"/>
    <n v="81.900000000000006"/>
    <n v="0"/>
    <n v="1"/>
    <n v="4.5"/>
    <n v="0.93516483516483517"/>
    <n v="368.55"/>
    <n v="76.59"/>
    <n v="0.20781440781440783"/>
  </r>
  <r>
    <x v="3"/>
    <x v="0"/>
    <x v="17"/>
    <s v="Увертюра"/>
    <n v="50.7"/>
    <n v="50.7"/>
    <n v="0"/>
    <n v="1"/>
    <n v="4.5"/>
    <n v="2.5386587771203155"/>
    <n v="228.15"/>
    <n v="128.71"/>
    <n v="0.56414639491562568"/>
  </r>
  <r>
    <x v="3"/>
    <x v="0"/>
    <x v="18"/>
    <s v="Асана"/>
    <n v="73.400000000000006"/>
    <n v="73.400000000000006"/>
    <n v="0"/>
    <n v="1"/>
    <n v="4.5"/>
    <n v="1.5919346049046321"/>
    <n v="330.3"/>
    <n v="116.84800000000001"/>
    <n v="0.35376324553436272"/>
  </r>
  <r>
    <x v="3"/>
    <x v="0"/>
    <x v="18"/>
    <s v="Преладо"/>
    <n v="61"/>
    <n v="61"/>
    <n v="0"/>
    <n v="1"/>
    <n v="4.5"/>
    <n v="1.5279016393442626"/>
    <n v="274.5"/>
    <n v="93.202000000000012"/>
    <n v="0.33953369763205832"/>
  </r>
  <r>
    <x v="3"/>
    <x v="0"/>
    <x v="19"/>
    <s v="Увертюра"/>
    <n v="28.3"/>
    <n v="28.3"/>
    <n v="0"/>
    <n v="1"/>
    <n v="4.5"/>
    <n v="2.9427561837455829"/>
    <n v="127.35000000000001"/>
    <n v="83.28"/>
    <n v="0.65394581861012957"/>
  </r>
  <r>
    <x v="4"/>
    <x v="2"/>
    <x v="20"/>
    <m/>
    <m/>
    <m/>
    <m/>
    <m/>
    <m/>
    <m/>
    <m/>
    <m/>
    <m/>
  </r>
  <r>
    <x v="4"/>
    <x v="2"/>
    <x v="20"/>
    <m/>
    <m/>
    <m/>
    <m/>
    <m/>
    <m/>
    <m/>
    <m/>
    <m/>
    <m/>
  </r>
  <r>
    <x v="4"/>
    <x v="2"/>
    <x v="20"/>
    <m/>
    <m/>
    <m/>
    <m/>
    <m/>
    <m/>
    <m/>
    <m/>
    <m/>
    <m/>
  </r>
  <r>
    <x v="4"/>
    <x v="2"/>
    <x v="2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EE342-F8B0-4620-840F-2AFF83216CBB}" name="Сводная таблица2" cacheId="5" applyNumberFormats="0" applyBorderFormats="0" applyFontFormats="0" applyPatternFormats="0" applyAlignmentFormats="0" applyWidthHeightFormats="1" dataCaption="Значения" updatedVersion="8" minRefreshableVersion="3" itemPrintTitles="1" createdVersion="8" indent="0" compact="0" compactData="0" gridDropZones="1" multipleFieldFilters="0" rowHeaderCaption="Культура">
  <location ref="A3:J9" firstHeaderRow="1" firstDataRow="2" firstDataCol="3"/>
  <pivotFields count="40">
    <pivotField compact="0" outline="0" showAll="0"/>
    <pivotField compact="0" numFmtId="167" outline="0" showAll="0"/>
    <pivotField dataField="1" compact="0" outline="0" showAll="0"/>
    <pivotField compact="0" numFmtId="168" outline="0" showAll="0"/>
    <pivotField compact="0" numFmtId="171" outline="0" showAll="0" defaultSubtotal="0"/>
    <pivotField compact="0" numFmtId="167" outline="0" showAll="0"/>
    <pivotField dataField="1" compact="0" numFmtId="167" outline="0" showAll="0"/>
    <pivotField compact="0" numFmtId="169" outline="0" showAll="0"/>
    <pivotField dataField="1"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3">
        <item sd="0" m="1" x="37"/>
        <item sd="0" m="1" x="39"/>
        <item sd="0" m="1" x="41"/>
        <item sd="0" m="1" x="38"/>
        <item sd="0" m="1" x="40"/>
        <item sd="0" m="1" x="42"/>
        <item sd="0" x="0"/>
        <item sd="0" x="1"/>
        <item sd="0" x="2"/>
        <item sd="0" x="3"/>
        <item sd="0" x="5"/>
        <item sd="0" x="4"/>
        <item sd="0" x="6"/>
        <item sd="0" x="8"/>
        <item sd="0" x="7"/>
        <item sd="0" x="9"/>
        <item sd="0" x="11"/>
        <item sd="0" x="12"/>
        <item sd="0" x="10"/>
        <item x="20"/>
        <item sd="0" x="16"/>
        <item sd="0" x="17"/>
        <item sd="0" x="13"/>
        <item sd="0" x="18"/>
        <item sd="0" x="19"/>
        <item sd="0" x="21"/>
        <item sd="0" x="22"/>
        <item sd="0" x="14"/>
        <item sd="0" x="15"/>
        <item x="23"/>
        <item sd="0" x="24"/>
        <item x="25"/>
        <item x="26"/>
        <item x="27"/>
        <item x="28"/>
        <item x="29"/>
        <item x="31"/>
        <item x="34"/>
        <item x="30"/>
        <item x="32"/>
        <item x="33"/>
        <item m="1" x="35"/>
        <item m="1" x="36"/>
      </items>
    </pivotField>
    <pivotField compact="0" outline="0" showAll="0"/>
    <pivotField dataField="1" compact="0" outline="0" showAll="0"/>
    <pivotField axis="axisRow" compact="0" outline="0" multipleItemSelectionAllowed="1" showAll="0">
      <items count="14">
        <item sd="0" m="1" x="8"/>
        <item sd="0" m="1" x="9"/>
        <item sd="0" x="0"/>
        <item sd="0" m="1" x="7"/>
        <item sd="0" m="1" x="10"/>
        <item sd="0" m="1" x="11"/>
        <item sd="0" m="1" x="12"/>
        <item sd="0" x="1"/>
        <item sd="0" x="2"/>
        <item sd="0" x="3"/>
        <item sd="0" m="1" x="6"/>
        <item sd="0" m="1" x="5"/>
        <item sd="0" m="1" x="4"/>
        <item t="default" sd="0"/>
      </items>
    </pivotField>
    <pivotField compact="0" outline="0" showAll="0"/>
    <pivotField compact="0" outline="0" showAll="0"/>
    <pivotField axis="axisRow" compact="0" numFmtId="14" outline="0" multipleItemSelectionAllowed="1" showAll="0" defaultSubtotal="0">
      <items count="79">
        <item m="1" x="75"/>
        <item m="1" x="76"/>
        <item m="1" x="78"/>
        <item m="1" x="77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3">
    <field x="22"/>
    <field x="25"/>
    <field x="19"/>
  </rowFields>
  <rowItems count="5">
    <i>
      <x v="2"/>
    </i>
    <i>
      <x v="7"/>
    </i>
    <i>
      <x v="8"/>
    </i>
    <i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 Площадь уборки, га" fld="21" baseField="22" baseItem="0" numFmtId="165"/>
    <dataField name="Физический вес, кг" fld="6" baseField="21" baseItem="0" numFmtId="3"/>
    <dataField name="в т.ч. Продажа, кг" fld="26" baseField="21" baseItem="0" numFmtId="3"/>
    <dataField name="Зачетный вес, кг" fld="8" baseField="21" baseItem="0" numFmtId="3"/>
    <dataField name=" Урожайность физ.вес, т/га" fld="34" baseField="21" baseItem="0" numFmtId="165"/>
    <dataField name=" Урожайность зач. вес, т/га" fld="36" baseField="21" baseItem="0" numFmtId="165"/>
    <dataField name="Степень зрелости, %" fld="2" subtotal="average" baseField="10" baseItem="14" numFmtId="3"/>
  </dataFields>
  <formats count="50">
    <format dxfId="1188">
      <pivotArea dataOnly="0" labelOnly="1" outline="0" fieldPosition="0">
        <references count="1">
          <reference field="22" count="1">
            <x v="1"/>
          </reference>
        </references>
      </pivotArea>
    </format>
    <format dxfId="1187">
      <pivotArea outline="0" fieldPosition="0">
        <references count="1">
          <reference field="4294967294" count="1">
            <x v="1"/>
          </reference>
        </references>
      </pivotArea>
    </format>
    <format dxfId="1186">
      <pivotArea outline="0" fieldPosition="0">
        <references count="1">
          <reference field="4294967294" count="1">
            <x v="3"/>
          </reference>
        </references>
      </pivotArea>
    </format>
    <format dxfId="1185">
      <pivotArea field="22" type="button" dataOnly="0" labelOnly="1" outline="0" axis="axisRow" fieldPosition="0"/>
    </format>
    <format dxfId="1184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183">
      <pivotArea field="22" type="button" dataOnly="0" labelOnly="1" outline="0" axis="axisRow" fieldPosition="0"/>
    </format>
    <format dxfId="118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181">
      <pivotArea field="22" type="button" dataOnly="0" labelOnly="1" outline="0" axis="axisRow" fieldPosition="0"/>
    </format>
    <format dxfId="1180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179">
      <pivotArea outline="0" fieldPosition="0">
        <references count="1">
          <reference field="4294967294" count="1">
            <x v="2"/>
          </reference>
        </references>
      </pivotArea>
    </format>
    <format dxfId="117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7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76">
      <pivotArea type="all" dataOnly="0" outline="0" fieldPosition="0"/>
    </format>
    <format dxfId="1175">
      <pivotArea outline="0" collapsedLevelsAreSubtotals="1" fieldPosition="0"/>
    </format>
    <format dxfId="1174">
      <pivotArea type="origin" dataOnly="0" labelOnly="1" outline="0" fieldPosition="0"/>
    </format>
    <format dxfId="1173">
      <pivotArea field="-2" type="button" dataOnly="0" labelOnly="1" outline="0" axis="axisCol" fieldPosition="0"/>
    </format>
    <format dxfId="1172">
      <pivotArea type="topRight" dataOnly="0" labelOnly="1" outline="0" fieldPosition="0"/>
    </format>
    <format dxfId="1171">
      <pivotArea field="25" type="button" dataOnly="0" labelOnly="1" outline="0" axis="axisRow" fieldPosition="1"/>
    </format>
    <format dxfId="1170">
      <pivotArea field="22" type="button" dataOnly="0" labelOnly="1" outline="0" axis="axisRow" fieldPosition="0"/>
    </format>
    <format dxfId="1169">
      <pivotArea dataOnly="0" labelOnly="1" grandRow="1" outline="0" fieldPosition="0"/>
    </format>
    <format dxfId="116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67">
      <pivotArea outline="0" fieldPosition="0">
        <references count="1">
          <reference field="4294967294" count="1">
            <x v="4"/>
          </reference>
        </references>
      </pivotArea>
    </format>
    <format dxfId="1166">
      <pivotArea field="25" type="button" dataOnly="0" labelOnly="1" outline="0" axis="axisRow" fieldPosition="1"/>
    </format>
    <format dxfId="1165">
      <pivotArea field="25" type="button" dataOnly="0" labelOnly="1" outline="0" axis="axisRow" fieldPosition="1"/>
    </format>
    <format dxfId="1164">
      <pivotArea field="25" type="button" dataOnly="0" labelOnly="1" outline="0" axis="axisRow" fieldPosition="1"/>
    </format>
    <format dxfId="1163">
      <pivotArea outline="0" fieldPosition="0">
        <references count="1">
          <reference field="4294967294" count="1">
            <x v="5"/>
          </reference>
        </references>
      </pivotArea>
    </format>
    <format dxfId="1162">
      <pivotArea field="22" type="button" dataOnly="0" labelOnly="1" outline="0" axis="axisRow" fieldPosition="0"/>
    </format>
    <format dxfId="1161">
      <pivotArea field="19" type="button" dataOnly="0" labelOnly="1" outline="0" axis="axisRow" fieldPosition="2"/>
    </format>
    <format dxfId="11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59">
      <pivotArea field="22" type="button" dataOnly="0" labelOnly="1" outline="0" axis="axisRow" fieldPosition="0"/>
    </format>
    <format dxfId="1158">
      <pivotArea field="19" type="button" dataOnly="0" labelOnly="1" outline="0" axis="axisRow" fieldPosition="2"/>
    </format>
    <format dxfId="115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56">
      <pivotArea field="22" type="button" dataOnly="0" labelOnly="1" outline="0" axis="axisRow" fieldPosition="0"/>
    </format>
    <format dxfId="1155">
      <pivotArea field="19" type="button" dataOnly="0" labelOnly="1" outline="0" axis="axisRow" fieldPosition="2"/>
    </format>
    <format dxfId="115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53">
      <pivotArea type="all" dataOnly="0" outline="0" fieldPosition="0"/>
    </format>
    <format dxfId="1152">
      <pivotArea outline="0" collapsedLevelsAreSubtotals="1" fieldPosition="0"/>
    </format>
    <format dxfId="1151">
      <pivotArea type="origin" dataOnly="0" labelOnly="1" outline="0" fieldPosition="0"/>
    </format>
    <format dxfId="1150">
      <pivotArea field="-2" type="button" dataOnly="0" labelOnly="1" outline="0" axis="axisCol" fieldPosition="0"/>
    </format>
    <format dxfId="1149">
      <pivotArea type="topRight" dataOnly="0" labelOnly="1" outline="0" fieldPosition="0"/>
    </format>
    <format dxfId="1148">
      <pivotArea field="22" type="button" dataOnly="0" labelOnly="1" outline="0" axis="axisRow" fieldPosition="0"/>
    </format>
    <format dxfId="1147">
      <pivotArea field="19" type="button" dataOnly="0" labelOnly="1" outline="0" axis="axisRow" fieldPosition="2"/>
    </format>
    <format dxfId="1146">
      <pivotArea dataOnly="0" labelOnly="1" outline="0" fieldPosition="0">
        <references count="1">
          <reference field="22" count="0"/>
        </references>
      </pivotArea>
    </format>
    <format dxfId="1145">
      <pivotArea dataOnly="0" labelOnly="1" grandRow="1" outline="0" fieldPosition="0"/>
    </format>
    <format dxfId="114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43">
      <pivotArea outline="0" fieldPosition="0">
        <references count="1">
          <reference field="4294967294" count="1">
            <x v="0"/>
          </reference>
        </references>
      </pivotArea>
    </format>
    <format dxfId="1142">
      <pivotArea outline="0" fieldPosition="0">
        <references count="3">
          <reference field="4294967294" count="1" selected="0">
            <x v="0"/>
          </reference>
          <reference field="19" count="13" selected="0"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  <reference field="22" count="1" selected="0">
            <x v="2"/>
          </reference>
        </references>
      </pivotArea>
    </format>
    <format dxfId="1141">
      <pivotArea dataOnly="0" labelOnly="1" outline="0" fieldPosition="0">
        <references count="2">
          <reference field="19" count="13"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  <reference field="22" count="1" selected="0">
            <x v="2"/>
          </reference>
        </references>
      </pivotArea>
    </format>
    <format dxfId="1140">
      <pivotArea outline="0" fieldPosition="0">
        <references count="1">
          <reference field="4294967294" count="1">
            <x v="6"/>
          </reference>
        </references>
      </pivotArea>
    </format>
    <format dxfId="1139">
      <pivotArea dataOnly="0" labelOnly="1" outline="0" fieldPosition="0">
        <references count="1">
          <reference field="4294967294" count="1">
            <x v="6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DA1E2-E049-4D07-B626-7F6C459775BC}" name="Сводная таблица1" cacheId="6" applyNumberFormats="0" applyBorderFormats="0" applyFontFormats="0" applyPatternFormats="0" applyAlignmentFormats="0" applyWidthHeightFormats="1" dataCaption="Площадь, га" updatedVersion="8" minRefreshableVersion="3" itemPrintTitles="1" createdVersion="8" indent="0" compact="0" compactData="0" gridDropZones="1" multipleFieldFilters="0">
  <location ref="I2:M44" firstHeaderRow="1" firstDataRow="2" firstDataCol="3"/>
  <pivotFields count="6">
    <pivotField axis="axisRow" compact="0" outline="0" showAll="0">
      <items count="9">
        <item sd="0" m="1" x="4"/>
        <item sd="0" m="1" x="5"/>
        <item sd="0" m="1" x="6"/>
        <item sd="0" m="1" x="7"/>
        <item x="0"/>
        <item x="1"/>
        <item x="2"/>
        <item x="3"/>
        <item t="default"/>
      </items>
    </pivotField>
    <pivotField axis="axisRow" compact="0" outline="0" showAll="0">
      <items count="36">
        <item sd="0" x="29"/>
        <item sd="0" x="30"/>
        <item sd="0" x="26"/>
        <item sd="0" x="27"/>
        <item sd="0" x="28"/>
        <item sd="0" x="31"/>
        <item sd="0" x="32"/>
        <item sd="0" x="33"/>
        <item sd="0" x="34"/>
        <item sd="0" x="0"/>
        <item sd="0" x="1"/>
        <item sd="0" x="18"/>
        <item sd="0" x="2"/>
        <item sd="0" x="3"/>
        <item sd="0" x="19"/>
        <item sd="0" x="20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21"/>
        <item sd="0" x="22"/>
        <item sd="0" x="14"/>
        <item sd="0" x="15"/>
        <item sd="0" x="23"/>
        <item sd="0" x="24"/>
        <item sd="0" x="25"/>
        <item sd="0" x="16"/>
        <item sd="0" x="17"/>
        <item t="default" sd="0"/>
      </items>
    </pivotField>
    <pivotField axis="axisRow" compact="0" outline="0" showAll="0">
      <items count="10">
        <item x="3"/>
        <item x="7"/>
        <item x="0"/>
        <item x="1"/>
        <item m="1" x="8"/>
        <item x="5"/>
        <item x="2"/>
        <item x="6"/>
        <item x="4"/>
        <item t="default"/>
      </items>
    </pivotField>
    <pivotField compact="0" outline="0" showAll="0"/>
    <pivotField dataField="1" compact="0" outline="0" showAll="0"/>
    <pivotField dataField="1" compact="0" numFmtId="179" outline="0" showAll="0"/>
  </pivotFields>
  <rowFields count="3">
    <field x="0"/>
    <field x="1"/>
    <field x="2"/>
  </rowFields>
  <rowItems count="41">
    <i>
      <x v="4"/>
      <x v="9"/>
    </i>
    <i r="1">
      <x v="10"/>
    </i>
    <i r="1">
      <x v="12"/>
    </i>
    <i r="1">
      <x v="13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8"/>
    </i>
    <i r="1">
      <x v="29"/>
    </i>
    <i r="1">
      <x v="33"/>
    </i>
    <i r="1">
      <x v="34"/>
    </i>
    <i t="default">
      <x v="4"/>
    </i>
    <i>
      <x v="5"/>
      <x v="9"/>
    </i>
    <i r="1">
      <x v="11"/>
    </i>
    <i r="1">
      <x v="14"/>
    </i>
    <i r="1">
      <x v="15"/>
    </i>
    <i r="1">
      <x v="26"/>
    </i>
    <i r="1">
      <x v="27"/>
    </i>
    <i r="1">
      <x v="30"/>
    </i>
    <i r="1">
      <x v="31"/>
    </i>
    <i r="1">
      <x v="32"/>
    </i>
    <i t="default">
      <x v="5"/>
    </i>
    <i>
      <x v="6"/>
      <x v="2"/>
    </i>
    <i r="1">
      <x v="3"/>
    </i>
    <i r="1">
      <x v="4"/>
    </i>
    <i t="default">
      <x v="6"/>
    </i>
    <i>
      <x v="7"/>
      <x/>
    </i>
    <i r="1">
      <x v="1"/>
    </i>
    <i r="1">
      <x v="5"/>
    </i>
    <i r="1">
      <x v="6"/>
    </i>
    <i r="1">
      <x v="7"/>
    </i>
    <i r="1">
      <x v="8"/>
    </i>
    <i t="default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сев" fld="4" baseField="2" baseItem="2" numFmtId="165"/>
    <dataField name="уборка" fld="5" baseField="2" baseItem="0" numFmtId="179"/>
  </dataFields>
  <formats count="9">
    <format dxfId="1138">
      <pivotArea outline="0" fieldPosition="0">
        <references count="1">
          <reference field="4294967294" count="1" selected="0">
            <x v="1"/>
          </reference>
        </references>
      </pivotArea>
    </format>
    <format dxfId="11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35">
      <pivotArea outline="0" fieldPosition="0">
        <references count="1">
          <reference field="4294967294" count="1">
            <x v="0"/>
          </reference>
        </references>
      </pivotArea>
    </format>
    <format dxfId="1134">
      <pivotArea outline="0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 selected="0">
            <x v="2"/>
          </reference>
        </references>
      </pivotArea>
    </format>
    <format dxfId="1133">
      <pivotArea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3" selected="0">
            <x v="2"/>
            <x v="3"/>
            <x v="4"/>
          </reference>
        </references>
      </pivotArea>
    </format>
    <format dxfId="1132">
      <pivotArea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 defaultSubtotal="1">
            <x v="2"/>
          </reference>
        </references>
      </pivotArea>
    </format>
    <format dxfId="1131">
      <pivotArea outline="0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1" selected="0" defaultSubtotal="1">
            <x v="2"/>
          </reference>
        </references>
      </pivotArea>
    </format>
    <format dxfId="1130">
      <pivotArea outline="0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1" count="2" selected="0">
            <x v="3"/>
            <x v="4"/>
          </reference>
        </references>
      </pivotArea>
    </format>
  </formats>
  <pivotTableStyleInfo name="PivotStyleLight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2B7C9-1692-4E62-ABE2-3A1B04A990F2}" name="Сводная таблица1" cacheId="4" applyNumberFormats="0" applyBorderFormats="0" applyFontFormats="0" applyPatternFormats="0" applyAlignmentFormats="0" applyWidthHeightFormats="1" dataCaption="Значения" updatedVersion="8" minRefreshableVersion="3" itemPrintTitles="1" createdVersion="8" indent="0" outline="1" outlineData="1" multipleFieldFilters="0">
  <location ref="A63:F68" firstHeaderRow="0" firstDataRow="1" firstDataCol="1"/>
  <pivotFields count="10">
    <pivotField axis="axisRow" showAll="0">
      <items count="6">
        <item x="2"/>
        <item x="0"/>
        <item x="1"/>
        <item x="3"/>
        <item m="1" x="4"/>
        <item t="default"/>
      </items>
    </pivotField>
    <pivotField showAll="0"/>
    <pivotField dataField="1" showAll="0"/>
    <pivotField dataField="1" showAll="0"/>
    <pivotField numFmtId="166" showAll="0"/>
    <pivotField dataField="1" showAll="0"/>
    <pivotField dataField="1" showAll="0"/>
    <pivotField numFmtId="166" showAll="0"/>
    <pivotField numFmtId="173"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ПЛАН, т" fld="2" baseField="0" baseItem="0" numFmtId="3"/>
    <dataField name=" ФАКТ, т" fld="3" baseField="0" baseItem="0" numFmtId="3"/>
    <dataField name="  Исполнение плана по валу, %" fld="9" baseField="0" baseItem="0" numFmtId="166"/>
    <dataField name=" ПЛАН, га" fld="5" baseField="0" baseItem="1" numFmtId="4"/>
    <dataField name=" ФАКТ, га" fld="6" baseField="0" baseItem="1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A7AE9-6714-4DD6-A105-6EF44B1322EC}" name="Сводная таблица7" cacheId="3" applyNumberFormats="0" applyBorderFormats="0" applyFontFormats="0" applyPatternFormats="0" applyAlignmentFormats="0" applyWidthHeightFormats="1" dataCaption="Значения" updatedVersion="8" minRefreshableVersion="3" itemPrintTitles="1" createdVersion="8" indent="0" outline="1" outlineData="1" multipleFieldFilters="0">
  <location ref="A66:F75" firstHeaderRow="0" firstDataRow="1" firstDataCol="1"/>
  <pivotFields count="10">
    <pivotField axis="axisRow" showAll="0">
      <items count="10">
        <item sd="0" x="6"/>
        <item sd="0" x="4"/>
        <item sd="0" x="5"/>
        <item sd="0" x="3"/>
        <item sd="0" x="2"/>
        <item sd="0" x="1"/>
        <item sd="0" x="7"/>
        <item sd="0" x="0"/>
        <item m="1" x="8"/>
        <item t="default"/>
      </items>
    </pivotField>
    <pivotField axis="axisRow" showAll="0">
      <items count="4">
        <item x="0"/>
        <item x="1"/>
        <item m="1" x="2"/>
        <item t="default"/>
      </items>
    </pivotField>
    <pivotField dataField="1" numFmtId="3" showAll="0"/>
    <pivotField dataField="1" showAll="0"/>
    <pivotField numFmtId="166" showAll="0"/>
    <pivotField dataField="1" showAll="0"/>
    <pivotField dataField="1"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ПЛАН, т" fld="2" baseField="0" baseItem="2" numFmtId="3"/>
    <dataField name=" ФАКТ, т" fld="3" baseField="0" baseItem="5" numFmtId="3"/>
    <dataField name=" Исполнение, %" fld="9" baseField="1" baseItem="0" numFmtId="166"/>
    <dataField name=" ПЛАН, га" fld="5" baseField="0" baseItem="4" numFmtId="165"/>
    <dataField name=" ФАКТ, га" fld="6" baseField="0" baseItem="7" numFmtId="165"/>
  </dataFields>
  <formats count="2">
    <format dxfId="110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10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5A2EE-045A-4631-AB3F-319CB8873E2F}" name="Сводная таблица2" cacheId="5" applyNumberFormats="0" applyBorderFormats="0" applyFontFormats="0" applyPatternFormats="0" applyAlignmentFormats="0" applyWidthHeightFormats="1" dataCaption="Значения" updatedVersion="8" minRefreshableVersion="3" itemPrintTitles="1" createdVersion="8" indent="0" compact="0" compactData="0" gridDropZones="1" multipleFieldFilters="0" chartFormat="7" rowHeaderCaption="Культура">
  <location ref="A3:E17" firstHeaderRow="1" firstDataRow="2" firstDataCol="3" rowPageCount="1" colPageCount="1"/>
  <pivotFields count="40">
    <pivotField compact="0" outline="0" showAll="0"/>
    <pivotField compact="0" numFmtId="167" outline="0" showAll="0"/>
    <pivotField compact="0" outline="0" showAll="0"/>
    <pivotField compact="0" numFmtId="168" outline="0" showAll="0"/>
    <pivotField axis="axisRow" compact="0" numFmtId="171" outline="0" showAll="0" defaultSubtotal="0">
      <items count="67">
        <item sd="0" m="1" x="26"/>
        <item sd="0" m="1" x="27"/>
        <item sd="0" m="1" x="28"/>
        <item sd="0" m="1" x="29"/>
        <item sd="0" m="1" x="30"/>
        <item sd="0" m="1" x="31"/>
        <item sd="0" m="1" x="32"/>
        <item sd="0" m="1" x="33"/>
        <item sd="0" m="1" x="34"/>
        <item sd="0" m="1" x="35"/>
        <item sd="0" m="1" x="36"/>
        <item sd="0" m="1" x="37"/>
        <item sd="0" m="1" x="38"/>
        <item sd="0" m="1" x="39"/>
        <item sd="0" m="1" x="40"/>
        <item sd="0" m="1" x="41"/>
        <item sd="0" m="1" x="42"/>
        <item sd="0" m="1" x="43"/>
        <item sd="0" m="1" x="44"/>
        <item sd="0" m="1" x="45"/>
        <item sd="0" m="1" x="46"/>
        <item sd="0" m="1" x="47"/>
        <item sd="0" m="1" x="48"/>
        <item sd="0" m="1" x="49"/>
        <item sd="0" m="1" x="50"/>
        <item sd="0" m="1" x="51"/>
        <item sd="0" m="1" x="52"/>
        <item sd="0" m="1" x="53"/>
        <item sd="0" m="1" x="54"/>
        <item sd="0" m="1" x="55"/>
        <item sd="0" m="1" x="56"/>
        <item sd="0" m="1" x="57"/>
        <item sd="0" m="1" x="58"/>
        <item sd="0" m="1" x="59"/>
        <item sd="0" m="1" x="60"/>
        <item sd="0" m="1" x="61"/>
        <item sd="0" m="1" x="62"/>
        <item sd="0" m="1" x="63"/>
        <item sd="0" m="1" x="64"/>
        <item sd="0" m="1" x="65"/>
        <item sd="0" m="1" x="66"/>
        <item x="0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x="1"/>
        <item x="2"/>
        <item x="3"/>
        <item x="4"/>
      </items>
    </pivotField>
    <pivotField compact="0" numFmtId="167" outline="0" showAll="0"/>
    <pivotField dataField="1" compact="0" numFmtId="167" outline="0" showAll="0"/>
    <pivotField compact="0" numFmtId="169" outline="0" showAll="0"/>
    <pivotField dataField="1"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4">
        <item sd="0" m="1" x="37"/>
        <item sd="0" m="1" x="39"/>
        <item sd="0" m="1" x="41"/>
        <item sd="0" m="1" x="38"/>
        <item sd="0" m="1" x="40"/>
        <item sd="0" m="1" x="42"/>
        <item x="0"/>
        <item x="1"/>
        <item x="2"/>
        <item x="3"/>
        <item x="5"/>
        <item x="4"/>
        <item x="6"/>
        <item x="8"/>
        <item x="7"/>
        <item x="9"/>
        <item x="11"/>
        <item x="12"/>
        <item x="10"/>
        <item x="20"/>
        <item x="16"/>
        <item x="17"/>
        <item x="13"/>
        <item x="18"/>
        <item x="19"/>
        <item x="21"/>
        <item x="22"/>
        <item x="14"/>
        <item x="15"/>
        <item x="23"/>
        <item x="24"/>
        <item x="25"/>
        <item x="26"/>
        <item x="27"/>
        <item x="28"/>
        <item x="29"/>
        <item x="31"/>
        <item x="34"/>
        <item x="30"/>
        <item x="32"/>
        <item x="33"/>
        <item m="1" x="35"/>
        <item m="1" x="36"/>
        <item t="default" sd="0"/>
      </items>
    </pivotField>
    <pivotField compact="0" outline="0" showAll="0"/>
    <pivotField compact="0" outline="0" showAll="0"/>
    <pivotField axis="axisRow" compact="0" outline="0" multipleItemSelectionAllowed="1" showAll="0">
      <items count="14">
        <item sd="0" m="1" x="8"/>
        <item sd="0" m="1" x="9"/>
        <item sd="0" x="0"/>
        <item sd="0" m="1" x="7"/>
        <item sd="0" m="1" x="10"/>
        <item sd="0" m="1" x="11"/>
        <item sd="0" m="1" x="12"/>
        <item sd="0" x="2"/>
        <item sd="0" x="3"/>
        <item x="1"/>
        <item m="1" x="6"/>
        <item m="1" x="5"/>
        <item m="1" x="4"/>
        <item t="default" sd="0"/>
      </items>
    </pivotField>
    <pivotField compact="0" outline="0" showAll="0"/>
    <pivotField compact="0" outline="0" showAll="0"/>
    <pivotField compact="0" numFmtId="14" outline="0" multipleItemSelectionAllowed="1" showAll="0" defaultSubtotal="0">
      <items count="79">
        <item m="1" x="75"/>
        <item m="1" x="76"/>
        <item m="1" x="78"/>
        <item m="1" x="77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axis="axisPage" compact="0" outline="0" multipleItemSelectionAllowed="1" showAll="0">
      <items count="115">
        <item x="0"/>
        <item h="1" m="1" x="112"/>
        <item h="1" m="1" x="113"/>
        <item h="1" x="2"/>
        <item h="1" x="1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4"/>
        <item h="1" x="13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67"/>
        <item h="1" x="62"/>
        <item h="1" x="63"/>
        <item h="1" x="64"/>
        <item h="1" x="58"/>
        <item h="1" x="59"/>
        <item h="1" m="1" x="111"/>
        <item h="1" x="77"/>
        <item h="1" x="78"/>
        <item h="1" x="54"/>
        <item h="1" x="60"/>
        <item h="1" x="70"/>
        <item h="1" x="65"/>
        <item h="1" x="33"/>
        <item h="1" x="73"/>
        <item h="1" x="72"/>
        <item h="1" x="71"/>
        <item h="1" x="57"/>
        <item h="1" x="56"/>
        <item h="1" x="55"/>
        <item h="1" x="68"/>
        <item h="1" x="69"/>
        <item h="1" x="61"/>
        <item h="1" x="66"/>
        <item h="1" x="75"/>
        <item h="1" x="74"/>
        <item h="1" x="76"/>
        <item h="1" x="79"/>
        <item h="1" m="1" x="110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3">
    <field x="4"/>
    <field x="22"/>
    <field x="19"/>
  </rowFields>
  <rowItems count="13">
    <i>
      <x v="41"/>
      <x v="2"/>
    </i>
    <i r="1">
      <x v="7"/>
    </i>
    <i r="1">
      <x v="8"/>
    </i>
    <i r="1">
      <x v="9"/>
      <x v="19"/>
    </i>
    <i r="2">
      <x v="23"/>
    </i>
    <i r="2">
      <x v="26"/>
    </i>
    <i r="2">
      <x v="27"/>
    </i>
    <i r="2">
      <x v="28"/>
    </i>
    <i r="2">
      <x v="30"/>
    </i>
    <i r="2">
      <x v="37"/>
    </i>
    <i r="2">
      <x v="38"/>
    </i>
    <i t="default" r="1"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26" hier="-1"/>
  </pageFields>
  <dataFields count="2">
    <dataField name="Физический вес, кг" fld="6" baseField="21" baseItem="0" numFmtId="3"/>
    <dataField name="Зачетный вес, кг" fld="8" baseField="21" baseItem="0" numFmtId="3"/>
  </dataFields>
  <formats count="40">
    <format dxfId="1095">
      <pivotArea dataOnly="0" labelOnly="1" outline="0" fieldPosition="0">
        <references count="1">
          <reference field="22" count="1">
            <x v="1"/>
          </reference>
        </references>
      </pivotArea>
    </format>
    <format dxfId="1094">
      <pivotArea outline="0" fieldPosition="0">
        <references count="1">
          <reference field="4294967294" count="1">
            <x v="0"/>
          </reference>
        </references>
      </pivotArea>
    </format>
    <format dxfId="1093">
      <pivotArea outline="0" fieldPosition="0">
        <references count="1">
          <reference field="4294967294" count="1">
            <x v="1"/>
          </reference>
        </references>
      </pivotArea>
    </format>
    <format dxfId="1092">
      <pivotArea field="22" type="button" dataOnly="0" labelOnly="1" outline="0" axis="axisRow" fieldPosition="1"/>
    </format>
    <format dxfId="10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0">
      <pivotArea field="22" type="button" dataOnly="0" labelOnly="1" outline="0" axis="axisRow" fieldPosition="1"/>
    </format>
    <format dxfId="10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8">
      <pivotArea field="22" type="button" dataOnly="0" labelOnly="1" outline="0" axis="axisRow" fieldPosition="1"/>
    </format>
    <format dxfId="10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6">
      <pivotArea type="all" dataOnly="0" outline="0" fieldPosition="0"/>
    </format>
    <format dxfId="1085">
      <pivotArea outline="0" collapsedLevelsAreSubtotals="1" fieldPosition="0"/>
    </format>
    <format dxfId="1084">
      <pivotArea type="origin" dataOnly="0" labelOnly="1" outline="0" fieldPosition="0"/>
    </format>
    <format dxfId="1083">
      <pivotArea field="-2" type="button" dataOnly="0" labelOnly="1" outline="0" axis="axisCol" fieldPosition="0"/>
    </format>
    <format dxfId="1082">
      <pivotArea type="topRight" dataOnly="0" labelOnly="1" outline="0" fieldPosition="0"/>
    </format>
    <format dxfId="1081">
      <pivotArea field="25" type="button" dataOnly="0" labelOnly="1" outline="0"/>
    </format>
    <format dxfId="1080">
      <pivotArea field="22" type="button" dataOnly="0" labelOnly="1" outline="0" axis="axisRow" fieldPosition="1"/>
    </format>
    <format dxfId="1079">
      <pivotArea dataOnly="0" labelOnly="1" grandRow="1" outline="0" fieldPosition="0"/>
    </format>
    <format dxfId="10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77">
      <pivotArea field="25" type="button" dataOnly="0" labelOnly="1" outline="0"/>
    </format>
    <format dxfId="1076">
      <pivotArea field="25" type="button" dataOnly="0" labelOnly="1" outline="0"/>
    </format>
    <format dxfId="1075">
      <pivotArea field="25" type="button" dataOnly="0" labelOnly="1" outline="0"/>
    </format>
    <format dxfId="1074">
      <pivotArea field="22" type="button" dataOnly="0" labelOnly="1" outline="0" axis="axisRow" fieldPosition="1"/>
    </format>
    <format dxfId="1073">
      <pivotArea field="19" type="button" dataOnly="0" labelOnly="1" outline="0" axis="axisRow" fieldPosition="2"/>
    </format>
    <format dxfId="10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71">
      <pivotArea field="22" type="button" dataOnly="0" labelOnly="1" outline="0" axis="axisRow" fieldPosition="1"/>
    </format>
    <format dxfId="1070">
      <pivotArea field="19" type="button" dataOnly="0" labelOnly="1" outline="0" axis="axisRow" fieldPosition="2"/>
    </format>
    <format dxfId="10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68">
      <pivotArea field="22" type="button" dataOnly="0" labelOnly="1" outline="0" axis="axisRow" fieldPosition="1"/>
    </format>
    <format dxfId="1067">
      <pivotArea field="19" type="button" dataOnly="0" labelOnly="1" outline="0" axis="axisRow" fieldPosition="2"/>
    </format>
    <format dxfId="10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65">
      <pivotArea type="all" dataOnly="0" outline="0" fieldPosition="0"/>
    </format>
    <format dxfId="1064">
      <pivotArea outline="0" collapsedLevelsAreSubtotals="1" fieldPosition="0"/>
    </format>
    <format dxfId="1063">
      <pivotArea type="origin" dataOnly="0" labelOnly="1" outline="0" fieldPosition="0"/>
    </format>
    <format dxfId="1062">
      <pivotArea field="-2" type="button" dataOnly="0" labelOnly="1" outline="0" axis="axisCol" fieldPosition="0"/>
    </format>
    <format dxfId="1061">
      <pivotArea type="topRight" dataOnly="0" labelOnly="1" outline="0" fieldPosition="0"/>
    </format>
    <format dxfId="1060">
      <pivotArea field="22" type="button" dataOnly="0" labelOnly="1" outline="0" axis="axisRow" fieldPosition="1"/>
    </format>
    <format dxfId="1059">
      <pivotArea field="19" type="button" dataOnly="0" labelOnly="1" outline="0" axis="axisRow" fieldPosition="2"/>
    </format>
    <format dxfId="1058">
      <pivotArea dataOnly="0" labelOnly="1" outline="0" fieldPosition="0">
        <references count="1">
          <reference field="22" count="0"/>
        </references>
      </pivotArea>
    </format>
    <format dxfId="1057">
      <pivotArea dataOnly="0" labelOnly="1" grandRow="1" outline="0" fieldPosition="0"/>
    </format>
    <format dxfId="10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7B959-542C-4D8E-8028-8AB11E6576D7}" name="Сводная таблица8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Дата">
  <location ref="I4:J53" firstHeaderRow="1" firstDataRow="1" firstDataCol="1"/>
  <pivotFields count="4"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2"/>
  </rowFields>
  <rowItems count="49">
    <i>
      <x v="5"/>
    </i>
    <i r="1">
      <x v="148"/>
    </i>
    <i r="1">
      <x v="149"/>
    </i>
    <i r="1">
      <x v="150"/>
    </i>
    <i r="1">
      <x v="151"/>
    </i>
    <i r="1">
      <x v="152"/>
    </i>
    <i>
      <x v="6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>
      <x v="7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t="grand">
      <x/>
    </i>
  </rowItems>
  <colItems count="1">
    <i/>
  </colItems>
  <dataFields count="1">
    <dataField name=" Физический вес, тонны" fld="1" baseField="3" baseItem="5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CB06F-33CA-485A-A302-0783A8E065F2}" name="Сводная таблица3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gridDropZones="1" multipleFieldFilters="0">
  <location ref="A3:E6" firstHeaderRow="1" firstDataRow="2" firstDataCol="1" rowPageCount="1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axis="axisRow" compact="0" numFmtId="14" outline="0" showAll="0" defaultSubtotal="0">
      <items count="67"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x="0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x="1"/>
        <item x="2"/>
        <item x="3"/>
        <item x="4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15">
        <item x="0"/>
        <item h="1" m="1" x="112"/>
        <item h="1" m="1" x="113"/>
        <item h="1" x="2"/>
        <item h="1" x="1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4"/>
        <item h="1" x="13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67"/>
        <item h="1" x="62"/>
        <item h="1" x="63"/>
        <item h="1" x="64"/>
        <item h="1" x="58"/>
        <item h="1" x="59"/>
        <item h="1" m="1" x="111"/>
        <item h="1" x="77"/>
        <item h="1" x="78"/>
        <item h="1" x="54"/>
        <item h="1" x="60"/>
        <item h="1" x="70"/>
        <item h="1" x="65"/>
        <item h="1" x="33"/>
        <item h="1" x="73"/>
        <item h="1" x="72"/>
        <item h="1" x="71"/>
        <item h="1" x="57"/>
        <item h="1" x="56"/>
        <item h="1" x="55"/>
        <item h="1" x="68"/>
        <item h="1" x="69"/>
        <item h="1" x="61"/>
        <item h="1" x="66"/>
        <item h="1" x="75"/>
        <item h="1" x="74"/>
        <item h="1" x="76"/>
        <item h="1" x="79"/>
        <item h="1" m="1" x="110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t="default"/>
      </items>
    </pivotField>
    <pivotField compact="0" outline="0" showAll="0"/>
    <pivotField compact="0" outline="0" showAll="0"/>
    <pivotField axis="axisCol" compact="0" outline="0" showAll="0">
      <items count="9">
        <item m="1" x="5"/>
        <item m="1" x="6"/>
        <item m="1" x="7"/>
        <item x="1"/>
        <item x="0"/>
        <item x="2"/>
        <item m="1" x="3"/>
        <item m="1" x="4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4"/>
  </rowFields>
  <rowItems count="2">
    <i>
      <x v="41"/>
    </i>
    <i t="grand">
      <x/>
    </i>
  </rowItems>
  <colFields count="1">
    <field x="29"/>
  </colFields>
  <colItems count="4">
    <i>
      <x v="3"/>
    </i>
    <i>
      <x v="4"/>
    </i>
    <i>
      <x v="5"/>
    </i>
    <i t="grand">
      <x/>
    </i>
  </colItems>
  <pageFields count="1">
    <pageField fld="26" hier="-1"/>
  </pageFields>
  <dataFields count="1">
    <dataField name=" Вес нетто, т" fld="37" baseField="4" baseItem="0" numFmtId="3"/>
  </dataFields>
  <formats count="2">
    <format dxfId="1055">
      <pivotArea collapsedLevelsAreSubtotals="1" fieldPosition="0">
        <references count="1">
          <reference field="4" count="1">
            <x v="1"/>
          </reference>
        </references>
      </pivotArea>
    </format>
    <format dxfId="105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4A9CA-C9C6-4F49-94BB-25F427CD9F1E}" name="Сводная таблица6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9" rowHeaderCaption="Сорт/Поле/Дата уборки">
  <location ref="Z153:AC163" firstHeaderRow="0" firstDataRow="1" firstDataCol="1"/>
  <pivotFields count="40">
    <pivotField showAll="0"/>
    <pivotField showAll="0"/>
    <pivotField dataField="1" showAll="0"/>
    <pivotField showAll="0"/>
    <pivotField showAll="0"/>
    <pivotField showAll="0"/>
    <pivotField numFmtId="167"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4">
        <item m="1" x="42"/>
        <item m="1" x="41"/>
        <item m="1" x="39"/>
        <item m="1" x="37"/>
        <item m="1" x="38"/>
        <item m="1" x="40"/>
        <item x="19"/>
        <item x="23"/>
        <item x="21"/>
        <item x="25"/>
        <item x="18"/>
        <item x="11"/>
        <item x="6"/>
        <item x="5"/>
        <item x="15"/>
        <item x="17"/>
        <item x="16"/>
        <item x="2"/>
        <item x="3"/>
        <item x="7"/>
        <item x="1"/>
        <item x="4"/>
        <item x="0"/>
        <item x="8"/>
        <item x="20"/>
        <item x="14"/>
        <item x="9"/>
        <item x="10"/>
        <item x="24"/>
        <item x="22"/>
        <item x="13"/>
        <item x="12"/>
        <item x="26"/>
        <item x="27"/>
        <item x="28"/>
        <item x="29"/>
        <item x="31"/>
        <item x="34"/>
        <item x="30"/>
        <item x="32"/>
        <item x="33"/>
        <item m="1" x="35"/>
        <item m="1" x="36"/>
        <item t="default"/>
      </items>
    </pivotField>
    <pivotField axis="axisRow" showAll="0">
      <items count="10">
        <item h="1" m="1" x="8"/>
        <item h="1" x="1"/>
        <item h="1" x="5"/>
        <item h="1" x="6"/>
        <item h="1" x="0"/>
        <item h="1" x="4"/>
        <item x="2"/>
        <item h="1" x="3"/>
        <item h="1" x="7"/>
        <item t="default"/>
      </items>
    </pivotField>
    <pivotField numFmtId="165" showAll="0"/>
    <pivotField showAll="0"/>
    <pivotField showAll="0"/>
    <pivotField numFmtId="3" showAll="0"/>
    <pivotField axis="axisRow" numFmtId="14" showAll="0">
      <items count="80">
        <item m="1" x="75"/>
        <item m="1" x="76"/>
        <item m="1" x="78"/>
        <item m="1" x="77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0"/>
    <field x="19"/>
    <field x="25"/>
  </rowFields>
  <rowItems count="10">
    <i>
      <x v="6"/>
    </i>
    <i r="1">
      <x v="17"/>
    </i>
    <i r="2">
      <x v="51"/>
    </i>
    <i r="1">
      <x v="18"/>
    </i>
    <i r="2">
      <x v="51"/>
    </i>
    <i r="2">
      <x v="52"/>
    </i>
    <i r="1">
      <x v="33"/>
    </i>
    <i r="2">
      <x v="72"/>
    </i>
    <i r="2">
      <x v="7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тепень зрелости (финометр), %" fld="2" subtotal="average" baseField="20" baseItem="2" numFmtId="3"/>
    <dataField name=" Валовый сбор, т" fld="37" baseField="19" baseItem="7" numFmtId="3"/>
    <dataField name=" Урожайность вал.вес, т/га" fld="34" baseField="19" baseItem="23" numFmtId="165"/>
  </dataFields>
  <formats count="8">
    <format dxfId="997">
      <pivotArea field="20" type="button" dataOnly="0" labelOnly="1" outline="0" axis="axisRow" fieldPosition="0"/>
    </format>
    <format dxfId="9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5">
      <pivotArea field="20" type="button" dataOnly="0" labelOnly="1" outline="0" axis="axisRow" fieldPosition="0"/>
    </format>
    <format dxfId="9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3">
      <pivotArea field="20" type="button" dataOnly="0" labelOnly="1" outline="0" axis="axisRow" fieldPosition="0"/>
    </format>
    <format dxfId="9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90">
      <pivotArea outline="0" fieldPosition="0">
        <references count="1">
          <reference field="4294967294" count="1">
            <x v="2"/>
          </reference>
        </references>
      </pivotArea>
    </format>
  </formats>
  <chartFormats count="2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70DCE-6400-4C0B-9289-D1B55B412D50}" name="Сводная таблица2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2" rowHeaderCaption="Сорт/Поле/Дата уборки">
  <location ref="F45:I64" firstHeaderRow="0" firstDataRow="1" firstDataCol="1"/>
  <pivotFields count="40">
    <pivotField showAll="0"/>
    <pivotField showAll="0"/>
    <pivotField dataField="1" showAll="0"/>
    <pivotField showAll="0"/>
    <pivotField showAll="0"/>
    <pivotField showAll="0"/>
    <pivotField numFmtId="167"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4">
        <item m="1" x="42"/>
        <item m="1" x="41"/>
        <item m="1" x="39"/>
        <item m="1" x="37"/>
        <item m="1" x="38"/>
        <item m="1" x="40"/>
        <item x="19"/>
        <item x="23"/>
        <item x="21"/>
        <item x="25"/>
        <item x="18"/>
        <item x="11"/>
        <item x="6"/>
        <item x="5"/>
        <item x="15"/>
        <item x="17"/>
        <item x="16"/>
        <item x="2"/>
        <item x="3"/>
        <item x="7"/>
        <item x="1"/>
        <item x="4"/>
        <item x="0"/>
        <item x="8"/>
        <item x="20"/>
        <item x="14"/>
        <item x="9"/>
        <item x="10"/>
        <item x="24"/>
        <item x="22"/>
        <item x="13"/>
        <item x="12"/>
        <item x="26"/>
        <item x="27"/>
        <item x="28"/>
        <item x="29"/>
        <item x="31"/>
        <item x="34"/>
        <item x="30"/>
        <item x="32"/>
        <item x="33"/>
        <item m="1" x="35"/>
        <item m="1" x="36"/>
        <item t="default"/>
      </items>
    </pivotField>
    <pivotField axis="axisRow" showAll="0">
      <items count="10">
        <item h="1" m="1" x="8"/>
        <item h="1" x="1"/>
        <item x="5"/>
        <item h="1" x="6"/>
        <item h="1" x="0"/>
        <item h="1" x="4"/>
        <item h="1" x="2"/>
        <item h="1" x="3"/>
        <item h="1" x="7"/>
        <item t="default"/>
      </items>
    </pivotField>
    <pivotField numFmtId="165" showAll="0"/>
    <pivotField showAll="0"/>
    <pivotField showAll="0"/>
    <pivotField numFmtId="3" showAll="0"/>
    <pivotField axis="axisRow" numFmtId="14" showAll="0">
      <items count="80">
        <item m="1" x="75"/>
        <item m="1" x="76"/>
        <item m="1" x="78"/>
        <item m="1" x="77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0"/>
    <field x="19"/>
    <field x="25"/>
  </rowFields>
  <rowItems count="19">
    <i>
      <x v="2"/>
    </i>
    <i r="1">
      <x v="6"/>
    </i>
    <i r="2">
      <x v="61"/>
    </i>
    <i r="2">
      <x v="65"/>
    </i>
    <i r="2">
      <x v="66"/>
    </i>
    <i r="1">
      <x v="11"/>
    </i>
    <i r="2">
      <x v="60"/>
    </i>
    <i r="1">
      <x v="15"/>
    </i>
    <i r="2">
      <x v="60"/>
    </i>
    <i r="1">
      <x v="24"/>
    </i>
    <i r="2">
      <x v="61"/>
    </i>
    <i r="2">
      <x v="62"/>
    </i>
    <i r="2">
      <x v="63"/>
    </i>
    <i r="2">
      <x v="64"/>
    </i>
    <i r="2">
      <x v="65"/>
    </i>
    <i r="2">
      <x v="66"/>
    </i>
    <i r="1">
      <x v="29"/>
    </i>
    <i r="2">
      <x v="6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тепень зрелости (финометр), %" fld="2" subtotal="average" baseField="20" baseItem="2" numFmtId="3"/>
    <dataField name=" Валовый сбор, т" fld="37" baseField="19" baseItem="7" numFmtId="3"/>
    <dataField name=" Урожайность вал.вес, т/га" fld="34" baseField="19" baseItem="23" numFmtId="165"/>
  </dataFields>
  <formats count="8">
    <format dxfId="1005">
      <pivotArea field="20" type="button" dataOnly="0" labelOnly="1" outline="0" axis="axisRow" fieldPosition="0"/>
    </format>
    <format dxfId="10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3">
      <pivotArea field="20" type="button" dataOnly="0" labelOnly="1" outline="0" axis="axisRow" fieldPosition="0"/>
    </format>
    <format dxfId="10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1">
      <pivotArea field="20" type="button" dataOnly="0" labelOnly="1" outline="0" axis="axisRow" fieldPosition="0"/>
    </format>
    <format dxfId="10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98">
      <pivotArea outline="0" fieldPosition="0">
        <references count="1">
          <reference field="4294967294" count="1">
            <x v="2"/>
          </reference>
        </references>
      </pivotArea>
    </format>
  </formats>
  <chartFormats count="1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E0104-3156-41E7-8439-24A3DC0CCE63}" name="Сводная таблица5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8" rowHeaderCaption="Сорт/Поле/Дата уборки">
  <location ref="U129:X166" firstHeaderRow="0" firstDataRow="1" firstDataCol="1"/>
  <pivotFields count="40">
    <pivotField showAll="0"/>
    <pivotField showAll="0"/>
    <pivotField dataField="1" showAll="0"/>
    <pivotField showAll="0"/>
    <pivotField showAll="0"/>
    <pivotField showAll="0"/>
    <pivotField numFmtId="167"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4">
        <item m="1" x="42"/>
        <item m="1" x="41"/>
        <item m="1" x="39"/>
        <item m="1" x="37"/>
        <item m="1" x="38"/>
        <item m="1" x="40"/>
        <item x="19"/>
        <item x="23"/>
        <item x="21"/>
        <item x="25"/>
        <item x="18"/>
        <item x="11"/>
        <item x="6"/>
        <item x="5"/>
        <item x="15"/>
        <item x="17"/>
        <item x="16"/>
        <item x="2"/>
        <item x="3"/>
        <item x="7"/>
        <item x="1"/>
        <item x="4"/>
        <item x="0"/>
        <item x="8"/>
        <item x="20"/>
        <item x="14"/>
        <item x="9"/>
        <item x="10"/>
        <item x="24"/>
        <item x="22"/>
        <item x="13"/>
        <item x="12"/>
        <item x="26"/>
        <item x="27"/>
        <item x="28"/>
        <item x="29"/>
        <item x="31"/>
        <item x="34"/>
        <item x="30"/>
        <item x="32"/>
        <item x="33"/>
        <item m="1" x="35"/>
        <item m="1" x="36"/>
        <item t="default"/>
      </items>
    </pivotField>
    <pivotField axis="axisRow" showAll="0">
      <items count="10">
        <item h="1" m="1" x="8"/>
        <item h="1" x="1"/>
        <item h="1" x="5"/>
        <item h="1" x="6"/>
        <item h="1" x="0"/>
        <item x="4"/>
        <item h="1" x="2"/>
        <item h="1" x="3"/>
        <item h="1" x="7"/>
        <item t="default"/>
      </items>
    </pivotField>
    <pivotField numFmtId="165" showAll="0"/>
    <pivotField showAll="0"/>
    <pivotField showAll="0"/>
    <pivotField numFmtId="3" showAll="0"/>
    <pivotField axis="axisRow" numFmtId="14" showAll="0">
      <items count="80">
        <item m="1" x="75"/>
        <item m="1" x="76"/>
        <item m="1" x="78"/>
        <item m="1" x="77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0"/>
    <field x="19"/>
    <field x="25"/>
  </rowFields>
  <rowItems count="37">
    <i>
      <x v="5"/>
    </i>
    <i r="1">
      <x v="6"/>
    </i>
    <i r="2">
      <x v="61"/>
    </i>
    <i r="2">
      <x v="62"/>
    </i>
    <i r="2">
      <x v="64"/>
    </i>
    <i r="1">
      <x v="7"/>
    </i>
    <i r="2">
      <x v="66"/>
    </i>
    <i r="2">
      <x v="67"/>
    </i>
    <i r="2">
      <x v="68"/>
    </i>
    <i r="2">
      <x v="69"/>
    </i>
    <i r="2">
      <x v="70"/>
    </i>
    <i r="1">
      <x v="8"/>
    </i>
    <i r="2">
      <x v="62"/>
    </i>
    <i r="2">
      <x v="63"/>
    </i>
    <i r="2">
      <x v="64"/>
    </i>
    <i r="2">
      <x v="65"/>
    </i>
    <i r="2">
      <x v="67"/>
    </i>
    <i r="2">
      <x v="68"/>
    </i>
    <i r="2">
      <x v="69"/>
    </i>
    <i r="2">
      <x v="70"/>
    </i>
    <i r="1">
      <x v="13"/>
    </i>
    <i r="2">
      <x v="58"/>
    </i>
    <i r="1">
      <x v="14"/>
    </i>
    <i r="2">
      <x v="59"/>
    </i>
    <i r="1">
      <x v="16"/>
    </i>
    <i r="2">
      <x v="59"/>
    </i>
    <i r="2">
      <x v="60"/>
    </i>
    <i r="2">
      <x v="61"/>
    </i>
    <i r="1">
      <x v="24"/>
    </i>
    <i r="2">
      <x v="67"/>
    </i>
    <i r="1">
      <x v="25"/>
    </i>
    <i r="2">
      <x v="58"/>
    </i>
    <i r="2">
      <x v="66"/>
    </i>
    <i r="2">
      <x v="67"/>
    </i>
    <i r="1">
      <x v="28"/>
    </i>
    <i r="2">
      <x v="6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тепень зрелости (финометр), %" fld="2" subtotal="average" baseField="20" baseItem="2" numFmtId="3"/>
    <dataField name=" Валовый сбор, т" fld="37" baseField="19" baseItem="7" numFmtId="3"/>
    <dataField name=" Урожайность вал.вес, т/га" fld="34" baseField="19" baseItem="23" numFmtId="165"/>
  </dataFields>
  <formats count="8">
    <format dxfId="1013">
      <pivotArea field="20" type="button" dataOnly="0" labelOnly="1" outline="0" axis="axisRow" fieldPosition="0"/>
    </format>
    <format dxfId="10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11">
      <pivotArea field="20" type="button" dataOnly="0" labelOnly="1" outline="0" axis="axisRow" fieldPosition="0"/>
    </format>
    <format dxfId="10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9">
      <pivotArea field="20" type="button" dataOnly="0" labelOnly="1" outline="0" axis="axisRow" fieldPosition="0"/>
    </format>
    <format dxfId="10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06">
      <pivotArea outline="0" fieldPosition="0">
        <references count="1">
          <reference field="4294967294" count="1">
            <x v="2"/>
          </reference>
        </references>
      </pivotArea>
    </format>
  </formats>
  <chartFormats count="2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32FAE-A12B-4C8D-AE9A-35EDFC495D32}" name="Сводная таблица7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0" rowHeaderCaption="Сорт/Поле/Дата уборки">
  <location ref="AE172:AH211" firstHeaderRow="0" firstDataRow="1" firstDataCol="1"/>
  <pivotFields count="40">
    <pivotField showAll="0"/>
    <pivotField showAll="0"/>
    <pivotField dataField="1" showAll="0"/>
    <pivotField showAll="0"/>
    <pivotField showAll="0"/>
    <pivotField showAll="0"/>
    <pivotField numFmtId="167"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4">
        <item m="1" x="42"/>
        <item m="1" x="41"/>
        <item m="1" x="39"/>
        <item m="1" x="37"/>
        <item m="1" x="38"/>
        <item m="1" x="40"/>
        <item x="19"/>
        <item x="23"/>
        <item x="21"/>
        <item x="25"/>
        <item x="18"/>
        <item x="11"/>
        <item x="6"/>
        <item x="5"/>
        <item x="15"/>
        <item x="17"/>
        <item x="16"/>
        <item x="2"/>
        <item x="3"/>
        <item x="7"/>
        <item x="1"/>
        <item x="4"/>
        <item x="0"/>
        <item x="8"/>
        <item x="20"/>
        <item x="14"/>
        <item x="9"/>
        <item x="10"/>
        <item x="24"/>
        <item x="22"/>
        <item x="13"/>
        <item x="12"/>
        <item x="26"/>
        <item x="27"/>
        <item x="28"/>
        <item x="29"/>
        <item x="31"/>
        <item x="34"/>
        <item x="30"/>
        <item x="32"/>
        <item x="33"/>
        <item m="1" x="35"/>
        <item m="1" x="36"/>
        <item t="default"/>
      </items>
    </pivotField>
    <pivotField axis="axisRow" showAll="0">
      <items count="10">
        <item h="1" m="1" x="8"/>
        <item h="1" x="1"/>
        <item h="1" x="5"/>
        <item h="1" x="6"/>
        <item h="1" x="0"/>
        <item h="1" x="4"/>
        <item h="1" x="2"/>
        <item x="3"/>
        <item h="1" x="7"/>
        <item t="default"/>
      </items>
    </pivotField>
    <pivotField numFmtId="165" showAll="0"/>
    <pivotField showAll="0"/>
    <pivotField showAll="0"/>
    <pivotField numFmtId="3" showAll="0"/>
    <pivotField axis="axisRow" numFmtId="14" showAll="0">
      <items count="80">
        <item m="1" x="75"/>
        <item m="1" x="76"/>
        <item m="1" x="78"/>
        <item m="1" x="77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0"/>
    <field x="19"/>
    <field x="25"/>
  </rowFields>
  <rowItems count="39">
    <i>
      <x v="7"/>
    </i>
    <i r="1">
      <x v="9"/>
    </i>
    <i r="2">
      <x v="67"/>
    </i>
    <i r="2">
      <x v="68"/>
    </i>
    <i r="2">
      <x v="69"/>
    </i>
    <i r="1">
      <x v="10"/>
    </i>
    <i r="2">
      <x v="73"/>
    </i>
    <i r="2">
      <x v="78"/>
    </i>
    <i r="1">
      <x v="19"/>
    </i>
    <i r="2">
      <x v="53"/>
    </i>
    <i r="2">
      <x v="54"/>
    </i>
    <i r="1">
      <x v="30"/>
    </i>
    <i r="2">
      <x v="58"/>
    </i>
    <i r="1">
      <x v="31"/>
    </i>
    <i r="2">
      <x v="58"/>
    </i>
    <i r="1">
      <x v="32"/>
    </i>
    <i r="2">
      <x v="70"/>
    </i>
    <i r="1">
      <x v="34"/>
    </i>
    <i r="2">
      <x v="72"/>
    </i>
    <i r="2">
      <x v="76"/>
    </i>
    <i r="2">
      <x v="77"/>
    </i>
    <i r="2">
      <x v="78"/>
    </i>
    <i r="1">
      <x v="35"/>
    </i>
    <i r="2">
      <x v="73"/>
    </i>
    <i r="1">
      <x v="36"/>
    </i>
    <i r="2">
      <x v="74"/>
    </i>
    <i r="2">
      <x v="78"/>
    </i>
    <i r="1">
      <x v="38"/>
    </i>
    <i r="2">
      <x v="74"/>
    </i>
    <i r="2">
      <x v="75"/>
    </i>
    <i r="2">
      <x v="78"/>
    </i>
    <i r="1">
      <x v="39"/>
    </i>
    <i r="2">
      <x v="74"/>
    </i>
    <i r="2">
      <x v="75"/>
    </i>
    <i r="2">
      <x v="78"/>
    </i>
    <i r="1">
      <x v="40"/>
    </i>
    <i r="2">
      <x v="76"/>
    </i>
    <i r="2">
      <x v="7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тепень зрелости (финометр), %" fld="2" subtotal="average" baseField="20" baseItem="2" numFmtId="3"/>
    <dataField name=" Валовый сбор, т" fld="37" baseField="19" baseItem="7" numFmtId="3"/>
    <dataField name=" Урожайность вал.вес, т/га" fld="34" baseField="19" baseItem="23" numFmtId="165"/>
  </dataFields>
  <formats count="8">
    <format dxfId="1021">
      <pivotArea field="20" type="button" dataOnly="0" labelOnly="1" outline="0" axis="axisRow" fieldPosition="0"/>
    </format>
    <format dxfId="10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19">
      <pivotArea field="20" type="button" dataOnly="0" labelOnly="1" outline="0" axis="axisRow" fieldPosition="0"/>
    </format>
    <format dxfId="10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17">
      <pivotArea field="20" type="button" dataOnly="0" labelOnly="1" outline="0" axis="axisRow" fieldPosition="0"/>
    </format>
    <format dxfId="10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1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14">
      <pivotArea outline="0" fieldPosition="0">
        <references count="1">
          <reference field="4294967294" count="1">
            <x v="2"/>
          </reference>
        </references>
      </pivotArea>
    </format>
  </formats>
  <chartFormats count="3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122C1-677E-43BC-AE59-D9EBD924CF1B}" name="Сводная таблица8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4" rowHeaderCaption="Сорт/Поле/Дата уборки">
  <location ref="AK201:AN210" firstHeaderRow="0" firstDataRow="1" firstDataCol="1"/>
  <pivotFields count="40">
    <pivotField showAll="0"/>
    <pivotField showAll="0"/>
    <pivotField dataField="1" showAll="0"/>
    <pivotField showAll="0"/>
    <pivotField showAll="0"/>
    <pivotField showAll="0"/>
    <pivotField numFmtId="167"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4">
        <item m="1" x="42"/>
        <item m="1" x="41"/>
        <item m="1" x="39"/>
        <item m="1" x="37"/>
        <item m="1" x="38"/>
        <item m="1" x="40"/>
        <item x="19"/>
        <item x="23"/>
        <item x="21"/>
        <item x="25"/>
        <item x="18"/>
        <item x="11"/>
        <item x="6"/>
        <item x="5"/>
        <item x="15"/>
        <item x="17"/>
        <item x="16"/>
        <item x="2"/>
        <item x="3"/>
        <item x="7"/>
        <item x="1"/>
        <item x="4"/>
        <item x="0"/>
        <item x="8"/>
        <item x="20"/>
        <item x="14"/>
        <item x="9"/>
        <item x="10"/>
        <item x="24"/>
        <item x="22"/>
        <item x="13"/>
        <item x="12"/>
        <item x="26"/>
        <item x="27"/>
        <item x="28"/>
        <item x="29"/>
        <item x="31"/>
        <item x="34"/>
        <item x="30"/>
        <item x="32"/>
        <item x="33"/>
        <item m="1" x="35"/>
        <item m="1" x="36"/>
        <item t="default"/>
      </items>
    </pivotField>
    <pivotField axis="axisRow" showAll="0">
      <items count="10">
        <item h="1" m="1" x="8"/>
        <item h="1" x="1"/>
        <item h="1" x="5"/>
        <item h="1" x="6"/>
        <item h="1" x="0"/>
        <item h="1" x="4"/>
        <item h="1" x="2"/>
        <item h="1" x="3"/>
        <item x="7"/>
        <item t="default"/>
      </items>
    </pivotField>
    <pivotField numFmtId="165" showAll="0"/>
    <pivotField showAll="0"/>
    <pivotField showAll="0"/>
    <pivotField numFmtId="3" showAll="0"/>
    <pivotField axis="axisRow" numFmtId="14" showAll="0">
      <items count="80">
        <item m="1" x="75"/>
        <item m="1" x="76"/>
        <item m="1" x="78"/>
        <item m="1" x="77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0"/>
    <field x="19"/>
    <field x="25"/>
  </rowFields>
  <rowItems count="9">
    <i>
      <x v="8"/>
    </i>
    <i r="1">
      <x v="32"/>
    </i>
    <i r="2">
      <x v="69"/>
    </i>
    <i r="2">
      <x v="71"/>
    </i>
    <i r="2">
      <x v="72"/>
    </i>
    <i r="1">
      <x v="35"/>
    </i>
    <i r="2">
      <x v="73"/>
    </i>
    <i r="2">
      <x v="7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тепень зрелости (финометр), %" fld="2" subtotal="average" baseField="20" baseItem="2" numFmtId="3"/>
    <dataField name=" Валовый сбор, т" fld="37" baseField="19" baseItem="7" numFmtId="3"/>
    <dataField name=" Урожайность вал.вес, т/га" fld="34" baseField="19" baseItem="23" numFmtId="165"/>
  </dataFields>
  <formats count="8">
    <format dxfId="1029">
      <pivotArea field="20" type="button" dataOnly="0" labelOnly="1" outline="0" axis="axisRow" fieldPosition="0"/>
    </format>
    <format dxfId="10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7">
      <pivotArea field="20" type="button" dataOnly="0" labelOnly="1" outline="0" axis="axisRow" fieldPosition="0"/>
    </format>
    <format dxfId="10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5">
      <pivotArea field="20" type="button" dataOnly="0" labelOnly="1" outline="0" axis="axisRow" fieldPosition="0"/>
    </format>
    <format dxfId="10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22">
      <pivotArea outline="0" fieldPosition="0">
        <references count="1">
          <reference field="4294967294" count="1">
            <x v="2"/>
          </reference>
        </references>
      </pivotArea>
    </format>
  </formats>
  <chartFormats count="3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F70B3-F328-4871-9929-A5ECF7E616C5}" name="Сводная таблица3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8" rowHeaderCaption="Сорт/Поле/Дата уборки">
  <location ref="K75:N83" firstHeaderRow="0" firstDataRow="1" firstDataCol="1"/>
  <pivotFields count="40">
    <pivotField showAll="0"/>
    <pivotField showAll="0"/>
    <pivotField dataField="1" showAll="0"/>
    <pivotField showAll="0"/>
    <pivotField showAll="0"/>
    <pivotField showAll="0"/>
    <pivotField numFmtId="167"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4">
        <item m="1" x="42"/>
        <item m="1" x="41"/>
        <item m="1" x="39"/>
        <item m="1" x="37"/>
        <item m="1" x="38"/>
        <item m="1" x="40"/>
        <item x="19"/>
        <item x="23"/>
        <item x="21"/>
        <item x="25"/>
        <item x="18"/>
        <item x="11"/>
        <item x="6"/>
        <item x="5"/>
        <item x="15"/>
        <item x="17"/>
        <item x="16"/>
        <item x="2"/>
        <item x="3"/>
        <item x="7"/>
        <item x="1"/>
        <item x="4"/>
        <item x="0"/>
        <item x="8"/>
        <item x="20"/>
        <item x="14"/>
        <item x="9"/>
        <item x="10"/>
        <item x="24"/>
        <item x="22"/>
        <item x="13"/>
        <item x="12"/>
        <item x="26"/>
        <item x="27"/>
        <item x="28"/>
        <item x="29"/>
        <item x="31"/>
        <item x="34"/>
        <item x="30"/>
        <item x="32"/>
        <item x="33"/>
        <item m="1" x="35"/>
        <item m="1" x="36"/>
        <item t="default"/>
      </items>
    </pivotField>
    <pivotField axis="axisRow" showAll="0">
      <items count="10">
        <item h="1" m="1" x="8"/>
        <item h="1" x="1"/>
        <item h="1" x="5"/>
        <item x="6"/>
        <item h="1" x="0"/>
        <item h="1" x="4"/>
        <item h="1" x="2"/>
        <item h="1" x="3"/>
        <item h="1" x="7"/>
        <item t="default"/>
      </items>
    </pivotField>
    <pivotField numFmtId="165" showAll="0"/>
    <pivotField showAll="0"/>
    <pivotField showAll="0"/>
    <pivotField numFmtId="3" showAll="0"/>
    <pivotField axis="axisRow" numFmtId="14" showAll="0">
      <items count="80">
        <item m="1" x="75"/>
        <item m="1" x="76"/>
        <item m="1" x="78"/>
        <item m="1" x="77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0"/>
    <field x="19"/>
    <field x="25"/>
  </rowFields>
  <rowItems count="8">
    <i>
      <x v="3"/>
    </i>
    <i r="1">
      <x v="10"/>
    </i>
    <i r="2">
      <x v="61"/>
    </i>
    <i r="2">
      <x v="68"/>
    </i>
    <i r="1">
      <x v="37"/>
    </i>
    <i r="2">
      <x v="77"/>
    </i>
    <i r="2">
      <x v="7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тепень зрелости (финометр), %" fld="2" subtotal="average" baseField="20" baseItem="2" numFmtId="3"/>
    <dataField name=" Валовый сбор, т" fld="37" baseField="19" baseItem="7" numFmtId="3"/>
    <dataField name=" Урожайность вал.вес, т/га" fld="34" baseField="19" baseItem="23" numFmtId="165"/>
  </dataFields>
  <formats count="8">
    <format dxfId="1037">
      <pivotArea field="20" type="button" dataOnly="0" labelOnly="1" outline="0" axis="axisRow" fieldPosition="0"/>
    </format>
    <format dxfId="10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5">
      <pivotArea field="20" type="button" dataOnly="0" labelOnly="1" outline="0" axis="axisRow" fieldPosition="0"/>
    </format>
    <format dxfId="10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3">
      <pivotArea field="20" type="button" dataOnly="0" labelOnly="1" outline="0" axis="axisRow" fieldPosition="0"/>
    </format>
    <format dxfId="10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30">
      <pivotArea outline="0" fieldPosition="0">
        <references count="1">
          <reference field="4294967294" count="1">
            <x v="2"/>
          </reference>
        </references>
      </pivotArea>
    </format>
  </formats>
  <chartFormats count="1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DB556-CBC1-4F60-B6BE-93C089DDBF59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2" rowHeaderCaption="Сорт/Поле/Дата уборки">
  <location ref="A10:D36" firstHeaderRow="0" firstDataRow="1" firstDataCol="1"/>
  <pivotFields count="40">
    <pivotField showAll="0"/>
    <pivotField showAll="0"/>
    <pivotField dataField="1" showAll="0"/>
    <pivotField showAll="0"/>
    <pivotField showAll="0"/>
    <pivotField showAll="0"/>
    <pivotField numFmtId="167"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4">
        <item m="1" x="42"/>
        <item m="1" x="41"/>
        <item m="1" x="39"/>
        <item m="1" x="37"/>
        <item m="1" x="38"/>
        <item m="1" x="40"/>
        <item x="19"/>
        <item x="23"/>
        <item x="21"/>
        <item x="25"/>
        <item x="18"/>
        <item x="11"/>
        <item x="6"/>
        <item x="5"/>
        <item x="15"/>
        <item x="17"/>
        <item x="16"/>
        <item x="2"/>
        <item x="3"/>
        <item x="7"/>
        <item x="1"/>
        <item x="4"/>
        <item x="0"/>
        <item x="8"/>
        <item x="20"/>
        <item x="14"/>
        <item x="9"/>
        <item x="10"/>
        <item x="24"/>
        <item x="22"/>
        <item x="13"/>
        <item x="12"/>
        <item x="26"/>
        <item x="27"/>
        <item x="28"/>
        <item x="29"/>
        <item x="31"/>
        <item x="34"/>
        <item x="30"/>
        <item x="32"/>
        <item x="33"/>
        <item m="1" x="35"/>
        <item m="1" x="36"/>
        <item t="default"/>
      </items>
    </pivotField>
    <pivotField axis="axisRow" showAll="0">
      <items count="10">
        <item h="1" m="1" x="8"/>
        <item x="1"/>
        <item h="1" x="5"/>
        <item h="1" x="6"/>
        <item h="1" x="0"/>
        <item h="1" x="4"/>
        <item h="1" x="2"/>
        <item h="1" x="3"/>
        <item h="1" x="7"/>
        <item t="default"/>
      </items>
    </pivotField>
    <pivotField numFmtId="165" showAll="0"/>
    <pivotField showAll="0"/>
    <pivotField showAll="0"/>
    <pivotField numFmtId="3" showAll="0"/>
    <pivotField axis="axisRow" numFmtId="14" showAll="0">
      <items count="80">
        <item m="1" x="75"/>
        <item m="1" x="76"/>
        <item m="1" x="78"/>
        <item m="1" x="77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0"/>
    <field x="19"/>
    <field x="25"/>
  </rowFields>
  <rowItems count="26">
    <i>
      <x v="1"/>
    </i>
    <i r="1">
      <x v="11"/>
    </i>
    <i r="2">
      <x v="56"/>
    </i>
    <i r="2">
      <x v="57"/>
    </i>
    <i r="1">
      <x v="12"/>
    </i>
    <i r="2">
      <x v="52"/>
    </i>
    <i r="1">
      <x v="13"/>
    </i>
    <i r="2">
      <x v="52"/>
    </i>
    <i r="1">
      <x v="20"/>
    </i>
    <i r="2">
      <x v="47"/>
    </i>
    <i r="2">
      <x v="49"/>
    </i>
    <i r="2">
      <x v="50"/>
    </i>
    <i r="2">
      <x v="51"/>
    </i>
    <i r="1">
      <x v="21"/>
    </i>
    <i r="2">
      <x v="52"/>
    </i>
    <i r="1">
      <x v="23"/>
    </i>
    <i r="2">
      <x v="53"/>
    </i>
    <i r="1">
      <x v="26"/>
    </i>
    <i r="2">
      <x v="54"/>
    </i>
    <i r="2">
      <x v="55"/>
    </i>
    <i r="1">
      <x v="27"/>
    </i>
    <i r="2">
      <x v="54"/>
    </i>
    <i r="1">
      <x v="31"/>
    </i>
    <i r="2">
      <x v="56"/>
    </i>
    <i r="2">
      <x v="5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тепень зрелости (финометр), %" fld="2" subtotal="average" baseField="20" baseItem="2" numFmtId="3"/>
    <dataField name=" Валовый сбор, т" fld="37" baseField="19" baseItem="7" numFmtId="3"/>
    <dataField name=" Урожайность вал.вес, т/га" fld="34" baseField="20" baseItem="1" numFmtId="165"/>
  </dataFields>
  <formats count="8">
    <format dxfId="1045">
      <pivotArea field="20" type="button" dataOnly="0" labelOnly="1" outline="0" axis="axisRow" fieldPosition="0"/>
    </format>
    <format dxfId="10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3">
      <pivotArea field="20" type="button" dataOnly="0" labelOnly="1" outline="0" axis="axisRow" fieldPosition="0"/>
    </format>
    <format dxfId="10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1">
      <pivotArea field="20" type="button" dataOnly="0" labelOnly="1" outline="0" axis="axisRow" fieldPosition="0"/>
    </format>
    <format dxfId="10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38">
      <pivotArea outline="0" fieldPosition="0">
        <references count="1">
          <reference field="4294967294" count="1">
            <x v="2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160F-C1F4-475E-9841-9A1496BDC3C2}" name="Сводная таблица4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7" rowHeaderCaption="Сорт/Поле/Дата уборки">
  <location ref="P103:S112" firstHeaderRow="0" firstDataRow="1" firstDataCol="1"/>
  <pivotFields count="40">
    <pivotField showAll="0"/>
    <pivotField showAll="0"/>
    <pivotField dataField="1" showAll="0"/>
    <pivotField showAll="0"/>
    <pivotField showAll="0"/>
    <pivotField showAll="0"/>
    <pivotField numFmtId="167"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4">
        <item m="1" x="42"/>
        <item m="1" x="41"/>
        <item m="1" x="39"/>
        <item m="1" x="37"/>
        <item m="1" x="38"/>
        <item m="1" x="40"/>
        <item x="19"/>
        <item x="23"/>
        <item x="21"/>
        <item x="25"/>
        <item x="18"/>
        <item x="11"/>
        <item x="6"/>
        <item x="5"/>
        <item x="15"/>
        <item x="17"/>
        <item x="16"/>
        <item x="2"/>
        <item x="3"/>
        <item x="7"/>
        <item x="1"/>
        <item x="4"/>
        <item x="0"/>
        <item x="8"/>
        <item x="20"/>
        <item x="14"/>
        <item x="9"/>
        <item x="10"/>
        <item x="24"/>
        <item x="22"/>
        <item x="13"/>
        <item x="12"/>
        <item x="26"/>
        <item x="27"/>
        <item x="28"/>
        <item x="29"/>
        <item x="31"/>
        <item x="34"/>
        <item x="30"/>
        <item x="32"/>
        <item x="33"/>
        <item m="1" x="35"/>
        <item m="1" x="36"/>
        <item t="default"/>
      </items>
    </pivotField>
    <pivotField axis="axisRow" showAll="0">
      <items count="10">
        <item h="1" m="1" x="8"/>
        <item h="1" x="1"/>
        <item h="1" x="5"/>
        <item h="1" x="6"/>
        <item x="0"/>
        <item h="1" x="4"/>
        <item h="1" x="2"/>
        <item h="1" x="3"/>
        <item h="1" x="7"/>
        <item t="default"/>
      </items>
    </pivotField>
    <pivotField numFmtId="165" showAll="0"/>
    <pivotField showAll="0"/>
    <pivotField showAll="0"/>
    <pivotField numFmtId="3" showAll="0"/>
    <pivotField axis="axisRow" numFmtId="14" showAll="0">
      <items count="80">
        <item m="1" x="75"/>
        <item m="1" x="76"/>
        <item m="1" x="78"/>
        <item m="1" x="77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0"/>
    <field x="19"/>
    <field x="25"/>
  </rowFields>
  <rowItems count="9">
    <i>
      <x v="4"/>
    </i>
    <i r="1">
      <x v="17"/>
    </i>
    <i r="2">
      <x v="48"/>
    </i>
    <i r="1">
      <x v="22"/>
    </i>
    <i r="2">
      <x v="46"/>
    </i>
    <i r="2">
      <x v="47"/>
    </i>
    <i r="2">
      <x v="48"/>
    </i>
    <i r="2">
      <x v="4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тепень зрелости (финометр), %" fld="2" subtotal="average" baseField="20" baseItem="2" numFmtId="3"/>
    <dataField name=" Валовый сбор, т" fld="37" baseField="19" baseItem="7" numFmtId="3"/>
    <dataField name=" Урожайность вал.вес, т/га" fld="34" baseField="19" baseItem="23" numFmtId="165"/>
  </dataFields>
  <formats count="8">
    <format dxfId="1053">
      <pivotArea field="20" type="button" dataOnly="0" labelOnly="1" outline="0" axis="axisRow" fieldPosition="0"/>
    </format>
    <format dxfId="10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1">
      <pivotArea field="20" type="button" dataOnly="0" labelOnly="1" outline="0" axis="axisRow" fieldPosition="0"/>
    </format>
    <format dxfId="10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9">
      <pivotArea field="20" type="button" dataOnly="0" labelOnly="1" outline="0" axis="axisRow" fieldPosition="0"/>
    </format>
    <format dxfId="10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46">
      <pivotArea outline="0" fieldPosition="0">
        <references count="1">
          <reference field="4294967294" count="1">
            <x v="2"/>
          </reference>
        </references>
      </pivotArea>
    </format>
  </formats>
  <chartFormats count="2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C7BED-CCDF-4317-82C0-8E4660CC9F09}" name="Сводная таблица10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gridDropZones="1" multipleFieldFilters="0">
  <location ref="J3:N137" firstHeaderRow="2" firstDataRow="2" firstDataCol="4" rowPageCount="1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7" outline="0" showAll="0"/>
    <pivotField compact="0" outline="0" showAll="0"/>
    <pivotField compact="0" numFmtId="167" outline="0" showAll="0"/>
    <pivotField compact="0" outline="0" showAll="0"/>
    <pivotField compact="0" outline="0" showAll="0"/>
    <pivotField axis="axisRow" compact="0" outline="0" showAll="0">
      <items count="46">
        <item x="27"/>
        <item x="31"/>
        <item x="28"/>
        <item x="34"/>
        <item x="35"/>
        <item x="26"/>
        <item x="18"/>
        <item x="17"/>
        <item x="9"/>
        <item x="8"/>
        <item x="7"/>
        <item x="22"/>
        <item x="25"/>
        <item x="24"/>
        <item x="23"/>
        <item x="4"/>
        <item x="3"/>
        <item x="5"/>
        <item x="11"/>
        <item x="13"/>
        <item x="2"/>
        <item x="6"/>
        <item x="1"/>
        <item x="0"/>
        <item x="10"/>
        <item x="12"/>
        <item x="29"/>
        <item x="33"/>
        <item x="14"/>
        <item x="32"/>
        <item x="30"/>
        <item x="19"/>
        <item x="16"/>
        <item x="20"/>
        <item x="15"/>
        <item m="1" x="44"/>
        <item x="36"/>
        <item x="38"/>
        <item x="40"/>
        <item x="43"/>
        <item x="39"/>
        <item x="41"/>
        <item x="42"/>
        <item x="37"/>
        <item x="2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Поле ОТЧЕТ" axis="axisRow" compact="0" outline="0" showAll="0">
      <items count="44">
        <item m="1" x="42"/>
        <item m="1" x="41"/>
        <item m="1" x="39"/>
        <item m="1" x="37"/>
        <item m="1" x="38"/>
        <item m="1" x="40"/>
        <item x="19"/>
        <item x="23"/>
        <item x="21"/>
        <item x="25"/>
        <item x="26"/>
        <item x="18"/>
        <item x="11"/>
        <item x="6"/>
        <item x="5"/>
        <item x="15"/>
        <item x="17"/>
        <item x="16"/>
        <item x="2"/>
        <item x="3"/>
        <item x="7"/>
        <item x="1"/>
        <item x="4"/>
        <item x="0"/>
        <item x="8"/>
        <item x="20"/>
        <item x="14"/>
        <item x="9"/>
        <item x="10"/>
        <item x="24"/>
        <item x="22"/>
        <item x="13"/>
        <item x="12"/>
        <item x="27"/>
        <item x="28"/>
        <item x="29"/>
        <item x="31"/>
        <item x="34"/>
        <item x="30"/>
        <item x="32"/>
        <item x="33"/>
        <item m="1" x="35"/>
        <item m="1" x="36"/>
        <item t="default"/>
      </items>
    </pivotField>
    <pivotField compact="0" outline="0" showAll="0"/>
    <pivotField dataField="1" compact="0" numFmtId="165" outline="0" showAll="0"/>
    <pivotField axis="axisPage" compact="0" outline="0" multipleItemSelectionAllowed="1" showAll="0">
      <items count="14">
        <item h="1" x="2"/>
        <item m="1" x="11"/>
        <item m="1" x="12"/>
        <item h="1" x="0"/>
        <item h="1" x="1"/>
        <item m="1" x="10"/>
        <item m="1" x="9"/>
        <item x="3"/>
        <item m="1" x="8"/>
        <item m="1" x="7"/>
        <item h="1" m="1" x="6"/>
        <item h="1" m="1" x="5"/>
        <item h="1" m="1" x="4"/>
        <item t="default"/>
      </items>
    </pivotField>
    <pivotField compact="0" outline="0" showAll="0"/>
    <pivotField compact="0" numFmtId="3" outline="0" showAll="0"/>
    <pivotField axis="axisRow" compact="0" numFmtId="14" outline="0" showAll="0" defaultSubtotal="0">
      <items count="79">
        <item m="1" x="75"/>
        <item m="1" x="76"/>
        <item m="1" x="78"/>
        <item m="1" x="77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compact="0" outline="0" showAll="0"/>
    <pivotField compact="0" outline="0" showAll="0"/>
    <pivotField compact="0" outline="0" showAll="0"/>
    <pivotField compact="0" outline="0" showAll="0"/>
    <pivotField name="№ акта входного контроля" axis="axisRow" compact="0" outline="0" showAll="0" defaultSubtotal="0">
      <items count="7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34"/>
        <item x="33"/>
        <item x="35"/>
        <item x="23"/>
        <item x="25"/>
        <item x="26"/>
        <item x="27"/>
        <item x="28"/>
        <item x="29"/>
        <item x="30"/>
        <item x="31"/>
        <item x="32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8"/>
        <item x="67"/>
        <item x="66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5"/>
        <item x="96"/>
        <item x="97"/>
        <item x="98"/>
        <item x="99"/>
        <item x="100"/>
        <item x="101"/>
        <item x="102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20"/>
        <item x="121"/>
        <item x="122"/>
        <item x="125"/>
        <item x="124"/>
        <item x="127"/>
        <item x="129"/>
        <item x="131"/>
        <item x="132"/>
        <item x="133"/>
        <item x="137"/>
        <item x="139"/>
        <item x="140"/>
        <item x="142"/>
        <item x="141"/>
        <item x="143"/>
        <item x="144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5"/>
        <item x="197"/>
        <item x="196"/>
        <item x="198"/>
        <item x="200"/>
        <item x="201"/>
        <item x="202"/>
        <item x="204"/>
        <item x="205"/>
        <item x="206"/>
        <item x="207"/>
        <item x="209"/>
        <item x="210"/>
        <item x="208"/>
        <item x="211"/>
        <item x="212"/>
        <item x="213"/>
        <item x="215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94"/>
        <item x="235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x="268"/>
        <item x="269"/>
        <item x="271"/>
        <item x="270"/>
        <item x="272"/>
        <item x="273"/>
        <item x="274"/>
        <item x="275"/>
        <item x="276"/>
        <item x="277"/>
        <item x="103"/>
        <item x="104"/>
        <item x="93"/>
        <item x="278"/>
        <item x="118"/>
        <item x="279"/>
        <item x="119"/>
        <item x="280"/>
        <item x="241"/>
        <item x="266"/>
        <item x="123"/>
        <item x="126"/>
        <item x="130"/>
        <item x="281"/>
        <item x="138"/>
        <item x="282"/>
        <item x="154"/>
        <item x="128"/>
        <item x="134"/>
        <item x="283"/>
        <item x="284"/>
        <item x="286"/>
        <item x="28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135"/>
        <item x="136"/>
        <item x="145"/>
        <item x="299"/>
        <item x="300"/>
        <item x="187"/>
        <item x="301"/>
        <item x="302"/>
        <item x="303"/>
        <item x="174"/>
        <item x="179"/>
        <item x="304"/>
        <item x="305"/>
        <item x="306"/>
        <item x="307"/>
        <item x="308"/>
        <item x="309"/>
        <item x="310"/>
        <item x="311"/>
        <item x="312"/>
        <item x="314"/>
        <item x="313"/>
        <item x="315"/>
        <item x="316"/>
        <item x="317"/>
        <item x="318"/>
        <item x="319"/>
        <item x="320"/>
        <item x="321"/>
        <item x="322"/>
        <item x="324"/>
        <item x="323"/>
        <item x="325"/>
        <item x="326"/>
        <item x="327"/>
        <item x="194"/>
        <item x="199"/>
        <item x="203"/>
        <item x="328"/>
        <item x="329"/>
        <item x="330"/>
        <item x="331"/>
        <item x="332"/>
        <item x="333"/>
        <item x="334"/>
        <item x="336"/>
        <item x="337"/>
        <item x="338"/>
        <item x="339"/>
        <item x="335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9"/>
        <item x="390"/>
        <item x="388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6"/>
        <item x="405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8"/>
        <item x="439"/>
        <item x="436"/>
        <item x="437"/>
        <item x="440"/>
        <item x="441"/>
        <item x="442"/>
        <item x="443"/>
        <item x="444"/>
        <item x="446"/>
        <item x="449"/>
        <item x="448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8"/>
        <item x="507"/>
        <item x="509"/>
        <item x="510"/>
        <item x="511"/>
        <item x="512"/>
        <item x="478"/>
        <item x="513"/>
        <item x="514"/>
        <item x="515"/>
        <item x="516"/>
        <item x="518"/>
        <item x="517"/>
        <item x="519"/>
        <item x="520"/>
        <item x="521"/>
        <item x="522"/>
        <item x="523"/>
        <item x="524"/>
        <item x="525"/>
        <item x="526"/>
        <item x="527"/>
        <item x="528"/>
        <item x="531"/>
        <item x="533"/>
        <item x="534"/>
        <item x="676"/>
        <item x="536"/>
        <item x="532"/>
        <item x="535"/>
        <item x="539"/>
        <item x="541"/>
        <item x="529"/>
        <item x="530"/>
        <item x="537"/>
        <item x="538"/>
        <item x="540"/>
        <item x="542"/>
        <item x="543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8"/>
        <item x="563"/>
        <item x="557"/>
        <item x="559"/>
        <item x="560"/>
        <item x="561"/>
        <item x="562"/>
        <item x="564"/>
        <item x="565"/>
        <item x="566"/>
        <item x="567"/>
        <item x="568"/>
        <item x="569"/>
        <item x="570"/>
        <item x="571"/>
        <item x="572"/>
        <item x="618"/>
        <item x="574"/>
        <item x="619"/>
        <item x="620"/>
        <item x="622"/>
        <item x="624"/>
        <item x="621"/>
        <item x="623"/>
        <item x="626"/>
        <item x="625"/>
        <item x="573"/>
        <item x="628"/>
        <item x="627"/>
        <item x="629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7"/>
        <item x="632"/>
        <item x="586"/>
        <item x="630"/>
        <item x="631"/>
        <item x="633"/>
        <item x="637"/>
        <item x="638"/>
        <item x="635"/>
        <item x="636"/>
        <item x="634"/>
        <item x="640"/>
        <item x="641"/>
        <item x="639"/>
        <item x="642"/>
        <item x="643"/>
        <item x="644"/>
        <item x="646"/>
        <item x="645"/>
        <item x="588"/>
        <item x="589"/>
        <item x="590"/>
        <item x="591"/>
        <item x="592"/>
        <item x="593"/>
        <item x="594"/>
        <item x="598"/>
        <item x="596"/>
        <item x="599"/>
        <item x="595"/>
        <item x="597"/>
        <item x="600"/>
        <item x="601"/>
        <item x="602"/>
        <item x="647"/>
        <item x="648"/>
        <item x="650"/>
        <item x="649"/>
        <item x="651"/>
        <item x="652"/>
        <item x="653"/>
        <item x="654"/>
        <item x="655"/>
        <item x="656"/>
        <item x="657"/>
        <item x="658"/>
        <item x="659"/>
        <item x="660"/>
        <item x="603"/>
        <item x="604"/>
        <item x="608"/>
        <item x="605"/>
        <item x="609"/>
        <item x="606"/>
        <item x="610"/>
        <item x="607"/>
        <item x="611"/>
        <item x="613"/>
        <item x="612"/>
        <item x="614"/>
        <item x="616"/>
        <item x="544"/>
        <item x="445"/>
        <item x="447"/>
        <item x="615"/>
        <item x="617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4">
    <field x="19"/>
    <field x="25"/>
    <field x="30"/>
    <field x="11"/>
  </rowFields>
  <rowItems count="133">
    <i>
      <x v="9"/>
      <x v="67"/>
      <x v="452"/>
      <x v="3"/>
    </i>
    <i r="2">
      <x v="454"/>
      <x v="3"/>
    </i>
    <i r="2">
      <x v="455"/>
      <x v="3"/>
    </i>
    <i r="2">
      <x v="460"/>
      <x v="3"/>
    </i>
    <i r="2">
      <x v="464"/>
      <x v="3"/>
    </i>
    <i r="2">
      <x v="703"/>
      <x v="3"/>
    </i>
    <i r="2">
      <x v="704"/>
      <x v="3"/>
    </i>
    <i r="2">
      <x v="705"/>
      <x v="3"/>
    </i>
    <i r="2">
      <x v="706"/>
      <x v="3"/>
    </i>
    <i r="1">
      <x v="68"/>
      <x v="478"/>
      <x v="3"/>
    </i>
    <i r="2">
      <x v="479"/>
      <x v="3"/>
    </i>
    <i r="2">
      <x v="480"/>
      <x v="3"/>
    </i>
    <i r="2">
      <x v="510"/>
      <x v="3"/>
    </i>
    <i r="1">
      <x v="69"/>
      <x v="481"/>
      <x v="3"/>
    </i>
    <i r="2">
      <x v="482"/>
      <x v="3"/>
    </i>
    <i r="2">
      <x v="483"/>
      <x v="3"/>
    </i>
    <i r="2">
      <x v="484"/>
      <x v="3"/>
    </i>
    <i t="default">
      <x v="9"/>
    </i>
    <i>
      <x v="10"/>
      <x v="69"/>
      <x v="499"/>
      <x v="4"/>
    </i>
    <i r="2">
      <x v="500"/>
      <x v="4"/>
    </i>
    <i r="2">
      <x v="501"/>
      <x v="4"/>
    </i>
    <i r="1">
      <x v="70"/>
      <x v="486"/>
      <x v="4"/>
    </i>
    <i r="2">
      <x v="487"/>
      <x v="4"/>
    </i>
    <i r="2">
      <x v="491"/>
      <x v="4"/>
    </i>
    <i r="2">
      <x v="502"/>
      <x v="4"/>
    </i>
    <i r="2">
      <x v="503"/>
      <x v="4"/>
    </i>
    <i r="2">
      <x v="504"/>
      <x v="4"/>
    </i>
    <i r="2">
      <x v="505"/>
      <x v="4"/>
    </i>
    <i r="2">
      <x v="506"/>
      <x v="4"/>
    </i>
    <i r="2">
      <x v="507"/>
      <x v="4"/>
    </i>
    <i r="2">
      <x v="508"/>
      <x v="4"/>
    </i>
    <i r="2">
      <x v="509"/>
      <x v="4"/>
    </i>
    <i r="2">
      <x v="511"/>
      <x v="4"/>
    </i>
    <i r="2">
      <x v="512"/>
      <x v="4"/>
    </i>
    <i r="2">
      <x v="513"/>
      <x v="4"/>
    </i>
    <i r="2">
      <x v="527"/>
      <x v="4"/>
    </i>
    <i r="2">
      <x v="528"/>
      <x v="4"/>
    </i>
    <i r="2">
      <x v="529"/>
      <x v="4"/>
    </i>
    <i r="2">
      <x v="531"/>
      <x v="4"/>
    </i>
    <i r="1">
      <x v="71"/>
      <x v="492"/>
      <x v="4"/>
    </i>
    <i r="2">
      <x v="493"/>
      <x v="4"/>
    </i>
    <i r="2">
      <x v="494"/>
      <x v="4"/>
    </i>
    <i r="2">
      <x v="495"/>
      <x v="4"/>
    </i>
    <i r="2">
      <x v="496"/>
      <x v="4"/>
    </i>
    <i r="2">
      <x v="497"/>
      <x v="4"/>
    </i>
    <i r="2">
      <x v="498"/>
      <x v="4"/>
    </i>
    <i r="2">
      <x v="514"/>
      <x v="4"/>
    </i>
    <i r="2">
      <x v="515"/>
      <x v="4"/>
    </i>
    <i r="2">
      <x v="516"/>
      <x v="4"/>
    </i>
    <i r="2">
      <x v="517"/>
      <x v="4"/>
    </i>
    <i r="2">
      <x v="518"/>
      <x v="4"/>
    </i>
    <i r="2">
      <x v="519"/>
      <x v="4"/>
    </i>
    <i r="2">
      <x v="520"/>
      <x v="4"/>
    </i>
    <i r="2">
      <x v="521"/>
      <x v="4"/>
    </i>
    <i r="2">
      <x v="522"/>
      <x v="4"/>
    </i>
    <i r="2">
      <x v="523"/>
      <x v="4"/>
    </i>
    <i r="2">
      <x v="524"/>
      <x v="4"/>
    </i>
    <i r="2">
      <x v="525"/>
      <x v="4"/>
    </i>
    <i r="2">
      <x v="526"/>
      <x v="4"/>
    </i>
    <i r="1">
      <x v="72"/>
      <x v="536"/>
      <x v="4"/>
    </i>
    <i r="2">
      <x v="537"/>
      <x v="4"/>
    </i>
    <i r="2">
      <x v="538"/>
      <x v="4"/>
    </i>
    <i r="2">
      <x v="539"/>
      <x v="4"/>
    </i>
    <i r="2">
      <x v="540"/>
      <x v="4"/>
    </i>
    <i r="2">
      <x v="541"/>
      <x v="4"/>
    </i>
    <i t="default">
      <x v="10"/>
    </i>
    <i>
      <x v="34"/>
      <x v="72"/>
      <x v="542"/>
      <x v="3"/>
    </i>
    <i r="2">
      <x v="543"/>
      <x v="43"/>
    </i>
    <i r="2">
      <x v="545"/>
      <x v="43"/>
    </i>
    <i r="2">
      <x v="547"/>
      <x v="43"/>
    </i>
    <i r="1">
      <x v="76"/>
      <x v="618"/>
      <x v="43"/>
    </i>
    <i r="2">
      <x v="623"/>
      <x v="43"/>
    </i>
    <i r="1">
      <x v="77"/>
      <x v="646"/>
      <x v="43"/>
    </i>
    <i r="2">
      <x v="647"/>
      <x v="43"/>
    </i>
    <i r="2">
      <x v="649"/>
      <x v="43"/>
    </i>
    <i r="2">
      <x v="650"/>
      <x v="43"/>
    </i>
    <i r="2">
      <x v="653"/>
      <x v="43"/>
    </i>
    <i r="2">
      <x v="655"/>
      <x v="43"/>
    </i>
    <i r="1">
      <x v="78"/>
      <x v="614"/>
      <x v="43"/>
    </i>
    <i r="2">
      <x v="632"/>
      <x v="43"/>
    </i>
    <i r="2">
      <x v="635"/>
      <x v="43"/>
    </i>
    <i r="2">
      <x v="636"/>
      <x v="43"/>
    </i>
    <i r="2">
      <x v="638"/>
      <x v="43"/>
    </i>
    <i r="2">
      <x v="641"/>
      <x v="43"/>
    </i>
    <i r="2">
      <x v="642"/>
      <x v="43"/>
    </i>
    <i r="2">
      <x v="656"/>
      <x v="43"/>
    </i>
    <i r="2">
      <x v="663"/>
      <x v="43"/>
    </i>
    <i r="2">
      <x v="665"/>
      <x v="43"/>
    </i>
    <i r="2">
      <x v="666"/>
      <x v="43"/>
    </i>
    <i r="2">
      <x v="667"/>
      <x v="43"/>
    </i>
    <i t="default">
      <x v="34"/>
    </i>
    <i>
      <x v="35"/>
      <x v="73"/>
      <x v="553"/>
      <x v="37"/>
    </i>
    <i r="2">
      <x v="557"/>
      <x v="37"/>
    </i>
    <i r="2">
      <x v="558"/>
      <x v="37"/>
    </i>
    <i r="2">
      <x v="559"/>
      <x v="37"/>
    </i>
    <i r="2">
      <x v="561"/>
      <x v="37"/>
    </i>
    <i r="2">
      <x v="562"/>
      <x v="37"/>
    </i>
    <i r="2">
      <x v="564"/>
      <x v="37"/>
    </i>
    <i r="2">
      <x v="565"/>
      <x v="37"/>
    </i>
    <i r="2">
      <x v="567"/>
      <x v="37"/>
    </i>
    <i r="2">
      <x v="568"/>
      <x v="37"/>
    </i>
    <i r="2">
      <x v="570"/>
      <x v="37"/>
    </i>
    <i r="1">
      <x v="78"/>
      <x v="669"/>
      <x v="37"/>
    </i>
    <i r="2">
      <x v="670"/>
      <x v="37"/>
    </i>
    <i r="2">
      <x v="671"/>
      <x v="37"/>
    </i>
    <i r="2">
      <x v="674"/>
      <x v="37"/>
    </i>
    <i r="2">
      <x v="675"/>
      <x v="37"/>
    </i>
    <i r="2">
      <x v="676"/>
      <x v="37"/>
    </i>
    <i t="default">
      <x v="35"/>
    </i>
    <i>
      <x v="36"/>
      <x v="74"/>
      <x v="572"/>
      <x v="38"/>
    </i>
    <i r="1">
      <x v="78"/>
      <x v="571"/>
      <x v="38"/>
    </i>
    <i r="2">
      <x v="577"/>
      <x v="38"/>
    </i>
    <i r="2">
      <x v="578"/>
      <x v="38"/>
    </i>
    <i r="2">
      <x v="580"/>
      <x v="38"/>
    </i>
    <i r="2">
      <x v="583"/>
      <x v="38"/>
    </i>
    <i r="2">
      <x v="584"/>
      <x v="38"/>
    </i>
    <i r="2">
      <x v="610"/>
      <x v="38"/>
    </i>
    <i r="2">
      <x v="612"/>
      <x v="38"/>
    </i>
    <i t="default">
      <x v="36"/>
    </i>
    <i>
      <x v="39"/>
      <x v="74"/>
      <x v="586"/>
      <x v="41"/>
    </i>
    <i r="2">
      <x v="588"/>
      <x v="41"/>
    </i>
    <i r="2">
      <x v="590"/>
      <x v="41"/>
    </i>
    <i r="2">
      <x v="591"/>
      <x v="41"/>
    </i>
    <i r="1">
      <x v="75"/>
      <x v="595"/>
      <x v="41"/>
    </i>
    <i r="2">
      <x v="598"/>
      <x v="41"/>
    </i>
    <i r="1">
      <x v="78"/>
      <x v="600"/>
      <x v="41"/>
    </i>
    <i r="2">
      <x v="601"/>
      <x v="41"/>
    </i>
    <i r="2">
      <x v="603"/>
      <x v="41"/>
    </i>
    <i r="2">
      <x v="604"/>
      <x v="41"/>
    </i>
    <i r="2">
      <x v="605"/>
      <x v="41"/>
    </i>
    <i r="2">
      <x v="608"/>
      <x v="41"/>
    </i>
    <i t="default">
      <x v="39"/>
    </i>
    <i t="grand">
      <x/>
    </i>
  </rowItems>
  <colItems count="1">
    <i/>
  </colItems>
  <pageFields count="1">
    <pageField fld="22" hier="-1"/>
  </pageFields>
  <dataFields count="1">
    <dataField name=" Площадь уборки, га" fld="21" baseField="11" baseItem="0" numFmtId="165"/>
  </dataFields>
  <formats count="49">
    <format dxfId="830">
      <pivotArea outline="0" fieldPosition="0">
        <references count="4">
          <reference field="11" count="1" selected="0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6" selected="0">
            <x v="340"/>
            <x v="341"/>
            <x v="342"/>
            <x v="345"/>
            <x v="347"/>
            <x v="349"/>
            <x v="352"/>
            <x v="354"/>
            <x v="356"/>
            <x v="359"/>
            <x v="362"/>
            <x v="363"/>
            <x v="365"/>
            <x v="367"/>
            <x v="368"/>
            <x v="369"/>
          </reference>
        </references>
      </pivotArea>
    </format>
    <format dxfId="829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0"/>
          </reference>
        </references>
      </pivotArea>
    </format>
    <format dxfId="828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1"/>
          </reference>
        </references>
      </pivotArea>
    </format>
    <format dxfId="827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2"/>
          </reference>
        </references>
      </pivotArea>
    </format>
    <format dxfId="826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5"/>
          </reference>
        </references>
      </pivotArea>
    </format>
    <format dxfId="825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7"/>
          </reference>
        </references>
      </pivotArea>
    </format>
    <format dxfId="824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9"/>
          </reference>
        </references>
      </pivotArea>
    </format>
    <format dxfId="823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52"/>
          </reference>
        </references>
      </pivotArea>
    </format>
    <format dxfId="822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54"/>
          </reference>
        </references>
      </pivotArea>
    </format>
    <format dxfId="821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56"/>
          </reference>
        </references>
      </pivotArea>
    </format>
    <format dxfId="820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59"/>
          </reference>
        </references>
      </pivotArea>
    </format>
    <format dxfId="819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2"/>
          </reference>
        </references>
      </pivotArea>
    </format>
    <format dxfId="818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3"/>
          </reference>
        </references>
      </pivotArea>
    </format>
    <format dxfId="817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5"/>
          </reference>
        </references>
      </pivotArea>
    </format>
    <format dxfId="816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7"/>
          </reference>
        </references>
      </pivotArea>
    </format>
    <format dxfId="815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8"/>
          </reference>
        </references>
      </pivotArea>
    </format>
    <format dxfId="814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9"/>
          </reference>
        </references>
      </pivotArea>
    </format>
    <format dxfId="813">
      <pivotArea outline="0" fieldPosition="0">
        <references count="4">
          <reference field="11" count="2" selected="0">
            <x v="1"/>
            <x v="35"/>
          </reference>
          <reference field="19" count="1" selected="0">
            <x v="8"/>
          </reference>
          <reference field="25" count="2" selected="0">
            <x v="67"/>
            <x v="68"/>
          </reference>
          <reference field="30" count="7" selected="0">
            <x v="467"/>
            <x v="470"/>
            <x v="473"/>
            <x v="474"/>
            <x v="475"/>
            <x v="476"/>
            <x v="477"/>
          </reference>
        </references>
      </pivotArea>
    </format>
    <format dxfId="812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67"/>
          </reference>
        </references>
      </pivotArea>
    </format>
    <format dxfId="811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0"/>
          </reference>
        </references>
      </pivotArea>
    </format>
    <format dxfId="810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3"/>
          </reference>
        </references>
      </pivotArea>
    </format>
    <format dxfId="809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4"/>
          </reference>
        </references>
      </pivotArea>
    </format>
    <format dxfId="808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5"/>
          </reference>
        </references>
      </pivotArea>
    </format>
    <format dxfId="807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6"/>
          </reference>
        </references>
      </pivotArea>
    </format>
    <format dxfId="806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7"/>
          </reference>
        </references>
      </pivotArea>
    </format>
    <format dxfId="805">
      <pivotArea outline="0" fieldPosition="0">
        <references count="4">
          <reference field="11" count="1" selected="0">
            <x v="1"/>
          </reference>
          <reference field="19" count="1" selected="0">
            <x v="8"/>
          </reference>
          <reference field="25" count="2" selected="0">
            <x v="69"/>
            <x v="70"/>
          </reference>
          <reference field="30" count="5" selected="0">
            <x v="485"/>
            <x v="488"/>
            <x v="489"/>
            <x v="490"/>
            <x v="530"/>
          </reference>
        </references>
      </pivotArea>
    </format>
    <format dxfId="804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9"/>
          </reference>
          <reference field="30" count="1" selected="0">
            <x v="485"/>
          </reference>
        </references>
      </pivotArea>
    </format>
    <format dxfId="803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9"/>
          </reference>
          <reference field="30" count="1" selected="0">
            <x v="530"/>
          </reference>
        </references>
      </pivotArea>
    </format>
    <format dxfId="802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70"/>
          </reference>
          <reference field="30" count="1" selected="0">
            <x v="488"/>
          </reference>
        </references>
      </pivotArea>
    </format>
    <format dxfId="801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70"/>
          </reference>
          <reference field="30" count="1" selected="0">
            <x v="489"/>
          </reference>
        </references>
      </pivotArea>
    </format>
    <format dxfId="800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70"/>
          </reference>
          <reference field="30" count="1" selected="0">
            <x v="490"/>
          </reference>
        </references>
      </pivotArea>
    </format>
    <format dxfId="799">
      <pivotArea type="origin" dataOnly="0" labelOnly="1" outline="0" fieldPosition="0"/>
    </format>
    <format dxfId="798">
      <pivotArea field="19" type="button" dataOnly="0" labelOnly="1" outline="0" axis="axisRow" fieldPosition="0"/>
    </format>
    <format dxfId="797">
      <pivotArea field="25" type="button" dataOnly="0" labelOnly="1" outline="0" axis="axisRow" fieldPosition="1"/>
    </format>
    <format dxfId="796">
      <pivotArea field="30" type="button" dataOnly="0" labelOnly="1" outline="0" axis="axisRow" fieldPosition="2"/>
    </format>
    <format dxfId="795">
      <pivotArea field="11" type="button" dataOnly="0" labelOnly="1" outline="0" axis="axisRow" fieldPosition="3"/>
    </format>
    <format dxfId="794">
      <pivotArea type="topRight" dataOnly="0" labelOnly="1" outline="0" fieldPosition="0"/>
    </format>
    <format dxfId="793">
      <pivotArea type="origin" dataOnly="0" labelOnly="1" outline="0" fieldPosition="0"/>
    </format>
    <format dxfId="792">
      <pivotArea field="19" type="button" dataOnly="0" labelOnly="1" outline="0" axis="axisRow" fieldPosition="0"/>
    </format>
    <format dxfId="791">
      <pivotArea field="25" type="button" dataOnly="0" labelOnly="1" outline="0" axis="axisRow" fieldPosition="1"/>
    </format>
    <format dxfId="790">
      <pivotArea field="30" type="button" dataOnly="0" labelOnly="1" outline="0" axis="axisRow" fieldPosition="2"/>
    </format>
    <format dxfId="789">
      <pivotArea field="11" type="button" dataOnly="0" labelOnly="1" outline="0" axis="axisRow" fieldPosition="3"/>
    </format>
    <format dxfId="788">
      <pivotArea type="topRight" dataOnly="0" labelOnly="1" outline="0" fieldPosition="0"/>
    </format>
    <format dxfId="787">
      <pivotArea type="origin" dataOnly="0" labelOnly="1" outline="0" fieldPosition="0"/>
    </format>
    <format dxfId="786">
      <pivotArea field="19" type="button" dataOnly="0" labelOnly="1" outline="0" axis="axisRow" fieldPosition="0"/>
    </format>
    <format dxfId="785">
      <pivotArea field="25" type="button" dataOnly="0" labelOnly="1" outline="0" axis="axisRow" fieldPosition="1"/>
    </format>
    <format dxfId="784">
      <pivotArea field="30" type="button" dataOnly="0" labelOnly="1" outline="0" axis="axisRow" fieldPosition="2"/>
    </format>
    <format dxfId="783">
      <pivotArea field="11" type="button" dataOnly="0" labelOnly="1" outline="0" axis="axisRow" fieldPosition="3"/>
    </format>
    <format dxfId="782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A0FE3-787A-4B88-83E6-E9EDC5ED59B6}" name="Сводная таблица9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gridDropZones="1" multipleFieldFilters="0">
  <location ref="A3:G116" firstHeaderRow="1" firstDataRow="2" firstDataCol="5" rowPageCount="1" colPageCount="1"/>
  <pivotFields count="40">
    <pivotField compact="0" outline="0" showAll="0"/>
    <pivotField compact="0" outline="0" showAll="0"/>
    <pivotField compact="0" outline="0" showAll="0"/>
    <pivotField name="№ взвешивания" axis="axisRow" compact="0" outline="0" showAll="0" defaultSubtotal="0">
      <items count="6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31"/>
        <item x="533"/>
        <item x="534"/>
        <item x="536"/>
        <item x="676"/>
        <item x="532"/>
        <item x="535"/>
        <item x="539"/>
        <item x="541"/>
        <item x="529"/>
        <item x="530"/>
        <item x="537"/>
        <item x="538"/>
        <item x="540"/>
        <item x="542"/>
        <item x="543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8"/>
        <item x="563"/>
        <item x="557"/>
        <item x="559"/>
        <item x="560"/>
        <item x="561"/>
        <item x="562"/>
        <item x="564"/>
        <item x="565"/>
        <item x="566"/>
        <item x="567"/>
        <item x="568"/>
        <item x="569"/>
        <item x="570"/>
        <item x="571"/>
        <item x="572"/>
        <item x="618"/>
        <item x="619"/>
        <item x="620"/>
        <item x="621"/>
        <item x="622"/>
        <item x="624"/>
        <item x="623"/>
        <item x="625"/>
        <item x="628"/>
        <item x="627"/>
        <item x="573"/>
        <item x="626"/>
        <item x="629"/>
        <item x="574"/>
        <item x="575"/>
        <item x="576"/>
        <item x="577"/>
        <item x="578"/>
        <item x="579"/>
        <item x="580"/>
        <item x="581"/>
        <item x="582"/>
        <item x="583"/>
        <item x="544"/>
        <item x="584"/>
        <item x="585"/>
        <item x="587"/>
        <item x="632"/>
        <item x="586"/>
        <item x="630"/>
        <item x="631"/>
        <item x="633"/>
        <item x="637"/>
        <item x="638"/>
        <item x="635"/>
        <item x="636"/>
        <item x="634"/>
        <item x="640"/>
        <item x="641"/>
        <item x="639"/>
        <item x="642"/>
        <item x="643"/>
        <item x="644"/>
        <item x="646"/>
        <item x="645"/>
        <item x="588"/>
        <item x="589"/>
        <item x="590"/>
        <item x="591"/>
        <item x="592"/>
        <item x="593"/>
        <item x="594"/>
        <item x="598"/>
        <item x="596"/>
        <item x="599"/>
        <item x="595"/>
        <item x="597"/>
        <item x="600"/>
        <item x="601"/>
        <item x="602"/>
        <item x="647"/>
        <item x="648"/>
        <item x="650"/>
        <item x="649"/>
        <item x="651"/>
        <item x="652"/>
        <item x="653"/>
        <item x="654"/>
        <item x="655"/>
        <item x="656"/>
        <item x="657"/>
        <item x="658"/>
        <item x="659"/>
        <item x="660"/>
        <item x="603"/>
        <item x="604"/>
        <item x="608"/>
        <item x="605"/>
        <item x="609"/>
        <item x="606"/>
        <item x="610"/>
        <item x="607"/>
        <item x="611"/>
        <item x="613"/>
        <item x="612"/>
        <item x="614"/>
        <item x="616"/>
        <item x="615"/>
        <item x="617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m="1" x="677"/>
      </items>
    </pivotField>
    <pivotField compact="0" outline="0" showAll="0"/>
    <pivotField compact="0" outline="0" showAll="0"/>
    <pivotField dataField="1" compact="0" numFmtId="167" outline="0" showAll="0"/>
    <pivotField compact="0" outline="0" showAll="0"/>
    <pivotField compact="0" numFmtId="167" outline="0" showAll="0"/>
    <pivotField compact="0" outline="0" showAll="0"/>
    <pivotField compact="0" outline="0" showAll="0"/>
    <pivotField name="Поле акт/ТТН" axis="axisRow" compact="0" outline="0" showAll="0">
      <items count="46">
        <item x="27"/>
        <item x="31"/>
        <item x="28"/>
        <item x="34"/>
        <item x="35"/>
        <item x="26"/>
        <item x="18"/>
        <item x="17"/>
        <item x="9"/>
        <item x="8"/>
        <item x="7"/>
        <item x="22"/>
        <item x="25"/>
        <item x="24"/>
        <item x="23"/>
        <item x="4"/>
        <item x="3"/>
        <item x="5"/>
        <item x="11"/>
        <item x="13"/>
        <item x="2"/>
        <item x="6"/>
        <item x="1"/>
        <item x="0"/>
        <item x="10"/>
        <item x="12"/>
        <item x="29"/>
        <item x="33"/>
        <item x="14"/>
        <item x="32"/>
        <item x="30"/>
        <item x="19"/>
        <item x="16"/>
        <item x="20"/>
        <item x="15"/>
        <item m="1" x="44"/>
        <item x="36"/>
        <item x="38"/>
        <item x="40"/>
        <item x="43"/>
        <item x="39"/>
        <item x="41"/>
        <item x="42"/>
        <item x="37"/>
        <item x="2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Поле ОТЧЕТ" axis="axisRow" compact="0" outline="0" showAll="0">
      <items count="44">
        <item m="1" x="42"/>
        <item m="1" x="41"/>
        <item m="1" x="39"/>
        <item m="1" x="37"/>
        <item m="1" x="38"/>
        <item m="1" x="40"/>
        <item x="19"/>
        <item x="23"/>
        <item x="21"/>
        <item x="25"/>
        <item x="26"/>
        <item x="18"/>
        <item x="11"/>
        <item x="6"/>
        <item x="5"/>
        <item x="15"/>
        <item x="17"/>
        <item x="16"/>
        <item x="2"/>
        <item x="3"/>
        <item x="7"/>
        <item x="1"/>
        <item x="4"/>
        <item x="0"/>
        <item x="8"/>
        <item x="20"/>
        <item x="14"/>
        <item x="9"/>
        <item x="10"/>
        <item x="24"/>
        <item x="22"/>
        <item x="13"/>
        <item x="12"/>
        <item x="27"/>
        <item x="28"/>
        <item x="29"/>
        <item x="31"/>
        <item x="34"/>
        <item x="30"/>
        <item x="32"/>
        <item x="33"/>
        <item m="1" x="35"/>
        <item m="1" x="36"/>
        <item t="default"/>
      </items>
    </pivotField>
    <pivotField compact="0" outline="0" showAll="0"/>
    <pivotField dataField="1" compact="0" numFmtId="165" outline="0" showAll="0"/>
    <pivotField axis="axisPage" compact="0" outline="0" multipleItemSelectionAllowed="1" showAll="0">
      <items count="14">
        <item x="2"/>
        <item m="1" x="11"/>
        <item m="1" x="12"/>
        <item h="1" x="0"/>
        <item h="1" x="1"/>
        <item m="1" x="10"/>
        <item m="1" x="9"/>
        <item h="1" x="3"/>
        <item m="1" x="8"/>
        <item m="1" x="7"/>
        <item h="1" m="1" x="6"/>
        <item h="1" m="1" x="5"/>
        <item h="1" m="1" x="4"/>
        <item t="default"/>
      </items>
    </pivotField>
    <pivotField compact="0" outline="0" showAll="0"/>
    <pivotField compact="0" numFmtId="3" outline="0" showAll="0"/>
    <pivotField axis="axisRow" compact="0" numFmtId="14" outline="0" showAll="0" defaultSubtotal="0">
      <items count="79">
        <item m="1" x="75"/>
        <item m="1" x="76"/>
        <item m="1" x="78"/>
        <item m="1" x="77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compact="0" outline="0" showAll="0"/>
    <pivotField compact="0" outline="0" showAll="0"/>
    <pivotField compact="0" outline="0" showAll="0"/>
    <pivotField compact="0" outline="0" showAll="0"/>
    <pivotField name="№ акта входного контроля" axis="axisRow" compact="0" outline="0" showAll="0" defaultSubtotal="0">
      <items count="7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34"/>
        <item x="33"/>
        <item x="35"/>
        <item x="23"/>
        <item x="25"/>
        <item x="26"/>
        <item x="27"/>
        <item x="28"/>
        <item x="29"/>
        <item x="30"/>
        <item x="31"/>
        <item x="32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8"/>
        <item x="67"/>
        <item x="66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5"/>
        <item x="96"/>
        <item x="97"/>
        <item x="98"/>
        <item x="99"/>
        <item x="100"/>
        <item x="101"/>
        <item x="102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20"/>
        <item x="121"/>
        <item x="122"/>
        <item x="125"/>
        <item x="124"/>
        <item x="127"/>
        <item x="129"/>
        <item x="131"/>
        <item x="132"/>
        <item x="133"/>
        <item x="137"/>
        <item x="139"/>
        <item x="140"/>
        <item x="142"/>
        <item x="141"/>
        <item x="143"/>
        <item x="144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5"/>
        <item x="197"/>
        <item x="196"/>
        <item x="198"/>
        <item x="200"/>
        <item x="201"/>
        <item x="202"/>
        <item x="204"/>
        <item x="205"/>
        <item x="206"/>
        <item x="207"/>
        <item x="209"/>
        <item x="210"/>
        <item x="208"/>
        <item x="211"/>
        <item x="212"/>
        <item x="213"/>
        <item x="215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94"/>
        <item x="235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x="268"/>
        <item x="269"/>
        <item x="271"/>
        <item x="270"/>
        <item x="272"/>
        <item x="273"/>
        <item x="274"/>
        <item x="275"/>
        <item x="276"/>
        <item x="277"/>
        <item x="103"/>
        <item x="104"/>
        <item x="93"/>
        <item x="278"/>
        <item x="118"/>
        <item x="279"/>
        <item x="119"/>
        <item x="280"/>
        <item x="241"/>
        <item x="266"/>
        <item x="123"/>
        <item x="126"/>
        <item x="130"/>
        <item x="281"/>
        <item x="138"/>
        <item x="282"/>
        <item x="154"/>
        <item x="128"/>
        <item x="134"/>
        <item x="283"/>
        <item x="284"/>
        <item x="286"/>
        <item x="28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135"/>
        <item x="136"/>
        <item x="145"/>
        <item x="299"/>
        <item x="300"/>
        <item x="187"/>
        <item x="301"/>
        <item x="302"/>
        <item x="303"/>
        <item x="174"/>
        <item x="179"/>
        <item x="304"/>
        <item x="305"/>
        <item x="306"/>
        <item x="307"/>
        <item x="308"/>
        <item x="309"/>
        <item x="310"/>
        <item x="311"/>
        <item x="312"/>
        <item x="314"/>
        <item x="313"/>
        <item x="315"/>
        <item x="316"/>
        <item x="317"/>
        <item x="318"/>
        <item x="319"/>
        <item x="320"/>
        <item x="321"/>
        <item x="322"/>
        <item x="324"/>
        <item x="323"/>
        <item x="325"/>
        <item x="326"/>
        <item x="327"/>
        <item x="194"/>
        <item x="199"/>
        <item x="203"/>
        <item x="328"/>
        <item x="329"/>
        <item x="330"/>
        <item x="331"/>
        <item x="332"/>
        <item x="333"/>
        <item x="334"/>
        <item x="336"/>
        <item x="337"/>
        <item x="338"/>
        <item x="339"/>
        <item x="335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9"/>
        <item x="390"/>
        <item x="388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6"/>
        <item x="405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8"/>
        <item x="439"/>
        <item x="436"/>
        <item x="437"/>
        <item x="440"/>
        <item x="441"/>
        <item x="442"/>
        <item x="443"/>
        <item x="444"/>
        <item x="446"/>
        <item x="449"/>
        <item x="448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8"/>
        <item x="507"/>
        <item x="509"/>
        <item x="510"/>
        <item x="511"/>
        <item x="512"/>
        <item x="478"/>
        <item x="513"/>
        <item x="514"/>
        <item x="515"/>
        <item x="516"/>
        <item x="518"/>
        <item x="517"/>
        <item x="519"/>
        <item x="520"/>
        <item x="521"/>
        <item x="522"/>
        <item x="523"/>
        <item x="524"/>
        <item x="525"/>
        <item x="526"/>
        <item x="527"/>
        <item x="528"/>
        <item x="531"/>
        <item x="533"/>
        <item x="534"/>
        <item x="676"/>
        <item x="536"/>
        <item x="532"/>
        <item x="535"/>
        <item x="539"/>
        <item x="541"/>
        <item x="529"/>
        <item x="530"/>
        <item x="537"/>
        <item x="538"/>
        <item x="540"/>
        <item x="542"/>
        <item x="543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8"/>
        <item x="563"/>
        <item x="557"/>
        <item x="559"/>
        <item x="560"/>
        <item x="561"/>
        <item x="562"/>
        <item x="564"/>
        <item x="565"/>
        <item x="566"/>
        <item x="567"/>
        <item x="568"/>
        <item x="569"/>
        <item x="570"/>
        <item x="571"/>
        <item x="572"/>
        <item x="618"/>
        <item x="574"/>
        <item x="619"/>
        <item x="620"/>
        <item x="622"/>
        <item x="624"/>
        <item x="621"/>
        <item x="623"/>
        <item x="626"/>
        <item x="625"/>
        <item x="573"/>
        <item x="628"/>
        <item x="627"/>
        <item x="629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7"/>
        <item x="632"/>
        <item x="586"/>
        <item x="630"/>
        <item x="631"/>
        <item x="633"/>
        <item x="637"/>
        <item x="638"/>
        <item x="635"/>
        <item x="636"/>
        <item x="634"/>
        <item x="640"/>
        <item x="641"/>
        <item x="639"/>
        <item x="642"/>
        <item x="643"/>
        <item x="644"/>
        <item x="646"/>
        <item x="645"/>
        <item x="588"/>
        <item x="589"/>
        <item x="590"/>
        <item x="591"/>
        <item x="592"/>
        <item x="593"/>
        <item x="594"/>
        <item x="598"/>
        <item x="596"/>
        <item x="599"/>
        <item x="595"/>
        <item x="597"/>
        <item x="600"/>
        <item x="601"/>
        <item x="602"/>
        <item x="647"/>
        <item x="648"/>
        <item x="650"/>
        <item x="649"/>
        <item x="651"/>
        <item x="652"/>
        <item x="653"/>
        <item x="654"/>
        <item x="655"/>
        <item x="656"/>
        <item x="657"/>
        <item x="658"/>
        <item x="659"/>
        <item x="660"/>
        <item x="603"/>
        <item x="604"/>
        <item x="608"/>
        <item x="605"/>
        <item x="609"/>
        <item x="606"/>
        <item x="610"/>
        <item x="607"/>
        <item x="611"/>
        <item x="613"/>
        <item x="612"/>
        <item x="614"/>
        <item x="616"/>
        <item x="544"/>
        <item x="445"/>
        <item x="447"/>
        <item x="615"/>
        <item x="617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5">
    <field x="19"/>
    <field x="25"/>
    <field x="3"/>
    <field x="30"/>
    <field x="11"/>
  </rowFields>
  <rowItems count="112">
    <i>
      <x v="6"/>
      <x v="61"/>
      <x v="330"/>
      <x v="330"/>
      <x/>
    </i>
    <i r="2">
      <x v="332"/>
      <x v="332"/>
      <x/>
    </i>
    <i r="1">
      <x v="62"/>
      <x v="335"/>
      <x v="339"/>
      <x/>
    </i>
    <i r="2">
      <x v="336"/>
      <x v="335"/>
      <x/>
    </i>
    <i r="2">
      <x v="337"/>
      <x v="336"/>
      <x/>
    </i>
    <i r="2">
      <x v="338"/>
      <x v="337"/>
      <x/>
    </i>
    <i r="2">
      <x v="339"/>
      <x v="338"/>
      <x/>
    </i>
    <i r="1">
      <x v="64"/>
      <x v="371"/>
      <x v="371"/>
      <x/>
    </i>
    <i r="2">
      <x v="373"/>
      <x v="373"/>
      <x/>
    </i>
    <i r="2">
      <x v="374"/>
      <x v="374"/>
      <x/>
    </i>
    <i r="2">
      <x v="375"/>
      <x v="375"/>
      <x/>
    </i>
    <i r="1">
      <x v="65"/>
      <x v="403"/>
      <x v="403"/>
      <x/>
    </i>
    <i r="2">
      <x v="405"/>
      <x v="406"/>
      <x/>
    </i>
    <i r="2">
      <x v="408"/>
      <x v="408"/>
      <x/>
    </i>
    <i r="2">
      <x v="410"/>
      <x v="410"/>
      <x/>
    </i>
    <i r="2">
      <x v="411"/>
      <x v="411"/>
      <x/>
    </i>
    <i r="2">
      <x v="414"/>
      <x v="414"/>
      <x/>
    </i>
    <i r="2">
      <x v="415"/>
      <x v="415"/>
      <x/>
    </i>
    <i r="2">
      <x v="417"/>
      <x v="417"/>
      <x/>
    </i>
    <i r="2">
      <x v="533"/>
      <x v="685"/>
      <x v="2"/>
    </i>
    <i r="3">
      <x v="692"/>
      <x v="2"/>
    </i>
    <i r="3">
      <x v="693"/>
      <x v="2"/>
    </i>
    <i r="1">
      <x v="66"/>
      <x v="419"/>
      <x v="419"/>
      <x/>
    </i>
    <i r="2">
      <x v="421"/>
      <x v="421"/>
      <x/>
    </i>
    <i r="2">
      <x v="425"/>
      <x v="425"/>
      <x/>
    </i>
    <i r="2">
      <x v="533"/>
      <x v="686"/>
      <x v="2"/>
    </i>
    <i r="3">
      <x v="687"/>
      <x v="2"/>
    </i>
    <i t="default">
      <x v="6"/>
    </i>
    <i>
      <x v="7"/>
      <x v="66"/>
      <x v="429"/>
      <x v="429"/>
      <x v="1"/>
    </i>
    <i r="2">
      <x v="436"/>
      <x v="438"/>
      <x v="1"/>
    </i>
    <i r="2">
      <x v="439"/>
      <x v="437"/>
      <x v="1"/>
    </i>
    <i r="1">
      <x v="67"/>
      <x v="441"/>
      <x v="441"/>
      <x v="1"/>
    </i>
    <i r="2">
      <x v="443"/>
      <x v="443"/>
      <x v="1"/>
    </i>
    <i r="2">
      <x v="446"/>
      <x v="445"/>
      <x v="1"/>
    </i>
    <i r="2">
      <x v="448"/>
      <x v="447"/>
      <x v="1"/>
    </i>
    <i r="2">
      <x v="451"/>
      <x v="449"/>
      <x v="1"/>
    </i>
    <i r="2">
      <x v="452"/>
      <x v="450"/>
      <x v="1"/>
    </i>
    <i r="2">
      <x v="459"/>
      <x v="457"/>
      <x v="1"/>
    </i>
    <i r="2">
      <x v="461"/>
      <x v="459"/>
      <x v="1"/>
    </i>
    <i r="2">
      <x v="463"/>
      <x v="461"/>
      <x v="1"/>
    </i>
    <i r="2">
      <x v="465"/>
      <x v="463"/>
      <x v="1"/>
    </i>
    <i r="1">
      <x v="68"/>
      <x v="471"/>
      <x v="469"/>
      <x v="1"/>
    </i>
    <i r="1">
      <x v="69"/>
      <x v="533"/>
      <x v="677"/>
      <x v="1"/>
    </i>
    <i r="3">
      <x v="678"/>
      <x v="1"/>
    </i>
    <i r="3">
      <x v="679"/>
      <x v="1"/>
    </i>
    <i r="3">
      <x v="680"/>
      <x v="1"/>
    </i>
    <i r="3">
      <x v="694"/>
      <x v="1"/>
    </i>
    <i r="3">
      <x v="695"/>
      <x v="1"/>
    </i>
    <i r="1">
      <x v="70"/>
      <x v="533"/>
      <x v="684"/>
      <x v="1"/>
    </i>
    <i r="3">
      <x v="691"/>
      <x v="1"/>
    </i>
    <i r="3">
      <x v="701"/>
      <x v="1"/>
    </i>
    <i r="3">
      <x v="702"/>
      <x v="1"/>
    </i>
    <i t="default">
      <x v="7"/>
    </i>
    <i>
      <x v="8"/>
      <x v="62"/>
      <x v="334"/>
      <x v="334"/>
      <x v="2"/>
    </i>
    <i r="1">
      <x v="63"/>
      <x v="340"/>
      <x v="340"/>
      <x/>
    </i>
    <i r="2">
      <x v="341"/>
      <x v="341"/>
      <x/>
    </i>
    <i r="2">
      <x v="342"/>
      <x v="342"/>
      <x/>
    </i>
    <i r="2">
      <x v="345"/>
      <x v="345"/>
      <x/>
    </i>
    <i r="2">
      <x v="347"/>
      <x v="347"/>
      <x/>
    </i>
    <i r="2">
      <x v="349"/>
      <x v="349"/>
      <x/>
    </i>
    <i r="2">
      <x v="352"/>
      <x v="352"/>
      <x/>
    </i>
    <i r="2">
      <x v="354"/>
      <x v="354"/>
      <x/>
    </i>
    <i r="2">
      <x v="356"/>
      <x v="356"/>
      <x/>
    </i>
    <i r="2">
      <x v="359"/>
      <x v="359"/>
      <x/>
    </i>
    <i r="2">
      <x v="362"/>
      <x v="362"/>
      <x/>
    </i>
    <i r="2">
      <x v="363"/>
      <x v="363"/>
      <x/>
    </i>
    <i r="2">
      <x v="365"/>
      <x v="365"/>
      <x/>
    </i>
    <i r="2">
      <x v="367"/>
      <x v="367"/>
      <x/>
    </i>
    <i r="2">
      <x v="368"/>
      <x v="368"/>
      <x/>
    </i>
    <i r="2">
      <x v="369"/>
      <x v="369"/>
      <x/>
    </i>
    <i r="1">
      <x v="64"/>
      <x v="378"/>
      <x v="378"/>
      <x v="2"/>
    </i>
    <i r="2">
      <x v="379"/>
      <x v="379"/>
      <x v="2"/>
    </i>
    <i r="2">
      <x v="380"/>
      <x v="380"/>
      <x v="2"/>
    </i>
    <i r="2">
      <x v="383"/>
      <x v="383"/>
      <x v="2"/>
    </i>
    <i r="2">
      <x v="384"/>
      <x v="384"/>
      <x v="2"/>
    </i>
    <i r="2">
      <x v="385"/>
      <x v="385"/>
      <x v="2"/>
    </i>
    <i r="2">
      <x v="387"/>
      <x v="387"/>
      <x v="2"/>
    </i>
    <i r="2">
      <x v="388"/>
      <x v="390"/>
      <x v="2"/>
    </i>
    <i r="2">
      <x v="390"/>
      <x v="389"/>
      <x v="2"/>
    </i>
    <i r="2">
      <x v="391"/>
      <x v="391"/>
      <x v="2"/>
    </i>
    <i r="2">
      <x v="392"/>
      <x v="392"/>
      <x v="2"/>
    </i>
    <i r="2">
      <x v="394"/>
      <x v="394"/>
      <x v="2"/>
    </i>
    <i r="1">
      <x v="65"/>
      <x v="395"/>
      <x v="395"/>
      <x v="2"/>
    </i>
    <i r="2">
      <x v="397"/>
      <x v="397"/>
      <x v="2"/>
    </i>
    <i r="2">
      <x v="398"/>
      <x v="398"/>
      <x v="2"/>
    </i>
    <i r="2">
      <x v="400"/>
      <x v="400"/>
      <x v="2"/>
    </i>
    <i r="2">
      <x v="401"/>
      <x v="401"/>
      <x v="2"/>
    </i>
    <i r="1">
      <x v="67"/>
      <x v="533"/>
      <x v="681"/>
      <x v="1"/>
    </i>
    <i r="3">
      <x v="682"/>
      <x v="1"/>
    </i>
    <i r="1">
      <x v="68"/>
      <x v="469"/>
      <x v="467"/>
      <x v="1"/>
    </i>
    <i r="2">
      <x v="472"/>
      <x v="470"/>
      <x v="1"/>
    </i>
    <i r="2">
      <x v="475"/>
      <x v="473"/>
      <x v="1"/>
    </i>
    <i r="2">
      <x v="476"/>
      <x v="474"/>
      <x v="1"/>
    </i>
    <i r="2">
      <x v="477"/>
      <x v="475"/>
      <x v="1"/>
    </i>
    <i r="2">
      <x v="479"/>
      <x v="476"/>
      <x v="1"/>
    </i>
    <i r="2">
      <x v="480"/>
      <x v="477"/>
      <x v="1"/>
    </i>
    <i r="2">
      <x v="533"/>
      <x v="683"/>
      <x v="1"/>
    </i>
    <i r="3">
      <x v="688"/>
      <x v="1"/>
    </i>
    <i r="3">
      <x v="689"/>
      <x v="1"/>
    </i>
    <i r="3">
      <x v="690"/>
      <x v="1"/>
    </i>
    <i r="3">
      <x v="696"/>
      <x v="1"/>
    </i>
    <i r="1">
      <x v="69"/>
      <x v="488"/>
      <x v="485"/>
      <x v="1"/>
    </i>
    <i r="2">
      <x v="533"/>
      <x v="530"/>
      <x v="1"/>
    </i>
    <i r="3">
      <x v="697"/>
      <x v="1"/>
    </i>
    <i r="3">
      <x v="698"/>
      <x v="1"/>
    </i>
    <i r="3">
      <x v="699"/>
      <x v="1"/>
    </i>
    <i r="3">
      <x v="700"/>
      <x v="1"/>
    </i>
    <i r="1">
      <x v="70"/>
      <x v="491"/>
      <x v="488"/>
      <x v="1"/>
    </i>
    <i r="2">
      <x v="492"/>
      <x v="489"/>
      <x v="1"/>
    </i>
    <i r="2">
      <x v="493"/>
      <x v="490"/>
      <x v="1"/>
    </i>
    <i t="default"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22" hier="-1"/>
  </pageFields>
  <dataFields count="2">
    <dataField name=" Регистратор.Вес нетто" fld="6" baseField="0" baseItem="0" numFmtId="167"/>
    <dataField name=" Площадь уборки, га" fld="21" baseField="11" baseItem="0" numFmtId="165"/>
  </dataFields>
  <formats count="52">
    <format dxfId="882">
      <pivotArea outline="0" fieldPosition="0">
        <references count="4">
          <reference field="11" count="1" selected="0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6" selected="0">
            <x v="340"/>
            <x v="341"/>
            <x v="342"/>
            <x v="345"/>
            <x v="347"/>
            <x v="349"/>
            <x v="352"/>
            <x v="354"/>
            <x v="356"/>
            <x v="359"/>
            <x v="362"/>
            <x v="363"/>
            <x v="365"/>
            <x v="367"/>
            <x v="368"/>
            <x v="369"/>
          </reference>
        </references>
      </pivotArea>
    </format>
    <format dxfId="881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0"/>
          </reference>
        </references>
      </pivotArea>
    </format>
    <format dxfId="880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1"/>
          </reference>
        </references>
      </pivotArea>
    </format>
    <format dxfId="879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2"/>
          </reference>
        </references>
      </pivotArea>
    </format>
    <format dxfId="878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5"/>
          </reference>
        </references>
      </pivotArea>
    </format>
    <format dxfId="877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7"/>
          </reference>
        </references>
      </pivotArea>
    </format>
    <format dxfId="876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9"/>
          </reference>
        </references>
      </pivotArea>
    </format>
    <format dxfId="875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52"/>
          </reference>
        </references>
      </pivotArea>
    </format>
    <format dxfId="874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54"/>
          </reference>
        </references>
      </pivotArea>
    </format>
    <format dxfId="873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56"/>
          </reference>
        </references>
      </pivotArea>
    </format>
    <format dxfId="872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59"/>
          </reference>
        </references>
      </pivotArea>
    </format>
    <format dxfId="871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2"/>
          </reference>
        </references>
      </pivotArea>
    </format>
    <format dxfId="870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3"/>
          </reference>
        </references>
      </pivotArea>
    </format>
    <format dxfId="869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5"/>
          </reference>
        </references>
      </pivotArea>
    </format>
    <format dxfId="868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7"/>
          </reference>
        </references>
      </pivotArea>
    </format>
    <format dxfId="867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8"/>
          </reference>
        </references>
      </pivotArea>
    </format>
    <format dxfId="866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9"/>
          </reference>
        </references>
      </pivotArea>
    </format>
    <format dxfId="865">
      <pivotArea outline="0" fieldPosition="0">
        <references count="4">
          <reference field="11" count="2" selected="0">
            <x v="1"/>
            <x v="35"/>
          </reference>
          <reference field="19" count="1" selected="0">
            <x v="8"/>
          </reference>
          <reference field="25" count="2" selected="0">
            <x v="67"/>
            <x v="68"/>
          </reference>
          <reference field="30" count="7" selected="0">
            <x v="467"/>
            <x v="470"/>
            <x v="473"/>
            <x v="474"/>
            <x v="475"/>
            <x v="476"/>
            <x v="477"/>
          </reference>
        </references>
      </pivotArea>
    </format>
    <format dxfId="864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67"/>
          </reference>
        </references>
      </pivotArea>
    </format>
    <format dxfId="863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0"/>
          </reference>
        </references>
      </pivotArea>
    </format>
    <format dxfId="862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3"/>
          </reference>
        </references>
      </pivotArea>
    </format>
    <format dxfId="861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4"/>
          </reference>
        </references>
      </pivotArea>
    </format>
    <format dxfId="860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5"/>
          </reference>
        </references>
      </pivotArea>
    </format>
    <format dxfId="859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6"/>
          </reference>
        </references>
      </pivotArea>
    </format>
    <format dxfId="858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7"/>
          </reference>
        </references>
      </pivotArea>
    </format>
    <format dxfId="857">
      <pivotArea outline="0" fieldPosition="0">
        <references count="4">
          <reference field="11" count="1" selected="0">
            <x v="1"/>
          </reference>
          <reference field="19" count="1" selected="0">
            <x v="8"/>
          </reference>
          <reference field="25" count="2" selected="0">
            <x v="69"/>
            <x v="70"/>
          </reference>
          <reference field="30" count="5" selected="0">
            <x v="485"/>
            <x v="488"/>
            <x v="489"/>
            <x v="490"/>
            <x v="530"/>
          </reference>
        </references>
      </pivotArea>
    </format>
    <format dxfId="856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9"/>
          </reference>
          <reference field="30" count="1" selected="0">
            <x v="485"/>
          </reference>
        </references>
      </pivotArea>
    </format>
    <format dxfId="855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9"/>
          </reference>
          <reference field="30" count="1" selected="0">
            <x v="530"/>
          </reference>
        </references>
      </pivotArea>
    </format>
    <format dxfId="854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70"/>
          </reference>
          <reference field="30" count="1" selected="0">
            <x v="488"/>
          </reference>
        </references>
      </pivotArea>
    </format>
    <format dxfId="853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70"/>
          </reference>
          <reference field="30" count="1" selected="0">
            <x v="489"/>
          </reference>
        </references>
      </pivotArea>
    </format>
    <format dxfId="852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70"/>
          </reference>
          <reference field="30" count="1" selected="0">
            <x v="490"/>
          </reference>
        </references>
      </pivotArea>
    </format>
    <format dxfId="851">
      <pivotArea type="origin" dataOnly="0" labelOnly="1" outline="0" fieldPosition="0"/>
    </format>
    <format dxfId="850">
      <pivotArea field="19" type="button" dataOnly="0" labelOnly="1" outline="0" axis="axisRow" fieldPosition="0"/>
    </format>
    <format dxfId="849">
      <pivotArea field="25" type="button" dataOnly="0" labelOnly="1" outline="0" axis="axisRow" fieldPosition="1"/>
    </format>
    <format dxfId="848">
      <pivotArea field="30" type="button" dataOnly="0" labelOnly="1" outline="0" axis="axisRow" fieldPosition="3"/>
    </format>
    <format dxfId="847">
      <pivotArea field="11" type="button" dataOnly="0" labelOnly="1" outline="0" axis="axisRow" fieldPosition="4"/>
    </format>
    <format dxfId="846">
      <pivotArea type="topRight" dataOnly="0" labelOnly="1" outline="0" fieldPosition="0"/>
    </format>
    <format dxfId="845">
      <pivotArea type="origin" dataOnly="0" labelOnly="1" outline="0" fieldPosition="0"/>
    </format>
    <format dxfId="844">
      <pivotArea field="19" type="button" dataOnly="0" labelOnly="1" outline="0" axis="axisRow" fieldPosition="0"/>
    </format>
    <format dxfId="843">
      <pivotArea field="25" type="button" dataOnly="0" labelOnly="1" outline="0" axis="axisRow" fieldPosition="1"/>
    </format>
    <format dxfId="842">
      <pivotArea field="30" type="button" dataOnly="0" labelOnly="1" outline="0" axis="axisRow" fieldPosition="3"/>
    </format>
    <format dxfId="841">
      <pivotArea field="11" type="button" dataOnly="0" labelOnly="1" outline="0" axis="axisRow" fieldPosition="4"/>
    </format>
    <format dxfId="840">
      <pivotArea type="topRight" dataOnly="0" labelOnly="1" outline="0" fieldPosition="0"/>
    </format>
    <format dxfId="839">
      <pivotArea type="origin" dataOnly="0" labelOnly="1" outline="0" fieldPosition="0"/>
    </format>
    <format dxfId="838">
      <pivotArea field="19" type="button" dataOnly="0" labelOnly="1" outline="0" axis="axisRow" fieldPosition="0"/>
    </format>
    <format dxfId="837">
      <pivotArea field="25" type="button" dataOnly="0" labelOnly="1" outline="0" axis="axisRow" fieldPosition="1"/>
    </format>
    <format dxfId="836">
      <pivotArea field="30" type="button" dataOnly="0" labelOnly="1" outline="0" axis="axisRow" fieldPosition="3"/>
    </format>
    <format dxfId="835">
      <pivotArea field="11" type="button" dataOnly="0" labelOnly="1" outline="0" axis="axisRow" fieldPosition="4"/>
    </format>
    <format dxfId="834">
      <pivotArea type="topRight" dataOnly="0" labelOnly="1" outline="0" fieldPosition="0"/>
    </format>
    <format dxfId="8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31">
      <pivotArea field="3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6E88A-D3D8-4858-97C6-BA15652833D4}" name="Сводная таблица1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gridDropZones="1" multipleFieldFilters="0">
  <location ref="P3:U361" firstHeaderRow="2" firstDataRow="2" firstDataCol="5" rowPageCount="1" colPageCount="1"/>
  <pivotFields count="4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7" outline="0" showAll="0"/>
    <pivotField compact="0" outline="0" showAll="0"/>
    <pivotField compact="0" numFmtId="167" outline="0" showAll="0"/>
    <pivotField axis="axisRow" compact="0" outline="0" showAll="0" defaultSubtotal="0">
      <items count="28">
        <item x="0"/>
        <item x="1"/>
        <item x="2"/>
        <item x="3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x="4"/>
      </items>
    </pivotField>
    <pivotField compact="0" outline="0" showAll="0"/>
    <pivotField axis="axisRow" compact="0" outline="0" showAll="0">
      <items count="46">
        <item x="27"/>
        <item x="31"/>
        <item x="28"/>
        <item x="34"/>
        <item x="35"/>
        <item x="26"/>
        <item x="18"/>
        <item x="17"/>
        <item x="9"/>
        <item x="8"/>
        <item x="7"/>
        <item x="22"/>
        <item x="25"/>
        <item x="24"/>
        <item x="23"/>
        <item x="4"/>
        <item x="3"/>
        <item x="5"/>
        <item x="11"/>
        <item x="13"/>
        <item x="2"/>
        <item x="6"/>
        <item x="1"/>
        <item x="0"/>
        <item x="10"/>
        <item x="12"/>
        <item x="29"/>
        <item x="33"/>
        <item x="14"/>
        <item x="32"/>
        <item x="30"/>
        <item x="19"/>
        <item x="16"/>
        <item x="20"/>
        <item x="15"/>
        <item m="1" x="44"/>
        <item x="36"/>
        <item x="38"/>
        <item x="40"/>
        <item x="43"/>
        <item x="39"/>
        <item x="41"/>
        <item x="42"/>
        <item x="37"/>
        <item x="2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Поле ОТЧЕТ" axis="axisRow" compact="0" outline="0" showAll="0">
      <items count="44">
        <item m="1" x="42"/>
        <item m="1" x="41"/>
        <item m="1" x="39"/>
        <item m="1" x="37"/>
        <item m="1" x="38"/>
        <item m="1" x="40"/>
        <item x="19"/>
        <item x="23"/>
        <item x="21"/>
        <item x="25"/>
        <item x="26"/>
        <item x="18"/>
        <item x="11"/>
        <item x="6"/>
        <item x="5"/>
        <item x="15"/>
        <item x="17"/>
        <item x="16"/>
        <item x="2"/>
        <item x="3"/>
        <item x="7"/>
        <item x="1"/>
        <item x="4"/>
        <item x="0"/>
        <item x="8"/>
        <item x="20"/>
        <item x="14"/>
        <item x="9"/>
        <item x="10"/>
        <item x="24"/>
        <item x="22"/>
        <item x="13"/>
        <item x="12"/>
        <item x="27"/>
        <item x="28"/>
        <item x="29"/>
        <item x="31"/>
        <item x="34"/>
        <item x="30"/>
        <item x="32"/>
        <item x="33"/>
        <item m="1" x="35"/>
        <item m="1" x="36"/>
        <item t="default"/>
      </items>
    </pivotField>
    <pivotField compact="0" outline="0" showAll="0"/>
    <pivotField dataField="1" compact="0" numFmtId="165" outline="0" showAll="0"/>
    <pivotField axis="axisPage" compact="0" outline="0" multipleItemSelectionAllowed="1" showAll="0">
      <items count="14">
        <item h="1" x="2"/>
        <item m="1" x="11"/>
        <item m="1" x="12"/>
        <item x="0"/>
        <item h="1" x="1"/>
        <item m="1" x="10"/>
        <item m="1" x="9"/>
        <item h="1" x="3"/>
        <item m="1" x="8"/>
        <item m="1" x="7"/>
        <item h="1" m="1" x="6"/>
        <item h="1" m="1" x="5"/>
        <item h="1" m="1" x="4"/>
        <item t="default"/>
      </items>
    </pivotField>
    <pivotField compact="0" outline="0" showAll="0"/>
    <pivotField compact="0" numFmtId="3" outline="0" showAll="0"/>
    <pivotField axis="axisRow" compact="0" numFmtId="14" outline="0" showAll="0" defaultSubtotal="0">
      <items count="79">
        <item m="1" x="75"/>
        <item m="1" x="76"/>
        <item m="1" x="78"/>
        <item m="1" x="77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compact="0" outline="0" showAll="0"/>
    <pivotField compact="0" outline="0" showAll="0"/>
    <pivotField compact="0" outline="0" showAll="0"/>
    <pivotField compact="0" outline="0" showAll="0"/>
    <pivotField name="№ акта входного контроля" axis="axisRow" compact="0" outline="0" showAll="0" defaultSubtotal="0">
      <items count="7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34"/>
        <item x="33"/>
        <item x="35"/>
        <item x="23"/>
        <item x="25"/>
        <item x="26"/>
        <item x="27"/>
        <item x="28"/>
        <item x="29"/>
        <item x="30"/>
        <item x="31"/>
        <item x="32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59"/>
        <item x="61"/>
        <item x="62"/>
        <item x="63"/>
        <item x="64"/>
        <item x="65"/>
        <item x="68"/>
        <item x="67"/>
        <item x="66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5"/>
        <item x="96"/>
        <item x="97"/>
        <item x="98"/>
        <item x="99"/>
        <item x="100"/>
        <item x="101"/>
        <item x="102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20"/>
        <item x="121"/>
        <item x="122"/>
        <item x="125"/>
        <item x="124"/>
        <item x="127"/>
        <item x="129"/>
        <item x="131"/>
        <item x="132"/>
        <item x="133"/>
        <item x="137"/>
        <item x="139"/>
        <item x="140"/>
        <item x="142"/>
        <item x="141"/>
        <item x="143"/>
        <item x="144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5"/>
        <item x="197"/>
        <item x="196"/>
        <item x="198"/>
        <item x="200"/>
        <item x="201"/>
        <item x="202"/>
        <item x="204"/>
        <item x="205"/>
        <item x="206"/>
        <item x="207"/>
        <item x="209"/>
        <item x="210"/>
        <item x="208"/>
        <item x="211"/>
        <item x="212"/>
        <item x="213"/>
        <item x="215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94"/>
        <item x="235"/>
        <item x="236"/>
        <item x="237"/>
        <item x="238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x="268"/>
        <item x="269"/>
        <item x="271"/>
        <item x="270"/>
        <item x="272"/>
        <item x="273"/>
        <item x="274"/>
        <item x="275"/>
        <item x="276"/>
        <item x="277"/>
        <item x="103"/>
        <item x="104"/>
        <item x="93"/>
        <item x="278"/>
        <item x="118"/>
        <item x="279"/>
        <item x="119"/>
        <item x="280"/>
        <item x="241"/>
        <item x="266"/>
        <item x="123"/>
        <item x="126"/>
        <item x="130"/>
        <item x="281"/>
        <item x="138"/>
        <item x="282"/>
        <item x="154"/>
        <item x="128"/>
        <item x="134"/>
        <item x="283"/>
        <item x="284"/>
        <item x="286"/>
        <item x="285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135"/>
        <item x="136"/>
        <item x="145"/>
        <item x="299"/>
        <item x="300"/>
        <item x="187"/>
        <item x="301"/>
        <item x="302"/>
        <item x="303"/>
        <item x="174"/>
        <item x="179"/>
        <item x="304"/>
        <item x="305"/>
        <item x="306"/>
        <item x="307"/>
        <item x="308"/>
        <item x="309"/>
        <item x="310"/>
        <item x="311"/>
        <item x="312"/>
        <item x="314"/>
        <item x="313"/>
        <item x="315"/>
        <item x="316"/>
        <item x="317"/>
        <item x="318"/>
        <item x="319"/>
        <item x="320"/>
        <item x="321"/>
        <item x="322"/>
        <item x="324"/>
        <item x="323"/>
        <item x="325"/>
        <item x="326"/>
        <item x="327"/>
        <item x="194"/>
        <item x="199"/>
        <item x="203"/>
        <item x="328"/>
        <item x="329"/>
        <item x="330"/>
        <item x="331"/>
        <item x="332"/>
        <item x="333"/>
        <item x="334"/>
        <item x="336"/>
        <item x="337"/>
        <item x="338"/>
        <item x="339"/>
        <item x="335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9"/>
        <item x="390"/>
        <item x="388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6"/>
        <item x="405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8"/>
        <item x="439"/>
        <item x="436"/>
        <item x="437"/>
        <item x="440"/>
        <item x="441"/>
        <item x="442"/>
        <item x="443"/>
        <item x="444"/>
        <item x="446"/>
        <item x="449"/>
        <item x="448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8"/>
        <item x="507"/>
        <item x="509"/>
        <item x="510"/>
        <item x="511"/>
        <item x="512"/>
        <item x="478"/>
        <item x="513"/>
        <item x="514"/>
        <item x="515"/>
        <item x="516"/>
        <item x="518"/>
        <item x="517"/>
        <item x="519"/>
        <item x="520"/>
        <item x="521"/>
        <item x="522"/>
        <item x="523"/>
        <item x="524"/>
        <item x="525"/>
        <item x="526"/>
        <item x="527"/>
        <item x="528"/>
        <item x="531"/>
        <item x="533"/>
        <item x="534"/>
        <item x="676"/>
        <item x="536"/>
        <item x="532"/>
        <item x="535"/>
        <item x="539"/>
        <item x="541"/>
        <item x="529"/>
        <item x="530"/>
        <item x="537"/>
        <item x="538"/>
        <item x="540"/>
        <item x="542"/>
        <item x="543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8"/>
        <item x="563"/>
        <item x="557"/>
        <item x="559"/>
        <item x="560"/>
        <item x="561"/>
        <item x="562"/>
        <item x="564"/>
        <item x="565"/>
        <item x="566"/>
        <item x="567"/>
        <item x="568"/>
        <item x="569"/>
        <item x="570"/>
        <item x="571"/>
        <item x="572"/>
        <item x="618"/>
        <item x="574"/>
        <item x="619"/>
        <item x="620"/>
        <item x="622"/>
        <item x="624"/>
        <item x="621"/>
        <item x="623"/>
        <item x="626"/>
        <item x="625"/>
        <item x="573"/>
        <item x="628"/>
        <item x="627"/>
        <item x="629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7"/>
        <item x="632"/>
        <item x="586"/>
        <item x="630"/>
        <item x="631"/>
        <item x="633"/>
        <item x="637"/>
        <item x="638"/>
        <item x="635"/>
        <item x="636"/>
        <item x="634"/>
        <item x="640"/>
        <item x="641"/>
        <item x="639"/>
        <item x="642"/>
        <item x="643"/>
        <item x="644"/>
        <item x="646"/>
        <item x="645"/>
        <item x="588"/>
        <item x="589"/>
        <item x="590"/>
        <item x="591"/>
        <item x="592"/>
        <item x="593"/>
        <item x="594"/>
        <item x="598"/>
        <item x="596"/>
        <item x="599"/>
        <item x="595"/>
        <item x="597"/>
        <item x="600"/>
        <item x="601"/>
        <item x="602"/>
        <item x="647"/>
        <item x="648"/>
        <item x="650"/>
        <item x="649"/>
        <item x="651"/>
        <item x="652"/>
        <item x="653"/>
        <item x="654"/>
        <item x="655"/>
        <item x="656"/>
        <item x="657"/>
        <item x="658"/>
        <item x="659"/>
        <item x="660"/>
        <item x="603"/>
        <item x="604"/>
        <item x="608"/>
        <item x="605"/>
        <item x="609"/>
        <item x="606"/>
        <item x="610"/>
        <item x="607"/>
        <item x="611"/>
        <item x="613"/>
        <item x="612"/>
        <item x="614"/>
        <item x="616"/>
        <item x="544"/>
        <item x="445"/>
        <item x="447"/>
        <item x="615"/>
        <item x="617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5">
    <field x="19"/>
    <field x="25"/>
    <field x="9"/>
    <field x="30"/>
    <field x="11"/>
  </rowFields>
  <rowItems count="357">
    <i>
      <x v="11"/>
      <x v="61"/>
      <x/>
      <x v="328"/>
      <x v="5"/>
    </i>
    <i r="3">
      <x v="329"/>
      <x v="5"/>
    </i>
    <i r="1">
      <x v="68"/>
      <x v="1"/>
      <x v="465"/>
      <x v="5"/>
    </i>
    <i r="3">
      <x v="466"/>
      <x v="5"/>
    </i>
    <i r="3">
      <x v="468"/>
      <x v="5"/>
    </i>
    <i r="3">
      <x v="471"/>
      <x v="5"/>
    </i>
    <i r="3">
      <x v="472"/>
      <x v="5"/>
    </i>
    <i t="default">
      <x v="11"/>
    </i>
    <i>
      <x v="12"/>
      <x v="56"/>
      <x/>
      <x v="189"/>
      <x v="32"/>
    </i>
    <i r="3">
      <x v="190"/>
      <x v="7"/>
    </i>
    <i r="3">
      <x v="191"/>
      <x v="7"/>
    </i>
    <i r="3">
      <x v="192"/>
      <x v="6"/>
    </i>
    <i r="3">
      <x v="193"/>
      <x v="6"/>
    </i>
    <i r="3">
      <x v="194"/>
      <x v="7"/>
    </i>
    <i r="1">
      <x v="57"/>
      <x/>
      <x v="220"/>
      <x v="6"/>
    </i>
    <i r="3">
      <x v="221"/>
      <x v="7"/>
    </i>
    <i r="3">
      <x v="222"/>
      <x v="7"/>
    </i>
    <i r="3">
      <x v="223"/>
      <x v="7"/>
    </i>
    <i r="3">
      <x v="224"/>
      <x v="7"/>
    </i>
    <i r="3">
      <x v="225"/>
      <x v="7"/>
    </i>
    <i r="3">
      <x v="226"/>
      <x v="7"/>
    </i>
    <i r="3">
      <x v="227"/>
      <x v="7"/>
    </i>
    <i r="3">
      <x v="228"/>
      <x v="7"/>
    </i>
    <i r="3">
      <x v="229"/>
      <x v="7"/>
    </i>
    <i r="3">
      <x v="230"/>
      <x v="7"/>
    </i>
    <i r="3">
      <x v="231"/>
      <x v="7"/>
    </i>
    <i r="3">
      <x v="232"/>
      <x v="7"/>
    </i>
    <i r="3">
      <x v="233"/>
      <x v="6"/>
    </i>
    <i r="3">
      <x v="234"/>
      <x v="7"/>
    </i>
    <i r="3">
      <x v="235"/>
      <x v="7"/>
    </i>
    <i r="3">
      <x v="263"/>
      <x v="6"/>
    </i>
    <i r="1">
      <x v="60"/>
      <x/>
      <x v="312"/>
      <x v="6"/>
    </i>
    <i t="default">
      <x v="12"/>
    </i>
    <i>
      <x v="13"/>
      <x v="52"/>
      <x/>
      <x v="116"/>
      <x v="9"/>
    </i>
    <i r="3">
      <x v="117"/>
      <x v="8"/>
    </i>
    <i t="default">
      <x v="13"/>
    </i>
    <i>
      <x v="14"/>
      <x v="52"/>
      <x/>
      <x v="114"/>
      <x v="10"/>
    </i>
    <i r="1">
      <x v="58"/>
      <x/>
      <x v="241"/>
      <x v="11"/>
    </i>
    <i r="3">
      <x v="242"/>
      <x v="10"/>
    </i>
    <i r="3">
      <x v="243"/>
      <x v="11"/>
    </i>
    <i r="3">
      <x v="244"/>
      <x v="11"/>
    </i>
    <i r="3">
      <x v="245"/>
      <x v="10"/>
    </i>
    <i r="3">
      <x v="246"/>
      <x v="10"/>
    </i>
    <i r="3">
      <x v="247"/>
      <x v="10"/>
    </i>
    <i r="3">
      <x v="248"/>
      <x v="10"/>
    </i>
    <i r="3">
      <x v="249"/>
      <x v="10"/>
    </i>
    <i r="3">
      <x v="250"/>
      <x v="10"/>
    </i>
    <i r="3">
      <x v="251"/>
      <x v="10"/>
    </i>
    <i r="3">
      <x v="252"/>
      <x v="11"/>
    </i>
    <i r="3">
      <x v="253"/>
      <x v="11"/>
    </i>
    <i r="3">
      <x v="254"/>
      <x v="11"/>
    </i>
    <i r="3">
      <x v="258"/>
      <x v="11"/>
    </i>
    <i t="default">
      <x v="14"/>
    </i>
    <i>
      <x v="16"/>
      <x v="60"/>
      <x/>
      <x v="309"/>
      <x v="12"/>
    </i>
    <i r="3">
      <x v="311"/>
      <x v="12"/>
    </i>
    <i t="default">
      <x v="16"/>
    </i>
    <i>
      <x v="17"/>
      <x v="59"/>
      <x/>
      <x v="282"/>
      <x v="14"/>
    </i>
    <i r="3">
      <x v="283"/>
      <x v="14"/>
    </i>
    <i r="3">
      <x v="284"/>
      <x v="14"/>
    </i>
    <i r="3">
      <x v="285"/>
      <x v="14"/>
    </i>
    <i r="3">
      <x v="286"/>
      <x v="14"/>
    </i>
    <i r="3">
      <x v="287"/>
      <x v="14"/>
    </i>
    <i r="3">
      <x v="288"/>
      <x v="14"/>
    </i>
    <i r="3">
      <x v="289"/>
      <x v="14"/>
    </i>
    <i r="3">
      <x v="293"/>
      <x v="14"/>
    </i>
    <i r="3">
      <x v="294"/>
      <x v="14"/>
    </i>
    <i r="3">
      <x v="296"/>
      <x v="14"/>
    </i>
    <i r="1">
      <x v="60"/>
      <x/>
      <x v="297"/>
      <x v="14"/>
    </i>
    <i r="3">
      <x v="298"/>
      <x v="14"/>
    </i>
    <i r="3">
      <x v="301"/>
      <x v="14"/>
    </i>
    <i r="3">
      <x v="302"/>
      <x v="13"/>
    </i>
    <i r="3">
      <x v="303"/>
      <x v="14"/>
    </i>
    <i r="3">
      <x v="304"/>
      <x v="14"/>
    </i>
    <i r="3">
      <x v="305"/>
      <x v="14"/>
    </i>
    <i r="3">
      <x v="306"/>
      <x v="14"/>
    </i>
    <i r="3">
      <x v="307"/>
      <x v="14"/>
    </i>
    <i r="3">
      <x v="308"/>
      <x v="14"/>
    </i>
    <i r="3">
      <x v="310"/>
      <x v="14"/>
    </i>
    <i r="3">
      <x v="313"/>
      <x v="14"/>
    </i>
    <i r="3">
      <x v="314"/>
      <x v="13"/>
    </i>
    <i r="3">
      <x v="315"/>
      <x v="14"/>
    </i>
    <i r="3">
      <x v="316"/>
      <x v="14"/>
    </i>
    <i r="3">
      <x v="317"/>
      <x v="14"/>
    </i>
    <i r="3">
      <x v="318"/>
      <x v="13"/>
    </i>
    <i r="3">
      <x v="319"/>
      <x v="13"/>
    </i>
    <i r="3">
      <x v="320"/>
      <x v="14"/>
    </i>
    <i r="3">
      <x v="321"/>
      <x v="14"/>
    </i>
    <i r="3">
      <x v="322"/>
      <x v="14"/>
    </i>
    <i r="3">
      <x v="323"/>
      <x v="14"/>
    </i>
    <i r="1">
      <x v="61"/>
      <x/>
      <x v="324"/>
      <x v="13"/>
    </i>
    <i t="default">
      <x v="17"/>
    </i>
    <i>
      <x v="18"/>
      <x v="48"/>
      <x/>
      <x v="23"/>
      <x v="16"/>
    </i>
    <i r="3">
      <x v="27"/>
      <x v="16"/>
    </i>
    <i r="1">
      <x v="51"/>
      <x/>
      <x v="89"/>
      <x v="16"/>
    </i>
    <i r="3">
      <x v="90"/>
      <x v="16"/>
    </i>
    <i r="3">
      <x v="91"/>
      <x v="15"/>
    </i>
    <i r="3">
      <x v="92"/>
      <x v="15"/>
    </i>
    <i r="3">
      <x v="93"/>
      <x v="15"/>
    </i>
    <i r="3">
      <x v="94"/>
      <x v="16"/>
    </i>
    <i r="3">
      <x v="95"/>
      <x v="16"/>
    </i>
    <i r="3">
      <x v="96"/>
      <x v="15"/>
    </i>
    <i r="3">
      <x v="97"/>
      <x v="15"/>
    </i>
    <i r="3">
      <x v="98"/>
      <x v="15"/>
    </i>
    <i r="3">
      <x v="99"/>
      <x v="16"/>
    </i>
    <i r="3">
      <x v="100"/>
      <x v="16"/>
    </i>
    <i r="3">
      <x v="101"/>
      <x v="16"/>
    </i>
    <i r="3">
      <x v="102"/>
      <x v="16"/>
    </i>
    <i r="3">
      <x v="103"/>
      <x v="16"/>
    </i>
    <i r="3">
      <x v="213"/>
      <x v="16"/>
    </i>
    <i r="3">
      <x v="257"/>
      <x v="15"/>
    </i>
    <i t="default">
      <x v="18"/>
    </i>
    <i>
      <x v="19"/>
      <x v="51"/>
      <x/>
      <x v="106"/>
      <x v="17"/>
    </i>
    <i r="3">
      <x v="107"/>
      <x v="17"/>
    </i>
    <i r="3">
      <x v="108"/>
      <x v="17"/>
    </i>
    <i r="3">
      <x v="109"/>
      <x v="17"/>
    </i>
    <i r="3">
      <x v="255"/>
      <x v="17"/>
    </i>
    <i r="3">
      <x v="256"/>
      <x v="17"/>
    </i>
    <i r="1">
      <x v="52"/>
      <x/>
      <x v="104"/>
      <x v="17"/>
    </i>
    <i r="3">
      <x v="105"/>
      <x v="17"/>
    </i>
    <i r="3">
      <x v="110"/>
      <x v="17"/>
    </i>
    <i r="3">
      <x v="111"/>
      <x v="17"/>
    </i>
    <i r="3">
      <x v="112"/>
      <x v="17"/>
    </i>
    <i r="3">
      <x v="113"/>
      <x v="17"/>
    </i>
    <i t="default">
      <x v="19"/>
    </i>
    <i>
      <x v="20"/>
      <x v="53"/>
      <x/>
      <x v="140"/>
      <x v="19"/>
    </i>
    <i r="3">
      <x v="141"/>
      <x v="18"/>
    </i>
    <i r="3">
      <x v="142"/>
      <x v="18"/>
    </i>
    <i r="3">
      <x v="143"/>
      <x v="19"/>
    </i>
    <i r="3">
      <x v="144"/>
      <x v="19"/>
    </i>
    <i r="3">
      <x v="145"/>
      <x v="18"/>
    </i>
    <i r="3">
      <x v="146"/>
      <x v="18"/>
    </i>
    <i r="3">
      <x v="147"/>
      <x v="18"/>
    </i>
    <i r="3">
      <x v="148"/>
      <x v="19"/>
    </i>
    <i r="3">
      <x v="149"/>
      <x v="19"/>
    </i>
    <i r="3">
      <x v="150"/>
      <x v="18"/>
    </i>
    <i r="3">
      <x v="151"/>
      <x v="18"/>
    </i>
    <i r="3">
      <x v="269"/>
      <x v="18"/>
    </i>
    <i r="3">
      <x v="271"/>
      <x v="18"/>
    </i>
    <i r="3">
      <x v="299"/>
      <x v="18"/>
    </i>
    <i r="1">
      <x v="54"/>
      <x/>
      <x v="152"/>
      <x v="19"/>
    </i>
    <i r="3">
      <x v="153"/>
      <x v="19"/>
    </i>
    <i r="3">
      <x v="154"/>
      <x v="19"/>
    </i>
    <i r="3">
      <x v="155"/>
      <x v="19"/>
    </i>
    <i r="3">
      <x v="156"/>
      <x v="19"/>
    </i>
    <i r="3">
      <x v="157"/>
      <x v="19"/>
    </i>
    <i r="3">
      <x v="158"/>
      <x v="19"/>
    </i>
    <i r="3">
      <x v="159"/>
      <x v="19"/>
    </i>
    <i r="3">
      <x v="160"/>
      <x v="19"/>
    </i>
    <i r="3">
      <x v="161"/>
      <x v="19"/>
    </i>
    <i t="default">
      <x v="20"/>
    </i>
    <i>
      <x v="21"/>
      <x v="47"/>
      <x/>
      <x v="22"/>
      <x v="20"/>
    </i>
    <i r="1">
      <x v="49"/>
      <x/>
      <x v="52"/>
      <x v="20"/>
    </i>
    <i r="3">
      <x v="53"/>
      <x v="20"/>
    </i>
    <i r="3">
      <x v="54"/>
      <x v="20"/>
    </i>
    <i r="3">
      <x v="55"/>
      <x v="20"/>
    </i>
    <i r="3">
      <x v="56"/>
      <x v="20"/>
    </i>
    <i r="3">
      <x v="57"/>
      <x v="20"/>
    </i>
    <i r="3">
      <x v="58"/>
      <x v="20"/>
    </i>
    <i r="3">
      <x v="59"/>
      <x v="20"/>
    </i>
    <i r="3">
      <x v="60"/>
      <x v="20"/>
    </i>
    <i r="3">
      <x v="61"/>
      <x v="20"/>
    </i>
    <i r="3">
      <x v="62"/>
      <x v="20"/>
    </i>
    <i r="3">
      <x v="63"/>
      <x v="20"/>
    </i>
    <i r="3">
      <x v="64"/>
      <x v="20"/>
    </i>
    <i r="3">
      <x v="65"/>
      <x v="20"/>
    </i>
    <i r="1">
      <x v="50"/>
      <x/>
      <x v="66"/>
      <x v="20"/>
    </i>
    <i r="3">
      <x v="67"/>
      <x v="20"/>
    </i>
    <i r="3">
      <x v="68"/>
      <x v="20"/>
    </i>
    <i r="3">
      <x v="69"/>
      <x v="20"/>
    </i>
    <i r="3">
      <x v="70"/>
      <x v="20"/>
    </i>
    <i r="3">
      <x v="71"/>
      <x v="20"/>
    </i>
    <i r="3">
      <x v="72"/>
      <x v="20"/>
    </i>
    <i r="3">
      <x v="73"/>
      <x v="20"/>
    </i>
    <i r="3">
      <x v="74"/>
      <x v="20"/>
    </i>
    <i r="3">
      <x v="75"/>
      <x v="20"/>
    </i>
    <i r="3">
      <x v="76"/>
      <x v="20"/>
    </i>
    <i r="3">
      <x v="77"/>
      <x v="20"/>
    </i>
    <i r="3">
      <x v="78"/>
      <x v="20"/>
    </i>
    <i r="3">
      <x v="79"/>
      <x v="20"/>
    </i>
    <i r="3">
      <x v="80"/>
      <x v="20"/>
    </i>
    <i r="3">
      <x v="81"/>
      <x v="20"/>
    </i>
    <i r="3">
      <x v="82"/>
      <x v="20"/>
    </i>
    <i r="3">
      <x v="83"/>
      <x v="20"/>
    </i>
    <i r="3">
      <x v="84"/>
      <x v="20"/>
    </i>
    <i r="3">
      <x v="85"/>
      <x v="20"/>
    </i>
    <i r="1">
      <x v="51"/>
      <x/>
      <x v="86"/>
      <x v="20"/>
    </i>
    <i r="3">
      <x v="87"/>
      <x v="20"/>
    </i>
    <i r="3">
      <x v="88"/>
      <x v="20"/>
    </i>
    <i t="default">
      <x v="21"/>
    </i>
    <i>
      <x v="22"/>
      <x v="52"/>
      <x/>
      <x v="115"/>
      <x v="21"/>
    </i>
    <i r="3">
      <x v="118"/>
      <x v="21"/>
    </i>
    <i r="3">
      <x v="119"/>
      <x v="21"/>
    </i>
    <i r="3">
      <x v="120"/>
      <x v="21"/>
    </i>
    <i r="3">
      <x v="121"/>
      <x v="21"/>
    </i>
    <i r="3">
      <x v="122"/>
      <x v="21"/>
    </i>
    <i r="3">
      <x v="123"/>
      <x v="21"/>
    </i>
    <i r="3">
      <x v="124"/>
      <x v="21"/>
    </i>
    <i r="3">
      <x v="125"/>
      <x v="21"/>
    </i>
    <i r="3">
      <x v="126"/>
      <x v="21"/>
    </i>
    <i r="3">
      <x v="127"/>
      <x v="21"/>
    </i>
    <i r="3">
      <x v="128"/>
      <x v="21"/>
    </i>
    <i r="3">
      <x v="129"/>
      <x v="21"/>
    </i>
    <i r="3">
      <x v="259"/>
      <x v="21"/>
    </i>
    <i r="3">
      <x v="261"/>
      <x v="21"/>
    </i>
    <i r="3">
      <x v="265"/>
      <x v="21"/>
    </i>
    <i r="3">
      <x v="266"/>
      <x v="21"/>
    </i>
    <i r="3">
      <x v="267"/>
      <x v="24"/>
    </i>
    <i r="3">
      <x v="272"/>
      <x v="21"/>
    </i>
    <i r="3">
      <x v="273"/>
      <x v="21"/>
    </i>
    <i r="3">
      <x v="290"/>
      <x v="21"/>
    </i>
    <i r="3">
      <x v="291"/>
      <x v="21"/>
    </i>
    <i t="default">
      <x v="22"/>
    </i>
    <i>
      <x v="23"/>
      <x v="46"/>
      <x/>
      <x/>
      <x v="23"/>
    </i>
    <i r="3">
      <x v="1"/>
      <x v="23"/>
    </i>
    <i r="3">
      <x v="2"/>
      <x v="23"/>
    </i>
    <i r="3">
      <x v="3"/>
      <x v="23"/>
    </i>
    <i r="3">
      <x v="4"/>
      <x v="23"/>
    </i>
    <i r="3">
      <x v="5"/>
      <x v="23"/>
    </i>
    <i r="3">
      <x v="6"/>
      <x v="23"/>
    </i>
    <i r="3">
      <x v="7"/>
      <x v="23"/>
    </i>
    <i r="3">
      <x v="8"/>
      <x v="23"/>
    </i>
    <i r="3">
      <x v="9"/>
      <x v="23"/>
    </i>
    <i r="3">
      <x v="10"/>
      <x v="23"/>
    </i>
    <i r="3">
      <x v="11"/>
      <x v="23"/>
    </i>
    <i r="3">
      <x v="12"/>
      <x v="23"/>
    </i>
    <i r="3">
      <x v="13"/>
      <x v="23"/>
    </i>
    <i r="1">
      <x v="47"/>
      <x/>
      <x v="14"/>
      <x v="22"/>
    </i>
    <i r="3">
      <x v="15"/>
      <x v="22"/>
    </i>
    <i r="3">
      <x v="16"/>
      <x v="22"/>
    </i>
    <i r="3">
      <x v="17"/>
      <x v="23"/>
    </i>
    <i r="3">
      <x v="18"/>
      <x v="23"/>
    </i>
    <i r="3">
      <x v="19"/>
      <x v="23"/>
    </i>
    <i r="3">
      <x v="20"/>
      <x v="23"/>
    </i>
    <i r="3">
      <x v="21"/>
      <x v="22"/>
    </i>
    <i r="1">
      <x v="48"/>
      <x/>
      <x v="24"/>
      <x v="23"/>
    </i>
    <i r="3">
      <x v="25"/>
      <x v="22"/>
    </i>
    <i r="3">
      <x v="26"/>
      <x v="22"/>
    </i>
    <i r="3">
      <x v="28"/>
      <x v="22"/>
    </i>
    <i r="3">
      <x v="29"/>
      <x v="22"/>
    </i>
    <i r="3">
      <x v="30"/>
      <x v="23"/>
    </i>
    <i r="3">
      <x v="31"/>
      <x v="23"/>
    </i>
    <i r="3">
      <x v="32"/>
      <x v="22"/>
    </i>
    <i r="3">
      <x v="33"/>
      <x v="23"/>
    </i>
    <i r="3">
      <x v="34"/>
      <x v="22"/>
    </i>
    <i r="3">
      <x v="35"/>
      <x v="23"/>
    </i>
    <i r="3">
      <x v="36"/>
      <x v="22"/>
    </i>
    <i r="3">
      <x v="37"/>
      <x v="22"/>
    </i>
    <i r="3">
      <x v="38"/>
      <x v="23"/>
    </i>
    <i r="3">
      <x v="39"/>
      <x v="22"/>
    </i>
    <i r="3">
      <x v="40"/>
      <x v="22"/>
    </i>
    <i r="3">
      <x v="41"/>
      <x v="22"/>
    </i>
    <i r="3">
      <x v="42"/>
      <x v="23"/>
    </i>
    <i r="3">
      <x v="43"/>
      <x v="22"/>
    </i>
    <i r="3">
      <x v="44"/>
      <x v="23"/>
    </i>
    <i r="3">
      <x v="45"/>
      <x v="23"/>
    </i>
    <i r="1">
      <x v="49"/>
      <x/>
      <x v="46"/>
      <x v="23"/>
    </i>
    <i r="3">
      <x v="47"/>
      <x v="22"/>
    </i>
    <i r="3">
      <x v="48"/>
      <x v="22"/>
    </i>
    <i r="3">
      <x v="49"/>
      <x v="23"/>
    </i>
    <i r="3">
      <x v="50"/>
      <x v="22"/>
    </i>
    <i r="3">
      <x v="51"/>
      <x v="22"/>
    </i>
    <i t="default">
      <x v="23"/>
    </i>
    <i>
      <x v="24"/>
      <x v="53"/>
      <x/>
      <x v="130"/>
      <x v="25"/>
    </i>
    <i r="3">
      <x v="131"/>
      <x v="25"/>
    </i>
    <i r="3">
      <x v="132"/>
      <x v="25"/>
    </i>
    <i r="3">
      <x v="133"/>
      <x v="25"/>
    </i>
    <i r="3">
      <x v="134"/>
      <x v="25"/>
    </i>
    <i r="3">
      <x v="135"/>
      <x v="24"/>
    </i>
    <i r="3">
      <x v="136"/>
      <x v="25"/>
    </i>
    <i r="3">
      <x v="137"/>
      <x v="25"/>
    </i>
    <i r="3">
      <x v="138"/>
      <x v="25"/>
    </i>
    <i r="3">
      <x v="139"/>
      <x v="25"/>
    </i>
    <i r="3">
      <x v="292"/>
      <x v="24"/>
    </i>
    <i t="default">
      <x v="24"/>
    </i>
    <i>
      <x v="27"/>
      <x v="54"/>
      <x/>
      <x v="168"/>
      <x v="28"/>
    </i>
    <i r="3">
      <x v="169"/>
      <x v="34"/>
    </i>
    <i r="3">
      <x v="170"/>
      <x v="34"/>
    </i>
    <i r="3">
      <x v="171"/>
      <x v="28"/>
    </i>
    <i r="3">
      <x v="172"/>
      <x v="28"/>
    </i>
    <i r="3">
      <x v="173"/>
      <x v="28"/>
    </i>
    <i r="3">
      <x v="295"/>
      <x v="28"/>
    </i>
    <i r="3">
      <x v="300"/>
      <x v="28"/>
    </i>
    <i r="1">
      <x v="55"/>
      <x/>
      <x v="174"/>
      <x v="28"/>
    </i>
    <i r="3">
      <x v="175"/>
      <x v="28"/>
    </i>
    <i r="3">
      <x v="176"/>
      <x v="28"/>
    </i>
    <i r="3">
      <x v="177"/>
      <x v="28"/>
    </i>
    <i r="3">
      <x v="178"/>
      <x v="28"/>
    </i>
    <i r="3">
      <x v="179"/>
      <x v="28"/>
    </i>
    <i r="3">
      <x v="180"/>
      <x v="28"/>
    </i>
    <i r="3">
      <x v="181"/>
      <x v="28"/>
    </i>
    <i r="3">
      <x v="182"/>
      <x v="28"/>
    </i>
    <i r="3">
      <x v="183"/>
      <x v="28"/>
    </i>
    <i r="3">
      <x v="184"/>
      <x v="28"/>
    </i>
    <i r="3">
      <x v="185"/>
      <x v="28"/>
    </i>
    <i r="3">
      <x v="186"/>
      <x v="28"/>
    </i>
    <i r="3">
      <x v="187"/>
      <x v="28"/>
    </i>
    <i r="3">
      <x v="188"/>
      <x v="28"/>
    </i>
    <i r="3">
      <x v="325"/>
      <x v="28"/>
    </i>
    <i r="3">
      <x v="326"/>
      <x v="28"/>
    </i>
    <i r="3">
      <x v="327"/>
      <x v="28"/>
    </i>
    <i t="default">
      <x v="27"/>
    </i>
    <i>
      <x v="28"/>
      <x v="54"/>
      <x/>
      <x v="162"/>
      <x v="28"/>
    </i>
    <i r="3">
      <x v="163"/>
      <x v="28"/>
    </i>
    <i r="3">
      <x v="164"/>
      <x v="28"/>
    </i>
    <i r="3">
      <x v="165"/>
      <x v="28"/>
    </i>
    <i r="3">
      <x v="166"/>
      <x v="28"/>
    </i>
    <i r="3">
      <x v="167"/>
      <x v="34"/>
    </i>
    <i t="default">
      <x v="28"/>
    </i>
    <i>
      <x v="31"/>
      <x v="58"/>
      <x/>
      <x v="237"/>
      <x v="32"/>
    </i>
    <i r="3">
      <x v="240"/>
      <x v="33"/>
    </i>
    <i r="3">
      <x v="264"/>
      <x v="32"/>
    </i>
    <i t="default">
      <x v="31"/>
    </i>
    <i>
      <x v="32"/>
      <x v="56"/>
      <x/>
      <x v="195"/>
      <x v="32"/>
    </i>
    <i r="3">
      <x v="196"/>
      <x v="32"/>
    </i>
    <i r="3">
      <x v="197"/>
      <x v="32"/>
    </i>
    <i r="3">
      <x v="198"/>
      <x v="32"/>
    </i>
    <i r="3">
      <x v="199"/>
      <x v="32"/>
    </i>
    <i r="3">
      <x v="200"/>
      <x v="32"/>
    </i>
    <i r="3">
      <x v="201"/>
      <x v="32"/>
    </i>
    <i r="3">
      <x v="202"/>
      <x v="32"/>
    </i>
    <i r="3">
      <x v="203"/>
      <x v="32"/>
    </i>
    <i r="3">
      <x v="204"/>
      <x v="31"/>
    </i>
    <i r="3">
      <x v="205"/>
      <x v="32"/>
    </i>
    <i r="3">
      <x v="206"/>
      <x v="31"/>
    </i>
    <i r="3">
      <x v="207"/>
      <x v="31"/>
    </i>
    <i r="3">
      <x v="208"/>
      <x v="32"/>
    </i>
    <i r="3">
      <x v="209"/>
      <x v="32"/>
    </i>
    <i r="3">
      <x v="210"/>
      <x v="32"/>
    </i>
    <i r="3">
      <x v="211"/>
      <x v="31"/>
    </i>
    <i r="3">
      <x v="212"/>
      <x v="32"/>
    </i>
    <i r="1">
      <x v="57"/>
      <x/>
      <x v="214"/>
      <x v="31"/>
    </i>
    <i r="3">
      <x v="215"/>
      <x v="32"/>
    </i>
    <i r="3">
      <x v="216"/>
      <x v="32"/>
    </i>
    <i r="3">
      <x v="217"/>
      <x v="32"/>
    </i>
    <i r="3">
      <x v="218"/>
      <x v="32"/>
    </i>
    <i r="3">
      <x v="219"/>
      <x v="32"/>
    </i>
    <i r="1">
      <x v="58"/>
      <x/>
      <x v="236"/>
      <x v="33"/>
    </i>
    <i r="3">
      <x v="238"/>
      <x v="33"/>
    </i>
    <i t="default">
      <x v="32"/>
    </i>
    <i>
      <x v="40"/>
      <x v="76"/>
      <x/>
      <x v="615"/>
      <x v="42"/>
    </i>
    <i r="3">
      <x v="616"/>
      <x v="42"/>
    </i>
    <i r="3">
      <x v="617"/>
      <x v="42"/>
    </i>
    <i r="3">
      <x v="619"/>
      <x v="42"/>
    </i>
    <i r="3">
      <x v="620"/>
      <x v="42"/>
    </i>
    <i r="3">
      <x v="621"/>
      <x v="42"/>
    </i>
    <i r="3">
      <x v="622"/>
      <x v="42"/>
    </i>
    <i r="3">
      <x v="624"/>
      <x v="42"/>
    </i>
    <i r="3">
      <x v="625"/>
      <x v="42"/>
    </i>
    <i r="3">
      <x v="626"/>
      <x v="42"/>
    </i>
    <i r="3">
      <x v="627"/>
      <x v="42"/>
    </i>
    <i r="3">
      <x v="628"/>
      <x v="42"/>
    </i>
    <i r="3">
      <x v="629"/>
      <x v="42"/>
    </i>
    <i r="1">
      <x v="78"/>
      <x/>
      <x v="613"/>
      <x v="42"/>
    </i>
    <i r="3">
      <x v="630"/>
      <x v="42"/>
    </i>
    <i r="3">
      <x v="631"/>
      <x v="42"/>
    </i>
    <i t="default">
      <x v="40"/>
    </i>
    <i t="grand">
      <x/>
    </i>
  </rowItems>
  <colItems count="1">
    <i/>
  </colItems>
  <pageFields count="1">
    <pageField fld="22" hier="-1"/>
  </pageFields>
  <dataFields count="1">
    <dataField name=" Площадь уборки, га" fld="21" baseField="11" baseItem="0" numFmtId="165"/>
  </dataFields>
  <formats count="107">
    <format dxfId="989">
      <pivotArea outline="0" fieldPosition="0">
        <references count="4">
          <reference field="11" count="1" selected="0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6" selected="0">
            <x v="340"/>
            <x v="341"/>
            <x v="342"/>
            <x v="345"/>
            <x v="347"/>
            <x v="349"/>
            <x v="352"/>
            <x v="354"/>
            <x v="356"/>
            <x v="359"/>
            <x v="362"/>
            <x v="363"/>
            <x v="365"/>
            <x v="367"/>
            <x v="368"/>
            <x v="369"/>
          </reference>
        </references>
      </pivotArea>
    </format>
    <format dxfId="988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0"/>
          </reference>
        </references>
      </pivotArea>
    </format>
    <format dxfId="987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1"/>
          </reference>
        </references>
      </pivotArea>
    </format>
    <format dxfId="986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2"/>
          </reference>
        </references>
      </pivotArea>
    </format>
    <format dxfId="985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5"/>
          </reference>
        </references>
      </pivotArea>
    </format>
    <format dxfId="984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7"/>
          </reference>
        </references>
      </pivotArea>
    </format>
    <format dxfId="983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49"/>
          </reference>
        </references>
      </pivotArea>
    </format>
    <format dxfId="982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52"/>
          </reference>
        </references>
      </pivotArea>
    </format>
    <format dxfId="981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54"/>
          </reference>
        </references>
      </pivotArea>
    </format>
    <format dxfId="980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56"/>
          </reference>
        </references>
      </pivotArea>
    </format>
    <format dxfId="979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59"/>
          </reference>
        </references>
      </pivotArea>
    </format>
    <format dxfId="978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2"/>
          </reference>
        </references>
      </pivotArea>
    </format>
    <format dxfId="977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3"/>
          </reference>
        </references>
      </pivotArea>
    </format>
    <format dxfId="976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5"/>
          </reference>
        </references>
      </pivotArea>
    </format>
    <format dxfId="975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7"/>
          </reference>
        </references>
      </pivotArea>
    </format>
    <format dxfId="974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8"/>
          </reference>
        </references>
      </pivotArea>
    </format>
    <format dxfId="973">
      <pivotArea dataOnly="0" labelOnly="1" outline="0" fieldPosition="0">
        <references count="4">
          <reference field="11" count="1">
            <x v="0"/>
          </reference>
          <reference field="19" count="1" selected="0">
            <x v="8"/>
          </reference>
          <reference field="25" count="1" selected="0">
            <x v="63"/>
          </reference>
          <reference field="30" count="1" selected="0">
            <x v="369"/>
          </reference>
        </references>
      </pivotArea>
    </format>
    <format dxfId="972">
      <pivotArea outline="0" fieldPosition="0">
        <references count="4">
          <reference field="11" count="2" selected="0">
            <x v="1"/>
            <x v="35"/>
          </reference>
          <reference field="19" count="1" selected="0">
            <x v="8"/>
          </reference>
          <reference field="25" count="2" selected="0">
            <x v="67"/>
            <x v="68"/>
          </reference>
          <reference field="30" count="7" selected="0">
            <x v="467"/>
            <x v="470"/>
            <x v="473"/>
            <x v="474"/>
            <x v="475"/>
            <x v="476"/>
            <x v="477"/>
          </reference>
        </references>
      </pivotArea>
    </format>
    <format dxfId="971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67"/>
          </reference>
        </references>
      </pivotArea>
    </format>
    <format dxfId="970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0"/>
          </reference>
        </references>
      </pivotArea>
    </format>
    <format dxfId="969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3"/>
          </reference>
        </references>
      </pivotArea>
    </format>
    <format dxfId="968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4"/>
          </reference>
        </references>
      </pivotArea>
    </format>
    <format dxfId="967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5"/>
          </reference>
        </references>
      </pivotArea>
    </format>
    <format dxfId="966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6"/>
          </reference>
        </references>
      </pivotArea>
    </format>
    <format dxfId="965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8"/>
          </reference>
          <reference field="30" count="1" selected="0">
            <x v="477"/>
          </reference>
        </references>
      </pivotArea>
    </format>
    <format dxfId="964">
      <pivotArea outline="0" fieldPosition="0">
        <references count="4">
          <reference field="11" count="1" selected="0">
            <x v="1"/>
          </reference>
          <reference field="19" count="1" selected="0">
            <x v="8"/>
          </reference>
          <reference field="25" count="2" selected="0">
            <x v="69"/>
            <x v="70"/>
          </reference>
          <reference field="30" count="5" selected="0">
            <x v="485"/>
            <x v="488"/>
            <x v="489"/>
            <x v="490"/>
            <x v="530"/>
          </reference>
        </references>
      </pivotArea>
    </format>
    <format dxfId="963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9"/>
          </reference>
          <reference field="30" count="1" selected="0">
            <x v="485"/>
          </reference>
        </references>
      </pivotArea>
    </format>
    <format dxfId="962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69"/>
          </reference>
          <reference field="30" count="1" selected="0">
            <x v="530"/>
          </reference>
        </references>
      </pivotArea>
    </format>
    <format dxfId="961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70"/>
          </reference>
          <reference field="30" count="1" selected="0">
            <x v="488"/>
          </reference>
        </references>
      </pivotArea>
    </format>
    <format dxfId="960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70"/>
          </reference>
          <reference field="30" count="1" selected="0">
            <x v="489"/>
          </reference>
        </references>
      </pivotArea>
    </format>
    <format dxfId="959">
      <pivotArea dataOnly="0" labelOnly="1" outline="0" fieldPosition="0">
        <references count="4">
          <reference field="11" count="1">
            <x v="1"/>
          </reference>
          <reference field="19" count="1" selected="0">
            <x v="8"/>
          </reference>
          <reference field="25" count="1" selected="0">
            <x v="70"/>
          </reference>
          <reference field="30" count="1" selected="0">
            <x v="490"/>
          </reference>
        </references>
      </pivotArea>
    </format>
    <format dxfId="958">
      <pivotArea type="origin" dataOnly="0" labelOnly="1" outline="0" fieldPosition="0"/>
    </format>
    <format dxfId="957">
      <pivotArea field="19" type="button" dataOnly="0" labelOnly="1" outline="0" axis="axisRow" fieldPosition="0"/>
    </format>
    <format dxfId="956">
      <pivotArea field="25" type="button" dataOnly="0" labelOnly="1" outline="0" axis="axisRow" fieldPosition="1"/>
    </format>
    <format dxfId="955">
      <pivotArea field="30" type="button" dataOnly="0" labelOnly="1" outline="0" axis="axisRow" fieldPosition="3"/>
    </format>
    <format dxfId="954">
      <pivotArea field="11" type="button" dataOnly="0" labelOnly="1" outline="0" axis="axisRow" fieldPosition="4"/>
    </format>
    <format dxfId="953">
      <pivotArea type="topRight" dataOnly="0" labelOnly="1" outline="0" fieldPosition="0"/>
    </format>
    <format dxfId="952">
      <pivotArea type="origin" dataOnly="0" labelOnly="1" outline="0" fieldPosition="0"/>
    </format>
    <format dxfId="951">
      <pivotArea field="19" type="button" dataOnly="0" labelOnly="1" outline="0" axis="axisRow" fieldPosition="0"/>
    </format>
    <format dxfId="950">
      <pivotArea field="25" type="button" dataOnly="0" labelOnly="1" outline="0" axis="axisRow" fieldPosition="1"/>
    </format>
    <format dxfId="949">
      <pivotArea field="30" type="button" dataOnly="0" labelOnly="1" outline="0" axis="axisRow" fieldPosition="3"/>
    </format>
    <format dxfId="948">
      <pivotArea field="11" type="button" dataOnly="0" labelOnly="1" outline="0" axis="axisRow" fieldPosition="4"/>
    </format>
    <format dxfId="947">
      <pivotArea type="topRight" dataOnly="0" labelOnly="1" outline="0" fieldPosition="0"/>
    </format>
    <format dxfId="946">
      <pivotArea type="origin" dataOnly="0" labelOnly="1" outline="0" fieldPosition="0"/>
    </format>
    <format dxfId="945">
      <pivotArea field="19" type="button" dataOnly="0" labelOnly="1" outline="0" axis="axisRow" fieldPosition="0"/>
    </format>
    <format dxfId="944">
      <pivotArea field="25" type="button" dataOnly="0" labelOnly="1" outline="0" axis="axisRow" fieldPosition="1"/>
    </format>
    <format dxfId="943">
      <pivotArea field="30" type="button" dataOnly="0" labelOnly="1" outline="0" axis="axisRow" fieldPosition="3"/>
    </format>
    <format dxfId="942">
      <pivotArea field="11" type="button" dataOnly="0" labelOnly="1" outline="0" axis="axisRow" fieldPosition="4"/>
    </format>
    <format dxfId="941">
      <pivotArea type="topRight" dataOnly="0" labelOnly="1" outline="0" fieldPosition="0"/>
    </format>
    <format dxfId="940">
      <pivotArea dataOnly="0" labelOnly="1" outline="0" fieldPosition="0">
        <references count="3">
          <reference field="9" count="1">
            <x v="1"/>
          </reference>
          <reference field="19" count="1" selected="0">
            <x v="11"/>
          </reference>
          <reference field="25" count="1" selected="0">
            <x v="68"/>
          </reference>
        </references>
      </pivotArea>
    </format>
    <format dxfId="939">
      <pivotArea dataOnly="0" labelOnly="1" outline="0" fieldPosition="0">
        <references count="4">
          <reference field="9" count="1" selected="0">
            <x v="1"/>
          </reference>
          <reference field="19" count="1" selected="0">
            <x v="11"/>
          </reference>
          <reference field="25" count="1" selected="0">
            <x v="68"/>
          </reference>
          <reference field="30" count="6">
            <x v="465"/>
            <x v="466"/>
            <x v="468"/>
            <x v="469"/>
            <x v="471"/>
            <x v="472"/>
          </reference>
        </references>
      </pivotArea>
    </format>
    <format dxfId="938">
      <pivotArea dataOnly="0" labelOnly="1" outline="0" fieldPosition="0">
        <references count="5">
          <reference field="9" count="1" selected="0">
            <x v="1"/>
          </reference>
          <reference field="11" count="1">
            <x v="5"/>
          </reference>
          <reference field="19" count="1" selected="0">
            <x v="11"/>
          </reference>
          <reference field="25" count="1" selected="0">
            <x v="68"/>
          </reference>
          <reference field="30" count="1" selected="0">
            <x v="465"/>
          </reference>
        </references>
      </pivotArea>
    </format>
    <format dxfId="937">
      <pivotArea dataOnly="0" labelOnly="1" outline="0" fieldPosition="0">
        <references count="5">
          <reference field="9" count="1" selected="0">
            <x v="1"/>
          </reference>
          <reference field="11" count="1">
            <x v="5"/>
          </reference>
          <reference field="19" count="1" selected="0">
            <x v="11"/>
          </reference>
          <reference field="25" count="1" selected="0">
            <x v="68"/>
          </reference>
          <reference field="30" count="1" selected="0">
            <x v="466"/>
          </reference>
        </references>
      </pivotArea>
    </format>
    <format dxfId="936">
      <pivotArea dataOnly="0" labelOnly="1" outline="0" fieldPosition="0">
        <references count="5">
          <reference field="9" count="1" selected="0">
            <x v="1"/>
          </reference>
          <reference field="11" count="1">
            <x v="5"/>
          </reference>
          <reference field="19" count="1" selected="0">
            <x v="11"/>
          </reference>
          <reference field="25" count="1" selected="0">
            <x v="68"/>
          </reference>
          <reference field="30" count="1" selected="0">
            <x v="468"/>
          </reference>
        </references>
      </pivotArea>
    </format>
    <format dxfId="935">
      <pivotArea dataOnly="0" labelOnly="1" outline="0" fieldPosition="0">
        <references count="5">
          <reference field="9" count="1" selected="0">
            <x v="1"/>
          </reference>
          <reference field="11" count="1">
            <x v="5"/>
          </reference>
          <reference field="19" count="1" selected="0">
            <x v="11"/>
          </reference>
          <reference field="25" count="1" selected="0">
            <x v="68"/>
          </reference>
          <reference field="30" count="1" selected="0">
            <x v="469"/>
          </reference>
        </references>
      </pivotArea>
    </format>
    <format dxfId="934">
      <pivotArea dataOnly="0" labelOnly="1" outline="0" fieldPosition="0">
        <references count="5">
          <reference field="9" count="1" selected="0">
            <x v="1"/>
          </reference>
          <reference field="11" count="1">
            <x v="5"/>
          </reference>
          <reference field="19" count="1" selected="0">
            <x v="11"/>
          </reference>
          <reference field="25" count="1" selected="0">
            <x v="68"/>
          </reference>
          <reference field="30" count="1" selected="0">
            <x v="471"/>
          </reference>
        </references>
      </pivotArea>
    </format>
    <format dxfId="933">
      <pivotArea outline="0" fieldPosition="0">
        <references count="5">
          <reference field="9" count="1" selected="0">
            <x v="1"/>
          </reference>
          <reference field="11" count="1" selected="0">
            <x v="5"/>
          </reference>
          <reference field="19" count="1" selected="0">
            <x v="11"/>
          </reference>
          <reference field="25" count="1" selected="0">
            <x v="68"/>
          </reference>
          <reference field="30" count="6" selected="0">
            <x v="465"/>
            <x v="466"/>
            <x v="468"/>
            <x v="469"/>
            <x v="471"/>
            <x v="472"/>
          </reference>
        </references>
      </pivotArea>
    </format>
    <format dxfId="932">
      <pivotArea outline="0" fieldPosition="0">
        <references count="5">
          <reference field="9" count="1" selected="0">
            <x v="0"/>
          </reference>
          <reference field="11" count="1" selected="0">
            <x v="32"/>
          </reference>
          <reference field="19" count="1" selected="0">
            <x v="12"/>
          </reference>
          <reference field="25" count="1" selected="0">
            <x v="56"/>
          </reference>
          <reference field="30" count="1" selected="0">
            <x v="189"/>
          </reference>
        </references>
      </pivotArea>
    </format>
    <format dxfId="931">
      <pivotArea dataOnly="0" labelOnly="1" outline="0" fieldPosition="0">
        <references count="4">
          <reference field="9" count="1" selected="0">
            <x v="0"/>
          </reference>
          <reference field="19" count="1" selected="0">
            <x v="12"/>
          </reference>
          <reference field="25" count="1" selected="0">
            <x v="56"/>
          </reference>
          <reference field="30" count="1">
            <x v="189"/>
          </reference>
        </references>
      </pivotArea>
    </format>
    <format dxfId="930">
      <pivotArea dataOnly="0" labelOnly="1" outline="0" fieldPosition="0">
        <references count="5">
          <reference field="9" count="1" selected="0">
            <x v="0"/>
          </reference>
          <reference field="11" count="1">
            <x v="32"/>
          </reference>
          <reference field="19" count="1" selected="0">
            <x v="12"/>
          </reference>
          <reference field="25" count="1" selected="0">
            <x v="56"/>
          </reference>
          <reference field="30" count="1" selected="0">
            <x v="189"/>
          </reference>
        </references>
      </pivotArea>
    </format>
    <format dxfId="929">
      <pivotArea outline="0" fieldPosition="0">
        <references count="5">
          <reference field="9" count="1" selected="0">
            <x v="0"/>
          </reference>
          <reference field="11" count="1" selected="0">
            <x v="6"/>
          </reference>
          <reference field="19" count="1" selected="0">
            <x v="12"/>
          </reference>
          <reference field="25" count="1" selected="0">
            <x v="56"/>
          </reference>
          <reference field="30" count="2" selected="0">
            <x v="192"/>
            <x v="193"/>
          </reference>
        </references>
      </pivotArea>
    </format>
    <format dxfId="928">
      <pivotArea dataOnly="0" labelOnly="1" outline="0" fieldPosition="0">
        <references count="4">
          <reference field="9" count="1" selected="0">
            <x v="0"/>
          </reference>
          <reference field="19" count="1" selected="0">
            <x v="12"/>
          </reference>
          <reference field="25" count="1" selected="0">
            <x v="56"/>
          </reference>
          <reference field="30" count="2">
            <x v="192"/>
            <x v="193"/>
          </reference>
        </references>
      </pivotArea>
    </format>
    <format dxfId="927">
      <pivotArea dataOnly="0" labelOnly="1" outline="0" fieldPosition="0">
        <references count="5">
          <reference field="9" count="1" selected="0">
            <x v="0"/>
          </reference>
          <reference field="11" count="1">
            <x v="6"/>
          </reference>
          <reference field="19" count="1" selected="0">
            <x v="12"/>
          </reference>
          <reference field="25" count="1" selected="0">
            <x v="56"/>
          </reference>
          <reference field="30" count="1" selected="0">
            <x v="192"/>
          </reference>
        </references>
      </pivotArea>
    </format>
    <format dxfId="926">
      <pivotArea dataOnly="0" labelOnly="1" outline="0" fieldPosition="0">
        <references count="5">
          <reference field="9" count="1" selected="0">
            <x v="0"/>
          </reference>
          <reference field="11" count="1">
            <x v="6"/>
          </reference>
          <reference field="19" count="1" selected="0">
            <x v="12"/>
          </reference>
          <reference field="25" count="1" selected="0">
            <x v="56"/>
          </reference>
          <reference field="30" count="1" selected="0">
            <x v="193"/>
          </reference>
        </references>
      </pivotArea>
    </format>
    <format dxfId="925">
      <pivotArea outline="0" fieldPosition="0">
        <references count="5">
          <reference field="9" count="1" selected="0">
            <x v="0"/>
          </reference>
          <reference field="11" count="1" selected="0">
            <x v="6"/>
          </reference>
          <reference field="19" count="1" selected="0">
            <x v="12"/>
          </reference>
          <reference field="25" count="1" selected="0">
            <x v="57"/>
          </reference>
          <reference field="30" count="1" selected="0">
            <x v="220"/>
          </reference>
        </references>
      </pivotArea>
    </format>
    <format dxfId="924">
      <pivotArea dataOnly="0" labelOnly="1" outline="0" fieldPosition="0">
        <references count="4">
          <reference field="9" count="1" selected="0">
            <x v="0"/>
          </reference>
          <reference field="19" count="1" selected="0">
            <x v="12"/>
          </reference>
          <reference field="25" count="1" selected="0">
            <x v="57"/>
          </reference>
          <reference field="30" count="1">
            <x v="220"/>
          </reference>
        </references>
      </pivotArea>
    </format>
    <format dxfId="923">
      <pivotArea dataOnly="0" labelOnly="1" outline="0" fieldPosition="0">
        <references count="5">
          <reference field="9" count="1" selected="0">
            <x v="0"/>
          </reference>
          <reference field="11" count="1">
            <x v="6"/>
          </reference>
          <reference field="19" count="1" selected="0">
            <x v="12"/>
          </reference>
          <reference field="25" count="1" selected="0">
            <x v="57"/>
          </reference>
          <reference field="30" count="1" selected="0">
            <x v="220"/>
          </reference>
        </references>
      </pivotArea>
    </format>
    <format dxfId="922">
      <pivotArea outline="0" fieldPosition="0">
        <references count="5">
          <reference field="9" count="1" selected="0">
            <x v="0"/>
          </reference>
          <reference field="11" count="1" selected="0">
            <x v="6"/>
          </reference>
          <reference field="19" count="1" selected="0">
            <x v="12"/>
          </reference>
          <reference field="25" count="1" selected="0">
            <x v="57"/>
          </reference>
          <reference field="30" count="1" selected="0">
            <x v="233"/>
          </reference>
        </references>
      </pivotArea>
    </format>
    <format dxfId="921">
      <pivotArea dataOnly="0" labelOnly="1" outline="0" fieldPosition="0">
        <references count="4">
          <reference field="9" count="1" selected="0">
            <x v="0"/>
          </reference>
          <reference field="19" count="1" selected="0">
            <x v="12"/>
          </reference>
          <reference field="25" count="1" selected="0">
            <x v="57"/>
          </reference>
          <reference field="30" count="1">
            <x v="233"/>
          </reference>
        </references>
      </pivotArea>
    </format>
    <format dxfId="920">
      <pivotArea dataOnly="0" labelOnly="1" outline="0" fieldPosition="0">
        <references count="5">
          <reference field="9" count="1" selected="0">
            <x v="0"/>
          </reference>
          <reference field="11" count="1">
            <x v="6"/>
          </reference>
          <reference field="19" count="1" selected="0">
            <x v="12"/>
          </reference>
          <reference field="25" count="1" selected="0">
            <x v="57"/>
          </reference>
          <reference field="30" count="1" selected="0">
            <x v="233"/>
          </reference>
        </references>
      </pivotArea>
    </format>
    <format dxfId="919">
      <pivotArea outline="0" fieldPosition="0">
        <references count="5">
          <reference field="9" count="1" selected="0">
            <x v="0"/>
          </reference>
          <reference field="11" count="1" selected="0">
            <x v="6"/>
          </reference>
          <reference field="19" count="1" selected="0">
            <x v="12"/>
          </reference>
          <reference field="25" count="1" selected="0">
            <x v="57"/>
          </reference>
          <reference field="30" count="1" selected="0">
            <x v="263"/>
          </reference>
        </references>
      </pivotArea>
    </format>
    <format dxfId="918">
      <pivotArea outline="0" fieldPosition="0">
        <references count="5">
          <reference field="9" count="1" selected="0">
            <x v="0"/>
          </reference>
          <reference field="11" count="1" selected="0">
            <x v="6"/>
          </reference>
          <reference field="19" count="1" selected="0">
            <x v="12"/>
          </reference>
          <reference field="25" count="1" selected="0">
            <x v="60"/>
          </reference>
          <reference field="30" count="1" selected="0">
            <x v="312"/>
          </reference>
        </references>
      </pivotArea>
    </format>
    <format dxfId="917">
      <pivotArea dataOnly="0" labelOnly="1" outline="0" fieldPosition="0">
        <references count="4">
          <reference field="9" count="1" selected="0">
            <x v="0"/>
          </reference>
          <reference field="19" count="1" selected="0">
            <x v="12"/>
          </reference>
          <reference field="25" count="1" selected="0">
            <x v="57"/>
          </reference>
          <reference field="30" count="1">
            <x v="263"/>
          </reference>
        </references>
      </pivotArea>
    </format>
    <format dxfId="916">
      <pivotArea dataOnly="0" labelOnly="1" outline="0" fieldPosition="0">
        <references count="4">
          <reference field="9" count="1" selected="0">
            <x v="0"/>
          </reference>
          <reference field="19" count="1" selected="0">
            <x v="12"/>
          </reference>
          <reference field="25" count="1" selected="0">
            <x v="60"/>
          </reference>
          <reference field="30" count="1">
            <x v="312"/>
          </reference>
        </references>
      </pivotArea>
    </format>
    <format dxfId="915">
      <pivotArea dataOnly="0" labelOnly="1" outline="0" fieldPosition="0">
        <references count="5">
          <reference field="9" count="1" selected="0">
            <x v="0"/>
          </reference>
          <reference field="11" count="1">
            <x v="6"/>
          </reference>
          <reference field="19" count="1" selected="0">
            <x v="12"/>
          </reference>
          <reference field="25" count="1" selected="0">
            <x v="57"/>
          </reference>
          <reference field="30" count="1" selected="0">
            <x v="263"/>
          </reference>
        </references>
      </pivotArea>
    </format>
    <format dxfId="914">
      <pivotArea dataOnly="0" labelOnly="1" outline="0" fieldPosition="0">
        <references count="5">
          <reference field="9" count="1" selected="0">
            <x v="0"/>
          </reference>
          <reference field="11" count="1">
            <x v="6"/>
          </reference>
          <reference field="19" count="1" selected="0">
            <x v="12"/>
          </reference>
          <reference field="25" count="1" selected="0">
            <x v="60"/>
          </reference>
          <reference field="30" count="1" selected="0">
            <x v="312"/>
          </reference>
        </references>
      </pivotArea>
    </format>
    <format dxfId="913">
      <pivotArea outline="0" fieldPosition="0">
        <references count="5">
          <reference field="9" count="1" selected="0">
            <x v="0"/>
          </reference>
          <reference field="11" count="1" selected="0">
            <x v="8"/>
          </reference>
          <reference field="19" count="1" selected="0">
            <x v="13"/>
          </reference>
          <reference field="25" count="1" selected="0">
            <x v="52"/>
          </reference>
          <reference field="30" count="1" selected="0">
            <x v="117"/>
          </reference>
        </references>
      </pivotArea>
    </format>
    <format dxfId="912">
      <pivotArea dataOnly="0" labelOnly="1" outline="0" fieldPosition="0">
        <references count="4">
          <reference field="9" count="1" selected="0">
            <x v="0"/>
          </reference>
          <reference field="19" count="1" selected="0">
            <x v="13"/>
          </reference>
          <reference field="25" count="1" selected="0">
            <x v="52"/>
          </reference>
          <reference field="30" count="1">
            <x v="117"/>
          </reference>
        </references>
      </pivotArea>
    </format>
    <format dxfId="911">
      <pivotArea dataOnly="0" labelOnly="1" outline="0" fieldPosition="0">
        <references count="5">
          <reference field="9" count="1" selected="0">
            <x v="0"/>
          </reference>
          <reference field="11" count="1">
            <x v="8"/>
          </reference>
          <reference field="19" count="1" selected="0">
            <x v="13"/>
          </reference>
          <reference field="25" count="1" selected="0">
            <x v="52"/>
          </reference>
          <reference field="30" count="1" selected="0">
            <x v="117"/>
          </reference>
        </references>
      </pivotArea>
    </format>
    <format dxfId="910">
      <pivotArea outline="0" fieldPosition="0">
        <references count="5">
          <reference field="9" count="1" selected="0">
            <x v="0"/>
          </reference>
          <reference field="11" count="1" selected="0">
            <x v="10"/>
          </reference>
          <reference field="19" count="1" selected="0">
            <x v="14"/>
          </reference>
          <reference field="25" count="1" selected="0">
            <x v="52"/>
          </reference>
          <reference field="30" count="1" selected="0">
            <x v="114"/>
          </reference>
        </references>
      </pivotArea>
    </format>
    <format dxfId="909">
      <pivotArea dataOnly="0" labelOnly="1" outline="0" fieldPosition="0">
        <references count="4">
          <reference field="9" count="1" selected="0">
            <x v="0"/>
          </reference>
          <reference field="19" count="1" selected="0">
            <x v="14"/>
          </reference>
          <reference field="25" count="1" selected="0">
            <x v="52"/>
          </reference>
          <reference field="30" count="1">
            <x v="114"/>
          </reference>
        </references>
      </pivotArea>
    </format>
    <format dxfId="908">
      <pivotArea dataOnly="0" labelOnly="1" outline="0" fieldPosition="0">
        <references count="5">
          <reference field="9" count="1" selected="0">
            <x v="0"/>
          </reference>
          <reference field="11" count="1">
            <x v="10"/>
          </reference>
          <reference field="19" count="1" selected="0">
            <x v="14"/>
          </reference>
          <reference field="25" count="1" selected="0">
            <x v="52"/>
          </reference>
          <reference field="30" count="1" selected="0">
            <x v="114"/>
          </reference>
        </references>
      </pivotArea>
    </format>
    <format dxfId="907">
      <pivotArea outline="0" fieldPosition="0">
        <references count="5">
          <reference field="9" count="1" selected="0">
            <x v="0"/>
          </reference>
          <reference field="11" count="1" selected="0">
            <x v="10"/>
          </reference>
          <reference field="19" count="1" selected="0">
            <x v="14"/>
          </reference>
          <reference field="25" count="1" selected="0">
            <x v="58"/>
          </reference>
          <reference field="30" count="1" selected="0">
            <x v="242"/>
          </reference>
        </references>
      </pivotArea>
    </format>
    <format dxfId="906">
      <pivotArea dataOnly="0" labelOnly="1" outline="0" fieldPosition="0">
        <references count="4">
          <reference field="9" count="1" selected="0">
            <x v="0"/>
          </reference>
          <reference field="19" count="1" selected="0">
            <x v="14"/>
          </reference>
          <reference field="25" count="1" selected="0">
            <x v="58"/>
          </reference>
          <reference field="30" count="1">
            <x v="242"/>
          </reference>
        </references>
      </pivotArea>
    </format>
    <format dxfId="905">
      <pivotArea dataOnly="0" labelOnly="1" outline="0" fieldPosition="0">
        <references count="5">
          <reference field="9" count="1" selected="0">
            <x v="0"/>
          </reference>
          <reference field="11" count="1">
            <x v="10"/>
          </reference>
          <reference field="19" count="1" selected="0">
            <x v="14"/>
          </reference>
          <reference field="25" count="1" selected="0">
            <x v="58"/>
          </reference>
          <reference field="30" count="1" selected="0">
            <x v="242"/>
          </reference>
        </references>
      </pivotArea>
    </format>
    <format dxfId="904">
      <pivotArea outline="0" fieldPosition="0">
        <references count="5">
          <reference field="9" count="1" selected="0">
            <x v="0"/>
          </reference>
          <reference field="11" count="1" selected="0">
            <x v="10"/>
          </reference>
          <reference field="19" count="1" selected="0">
            <x v="14"/>
          </reference>
          <reference field="25" count="1" selected="0">
            <x v="58"/>
          </reference>
          <reference field="30" count="7" selected="0">
            <x v="245"/>
            <x v="246"/>
            <x v="247"/>
            <x v="248"/>
            <x v="249"/>
            <x v="250"/>
            <x v="251"/>
          </reference>
        </references>
      </pivotArea>
    </format>
    <format dxfId="903">
      <pivotArea dataOnly="0" labelOnly="1" outline="0" fieldPosition="0">
        <references count="4">
          <reference field="9" count="1" selected="0">
            <x v="0"/>
          </reference>
          <reference field="19" count="1" selected="0">
            <x v="14"/>
          </reference>
          <reference field="25" count="1" selected="0">
            <x v="58"/>
          </reference>
          <reference field="30" count="7">
            <x v="245"/>
            <x v="246"/>
            <x v="247"/>
            <x v="248"/>
            <x v="249"/>
            <x v="250"/>
            <x v="251"/>
          </reference>
        </references>
      </pivotArea>
    </format>
    <format dxfId="902">
      <pivotArea dataOnly="0" labelOnly="1" outline="0" fieldPosition="0">
        <references count="5">
          <reference field="9" count="1" selected="0">
            <x v="0"/>
          </reference>
          <reference field="11" count="1">
            <x v="10"/>
          </reference>
          <reference field="19" count="1" selected="0">
            <x v="14"/>
          </reference>
          <reference field="25" count="1" selected="0">
            <x v="58"/>
          </reference>
          <reference field="30" count="1" selected="0">
            <x v="245"/>
          </reference>
        </references>
      </pivotArea>
    </format>
    <format dxfId="901">
      <pivotArea dataOnly="0" labelOnly="1" outline="0" fieldPosition="0">
        <references count="5">
          <reference field="9" count="1" selected="0">
            <x v="0"/>
          </reference>
          <reference field="11" count="1">
            <x v="10"/>
          </reference>
          <reference field="19" count="1" selected="0">
            <x v="14"/>
          </reference>
          <reference field="25" count="1" selected="0">
            <x v="58"/>
          </reference>
          <reference field="30" count="1" selected="0">
            <x v="246"/>
          </reference>
        </references>
      </pivotArea>
    </format>
    <format dxfId="900">
      <pivotArea dataOnly="0" labelOnly="1" outline="0" fieldPosition="0">
        <references count="5">
          <reference field="9" count="1" selected="0">
            <x v="0"/>
          </reference>
          <reference field="11" count="1">
            <x v="10"/>
          </reference>
          <reference field="19" count="1" selected="0">
            <x v="14"/>
          </reference>
          <reference field="25" count="1" selected="0">
            <x v="58"/>
          </reference>
          <reference field="30" count="1" selected="0">
            <x v="247"/>
          </reference>
        </references>
      </pivotArea>
    </format>
    <format dxfId="899">
      <pivotArea dataOnly="0" labelOnly="1" outline="0" fieldPosition="0">
        <references count="5">
          <reference field="9" count="1" selected="0">
            <x v="0"/>
          </reference>
          <reference field="11" count="1">
            <x v="10"/>
          </reference>
          <reference field="19" count="1" selected="0">
            <x v="14"/>
          </reference>
          <reference field="25" count="1" selected="0">
            <x v="58"/>
          </reference>
          <reference field="30" count="1" selected="0">
            <x v="248"/>
          </reference>
        </references>
      </pivotArea>
    </format>
    <format dxfId="898">
      <pivotArea dataOnly="0" labelOnly="1" outline="0" fieldPosition="0">
        <references count="5">
          <reference field="9" count="1" selected="0">
            <x v="0"/>
          </reference>
          <reference field="11" count="1">
            <x v="10"/>
          </reference>
          <reference field="19" count="1" selected="0">
            <x v="14"/>
          </reference>
          <reference field="25" count="1" selected="0">
            <x v="58"/>
          </reference>
          <reference field="30" count="1" selected="0">
            <x v="249"/>
          </reference>
        </references>
      </pivotArea>
    </format>
    <format dxfId="897">
      <pivotArea dataOnly="0" labelOnly="1" outline="0" fieldPosition="0">
        <references count="5">
          <reference field="9" count="1" selected="0">
            <x v="0"/>
          </reference>
          <reference field="11" count="1">
            <x v="10"/>
          </reference>
          <reference field="19" count="1" selected="0">
            <x v="14"/>
          </reference>
          <reference field="25" count="1" selected="0">
            <x v="58"/>
          </reference>
          <reference field="30" count="1" selected="0">
            <x v="250"/>
          </reference>
        </references>
      </pivotArea>
    </format>
    <format dxfId="896">
      <pivotArea dataOnly="0" labelOnly="1" outline="0" fieldPosition="0">
        <references count="5">
          <reference field="9" count="1" selected="0">
            <x v="0"/>
          </reference>
          <reference field="11" count="1">
            <x v="10"/>
          </reference>
          <reference field="19" count="1" selected="0">
            <x v="14"/>
          </reference>
          <reference field="25" count="1" selected="0">
            <x v="58"/>
          </reference>
          <reference field="30" count="1" selected="0">
            <x v="251"/>
          </reference>
        </references>
      </pivotArea>
    </format>
    <format dxfId="895">
      <pivotArea outline="0" fieldPosition="0">
        <references count="5">
          <reference field="9" count="1" selected="0">
            <x v="0"/>
          </reference>
          <reference field="11" count="1" selected="0">
            <x v="13"/>
          </reference>
          <reference field="19" count="1" selected="0">
            <x v="17"/>
          </reference>
          <reference field="25" count="1" selected="0">
            <x v="60"/>
          </reference>
          <reference field="30" count="1" selected="0">
            <x v="302"/>
          </reference>
        </references>
      </pivotArea>
    </format>
    <format dxfId="894">
      <pivotArea dataOnly="0" labelOnly="1" outline="0" fieldPosition="0">
        <references count="4">
          <reference field="9" count="1" selected="0">
            <x v="0"/>
          </reference>
          <reference field="19" count="1" selected="0">
            <x v="17"/>
          </reference>
          <reference field="25" count="1" selected="0">
            <x v="60"/>
          </reference>
          <reference field="30" count="1">
            <x v="302"/>
          </reference>
        </references>
      </pivotArea>
    </format>
    <format dxfId="893">
      <pivotArea dataOnly="0" labelOnly="1" outline="0" fieldPosition="0">
        <references count="5">
          <reference field="9" count="1" selected="0">
            <x v="0"/>
          </reference>
          <reference field="11" count="1">
            <x v="13"/>
          </reference>
          <reference field="19" count="1" selected="0">
            <x v="17"/>
          </reference>
          <reference field="25" count="1" selected="0">
            <x v="60"/>
          </reference>
          <reference field="30" count="1" selected="0">
            <x v="302"/>
          </reference>
        </references>
      </pivotArea>
    </format>
    <format dxfId="892">
      <pivotArea outline="0" fieldPosition="0">
        <references count="5">
          <reference field="9" count="1" selected="0">
            <x v="0"/>
          </reference>
          <reference field="11" count="1" selected="0">
            <x v="13"/>
          </reference>
          <reference field="19" count="1" selected="0">
            <x v="17"/>
          </reference>
          <reference field="25" count="1" selected="0">
            <x v="60"/>
          </reference>
          <reference field="30" count="1" selected="0">
            <x v="314"/>
          </reference>
        </references>
      </pivotArea>
    </format>
    <format dxfId="891">
      <pivotArea dataOnly="0" labelOnly="1" outline="0" fieldPosition="0">
        <references count="4">
          <reference field="9" count="1" selected="0">
            <x v="0"/>
          </reference>
          <reference field="19" count="1" selected="0">
            <x v="17"/>
          </reference>
          <reference field="25" count="1" selected="0">
            <x v="60"/>
          </reference>
          <reference field="30" count="1">
            <x v="314"/>
          </reference>
        </references>
      </pivotArea>
    </format>
    <format dxfId="890">
      <pivotArea dataOnly="0" labelOnly="1" outline="0" fieldPosition="0">
        <references count="5">
          <reference field="9" count="1" selected="0">
            <x v="0"/>
          </reference>
          <reference field="11" count="1">
            <x v="13"/>
          </reference>
          <reference field="19" count="1" selected="0">
            <x v="17"/>
          </reference>
          <reference field="25" count="1" selected="0">
            <x v="60"/>
          </reference>
          <reference field="30" count="1" selected="0">
            <x v="314"/>
          </reference>
        </references>
      </pivotArea>
    </format>
    <format dxfId="889">
      <pivotArea outline="0" fieldPosition="0">
        <references count="5">
          <reference field="9" count="1" selected="0">
            <x v="0"/>
          </reference>
          <reference field="11" count="1" selected="0">
            <x v="13"/>
          </reference>
          <reference field="19" count="1" selected="0">
            <x v="17"/>
          </reference>
          <reference field="25" count="1" selected="0">
            <x v="60"/>
          </reference>
          <reference field="30" count="2" selected="0">
            <x v="318"/>
            <x v="319"/>
          </reference>
        </references>
      </pivotArea>
    </format>
    <format dxfId="888">
      <pivotArea dataOnly="0" labelOnly="1" outline="0" fieldPosition="0">
        <references count="4">
          <reference field="9" count="1" selected="0">
            <x v="0"/>
          </reference>
          <reference field="19" count="1" selected="0">
            <x v="17"/>
          </reference>
          <reference field="25" count="1" selected="0">
            <x v="60"/>
          </reference>
          <reference field="30" count="2">
            <x v="318"/>
            <x v="319"/>
          </reference>
        </references>
      </pivotArea>
    </format>
    <format dxfId="887">
      <pivotArea dataOnly="0" labelOnly="1" outline="0" fieldPosition="0">
        <references count="5">
          <reference field="9" count="1" selected="0">
            <x v="0"/>
          </reference>
          <reference field="11" count="1">
            <x v="13"/>
          </reference>
          <reference field="19" count="1" selected="0">
            <x v="17"/>
          </reference>
          <reference field="25" count="1" selected="0">
            <x v="60"/>
          </reference>
          <reference field="30" count="1" selected="0">
            <x v="318"/>
          </reference>
        </references>
      </pivotArea>
    </format>
    <format dxfId="886">
      <pivotArea dataOnly="0" labelOnly="1" outline="0" fieldPosition="0">
        <references count="5">
          <reference field="9" count="1" selected="0">
            <x v="0"/>
          </reference>
          <reference field="11" count="1">
            <x v="13"/>
          </reference>
          <reference field="19" count="1" selected="0">
            <x v="17"/>
          </reference>
          <reference field="25" count="1" selected="0">
            <x v="60"/>
          </reference>
          <reference field="30" count="1" selected="0">
            <x v="319"/>
          </reference>
        </references>
      </pivotArea>
    </format>
    <format dxfId="885">
      <pivotArea outline="0" fieldPosition="0">
        <references count="5">
          <reference field="9" count="1" selected="0">
            <x v="0"/>
          </reference>
          <reference field="11" count="1" selected="0">
            <x v="13"/>
          </reference>
          <reference field="19" count="1" selected="0">
            <x v="17"/>
          </reference>
          <reference field="25" count="1" selected="0">
            <x v="61"/>
          </reference>
          <reference field="30" count="1" selected="0">
            <x v="324"/>
          </reference>
        </references>
      </pivotArea>
    </format>
    <format dxfId="884">
      <pivotArea dataOnly="0" labelOnly="1" outline="0" fieldPosition="0">
        <references count="4">
          <reference field="9" count="1" selected="0">
            <x v="0"/>
          </reference>
          <reference field="19" count="1" selected="0">
            <x v="17"/>
          </reference>
          <reference field="25" count="1" selected="0">
            <x v="61"/>
          </reference>
          <reference field="30" count="1">
            <x v="324"/>
          </reference>
        </references>
      </pivotArea>
    </format>
    <format dxfId="883">
      <pivotArea dataOnly="0" labelOnly="1" outline="0" fieldPosition="0">
        <references count="5">
          <reference field="9" count="1" selected="0">
            <x v="0"/>
          </reference>
          <reference field="11" count="1">
            <x v="13"/>
          </reference>
          <reference field="19" count="1" selected="0">
            <x v="17"/>
          </reference>
          <reference field="25" count="1" selected="0">
            <x v="61"/>
          </reference>
          <reference field="30" count="1" selected="0">
            <x v="3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1A00D-0EA0-411A-B43B-684D8155812B}" name="Сводная таблица6" cacheId="2" applyNumberFormats="0" applyBorderFormats="0" applyFontFormats="0" applyPatternFormats="0" applyAlignmentFormats="0" applyWidthHeightFormats="1" dataCaption="Значения" updatedVersion="8" minRefreshableVersion="3" colGrandTotals="0" itemPrintTitles="1" createdVersion="8" indent="0" outline="1" outlineData="1" multipleFieldFilters="0" chartFormat="8" rowHeaderCaption="Дата">
  <location ref="A4:J61" firstHeaderRow="1" firstDataRow="3" firstDataCol="1" rowPageCount="1" colPageCount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numFmtId="1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2"/>
        <item x="41"/>
        <item x="39"/>
        <item x="40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umFmtId="165" showAll="0"/>
    <pivotField showAll="0"/>
    <pivotField showAll="0"/>
    <pivotField showAll="0"/>
    <pivotField axis="axisRow" numFmtId="187" showAll="0">
      <items count="55">
        <item x="43"/>
        <item x="44"/>
        <item x="45"/>
        <item x="46"/>
        <item x="47"/>
        <item x="48"/>
        <item x="49"/>
        <item x="50"/>
        <item x="0"/>
        <item x="53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52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2"/>
        <item x="41"/>
        <item x="39"/>
        <item x="40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22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2">
    <field x="16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</colItems>
  <pageFields count="1">
    <pageField fld="23" hier="-1"/>
  </pageFields>
  <dataFields count="3">
    <dataField name=" Вал. вес, т" fld="29" baseField="22" baseItem="5" numFmtId="3"/>
    <dataField name=" Зач. вес, т" fld="30" baseField="22" baseItem="5" numFmtId="3"/>
    <dataField name=" Отходы (вх контр), т" fld="31" baseField="22" baseItem="13" numFmtId="3"/>
  </dataFields>
  <formats count="14">
    <format dxfId="632">
      <pivotArea outline="0" fieldPosition="0">
        <references count="1">
          <reference field="4294967294" count="1">
            <x v="2"/>
          </reference>
        </references>
      </pivotArea>
    </format>
    <format dxfId="631">
      <pivotArea field="22" type="button" dataOnly="0" labelOnly="1" outline="0" axis="axisRow" fieldPosition="0"/>
    </format>
    <format dxfId="63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0"/>
          </reference>
        </references>
      </pivotArea>
    </format>
    <format dxfId="62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1"/>
          </reference>
        </references>
      </pivotArea>
    </format>
    <format dxfId="62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2"/>
          </reference>
        </references>
      </pivotArea>
    </format>
    <format dxfId="627">
      <pivotArea field="22" type="button" dataOnly="0" labelOnly="1" outline="0" axis="axisRow" fieldPosition="0"/>
    </format>
    <format dxfId="62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0"/>
          </reference>
        </references>
      </pivotArea>
    </format>
    <format dxfId="62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1"/>
          </reference>
        </references>
      </pivotArea>
    </format>
    <format dxfId="62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2"/>
          </reference>
        </references>
      </pivotArea>
    </format>
    <format dxfId="623">
      <pivotArea field="22" type="button" dataOnly="0" labelOnly="1" outline="0" axis="axisRow" fieldPosition="0"/>
    </format>
    <format dxfId="62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0"/>
          </reference>
        </references>
      </pivotArea>
    </format>
    <format dxfId="62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1"/>
          </reference>
        </references>
      </pivotArea>
    </format>
    <format dxfId="62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6" count="1" selected="0">
            <x v="2"/>
          </reference>
        </references>
      </pivotArea>
    </format>
    <format dxfId="619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6" count="1" selected="0">
            <x v="1"/>
          </reference>
          <reference field="22" count="0"/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08078-6F04-43E8-ABE8-C050C82C1180}" name="Сводная таблица6" cacheId="2" applyNumberFormats="0" applyBorderFormats="0" applyFontFormats="0" applyPatternFormats="0" applyAlignmentFormats="0" applyWidthHeightFormats="1" dataCaption="Значения" updatedVersion="8" minRefreshableVersion="3" colGrandTotals="0" itemPrintTitles="1" createdVersion="8" indent="0" outline="1" outlineData="1" multipleFieldFilters="0" chartFormat="8" rowHeaderCaption="Дата">
  <location ref="A4:D9" firstHeaderRow="1" firstDataRow="2" firstDataCol="1" rowPageCount="1" colPageCount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numFmtId="1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2"/>
        <item x="41"/>
        <item x="39"/>
        <item x="40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umFmtId="165" showAll="0"/>
    <pivotField showAll="0"/>
    <pivotField showAll="0"/>
    <pivotField showAll="0"/>
    <pivotField numFmtId="187" showAll="0">
      <items count="55">
        <item x="43"/>
        <item x="44"/>
        <item x="45"/>
        <item x="46"/>
        <item x="47"/>
        <item x="48"/>
        <item x="49"/>
        <item x="50"/>
        <item x="0"/>
        <item x="53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52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2"/>
        <item x="41"/>
        <item x="39"/>
        <item x="40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8"/>
  </rowFields>
  <rowItems count="4">
    <i>
      <x v="5"/>
    </i>
    <i>
      <x v="6"/>
    </i>
    <i>
      <x v="7"/>
    </i>
    <i t="grand">
      <x/>
    </i>
  </rowItems>
  <colFields count="1">
    <field x="16"/>
  </colFields>
  <colItems count="3">
    <i>
      <x/>
    </i>
    <i>
      <x v="1"/>
    </i>
    <i>
      <x v="2"/>
    </i>
  </colItems>
  <pageFields count="1">
    <pageField fld="23" hier="-1"/>
  </pageFields>
  <dataFields count="1">
    <dataField name=" Вес нетто, кг" fld="14" baseField="22" baseItem="8" numFmtId="3"/>
  </dataFields>
  <formats count="4">
    <format dxfId="618">
      <pivotArea field="22" type="button" dataOnly="0" labelOnly="1" outline="0"/>
    </format>
    <format dxfId="617">
      <pivotArea field="22" type="button" dataOnly="0" labelOnly="1" outline="0"/>
    </format>
    <format dxfId="616">
      <pivotArea field="22" type="button" dataOnly="0" labelOnly="1" outline="0"/>
    </format>
    <format dxfId="61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51045-D865-466C-A799-5F279CBD1B1A}" name="Сводная таблица14" cacheId="1" applyNumberFormats="0" applyBorderFormats="0" applyFontFormats="0" applyPatternFormats="0" applyAlignmentFormats="0" applyWidthHeightFormats="1" dataCaption="Значения" updatedVersion="8" minRefreshableVersion="3" itemPrintTitles="1" createdVersion="8" indent="0" compact="0" compactData="0" gridDropZones="1" multipleFieldFilters="0">
  <location ref="A3:E23" firstHeaderRow="1" firstDataRow="2" firstDataCol="2"/>
  <pivotFields count="15">
    <pivotField name="Культура (КА)"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name="Сорт горошка" axis="axisRow" compact="0" outline="0" showAll="0" sortType="descending">
      <items count="19">
        <item sd="0" x="7"/>
        <item sd="0" x="3"/>
        <item sd="0" x="4"/>
        <item sd="0" x="11"/>
        <item sd="0" x="15"/>
        <item sd="0" x="12"/>
        <item sd="0" x="16"/>
        <item sd="0" x="13"/>
        <item sd="0" x="5"/>
        <item sd="0" x="2"/>
        <item sd="0" x="8"/>
        <item sd="0" x="6"/>
        <item sd="0" x="9"/>
        <item sd="0" x="0"/>
        <item sd="0" x="10"/>
        <item sd="0" x="14"/>
        <item sd="0" x="1"/>
        <item sd="0" x="17"/>
        <item t="default" sd="0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numFmtId="165" outline="0" showAll="0"/>
    <pivotField dataField="1" compact="0" numFmtId="165" outline="0" showAll="0"/>
    <pivotField compact="0" numFmtId="165" outline="0" showAll="0"/>
    <pivotField compact="0" numFmtId="166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6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3"/>
    <field x="0"/>
  </rowFields>
  <rowItems count="19">
    <i>
      <x v="17"/>
    </i>
    <i>
      <x v="3"/>
    </i>
    <i>
      <x v="8"/>
    </i>
    <i>
      <x/>
    </i>
    <i>
      <x v="14"/>
    </i>
    <i>
      <x v="6"/>
    </i>
    <i>
      <x v="11"/>
    </i>
    <i>
      <x v="15"/>
    </i>
    <i>
      <x v="16"/>
    </i>
    <i>
      <x v="12"/>
    </i>
    <i>
      <x v="5"/>
    </i>
    <i>
      <x v="10"/>
    </i>
    <i>
      <x v="2"/>
    </i>
    <i>
      <x v="4"/>
    </i>
    <i>
      <x v="13"/>
    </i>
    <i>
      <x v="7"/>
    </i>
    <i>
      <x v="9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Площадь уборки, га" fld="5" baseField="3" baseItem="3" numFmtId="165"/>
    <dataField name=" Физический вес, кг" fld="13" baseField="0" baseItem="0" numFmtId="3"/>
    <dataField name=" Урожайность физ.вес, т/га" fld="14" baseField="0" baseItem="0" numFmtId="165"/>
  </dataFields>
  <formats count="9">
    <format dxfId="533">
      <pivotArea field="3" type="button" dataOnly="0" labelOnly="1" outline="0" axis="axisRow" fieldPosition="0"/>
    </format>
    <format dxfId="532">
      <pivotArea field="0" type="button" dataOnly="0" labelOnly="1" outline="0" axis="axisRow" fieldPosition="1"/>
    </format>
    <format dxfId="5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0">
      <pivotArea field="3" type="button" dataOnly="0" labelOnly="1" outline="0" axis="axisRow" fieldPosition="0"/>
    </format>
    <format dxfId="529">
      <pivotArea field="0" type="button" dataOnly="0" labelOnly="1" outline="0" axis="axisRow" fieldPosition="1"/>
    </format>
    <format dxfId="5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27">
      <pivotArea field="3" type="button" dataOnly="0" labelOnly="1" outline="0" axis="axisRow" fieldPosition="0"/>
    </format>
    <format dxfId="526">
      <pivotArea field="0" type="button" dataOnly="0" labelOnly="1" outline="0" axis="axisRow" fieldPosition="1"/>
    </format>
    <format dxfId="5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428B0-5503-4684-82B9-E74A92859899}" name="Сводная таблица2" cacheId="5" applyNumberFormats="0" applyBorderFormats="0" applyFontFormats="0" applyPatternFormats="0" applyAlignmentFormats="0" applyWidthHeightFormats="1" dataCaption="Значения" updatedVersion="8" minRefreshableVersion="3" itemPrintTitles="1" createdVersion="8" indent="0" compact="0" compactData="0" gridDropZones="1" multipleFieldFilters="0" rowHeaderCaption="Культура">
  <location ref="A3:G14" firstHeaderRow="1" firstDataRow="2" firstDataCol="2"/>
  <pivotFields count="40">
    <pivotField compact="0" outline="0" showAll="0"/>
    <pivotField compact="0" numFmtId="167" outline="0" showAll="0"/>
    <pivotField compact="0" outline="0" showAll="0"/>
    <pivotField compact="0" numFmtId="168" outline="0" showAll="0"/>
    <pivotField compact="0" numFmtId="171" outline="0" showAll="0" defaultSubtotal="0"/>
    <pivotField compact="0" numFmtId="167" outline="0" showAll="0"/>
    <pivotField dataField="1" compact="0" numFmtId="167" outline="0" showAll="0"/>
    <pivotField compact="0" numFmtId="169" outline="0" showAll="0"/>
    <pivotField dataField="1"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43">
        <item sd="0" m="1" x="37"/>
        <item sd="0" m="1" x="39"/>
        <item sd="0" m="1" x="41"/>
        <item sd="0" m="1" x="38"/>
        <item m="1" x="40"/>
        <item sd="0" m="1" x="42"/>
        <item x="0"/>
        <item x="1"/>
        <item x="2"/>
        <item x="3"/>
        <item x="5"/>
        <item x="4"/>
        <item x="6"/>
        <item x="8"/>
        <item x="7"/>
        <item x="9"/>
        <item x="11"/>
        <item x="12"/>
        <item x="10"/>
        <item x="20"/>
        <item x="16"/>
        <item x="17"/>
        <item x="13"/>
        <item x="18"/>
        <item x="19"/>
        <item x="21"/>
        <item x="22"/>
        <item x="14"/>
        <item x="15"/>
        <item x="23"/>
        <item x="24"/>
        <item x="25"/>
        <item x="26"/>
        <item x="27"/>
        <item x="28"/>
        <item x="29"/>
        <item x="31"/>
        <item x="34"/>
        <item x="30"/>
        <item x="32"/>
        <item x="33"/>
        <item m="1" x="35"/>
        <item m="1" x="36"/>
      </items>
    </pivotField>
    <pivotField name="Сорт горошка (документы)" axis="axisRow" compact="0" outline="0" showAll="0" sortType="descending">
      <items count="10">
        <item sd="0" x="1"/>
        <item sd="0" x="6"/>
        <item sd="0" x="0"/>
        <item sd="0" x="4"/>
        <item sd="0" x="2"/>
        <item sd="0" x="3"/>
        <item sd="0" x="5"/>
        <item m="1" x="8"/>
        <item x="7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compact="0" outline="0" showAll="0"/>
    <pivotField name="Культура (КА)" axis="axisRow" compact="0" outline="0" multipleItemSelectionAllowed="1" showAll="0" defaultSubtotal="0">
      <items count="13">
        <item m="1" x="8"/>
        <item m="1" x="9"/>
        <item x="0"/>
        <item h="1" sd="0" m="1" x="7"/>
        <item m="1" x="10"/>
        <item sd="0" m="1" x="11"/>
        <item sd="0" m="1" x="12"/>
        <item sd="0" x="2"/>
        <item sd="0" x="3"/>
        <item h="1" x="1"/>
        <item h="1" m="1" x="6"/>
        <item h="1" m="1" x="5"/>
        <item h="1" m="1" x="4"/>
      </items>
    </pivotField>
    <pivotField compact="0" outline="0" showAll="0"/>
    <pivotField compact="0" outline="0" showAll="0"/>
    <pivotField compact="0" numFmtId="14" outline="0" multipleItemSelectionAllowed="1" showAll="0" defaultSubtotal="0">
      <items count="79">
        <item m="1" x="75"/>
        <item m="1" x="76"/>
        <item m="1" x="78"/>
        <item m="1" x="77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20"/>
    <field x="22"/>
  </rowFields>
  <rowItems count="10">
    <i>
      <x v="4"/>
    </i>
    <i>
      <x v="8"/>
      <x v="8"/>
    </i>
    <i t="default">
      <x v="8"/>
    </i>
    <i>
      <x/>
    </i>
    <i>
      <x v="3"/>
    </i>
    <i>
      <x v="2"/>
    </i>
    <i>
      <x v="6"/>
    </i>
    <i>
      <x v="5"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Площадь уборки, га" fld="21" baseField="22" baseItem="0" numFmtId="165"/>
    <dataField name="Физический вес, кг" fld="6" baseField="21" baseItem="0" numFmtId="3"/>
    <dataField name="Зачетный вес, кг" fld="8" baseField="21" baseItem="0" numFmtId="3"/>
    <dataField name="Урожайность физ.вес, т/га" fld="34" baseField="21" baseItem="0" numFmtId="165"/>
    <dataField name=" Урожайность зач. вес, т/га" fld="36" baseField="21" baseItem="0" numFmtId="165"/>
  </dataFields>
  <formats count="51">
    <format dxfId="524">
      <pivotArea dataOnly="0" labelOnly="1" outline="0" fieldPosition="0">
        <references count="1">
          <reference field="22" count="1">
            <x v="1"/>
          </reference>
        </references>
      </pivotArea>
    </format>
    <format dxfId="523">
      <pivotArea outline="0" fieldPosition="0">
        <references count="1">
          <reference field="4294967294" count="1">
            <x v="1"/>
          </reference>
        </references>
      </pivotArea>
    </format>
    <format dxfId="522">
      <pivotArea outline="0" fieldPosition="0">
        <references count="1">
          <reference field="4294967294" count="1">
            <x v="2"/>
          </reference>
        </references>
      </pivotArea>
    </format>
    <format dxfId="521">
      <pivotArea field="22" type="button" dataOnly="0" labelOnly="1" outline="0" axis="axisRow" fieldPosition="1"/>
    </format>
    <format dxfId="5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19">
      <pivotArea field="22" type="button" dataOnly="0" labelOnly="1" outline="0" axis="axisRow" fieldPosition="1"/>
    </format>
    <format dxfId="5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17">
      <pivotArea field="22" type="button" dataOnly="0" labelOnly="1" outline="0" axis="axisRow" fieldPosition="1"/>
    </format>
    <format dxfId="5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15">
      <pivotArea type="all" dataOnly="0" outline="0" fieldPosition="0"/>
    </format>
    <format dxfId="514">
      <pivotArea outline="0" collapsedLevelsAreSubtotals="1" fieldPosition="0"/>
    </format>
    <format dxfId="513">
      <pivotArea type="origin" dataOnly="0" labelOnly="1" outline="0" fieldPosition="0"/>
    </format>
    <format dxfId="512">
      <pivotArea field="-2" type="button" dataOnly="0" labelOnly="1" outline="0" axis="axisCol" fieldPosition="0"/>
    </format>
    <format dxfId="511">
      <pivotArea type="topRight" dataOnly="0" labelOnly="1" outline="0" fieldPosition="0"/>
    </format>
    <format dxfId="510">
      <pivotArea field="25" type="button" dataOnly="0" labelOnly="1" outline="0"/>
    </format>
    <format dxfId="509">
      <pivotArea field="22" type="button" dataOnly="0" labelOnly="1" outline="0" axis="axisRow" fieldPosition="1"/>
    </format>
    <format dxfId="508">
      <pivotArea dataOnly="0" labelOnly="1" grandRow="1" outline="0" fieldPosition="0"/>
    </format>
    <format dxfId="5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06">
      <pivotArea outline="0" fieldPosition="0">
        <references count="1">
          <reference field="4294967294" count="1">
            <x v="3"/>
          </reference>
        </references>
      </pivotArea>
    </format>
    <format dxfId="505">
      <pivotArea field="25" type="button" dataOnly="0" labelOnly="1" outline="0"/>
    </format>
    <format dxfId="504">
      <pivotArea field="25" type="button" dataOnly="0" labelOnly="1" outline="0"/>
    </format>
    <format dxfId="503">
      <pivotArea field="25" type="button" dataOnly="0" labelOnly="1" outline="0"/>
    </format>
    <format dxfId="502">
      <pivotArea outline="0" fieldPosition="0">
        <references count="1">
          <reference field="4294967294" count="1">
            <x v="4"/>
          </reference>
        </references>
      </pivotArea>
    </format>
    <format dxfId="501">
      <pivotArea field="22" type="button" dataOnly="0" labelOnly="1" outline="0" axis="axisRow" fieldPosition="1"/>
    </format>
    <format dxfId="500">
      <pivotArea field="19" type="button" dataOnly="0" labelOnly="1" outline="0"/>
    </format>
    <format dxfId="49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98">
      <pivotArea field="22" type="button" dataOnly="0" labelOnly="1" outline="0" axis="axisRow" fieldPosition="1"/>
    </format>
    <format dxfId="497">
      <pivotArea field="19" type="button" dataOnly="0" labelOnly="1" outline="0"/>
    </format>
    <format dxfId="49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95">
      <pivotArea field="22" type="button" dataOnly="0" labelOnly="1" outline="0" axis="axisRow" fieldPosition="1"/>
    </format>
    <format dxfId="494">
      <pivotArea field="19" type="button" dataOnly="0" labelOnly="1" outline="0"/>
    </format>
    <format dxfId="49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92">
      <pivotArea type="all" dataOnly="0" outline="0" fieldPosition="0"/>
    </format>
    <format dxfId="491">
      <pivotArea outline="0" collapsedLevelsAreSubtotals="1" fieldPosition="0"/>
    </format>
    <format dxfId="490">
      <pivotArea type="origin" dataOnly="0" labelOnly="1" outline="0" fieldPosition="0"/>
    </format>
    <format dxfId="489">
      <pivotArea field="-2" type="button" dataOnly="0" labelOnly="1" outline="0" axis="axisCol" fieldPosition="0"/>
    </format>
    <format dxfId="488">
      <pivotArea type="topRight" dataOnly="0" labelOnly="1" outline="0" fieldPosition="0"/>
    </format>
    <format dxfId="487">
      <pivotArea field="22" type="button" dataOnly="0" labelOnly="1" outline="0" axis="axisRow" fieldPosition="1"/>
    </format>
    <format dxfId="486">
      <pivotArea field="19" type="button" dataOnly="0" labelOnly="1" outline="0"/>
    </format>
    <format dxfId="485">
      <pivotArea dataOnly="0" labelOnly="1" outline="0" fieldPosition="0">
        <references count="1">
          <reference field="22" count="0"/>
        </references>
      </pivotArea>
    </format>
    <format dxfId="484">
      <pivotArea dataOnly="0" labelOnly="1" grandRow="1" outline="0" fieldPosition="0"/>
    </format>
    <format dxfId="48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82">
      <pivotArea outline="0" fieldPosition="0">
        <references count="1">
          <reference field="4294967294" count="1">
            <x v="0"/>
          </reference>
        </references>
      </pivotArea>
    </format>
    <format dxfId="481">
      <pivotArea field="20" type="button" dataOnly="0" labelOnly="1" outline="0" axis="axisRow" fieldPosition="0"/>
    </format>
    <format dxfId="480">
      <pivotArea field="22" type="button" dataOnly="0" labelOnly="1" outline="0" axis="axisRow" fieldPosition="1"/>
    </format>
    <format dxfId="47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78">
      <pivotArea field="20" type="button" dataOnly="0" labelOnly="1" outline="0" axis="axisRow" fieldPosition="0"/>
    </format>
    <format dxfId="477">
      <pivotArea field="22" type="button" dataOnly="0" labelOnly="1" outline="0" axis="axisRow" fieldPosition="1"/>
    </format>
    <format dxfId="47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7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74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онтрагент" xr10:uid="{A9281E76-E3DC-44DF-9293-8CEA32947C10}" sourceName="Контрагент">
  <data>
    <tabular pivotCacheId="1497707763">
      <items count="5"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олив" xr10:uid="{80D7C447-710B-4F09-990A-D1A4B92CCAB8}" sourceName="Полив">
  <data>
    <tabular pivotCacheId="1497707763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ультура" xr10:uid="{110E2E0A-CDA6-406D-BB77-C27CC83488DA}" sourceName="Культура">
  <extLst>
    <x:ext xmlns:x15="http://schemas.microsoft.com/office/spreadsheetml/2010/11/main" uri="{2F2917AC-EB37-4324-AD4E-5DD8C200BD13}">
      <x15:tableSlicerCache tableId="4" column="1" crossFilter="none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Орошение" xr10:uid="{45DA7CA6-DA68-4A23-9611-518FE9E20D97}" sourceName="Орошение">
  <extLst>
    <x:ext xmlns:x15="http://schemas.microsoft.com/office/spreadsheetml/2010/11/main" uri="{2F2917AC-EB37-4324-AD4E-5DD8C200BD13}">
      <x15:tableSlicerCache tableId="4" column="5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ультура1" xr10:uid="{F7C678B1-599B-43FA-8133-628D4ABFDABD}" sourceName="Культура">
  <extLst>
    <x:ext xmlns:x15="http://schemas.microsoft.com/office/spreadsheetml/2010/11/main" uri="{2F2917AC-EB37-4324-AD4E-5DD8C200BD13}">
      <x15:tableSlicerCache tableId="12" column="1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Орошение1" xr10:uid="{362C760B-5F96-43C7-8627-C323F8325B83}" sourceName="Орошение">
  <extLst>
    <x:ext xmlns:x15="http://schemas.microsoft.com/office/spreadsheetml/2010/11/main" uri="{2F2917AC-EB37-4324-AD4E-5DD8C200BD13}">
      <x15:tableSlicerCache tableId="12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Культура 2" xr10:uid="{9A5A5251-99B7-467B-9456-0215F36F7FBE}" cache="Срез_Культура1" caption="Культура" style="ДАШБОРД" rowHeight="241300"/>
  <slicer name="Орошение 2" xr10:uid="{814623F7-2B9C-46AA-AC74-D37F0B494D3D}" cache="Срез_Орошение1" caption="Орошение" style="ДАШБОРД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Культура" xr10:uid="{B704FAEC-F5C8-4E4A-BF19-ACC48FFCD795}" cache="Срез_Культура" caption="Культура" style="ДАШБОРД" rowHeight="234950"/>
  <slicer name="Орошение" xr10:uid="{0A08F44F-99C2-4C95-8132-7DDF7709F23E}" cache="Срез_Орошение" caption="Орошение" style="ДАШБОРД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Контрагент" xr10:uid="{60F2D495-FE2C-4ED3-BE23-32B0D6A05ABB}" cache="Срез_Контрагент" caption="Контрагент" style="ДАШБОРД" rowHeight="241300"/>
  <slicer name="Полив" xr10:uid="{5E779E69-9759-4472-89E3-A3D83B34F8AF}" cache="Срез_Полив" caption="Полив" style="ДАШБОРД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170DBAB-1BC2-472A-A567-85E90F46125A}" name="Таблица14" displayName="Таблица14" ref="A3:F4" totalsRowShown="0">
  <autoFilter ref="A3:F4" xr:uid="{F170DBAB-1BC2-472A-A567-85E90F46125A}"/>
  <tableColumns count="6">
    <tableColumn id="1" xr3:uid="{461F06D2-5E93-4E78-85EB-7220F7DBFE9A}" name="Культура"/>
    <tableColumn id="2" xr3:uid="{2F9D1882-853E-4CBE-A5B8-D18A90A1B148}" name="Поле"/>
    <tableColumn id="3" xr3:uid="{B6243738-1772-4BB1-A3A8-9B2125878023}" name="Сорт"/>
    <tableColumn id="4" xr3:uid="{426AC785-E428-428F-AD34-494300327865}" name="Площадь поля"/>
    <tableColumn id="5" xr3:uid="{A53F1CE1-9FF6-4FB4-A74A-874DE5141A26}" name="Площадь внесения"/>
    <tableColumn id="6" xr3:uid="{905B44B2-A99F-4F93-BA5D-592DA2819E64}" name="Площадь уборк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F7F908B-0FB7-42D1-BF80-5EEC04FCBC9E}" name="Таблица15" displayName="Таблица15" ref="A3:F15" totalsRowShown="0">
  <autoFilter ref="A3:F15" xr:uid="{8F7F908B-0FB7-42D1-BF80-5EEC04FCBC9E}"/>
  <tableColumns count="6">
    <tableColumn id="1" xr3:uid="{1973B8D7-9ECA-4739-A766-863923E93CAC}" name="Культура"/>
    <tableColumn id="2" xr3:uid="{7AFEF024-F904-4F1A-881D-A10C51BC3D2F}" name="Поле"/>
    <tableColumn id="3" xr3:uid="{4F489814-5CF1-4F47-8587-50F1A0025592}" name="Сорт"/>
    <tableColumn id="4" xr3:uid="{AE5622AF-AD85-4C91-B8CD-14C525D68C7C}" name="Площадь поля"/>
    <tableColumn id="5" xr3:uid="{5893A320-5EBE-4A54-A543-F998E23A072E}" name="Площадь внесения"/>
    <tableColumn id="6" xr3:uid="{A25C51A1-0ED5-49AB-AFD2-EE5279A756A1}" name="Площадь уборк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9BC6299-CEA5-4E4B-9E8F-6C1047F381E5}" name="Таблица13" displayName="Таблица13" ref="B1:G52" totalsRowShown="0" headerRowDxfId="1129" dataDxfId="1127" headerRowBorderDxfId="1128" tableBorderDxfId="1126">
  <autoFilter ref="B1:G52" xr:uid="{B9BC6299-CEA5-4E4B-9E8F-6C1047F381E5}"/>
  <sortState xmlns:xlrd2="http://schemas.microsoft.com/office/spreadsheetml/2017/richdata2" ref="B2:F52">
    <sortCondition ref="B1:B52"/>
  </sortState>
  <tableColumns count="6">
    <tableColumn id="1" xr3:uid="{6A8DC9C7-0227-46E2-9007-C4B017DB7292}" name="Культура" dataDxfId="1125" dataCellStyle="Обычный_Уборка по полям 2026"/>
    <tableColumn id="2" xr3:uid="{8FD41C1B-E391-40AB-97FF-2363E8871E90}" name="Поле" dataDxfId="1124" dataCellStyle="Обычный_Уборка по полям 2026"/>
    <tableColumn id="3" xr3:uid="{8E1D6354-CDF0-4B45-81A1-70B1428122A4}" name="Сорт" dataDxfId="1123" dataCellStyle="Обычный_Уборка по полям 2026"/>
    <tableColumn id="4" xr3:uid="{3077138E-FA8B-4D6B-A665-F6AFBF033792}" name="Площадь поля" dataDxfId="1122" dataCellStyle="Обычный_Уборка по полям 2026"/>
    <tableColumn id="5" xr3:uid="{E7348A8B-0B46-40B5-B8D0-9C81676A0E3F}" name="Площадь внесения" dataDxfId="1121"/>
    <tableColumn id="6" xr3:uid="{C72EF11C-A980-4A2A-8563-60CC2A997494}" name="Площадь уборки" dataDxfId="1120" dataCellStyle="Обычный_Уборка по полям 2026">
      <calculatedColumnFormula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068014-9945-4A17-918E-54AB60CD2486}" name="Таблица111" displayName="Таблица111" ref="D26:D32" totalsRowShown="0" headerRowDxfId="1119" dataDxfId="1118">
  <autoFilter ref="D26:D32" xr:uid="{10717372-E6AD-4E1E-B4EC-76EB9E318897}"/>
  <tableColumns count="1">
    <tableColumn id="1" xr3:uid="{BFF70BFC-90D2-46AF-A1E9-C7B6B338592A}" name="Распределение сырья по финометру" dataDxfId="11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612BECF-626A-4DA7-9D26-34879885D232}" name="Таблица212" displayName="Таблица212" ref="D3:D11" totalsRowShown="0" headerRowDxfId="1116">
  <autoFilter ref="D3:D11" xr:uid="{E2AD67C0-275D-4B7D-BD79-1E3C635465CC}"/>
  <tableColumns count="1">
    <tableColumn id="1" xr3:uid="{31912042-04CD-4A5A-BBA9-2930AD717A22}" name="Выполнение плана по сбору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68A782-A557-418E-9569-795A277577D4}" name="Таблица413" displayName="Таблица413" ref="A54:I58" totalsRowShown="0" headerRowDxfId="1115">
  <autoFilter ref="A54:I58" xr:uid="{6C9AD2C4-B0B5-4848-A22C-5F2D13885EE5}"/>
  <tableColumns count="9">
    <tableColumn id="1" xr3:uid="{00F4B88C-C53A-4F7B-BDB2-7437138E848E}" name="Культура"/>
    <tableColumn id="5" xr3:uid="{E3A7CF46-7974-44DA-BB24-06BDAFB143C3}" name="Орошение"/>
    <tableColumn id="2" xr3:uid="{890A710D-5099-4D27-AC9F-BBC67C616BB9}" name="ПЛАН, т" dataDxfId="1114"/>
    <tableColumn id="3" xr3:uid="{6DB0A8B4-9ADC-45AC-9ED9-8F5648B0B03A}" name="ФАКТ, т" dataDxfId="1113">
      <calculatedColumnFormula>SUMIF('Реестр уборки 2026'!W:W,Таблица413[[#This Row],[Культура]],'Реестр уборки 2026'!G:G)/1000</calculatedColumnFormula>
    </tableColumn>
    <tableColumn id="4" xr3:uid="{E1C91720-2B66-4E66-9EAC-9342E6FA0F3B}" name="Исполнение плана по валу, %" dataDxfId="1112">
      <calculatedColumnFormula>IFERROR(D55/C55, )</calculatedColumnFormula>
    </tableColumn>
    <tableColumn id="6" xr3:uid="{2F8E992F-FF4B-4300-87EA-CD44B1E4F5F9}" name="ПЛАН, га" dataDxfId="1111"/>
    <tableColumn id="7" xr3:uid="{7FB06A64-08AE-4AE2-B160-E2BAAF935021}" name="ФАКТ, га" dataDxfId="1110">
      <calculatedColumnFormula>SUMIF('Реестр уборки 2026'!W:W,Таблица413[[#This Row],[Культура]],'Реестр уборки 2026'!V:V)</calculatedColumnFormula>
    </tableColumn>
    <tableColumn id="8" xr3:uid="{7DB213CA-3595-43F0-8831-01F2573FE41F}" name="Исполнение плана по площади, %" dataDxfId="1109">
      <calculatedColumnFormula>IFERROR(G55/F55, )</calculatedColumnFormula>
    </tableColumn>
    <tableColumn id="9" xr3:uid="{C9E23642-E5D4-438E-95F1-15549979A490}" name="Урожайность, т/га">
      <calculatedColumnFormula>IFERROR(Таблица413[[#This Row],[ФАКТ, т]]/Таблица413[[#This Row],[ФАКТ, га]],)</calculatedColumnFormula>
    </tableColumn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17372-E6AD-4E1E-B4EC-76EB9E318897}" name="Таблица1" displayName="Таблица1" ref="D26:D32" totalsRowShown="0" headerRowDxfId="1106" dataDxfId="1105">
  <autoFilter ref="D26:D32" xr:uid="{10717372-E6AD-4E1E-B4EC-76EB9E318897}"/>
  <tableColumns count="1">
    <tableColumn id="1" xr3:uid="{5CB00523-F523-425E-A4D9-0697506B7E8B}" name="Распределение сырья по финометру" dataDxfId="110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AD67C0-275D-4B7D-BD79-1E3C635465CC}" name="Таблица2" displayName="Таблица2" ref="D3:D11" totalsRowShown="0" headerRowDxfId="1103">
  <autoFilter ref="D3:D11" xr:uid="{E2AD67C0-275D-4B7D-BD79-1E3C635465CC}"/>
  <tableColumns count="1">
    <tableColumn id="1" xr3:uid="{C5667DBB-1382-415C-B83C-EC934B598763}" name="Выполнение плана по сбору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9AD2C4-B0B5-4848-A22C-5F2D13885EE5}" name="Таблица4" displayName="Таблица4" ref="A54:I62" totalsRowShown="0" headerRowDxfId="1102">
  <autoFilter ref="A54:I62" xr:uid="{6C9AD2C4-B0B5-4848-A22C-5F2D13885EE5}"/>
  <tableColumns count="9">
    <tableColumn id="1" xr3:uid="{41D8D286-02E6-4AFC-8D49-20C15D45A9F2}" name="Культура"/>
    <tableColumn id="5" xr3:uid="{6096BB86-CCE7-46D7-9E23-9B713455DE25}" name="Орошение"/>
    <tableColumn id="2" xr3:uid="{AA7C1D73-8C7C-4D21-8DFF-1BA432F86273}" name="ПЛАН, т" dataDxfId="1101"/>
    <tableColumn id="3" xr3:uid="{7F879BE4-6D97-4630-9AC1-B1271686294A}" name="ФАКТ, т" dataDxfId="1100"/>
    <tableColumn id="4" xr3:uid="{F0755735-3513-4A43-94C8-D61F349894C3}" name="Исполнение плана по валу, %" dataDxfId="1099">
      <calculatedColumnFormula>IFERROR(D55/C55, )</calculatedColumnFormula>
    </tableColumn>
    <tableColumn id="6" xr3:uid="{7D38B07E-D387-41E9-AC3C-A1D3D3E3E5BC}" name="ПЛАН, га" dataDxfId="1098"/>
    <tableColumn id="7" xr3:uid="{F28BEF73-E79A-4236-BEB0-B636789A4495}" name="ФАКТ, га" dataDxfId="1097"/>
    <tableColumn id="8" xr3:uid="{07C4B016-1F32-493D-A522-5D7A34835B71}" name="Исполнение плана по площади, %" dataDxfId="1096">
      <calculatedColumnFormula>IFERROR(G55/F55, )</calculatedColumnFormula>
    </tableColumn>
    <tableColumn id="9" xr3:uid="{EEEAF642-1E73-46EE-BFE2-E6856D14ACB6}" name="Урожайность, т/га">
      <calculatedColumnFormula>Таблица4[[#This Row],[ФАКТ, т]]/Таблица4[[#This Row],[ФАКТ, га]]</calculatedColumnFormula>
    </tableColumn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D42943-1141-42F1-8885-27945F7F906C}" name="Таблица3" displayName="Таблица3" ref="A1:AH709" totalsRowCount="1" headerRowDxfId="781" dataDxfId="780">
  <autoFilter ref="A1:AH708" xr:uid="{B7D42943-1141-42F1-8885-27945F7F906C}">
    <filterColumn colId="19">
      <filters>
        <filter val="А-104/1"/>
      </filters>
    </filterColumn>
    <filterColumn colId="23">
      <filters>
        <filter val="полив"/>
      </filters>
    </filterColumn>
  </autoFilter>
  <tableColumns count="34">
    <tableColumn id="1" xr3:uid="{B77FB6F0-D9B4-4537-8EB8-5742E621648C}" name="Показатель" dataDxfId="779" totalsRowDxfId="778"/>
    <tableColumn id="2" xr3:uid="{87F171C1-5E5A-426F-AEB8-C4886CEDA8D7}" name="Количество" totalsRowFunction="sum" dataDxfId="777" totalsRowDxfId="776"/>
    <tableColumn id="3" xr3:uid="{DEE392B4-61D6-42C2-9DF1-6366BFFBCB0C}" name="Значение_x000a_финометра" totalsRowFunction="custom" dataDxfId="775" totalsRowDxfId="774">
      <calculatedColumnFormula>Таблица3[[#This Row],[Степень зрелости вспом]]</calculatedColumnFormula>
      <totalsRowFormula>IFERROR(SUBTOTAL(101,Таблица3[Значение
финометра]),)</totalsRowFormula>
    </tableColumn>
    <tableColumn id="4" xr3:uid="{7A700BFB-CEBA-4628-AC63-BC6151D84289}" name="Регистратор.Номер" dataDxfId="773" totalsRowDxfId="772"/>
    <tableColumn id="5" xr3:uid="{8E1BD818-8716-409D-B26B-2FC0C880BFC3}" name="Регистратор.Дата" dataDxfId="771" totalsRowDxfId="770"/>
    <tableColumn id="6" xr3:uid="{3B5269D3-DBF4-4FCC-A699-E92CDF179290}" name="Регистратор.Вес брутто" totalsRowFunction="sum" dataDxfId="769" totalsRowDxfId="768"/>
    <tableColumn id="7" xr3:uid="{74F4B5FA-E6DD-49F3-A485-75F5CCA44F0E}" name="Регистратор.Вес нетто" totalsRowFunction="sum" dataDxfId="767" totalsRowDxfId="766"/>
    <tableColumn id="8" xr3:uid="{EECFEE81-7C8D-4668-BF4C-68DC50778128}" name="Регистратор.Вес тары" totalsRowFunction="sum" dataDxfId="765" totalsRowDxfId="764"/>
    <tableColumn id="9" xr3:uid="{C8654E74-0A81-4D8B-BFB6-0614C4595EE6}" name="Регистратор.Вес чистый" dataDxfId="763" totalsRowDxfId="762"/>
    <tableColumn id="10" xr3:uid="{2CF04EED-829D-4642-A154-C93166C0F7A2}" name="Культура акт" dataDxfId="761" totalsRowDxfId="760"/>
    <tableColumn id="11" xr3:uid="{2E97837B-33CC-454C-A29F-2F94CE245F0F}" name="Сорт акт" dataDxfId="759" totalsRowDxfId="758"/>
    <tableColumn id="12" xr3:uid="{6E585E8E-1C7E-4969-9B5E-8C4BE4F82DDA}" name="Поле акт" dataDxfId="757" totalsRowDxfId="756"/>
    <tableColumn id="13" xr3:uid="{BCC07602-9A10-459D-892F-0077C8CE460C}" name="Регистратор.Водитель" dataDxfId="755" totalsRowDxfId="754"/>
    <tableColumn id="14" xr3:uid="{A0007F64-D318-4C15-85F2-BA19E5C510CA}" name="Регистратор.Время прибытия" dataDxfId="753" totalsRowDxfId="752"/>
    <tableColumn id="15" xr3:uid="{7038C047-F76E-4956-9809-40E56492F5D2}" name="Регистратор.Время убытия" dataDxfId="751" totalsRowDxfId="750"/>
    <tableColumn id="16" xr3:uid="{D548CE5B-7655-48AC-8AFB-9FBCCB7A8B30}" name="Регистратор.Комбайнеры.Комбайнер.Наименование" dataDxfId="749" totalsRowDxfId="748"/>
    <tableColumn id="17" xr3:uid="{9CF28D65-0AFD-4EBB-AA59-D82D17C2F908}" name="Регистратор.Номера талонов" dataDxfId="747" totalsRowDxfId="746"/>
    <tableColumn id="18" xr3:uid="{A8985599-8B44-40BF-8B64-BB5055A367B9}" name="Регистратор.Номер машины" dataDxfId="745" totalsRowDxfId="744"/>
    <tableColumn id="19" xr3:uid="{D8011FD7-C63A-486B-978B-358488A12BC2}" name="Регистратор.Номер прицепа" dataDxfId="743" totalsRowDxfId="742"/>
    <tableColumn id="20" xr3:uid="{D1C7CB6F-7BC8-42E0-BFE0-D90726AF4543}" name="Поле" dataDxfId="741" totalsRowDxfId="740">
      <calculatedColumnFormula>VLOOKUP(Таблица3[[#This Row],[№ акта]],$AJ$1:$BJ$691,15,FALSE)</calculatedColumnFormula>
    </tableColumn>
    <tableColumn id="34" xr3:uid="{21662434-10DB-457D-8E5B-CFF84D6F5D0D}" name="Сорт уточн" dataDxfId="739" totalsRowDxfId="738">
      <calculatedColumnFormula>VLOOKUP(Таблица3[[#This Row],[№ акта]],$AJ$1:$BJ$691,16,FALSE)</calculatedColumnFormula>
    </tableColumn>
    <tableColumn id="24" xr3:uid="{AE78007E-51C4-4119-BC99-E0FC7889BA0C}" name="Площадь уборки, га" totalsRowFunction="sum" dataDxfId="737" totalsRowDxfId="736">
      <calculatedColumnFormula>VLOOKUP(Таблица3[[#This Row],[№ акта]],$AJ$1:$BJ$691,17,FALSE)</calculatedColumnFormula>
    </tableColumn>
    <tableColumn id="21" xr3:uid="{41072BBA-EDAF-4051-B5AB-DA7DE9FC2576}" name="Культура" dataDxfId="735" totalsRowDxfId="734">
      <calculatedColumnFormula>VLOOKUP(Таблица3[[#This Row],[№ акта]],$AJ$1:$BJ$691,18,FALSE)</calculatedColumnFormula>
    </tableColumn>
    <tableColumn id="25" xr3:uid="{63F69999-8DFD-4102-B1AC-E16AFE2DBD68}" name="Орошение" dataDxfId="733" totalsRowDxfId="732">
      <calculatedColumnFormula>VLOOKUP(Таблица3[[#This Row],[№ акта]],$AJ$1:$BJ$691,19,FALSE)</calculatedColumnFormula>
    </tableColumn>
    <tableColumn id="22" xr3:uid="{414E8C2F-4D91-4C7C-94FB-A57405F9B068}" name="Смена" dataDxfId="731" totalsRowDxfId="730">
      <calculatedColumnFormula>VLOOKUP(Таблица3[[#This Row],[№ акта]],$AJ$1:$BJ$691,20,FALSE)</calculatedColumnFormula>
    </tableColumn>
    <tableColumn id="23" xr3:uid="{6A7C2F54-93EC-4AEA-A673-03C316AC5D04}" name="Дата отчета" dataDxfId="729" totalsRowDxfId="728">
      <calculatedColumnFormula>VLOOKUP(Таблица3[[#This Row],[№ акта]],$AJ$1:$BJ$691,21,FALSE)</calculatedColumnFormula>
    </tableColumn>
    <tableColumn id="26" xr3:uid="{24C07E73-F22C-420D-816A-DF0BE45B9B84}" name="Продажа" totalsRowFunction="sum" dataDxfId="727" totalsRowDxfId="726"/>
    <tableColumn id="27" xr3:uid="{42CDCBF4-A86A-46AB-8D71-78561BBBE995}" name="Примечание" dataDxfId="725" totalsRowDxfId="724">
      <calculatedColumnFormula>IF(VLOOKUP(Таблица3[[#This Row],[№ акта]],$AJ$1:$BJ$691,23,FALSE)&lt;&gt;0,VLOOKUP(Таблица3[[#This Row],[№ акта]],$AJ$1:$BJ$691,23,FALSE),"-")</calculatedColumnFormula>
    </tableColumn>
    <tableColumn id="28" xr3:uid="{FAC7407E-32BA-4DB4-B2AE-430628E3B430}" name="Финометр" dataDxfId="723" totalsRowDxfId="722">
      <calculatedColumnFormula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calculatedColumnFormula>
    </tableColumn>
    <tableColumn id="29" xr3:uid="{ABBA8B17-7607-43F7-996D-0D31156EB934}" name="Характеристика" dataDxfId="721" totalsRowDxfId="720"/>
    <tableColumn id="30" xr3:uid="{7BD536C8-511A-434C-8C9E-A63684A677AC}" name="№ акта" dataDxfId="719" totalsRowDxfId="718"/>
    <tableColumn id="32" xr3:uid="{855F6469-0FF7-46D9-8076-5F426F2438AA}" name="Дата акта" dataDxfId="717" totalsRowDxfId="716"/>
    <tableColumn id="33" xr3:uid="{8E94077F-B8FA-48FF-9AB9-50A0AC0723B1}" name="Вх №" dataDxfId="715" totalsRowDxfId="714"/>
    <tableColumn id="31" xr3:uid="{59A57EA7-B579-4036-878B-9AFD3DD66A35}" name="Степень зрелости вспом" dataDxfId="713" totalsRowDxfId="712">
      <calculatedColumnFormula>IFERROR(VLOOKUP(Таблица3[[#This Row],[№ акта]],'Степень зрелости 2026'!$H$12:$I$800,2,FALSE),)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46CBC5-7C91-4B1C-9A9D-2053F9E33DCF}" name="Таблица310" displayName="Таблица310" ref="A1:AN595" totalsRowCount="1" headerRowDxfId="711" dataDxfId="710">
  <autoFilter ref="A1:AN594" xr:uid="{B7D42943-1141-42F1-8885-27945F7F906C}">
    <filterColumn colId="22">
      <filters>
        <filter val="Учхоз Кубань (богара)"/>
      </filters>
    </filterColumn>
    <filterColumn colId="26">
      <customFilters>
        <customFilter operator="notEqual" val=" "/>
      </customFilters>
    </filterColumn>
  </autoFilter>
  <tableColumns count="40">
    <tableColumn id="1" xr3:uid="{B4BA67F1-3D48-48C7-B289-101B7D667707}" name="Показатель" dataDxfId="709" totalsRowDxfId="708"/>
    <tableColumn id="2" xr3:uid="{5A1985D6-2E9A-466F-A11F-BD4F94E9FB40}" name="Количество" totalsRowFunction="sum" dataDxfId="707" totalsRowDxfId="706"/>
    <tableColumn id="3" xr3:uid="{A50AC6DE-0774-44D5-8431-2D46B97FE2D8}" name="Значение_x000a_финометра" totalsRowFunction="average" dataDxfId="705" totalsRowDxfId="704"/>
    <tableColumn id="4" xr3:uid="{62CFE05A-9F58-477D-A638-A5CB0B3ABC20}" name="Регистратор.Номер" dataDxfId="703" totalsRowDxfId="702"/>
    <tableColumn id="5" xr3:uid="{BF284CC7-40B3-47CF-902D-B074BD895F5F}" name="Регистратор.Дата" dataDxfId="701" totalsRowDxfId="700"/>
    <tableColumn id="6" xr3:uid="{47C85AB6-E5BD-4F89-9038-6F5053C0BB9D}" name="Регистратор.Вес брутто" totalsRowFunction="sum" dataDxfId="699" totalsRowDxfId="698"/>
    <tableColumn id="7" xr3:uid="{20EAF177-1E46-4552-B3BF-AFB43880C24F}" name="Регистратор.Вес нетто" totalsRowFunction="sum" dataDxfId="697" totalsRowDxfId="696"/>
    <tableColumn id="8" xr3:uid="{F05BB7FF-969A-47C4-B3A1-107C52D4235A}" name="Регистратор.Вес тары" totalsRowFunction="sum" dataDxfId="695" totalsRowDxfId="694"/>
    <tableColumn id="9" xr3:uid="{BA1021C2-ED6A-44CB-B603-EE1E849D2F1B}" name="Регистратор.Вес чистый" totalsRowFunction="sum" dataDxfId="693" totalsRowDxfId="692"/>
    <tableColumn id="10" xr3:uid="{43ED386D-0B3E-4EAD-8BCE-BEF1ED114A8D}" name="Регистратор.Контрагент" dataDxfId="691" totalsRowDxfId="690"/>
    <tableColumn id="11" xr3:uid="{8AB1DD0A-FC64-47DF-855E-FC8AB1EB5920}" name="Регистратор.Номенклатура" dataDxfId="689" totalsRowDxfId="688"/>
    <tableColumn id="12" xr3:uid="{AB309E17-8140-42CD-9BED-17AB8684DDEB}" name="Регистратор.Комбайнеры.Поле.Наименование" dataDxfId="687" totalsRowDxfId="686"/>
    <tableColumn id="13" xr3:uid="{156AD197-18DF-4CFB-99BD-76DA0B1298A8}" name="Регистратор.Водитель" dataDxfId="685" totalsRowDxfId="684"/>
    <tableColumn id="14" xr3:uid="{2A51E666-5F42-4ABD-B476-67FE274C3975}" name="Регистратор.Время прибытия" dataDxfId="683" totalsRowDxfId="682"/>
    <tableColumn id="15" xr3:uid="{98004BAF-172C-4221-8204-15F96565F6E7}" name="Регистратор.Время убытия" dataDxfId="681" totalsRowDxfId="680"/>
    <tableColumn id="16" xr3:uid="{678D31B5-D9B3-4B6E-9516-17B549D179FE}" name="Регистратор.Комбайнеры.Комбайнер.Наименование" dataDxfId="679" totalsRowDxfId="678"/>
    <tableColumn id="17" xr3:uid="{547B7A32-591B-469D-85DA-B4AC9C3A189D}" name="Регистратор.Номера талонов" dataDxfId="677" totalsRowDxfId="676"/>
    <tableColumn id="18" xr3:uid="{CA546833-25AD-4FF5-A72A-5AE0E92F1C6C}" name="Регистратор.Номер машины" dataDxfId="675" totalsRowDxfId="674"/>
    <tableColumn id="19" xr3:uid="{378E935F-9283-4723-9E89-2D57BF9CFFA1}" name="Регистратор.Номер прицепа" dataDxfId="673" totalsRowDxfId="672"/>
    <tableColumn id="20" xr3:uid="{B720A869-176E-4376-8707-E9DC11E2443D}" name="Поле" totalsRowDxfId="671"/>
    <tableColumn id="34" xr3:uid="{92F2728B-0D96-461C-86B0-C176A9A75A47}" name="Сорт уточн" dataDxfId="670" totalsRowDxfId="669"/>
    <tableColumn id="24" xr3:uid="{7F499B3A-BB73-4330-88C8-F0AF6A595B50}" name="Площадь уборки, га" totalsRowFunction="sum" dataDxfId="668" totalsRowDxfId="667"/>
    <tableColumn id="21" xr3:uid="{3FDBFA97-6292-4282-B9C4-9ABAEF22D845}" name="Культура" dataDxfId="666" totalsRowDxfId="665"/>
    <tableColumn id="25" xr3:uid="{854C07F1-4A36-4C3E-A5CB-A3D337AE319F}" name="Орошение" dataDxfId="664"/>
    <tableColumn id="22" xr3:uid="{FEBDF499-6594-45DD-9A36-409AB7260C82}" name="Смена" dataDxfId="663" totalsRowDxfId="662"/>
    <tableColumn id="23" xr3:uid="{54DBA6F2-901C-4B70-980C-EA71DC689FFD}" name="Дата отчета" dataDxfId="661" totalsRowDxfId="660"/>
    <tableColumn id="26" xr3:uid="{3D7B10CD-D9DC-402F-AB6D-C2A9D4296394}" name="Продажа" totalsRowFunction="sum" totalsRowDxfId="659"/>
    <tableColumn id="27" xr3:uid="{75E2AF68-5353-45EE-B449-849FE3DB5A6E}" name="Примечание" dataDxfId="658" totalsRowDxfId="657"/>
    <tableColumn id="28" xr3:uid="{3C27BB4B-10B2-4C54-9872-4FEAD2025996}" name="Финометр" dataDxfId="656" totalsRowDxfId="655"/>
    <tableColumn id="29" xr3:uid="{083A02B4-2B70-40CE-933D-5985E315370C}" name="Характеристика" dataDxfId="654" totalsRowDxfId="653"/>
    <tableColumn id="30" xr3:uid="{6BEBC755-58FA-4F1A-AE56-43409475AF97}" name="№ акта" dataDxfId="652" totalsRowDxfId="651"/>
    <tableColumn id="32" xr3:uid="{F20B3159-0611-47D3-8A51-438E38EEE552}" name="Дата акта" dataDxfId="650" totalsRowDxfId="649"/>
    <tableColumn id="33" xr3:uid="{508BFFA1-6F03-444A-8176-136B23D0605C}" name="Вх №" dataDxfId="648" totalsRowDxfId="647"/>
    <tableColumn id="31" xr3:uid="{DEBCED30-A5CB-44B2-A689-48B299FB6D84}" name="Степень зрелости вспом" dataDxfId="646" totalsRowDxfId="645">
      <calculatedColumnFormula>VLOOKUP(Таблица310[[#This Row],[№ акта]],'Степень зрелости 2025'!$H$13:$I$583,2,FALSE)</calculatedColumnFormula>
    </tableColumn>
    <tableColumn id="35" xr3:uid="{7E825206-BBE5-4C70-853D-4F60CB24F58C}" name="Поле до корр" dataDxfId="644" totalsRowDxfId="643">
      <calculatedColumnFormula>VLOOKUP(Таблица310[[#This Row],[№ акта]],$AQ$1:$AT$594,2,FALSE)</calculatedColumnFormula>
    </tableColumn>
    <tableColumn id="36" xr3:uid="{3F73C17E-C991-4178-8314-DF89E9DA1DDE}" name="Сорт до корр" dataDxfId="642" totalsRowDxfId="641">
      <calculatedColumnFormula>Таблица310[[#This Row],[Регистратор.Номенклатура]]</calculatedColumnFormula>
    </tableColumn>
    <tableColumn id="37" xr3:uid="{FCB2BE96-F23D-499E-B00B-B0EFEA9EEFEE}" name="Культура до корр" dataDxfId="640" totalsRowDxfId="639">
      <calculatedColumnFormula>VLOOKUP(Таблица310[[#This Row],[№ акта]],$AQ$1:$AT$594,4,FALSE)</calculatedColumnFormula>
    </tableColumn>
    <tableColumn id="38" xr3:uid="{E1FD1166-8B49-4B6D-A931-0F2FFBA3B90D}" name="Площадь уборки до корр" totalsRowFunction="sum" dataDxfId="638" totalsRowDxfId="637">
      <calculatedColumnFormula>VLOOKUP(Таблица310[[#This Row],[№ акта]],$AQ$1:$AT$594,3,FALSE)</calculatedColumnFormula>
    </tableColumn>
    <tableColumn id="39" xr3:uid="{FB55A354-E274-4D1E-8B04-CD828F1C4C35}" name="Отличие" dataDxfId="636" totalsRowDxfId="635">
      <calculatedColumnFormula>IF(Таблица310[[#This Row],[Площадь уборки, га]]=Таблица310[[#This Row],[Площадь уборки до корр]],"нет","да")</calculatedColumnFormula>
    </tableColumn>
    <tableColumn id="40" xr3:uid="{13B2F24E-B341-4806-80AA-7C42C192DA84}" name="Разница по площади" totalsRowFunction="sum" dataDxfId="634" totalsRowDxfId="633">
      <calculatedColumnFormula>Таблица310[[#This Row],[Площадь уборки до корр]]-Таблица310[[#This Row],[Площадь уборки, га]]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D8B934-D80B-4220-8DB7-EC33671992F4}" name="Таблица8" displayName="Таблица8" ref="A1:Y151" totalsRowShown="0" headerRowDxfId="614" dataDxfId="613">
  <autoFilter ref="A1:Y151" xr:uid="{B7D8B934-D80B-4220-8DB7-EC33671992F4}"/>
  <tableColumns count="25">
    <tableColumn id="1" xr3:uid="{62731B7C-C059-4737-AC47-208EF04D91C8}" name="Регистратор" dataDxfId="612"/>
    <tableColumn id="2" xr3:uid="{226F2CEE-2C8A-41DA-93E5-6B9CB1CFE3EB}" name="Механизатор" dataDxfId="611"/>
    <tableColumn id="3" xr3:uid="{8BDE8D76-ADC6-4D92-A23F-1E3F7B327705}" name="Техника" dataDxfId="610"/>
    <tableColumn id="4" xr3:uid="{DC53E1CE-BE2D-4A06-8A4E-27BC871F1C5C}" name="Оборудование" dataDxfId="609"/>
    <tableColumn id="5" xr3:uid="{74362B40-57AA-4BFE-88D6-B9742638B355}" name="Вид работы" dataDxfId="608"/>
    <tableColumn id="6" xr3:uid="{7D23DF40-FFF4-4A11-91AE-CCE7111C1549}" name="Характеристика работы" dataDxfId="607"/>
    <tableColumn id="7" xr3:uid="{D02E6218-B3DB-45AB-BE23-2B4ADA53BDDF}" name="Поле" dataDxfId="606"/>
    <tableColumn id="8" xr3:uid="{94715246-4044-4827-B9A6-7F06E2FD125A}" name="Год урожая" dataDxfId="605"/>
    <tableColumn id="10" xr3:uid="{AF0F34E9-5CB7-4B08-8C8A-A5E28E442FE9}" name="Культура" dataDxfId="604"/>
    <tableColumn id="11" xr3:uid="{8BFBF5D6-46EC-49D7-808E-F726E21A12C6}" name="Тип затрат" dataDxfId="603"/>
    <tableColumn id="12" xr3:uid="{3F3CBCB9-2A56-4FE2-8B8F-CAA62D06D26A}" name="Аналитика расходов" dataDxfId="602"/>
    <tableColumn id="13" xr3:uid="{29CD3507-73BB-41BE-9049-B82141C41C84}" name="Гектаров" dataDxfId="601"/>
    <tableColumn id="14" xr3:uid="{932F16E9-F015-49D2-808F-23DFBBDDE545}" name="Тонн" dataDxfId="600"/>
    <tableColumn id="15" xr3:uid="{6F654191-70FA-4E6E-923F-5ECB45255DCA}" name="Отработано дней" dataDxfId="599"/>
    <tableColumn id="16" xr3:uid="{3704109C-8975-4D43-AA39-C650054DAF13}" name="Часов По факту" dataDxfId="598"/>
    <tableColumn id="17" xr3:uid="{F8069FC8-7F58-42AC-8E2C-9CE901EFC717}" name="Часов По норме" dataDxfId="597"/>
    <tableColumn id="18" xr3:uid="{8B24280E-CE92-44F6-8ECF-54EB442E8096}" name="Смен" dataDxfId="596"/>
    <tableColumn id="19" xr3:uid="{EDEF5071-7411-4243-ADD9-BAD7D3E868FD}" name="Основная з/п, руб" dataDxfId="595"/>
    <tableColumn id="20" xr3:uid="{6221F026-6CA7-4C88-9FB5-11691B358594}" name="Дополнительная з/п, руб" dataDxfId="594"/>
    <tableColumn id="21" xr3:uid="{3EBA5989-D943-4ED6-B9B9-174989B59F71}" name="Доплата за ночные часы" dataDxfId="593"/>
    <tableColumn id="22" xr3:uid="{BAAE3599-0780-4ACC-9085-AE415F4B634F}" name="Доплата за праздничные часы" dataDxfId="592"/>
    <tableColumn id="23" xr3:uid="{FCE4F61C-11BC-4C45-A154-37FE725EB159}" name="Доплата за вредность" dataDxfId="591"/>
    <tableColumn id="24" xr3:uid="{ECFD33DE-922A-47B7-98D3-826C0F6A72BB}" name="Итого з/п, руб" dataDxfId="590"/>
    <tableColumn id="25" xr3:uid="{74224D0F-CC1A-4DCC-A5BD-321452C31DA7}" name="Фактический расход ГСМ" dataDxfId="589"/>
    <tableColumn id="26" xr3:uid="{41F32858-0E27-4602-81B1-77A55EA771FC}" name="Нормативный расход ГСМ" dataDxfId="58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5D0401-0B83-4C4F-929D-DFAE19EBFE26}" name="Таблица18" displayName="Таблица18" ref="A1:Z2102" totalsRowCount="1" headerRowDxfId="587" dataDxfId="586">
  <autoFilter ref="A1:Z2101" xr:uid="{565D0401-0B83-4C4F-929D-DFAE19EBFE26}">
    <filterColumn colId="4">
      <filters blank="1">
        <filter val="ГРИН РЭЙ КУБАНЬ ООО"/>
        <filter val="КОЛОС ООО"/>
      </filters>
    </filterColumn>
    <filterColumn colId="18">
      <filters>
        <dateGroupItem year="2026" dateTimeGrouping="year"/>
      </filters>
    </filterColumn>
  </autoFilter>
  <tableColumns count="26">
    <tableColumn id="1" xr3:uid="{D697E7B7-F79F-4374-92F3-D63960A3E40A}" name="Документ" dataDxfId="585" totalsRowDxfId="584"/>
    <tableColumn id="2" xr3:uid="{C74A7A9E-F578-4F31-A932-EF9C8C8D088D}" name="Хар-ка" dataDxfId="583" totalsRowDxfId="582"/>
    <tableColumn id="3" xr3:uid="{15C99463-D896-45FD-8F27-F6A80BB4CDB2}" name="Номер взвешивания" dataDxfId="581" totalsRowDxfId="580"/>
    <tableColumn id="4" xr3:uid="{B0A17873-F553-4AEB-A352-4D98BC1EF8E6}" name="Номер вх.  док." dataDxfId="579" totalsRowDxfId="578"/>
    <tableColumn id="5" xr3:uid="{43EE44BF-C96F-494F-B7C4-9876CB2163F4}" name="Контрагент" dataDxfId="577" totalsRowDxfId="576"/>
    <tableColumn id="6" xr3:uid="{AE12B7FB-3B7D-454E-9440-E7144CA574AA}" name="Водитель" dataDxfId="575" totalsRowDxfId="574"/>
    <tableColumn id="7" xr3:uid="{DA51F813-C4FE-414C-83DB-9AC67C7022F9}" name="Автомобиль" dataDxfId="573" totalsRowDxfId="572"/>
    <tableColumn id="8" xr3:uid="{B6C3D4D1-248B-4473-B807-0860F8CF9620}" name="Номер поля" dataDxfId="571" totalsRowDxfId="570"/>
    <tableColumn id="17" xr3:uid="{01B5B2DF-4377-4A30-8FD5-25BD2B6C6127}" name="Поле" dataDxfId="569" totalsRowDxfId="568">
      <calculatedColumnFormula>VLOOKUP(Таблица18[[#This Row],[Номер акта]],$AB$1:$AF$1833,3,FALSE)</calculatedColumnFormula>
    </tableColumn>
    <tableColumn id="9" xr3:uid="{0D420F2C-DBD0-44E8-9AA2-4ADE3A2D90A4}" name="Сорт" dataDxfId="567" totalsRowDxfId="566"/>
    <tableColumn id="10" xr3:uid="{F6A868A4-06ED-4F25-94C7-5D801748CF43}" name="Исх. номенклатура" dataDxfId="565" totalsRowDxfId="564"/>
    <tableColumn id="11" xr3:uid="{BE8E973D-1D68-4A25-A3D3-8B44AA07CDC4}" name="Вес брутто" dataDxfId="563" totalsRowDxfId="562"/>
    <tableColumn id="12" xr3:uid="{14285547-7E76-42CF-B60A-F95E0A7F9AD3}" name="Вес тары" dataDxfId="561" totalsRowDxfId="560"/>
    <tableColumn id="13" xr3:uid="{9DE295AB-721D-4F7A-8A4E-6B9DBC40D530}" name="% отходов сверх допуска" dataDxfId="559" totalsRowDxfId="558"/>
    <tableColumn id="14" xr3:uid="{8D798CAA-EC4B-428D-A856-B1B33D310E34}" name="Вес нетто" totalsRowFunction="sum" dataDxfId="557" totalsRowDxfId="556"/>
    <tableColumn id="15" xr3:uid="{E02A3986-6BFA-41E1-B35E-E7D2A7ACE2B3}" name="Зачетный вес" totalsRowFunction="sum" dataDxfId="555" totalsRowDxfId="554"/>
    <tableColumn id="16" xr3:uid="{F3B96C51-D683-4B4F-99C7-74254267BC91}" name="Год урожая" dataDxfId="553" totalsRowDxfId="552"/>
    <tableColumn id="21" xr3:uid="{F61009B6-5896-4294-92F8-B4DEF3B76FA7}" name="Номер акта" dataDxfId="551" totalsRowDxfId="550"/>
    <tableColumn id="18" xr3:uid="{F3A3DDC8-45F5-49AA-B848-ED89941AFCC6}" name="Дата акта" dataDxfId="549" totalsRowDxfId="548"/>
    <tableColumn id="19" xr3:uid="{D82FE37D-FFF9-46FB-8D91-BFA3F6C5A24E}" name="Отход" dataDxfId="547" totalsRowDxfId="546">
      <calculatedColumnFormula>Таблица18[[#This Row],[Вес нетто]]-Таблица18[[#This Row],[Зачетный вес]]</calculatedColumnFormula>
    </tableColumn>
    <tableColumn id="20" xr3:uid="{50A82D9C-5107-4529-B514-8258251E69BD}" name="Отход %" dataDxfId="545" totalsRowDxfId="544">
      <calculatedColumnFormula>Таблица18[[#This Row],[Отход]]/Таблица18[[#This Row],[Вес нетто]]</calculatedColumnFormula>
    </tableColumn>
    <tableColumn id="23" xr3:uid="{B87C6F9D-BCB2-41AF-A19B-51EAFFBE202C}" name="Месяц" dataDxfId="543" totalsRowDxfId="542">
      <calculatedColumnFormula>MONTH(Таблица18[[#This Row],[Дата акта]])</calculatedColumnFormula>
    </tableColumn>
    <tableColumn id="24" xr3:uid="{80149093-49EB-43CA-AEC9-1EF8E16DB85A}" name="Число" dataDxfId="541" totalsRowDxfId="540"/>
    <tableColumn id="25" xr3:uid="{BD24FA82-F0AB-46A2-863D-01DAF5C474FB}" name="Дата" dataDxfId="539" totalsRowDxfId="538">
      <calculatedColumnFormula>DATE(1900,Таблица18[[#This Row],[Месяц]],Таблица18[[#This Row],[Число]])</calculatedColumnFormula>
    </tableColumn>
    <tableColumn id="26" xr3:uid="{7B94B4C3-122E-4B47-A36E-49A4DFD71D56}" name="учет" dataDxfId="537" totalsRowDxfId="536"/>
    <tableColumn id="22" xr3:uid="{96255FD7-06E8-4368-92B6-734540D50733}" name="Хар-ка вспом" dataDxfId="535" totalsRowDxfId="534">
      <calculatedColumnFormula>Таблица18[[#This Row],[Хар-ка]]</calculatedColumnFormula>
    </tableColumn>
  </tableColumns>
  <tableStyleInfo name="TableStyleLight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8D17A2-4702-4C9A-8C55-A57539EDE244}" name="Таблица5" displayName="Таблица5" ref="A1:M42" totalsRowShown="0" headerRowDxfId="473" dataDxfId="471" headerRowBorderDxfId="472" tableBorderDxfId="470" totalsRowBorderDxfId="469">
  <autoFilter ref="A1:M42" xr:uid="{438D17A2-4702-4C9A-8C55-A57539EDE244}"/>
  <tableColumns count="13">
    <tableColumn id="1" xr3:uid="{F2A65A88-0BAF-49A9-8D80-95BDB6ADBD22}" name="Контрагент" dataDxfId="468"/>
    <tableColumn id="2" xr3:uid="{7F61A7DE-7FCE-4036-81EC-27D0B6D8CB63}" name="Полив" dataDxfId="467"/>
    <tableColumn id="3" xr3:uid="{41F91864-ADE9-4AA3-B2AA-0D894C8C6606}" name="Номер поля" dataDxfId="466"/>
    <tableColumn id="4" xr3:uid="{25565BFF-AA81-42BF-8EB3-4831B1214E24}" name="Сорт" dataDxfId="465"/>
    <tableColumn id="5" xr3:uid="{2F6FE8C5-4727-4D6F-B553-E340D358E8B4}" name="Площадь сева" dataDxfId="464"/>
    <tableColumn id="6" xr3:uid="{3BC9D89A-2B82-46F8-82E1-2D99692697DB}" name="Площадь уборки" dataDxfId="463"/>
    <tableColumn id="7" xr3:uid="{0CDEAEC8-B690-4B4B-B1B1-82F564AB3432}" name="Остаток площади" dataDxfId="462">
      <calculatedColumnFormula>E2-F2</calculatedColumnFormula>
    </tableColumn>
    <tableColumn id="8" xr3:uid="{112E9EBB-A162-4668-8EC3-4ABF979EB1A9}" name="Закрытие, %" dataDxfId="461">
      <calculatedColumnFormula>IFERROR(F2/E2,"-")</calculatedColumnFormula>
    </tableColumn>
    <tableColumn id="9" xr3:uid="{1F45DA4B-819A-4BA3-9D41-55DC6F538A09}" name="Урожайность плановая, тн./га" dataDxfId="460"/>
    <tableColumn id="10" xr3:uid="{57E60864-1F26-4165-8288-9EF8E789CF86}" name="Урожайность фактическая, тн./га" dataDxfId="459">
      <calculatedColumnFormula>IFERROR(L2/F2,)</calculatedColumnFormula>
    </tableColumn>
    <tableColumn id="11" xr3:uid="{C524AF4F-8226-4CC2-9B2A-C0619B3585D0}" name="Валовый сбор плановый" dataDxfId="458">
      <calculatedColumnFormula>E2*I2</calculatedColumnFormula>
    </tableColumn>
    <tableColumn id="12" xr3:uid="{0010C304-1911-49CC-91B5-44E4ACC8113E}" name="Валовый сбор фактический" dataDxfId="457"/>
    <tableColumn id="13" xr3:uid="{61629831-00EE-4FC8-B8CE-BF606253F9FB}" name="Выполнение плана, %" dataDxfId="456">
      <calculatedColumnFormula>IFERROR(L2/K2,"-")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176B17-C227-4CCF-A43D-98F493C33CE9}" name="Таблица57" displayName="Таблица57" ref="A1:R595" totalsRowCount="1" headerRowDxfId="455" dataDxfId="454" totalsRowDxfId="453">
  <autoFilter ref="A1:R594" xr:uid="{A8B6E69D-2EBB-4172-A244-22AC50F147EC}"/>
  <sortState xmlns:xlrd2="http://schemas.microsoft.com/office/spreadsheetml/2017/richdata2" ref="A2:R587">
    <sortCondition ref="P1:P587"/>
  </sortState>
  <tableColumns count="18">
    <tableColumn id="1" xr3:uid="{E959E626-9DBE-4188-979C-9F67DD496CF8}" name="Документ" dataDxfId="452" totalsRowDxfId="451"/>
    <tableColumn id="2" xr3:uid="{A8A9CE3D-DAD0-4FC9-9178-618897D3BAAF}" name="Номер взвешивания" dataDxfId="450"/>
    <tableColumn id="3" xr3:uid="{7D411BDF-8A3F-4835-B323-06FF851F43E9}" name="Номер вх.  док." dataDxfId="449" totalsRowDxfId="448"/>
    <tableColumn id="4" xr3:uid="{6DD2812E-ABF3-4863-9F3B-5290B67FF964}" name="Контрагент" dataDxfId="447" totalsRowDxfId="446"/>
    <tableColumn id="5" xr3:uid="{3CA1A647-E89F-448E-A19B-CA1C77E5C181}" name="Водитель" dataDxfId="445" totalsRowDxfId="444"/>
    <tableColumn id="6" xr3:uid="{1D6A32BA-1B50-491B-9F06-991D8CF94DBA}" name="Автомобиль" dataDxfId="443" totalsRowDxfId="442"/>
    <tableColumn id="7" xr3:uid="{1A2AA8F6-CFBE-4E1B-AF8C-57E4BCDB75B6}" name="Номер поля" dataDxfId="441" totalsRowDxfId="440"/>
    <tableColumn id="8" xr3:uid="{D5F2A263-FECD-4CF3-9781-B3BC6E6A8601}" name="Хар-ка" dataDxfId="439" totalsRowDxfId="438"/>
    <tableColumn id="9" xr3:uid="{E18089F9-9976-4F72-8283-FC29EDD8CEC4}" name="Исх. номенклатура" dataDxfId="437" totalsRowDxfId="436"/>
    <tableColumn id="10" xr3:uid="{1CB09E57-0926-4003-956E-305C127FAA30}" name="Вес брутто" dataDxfId="435" totalsRowDxfId="434"/>
    <tableColumn id="11" xr3:uid="{B3772D86-876A-4F8E-AAF3-91C33877B449}" name="Вес тары" dataDxfId="433" totalsRowDxfId="432"/>
    <tableColumn id="12" xr3:uid="{3D8F3829-9790-4EF3-AE72-E0E507FAEDD8}" name="% отходов сверх допуска" dataDxfId="431" totalsRowDxfId="430"/>
    <tableColumn id="13" xr3:uid="{7BF2FC2F-7C67-4178-B38F-A526F1E66926}" name="Вес нетто" totalsRowFunction="sum" dataDxfId="429" totalsRowDxfId="428"/>
    <tableColumn id="14" xr3:uid="{09E6CC1F-E90D-4EDA-B524-946488DE4627}" name="Зачетный вес" totalsRowFunction="sum" dataDxfId="427" totalsRowDxfId="426"/>
    <tableColumn id="17" xr3:uid="{2D826B26-F328-48B5-89C1-8FC054466940}" name="Характеристика" dataDxfId="425" totalsRowDxfId="424"/>
    <tableColumn id="16" xr3:uid="{2E1AB5C0-0CDE-482A-B45F-14B10B68EEEB}" name="№ акта" dataDxfId="423" totalsRowDxfId="422"/>
    <tableColumn id="18" xr3:uid="{C34B2BC5-8607-40A8-9FBD-ADB4F7AB946A}" name="Дата акта" dataDxfId="421" totalsRowDxfId="420"/>
    <tableColumn id="15" xr3:uid="{74877FAE-0861-4864-9D89-96DB0974A157}" name="Время" dataDxfId="419" totalsRowDxfId="4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omments" Target="../comments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omments" Target="../comments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5.xml"/><Relationship Id="rId3" Type="http://schemas.openxmlformats.org/officeDocument/2006/relationships/pivotTable" Target="../pivotTables/pivotTable10.xml"/><Relationship Id="rId7" Type="http://schemas.openxmlformats.org/officeDocument/2006/relationships/pivotTable" Target="../pivotTables/pivotTable1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Relationship Id="rId9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0810-9387-4B31-8DDB-B7645901DE7F}">
  <sheetPr>
    <pageSetUpPr fitToPage="1"/>
  </sheetPr>
  <dimension ref="B2:AG40"/>
  <sheetViews>
    <sheetView zoomScale="80" zoomScaleNormal="80" workbookViewId="0">
      <selection activeCell="M42" sqref="M42"/>
    </sheetView>
  </sheetViews>
  <sheetFormatPr defaultColWidth="9.140625" defaultRowHeight="14.25" x14ac:dyDescent="0.2"/>
  <cols>
    <col min="1" max="1" width="2.7109375" style="1" customWidth="1"/>
    <col min="2" max="2" width="4" style="1" customWidth="1"/>
    <col min="3" max="5" width="4" style="2" customWidth="1"/>
    <col min="6" max="8" width="4" style="1" customWidth="1"/>
    <col min="9" max="9" width="3.5703125" style="2" customWidth="1"/>
    <col min="10" max="10" width="14" style="1" customWidth="1"/>
    <col min="11" max="11" width="13.85546875" style="1" customWidth="1"/>
    <col min="12" max="22" width="9.140625" style="1"/>
    <col min="23" max="23" width="15.7109375" style="1" customWidth="1"/>
    <col min="24" max="24" width="10.140625" style="1" bestFit="1" customWidth="1"/>
    <col min="25" max="25" width="14.7109375" style="1" bestFit="1" customWidth="1"/>
    <col min="26" max="26" width="2" style="1" customWidth="1"/>
    <col min="27" max="32" width="9.140625" style="1"/>
    <col min="33" max="33" width="4.5703125" style="1" customWidth="1"/>
    <col min="34" max="16384" width="9.140625" style="1"/>
  </cols>
  <sheetData>
    <row r="2" spans="2:33" s="3" customFormat="1" ht="30.75" thickBot="1" x14ac:dyDescent="0.4">
      <c r="B2" s="526" t="s">
        <v>2930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</row>
    <row r="4" spans="2:33" s="4" customFormat="1" x14ac:dyDescent="0.25"/>
    <row r="5" spans="2:33" x14ac:dyDescent="0.2">
      <c r="L5" s="4"/>
    </row>
    <row r="6" spans="2:33" x14ac:dyDescent="0.2">
      <c r="L6" s="4"/>
    </row>
    <row r="7" spans="2:33" x14ac:dyDescent="0.2">
      <c r="L7" s="4"/>
    </row>
    <row r="8" spans="2:33" x14ac:dyDescent="0.2">
      <c r="L8" s="4"/>
    </row>
    <row r="18" spans="2:30" ht="19.5" x14ac:dyDescent="0.25">
      <c r="W18" s="5"/>
      <c r="X18" s="5"/>
      <c r="Y18" s="5"/>
      <c r="Z18" s="5"/>
      <c r="AA18" s="5"/>
      <c r="AB18" s="5"/>
    </row>
    <row r="19" spans="2:30" x14ac:dyDescent="0.2">
      <c r="B19" s="527" t="s">
        <v>8</v>
      </c>
      <c r="C19" s="528"/>
      <c r="D19" s="528"/>
      <c r="E19" s="528"/>
      <c r="F19" s="528"/>
      <c r="G19" s="528"/>
      <c r="H19" s="529"/>
    </row>
    <row r="20" spans="2:30" ht="15" x14ac:dyDescent="0.2">
      <c r="B20" s="10" t="s">
        <v>1</v>
      </c>
      <c r="C20" s="10" t="s">
        <v>2</v>
      </c>
      <c r="D20" s="10" t="s">
        <v>3</v>
      </c>
      <c r="E20" s="10" t="s">
        <v>4</v>
      </c>
      <c r="F20" s="10" t="s">
        <v>5</v>
      </c>
      <c r="G20" s="10" t="s">
        <v>6</v>
      </c>
      <c r="H20" s="10" t="s">
        <v>7</v>
      </c>
      <c r="W20" s="6"/>
      <c r="X20" s="7"/>
      <c r="Y20" s="8"/>
      <c r="Z20" s="7"/>
      <c r="AA20" s="7"/>
      <c r="AB20" s="7"/>
    </row>
    <row r="21" spans="2:30" ht="15" x14ac:dyDescent="0.2">
      <c r="B21" s="11">
        <v>1</v>
      </c>
      <c r="C21" s="11">
        <f t="shared" ref="C21:H21" si="0">B21+1</f>
        <v>2</v>
      </c>
      <c r="D21" s="11">
        <f t="shared" si="0"/>
        <v>3</v>
      </c>
      <c r="E21" s="11">
        <f t="shared" si="0"/>
        <v>4</v>
      </c>
      <c r="F21" s="11">
        <f t="shared" si="0"/>
        <v>5</v>
      </c>
      <c r="G21" s="11">
        <f t="shared" si="0"/>
        <v>6</v>
      </c>
      <c r="H21" s="11">
        <f t="shared" si="0"/>
        <v>7</v>
      </c>
      <c r="W21" s="7"/>
      <c r="X21" s="7"/>
      <c r="Y21" s="9"/>
      <c r="Z21" s="7"/>
      <c r="AA21" s="7"/>
      <c r="AB21" s="7"/>
    </row>
    <row r="22" spans="2:30" ht="15" x14ac:dyDescent="0.2">
      <c r="B22" s="11">
        <f>H21+1</f>
        <v>8</v>
      </c>
      <c r="C22" s="11">
        <f t="shared" ref="C22:H25" si="1">B22+1</f>
        <v>9</v>
      </c>
      <c r="D22" s="11">
        <f t="shared" si="1"/>
        <v>10</v>
      </c>
      <c r="E22" s="11">
        <f t="shared" si="1"/>
        <v>11</v>
      </c>
      <c r="F22" s="11">
        <f t="shared" si="1"/>
        <v>12</v>
      </c>
      <c r="G22" s="11">
        <f t="shared" si="1"/>
        <v>13</v>
      </c>
      <c r="H22" s="11">
        <f t="shared" si="1"/>
        <v>14</v>
      </c>
      <c r="W22" s="6"/>
      <c r="X22" s="7"/>
      <c r="Y22" s="9"/>
      <c r="Z22" s="7"/>
      <c r="AA22" s="7"/>
      <c r="AB22" s="7"/>
    </row>
    <row r="23" spans="2:30" ht="15" x14ac:dyDescent="0.2">
      <c r="B23" s="11">
        <f>H22+1</f>
        <v>15</v>
      </c>
      <c r="C23" s="11">
        <f t="shared" si="1"/>
        <v>16</v>
      </c>
      <c r="D23" s="11">
        <f t="shared" si="1"/>
        <v>17</v>
      </c>
      <c r="E23" s="11">
        <f t="shared" si="1"/>
        <v>18</v>
      </c>
      <c r="F23" s="11">
        <f t="shared" si="1"/>
        <v>19</v>
      </c>
      <c r="G23" s="11">
        <f t="shared" si="1"/>
        <v>20</v>
      </c>
      <c r="H23" s="11">
        <f t="shared" si="1"/>
        <v>21</v>
      </c>
      <c r="W23" s="7"/>
      <c r="X23" s="7"/>
      <c r="Y23" s="9"/>
      <c r="Z23" s="7"/>
      <c r="AA23" s="7"/>
      <c r="AB23" s="7"/>
      <c r="AD23" s="12"/>
    </row>
    <row r="24" spans="2:30" ht="15" x14ac:dyDescent="0.2">
      <c r="B24" s="11">
        <f>H23+1</f>
        <v>22</v>
      </c>
      <c r="C24" s="11">
        <f t="shared" si="1"/>
        <v>23</v>
      </c>
      <c r="D24" s="11">
        <f t="shared" si="1"/>
        <v>24</v>
      </c>
      <c r="E24" s="11">
        <f t="shared" si="1"/>
        <v>25</v>
      </c>
      <c r="F24" s="11">
        <f t="shared" si="1"/>
        <v>26</v>
      </c>
      <c r="G24" s="11">
        <f t="shared" si="1"/>
        <v>27</v>
      </c>
      <c r="H24" s="11">
        <f t="shared" si="1"/>
        <v>28</v>
      </c>
      <c r="W24" s="6"/>
      <c r="X24" s="7"/>
      <c r="Y24" s="9"/>
      <c r="Z24" s="7"/>
      <c r="AA24" s="7"/>
      <c r="AB24" s="7"/>
    </row>
    <row r="25" spans="2:30" ht="15" x14ac:dyDescent="0.2">
      <c r="B25" s="11">
        <f>H24+1</f>
        <v>29</v>
      </c>
      <c r="C25" s="11">
        <f t="shared" si="1"/>
        <v>30</v>
      </c>
      <c r="D25" s="11"/>
      <c r="E25" s="11"/>
      <c r="F25" s="11"/>
      <c r="G25" s="11"/>
      <c r="H25" s="11"/>
      <c r="W25" s="6"/>
      <c r="X25" s="7"/>
      <c r="Y25" s="9"/>
      <c r="Z25" s="7"/>
      <c r="AA25" s="7"/>
      <c r="AB25" s="7"/>
      <c r="AC25" s="12"/>
    </row>
    <row r="26" spans="2:30" ht="15" x14ac:dyDescent="0.2">
      <c r="B26" s="527" t="s">
        <v>1311</v>
      </c>
      <c r="C26" s="528"/>
      <c r="D26" s="528"/>
      <c r="E26" s="528"/>
      <c r="F26" s="528"/>
      <c r="G26" s="528"/>
      <c r="H26" s="529"/>
      <c r="W26" s="6"/>
      <c r="X26" s="7"/>
      <c r="Y26" s="9"/>
      <c r="Z26" s="7"/>
      <c r="AA26" s="7"/>
      <c r="AB26" s="7"/>
    </row>
    <row r="27" spans="2:30" ht="15" x14ac:dyDescent="0.2">
      <c r="B27" s="11"/>
      <c r="C27" s="11"/>
      <c r="D27" s="11">
        <f>1</f>
        <v>1</v>
      </c>
      <c r="E27" s="11">
        <f t="shared" ref="E27:H28" si="2">D27+1</f>
        <v>2</v>
      </c>
      <c r="F27" s="11">
        <f t="shared" si="2"/>
        <v>3</v>
      </c>
      <c r="G27" s="11">
        <f t="shared" si="2"/>
        <v>4</v>
      </c>
      <c r="H27" s="11">
        <f t="shared" si="2"/>
        <v>5</v>
      </c>
      <c r="W27" s="7"/>
      <c r="X27" s="7"/>
      <c r="Y27" s="9"/>
      <c r="Z27" s="7"/>
      <c r="AA27" s="7"/>
      <c r="AB27" s="7"/>
    </row>
    <row r="28" spans="2:30" ht="15" x14ac:dyDescent="0.2">
      <c r="B28" s="11">
        <f>H27+1</f>
        <v>6</v>
      </c>
      <c r="C28" s="11">
        <f>B28+1</f>
        <v>7</v>
      </c>
      <c r="D28" s="11">
        <f>C28+1</f>
        <v>8</v>
      </c>
      <c r="E28" s="11">
        <f t="shared" si="2"/>
        <v>9</v>
      </c>
      <c r="F28" s="11">
        <f t="shared" si="2"/>
        <v>10</v>
      </c>
      <c r="G28" s="11">
        <f>F28+1</f>
        <v>11</v>
      </c>
      <c r="H28" s="11">
        <f>G28+1</f>
        <v>12</v>
      </c>
      <c r="W28" s="6"/>
      <c r="X28" s="7"/>
      <c r="Y28" s="9"/>
      <c r="Z28" s="7"/>
      <c r="AA28" s="7"/>
      <c r="AB28" s="7"/>
    </row>
    <row r="29" spans="2:30" ht="18" x14ac:dyDescent="0.25">
      <c r="B29" s="11">
        <f>H28+1</f>
        <v>13</v>
      </c>
      <c r="C29" s="11">
        <f>B29+1</f>
        <v>14</v>
      </c>
      <c r="D29" s="11">
        <f>C29+1</f>
        <v>15</v>
      </c>
      <c r="E29" s="11">
        <f>D29+1</f>
        <v>16</v>
      </c>
      <c r="F29" s="11">
        <f>E29+1</f>
        <v>17</v>
      </c>
      <c r="G29" s="11">
        <f>F29+1</f>
        <v>18</v>
      </c>
      <c r="H29" s="11">
        <f>G29+1</f>
        <v>19</v>
      </c>
      <c r="W29" s="13"/>
      <c r="X29" s="14"/>
      <c r="Y29" s="15"/>
      <c r="Z29" s="14"/>
      <c r="AA29" s="14"/>
      <c r="AB29" s="14"/>
    </row>
    <row r="30" spans="2:30" ht="18" x14ac:dyDescent="0.25">
      <c r="W30" s="6"/>
      <c r="X30" s="14"/>
      <c r="Y30" s="15"/>
      <c r="Z30" s="14"/>
      <c r="AA30" s="14"/>
      <c r="AB30" s="14"/>
    </row>
    <row r="31" spans="2:30" ht="18" x14ac:dyDescent="0.25">
      <c r="B31" s="1" t="s">
        <v>278</v>
      </c>
      <c r="E31" s="67">
        <v>34</v>
      </c>
      <c r="W31" s="6"/>
      <c r="X31" s="14"/>
      <c r="Y31" s="15"/>
      <c r="Z31" s="14"/>
      <c r="AA31" s="14"/>
      <c r="AB31" s="14"/>
    </row>
    <row r="32" spans="2:30" ht="15" x14ac:dyDescent="0.2">
      <c r="W32" s="6"/>
      <c r="X32" s="7"/>
      <c r="Y32" s="9"/>
      <c r="Z32" s="7"/>
      <c r="AA32" s="7"/>
      <c r="AB32" s="7"/>
    </row>
    <row r="33" spans="10:28" ht="18" x14ac:dyDescent="0.25">
      <c r="W33" s="13"/>
      <c r="X33" s="14"/>
      <c r="Y33" s="13"/>
      <c r="Z33" s="14"/>
      <c r="AA33" s="14"/>
      <c r="AB33" s="14"/>
    </row>
    <row r="34" spans="10:28" ht="18" x14ac:dyDescent="0.25">
      <c r="X34" s="14"/>
      <c r="Y34" s="13"/>
      <c r="Z34" s="14"/>
      <c r="AA34" s="14"/>
      <c r="AB34" s="14"/>
    </row>
    <row r="35" spans="10:28" ht="18" x14ac:dyDescent="0.25">
      <c r="W35" s="14"/>
      <c r="X35" s="14"/>
      <c r="Y35" s="14"/>
      <c r="Z35" s="14"/>
      <c r="AA35" s="14"/>
      <c r="AB35" s="14"/>
    </row>
    <row r="36" spans="10:28" ht="18" x14ac:dyDescent="0.25">
      <c r="W36" s="14"/>
      <c r="X36" s="14"/>
      <c r="Y36" s="14"/>
      <c r="Z36" s="14"/>
      <c r="AA36" s="14"/>
      <c r="AB36" s="14"/>
    </row>
    <row r="40" spans="10:28" x14ac:dyDescent="0.2">
      <c r="J40" s="2"/>
    </row>
  </sheetData>
  <mergeCells count="3">
    <mergeCell ref="B2:AG2"/>
    <mergeCell ref="B26:H26"/>
    <mergeCell ref="B19:H19"/>
  </mergeCells>
  <conditionalFormatting sqref="B28">
    <cfRule type="expression" dxfId="417" priority="1">
      <formula>B28&lt;TODAY()</formula>
    </cfRule>
  </conditionalFormatting>
  <conditionalFormatting sqref="B25:C25">
    <cfRule type="expression" dxfId="416" priority="3">
      <formula>B25&lt;TODAY()</formula>
    </cfRule>
  </conditionalFormatting>
  <conditionalFormatting sqref="B22:H24">
    <cfRule type="expression" dxfId="415" priority="4">
      <formula>B22&lt;TODAY()</formula>
    </cfRule>
  </conditionalFormatting>
  <conditionalFormatting sqref="D21:E21 G21:H21">
    <cfRule type="expression" dxfId="414" priority="15">
      <formula>D21&lt;TODAY()</formula>
    </cfRule>
  </conditionalFormatting>
  <conditionalFormatting sqref="D27:H27">
    <cfRule type="expression" dxfId="413" priority="2">
      <formula>D27&lt;TODAY()</formula>
    </cfRule>
  </conditionalFormatting>
  <pageMargins left="0.7" right="0.7" top="0.75" bottom="0.75" header="0.3" footer="0.3"/>
  <pageSetup paperSize="9" scale="47" orientation="landscape" r:id="rId1"/>
  <drawing r:id="rId2"/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FC7D-B4FC-4475-8CC8-EC79997D1A05}">
  <sheetPr>
    <pageSetUpPr fitToPage="1"/>
  </sheetPr>
  <dimension ref="A1:O484"/>
  <sheetViews>
    <sheetView showGridLines="0" tabSelected="1" zoomScale="90" zoomScaleNormal="90" workbookViewId="0">
      <selection activeCell="A78" sqref="A78"/>
    </sheetView>
  </sheetViews>
  <sheetFormatPr defaultColWidth="9.140625" defaultRowHeight="15" x14ac:dyDescent="0.25"/>
  <cols>
    <col min="1" max="1" width="25.85546875" style="100" customWidth="1"/>
    <col min="2" max="2" width="20.5703125" style="100" customWidth="1"/>
    <col min="3" max="3" width="15.5703125" style="100" customWidth="1"/>
    <col min="4" max="4" width="12.28515625" style="100" customWidth="1"/>
    <col min="5" max="5" width="15.28515625" style="100" customWidth="1"/>
    <col min="6" max="6" width="12.7109375" style="100" customWidth="1"/>
    <col min="7" max="7" width="15.85546875" style="100" customWidth="1"/>
    <col min="8" max="8" width="19.28515625" style="100" customWidth="1"/>
    <col min="9" max="9" width="17.42578125" style="100" customWidth="1"/>
    <col min="10" max="10" width="17.28515625" style="100" customWidth="1"/>
    <col min="11" max="11" width="24.28515625" style="100" customWidth="1"/>
    <col min="12" max="12" width="12.5703125" style="100" customWidth="1"/>
    <col min="13" max="15" width="11.28515625" style="100" customWidth="1"/>
    <col min="16" max="16384" width="9.140625" style="100"/>
  </cols>
  <sheetData>
    <row r="1" spans="1:15" ht="19.5" customHeight="1" x14ac:dyDescent="0.25">
      <c r="A1" s="23" t="s">
        <v>2936</v>
      </c>
      <c r="B1"/>
      <c r="C1" s="389">
        <v>46209</v>
      </c>
    </row>
    <row r="2" spans="1:15" x14ac:dyDescent="0.25">
      <c r="A2"/>
      <c r="B2"/>
      <c r="C2"/>
      <c r="D2"/>
      <c r="E2"/>
      <c r="F2"/>
      <c r="G2"/>
      <c r="H2"/>
      <c r="I2"/>
      <c r="J2"/>
      <c r="K2"/>
      <c r="L2"/>
    </row>
    <row r="3" spans="1:15" s="101" customFormat="1" hidden="1" x14ac:dyDescent="0.25">
      <c r="A3" s="578"/>
      <c r="B3" s="578"/>
      <c r="C3" s="578"/>
      <c r="D3" s="578" t="s">
        <v>282</v>
      </c>
      <c r="E3" s="578"/>
      <c r="F3" s="578"/>
      <c r="G3" s="578"/>
      <c r="H3" s="578"/>
      <c r="I3" s="578"/>
      <c r="J3" s="578"/>
      <c r="K3"/>
      <c r="L3"/>
      <c r="M3"/>
      <c r="N3"/>
      <c r="O3"/>
    </row>
    <row r="4" spans="1:15" ht="30" x14ac:dyDescent="0.25">
      <c r="A4" s="579" t="s">
        <v>83</v>
      </c>
      <c r="B4" s="579" t="s">
        <v>175</v>
      </c>
      <c r="C4" s="579" t="s">
        <v>173</v>
      </c>
      <c r="D4" s="579" t="s">
        <v>281</v>
      </c>
      <c r="E4" s="579" t="s">
        <v>279</v>
      </c>
      <c r="F4" s="579" t="s">
        <v>841</v>
      </c>
      <c r="G4" s="579" t="s">
        <v>280</v>
      </c>
      <c r="H4" s="579" t="s">
        <v>906</v>
      </c>
      <c r="I4" s="579" t="s">
        <v>905</v>
      </c>
      <c r="J4" s="579" t="s">
        <v>3658</v>
      </c>
      <c r="K4"/>
      <c r="L4"/>
      <c r="M4"/>
      <c r="N4"/>
      <c r="O4"/>
    </row>
    <row r="5" spans="1:15" x14ac:dyDescent="0.25">
      <c r="A5" s="578" t="s">
        <v>46</v>
      </c>
      <c r="B5" s="578"/>
      <c r="C5" s="578"/>
      <c r="D5" s="580">
        <v>670.96028765990104</v>
      </c>
      <c r="E5" s="581">
        <v>3918200</v>
      </c>
      <c r="F5" s="581">
        <v>332070</v>
      </c>
      <c r="G5" s="581">
        <v>3351407.5999999978</v>
      </c>
      <c r="H5" s="580">
        <v>5.8396898774224812</v>
      </c>
      <c r="I5" s="580">
        <v>4.994941819416252</v>
      </c>
      <c r="J5" s="581">
        <v>56.257396449704139</v>
      </c>
      <c r="K5"/>
      <c r="L5"/>
      <c r="M5"/>
      <c r="N5"/>
      <c r="O5"/>
    </row>
    <row r="6" spans="1:15" x14ac:dyDescent="0.25">
      <c r="A6" s="578" t="s">
        <v>2932</v>
      </c>
      <c r="B6" s="578"/>
      <c r="C6" s="578"/>
      <c r="D6" s="580">
        <v>350.03971234010055</v>
      </c>
      <c r="E6" s="581">
        <v>1284550</v>
      </c>
      <c r="F6" s="581">
        <v>148150</v>
      </c>
      <c r="G6" s="581">
        <v>1125748.3</v>
      </c>
      <c r="H6" s="580">
        <v>3.6697264759260344</v>
      </c>
      <c r="I6" s="580">
        <v>3.2160588079395307</v>
      </c>
      <c r="J6" s="581">
        <v>57.229629629629628</v>
      </c>
      <c r="K6"/>
      <c r="L6"/>
      <c r="M6"/>
      <c r="N6"/>
      <c r="O6"/>
    </row>
    <row r="7" spans="1:15" x14ac:dyDescent="0.25">
      <c r="A7" s="578" t="s">
        <v>52</v>
      </c>
      <c r="B7" s="578"/>
      <c r="C7" s="578"/>
      <c r="D7" s="580">
        <v>269.10000000000019</v>
      </c>
      <c r="E7" s="581">
        <v>1397320</v>
      </c>
      <c r="F7" s="581">
        <v>399320</v>
      </c>
      <c r="G7" s="581">
        <v>1257990.1000000001</v>
      </c>
      <c r="H7" s="580">
        <v>5.192567818654771</v>
      </c>
      <c r="I7" s="580">
        <v>4.674805276848752</v>
      </c>
      <c r="J7" s="581">
        <v>60.064814814814817</v>
      </c>
      <c r="K7"/>
      <c r="L7"/>
      <c r="M7"/>
      <c r="N7"/>
      <c r="O7"/>
    </row>
    <row r="8" spans="1:15" x14ac:dyDescent="0.25">
      <c r="A8" s="578" t="s">
        <v>53</v>
      </c>
      <c r="B8" s="578"/>
      <c r="C8" s="578"/>
      <c r="D8" s="580">
        <v>373.19999999999987</v>
      </c>
      <c r="E8" s="581">
        <v>1634840</v>
      </c>
      <c r="F8" s="581">
        <v>277580</v>
      </c>
      <c r="G8" s="581">
        <v>1468262.5000000002</v>
      </c>
      <c r="H8" s="580">
        <v>4.380600214362274</v>
      </c>
      <c r="I8" s="580">
        <v>3.9342510718113632</v>
      </c>
      <c r="J8" s="581">
        <v>57.579365079365083</v>
      </c>
      <c r="K8"/>
      <c r="L8"/>
      <c r="M8"/>
      <c r="N8"/>
      <c r="O8"/>
    </row>
    <row r="9" spans="1:15" x14ac:dyDescent="0.25">
      <c r="A9" s="578" t="s">
        <v>182</v>
      </c>
      <c r="B9" s="578"/>
      <c r="C9" s="578"/>
      <c r="D9" s="580">
        <v>1663.3000000000025</v>
      </c>
      <c r="E9" s="581">
        <v>8234910</v>
      </c>
      <c r="F9" s="581">
        <v>1157120</v>
      </c>
      <c r="G9" s="581">
        <v>7203408.4999999972</v>
      </c>
      <c r="H9" s="580">
        <v>4.9509469127637757</v>
      </c>
      <c r="I9" s="580">
        <v>4.3307933024709833</v>
      </c>
      <c r="J9" s="581">
        <v>57.260254596888259</v>
      </c>
      <c r="K9"/>
      <c r="L9"/>
      <c r="M9"/>
      <c r="N9"/>
      <c r="O9"/>
    </row>
    <row r="10" spans="1:15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x14ac:dyDescent="0.25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5" x14ac:dyDescent="0.25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5" x14ac:dyDescent="0.25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5" x14ac:dyDescent="0.25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5" x14ac:dyDescent="0.25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x14ac:dyDescent="0.25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x14ac:dyDescent="0.25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x14ac:dyDescent="0.25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x14ac:dyDescent="0.25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x14ac:dyDescent="0.25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x14ac:dyDescent="0.25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x14ac:dyDescent="0.25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x14ac:dyDescent="0.25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x14ac:dyDescent="0.25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x14ac:dyDescent="0.25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x14ac:dyDescent="0.25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x14ac:dyDescent="0.25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x14ac:dyDescent="0.25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x14ac:dyDescent="0.25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x14ac:dyDescent="0.25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x14ac:dyDescent="0.25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x14ac:dyDescent="0.25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x14ac:dyDescent="0.25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x14ac:dyDescent="0.25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x14ac:dyDescent="0.25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x14ac:dyDescent="0.25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25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25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25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x14ac:dyDescent="0.25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x14ac:dyDescent="0.25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x14ac:dyDescent="0.25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x14ac:dyDescent="0.25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x14ac:dyDescent="0.25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x14ac:dyDescent="0.25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x14ac:dyDescent="0.25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3" x14ac:dyDescent="0.25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x14ac:dyDescent="0.25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x14ac:dyDescent="0.25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x14ac:dyDescent="0.25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x14ac:dyDescent="0.25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x14ac:dyDescent="0.25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x14ac:dyDescent="0.25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 x14ac:dyDescent="0.25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3" x14ac:dyDescent="0.25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x14ac:dyDescent="0.25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x14ac:dyDescent="0.25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x14ac:dyDescent="0.25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13" x14ac:dyDescent="0.25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13" x14ac:dyDescent="0.25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13" x14ac:dyDescent="0.25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13" x14ac:dyDescent="0.25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x14ac:dyDescent="0.25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x14ac:dyDescent="0.25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x14ac:dyDescent="0.25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x14ac:dyDescent="0.25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x14ac:dyDescent="0.25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x14ac:dyDescent="0.25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x14ac:dyDescent="0.25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x14ac:dyDescent="0.25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x14ac:dyDescent="0.25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x14ac:dyDescent="0.25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x14ac:dyDescent="0.25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x14ac:dyDescent="0.25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x14ac:dyDescent="0.25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x14ac:dyDescent="0.25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x14ac:dyDescent="0.25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x14ac:dyDescent="0.25">
      <c r="A95"/>
      <c r="B95"/>
      <c r="C95"/>
      <c r="D95"/>
      <c r="E95"/>
      <c r="F95"/>
      <c r="G95"/>
      <c r="H95"/>
      <c r="I95"/>
      <c r="J95"/>
      <c r="K95"/>
      <c r="L95"/>
    </row>
    <row r="96" spans="1:13" x14ac:dyDescent="0.2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2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2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2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2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2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2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2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2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2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2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2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2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2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2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2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2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2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2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2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2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2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2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2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2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2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2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2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2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2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2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2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2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2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2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2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2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2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2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2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2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2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2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2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2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2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2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2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2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2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2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2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2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2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2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2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2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2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2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2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25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25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25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25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25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25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25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25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25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25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25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25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25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25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25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25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25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25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25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25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25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25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25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25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25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25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25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25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25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25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25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25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25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25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25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25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25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25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25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25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25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25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25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25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25">
      <c r="A200"/>
      <c r="B200"/>
      <c r="C200"/>
      <c r="D200"/>
      <c r="E200"/>
      <c r="F200"/>
      <c r="G200"/>
      <c r="H200"/>
      <c r="I200"/>
      <c r="J200"/>
      <c r="K200"/>
      <c r="L200"/>
    </row>
    <row r="201" spans="1:12" x14ac:dyDescent="0.25">
      <c r="A201"/>
      <c r="B201"/>
      <c r="C201"/>
      <c r="D201"/>
      <c r="E201"/>
      <c r="F201"/>
      <c r="G201"/>
      <c r="H201"/>
      <c r="I201"/>
      <c r="J201"/>
      <c r="K201"/>
      <c r="L201"/>
    </row>
    <row r="202" spans="1:12" x14ac:dyDescent="0.25">
      <c r="A202"/>
      <c r="B202"/>
      <c r="C202"/>
      <c r="D202"/>
      <c r="E202"/>
      <c r="F202"/>
      <c r="G202"/>
      <c r="H202"/>
      <c r="I202"/>
      <c r="J202"/>
      <c r="K202"/>
      <c r="L202"/>
    </row>
    <row r="203" spans="1:12" x14ac:dyDescent="0.25">
      <c r="A203"/>
      <c r="B203"/>
      <c r="C203"/>
      <c r="D203"/>
      <c r="E203"/>
      <c r="F203"/>
      <c r="G203"/>
      <c r="H203"/>
      <c r="I203"/>
      <c r="J203"/>
      <c r="K203"/>
      <c r="L203"/>
    </row>
    <row r="204" spans="1:12" x14ac:dyDescent="0.25">
      <c r="A204"/>
      <c r="B204"/>
      <c r="C204"/>
      <c r="D204"/>
      <c r="E204"/>
      <c r="F204"/>
      <c r="G204"/>
      <c r="H204"/>
      <c r="I204"/>
      <c r="J204"/>
      <c r="K204"/>
      <c r="L204"/>
    </row>
    <row r="205" spans="1:12" x14ac:dyDescent="0.25">
      <c r="A205"/>
      <c r="B205"/>
      <c r="C205"/>
      <c r="D205"/>
      <c r="E205"/>
      <c r="F205"/>
      <c r="G205"/>
      <c r="H205"/>
      <c r="I205"/>
      <c r="J205"/>
      <c r="K205"/>
      <c r="L205"/>
    </row>
    <row r="206" spans="1:12" x14ac:dyDescent="0.25">
      <c r="A206"/>
      <c r="B206"/>
      <c r="C206"/>
      <c r="D206"/>
      <c r="E206"/>
      <c r="F206"/>
      <c r="G206"/>
      <c r="H206"/>
      <c r="I206"/>
      <c r="J206"/>
      <c r="K206"/>
      <c r="L206"/>
    </row>
    <row r="207" spans="1:12" x14ac:dyDescent="0.25">
      <c r="A207"/>
      <c r="B207"/>
      <c r="C207"/>
      <c r="D207"/>
      <c r="E207"/>
      <c r="F207"/>
      <c r="G207"/>
      <c r="H207"/>
      <c r="I207"/>
      <c r="J207"/>
      <c r="K207"/>
      <c r="L207"/>
    </row>
    <row r="208" spans="1:12" x14ac:dyDescent="0.25">
      <c r="A208"/>
      <c r="B208"/>
      <c r="C208"/>
      <c r="D208"/>
      <c r="E208"/>
      <c r="F208"/>
      <c r="G208"/>
      <c r="H208"/>
      <c r="I208"/>
      <c r="J208"/>
      <c r="K208"/>
      <c r="L208"/>
    </row>
    <row r="209" spans="1:12" x14ac:dyDescent="0.25">
      <c r="A209"/>
      <c r="B209"/>
      <c r="C209"/>
      <c r="D209"/>
      <c r="E209"/>
      <c r="F209"/>
      <c r="G209"/>
      <c r="H209"/>
      <c r="I209"/>
      <c r="J209"/>
      <c r="K209"/>
      <c r="L209"/>
    </row>
    <row r="210" spans="1:12" x14ac:dyDescent="0.25">
      <c r="A210"/>
      <c r="B210"/>
      <c r="C210"/>
      <c r="D210"/>
      <c r="E210"/>
      <c r="F210"/>
      <c r="G210"/>
      <c r="H210"/>
      <c r="I210"/>
      <c r="J210"/>
      <c r="K210"/>
      <c r="L210"/>
    </row>
    <row r="211" spans="1:12" x14ac:dyDescent="0.25">
      <c r="A211"/>
      <c r="B211"/>
      <c r="C211"/>
      <c r="D211"/>
      <c r="E211"/>
      <c r="F211"/>
      <c r="G211"/>
      <c r="H211"/>
      <c r="I211"/>
      <c r="J211"/>
      <c r="K211"/>
      <c r="L211"/>
    </row>
    <row r="212" spans="1:12" x14ac:dyDescent="0.25">
      <c r="A212"/>
      <c r="B212"/>
      <c r="C212"/>
      <c r="D212"/>
      <c r="E212"/>
      <c r="F212"/>
      <c r="G212"/>
      <c r="H212"/>
      <c r="I212"/>
      <c r="J212"/>
      <c r="K212"/>
      <c r="L212"/>
    </row>
    <row r="213" spans="1:12" x14ac:dyDescent="0.25">
      <c r="A213"/>
      <c r="B213"/>
      <c r="C213"/>
      <c r="D213"/>
      <c r="E213"/>
      <c r="F213"/>
      <c r="G213"/>
      <c r="H213"/>
      <c r="I213"/>
      <c r="J213"/>
      <c r="K213"/>
      <c r="L213"/>
    </row>
    <row r="214" spans="1:12" x14ac:dyDescent="0.25">
      <c r="A214"/>
      <c r="B214"/>
      <c r="C214"/>
      <c r="D214"/>
      <c r="E214"/>
      <c r="F214"/>
      <c r="G214"/>
      <c r="H214"/>
      <c r="I214"/>
      <c r="J214"/>
      <c r="K214"/>
      <c r="L214"/>
    </row>
    <row r="215" spans="1:12" x14ac:dyDescent="0.25">
      <c r="A215"/>
      <c r="B215"/>
      <c r="C215"/>
      <c r="D215"/>
      <c r="E215"/>
      <c r="F215"/>
      <c r="G215"/>
      <c r="H215"/>
      <c r="I215"/>
      <c r="J215"/>
      <c r="K215"/>
      <c r="L215"/>
    </row>
    <row r="216" spans="1:12" x14ac:dyDescent="0.25">
      <c r="A216"/>
      <c r="B216"/>
      <c r="C216"/>
      <c r="D216"/>
      <c r="E216"/>
      <c r="F216"/>
      <c r="G216"/>
      <c r="H216"/>
      <c r="I216"/>
      <c r="J216"/>
      <c r="K216"/>
      <c r="L216"/>
    </row>
    <row r="217" spans="1:12" x14ac:dyDescent="0.25">
      <c r="A217"/>
      <c r="B217"/>
      <c r="C217"/>
      <c r="D217"/>
      <c r="E217"/>
      <c r="F217"/>
      <c r="G217"/>
      <c r="H217"/>
      <c r="I217"/>
      <c r="J217"/>
      <c r="K217"/>
      <c r="L217"/>
    </row>
    <row r="218" spans="1:12" x14ac:dyDescent="0.25">
      <c r="A218"/>
      <c r="B218"/>
      <c r="C218"/>
      <c r="D218"/>
      <c r="E218"/>
      <c r="F218"/>
      <c r="G218"/>
      <c r="H218"/>
      <c r="I218"/>
      <c r="J218"/>
      <c r="K218"/>
      <c r="L218"/>
    </row>
    <row r="219" spans="1:12" x14ac:dyDescent="0.25">
      <c r="A219"/>
      <c r="B219"/>
      <c r="C219"/>
      <c r="D219"/>
      <c r="E219"/>
      <c r="F219"/>
      <c r="G219"/>
      <c r="H219"/>
      <c r="I219"/>
      <c r="J219"/>
      <c r="K219"/>
      <c r="L219"/>
    </row>
    <row r="220" spans="1:12" x14ac:dyDescent="0.25">
      <c r="A220"/>
      <c r="B220"/>
      <c r="C220"/>
      <c r="D220"/>
      <c r="E220"/>
      <c r="F220"/>
      <c r="G220"/>
      <c r="H220"/>
      <c r="I220"/>
      <c r="J220"/>
      <c r="K220"/>
      <c r="L220"/>
    </row>
    <row r="221" spans="1:12" x14ac:dyDescent="0.25">
      <c r="A221"/>
      <c r="B221"/>
      <c r="C221"/>
      <c r="D221"/>
      <c r="E221"/>
      <c r="F221"/>
      <c r="G221"/>
      <c r="H221"/>
      <c r="I221"/>
      <c r="J221"/>
      <c r="K221"/>
      <c r="L221"/>
    </row>
    <row r="222" spans="1:12" x14ac:dyDescent="0.25">
      <c r="A222"/>
      <c r="B222"/>
      <c r="C222"/>
      <c r="D222"/>
      <c r="E222"/>
      <c r="F222"/>
      <c r="G222"/>
      <c r="H222"/>
      <c r="I222"/>
      <c r="J222"/>
      <c r="K222"/>
      <c r="L222"/>
    </row>
    <row r="223" spans="1:12" x14ac:dyDescent="0.25">
      <c r="A223"/>
      <c r="B223"/>
      <c r="C223"/>
      <c r="D223"/>
      <c r="E223"/>
      <c r="F223"/>
      <c r="G223"/>
      <c r="H223"/>
      <c r="I223"/>
      <c r="J223"/>
      <c r="K223"/>
      <c r="L223"/>
    </row>
    <row r="224" spans="1:12" x14ac:dyDescent="0.25">
      <c r="A224"/>
      <c r="B224"/>
      <c r="C224"/>
      <c r="D224"/>
      <c r="E224"/>
      <c r="F224"/>
      <c r="G224"/>
      <c r="H224"/>
      <c r="I224"/>
      <c r="J224"/>
      <c r="K224"/>
      <c r="L224"/>
    </row>
    <row r="225" spans="1:12" x14ac:dyDescent="0.25">
      <c r="A225"/>
      <c r="B225"/>
      <c r="C225"/>
      <c r="D225"/>
      <c r="E225"/>
      <c r="F225"/>
      <c r="G225"/>
      <c r="H225"/>
      <c r="I225"/>
      <c r="J225"/>
      <c r="K225"/>
      <c r="L225"/>
    </row>
    <row r="226" spans="1:12" x14ac:dyDescent="0.25">
      <c r="A226"/>
      <c r="B226"/>
      <c r="C226"/>
      <c r="D226"/>
      <c r="E226"/>
      <c r="F226"/>
      <c r="G226"/>
      <c r="H226"/>
      <c r="I226"/>
      <c r="J226"/>
      <c r="K226"/>
      <c r="L226"/>
    </row>
    <row r="227" spans="1:12" x14ac:dyDescent="0.25">
      <c r="A227"/>
      <c r="B227"/>
      <c r="C227"/>
      <c r="D227"/>
      <c r="E227"/>
      <c r="F227"/>
      <c r="G227"/>
      <c r="H227"/>
      <c r="I227"/>
      <c r="J227"/>
      <c r="K227"/>
      <c r="L227"/>
    </row>
    <row r="228" spans="1:12" x14ac:dyDescent="0.25">
      <c r="A228"/>
      <c r="B228"/>
      <c r="C228"/>
      <c r="D228"/>
      <c r="E228"/>
      <c r="F228"/>
      <c r="G228"/>
      <c r="H228"/>
      <c r="I228"/>
      <c r="J228"/>
      <c r="K228"/>
      <c r="L228"/>
    </row>
    <row r="229" spans="1:12" x14ac:dyDescent="0.25">
      <c r="A229"/>
      <c r="B229"/>
      <c r="C229"/>
      <c r="D229"/>
      <c r="E229"/>
      <c r="F229"/>
      <c r="G229"/>
      <c r="H229"/>
      <c r="I229"/>
      <c r="J229"/>
      <c r="K229"/>
      <c r="L229"/>
    </row>
    <row r="230" spans="1:12" x14ac:dyDescent="0.25">
      <c r="A230"/>
      <c r="B230"/>
      <c r="C230"/>
      <c r="D230"/>
      <c r="E230"/>
      <c r="F230"/>
      <c r="G230"/>
      <c r="H230"/>
      <c r="I230"/>
      <c r="J230"/>
      <c r="K230"/>
      <c r="L230"/>
    </row>
    <row r="231" spans="1:12" x14ac:dyDescent="0.25">
      <c r="A231"/>
      <c r="B231"/>
      <c r="C231"/>
      <c r="D231"/>
      <c r="E231"/>
      <c r="F231"/>
      <c r="G231"/>
      <c r="H231"/>
      <c r="I231"/>
      <c r="J231"/>
      <c r="K231"/>
      <c r="L231"/>
    </row>
    <row r="232" spans="1:12" x14ac:dyDescent="0.25">
      <c r="A232"/>
      <c r="B232"/>
      <c r="C232"/>
      <c r="D232"/>
      <c r="E232"/>
      <c r="F232"/>
      <c r="G232"/>
      <c r="H232"/>
      <c r="I232"/>
      <c r="J232"/>
      <c r="K232"/>
      <c r="L232"/>
    </row>
    <row r="233" spans="1:12" x14ac:dyDescent="0.25">
      <c r="A233"/>
      <c r="B233"/>
      <c r="C233"/>
      <c r="D233"/>
      <c r="E233"/>
      <c r="F233"/>
      <c r="G233"/>
      <c r="H233"/>
      <c r="I233"/>
      <c r="J233"/>
      <c r="K233"/>
      <c r="L233"/>
    </row>
    <row r="234" spans="1:12" x14ac:dyDescent="0.25">
      <c r="A234"/>
      <c r="B234"/>
      <c r="C234"/>
      <c r="D234"/>
      <c r="E234"/>
      <c r="F234"/>
      <c r="G234"/>
      <c r="H234"/>
      <c r="I234"/>
      <c r="J234"/>
      <c r="K234"/>
      <c r="L234"/>
    </row>
    <row r="235" spans="1:12" x14ac:dyDescent="0.25">
      <c r="A235"/>
      <c r="B235"/>
      <c r="C235"/>
      <c r="D235"/>
      <c r="E235"/>
      <c r="F235"/>
      <c r="G235"/>
      <c r="H235"/>
      <c r="I235"/>
      <c r="J235"/>
      <c r="K235"/>
      <c r="L235"/>
    </row>
    <row r="236" spans="1:12" x14ac:dyDescent="0.25">
      <c r="A236"/>
      <c r="B236"/>
      <c r="C236"/>
      <c r="D236"/>
      <c r="E236"/>
      <c r="F236"/>
      <c r="G236"/>
      <c r="H236"/>
      <c r="I236"/>
      <c r="J236"/>
      <c r="K236"/>
      <c r="L236"/>
    </row>
    <row r="237" spans="1:12" x14ac:dyDescent="0.25">
      <c r="A237"/>
      <c r="B237"/>
      <c r="C237"/>
      <c r="D237"/>
      <c r="E237"/>
      <c r="F237"/>
      <c r="G237"/>
      <c r="H237"/>
      <c r="I237"/>
      <c r="J237"/>
      <c r="K237"/>
      <c r="L237"/>
    </row>
    <row r="238" spans="1:12" x14ac:dyDescent="0.25">
      <c r="A238"/>
      <c r="B238"/>
      <c r="C238"/>
      <c r="D238"/>
      <c r="E238"/>
      <c r="F238"/>
      <c r="G238"/>
      <c r="H238"/>
      <c r="I238"/>
      <c r="J238"/>
      <c r="K238"/>
      <c r="L238"/>
    </row>
    <row r="239" spans="1:12" x14ac:dyDescent="0.25">
      <c r="A239"/>
      <c r="B239"/>
      <c r="C239"/>
      <c r="D239"/>
      <c r="E239"/>
      <c r="F239"/>
      <c r="G239"/>
      <c r="H239"/>
      <c r="I239"/>
      <c r="J239"/>
      <c r="K239"/>
      <c r="L239"/>
    </row>
    <row r="240" spans="1:12" x14ac:dyDescent="0.25">
      <c r="A240"/>
      <c r="B240"/>
      <c r="C240"/>
      <c r="D240"/>
      <c r="E240"/>
      <c r="F240"/>
      <c r="G240"/>
      <c r="H240"/>
      <c r="I240"/>
      <c r="J240"/>
      <c r="K240"/>
      <c r="L240"/>
    </row>
    <row r="241" spans="1:12" x14ac:dyDescent="0.25">
      <c r="A241"/>
      <c r="B241"/>
      <c r="C241"/>
      <c r="D241"/>
      <c r="E241"/>
      <c r="F241"/>
      <c r="G241"/>
      <c r="H241"/>
      <c r="I241"/>
      <c r="J241"/>
      <c r="K241"/>
      <c r="L241"/>
    </row>
    <row r="242" spans="1:12" x14ac:dyDescent="0.25">
      <c r="A242"/>
      <c r="B242"/>
      <c r="C242"/>
      <c r="D242"/>
      <c r="E242"/>
      <c r="F242"/>
      <c r="G242"/>
      <c r="H242"/>
      <c r="I242"/>
      <c r="J242"/>
      <c r="K242"/>
      <c r="L242"/>
    </row>
    <row r="243" spans="1:12" x14ac:dyDescent="0.25">
      <c r="A243"/>
      <c r="B243"/>
      <c r="C243"/>
      <c r="D243"/>
      <c r="E243"/>
      <c r="F243"/>
      <c r="G243"/>
      <c r="H243"/>
      <c r="I243"/>
      <c r="J243"/>
      <c r="K243"/>
      <c r="L243"/>
    </row>
    <row r="244" spans="1:12" x14ac:dyDescent="0.25">
      <c r="A244"/>
      <c r="B244"/>
      <c r="C244"/>
      <c r="D244"/>
      <c r="E244"/>
      <c r="F244"/>
      <c r="G244"/>
      <c r="H244"/>
      <c r="I244"/>
      <c r="J244"/>
      <c r="K244"/>
      <c r="L244"/>
    </row>
    <row r="245" spans="1:12" x14ac:dyDescent="0.25">
      <c r="A245"/>
      <c r="B245"/>
      <c r="C245"/>
      <c r="D245"/>
      <c r="E245"/>
      <c r="F245"/>
      <c r="G245"/>
      <c r="H245"/>
      <c r="I245"/>
      <c r="J245"/>
      <c r="K245"/>
      <c r="L245"/>
    </row>
    <row r="246" spans="1:12" x14ac:dyDescent="0.25">
      <c r="A246"/>
      <c r="B246"/>
      <c r="C246"/>
      <c r="D246"/>
      <c r="E246"/>
      <c r="F246"/>
      <c r="G246"/>
      <c r="H246"/>
      <c r="I246"/>
      <c r="J246"/>
      <c r="K246"/>
      <c r="L246"/>
    </row>
    <row r="247" spans="1:12" x14ac:dyDescent="0.25">
      <c r="A247"/>
      <c r="B247"/>
      <c r="C247"/>
      <c r="D247"/>
      <c r="E247"/>
      <c r="F247"/>
      <c r="G247"/>
      <c r="H247"/>
      <c r="I247"/>
      <c r="J247"/>
      <c r="K247"/>
      <c r="L247"/>
    </row>
    <row r="248" spans="1:12" x14ac:dyDescent="0.25">
      <c r="A248"/>
      <c r="B248"/>
      <c r="C248"/>
      <c r="D248"/>
      <c r="E248"/>
      <c r="F248"/>
      <c r="G248"/>
      <c r="H248"/>
      <c r="I248"/>
      <c r="J248"/>
      <c r="K248"/>
      <c r="L248"/>
    </row>
    <row r="249" spans="1:12" x14ac:dyDescent="0.25">
      <c r="A249"/>
      <c r="B249"/>
      <c r="C249"/>
      <c r="D249"/>
      <c r="E249"/>
      <c r="F249"/>
      <c r="G249"/>
      <c r="H249"/>
      <c r="I249"/>
      <c r="J249"/>
      <c r="K249"/>
      <c r="L249"/>
    </row>
    <row r="250" spans="1:12" x14ac:dyDescent="0.25">
      <c r="A250"/>
      <c r="B250"/>
      <c r="C250"/>
      <c r="D250"/>
      <c r="E250"/>
      <c r="F250"/>
      <c r="G250"/>
      <c r="H250"/>
      <c r="I250"/>
      <c r="J250"/>
      <c r="K250"/>
      <c r="L250"/>
    </row>
    <row r="251" spans="1:12" x14ac:dyDescent="0.25">
      <c r="A251"/>
      <c r="B251"/>
      <c r="C251"/>
      <c r="D251"/>
      <c r="E251"/>
      <c r="F251"/>
      <c r="G251"/>
      <c r="H251"/>
      <c r="I251"/>
      <c r="J251"/>
      <c r="K251"/>
      <c r="L251"/>
    </row>
    <row r="252" spans="1:12" x14ac:dyDescent="0.25">
      <c r="A252"/>
      <c r="B252"/>
      <c r="C252"/>
      <c r="D252"/>
      <c r="E252"/>
      <c r="F252"/>
      <c r="G252"/>
      <c r="H252"/>
      <c r="I252"/>
      <c r="J252"/>
      <c r="K252"/>
      <c r="L252"/>
    </row>
    <row r="253" spans="1:12" x14ac:dyDescent="0.25">
      <c r="A253"/>
      <c r="B253"/>
      <c r="C253"/>
      <c r="D253"/>
      <c r="E253"/>
      <c r="F253"/>
      <c r="G253"/>
      <c r="H253"/>
      <c r="I253"/>
      <c r="J253"/>
      <c r="K253"/>
      <c r="L253"/>
    </row>
    <row r="254" spans="1:12" x14ac:dyDescent="0.25">
      <c r="A254"/>
      <c r="B254"/>
      <c r="C254"/>
      <c r="D254"/>
      <c r="E254"/>
      <c r="F254"/>
      <c r="G254"/>
      <c r="H254"/>
      <c r="I254"/>
      <c r="J254"/>
      <c r="K254"/>
      <c r="L254"/>
    </row>
    <row r="255" spans="1:12" x14ac:dyDescent="0.25">
      <c r="A255"/>
      <c r="B255"/>
      <c r="C255"/>
      <c r="D255"/>
      <c r="E255"/>
      <c r="F255"/>
      <c r="G255"/>
      <c r="H255"/>
      <c r="I255"/>
      <c r="J255"/>
      <c r="K255"/>
      <c r="L255"/>
    </row>
    <row r="256" spans="1:12" x14ac:dyDescent="0.25">
      <c r="A256"/>
      <c r="B256"/>
      <c r="C256"/>
      <c r="D256"/>
      <c r="E256"/>
      <c r="F256"/>
      <c r="G256"/>
      <c r="H256"/>
      <c r="I256"/>
      <c r="J256"/>
      <c r="K256"/>
      <c r="L256"/>
    </row>
    <row r="257" spans="1:12" x14ac:dyDescent="0.25">
      <c r="A257"/>
      <c r="B257"/>
      <c r="C257"/>
      <c r="D257"/>
      <c r="E257"/>
      <c r="F257"/>
      <c r="G257"/>
      <c r="H257"/>
      <c r="I257"/>
      <c r="J257"/>
      <c r="K257"/>
      <c r="L257"/>
    </row>
    <row r="258" spans="1:12" x14ac:dyDescent="0.25">
      <c r="A258"/>
      <c r="B258"/>
      <c r="C258"/>
      <c r="D258"/>
      <c r="E258"/>
      <c r="F258"/>
      <c r="G258"/>
      <c r="H258"/>
      <c r="I258"/>
      <c r="J258"/>
      <c r="K258"/>
      <c r="L258"/>
    </row>
    <row r="259" spans="1:12" x14ac:dyDescent="0.25">
      <c r="A259"/>
      <c r="B259"/>
      <c r="C259"/>
      <c r="D259"/>
      <c r="E259"/>
      <c r="F259"/>
      <c r="G259"/>
      <c r="H259"/>
      <c r="I259"/>
      <c r="J259"/>
      <c r="K259"/>
      <c r="L259"/>
    </row>
    <row r="260" spans="1:12" x14ac:dyDescent="0.25">
      <c r="A260"/>
      <c r="B260"/>
      <c r="C260"/>
      <c r="D260"/>
      <c r="E260"/>
      <c r="F260"/>
      <c r="G260"/>
      <c r="H260"/>
      <c r="I260"/>
      <c r="J260"/>
      <c r="K260"/>
      <c r="L260"/>
    </row>
    <row r="261" spans="1:12" x14ac:dyDescent="0.25">
      <c r="A261"/>
      <c r="B261"/>
      <c r="C261"/>
      <c r="D261"/>
      <c r="E261"/>
      <c r="F261"/>
      <c r="G261"/>
      <c r="H261"/>
      <c r="I261"/>
      <c r="J261"/>
      <c r="K261"/>
      <c r="L261"/>
    </row>
    <row r="262" spans="1:12" x14ac:dyDescent="0.25">
      <c r="A262"/>
      <c r="B262"/>
      <c r="C262"/>
      <c r="D262"/>
      <c r="E262"/>
      <c r="F262"/>
      <c r="G262"/>
      <c r="H262"/>
      <c r="I262"/>
      <c r="J262"/>
      <c r="K262"/>
      <c r="L262"/>
    </row>
    <row r="263" spans="1:12" x14ac:dyDescent="0.25">
      <c r="A263"/>
      <c r="B263"/>
      <c r="C263"/>
      <c r="D263"/>
      <c r="E263"/>
      <c r="F263"/>
      <c r="G263"/>
      <c r="H263"/>
      <c r="I263"/>
      <c r="J263"/>
      <c r="K263"/>
      <c r="L263"/>
    </row>
    <row r="264" spans="1:12" x14ac:dyDescent="0.25">
      <c r="A264"/>
      <c r="B264"/>
      <c r="C264"/>
      <c r="D264"/>
      <c r="E264"/>
      <c r="F264"/>
      <c r="G264"/>
      <c r="H264"/>
      <c r="I264"/>
      <c r="J264"/>
      <c r="K264"/>
      <c r="L264"/>
    </row>
    <row r="265" spans="1:12" x14ac:dyDescent="0.25">
      <c r="A265"/>
      <c r="B265"/>
      <c r="C265"/>
      <c r="D265"/>
      <c r="E265"/>
      <c r="F265"/>
      <c r="G265"/>
      <c r="H265"/>
      <c r="I265"/>
      <c r="J265"/>
      <c r="K265"/>
      <c r="L265"/>
    </row>
    <row r="266" spans="1:12" x14ac:dyDescent="0.25">
      <c r="A266"/>
      <c r="B266"/>
      <c r="C266"/>
      <c r="D266"/>
      <c r="E266"/>
      <c r="F266"/>
      <c r="G266"/>
      <c r="H266"/>
      <c r="I266"/>
      <c r="J266"/>
      <c r="K266"/>
      <c r="L266"/>
    </row>
    <row r="267" spans="1:12" x14ac:dyDescent="0.25">
      <c r="A267"/>
      <c r="B267"/>
      <c r="C267"/>
      <c r="D267"/>
      <c r="E267"/>
      <c r="F267"/>
      <c r="G267"/>
      <c r="H267"/>
      <c r="I267"/>
      <c r="J267"/>
      <c r="K267"/>
      <c r="L267"/>
    </row>
    <row r="268" spans="1:12" x14ac:dyDescent="0.25">
      <c r="A268"/>
      <c r="B268"/>
      <c r="C268"/>
      <c r="D268"/>
      <c r="E268"/>
      <c r="F268"/>
      <c r="G268"/>
      <c r="H268"/>
      <c r="I268"/>
      <c r="J268"/>
      <c r="K268"/>
      <c r="L268"/>
    </row>
    <row r="269" spans="1:12" x14ac:dyDescent="0.25">
      <c r="A269"/>
      <c r="B269"/>
      <c r="C269"/>
      <c r="D269"/>
      <c r="E269"/>
      <c r="F269"/>
      <c r="G269"/>
      <c r="H269"/>
      <c r="I269"/>
      <c r="J269"/>
      <c r="K269"/>
      <c r="L269"/>
    </row>
    <row r="270" spans="1:12" x14ac:dyDescent="0.25">
      <c r="A270"/>
      <c r="B270"/>
      <c r="C270"/>
      <c r="D270"/>
      <c r="E270"/>
      <c r="F270"/>
      <c r="G270"/>
      <c r="H270"/>
      <c r="I270"/>
      <c r="J270"/>
      <c r="K270"/>
      <c r="L270"/>
    </row>
    <row r="271" spans="1:12" x14ac:dyDescent="0.25">
      <c r="A271"/>
      <c r="B271"/>
      <c r="C271"/>
      <c r="D271"/>
      <c r="E271"/>
      <c r="F271"/>
      <c r="G271"/>
      <c r="H271"/>
      <c r="I271"/>
      <c r="J271"/>
      <c r="K271"/>
      <c r="L271"/>
    </row>
    <row r="272" spans="1:12" x14ac:dyDescent="0.25">
      <c r="A272"/>
      <c r="B272"/>
      <c r="C272"/>
      <c r="D272"/>
      <c r="E272"/>
      <c r="F272"/>
      <c r="G272"/>
      <c r="H272"/>
      <c r="I272"/>
      <c r="J272"/>
      <c r="K272"/>
      <c r="L272"/>
    </row>
    <row r="273" spans="1:12" x14ac:dyDescent="0.25">
      <c r="A273"/>
      <c r="B273"/>
      <c r="C273"/>
      <c r="D273"/>
      <c r="E273"/>
      <c r="F273"/>
      <c r="G273"/>
      <c r="H273"/>
      <c r="I273"/>
      <c r="J273"/>
      <c r="K273"/>
      <c r="L273"/>
    </row>
    <row r="274" spans="1:12" x14ac:dyDescent="0.25">
      <c r="A274"/>
      <c r="B274"/>
      <c r="C274"/>
      <c r="D274"/>
      <c r="E274"/>
      <c r="F274"/>
      <c r="G274"/>
      <c r="H274"/>
      <c r="I274"/>
      <c r="J274"/>
      <c r="K274"/>
      <c r="L274"/>
    </row>
    <row r="275" spans="1:12" x14ac:dyDescent="0.25">
      <c r="A275"/>
      <c r="B275"/>
      <c r="C275"/>
      <c r="D275"/>
      <c r="E275"/>
      <c r="F275"/>
      <c r="G275"/>
      <c r="H275"/>
      <c r="I275"/>
      <c r="J275"/>
      <c r="K275"/>
      <c r="L275"/>
    </row>
    <row r="276" spans="1:12" x14ac:dyDescent="0.25">
      <c r="A276"/>
      <c r="B276"/>
      <c r="C276"/>
      <c r="D276"/>
      <c r="E276"/>
      <c r="F276"/>
      <c r="G276"/>
      <c r="H276"/>
      <c r="I276"/>
      <c r="J276"/>
      <c r="K276"/>
      <c r="L276"/>
    </row>
    <row r="277" spans="1:12" x14ac:dyDescent="0.25">
      <c r="A277"/>
      <c r="B277"/>
      <c r="C277"/>
      <c r="D277"/>
      <c r="E277"/>
      <c r="F277"/>
      <c r="G277"/>
      <c r="H277"/>
      <c r="I277"/>
      <c r="J277"/>
      <c r="K277"/>
      <c r="L277"/>
    </row>
    <row r="278" spans="1:12" x14ac:dyDescent="0.25">
      <c r="A278"/>
      <c r="B278"/>
      <c r="C278"/>
      <c r="D278"/>
      <c r="E278"/>
      <c r="F278"/>
      <c r="G278"/>
      <c r="H278"/>
      <c r="I278"/>
      <c r="J278"/>
      <c r="K278"/>
      <c r="L278"/>
    </row>
    <row r="279" spans="1:12" x14ac:dyDescent="0.25">
      <c r="A279"/>
      <c r="B279"/>
      <c r="C279"/>
      <c r="D279"/>
      <c r="E279"/>
      <c r="F279"/>
      <c r="G279"/>
      <c r="H279"/>
      <c r="I279"/>
      <c r="J279"/>
      <c r="K279"/>
      <c r="L279"/>
    </row>
    <row r="280" spans="1:12" x14ac:dyDescent="0.25">
      <c r="A280"/>
      <c r="B280"/>
      <c r="C280"/>
      <c r="D280"/>
      <c r="E280"/>
      <c r="F280"/>
      <c r="G280"/>
      <c r="H280"/>
      <c r="I280"/>
      <c r="J280"/>
      <c r="K280"/>
      <c r="L280"/>
    </row>
    <row r="281" spans="1:12" x14ac:dyDescent="0.25">
      <c r="A281"/>
      <c r="B281"/>
      <c r="C281"/>
      <c r="D281"/>
      <c r="E281"/>
      <c r="F281"/>
      <c r="G281"/>
      <c r="H281"/>
      <c r="I281"/>
      <c r="J281"/>
      <c r="K281"/>
      <c r="L281"/>
    </row>
    <row r="282" spans="1:12" x14ac:dyDescent="0.25">
      <c r="A282"/>
      <c r="B282"/>
      <c r="C282"/>
      <c r="D282"/>
      <c r="E282"/>
      <c r="F282"/>
      <c r="G282"/>
      <c r="H282"/>
      <c r="I282"/>
      <c r="J282"/>
      <c r="K282"/>
      <c r="L282"/>
    </row>
    <row r="283" spans="1:12" x14ac:dyDescent="0.25">
      <c r="A283"/>
      <c r="B283"/>
      <c r="C283"/>
      <c r="D283"/>
      <c r="E283"/>
      <c r="F283"/>
      <c r="G283"/>
      <c r="H283"/>
      <c r="I283"/>
      <c r="J283"/>
      <c r="K283"/>
      <c r="L283"/>
    </row>
    <row r="284" spans="1:12" x14ac:dyDescent="0.25">
      <c r="A284"/>
      <c r="B284"/>
      <c r="C284"/>
      <c r="D284"/>
      <c r="E284"/>
      <c r="F284"/>
      <c r="G284"/>
      <c r="H284"/>
      <c r="I284"/>
      <c r="J284"/>
      <c r="K284"/>
      <c r="L284"/>
    </row>
    <row r="285" spans="1:12" x14ac:dyDescent="0.25">
      <c r="A285"/>
      <c r="B285"/>
      <c r="C285"/>
      <c r="D285"/>
      <c r="E285"/>
      <c r="F285"/>
      <c r="G285"/>
      <c r="H285"/>
      <c r="I285"/>
      <c r="J285"/>
      <c r="K285"/>
      <c r="L285"/>
    </row>
    <row r="286" spans="1:12" x14ac:dyDescent="0.25">
      <c r="A286"/>
      <c r="B286"/>
      <c r="C286"/>
      <c r="D286"/>
      <c r="E286"/>
      <c r="F286"/>
      <c r="G286"/>
      <c r="H286"/>
      <c r="I286"/>
      <c r="J286"/>
      <c r="K286"/>
      <c r="L286"/>
    </row>
    <row r="287" spans="1:12" x14ac:dyDescent="0.25">
      <c r="A287"/>
      <c r="B287"/>
      <c r="C287"/>
      <c r="D287"/>
      <c r="E287"/>
      <c r="F287"/>
      <c r="G287"/>
      <c r="H287"/>
      <c r="I287"/>
      <c r="J287"/>
      <c r="K287"/>
      <c r="L287"/>
    </row>
    <row r="288" spans="1:12" x14ac:dyDescent="0.25">
      <c r="A288"/>
      <c r="B288"/>
      <c r="C288"/>
      <c r="D288"/>
      <c r="E288"/>
      <c r="F288"/>
      <c r="G288"/>
      <c r="H288"/>
      <c r="I288"/>
      <c r="J288"/>
      <c r="K288"/>
      <c r="L288"/>
    </row>
    <row r="289" spans="1:12" x14ac:dyDescent="0.25">
      <c r="A289"/>
      <c r="B289"/>
      <c r="C289"/>
      <c r="D289"/>
      <c r="E289"/>
      <c r="F289"/>
      <c r="G289"/>
      <c r="H289"/>
      <c r="I289"/>
      <c r="J289"/>
      <c r="K289"/>
      <c r="L289"/>
    </row>
    <row r="290" spans="1:12" x14ac:dyDescent="0.25">
      <c r="A290"/>
      <c r="B290"/>
      <c r="C290"/>
      <c r="D290"/>
      <c r="E290"/>
      <c r="F290"/>
      <c r="G290"/>
      <c r="H290"/>
      <c r="I290"/>
      <c r="J290"/>
      <c r="K290"/>
      <c r="L290"/>
    </row>
    <row r="291" spans="1:12" x14ac:dyDescent="0.25">
      <c r="A291"/>
      <c r="B291"/>
      <c r="C291"/>
      <c r="D291"/>
      <c r="E291"/>
      <c r="F291"/>
      <c r="G291"/>
      <c r="H291"/>
      <c r="I291"/>
      <c r="J291"/>
      <c r="K291"/>
      <c r="L291"/>
    </row>
    <row r="292" spans="1:12" x14ac:dyDescent="0.25">
      <c r="A292"/>
      <c r="B292"/>
      <c r="C292"/>
      <c r="D292"/>
      <c r="E292"/>
      <c r="F292"/>
      <c r="G292"/>
      <c r="H292"/>
      <c r="I292"/>
      <c r="J292"/>
      <c r="K292"/>
      <c r="L292"/>
    </row>
    <row r="293" spans="1:12" x14ac:dyDescent="0.25">
      <c r="A293"/>
      <c r="B293"/>
      <c r="C293"/>
      <c r="D293"/>
      <c r="E293"/>
      <c r="F293"/>
      <c r="G293"/>
      <c r="H293"/>
      <c r="I293"/>
      <c r="J293"/>
      <c r="K293"/>
      <c r="L293"/>
    </row>
    <row r="294" spans="1:12" x14ac:dyDescent="0.25">
      <c r="A294"/>
      <c r="B294"/>
      <c r="C294"/>
      <c r="D294"/>
      <c r="E294"/>
      <c r="F294"/>
      <c r="G294"/>
      <c r="H294"/>
      <c r="I294"/>
      <c r="J294"/>
      <c r="K294"/>
      <c r="L294"/>
    </row>
    <row r="295" spans="1:12" x14ac:dyDescent="0.25">
      <c r="A295"/>
      <c r="B295"/>
      <c r="C295"/>
      <c r="D295"/>
      <c r="E295"/>
      <c r="F295"/>
      <c r="G295"/>
      <c r="H295"/>
      <c r="I295"/>
      <c r="J295"/>
      <c r="K295"/>
      <c r="L295"/>
    </row>
    <row r="296" spans="1:12" x14ac:dyDescent="0.25">
      <c r="A296"/>
      <c r="B296"/>
      <c r="C296"/>
      <c r="D296"/>
      <c r="E296"/>
      <c r="F296"/>
      <c r="G296"/>
      <c r="H296"/>
      <c r="I296"/>
      <c r="J296"/>
      <c r="K296"/>
      <c r="L296"/>
    </row>
    <row r="297" spans="1:12" x14ac:dyDescent="0.25">
      <c r="A297"/>
      <c r="B297"/>
      <c r="C297"/>
      <c r="D297"/>
      <c r="E297"/>
      <c r="F297"/>
      <c r="G297"/>
      <c r="H297"/>
      <c r="I297"/>
      <c r="J297"/>
      <c r="K297"/>
      <c r="L297"/>
    </row>
    <row r="298" spans="1:12" x14ac:dyDescent="0.25">
      <c r="A298"/>
      <c r="B298"/>
      <c r="C298"/>
      <c r="D298"/>
      <c r="E298"/>
      <c r="F298"/>
      <c r="G298"/>
      <c r="H298"/>
      <c r="I298"/>
      <c r="J298"/>
      <c r="K298"/>
      <c r="L298"/>
    </row>
    <row r="299" spans="1:12" x14ac:dyDescent="0.25">
      <c r="A299"/>
      <c r="B299"/>
      <c r="C299"/>
      <c r="D299"/>
      <c r="E299"/>
      <c r="F299"/>
      <c r="G299"/>
      <c r="H299"/>
      <c r="I299"/>
      <c r="J299"/>
      <c r="K299"/>
      <c r="L299"/>
    </row>
    <row r="300" spans="1:12" x14ac:dyDescent="0.25">
      <c r="A300"/>
      <c r="B300"/>
      <c r="C300"/>
      <c r="D300"/>
      <c r="E300"/>
      <c r="F300"/>
      <c r="G300"/>
      <c r="H300"/>
      <c r="I300"/>
      <c r="J300"/>
      <c r="K300"/>
      <c r="L300"/>
    </row>
    <row r="301" spans="1:12" x14ac:dyDescent="0.25">
      <c r="A301"/>
      <c r="B301"/>
      <c r="C301"/>
      <c r="D301"/>
      <c r="E301"/>
      <c r="F301"/>
      <c r="G301"/>
      <c r="H301"/>
      <c r="I301"/>
      <c r="J301"/>
      <c r="K301"/>
      <c r="L301"/>
    </row>
    <row r="302" spans="1:12" x14ac:dyDescent="0.25">
      <c r="A302"/>
      <c r="B302"/>
      <c r="C302"/>
      <c r="D302"/>
      <c r="E302"/>
      <c r="F302"/>
      <c r="G302"/>
      <c r="H302"/>
      <c r="I302"/>
      <c r="J302"/>
      <c r="K302"/>
      <c r="L302"/>
    </row>
    <row r="303" spans="1:12" x14ac:dyDescent="0.25">
      <c r="A303"/>
      <c r="B303"/>
      <c r="C303"/>
      <c r="D303"/>
      <c r="E303"/>
      <c r="F303"/>
      <c r="G303"/>
      <c r="H303"/>
      <c r="I303"/>
      <c r="J303"/>
      <c r="K303"/>
      <c r="L303"/>
    </row>
    <row r="304" spans="1:12" x14ac:dyDescent="0.25">
      <c r="A304"/>
      <c r="B304"/>
      <c r="C304"/>
      <c r="D304"/>
      <c r="E304"/>
      <c r="F304"/>
      <c r="G304"/>
      <c r="H304"/>
      <c r="I304"/>
      <c r="J304"/>
      <c r="K304"/>
      <c r="L304"/>
    </row>
    <row r="305" spans="1:12" x14ac:dyDescent="0.25">
      <c r="A305"/>
      <c r="B305"/>
      <c r="C305"/>
      <c r="D305"/>
      <c r="E305"/>
      <c r="F305"/>
      <c r="G305"/>
      <c r="H305"/>
      <c r="I305"/>
      <c r="J305"/>
      <c r="K305"/>
      <c r="L305"/>
    </row>
    <row r="306" spans="1:12" x14ac:dyDescent="0.25">
      <c r="A306"/>
      <c r="B306"/>
      <c r="C306"/>
      <c r="D306"/>
      <c r="E306"/>
      <c r="F306"/>
      <c r="G306"/>
      <c r="H306"/>
      <c r="I306"/>
      <c r="J306"/>
      <c r="K306"/>
      <c r="L306"/>
    </row>
    <row r="307" spans="1:12" x14ac:dyDescent="0.25">
      <c r="A307"/>
      <c r="B307"/>
      <c r="C307"/>
      <c r="D307"/>
      <c r="E307"/>
      <c r="F307"/>
      <c r="G307"/>
      <c r="H307"/>
      <c r="I307"/>
      <c r="J307"/>
      <c r="K307"/>
      <c r="L307"/>
    </row>
    <row r="308" spans="1:12" x14ac:dyDescent="0.25">
      <c r="A308"/>
      <c r="B308"/>
      <c r="C308"/>
      <c r="D308"/>
      <c r="E308"/>
      <c r="F308"/>
      <c r="G308"/>
      <c r="H308"/>
      <c r="I308"/>
      <c r="J308"/>
      <c r="K308"/>
      <c r="L308"/>
    </row>
    <row r="309" spans="1:12" x14ac:dyDescent="0.25">
      <c r="A309"/>
      <c r="B309"/>
      <c r="C309"/>
      <c r="D309"/>
      <c r="E309"/>
      <c r="F309"/>
      <c r="G309"/>
      <c r="H309"/>
      <c r="I309"/>
      <c r="J309"/>
      <c r="K309"/>
      <c r="L309"/>
    </row>
    <row r="310" spans="1:12" x14ac:dyDescent="0.25">
      <c r="A310"/>
      <c r="B310"/>
      <c r="C310"/>
      <c r="D310"/>
      <c r="E310"/>
      <c r="F310"/>
      <c r="G310"/>
      <c r="H310"/>
      <c r="I310"/>
      <c r="J310"/>
      <c r="K310"/>
      <c r="L310"/>
    </row>
    <row r="311" spans="1:12" x14ac:dyDescent="0.25">
      <c r="A311"/>
      <c r="B311"/>
      <c r="C311"/>
      <c r="D311"/>
      <c r="E311"/>
      <c r="F311"/>
      <c r="G311"/>
      <c r="H311"/>
      <c r="I311"/>
      <c r="J311"/>
      <c r="K311"/>
      <c r="L311"/>
    </row>
    <row r="312" spans="1:12" x14ac:dyDescent="0.25">
      <c r="A312"/>
      <c r="B312"/>
      <c r="C312"/>
      <c r="D312"/>
      <c r="E312"/>
      <c r="F312"/>
      <c r="G312"/>
      <c r="H312"/>
      <c r="I312"/>
      <c r="J312"/>
      <c r="K312"/>
      <c r="L312"/>
    </row>
    <row r="313" spans="1:12" x14ac:dyDescent="0.25">
      <c r="A313"/>
      <c r="B313"/>
      <c r="C313"/>
      <c r="D313"/>
      <c r="E313"/>
      <c r="F313"/>
      <c r="G313"/>
      <c r="H313"/>
      <c r="I313"/>
      <c r="J313"/>
      <c r="K313"/>
      <c r="L313"/>
    </row>
    <row r="314" spans="1:12" x14ac:dyDescent="0.25">
      <c r="A314"/>
      <c r="B314"/>
      <c r="C314"/>
      <c r="D314"/>
      <c r="E314"/>
      <c r="F314"/>
      <c r="G314"/>
      <c r="H314"/>
      <c r="I314"/>
      <c r="J314"/>
      <c r="K314"/>
      <c r="L314"/>
    </row>
    <row r="315" spans="1:12" x14ac:dyDescent="0.25">
      <c r="A315"/>
      <c r="B315"/>
      <c r="C315"/>
      <c r="D315"/>
      <c r="E315"/>
      <c r="F315"/>
      <c r="G315"/>
      <c r="H315"/>
      <c r="I315"/>
      <c r="J315"/>
      <c r="K315"/>
      <c r="L315"/>
    </row>
    <row r="316" spans="1:12" x14ac:dyDescent="0.25">
      <c r="A316"/>
      <c r="B316"/>
      <c r="C316"/>
      <c r="D316"/>
      <c r="E316"/>
      <c r="F316"/>
      <c r="G316"/>
      <c r="H316"/>
      <c r="I316"/>
      <c r="J316"/>
      <c r="K316"/>
      <c r="L316"/>
    </row>
    <row r="317" spans="1:12" x14ac:dyDescent="0.25">
      <c r="A317"/>
      <c r="B317"/>
      <c r="C317"/>
      <c r="D317"/>
      <c r="E317"/>
      <c r="F317"/>
      <c r="G317"/>
      <c r="H317"/>
      <c r="I317"/>
      <c r="J317"/>
      <c r="K317"/>
      <c r="L317"/>
    </row>
    <row r="318" spans="1:12" x14ac:dyDescent="0.25">
      <c r="A318"/>
      <c r="B318"/>
      <c r="C318"/>
      <c r="D318"/>
      <c r="E318"/>
      <c r="F318"/>
      <c r="G318"/>
      <c r="H318"/>
      <c r="I318"/>
      <c r="J318"/>
      <c r="K318"/>
      <c r="L318"/>
    </row>
    <row r="319" spans="1:12" x14ac:dyDescent="0.25">
      <c r="A319"/>
      <c r="B319"/>
      <c r="C319"/>
      <c r="D319"/>
      <c r="E319"/>
      <c r="F319"/>
      <c r="G319"/>
      <c r="H319"/>
      <c r="I319"/>
      <c r="J319"/>
      <c r="K319"/>
      <c r="L319"/>
    </row>
    <row r="320" spans="1:12" x14ac:dyDescent="0.25">
      <c r="A320"/>
      <c r="B320"/>
      <c r="C320"/>
      <c r="D320"/>
      <c r="E320"/>
      <c r="F320"/>
      <c r="G320"/>
      <c r="H320"/>
      <c r="I320"/>
      <c r="J320"/>
      <c r="K320"/>
      <c r="L320"/>
    </row>
    <row r="321" spans="1:12" x14ac:dyDescent="0.25">
      <c r="A321"/>
      <c r="B321"/>
      <c r="C321"/>
      <c r="D321"/>
      <c r="E321"/>
      <c r="F321"/>
      <c r="G321"/>
      <c r="H321"/>
      <c r="I321"/>
      <c r="J321"/>
      <c r="K321"/>
      <c r="L321"/>
    </row>
    <row r="322" spans="1:12" x14ac:dyDescent="0.25">
      <c r="A322"/>
      <c r="B322"/>
      <c r="C322"/>
      <c r="D322"/>
      <c r="E322"/>
      <c r="F322"/>
      <c r="G322"/>
      <c r="H322"/>
      <c r="I322"/>
      <c r="J322"/>
      <c r="K322"/>
      <c r="L322"/>
    </row>
    <row r="323" spans="1:12" x14ac:dyDescent="0.25">
      <c r="A323"/>
      <c r="B323"/>
      <c r="C323"/>
      <c r="D323"/>
      <c r="E323"/>
      <c r="F323"/>
      <c r="G323"/>
      <c r="H323"/>
      <c r="I323"/>
      <c r="J323"/>
      <c r="K323"/>
      <c r="L323"/>
    </row>
    <row r="324" spans="1:12" x14ac:dyDescent="0.25">
      <c r="A324"/>
      <c r="B324"/>
      <c r="C324"/>
      <c r="D324"/>
      <c r="E324"/>
      <c r="F324"/>
      <c r="G324"/>
      <c r="H324"/>
      <c r="I324"/>
      <c r="J324"/>
      <c r="K324"/>
      <c r="L324"/>
    </row>
    <row r="325" spans="1:12" x14ac:dyDescent="0.25">
      <c r="A325"/>
      <c r="B325"/>
      <c r="C325"/>
      <c r="D325"/>
      <c r="E325"/>
      <c r="F325"/>
      <c r="G325"/>
      <c r="H325"/>
      <c r="I325"/>
      <c r="J325"/>
      <c r="K325"/>
      <c r="L325"/>
    </row>
    <row r="326" spans="1:12" x14ac:dyDescent="0.25">
      <c r="A326"/>
      <c r="B326"/>
      <c r="C326"/>
      <c r="D326"/>
      <c r="E326"/>
      <c r="F326"/>
      <c r="G326"/>
      <c r="H326"/>
      <c r="I326"/>
      <c r="J326"/>
      <c r="K326"/>
      <c r="L326"/>
    </row>
    <row r="327" spans="1:12" x14ac:dyDescent="0.25">
      <c r="A327"/>
      <c r="B327"/>
      <c r="C327"/>
      <c r="D327"/>
      <c r="E327"/>
      <c r="F327"/>
      <c r="G327"/>
      <c r="H327"/>
      <c r="I327"/>
      <c r="J327"/>
      <c r="K327"/>
      <c r="L327"/>
    </row>
    <row r="328" spans="1:12" x14ac:dyDescent="0.25">
      <c r="A328"/>
      <c r="B328"/>
      <c r="C328"/>
      <c r="D328"/>
      <c r="E328"/>
      <c r="F328"/>
      <c r="G328"/>
      <c r="H328"/>
      <c r="I328"/>
      <c r="J328"/>
      <c r="K328"/>
      <c r="L328"/>
    </row>
    <row r="329" spans="1:12" x14ac:dyDescent="0.25">
      <c r="A329"/>
      <c r="B329"/>
      <c r="C329"/>
      <c r="D329"/>
      <c r="E329"/>
      <c r="F329"/>
      <c r="G329"/>
      <c r="H329"/>
      <c r="I329"/>
      <c r="J329"/>
      <c r="K329"/>
      <c r="L329"/>
    </row>
    <row r="330" spans="1:12" x14ac:dyDescent="0.25">
      <c r="A330"/>
      <c r="B330"/>
      <c r="C330"/>
      <c r="D330"/>
      <c r="E330"/>
      <c r="F330"/>
      <c r="G330"/>
      <c r="H330"/>
      <c r="I330"/>
      <c r="J330"/>
      <c r="K330"/>
      <c r="L330"/>
    </row>
    <row r="331" spans="1:12" x14ac:dyDescent="0.25">
      <c r="A331"/>
      <c r="B331"/>
      <c r="C331"/>
      <c r="D331"/>
      <c r="E331"/>
      <c r="F331"/>
      <c r="G331"/>
      <c r="H331"/>
      <c r="I331"/>
      <c r="J331"/>
      <c r="K331"/>
      <c r="L331"/>
    </row>
    <row r="332" spans="1:12" x14ac:dyDescent="0.25">
      <c r="A332"/>
      <c r="B332"/>
      <c r="C332"/>
      <c r="D332"/>
      <c r="E332"/>
      <c r="F332"/>
      <c r="G332"/>
      <c r="H332"/>
      <c r="I332"/>
      <c r="J332"/>
      <c r="K332"/>
      <c r="L332"/>
    </row>
    <row r="333" spans="1:12" x14ac:dyDescent="0.25">
      <c r="A333"/>
      <c r="B333"/>
      <c r="C333"/>
      <c r="D333"/>
      <c r="E333"/>
      <c r="F333"/>
      <c r="G333"/>
      <c r="H333"/>
      <c r="I333"/>
      <c r="J333"/>
      <c r="K333"/>
      <c r="L333"/>
    </row>
    <row r="334" spans="1:12" x14ac:dyDescent="0.25">
      <c r="A334"/>
      <c r="B334"/>
      <c r="C334"/>
      <c r="D334"/>
      <c r="E334"/>
      <c r="F334"/>
      <c r="G334"/>
      <c r="H334"/>
      <c r="I334"/>
      <c r="J334"/>
      <c r="K334"/>
      <c r="L334"/>
    </row>
    <row r="335" spans="1:12" x14ac:dyDescent="0.25">
      <c r="A335"/>
      <c r="B335"/>
      <c r="C335"/>
      <c r="D335"/>
      <c r="E335"/>
      <c r="F335"/>
      <c r="G335"/>
      <c r="H335"/>
      <c r="I335"/>
      <c r="J335"/>
      <c r="K335"/>
      <c r="L335"/>
    </row>
    <row r="336" spans="1:12" x14ac:dyDescent="0.25">
      <c r="A336"/>
      <c r="B336"/>
      <c r="C336"/>
      <c r="D336"/>
      <c r="E336"/>
      <c r="F336"/>
      <c r="G336"/>
      <c r="H336"/>
      <c r="I336"/>
      <c r="J336"/>
      <c r="K336"/>
      <c r="L336"/>
    </row>
    <row r="337" spans="1:12" x14ac:dyDescent="0.25">
      <c r="A337"/>
      <c r="B337"/>
      <c r="C337"/>
      <c r="D337"/>
      <c r="E337"/>
      <c r="F337"/>
      <c r="G337"/>
      <c r="H337"/>
      <c r="I337"/>
      <c r="J337"/>
      <c r="K337"/>
      <c r="L337"/>
    </row>
    <row r="338" spans="1:12" x14ac:dyDescent="0.25">
      <c r="A338"/>
      <c r="B338"/>
      <c r="C338"/>
      <c r="D338"/>
      <c r="E338"/>
      <c r="F338"/>
      <c r="G338"/>
      <c r="H338"/>
      <c r="I338"/>
      <c r="J338"/>
      <c r="K338"/>
      <c r="L338"/>
    </row>
    <row r="339" spans="1:12" x14ac:dyDescent="0.25">
      <c r="A339"/>
      <c r="B339"/>
      <c r="C339"/>
      <c r="D339"/>
      <c r="E339"/>
      <c r="F339"/>
      <c r="G339"/>
      <c r="H339"/>
      <c r="I339"/>
      <c r="J339"/>
      <c r="K339"/>
      <c r="L339"/>
    </row>
    <row r="340" spans="1:12" x14ac:dyDescent="0.25">
      <c r="A340"/>
      <c r="B340"/>
      <c r="C340"/>
      <c r="D340"/>
      <c r="E340"/>
      <c r="F340"/>
      <c r="G340"/>
      <c r="H340"/>
      <c r="I340"/>
      <c r="J340"/>
      <c r="K340"/>
      <c r="L340"/>
    </row>
    <row r="341" spans="1:12" x14ac:dyDescent="0.25">
      <c r="A341"/>
      <c r="B341"/>
      <c r="C341"/>
      <c r="D341"/>
      <c r="E341"/>
      <c r="F341"/>
      <c r="G341"/>
      <c r="H341"/>
      <c r="I341"/>
      <c r="J341"/>
      <c r="K341"/>
      <c r="L341"/>
    </row>
    <row r="342" spans="1:12" x14ac:dyDescent="0.25">
      <c r="A342"/>
      <c r="B342"/>
      <c r="C342"/>
      <c r="D342"/>
      <c r="E342"/>
      <c r="F342"/>
      <c r="G342"/>
      <c r="H342"/>
      <c r="I342"/>
      <c r="J342"/>
      <c r="K342"/>
      <c r="L342"/>
    </row>
    <row r="343" spans="1:12" x14ac:dyDescent="0.25">
      <c r="A343"/>
      <c r="B343"/>
      <c r="C343"/>
      <c r="D343"/>
      <c r="E343"/>
      <c r="F343"/>
      <c r="G343"/>
      <c r="H343"/>
      <c r="I343"/>
      <c r="J343"/>
      <c r="K343"/>
      <c r="L343"/>
    </row>
    <row r="344" spans="1:12" x14ac:dyDescent="0.25">
      <c r="A344"/>
      <c r="B344"/>
      <c r="C344"/>
      <c r="D344"/>
      <c r="E344"/>
      <c r="F344"/>
      <c r="G344"/>
      <c r="H344"/>
      <c r="I344"/>
      <c r="J344"/>
      <c r="K344"/>
      <c r="L344"/>
    </row>
    <row r="345" spans="1:12" x14ac:dyDescent="0.25">
      <c r="A345"/>
      <c r="B345"/>
      <c r="C345"/>
      <c r="D345"/>
      <c r="E345"/>
      <c r="F345"/>
      <c r="G345"/>
      <c r="H345"/>
      <c r="I345"/>
      <c r="J345"/>
      <c r="K345"/>
      <c r="L345"/>
    </row>
    <row r="346" spans="1:12" x14ac:dyDescent="0.25">
      <c r="A346"/>
      <c r="B346"/>
      <c r="C346"/>
      <c r="D346"/>
      <c r="E346"/>
      <c r="F346"/>
      <c r="G346"/>
      <c r="H346"/>
      <c r="I346"/>
      <c r="J346"/>
      <c r="K346"/>
      <c r="L346"/>
    </row>
    <row r="347" spans="1:12" x14ac:dyDescent="0.25">
      <c r="A347"/>
      <c r="B347"/>
      <c r="C347"/>
      <c r="D347"/>
      <c r="E347"/>
      <c r="F347"/>
      <c r="G347"/>
      <c r="H347"/>
      <c r="I347"/>
      <c r="J347"/>
      <c r="K347"/>
      <c r="L347"/>
    </row>
    <row r="348" spans="1:12" x14ac:dyDescent="0.25">
      <c r="A348"/>
      <c r="B348"/>
      <c r="C348"/>
      <c r="D348"/>
      <c r="E348"/>
      <c r="F348"/>
      <c r="G348"/>
      <c r="H348"/>
      <c r="I348"/>
      <c r="J348"/>
      <c r="K348"/>
      <c r="L348"/>
    </row>
    <row r="349" spans="1:12" x14ac:dyDescent="0.25">
      <c r="A349"/>
      <c r="B349"/>
      <c r="C349"/>
      <c r="D349"/>
      <c r="E349"/>
      <c r="F349"/>
      <c r="G349"/>
      <c r="H349"/>
      <c r="I349"/>
      <c r="J349"/>
      <c r="K349"/>
      <c r="L349"/>
    </row>
    <row r="350" spans="1:12" x14ac:dyDescent="0.25">
      <c r="A350"/>
      <c r="B350"/>
      <c r="C350"/>
      <c r="D350"/>
      <c r="E350"/>
      <c r="F350"/>
      <c r="G350"/>
      <c r="H350"/>
      <c r="I350"/>
      <c r="J350"/>
      <c r="K350"/>
      <c r="L350"/>
    </row>
    <row r="351" spans="1:12" x14ac:dyDescent="0.25">
      <c r="A351"/>
      <c r="B351"/>
      <c r="C351"/>
      <c r="D351"/>
      <c r="E351"/>
      <c r="F351"/>
      <c r="G351"/>
      <c r="H351"/>
      <c r="I351"/>
      <c r="J351"/>
      <c r="K351"/>
      <c r="L351"/>
    </row>
    <row r="352" spans="1:12" x14ac:dyDescent="0.25">
      <c r="A352"/>
      <c r="B352"/>
      <c r="C352"/>
      <c r="D352"/>
      <c r="E352"/>
      <c r="F352"/>
      <c r="G352"/>
      <c r="H352"/>
      <c r="I352"/>
      <c r="J352"/>
      <c r="K352"/>
      <c r="L352"/>
    </row>
    <row r="353" spans="1:12" x14ac:dyDescent="0.25">
      <c r="A353"/>
      <c r="B353"/>
      <c r="C353"/>
      <c r="D353"/>
      <c r="E353"/>
      <c r="F353"/>
      <c r="G353"/>
      <c r="H353"/>
      <c r="I353"/>
      <c r="J353"/>
      <c r="K353"/>
      <c r="L353"/>
    </row>
    <row r="354" spans="1:12" x14ac:dyDescent="0.25">
      <c r="A354"/>
      <c r="B354"/>
      <c r="C354"/>
      <c r="D354"/>
      <c r="E354"/>
      <c r="F354"/>
      <c r="G354"/>
      <c r="H354"/>
      <c r="I354"/>
      <c r="J354"/>
      <c r="K354"/>
      <c r="L354"/>
    </row>
    <row r="355" spans="1:12" x14ac:dyDescent="0.25">
      <c r="A355"/>
      <c r="B355"/>
      <c r="C355"/>
      <c r="D355"/>
      <c r="E355"/>
      <c r="F355"/>
      <c r="G355"/>
      <c r="H355"/>
      <c r="I355"/>
      <c r="J355"/>
      <c r="K355"/>
      <c r="L355"/>
    </row>
    <row r="356" spans="1:12" x14ac:dyDescent="0.25">
      <c r="A356"/>
      <c r="B356"/>
      <c r="C356"/>
      <c r="D356"/>
      <c r="E356"/>
      <c r="F356"/>
      <c r="G356"/>
      <c r="H356"/>
      <c r="I356"/>
      <c r="J356"/>
      <c r="K356"/>
      <c r="L356"/>
    </row>
    <row r="357" spans="1:12" x14ac:dyDescent="0.25">
      <c r="A357"/>
      <c r="B357"/>
      <c r="C357"/>
      <c r="D357"/>
      <c r="E357"/>
      <c r="F357"/>
      <c r="G357"/>
      <c r="H357"/>
      <c r="I357"/>
      <c r="J357"/>
      <c r="K357"/>
      <c r="L357"/>
    </row>
    <row r="358" spans="1:12" x14ac:dyDescent="0.25">
      <c r="A358"/>
      <c r="B358"/>
      <c r="C358"/>
      <c r="D358"/>
      <c r="E358"/>
      <c r="F358"/>
      <c r="G358"/>
      <c r="H358"/>
      <c r="I358"/>
      <c r="J358"/>
      <c r="K358"/>
      <c r="L358"/>
    </row>
    <row r="359" spans="1:12" x14ac:dyDescent="0.25">
      <c r="A359"/>
      <c r="B359"/>
      <c r="C359"/>
      <c r="D359"/>
      <c r="E359"/>
      <c r="F359"/>
      <c r="G359"/>
      <c r="H359"/>
      <c r="I359"/>
      <c r="J359"/>
      <c r="K359"/>
      <c r="L359"/>
    </row>
    <row r="360" spans="1:12" x14ac:dyDescent="0.25">
      <c r="A360"/>
      <c r="B360"/>
      <c r="C360"/>
      <c r="D360"/>
      <c r="E360"/>
      <c r="F360"/>
      <c r="G360"/>
      <c r="H360"/>
      <c r="I360"/>
      <c r="J360"/>
      <c r="K360"/>
      <c r="L360"/>
    </row>
    <row r="361" spans="1:12" x14ac:dyDescent="0.25">
      <c r="A361"/>
      <c r="B361"/>
      <c r="C361"/>
      <c r="D361"/>
      <c r="E361"/>
      <c r="F361"/>
      <c r="G361"/>
      <c r="H361"/>
      <c r="I361"/>
      <c r="J361"/>
      <c r="K361"/>
      <c r="L361"/>
    </row>
    <row r="362" spans="1:12" x14ac:dyDescent="0.25">
      <c r="A362"/>
      <c r="B362"/>
      <c r="C362"/>
      <c r="D362"/>
      <c r="E362"/>
      <c r="F362"/>
      <c r="G362"/>
      <c r="H362"/>
      <c r="I362"/>
      <c r="J362"/>
      <c r="K362"/>
      <c r="L362"/>
    </row>
    <row r="363" spans="1:12" x14ac:dyDescent="0.25">
      <c r="A363"/>
      <c r="B363"/>
      <c r="C363"/>
      <c r="D363"/>
      <c r="E363"/>
      <c r="F363"/>
      <c r="G363"/>
      <c r="H363"/>
      <c r="I363"/>
      <c r="J363"/>
      <c r="K363"/>
      <c r="L363"/>
    </row>
    <row r="364" spans="1:12" x14ac:dyDescent="0.25">
      <c r="A364"/>
      <c r="B364"/>
      <c r="C364"/>
      <c r="D364"/>
      <c r="E364"/>
      <c r="F364"/>
      <c r="G364"/>
      <c r="H364"/>
      <c r="I364"/>
      <c r="J364"/>
      <c r="K364"/>
      <c r="L364"/>
    </row>
    <row r="365" spans="1:12" x14ac:dyDescent="0.25">
      <c r="A365"/>
      <c r="B365"/>
      <c r="C365"/>
      <c r="D365"/>
      <c r="E365"/>
      <c r="F365"/>
      <c r="G365"/>
      <c r="H365"/>
      <c r="I365"/>
      <c r="J365"/>
      <c r="K365"/>
      <c r="L365"/>
    </row>
    <row r="366" spans="1:12" x14ac:dyDescent="0.25">
      <c r="A366"/>
      <c r="B366"/>
      <c r="C366"/>
      <c r="D366"/>
      <c r="E366"/>
      <c r="F366"/>
      <c r="G366"/>
      <c r="H366"/>
      <c r="I366"/>
      <c r="J366"/>
      <c r="K366"/>
      <c r="L366"/>
    </row>
    <row r="367" spans="1:12" x14ac:dyDescent="0.25">
      <c r="A367"/>
      <c r="B367"/>
      <c r="C367"/>
      <c r="D367"/>
      <c r="E367"/>
      <c r="F367"/>
      <c r="G367"/>
      <c r="H367"/>
      <c r="I367"/>
      <c r="J367"/>
      <c r="K367"/>
      <c r="L367"/>
    </row>
    <row r="368" spans="1:12" x14ac:dyDescent="0.25">
      <c r="A368"/>
      <c r="B368"/>
      <c r="C368"/>
      <c r="D368"/>
      <c r="E368"/>
      <c r="F368"/>
      <c r="G368"/>
      <c r="H368"/>
      <c r="I368"/>
      <c r="J368"/>
      <c r="K368"/>
      <c r="L368"/>
    </row>
    <row r="369" spans="1:12" x14ac:dyDescent="0.25">
      <c r="A369"/>
      <c r="B369"/>
      <c r="C369"/>
      <c r="D369"/>
      <c r="E369"/>
      <c r="F369"/>
      <c r="G369"/>
      <c r="H369"/>
      <c r="I369"/>
      <c r="J369"/>
      <c r="K369"/>
      <c r="L369"/>
    </row>
    <row r="370" spans="1:12" x14ac:dyDescent="0.25">
      <c r="A370"/>
      <c r="B370"/>
      <c r="C370"/>
      <c r="D370"/>
      <c r="E370"/>
      <c r="F370"/>
      <c r="G370"/>
      <c r="H370"/>
      <c r="I370"/>
      <c r="J370"/>
      <c r="K370"/>
      <c r="L370"/>
    </row>
    <row r="371" spans="1:12" x14ac:dyDescent="0.25">
      <c r="A371"/>
      <c r="B371"/>
      <c r="C371"/>
      <c r="D371"/>
      <c r="E371"/>
      <c r="F371"/>
      <c r="G371"/>
      <c r="H371"/>
      <c r="I371"/>
      <c r="J371"/>
      <c r="K371"/>
      <c r="L371"/>
    </row>
    <row r="372" spans="1:12" x14ac:dyDescent="0.25">
      <c r="A372"/>
      <c r="B372"/>
      <c r="C372"/>
      <c r="D372"/>
      <c r="E372"/>
      <c r="F372"/>
      <c r="G372"/>
      <c r="H372"/>
      <c r="I372"/>
      <c r="J372"/>
      <c r="K372"/>
      <c r="L372"/>
    </row>
    <row r="373" spans="1:12" x14ac:dyDescent="0.25">
      <c r="A373"/>
      <c r="B373"/>
      <c r="C373"/>
      <c r="D373"/>
      <c r="E373"/>
      <c r="F373"/>
      <c r="G373"/>
      <c r="H373"/>
      <c r="I373"/>
      <c r="J373"/>
      <c r="K373"/>
      <c r="L373"/>
    </row>
    <row r="374" spans="1:12" x14ac:dyDescent="0.25">
      <c r="A374"/>
      <c r="B374"/>
      <c r="C374"/>
      <c r="D374"/>
      <c r="E374"/>
      <c r="F374"/>
      <c r="G374"/>
      <c r="H374"/>
      <c r="I374"/>
      <c r="J374"/>
      <c r="K374"/>
      <c r="L374"/>
    </row>
    <row r="375" spans="1:12" x14ac:dyDescent="0.25">
      <c r="A375"/>
      <c r="B375"/>
      <c r="C375"/>
      <c r="D375"/>
      <c r="E375"/>
      <c r="F375"/>
      <c r="G375"/>
      <c r="H375"/>
      <c r="I375"/>
      <c r="J375"/>
      <c r="K375"/>
      <c r="L375"/>
    </row>
    <row r="376" spans="1:12" x14ac:dyDescent="0.25">
      <c r="A376"/>
      <c r="B376"/>
      <c r="C376"/>
      <c r="D376"/>
      <c r="E376"/>
      <c r="F376"/>
      <c r="G376"/>
      <c r="H376"/>
      <c r="I376"/>
      <c r="J376"/>
      <c r="K376"/>
      <c r="L376"/>
    </row>
    <row r="377" spans="1:12" x14ac:dyDescent="0.25">
      <c r="A377"/>
      <c r="B377"/>
      <c r="C377"/>
      <c r="D377"/>
      <c r="E377"/>
      <c r="F377"/>
      <c r="G377"/>
      <c r="H377"/>
      <c r="I377"/>
      <c r="J377"/>
      <c r="K377"/>
      <c r="L377"/>
    </row>
    <row r="378" spans="1:12" x14ac:dyDescent="0.25">
      <c r="A378"/>
      <c r="B378"/>
      <c r="C378"/>
      <c r="D378"/>
      <c r="E378"/>
      <c r="F378"/>
      <c r="G378"/>
      <c r="H378"/>
      <c r="I378"/>
      <c r="J378"/>
      <c r="K378"/>
      <c r="L378"/>
    </row>
    <row r="379" spans="1:12" x14ac:dyDescent="0.25">
      <c r="A379"/>
      <c r="B379"/>
      <c r="C379"/>
      <c r="D379"/>
      <c r="E379"/>
      <c r="F379"/>
      <c r="G379"/>
      <c r="H379"/>
      <c r="I379"/>
      <c r="J379"/>
      <c r="K379"/>
      <c r="L379"/>
    </row>
    <row r="380" spans="1:12" x14ac:dyDescent="0.25">
      <c r="A380"/>
      <c r="B380"/>
      <c r="C380"/>
      <c r="D380"/>
      <c r="E380"/>
      <c r="F380"/>
      <c r="G380"/>
      <c r="H380"/>
      <c r="I380"/>
      <c r="J380"/>
      <c r="K380"/>
      <c r="L380"/>
    </row>
    <row r="381" spans="1:12" x14ac:dyDescent="0.25">
      <c r="A381"/>
      <c r="B381"/>
      <c r="C381"/>
      <c r="D381"/>
      <c r="E381"/>
      <c r="F381"/>
      <c r="G381"/>
      <c r="H381"/>
      <c r="I381"/>
      <c r="J381"/>
      <c r="K381"/>
      <c r="L381"/>
    </row>
    <row r="382" spans="1:12" x14ac:dyDescent="0.25">
      <c r="A382"/>
      <c r="B382"/>
      <c r="C382"/>
      <c r="D382"/>
      <c r="E382"/>
      <c r="F382"/>
      <c r="G382"/>
      <c r="H382"/>
      <c r="I382"/>
      <c r="J382"/>
      <c r="K382"/>
      <c r="L382"/>
    </row>
    <row r="383" spans="1:12" x14ac:dyDescent="0.25">
      <c r="A383"/>
      <c r="B383"/>
      <c r="C383"/>
      <c r="D383"/>
      <c r="E383"/>
      <c r="F383"/>
      <c r="G383"/>
      <c r="H383"/>
      <c r="I383"/>
      <c r="J383"/>
      <c r="K383"/>
      <c r="L383"/>
    </row>
    <row r="384" spans="1:12" x14ac:dyDescent="0.25">
      <c r="A384"/>
      <c r="B384"/>
      <c r="C384"/>
      <c r="D384"/>
      <c r="E384"/>
      <c r="F384"/>
      <c r="G384"/>
      <c r="H384"/>
      <c r="I384"/>
      <c r="J384"/>
      <c r="K384"/>
      <c r="L384"/>
    </row>
    <row r="385" spans="1:12" x14ac:dyDescent="0.25">
      <c r="A385"/>
      <c r="B385"/>
      <c r="C385"/>
      <c r="D385"/>
      <c r="E385"/>
      <c r="F385"/>
      <c r="G385"/>
      <c r="H385"/>
      <c r="I385"/>
      <c r="J385"/>
      <c r="K385"/>
      <c r="L385"/>
    </row>
    <row r="386" spans="1:12" x14ac:dyDescent="0.25">
      <c r="A386"/>
      <c r="B386"/>
      <c r="C386"/>
      <c r="D386"/>
      <c r="E386"/>
      <c r="F386"/>
      <c r="G386"/>
      <c r="H386"/>
      <c r="I386"/>
      <c r="J386"/>
      <c r="K386"/>
      <c r="L386"/>
    </row>
    <row r="387" spans="1:12" x14ac:dyDescent="0.25">
      <c r="A387"/>
      <c r="B387"/>
      <c r="C387"/>
      <c r="D387"/>
      <c r="E387"/>
      <c r="F387"/>
      <c r="G387"/>
      <c r="H387"/>
      <c r="I387"/>
      <c r="J387"/>
      <c r="K387"/>
      <c r="L387"/>
    </row>
    <row r="388" spans="1:12" x14ac:dyDescent="0.25">
      <c r="A388"/>
      <c r="B388"/>
      <c r="C388"/>
      <c r="D388"/>
      <c r="E388"/>
      <c r="F388"/>
      <c r="G388"/>
      <c r="H388"/>
      <c r="I388"/>
      <c r="J388"/>
      <c r="K388"/>
      <c r="L388"/>
    </row>
    <row r="389" spans="1:12" x14ac:dyDescent="0.25">
      <c r="A389"/>
      <c r="B389"/>
      <c r="C389"/>
      <c r="D389"/>
      <c r="E389"/>
      <c r="F389"/>
      <c r="G389"/>
      <c r="H389"/>
      <c r="I389"/>
      <c r="J389"/>
      <c r="K389"/>
      <c r="L389"/>
    </row>
    <row r="390" spans="1:12" x14ac:dyDescent="0.25">
      <c r="A390"/>
      <c r="B390"/>
      <c r="C390"/>
      <c r="D390"/>
      <c r="E390"/>
      <c r="F390"/>
      <c r="G390"/>
      <c r="H390"/>
      <c r="I390"/>
      <c r="J390"/>
      <c r="K390"/>
      <c r="L390"/>
    </row>
    <row r="391" spans="1:12" x14ac:dyDescent="0.25">
      <c r="A391"/>
      <c r="B391"/>
      <c r="C391"/>
      <c r="D391"/>
      <c r="E391"/>
      <c r="F391"/>
      <c r="G391"/>
      <c r="H391"/>
      <c r="I391"/>
      <c r="J391"/>
      <c r="K391"/>
      <c r="L391"/>
    </row>
    <row r="392" spans="1:12" x14ac:dyDescent="0.25">
      <c r="A392"/>
      <c r="B392"/>
      <c r="C392"/>
      <c r="D392"/>
      <c r="E392"/>
      <c r="F392"/>
      <c r="G392"/>
      <c r="H392"/>
      <c r="I392"/>
      <c r="J392"/>
      <c r="K392"/>
      <c r="L392"/>
    </row>
    <row r="393" spans="1:12" x14ac:dyDescent="0.25">
      <c r="A393"/>
      <c r="B393"/>
      <c r="C393"/>
      <c r="D393"/>
      <c r="E393"/>
      <c r="F393"/>
      <c r="G393"/>
      <c r="H393"/>
      <c r="I393"/>
      <c r="J393"/>
      <c r="K393"/>
      <c r="L393"/>
    </row>
    <row r="394" spans="1:12" x14ac:dyDescent="0.25">
      <c r="A394"/>
      <c r="B394"/>
      <c r="C394"/>
      <c r="D394"/>
      <c r="E394"/>
      <c r="F394"/>
      <c r="G394"/>
      <c r="H394"/>
      <c r="I394"/>
      <c r="J394"/>
      <c r="K394"/>
      <c r="L394"/>
    </row>
    <row r="395" spans="1:12" x14ac:dyDescent="0.25">
      <c r="A395"/>
      <c r="B395"/>
      <c r="C395"/>
      <c r="D395"/>
      <c r="E395"/>
      <c r="F395"/>
      <c r="G395"/>
      <c r="H395"/>
      <c r="I395"/>
      <c r="J395"/>
      <c r="K395"/>
      <c r="L395"/>
    </row>
    <row r="396" spans="1:12" x14ac:dyDescent="0.25">
      <c r="A396"/>
      <c r="B396"/>
      <c r="C396"/>
      <c r="D396"/>
      <c r="E396"/>
      <c r="F396"/>
      <c r="G396"/>
      <c r="H396"/>
      <c r="I396"/>
      <c r="J396"/>
      <c r="K396"/>
      <c r="L396"/>
    </row>
    <row r="397" spans="1:12" x14ac:dyDescent="0.25">
      <c r="A397"/>
      <c r="B397"/>
      <c r="C397"/>
      <c r="D397"/>
      <c r="E397"/>
      <c r="F397"/>
      <c r="G397"/>
      <c r="H397"/>
      <c r="I397"/>
      <c r="J397"/>
      <c r="K397"/>
      <c r="L397"/>
    </row>
    <row r="398" spans="1:12" x14ac:dyDescent="0.25">
      <c r="A398"/>
      <c r="B398"/>
      <c r="C398"/>
      <c r="D398"/>
      <c r="E398"/>
      <c r="F398"/>
      <c r="G398"/>
      <c r="H398"/>
      <c r="I398"/>
      <c r="J398"/>
      <c r="K398"/>
      <c r="L398"/>
    </row>
    <row r="399" spans="1:12" x14ac:dyDescent="0.25">
      <c r="A399"/>
      <c r="B399"/>
      <c r="C399"/>
      <c r="D399"/>
      <c r="E399"/>
      <c r="F399"/>
      <c r="G399"/>
      <c r="H399"/>
      <c r="I399"/>
      <c r="J399"/>
      <c r="K399"/>
      <c r="L399"/>
    </row>
    <row r="400" spans="1:12" x14ac:dyDescent="0.25">
      <c r="A400"/>
      <c r="B400"/>
      <c r="C400"/>
      <c r="D400"/>
      <c r="E400"/>
      <c r="F400"/>
      <c r="G400"/>
      <c r="H400"/>
      <c r="I400"/>
      <c r="J400"/>
      <c r="K400"/>
      <c r="L400"/>
    </row>
    <row r="401" spans="1:12" x14ac:dyDescent="0.25">
      <c r="A401"/>
      <c r="B401"/>
      <c r="C401"/>
      <c r="D401"/>
      <c r="E401"/>
      <c r="F401"/>
      <c r="G401"/>
      <c r="H401"/>
      <c r="I401"/>
      <c r="J401"/>
      <c r="K401"/>
      <c r="L401"/>
    </row>
    <row r="402" spans="1:12" x14ac:dyDescent="0.25">
      <c r="A402"/>
      <c r="B402"/>
      <c r="C402"/>
      <c r="D402"/>
      <c r="E402"/>
      <c r="F402"/>
      <c r="G402"/>
      <c r="H402"/>
      <c r="I402"/>
      <c r="J402"/>
      <c r="K402"/>
      <c r="L402"/>
    </row>
    <row r="403" spans="1:12" x14ac:dyDescent="0.25">
      <c r="A403"/>
      <c r="B403"/>
      <c r="C403"/>
      <c r="D403"/>
      <c r="E403"/>
      <c r="F403"/>
      <c r="G403"/>
      <c r="H403"/>
      <c r="I403"/>
      <c r="J403"/>
      <c r="K403"/>
      <c r="L403"/>
    </row>
    <row r="404" spans="1:12" x14ac:dyDescent="0.25">
      <c r="A404"/>
      <c r="B404"/>
      <c r="C404"/>
      <c r="D404"/>
      <c r="E404"/>
      <c r="F404"/>
      <c r="G404"/>
      <c r="H404"/>
      <c r="I404"/>
      <c r="J404"/>
      <c r="K404"/>
      <c r="L404"/>
    </row>
    <row r="405" spans="1:12" x14ac:dyDescent="0.25">
      <c r="A405"/>
      <c r="B405"/>
      <c r="C405"/>
      <c r="D405"/>
      <c r="E405"/>
      <c r="F405"/>
      <c r="G405"/>
      <c r="H405"/>
      <c r="I405"/>
      <c r="J405"/>
      <c r="K405"/>
      <c r="L405"/>
    </row>
    <row r="406" spans="1:12" x14ac:dyDescent="0.25">
      <c r="A406"/>
      <c r="B406"/>
      <c r="C406"/>
      <c r="D406"/>
      <c r="E406"/>
      <c r="F406"/>
      <c r="G406"/>
      <c r="H406"/>
      <c r="I406"/>
      <c r="J406"/>
      <c r="K406"/>
      <c r="L406"/>
    </row>
    <row r="407" spans="1:12" x14ac:dyDescent="0.25">
      <c r="A407"/>
      <c r="B407"/>
      <c r="C407"/>
      <c r="D407"/>
      <c r="E407"/>
      <c r="F407"/>
      <c r="G407"/>
      <c r="H407"/>
      <c r="I407"/>
      <c r="J407"/>
      <c r="K407"/>
      <c r="L407"/>
    </row>
    <row r="408" spans="1:12" x14ac:dyDescent="0.25">
      <c r="A408"/>
      <c r="B408"/>
      <c r="C408"/>
      <c r="D408"/>
      <c r="E408"/>
      <c r="F408"/>
      <c r="G408"/>
      <c r="H408"/>
      <c r="I408"/>
      <c r="J408"/>
      <c r="K408"/>
      <c r="L408"/>
    </row>
    <row r="409" spans="1:12" x14ac:dyDescent="0.25">
      <c r="A409"/>
      <c r="B409"/>
      <c r="C409"/>
      <c r="D409"/>
      <c r="E409"/>
      <c r="F409"/>
      <c r="G409"/>
      <c r="H409"/>
      <c r="I409"/>
      <c r="J409"/>
      <c r="K409"/>
      <c r="L409"/>
    </row>
    <row r="410" spans="1:12" x14ac:dyDescent="0.25">
      <c r="A410"/>
      <c r="B410"/>
      <c r="C410"/>
      <c r="D410"/>
      <c r="E410"/>
      <c r="F410"/>
      <c r="G410"/>
      <c r="H410"/>
      <c r="I410"/>
      <c r="J410"/>
      <c r="K410"/>
      <c r="L410"/>
    </row>
    <row r="411" spans="1:12" x14ac:dyDescent="0.25">
      <c r="A411"/>
      <c r="B411"/>
      <c r="C411"/>
      <c r="D411"/>
      <c r="E411"/>
      <c r="F411"/>
      <c r="G411"/>
      <c r="H411"/>
      <c r="I411"/>
      <c r="J411"/>
      <c r="K411"/>
      <c r="L411"/>
    </row>
    <row r="412" spans="1:12" x14ac:dyDescent="0.25">
      <c r="A412"/>
      <c r="B412"/>
      <c r="C412"/>
      <c r="D412"/>
      <c r="E412"/>
      <c r="F412"/>
      <c r="G412"/>
      <c r="H412"/>
      <c r="I412"/>
      <c r="J412"/>
      <c r="K412"/>
      <c r="L412"/>
    </row>
    <row r="413" spans="1:12" x14ac:dyDescent="0.25">
      <c r="A413"/>
      <c r="B413"/>
      <c r="C413"/>
      <c r="D413"/>
      <c r="E413"/>
      <c r="F413"/>
      <c r="G413"/>
      <c r="H413"/>
      <c r="I413"/>
      <c r="J413"/>
      <c r="K413"/>
      <c r="L413"/>
    </row>
    <row r="414" spans="1:12" x14ac:dyDescent="0.25">
      <c r="A414"/>
      <c r="B414"/>
      <c r="C414"/>
      <c r="D414"/>
      <c r="E414"/>
      <c r="F414"/>
      <c r="G414"/>
      <c r="H414"/>
      <c r="I414"/>
      <c r="J414"/>
      <c r="K414"/>
      <c r="L414"/>
    </row>
    <row r="415" spans="1:12" x14ac:dyDescent="0.25">
      <c r="A415"/>
      <c r="B415"/>
      <c r="C415"/>
      <c r="D415"/>
      <c r="E415"/>
      <c r="F415"/>
      <c r="G415"/>
      <c r="H415"/>
      <c r="I415"/>
      <c r="J415"/>
      <c r="K415"/>
      <c r="L415"/>
    </row>
    <row r="416" spans="1:12" x14ac:dyDescent="0.25">
      <c r="A416"/>
      <c r="B416"/>
      <c r="C416"/>
      <c r="D416"/>
      <c r="E416"/>
      <c r="F416"/>
      <c r="G416"/>
      <c r="H416"/>
      <c r="I416"/>
      <c r="J416"/>
      <c r="K416"/>
      <c r="L416"/>
    </row>
    <row r="417" spans="1:12" x14ac:dyDescent="0.25">
      <c r="A417"/>
      <c r="B417"/>
      <c r="C417"/>
      <c r="D417"/>
      <c r="E417"/>
      <c r="F417"/>
      <c r="G417"/>
      <c r="H417"/>
      <c r="I417"/>
      <c r="J417"/>
      <c r="K417"/>
      <c r="L417"/>
    </row>
    <row r="418" spans="1:12" x14ac:dyDescent="0.25">
      <c r="A418"/>
      <c r="B418"/>
      <c r="C418"/>
      <c r="D418"/>
      <c r="E418"/>
      <c r="F418"/>
      <c r="G418"/>
      <c r="H418"/>
      <c r="I418"/>
      <c r="J418"/>
      <c r="K418"/>
      <c r="L418"/>
    </row>
    <row r="419" spans="1:12" x14ac:dyDescent="0.25">
      <c r="A419"/>
      <c r="B419"/>
      <c r="C419"/>
      <c r="D419"/>
      <c r="E419"/>
      <c r="F419"/>
      <c r="G419"/>
      <c r="H419"/>
      <c r="I419"/>
      <c r="J419"/>
      <c r="K419"/>
      <c r="L419"/>
    </row>
    <row r="420" spans="1:12" x14ac:dyDescent="0.25">
      <c r="A420"/>
      <c r="B420"/>
      <c r="C420"/>
      <c r="D420"/>
      <c r="E420"/>
      <c r="F420"/>
      <c r="G420"/>
      <c r="H420"/>
      <c r="I420"/>
      <c r="J420"/>
      <c r="K420"/>
      <c r="L420"/>
    </row>
    <row r="421" spans="1:12" x14ac:dyDescent="0.25">
      <c r="A421"/>
      <c r="B421"/>
      <c r="C421"/>
      <c r="D421"/>
      <c r="E421"/>
      <c r="F421"/>
      <c r="G421"/>
      <c r="H421"/>
      <c r="I421"/>
      <c r="J421"/>
      <c r="K421"/>
      <c r="L421"/>
    </row>
    <row r="422" spans="1:12" x14ac:dyDescent="0.25">
      <c r="A422"/>
      <c r="B422"/>
      <c r="C422"/>
      <c r="D422"/>
      <c r="E422"/>
      <c r="F422"/>
      <c r="G422"/>
      <c r="H422"/>
      <c r="I422"/>
      <c r="J422"/>
      <c r="K422"/>
      <c r="L422"/>
    </row>
    <row r="423" spans="1:12" x14ac:dyDescent="0.25">
      <c r="A423"/>
      <c r="B423"/>
      <c r="C423"/>
      <c r="D423"/>
      <c r="E423"/>
      <c r="F423"/>
      <c r="G423"/>
      <c r="H423"/>
      <c r="I423"/>
      <c r="J423"/>
      <c r="K423"/>
      <c r="L423"/>
    </row>
    <row r="424" spans="1:12" x14ac:dyDescent="0.25">
      <c r="A424"/>
      <c r="B424"/>
      <c r="C424"/>
      <c r="D424"/>
      <c r="E424"/>
      <c r="F424"/>
      <c r="G424"/>
      <c r="H424"/>
      <c r="I424"/>
      <c r="J424"/>
      <c r="K424"/>
      <c r="L424"/>
    </row>
    <row r="425" spans="1:12" x14ac:dyDescent="0.25">
      <c r="A425"/>
      <c r="B425"/>
      <c r="C425"/>
      <c r="D425"/>
      <c r="E425"/>
      <c r="F425"/>
      <c r="G425"/>
      <c r="H425"/>
      <c r="I425"/>
      <c r="J425"/>
      <c r="K425"/>
      <c r="L425"/>
    </row>
    <row r="426" spans="1:12" x14ac:dyDescent="0.25">
      <c r="A426"/>
      <c r="B426"/>
      <c r="C426"/>
      <c r="D426"/>
      <c r="E426"/>
      <c r="F426"/>
      <c r="G426"/>
      <c r="H426"/>
      <c r="I426"/>
      <c r="J426"/>
      <c r="K426"/>
      <c r="L426"/>
    </row>
    <row r="427" spans="1:12" x14ac:dyDescent="0.25">
      <c r="A427"/>
      <c r="B427"/>
      <c r="C427"/>
      <c r="D427"/>
      <c r="E427"/>
      <c r="F427"/>
      <c r="G427"/>
      <c r="H427"/>
      <c r="I427"/>
      <c r="J427"/>
      <c r="K427"/>
      <c r="L427"/>
    </row>
    <row r="428" spans="1:12" x14ac:dyDescent="0.25">
      <c r="A428"/>
      <c r="B428"/>
      <c r="C428"/>
      <c r="D428"/>
      <c r="E428"/>
      <c r="F428"/>
      <c r="G428"/>
      <c r="H428"/>
      <c r="I428"/>
      <c r="J428"/>
      <c r="K428"/>
      <c r="L428"/>
    </row>
    <row r="429" spans="1:12" x14ac:dyDescent="0.25">
      <c r="A429"/>
      <c r="B429"/>
      <c r="C429"/>
      <c r="D429"/>
      <c r="E429"/>
      <c r="F429"/>
      <c r="G429"/>
      <c r="H429"/>
      <c r="I429"/>
      <c r="J429"/>
      <c r="K429"/>
      <c r="L429"/>
    </row>
    <row r="430" spans="1:12" x14ac:dyDescent="0.25">
      <c r="A430"/>
      <c r="B430"/>
      <c r="C430"/>
      <c r="D430"/>
      <c r="E430"/>
      <c r="F430"/>
      <c r="G430"/>
      <c r="H430"/>
      <c r="I430"/>
      <c r="J430"/>
      <c r="K430"/>
      <c r="L430"/>
    </row>
    <row r="431" spans="1:12" x14ac:dyDescent="0.25">
      <c r="A431"/>
      <c r="B431"/>
      <c r="C431"/>
      <c r="D431"/>
      <c r="E431"/>
      <c r="F431"/>
      <c r="G431"/>
      <c r="H431"/>
      <c r="I431"/>
      <c r="J431"/>
      <c r="K431"/>
      <c r="L431"/>
    </row>
    <row r="432" spans="1:12" x14ac:dyDescent="0.25">
      <c r="A432"/>
      <c r="B432"/>
      <c r="C432"/>
      <c r="D432"/>
      <c r="E432"/>
      <c r="F432"/>
      <c r="G432"/>
      <c r="H432"/>
      <c r="I432"/>
      <c r="J432"/>
      <c r="K432"/>
      <c r="L432"/>
    </row>
    <row r="433" spans="1:12" x14ac:dyDescent="0.25">
      <c r="A433"/>
      <c r="B433"/>
      <c r="C433"/>
      <c r="D433"/>
      <c r="E433"/>
      <c r="F433"/>
      <c r="G433"/>
      <c r="H433"/>
      <c r="I433"/>
      <c r="J433"/>
      <c r="K433"/>
      <c r="L433"/>
    </row>
    <row r="434" spans="1:12" x14ac:dyDescent="0.25">
      <c r="A434"/>
      <c r="B434"/>
      <c r="C434"/>
      <c r="D434"/>
      <c r="E434"/>
      <c r="F434"/>
      <c r="G434"/>
      <c r="H434"/>
      <c r="I434"/>
      <c r="J434"/>
      <c r="K434"/>
      <c r="L434"/>
    </row>
    <row r="435" spans="1:12" x14ac:dyDescent="0.25">
      <c r="A435"/>
      <c r="B435"/>
      <c r="C435"/>
      <c r="D435"/>
      <c r="E435"/>
      <c r="F435"/>
      <c r="G435"/>
      <c r="H435"/>
      <c r="I435"/>
      <c r="J435"/>
      <c r="K435"/>
      <c r="L435"/>
    </row>
    <row r="436" spans="1:12" x14ac:dyDescent="0.25">
      <c r="A436"/>
      <c r="B436"/>
      <c r="C436"/>
      <c r="D436"/>
      <c r="E436"/>
      <c r="F436"/>
      <c r="G436"/>
      <c r="H436"/>
      <c r="I436"/>
      <c r="J436"/>
      <c r="K436"/>
      <c r="L436"/>
    </row>
    <row r="437" spans="1:12" x14ac:dyDescent="0.25">
      <c r="A437"/>
      <c r="B437"/>
      <c r="C437"/>
      <c r="D437"/>
      <c r="E437"/>
      <c r="F437"/>
      <c r="G437"/>
      <c r="H437"/>
      <c r="I437"/>
      <c r="J437"/>
      <c r="K437"/>
      <c r="L437"/>
    </row>
    <row r="438" spans="1:12" x14ac:dyDescent="0.25">
      <c r="A438"/>
      <c r="B438"/>
      <c r="C438"/>
      <c r="D438"/>
      <c r="E438"/>
      <c r="F438"/>
      <c r="G438"/>
      <c r="H438"/>
      <c r="I438"/>
      <c r="J438"/>
      <c r="K438"/>
      <c r="L438"/>
    </row>
    <row r="439" spans="1:12" x14ac:dyDescent="0.25">
      <c r="A439"/>
      <c r="B439"/>
      <c r="C439"/>
      <c r="D439"/>
      <c r="E439"/>
      <c r="F439"/>
      <c r="G439"/>
      <c r="H439"/>
      <c r="I439"/>
      <c r="J439"/>
      <c r="K439"/>
      <c r="L439"/>
    </row>
    <row r="440" spans="1:12" x14ac:dyDescent="0.25">
      <c r="A440"/>
      <c r="B440"/>
      <c r="C440"/>
      <c r="D440"/>
      <c r="E440"/>
      <c r="F440"/>
      <c r="G440"/>
      <c r="H440"/>
      <c r="I440"/>
      <c r="J440"/>
      <c r="K440"/>
      <c r="L440"/>
    </row>
    <row r="441" spans="1:12" x14ac:dyDescent="0.25">
      <c r="A441"/>
      <c r="B441"/>
      <c r="C441"/>
      <c r="D441"/>
      <c r="E441"/>
      <c r="F441"/>
      <c r="G441"/>
      <c r="H441"/>
      <c r="I441"/>
      <c r="J441"/>
      <c r="K441"/>
      <c r="L441"/>
    </row>
    <row r="442" spans="1:12" x14ac:dyDescent="0.25">
      <c r="A442"/>
      <c r="B442"/>
      <c r="C442"/>
      <c r="D442"/>
      <c r="E442"/>
      <c r="F442"/>
      <c r="G442"/>
      <c r="H442"/>
      <c r="I442"/>
      <c r="J442"/>
      <c r="K442"/>
      <c r="L442"/>
    </row>
    <row r="443" spans="1:12" x14ac:dyDescent="0.25">
      <c r="A443"/>
      <c r="B443"/>
      <c r="C443"/>
      <c r="D443"/>
      <c r="E443"/>
      <c r="F443"/>
      <c r="G443"/>
      <c r="H443"/>
      <c r="I443"/>
      <c r="J443"/>
      <c r="K443"/>
      <c r="L443"/>
    </row>
    <row r="444" spans="1:12" x14ac:dyDescent="0.25">
      <c r="A444"/>
      <c r="B444"/>
      <c r="C444"/>
      <c r="D444"/>
      <c r="E444"/>
      <c r="F444"/>
      <c r="G444"/>
      <c r="H444"/>
      <c r="I444"/>
      <c r="J444"/>
      <c r="K444"/>
      <c r="L444"/>
    </row>
    <row r="445" spans="1:12" x14ac:dyDescent="0.25">
      <c r="A445"/>
      <c r="B445"/>
      <c r="C445"/>
      <c r="D445"/>
      <c r="E445"/>
      <c r="F445"/>
      <c r="G445"/>
      <c r="H445"/>
      <c r="I445"/>
      <c r="J445"/>
      <c r="K445"/>
      <c r="L445"/>
    </row>
    <row r="446" spans="1:12" x14ac:dyDescent="0.25">
      <c r="A446"/>
      <c r="B446"/>
      <c r="C446"/>
      <c r="D446"/>
      <c r="E446"/>
      <c r="F446"/>
      <c r="G446"/>
      <c r="H446"/>
      <c r="I446"/>
      <c r="J446"/>
      <c r="K446"/>
      <c r="L446"/>
    </row>
    <row r="447" spans="1:12" x14ac:dyDescent="0.25">
      <c r="A447"/>
      <c r="B447"/>
      <c r="C447"/>
      <c r="D447"/>
      <c r="E447"/>
      <c r="F447"/>
      <c r="G447"/>
      <c r="H447"/>
      <c r="I447"/>
      <c r="J447"/>
      <c r="K447"/>
      <c r="L447"/>
    </row>
    <row r="448" spans="1:12" x14ac:dyDescent="0.25">
      <c r="A448"/>
      <c r="B448"/>
      <c r="C448"/>
      <c r="D448"/>
      <c r="E448"/>
      <c r="F448"/>
      <c r="G448"/>
      <c r="H448"/>
      <c r="I448"/>
      <c r="J448"/>
      <c r="K448"/>
      <c r="L448"/>
    </row>
    <row r="449" spans="1:12" x14ac:dyDescent="0.25">
      <c r="A449"/>
      <c r="B449"/>
      <c r="C449"/>
      <c r="D449"/>
      <c r="E449"/>
      <c r="F449"/>
      <c r="G449"/>
      <c r="H449"/>
      <c r="I449"/>
      <c r="J449"/>
      <c r="K449"/>
      <c r="L449"/>
    </row>
    <row r="450" spans="1:12" x14ac:dyDescent="0.25">
      <c r="A450"/>
      <c r="B450"/>
      <c r="C450"/>
      <c r="D450"/>
      <c r="E450"/>
      <c r="F450"/>
      <c r="G450"/>
      <c r="H450"/>
      <c r="I450"/>
      <c r="J450"/>
      <c r="K450"/>
      <c r="L450"/>
    </row>
    <row r="451" spans="1:12" x14ac:dyDescent="0.25">
      <c r="A451"/>
      <c r="B451"/>
      <c r="C451"/>
      <c r="D451"/>
      <c r="E451"/>
      <c r="F451"/>
      <c r="G451"/>
      <c r="H451"/>
      <c r="I451"/>
      <c r="J451"/>
      <c r="K451"/>
      <c r="L451"/>
    </row>
    <row r="452" spans="1:12" x14ac:dyDescent="0.25">
      <c r="A452"/>
      <c r="B452"/>
      <c r="C452"/>
      <c r="D452"/>
      <c r="E452"/>
      <c r="F452"/>
      <c r="G452"/>
      <c r="H452"/>
      <c r="I452"/>
      <c r="J452"/>
      <c r="K452"/>
      <c r="L452"/>
    </row>
    <row r="453" spans="1:12" x14ac:dyDescent="0.25">
      <c r="A453"/>
      <c r="B453"/>
      <c r="C453"/>
      <c r="D453"/>
      <c r="E453"/>
      <c r="F453"/>
      <c r="G453"/>
      <c r="H453"/>
      <c r="I453"/>
      <c r="J453"/>
      <c r="K453"/>
      <c r="L453"/>
    </row>
    <row r="454" spans="1:12" x14ac:dyDescent="0.25">
      <c r="A454"/>
      <c r="B454"/>
      <c r="C454"/>
      <c r="D454"/>
      <c r="E454"/>
      <c r="F454"/>
      <c r="G454"/>
      <c r="H454"/>
      <c r="I454"/>
      <c r="J454"/>
      <c r="K454"/>
      <c r="L454"/>
    </row>
    <row r="455" spans="1:12" x14ac:dyDescent="0.25">
      <c r="A455"/>
      <c r="B455"/>
      <c r="C455"/>
      <c r="D455"/>
      <c r="E455"/>
      <c r="F455"/>
      <c r="G455"/>
      <c r="H455"/>
      <c r="I455"/>
      <c r="J455"/>
      <c r="K455"/>
      <c r="L455"/>
    </row>
    <row r="456" spans="1:12" x14ac:dyDescent="0.25">
      <c r="A456"/>
      <c r="B456"/>
      <c r="C456"/>
      <c r="D456"/>
      <c r="E456"/>
      <c r="F456"/>
      <c r="G456"/>
      <c r="H456"/>
      <c r="I456"/>
      <c r="J456"/>
      <c r="K456"/>
      <c r="L456"/>
    </row>
    <row r="457" spans="1:12" x14ac:dyDescent="0.25">
      <c r="A457"/>
      <c r="B457"/>
      <c r="C457"/>
      <c r="D457"/>
      <c r="E457"/>
      <c r="F457"/>
      <c r="G457"/>
      <c r="H457"/>
      <c r="I457"/>
      <c r="J457"/>
      <c r="K457"/>
      <c r="L457"/>
    </row>
    <row r="458" spans="1:12" x14ac:dyDescent="0.25">
      <c r="A458"/>
      <c r="B458"/>
      <c r="C458"/>
      <c r="D458"/>
      <c r="E458"/>
      <c r="F458"/>
      <c r="G458"/>
      <c r="H458"/>
      <c r="I458"/>
      <c r="J458"/>
      <c r="K458"/>
      <c r="L458"/>
    </row>
    <row r="459" spans="1:12" x14ac:dyDescent="0.25">
      <c r="A459"/>
      <c r="B459"/>
      <c r="C459"/>
      <c r="D459"/>
      <c r="E459"/>
      <c r="F459"/>
      <c r="G459"/>
      <c r="H459"/>
      <c r="I459"/>
      <c r="J459"/>
      <c r="K459"/>
      <c r="L459"/>
    </row>
    <row r="460" spans="1:12" x14ac:dyDescent="0.25">
      <c r="A460"/>
      <c r="B460"/>
      <c r="C460"/>
      <c r="D460"/>
      <c r="E460"/>
      <c r="F460"/>
      <c r="G460"/>
      <c r="H460"/>
      <c r="I460"/>
      <c r="J460"/>
      <c r="K460"/>
      <c r="L460"/>
    </row>
    <row r="461" spans="1:12" x14ac:dyDescent="0.25">
      <c r="A461"/>
      <c r="B461"/>
      <c r="C461"/>
      <c r="D461"/>
      <c r="E461"/>
      <c r="F461"/>
      <c r="G461"/>
      <c r="H461"/>
      <c r="I461"/>
      <c r="J461"/>
      <c r="K461"/>
      <c r="L461"/>
    </row>
    <row r="462" spans="1:12" x14ac:dyDescent="0.25">
      <c r="A462"/>
      <c r="B462"/>
      <c r="C462"/>
      <c r="D462"/>
      <c r="E462"/>
      <c r="F462"/>
      <c r="G462"/>
      <c r="H462"/>
      <c r="I462"/>
      <c r="J462"/>
      <c r="K462"/>
      <c r="L462"/>
    </row>
    <row r="463" spans="1:12" x14ac:dyDescent="0.25">
      <c r="A463"/>
      <c r="B463"/>
      <c r="C463"/>
      <c r="D463"/>
      <c r="E463"/>
      <c r="F463"/>
      <c r="G463"/>
      <c r="H463"/>
      <c r="I463"/>
      <c r="J463"/>
      <c r="K463"/>
      <c r="L463"/>
    </row>
    <row r="464" spans="1:12" x14ac:dyDescent="0.25">
      <c r="A464"/>
      <c r="B464"/>
      <c r="C464"/>
      <c r="D464"/>
      <c r="E464"/>
      <c r="F464"/>
      <c r="G464"/>
      <c r="H464"/>
      <c r="I464"/>
      <c r="J464"/>
      <c r="K464"/>
      <c r="L464"/>
    </row>
    <row r="465" spans="1:12" x14ac:dyDescent="0.25">
      <c r="A465"/>
      <c r="B465"/>
      <c r="C465"/>
      <c r="D465"/>
      <c r="E465"/>
      <c r="F465"/>
      <c r="G465"/>
      <c r="H465"/>
      <c r="I465"/>
      <c r="J465"/>
      <c r="K465"/>
      <c r="L465"/>
    </row>
    <row r="466" spans="1:12" x14ac:dyDescent="0.25">
      <c r="A466"/>
      <c r="B466"/>
      <c r="C466"/>
      <c r="D466"/>
      <c r="E466"/>
      <c r="F466"/>
      <c r="G466"/>
      <c r="H466"/>
      <c r="I466"/>
      <c r="J466"/>
      <c r="K466"/>
      <c r="L466"/>
    </row>
    <row r="467" spans="1:12" x14ac:dyDescent="0.25">
      <c r="A467"/>
      <c r="B467"/>
      <c r="C467"/>
      <c r="D467"/>
      <c r="E467"/>
      <c r="F467"/>
      <c r="G467"/>
      <c r="H467"/>
      <c r="I467"/>
      <c r="J467"/>
      <c r="K467"/>
      <c r="L467"/>
    </row>
    <row r="468" spans="1:12" x14ac:dyDescent="0.25">
      <c r="A468"/>
      <c r="B468"/>
      <c r="C468"/>
      <c r="D468"/>
      <c r="E468"/>
      <c r="F468"/>
      <c r="G468"/>
      <c r="H468"/>
      <c r="I468"/>
      <c r="J468"/>
      <c r="K468"/>
      <c r="L468"/>
    </row>
    <row r="469" spans="1:12" x14ac:dyDescent="0.25">
      <c r="A469"/>
      <c r="B469"/>
      <c r="C469"/>
      <c r="D469"/>
      <c r="E469"/>
      <c r="F469"/>
      <c r="G469"/>
      <c r="H469"/>
      <c r="I469"/>
      <c r="J469"/>
      <c r="K469"/>
      <c r="L469"/>
    </row>
    <row r="470" spans="1:12" x14ac:dyDescent="0.25">
      <c r="A470"/>
      <c r="B470"/>
      <c r="C470"/>
      <c r="D470"/>
      <c r="E470"/>
      <c r="F470"/>
      <c r="G470"/>
      <c r="H470"/>
      <c r="I470"/>
      <c r="J470"/>
      <c r="K470"/>
      <c r="L470"/>
    </row>
    <row r="471" spans="1:12" x14ac:dyDescent="0.25">
      <c r="A471"/>
      <c r="B471"/>
      <c r="C471"/>
      <c r="D471"/>
      <c r="E471"/>
      <c r="F471"/>
      <c r="G471"/>
      <c r="H471"/>
      <c r="I471"/>
      <c r="J471"/>
      <c r="K471"/>
      <c r="L471"/>
    </row>
    <row r="472" spans="1:12" x14ac:dyDescent="0.25">
      <c r="A472"/>
      <c r="B472"/>
      <c r="C472"/>
      <c r="D472"/>
      <c r="E472"/>
      <c r="F472"/>
      <c r="G472"/>
      <c r="H472"/>
      <c r="I472"/>
      <c r="J472"/>
      <c r="K472"/>
      <c r="L472"/>
    </row>
    <row r="473" spans="1:12" x14ac:dyDescent="0.25">
      <c r="A473"/>
      <c r="B473"/>
      <c r="C473"/>
      <c r="D473"/>
      <c r="E473"/>
      <c r="F473"/>
      <c r="G473"/>
      <c r="H473"/>
      <c r="I473"/>
      <c r="J473"/>
      <c r="K473"/>
      <c r="L473"/>
    </row>
    <row r="474" spans="1:12" x14ac:dyDescent="0.25">
      <c r="A474"/>
      <c r="B474"/>
      <c r="C474"/>
      <c r="D474"/>
      <c r="E474"/>
      <c r="F474"/>
      <c r="G474"/>
      <c r="H474"/>
      <c r="I474"/>
      <c r="J474"/>
      <c r="K474"/>
      <c r="L474"/>
    </row>
    <row r="475" spans="1:12" x14ac:dyDescent="0.25">
      <c r="A475"/>
      <c r="B475"/>
      <c r="C475"/>
      <c r="D475"/>
      <c r="E475"/>
      <c r="F475"/>
      <c r="G475"/>
      <c r="H475"/>
      <c r="I475"/>
      <c r="J475"/>
      <c r="K475"/>
      <c r="L475"/>
    </row>
    <row r="476" spans="1:12" x14ac:dyDescent="0.25">
      <c r="A476"/>
      <c r="B476"/>
      <c r="C476"/>
      <c r="D476"/>
      <c r="E476"/>
      <c r="F476"/>
      <c r="G476"/>
      <c r="H476"/>
      <c r="I476"/>
      <c r="J476"/>
      <c r="K476"/>
      <c r="L476"/>
    </row>
    <row r="477" spans="1:12" x14ac:dyDescent="0.25">
      <c r="A477"/>
      <c r="B477"/>
      <c r="C477"/>
      <c r="D477"/>
      <c r="E477"/>
      <c r="F477"/>
      <c r="G477"/>
      <c r="H477"/>
      <c r="I477"/>
      <c r="J477"/>
      <c r="K477"/>
      <c r="L477"/>
    </row>
    <row r="478" spans="1:12" x14ac:dyDescent="0.25">
      <c r="A478"/>
      <c r="B478"/>
      <c r="C478"/>
      <c r="D478"/>
      <c r="E478"/>
      <c r="F478"/>
      <c r="G478"/>
      <c r="H478"/>
      <c r="I478"/>
      <c r="J478"/>
      <c r="K478"/>
      <c r="L478"/>
    </row>
    <row r="479" spans="1:12" x14ac:dyDescent="0.25">
      <c r="A479"/>
      <c r="B479"/>
      <c r="C479"/>
      <c r="D479"/>
      <c r="E479"/>
      <c r="F479"/>
      <c r="G479"/>
      <c r="H479"/>
      <c r="I479"/>
      <c r="J479"/>
      <c r="K479"/>
      <c r="L479"/>
    </row>
    <row r="480" spans="1:12" x14ac:dyDescent="0.25">
      <c r="A480"/>
      <c r="B480"/>
      <c r="C480"/>
      <c r="D480"/>
      <c r="E480"/>
      <c r="F480"/>
      <c r="G480"/>
      <c r="H480"/>
      <c r="I480"/>
      <c r="J480"/>
      <c r="K480"/>
      <c r="L480"/>
    </row>
    <row r="481" spans="1:12" x14ac:dyDescent="0.25">
      <c r="A481"/>
      <c r="B481"/>
      <c r="C481"/>
      <c r="D481"/>
      <c r="E481"/>
      <c r="F481"/>
      <c r="G481"/>
      <c r="H481"/>
      <c r="I481"/>
      <c r="J481"/>
      <c r="K481"/>
      <c r="L481"/>
    </row>
    <row r="482" spans="1:12" x14ac:dyDescent="0.25">
      <c r="A482"/>
      <c r="B482"/>
      <c r="C482"/>
      <c r="D482"/>
      <c r="E482"/>
      <c r="F482"/>
      <c r="G482"/>
      <c r="H482"/>
      <c r="I482"/>
      <c r="J482"/>
      <c r="K482"/>
      <c r="L482"/>
    </row>
    <row r="483" spans="1:12" x14ac:dyDescent="0.25">
      <c r="A483"/>
      <c r="B483"/>
      <c r="C483"/>
      <c r="D483"/>
      <c r="E483"/>
      <c r="F483"/>
      <c r="G483"/>
      <c r="H483"/>
      <c r="I483"/>
      <c r="J483"/>
      <c r="K483"/>
      <c r="L483"/>
    </row>
    <row r="484" spans="1:12" x14ac:dyDescent="0.25">
      <c r="A484"/>
      <c r="B484"/>
      <c r="C484"/>
      <c r="D484"/>
      <c r="E484"/>
      <c r="F484"/>
      <c r="G484"/>
      <c r="H484"/>
      <c r="I484"/>
      <c r="J484"/>
      <c r="K484"/>
      <c r="L484"/>
    </row>
  </sheetData>
  <pageMargins left="0.7" right="0.7" top="0.75" bottom="0.75" header="0.3" footer="0.3"/>
  <pageSetup paperSize="9" scale="66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1AAC-EF32-48E9-A477-84255840D4B4}">
  <dimension ref="A1:G165"/>
  <sheetViews>
    <sheetView topLeftCell="A9" workbookViewId="0">
      <selection activeCell="J121" sqref="J121"/>
    </sheetView>
  </sheetViews>
  <sheetFormatPr defaultColWidth="9" defaultRowHeight="12" outlineLevelRow="3" x14ac:dyDescent="0.2"/>
  <cols>
    <col min="1" max="1" width="7.7109375" style="399" customWidth="1"/>
    <col min="2" max="2" width="14.7109375" style="399" customWidth="1"/>
    <col min="3" max="3" width="16.28515625" style="399" customWidth="1"/>
    <col min="4" max="4" width="10" style="399" customWidth="1"/>
    <col min="5" max="5" width="8.85546875" style="399" customWidth="1"/>
    <col min="6" max="6" width="1.140625" style="399" customWidth="1"/>
    <col min="7" max="7" width="12.5703125" style="399" customWidth="1"/>
    <col min="8" max="16384" width="9" style="401"/>
  </cols>
  <sheetData>
    <row r="1" spans="1:7" s="399" customFormat="1" ht="12" customHeight="1" x14ac:dyDescent="0.2"/>
    <row r="2" spans="1:7" ht="12" customHeight="1" x14ac:dyDescent="0.2">
      <c r="A2" s="400" t="s">
        <v>3014</v>
      </c>
      <c r="B2" s="400"/>
      <c r="C2" s="400"/>
      <c r="D2" s="400"/>
      <c r="E2" s="400"/>
      <c r="F2" s="400"/>
      <c r="G2" s="400"/>
    </row>
    <row r="3" spans="1:7" s="399" customFormat="1" ht="12" customHeight="1" x14ac:dyDescent="0.2"/>
    <row r="4" spans="1:7" ht="12" customHeight="1" outlineLevel="1" x14ac:dyDescent="0.2">
      <c r="A4" s="402" t="s">
        <v>3015</v>
      </c>
      <c r="B4" s="530" t="s">
        <v>3016</v>
      </c>
      <c r="C4" s="531"/>
      <c r="D4" s="531"/>
      <c r="E4" s="531"/>
      <c r="F4" s="530"/>
      <c r="G4" s="530"/>
    </row>
    <row r="5" spans="1:7" s="399" customFormat="1" ht="12" customHeight="1" x14ac:dyDescent="0.2"/>
    <row r="6" spans="1:7" ht="12" customHeight="1" x14ac:dyDescent="0.2">
      <c r="A6" s="532" t="s">
        <v>2415</v>
      </c>
      <c r="B6" s="532"/>
      <c r="C6" s="532"/>
      <c r="D6" s="533" t="s">
        <v>3017</v>
      </c>
      <c r="E6" s="533" t="s">
        <v>13</v>
      </c>
      <c r="F6" s="533"/>
    </row>
    <row r="7" spans="1:7" ht="12" customHeight="1" x14ac:dyDescent="0.2">
      <c r="A7" s="532" t="s">
        <v>3018</v>
      </c>
      <c r="B7" s="532"/>
      <c r="C7" s="532"/>
      <c r="D7" s="534"/>
      <c r="E7" s="536"/>
      <c r="F7" s="537"/>
    </row>
    <row r="8" spans="1:7" ht="12" customHeight="1" x14ac:dyDescent="0.2">
      <c r="A8" s="532" t="s">
        <v>83</v>
      </c>
      <c r="B8" s="532"/>
      <c r="C8" s="532"/>
      <c r="D8" s="534"/>
      <c r="E8" s="536"/>
      <c r="F8" s="537"/>
    </row>
    <row r="9" spans="1:7" ht="12" customHeight="1" x14ac:dyDescent="0.2">
      <c r="A9" s="532" t="s">
        <v>173</v>
      </c>
      <c r="B9" s="532"/>
      <c r="C9" s="532"/>
      <c r="D9" s="535"/>
      <c r="E9" s="538"/>
      <c r="F9" s="539"/>
    </row>
    <row r="10" spans="1:7" ht="12" customHeight="1" x14ac:dyDescent="0.2">
      <c r="A10" s="542" t="s">
        <v>3019</v>
      </c>
      <c r="B10" s="542"/>
      <c r="C10" s="542"/>
      <c r="D10" s="403">
        <v>8282.66</v>
      </c>
      <c r="E10" s="543">
        <v>8282.66</v>
      </c>
      <c r="F10" s="543"/>
    </row>
    <row r="11" spans="1:7" ht="12" customHeight="1" outlineLevel="1" collapsed="1" x14ac:dyDescent="0.2">
      <c r="A11" s="544" t="s">
        <v>3020</v>
      </c>
      <c r="B11" s="544"/>
      <c r="C11" s="544"/>
      <c r="D11" s="404">
        <v>5345</v>
      </c>
      <c r="E11" s="545">
        <v>5345</v>
      </c>
      <c r="F11" s="545"/>
    </row>
    <row r="12" spans="1:7" s="399" customFormat="1" ht="12" customHeight="1" outlineLevel="2" x14ac:dyDescent="0.2">
      <c r="A12" s="546" t="s">
        <v>3021</v>
      </c>
      <c r="B12" s="546"/>
      <c r="C12" s="546"/>
      <c r="D12" s="405">
        <v>237</v>
      </c>
      <c r="E12" s="547">
        <v>237</v>
      </c>
      <c r="F12" s="547"/>
    </row>
    <row r="13" spans="1:7" s="399" customFormat="1" ht="12" hidden="1" customHeight="1" outlineLevel="3" x14ac:dyDescent="0.2">
      <c r="A13" s="540" t="s">
        <v>3022</v>
      </c>
      <c r="B13" s="540"/>
      <c r="C13" s="540"/>
      <c r="D13" s="406">
        <v>5</v>
      </c>
      <c r="E13" s="541">
        <v>5</v>
      </c>
      <c r="F13" s="541"/>
    </row>
    <row r="14" spans="1:7" s="399" customFormat="1" ht="12" hidden="1" customHeight="1" outlineLevel="3" x14ac:dyDescent="0.2">
      <c r="A14" s="540" t="s">
        <v>3023</v>
      </c>
      <c r="B14" s="540"/>
      <c r="C14" s="540"/>
      <c r="D14" s="406">
        <v>35</v>
      </c>
      <c r="E14" s="541">
        <v>35</v>
      </c>
      <c r="F14" s="541"/>
    </row>
    <row r="15" spans="1:7" s="399" customFormat="1" ht="12" hidden="1" customHeight="1" outlineLevel="3" x14ac:dyDescent="0.2">
      <c r="A15" s="540" t="s">
        <v>3024</v>
      </c>
      <c r="B15" s="540"/>
      <c r="C15" s="540"/>
      <c r="D15" s="406">
        <v>9</v>
      </c>
      <c r="E15" s="541">
        <v>9</v>
      </c>
      <c r="F15" s="541"/>
    </row>
    <row r="16" spans="1:7" s="399" customFormat="1" ht="12" hidden="1" customHeight="1" outlineLevel="3" x14ac:dyDescent="0.2">
      <c r="A16" s="540" t="s">
        <v>3025</v>
      </c>
      <c r="B16" s="540"/>
      <c r="C16" s="540"/>
      <c r="D16" s="406">
        <v>18</v>
      </c>
      <c r="E16" s="541">
        <v>18</v>
      </c>
      <c r="F16" s="541"/>
    </row>
    <row r="17" spans="1:6" s="399" customFormat="1" ht="12" hidden="1" customHeight="1" outlineLevel="3" x14ac:dyDescent="0.2">
      <c r="A17" s="540" t="s">
        <v>3026</v>
      </c>
      <c r="B17" s="540"/>
      <c r="C17" s="540"/>
      <c r="D17" s="406">
        <v>17</v>
      </c>
      <c r="E17" s="541">
        <v>17</v>
      </c>
      <c r="F17" s="541"/>
    </row>
    <row r="18" spans="1:6" s="399" customFormat="1" ht="12" hidden="1" customHeight="1" outlineLevel="3" x14ac:dyDescent="0.2">
      <c r="A18" s="540" t="s">
        <v>3027</v>
      </c>
      <c r="B18" s="540"/>
      <c r="C18" s="540"/>
      <c r="D18" s="406">
        <v>7</v>
      </c>
      <c r="E18" s="541">
        <v>7</v>
      </c>
      <c r="F18" s="541"/>
    </row>
    <row r="19" spans="1:6" s="399" customFormat="1" ht="12" hidden="1" customHeight="1" outlineLevel="3" x14ac:dyDescent="0.2">
      <c r="A19" s="540" t="s">
        <v>3028</v>
      </c>
      <c r="B19" s="540"/>
      <c r="C19" s="540"/>
      <c r="D19" s="406">
        <v>77</v>
      </c>
      <c r="E19" s="541">
        <v>77</v>
      </c>
      <c r="F19" s="541"/>
    </row>
    <row r="20" spans="1:6" s="399" customFormat="1" ht="12" hidden="1" customHeight="1" outlineLevel="3" collapsed="1" x14ac:dyDescent="0.2">
      <c r="A20" s="540" t="s">
        <v>3029</v>
      </c>
      <c r="B20" s="540"/>
      <c r="C20" s="540"/>
      <c r="D20" s="406">
        <v>69</v>
      </c>
      <c r="E20" s="541">
        <v>69</v>
      </c>
      <c r="F20" s="541"/>
    </row>
    <row r="21" spans="1:6" s="399" customFormat="1" ht="12" customHeight="1" outlineLevel="2" collapsed="1" x14ac:dyDescent="0.2">
      <c r="A21" s="546" t="s">
        <v>3030</v>
      </c>
      <c r="B21" s="546"/>
      <c r="C21" s="546"/>
      <c r="D21" s="405">
        <v>910</v>
      </c>
      <c r="E21" s="547">
        <v>910</v>
      </c>
      <c r="F21" s="547"/>
    </row>
    <row r="22" spans="1:6" s="399" customFormat="1" ht="12" hidden="1" customHeight="1" outlineLevel="3" x14ac:dyDescent="0.2">
      <c r="A22" s="540" t="s">
        <v>3031</v>
      </c>
      <c r="B22" s="540"/>
      <c r="C22" s="540"/>
      <c r="D22" s="406">
        <v>99</v>
      </c>
      <c r="E22" s="541">
        <v>99</v>
      </c>
      <c r="F22" s="541"/>
    </row>
    <row r="23" spans="1:6" s="399" customFormat="1" ht="12" hidden="1" customHeight="1" outlineLevel="3" x14ac:dyDescent="0.2">
      <c r="A23" s="540" t="s">
        <v>3032</v>
      </c>
      <c r="B23" s="540"/>
      <c r="C23" s="540"/>
      <c r="D23" s="406">
        <v>56</v>
      </c>
      <c r="E23" s="541">
        <v>56</v>
      </c>
      <c r="F23" s="541"/>
    </row>
    <row r="24" spans="1:6" s="399" customFormat="1" ht="12" hidden="1" customHeight="1" outlineLevel="3" x14ac:dyDescent="0.2">
      <c r="A24" s="540" t="s">
        <v>3033</v>
      </c>
      <c r="B24" s="540"/>
      <c r="C24" s="540"/>
      <c r="D24" s="406">
        <v>55</v>
      </c>
      <c r="E24" s="541">
        <v>55</v>
      </c>
      <c r="F24" s="541"/>
    </row>
    <row r="25" spans="1:6" s="399" customFormat="1" ht="12" hidden="1" customHeight="1" outlineLevel="3" x14ac:dyDescent="0.2">
      <c r="A25" s="540" t="s">
        <v>2846</v>
      </c>
      <c r="B25" s="540"/>
      <c r="C25" s="540"/>
      <c r="D25" s="406">
        <v>73</v>
      </c>
      <c r="E25" s="541">
        <v>73</v>
      </c>
      <c r="F25" s="541"/>
    </row>
    <row r="26" spans="1:6" s="399" customFormat="1" ht="12" hidden="1" customHeight="1" outlineLevel="3" x14ac:dyDescent="0.2">
      <c r="A26" s="540" t="s">
        <v>1924</v>
      </c>
      <c r="B26" s="540"/>
      <c r="C26" s="540"/>
      <c r="D26" s="406">
        <v>198</v>
      </c>
      <c r="E26" s="541">
        <v>198</v>
      </c>
      <c r="F26" s="541"/>
    </row>
    <row r="27" spans="1:6" s="399" customFormat="1" ht="12" hidden="1" customHeight="1" outlineLevel="3" x14ac:dyDescent="0.2">
      <c r="A27" s="540" t="s">
        <v>1754</v>
      </c>
      <c r="B27" s="540"/>
      <c r="C27" s="540"/>
      <c r="D27" s="406">
        <v>108</v>
      </c>
      <c r="E27" s="541">
        <v>108</v>
      </c>
      <c r="F27" s="541"/>
    </row>
    <row r="28" spans="1:6" s="399" customFormat="1" ht="12" hidden="1" customHeight="1" outlineLevel="3" x14ac:dyDescent="0.2">
      <c r="A28" s="540" t="s">
        <v>3034</v>
      </c>
      <c r="B28" s="540"/>
      <c r="C28" s="540"/>
      <c r="D28" s="406">
        <v>98</v>
      </c>
      <c r="E28" s="541">
        <v>98</v>
      </c>
      <c r="F28" s="541"/>
    </row>
    <row r="29" spans="1:6" s="399" customFormat="1" ht="12" hidden="1" customHeight="1" outlineLevel="3" x14ac:dyDescent="0.2">
      <c r="A29" s="540" t="s">
        <v>3035</v>
      </c>
      <c r="B29" s="540"/>
      <c r="C29" s="540"/>
      <c r="D29" s="406">
        <v>80</v>
      </c>
      <c r="E29" s="541">
        <v>80</v>
      </c>
      <c r="F29" s="541"/>
    </row>
    <row r="30" spans="1:6" s="399" customFormat="1" ht="12" hidden="1" customHeight="1" outlineLevel="3" x14ac:dyDescent="0.2">
      <c r="A30" s="540" t="s">
        <v>3036</v>
      </c>
      <c r="B30" s="540"/>
      <c r="C30" s="540"/>
      <c r="D30" s="406">
        <v>51</v>
      </c>
      <c r="E30" s="541">
        <v>51</v>
      </c>
      <c r="F30" s="541"/>
    </row>
    <row r="31" spans="1:6" s="399" customFormat="1" ht="12" hidden="1" customHeight="1" outlineLevel="3" collapsed="1" x14ac:dyDescent="0.2">
      <c r="A31" s="540" t="s">
        <v>2836</v>
      </c>
      <c r="B31" s="540"/>
      <c r="C31" s="540"/>
      <c r="D31" s="406">
        <v>92</v>
      </c>
      <c r="E31" s="541">
        <v>92</v>
      </c>
      <c r="F31" s="541"/>
    </row>
    <row r="32" spans="1:6" s="399" customFormat="1" ht="12" customHeight="1" outlineLevel="2" collapsed="1" x14ac:dyDescent="0.2">
      <c r="A32" s="546" t="s">
        <v>3037</v>
      </c>
      <c r="B32" s="546"/>
      <c r="C32" s="546"/>
      <c r="D32" s="405">
        <v>149</v>
      </c>
      <c r="E32" s="547">
        <v>149</v>
      </c>
      <c r="F32" s="547"/>
    </row>
    <row r="33" spans="1:6" s="399" customFormat="1" ht="12" hidden="1" customHeight="1" outlineLevel="3" x14ac:dyDescent="0.2">
      <c r="A33" s="540" t="s">
        <v>3038</v>
      </c>
      <c r="B33" s="540"/>
      <c r="C33" s="540"/>
      <c r="D33" s="406">
        <v>58</v>
      </c>
      <c r="E33" s="541">
        <v>58</v>
      </c>
      <c r="F33" s="541"/>
    </row>
    <row r="34" spans="1:6" s="399" customFormat="1" ht="12" hidden="1" customHeight="1" outlineLevel="3" x14ac:dyDescent="0.2">
      <c r="A34" s="540" t="s">
        <v>3039</v>
      </c>
      <c r="B34" s="540"/>
      <c r="C34" s="540"/>
      <c r="D34" s="406">
        <v>46</v>
      </c>
      <c r="E34" s="541">
        <v>46</v>
      </c>
      <c r="F34" s="541"/>
    </row>
    <row r="35" spans="1:6" s="399" customFormat="1" ht="12" hidden="1" customHeight="1" outlineLevel="3" collapsed="1" x14ac:dyDescent="0.2">
      <c r="A35" s="540" t="s">
        <v>3040</v>
      </c>
      <c r="B35" s="540"/>
      <c r="C35" s="540"/>
      <c r="D35" s="406">
        <v>45</v>
      </c>
      <c r="E35" s="541">
        <v>45</v>
      </c>
      <c r="F35" s="541"/>
    </row>
    <row r="36" spans="1:6" s="399" customFormat="1" ht="12" customHeight="1" outlineLevel="2" collapsed="1" x14ac:dyDescent="0.2">
      <c r="A36" s="546" t="s">
        <v>3041</v>
      </c>
      <c r="B36" s="546"/>
      <c r="C36" s="546"/>
      <c r="D36" s="407">
        <v>3798</v>
      </c>
      <c r="E36" s="548">
        <v>3798</v>
      </c>
      <c r="F36" s="548"/>
    </row>
    <row r="37" spans="1:6" s="399" customFormat="1" ht="12" hidden="1" customHeight="1" outlineLevel="3" x14ac:dyDescent="0.2">
      <c r="A37" s="540" t="s">
        <v>3042</v>
      </c>
      <c r="B37" s="540"/>
      <c r="C37" s="540"/>
      <c r="D37" s="406">
        <v>92</v>
      </c>
      <c r="E37" s="541">
        <v>92</v>
      </c>
      <c r="F37" s="541"/>
    </row>
    <row r="38" spans="1:6" s="399" customFormat="1" ht="12" hidden="1" customHeight="1" outlineLevel="3" x14ac:dyDescent="0.2">
      <c r="A38" s="540" t="s">
        <v>3043</v>
      </c>
      <c r="B38" s="540"/>
      <c r="C38" s="540"/>
      <c r="D38" s="406">
        <v>32</v>
      </c>
      <c r="E38" s="541">
        <v>32</v>
      </c>
      <c r="F38" s="541"/>
    </row>
    <row r="39" spans="1:6" s="399" customFormat="1" ht="12" hidden="1" customHeight="1" outlineLevel="3" x14ac:dyDescent="0.2">
      <c r="A39" s="540" t="s">
        <v>3044</v>
      </c>
      <c r="B39" s="540"/>
      <c r="C39" s="540"/>
      <c r="D39" s="406">
        <v>25</v>
      </c>
      <c r="E39" s="541">
        <v>25</v>
      </c>
      <c r="F39" s="541"/>
    </row>
    <row r="40" spans="1:6" s="399" customFormat="1" ht="12" hidden="1" customHeight="1" outlineLevel="3" x14ac:dyDescent="0.2">
      <c r="A40" s="540" t="s">
        <v>3045</v>
      </c>
      <c r="B40" s="540"/>
      <c r="C40" s="540"/>
      <c r="D40" s="406">
        <v>14</v>
      </c>
      <c r="E40" s="541">
        <v>14</v>
      </c>
      <c r="F40" s="541"/>
    </row>
    <row r="41" spans="1:6" s="399" customFormat="1" ht="12" hidden="1" customHeight="1" outlineLevel="3" x14ac:dyDescent="0.2">
      <c r="A41" s="540" t="s">
        <v>3046</v>
      </c>
      <c r="B41" s="540"/>
      <c r="C41" s="540"/>
      <c r="D41" s="406">
        <v>47</v>
      </c>
      <c r="E41" s="541">
        <v>47</v>
      </c>
      <c r="F41" s="541"/>
    </row>
    <row r="42" spans="1:6" s="399" customFormat="1" ht="12" hidden="1" customHeight="1" outlineLevel="3" x14ac:dyDescent="0.2">
      <c r="A42" s="540" t="s">
        <v>3047</v>
      </c>
      <c r="B42" s="540"/>
      <c r="C42" s="540"/>
      <c r="D42" s="406">
        <v>41</v>
      </c>
      <c r="E42" s="541">
        <v>41</v>
      </c>
      <c r="F42" s="541"/>
    </row>
    <row r="43" spans="1:6" s="399" customFormat="1" ht="12" hidden="1" customHeight="1" outlineLevel="3" x14ac:dyDescent="0.2">
      <c r="A43" s="540" t="s">
        <v>3048</v>
      </c>
      <c r="B43" s="540"/>
      <c r="C43" s="540"/>
      <c r="D43" s="406">
        <v>41</v>
      </c>
      <c r="E43" s="541">
        <v>41</v>
      </c>
      <c r="F43" s="541"/>
    </row>
    <row r="44" spans="1:6" s="399" customFormat="1" ht="12" hidden="1" customHeight="1" outlineLevel="3" x14ac:dyDescent="0.2">
      <c r="A44" s="540" t="s">
        <v>3049</v>
      </c>
      <c r="B44" s="540"/>
      <c r="C44" s="540"/>
      <c r="D44" s="406">
        <v>55</v>
      </c>
      <c r="E44" s="541">
        <v>55</v>
      </c>
      <c r="F44" s="541"/>
    </row>
    <row r="45" spans="1:6" s="399" customFormat="1" ht="12" hidden="1" customHeight="1" outlineLevel="3" x14ac:dyDescent="0.2">
      <c r="A45" s="540" t="s">
        <v>3050</v>
      </c>
      <c r="B45" s="540"/>
      <c r="C45" s="540"/>
      <c r="D45" s="406">
        <v>55</v>
      </c>
      <c r="E45" s="541">
        <v>55</v>
      </c>
      <c r="F45" s="541"/>
    </row>
    <row r="46" spans="1:6" s="399" customFormat="1" ht="12" hidden="1" customHeight="1" outlineLevel="3" x14ac:dyDescent="0.2">
      <c r="A46" s="540" t="s">
        <v>3051</v>
      </c>
      <c r="B46" s="540"/>
      <c r="C46" s="540"/>
      <c r="D46" s="406">
        <v>36</v>
      </c>
      <c r="E46" s="541">
        <v>36</v>
      </c>
      <c r="F46" s="541"/>
    </row>
    <row r="47" spans="1:6" s="399" customFormat="1" ht="12" hidden="1" customHeight="1" outlineLevel="3" x14ac:dyDescent="0.2">
      <c r="A47" s="540" t="s">
        <v>3052</v>
      </c>
      <c r="B47" s="540"/>
      <c r="C47" s="540"/>
      <c r="D47" s="406">
        <v>15</v>
      </c>
      <c r="E47" s="541">
        <v>15</v>
      </c>
      <c r="F47" s="541"/>
    </row>
    <row r="48" spans="1:6" s="399" customFormat="1" ht="12" hidden="1" customHeight="1" outlineLevel="3" x14ac:dyDescent="0.2">
      <c r="A48" s="540" t="s">
        <v>3053</v>
      </c>
      <c r="B48" s="540"/>
      <c r="C48" s="540"/>
      <c r="D48" s="406">
        <v>59</v>
      </c>
      <c r="E48" s="541">
        <v>59</v>
      </c>
      <c r="F48" s="541"/>
    </row>
    <row r="49" spans="1:6" s="399" customFormat="1" ht="12" hidden="1" customHeight="1" outlineLevel="3" x14ac:dyDescent="0.2">
      <c r="A49" s="540" t="s">
        <v>3054</v>
      </c>
      <c r="B49" s="540"/>
      <c r="C49" s="540"/>
      <c r="D49" s="406">
        <v>54</v>
      </c>
      <c r="E49" s="541">
        <v>54</v>
      </c>
      <c r="F49" s="541"/>
    </row>
    <row r="50" spans="1:6" s="399" customFormat="1" ht="12" hidden="1" customHeight="1" outlineLevel="3" x14ac:dyDescent="0.2">
      <c r="A50" s="540" t="s">
        <v>3055</v>
      </c>
      <c r="B50" s="540"/>
      <c r="C50" s="540"/>
      <c r="D50" s="406">
        <v>78</v>
      </c>
      <c r="E50" s="541">
        <v>78</v>
      </c>
      <c r="F50" s="541"/>
    </row>
    <row r="51" spans="1:6" s="399" customFormat="1" ht="12" hidden="1" customHeight="1" outlineLevel="3" x14ac:dyDescent="0.2">
      <c r="A51" s="540" t="s">
        <v>3056</v>
      </c>
      <c r="B51" s="540"/>
      <c r="C51" s="540"/>
      <c r="D51" s="406">
        <v>119</v>
      </c>
      <c r="E51" s="541">
        <v>119</v>
      </c>
      <c r="F51" s="541"/>
    </row>
    <row r="52" spans="1:6" s="399" customFormat="1" ht="12" hidden="1" customHeight="1" outlineLevel="3" x14ac:dyDescent="0.2">
      <c r="A52" s="540" t="s">
        <v>3057</v>
      </c>
      <c r="B52" s="540"/>
      <c r="C52" s="540"/>
      <c r="D52" s="406">
        <v>73</v>
      </c>
      <c r="E52" s="541">
        <v>73</v>
      </c>
      <c r="F52" s="541"/>
    </row>
    <row r="53" spans="1:6" s="399" customFormat="1" ht="12" hidden="1" customHeight="1" outlineLevel="3" x14ac:dyDescent="0.2">
      <c r="A53" s="540" t="s">
        <v>3058</v>
      </c>
      <c r="B53" s="540"/>
      <c r="C53" s="540"/>
      <c r="D53" s="406">
        <v>71</v>
      </c>
      <c r="E53" s="541">
        <v>71</v>
      </c>
      <c r="F53" s="541"/>
    </row>
    <row r="54" spans="1:6" s="399" customFormat="1" ht="12" hidden="1" customHeight="1" outlineLevel="3" x14ac:dyDescent="0.2">
      <c r="A54" s="540" t="s">
        <v>3059</v>
      </c>
      <c r="B54" s="540"/>
      <c r="C54" s="540"/>
      <c r="D54" s="406">
        <v>72</v>
      </c>
      <c r="E54" s="541">
        <v>72</v>
      </c>
      <c r="F54" s="541"/>
    </row>
    <row r="55" spans="1:6" s="399" customFormat="1" ht="12" hidden="1" customHeight="1" outlineLevel="3" x14ac:dyDescent="0.2">
      <c r="A55" s="540" t="s">
        <v>2841</v>
      </c>
      <c r="B55" s="540"/>
      <c r="C55" s="540"/>
      <c r="D55" s="406">
        <v>53</v>
      </c>
      <c r="E55" s="541">
        <v>53</v>
      </c>
      <c r="F55" s="541"/>
    </row>
    <row r="56" spans="1:6" s="399" customFormat="1" ht="12" hidden="1" customHeight="1" outlineLevel="3" x14ac:dyDescent="0.2">
      <c r="A56" s="540" t="s">
        <v>3060</v>
      </c>
      <c r="B56" s="540"/>
      <c r="C56" s="540"/>
      <c r="D56" s="406">
        <v>83</v>
      </c>
      <c r="E56" s="541">
        <v>83</v>
      </c>
      <c r="F56" s="541"/>
    </row>
    <row r="57" spans="1:6" s="399" customFormat="1" ht="12" hidden="1" customHeight="1" outlineLevel="3" x14ac:dyDescent="0.2">
      <c r="A57" s="540" t="s">
        <v>2839</v>
      </c>
      <c r="B57" s="540"/>
      <c r="C57" s="540"/>
      <c r="D57" s="406">
        <v>201</v>
      </c>
      <c r="E57" s="541">
        <v>201</v>
      </c>
      <c r="F57" s="541"/>
    </row>
    <row r="58" spans="1:6" s="399" customFormat="1" ht="12" hidden="1" customHeight="1" outlineLevel="3" x14ac:dyDescent="0.2">
      <c r="A58" s="540" t="s">
        <v>1893</v>
      </c>
      <c r="B58" s="540"/>
      <c r="C58" s="540"/>
      <c r="D58" s="406">
        <v>46</v>
      </c>
      <c r="E58" s="541">
        <v>46</v>
      </c>
      <c r="F58" s="541"/>
    </row>
    <row r="59" spans="1:6" s="399" customFormat="1" ht="12" hidden="1" customHeight="1" outlineLevel="3" x14ac:dyDescent="0.2">
      <c r="A59" s="540" t="s">
        <v>3061</v>
      </c>
      <c r="B59" s="540"/>
      <c r="C59" s="540"/>
      <c r="D59" s="406">
        <v>80</v>
      </c>
      <c r="E59" s="541">
        <v>80</v>
      </c>
      <c r="F59" s="541"/>
    </row>
    <row r="60" spans="1:6" s="399" customFormat="1" ht="12" hidden="1" customHeight="1" outlineLevel="3" x14ac:dyDescent="0.2">
      <c r="A60" s="540" t="s">
        <v>3062</v>
      </c>
      <c r="B60" s="540"/>
      <c r="C60" s="540"/>
      <c r="D60" s="406">
        <v>101</v>
      </c>
      <c r="E60" s="541">
        <v>101</v>
      </c>
      <c r="F60" s="541"/>
    </row>
    <row r="61" spans="1:6" s="399" customFormat="1" ht="12" hidden="1" customHeight="1" outlineLevel="3" x14ac:dyDescent="0.2">
      <c r="A61" s="540" t="s">
        <v>1756</v>
      </c>
      <c r="B61" s="540"/>
      <c r="C61" s="540"/>
      <c r="D61" s="406">
        <v>86</v>
      </c>
      <c r="E61" s="541">
        <v>86</v>
      </c>
      <c r="F61" s="541"/>
    </row>
    <row r="62" spans="1:6" s="399" customFormat="1" ht="12" hidden="1" customHeight="1" outlineLevel="3" x14ac:dyDescent="0.2">
      <c r="A62" s="540" t="s">
        <v>3063</v>
      </c>
      <c r="B62" s="540"/>
      <c r="C62" s="540"/>
      <c r="D62" s="406">
        <v>131</v>
      </c>
      <c r="E62" s="541">
        <v>131</v>
      </c>
      <c r="F62" s="541"/>
    </row>
    <row r="63" spans="1:6" s="399" customFormat="1" ht="12" hidden="1" customHeight="1" outlineLevel="3" x14ac:dyDescent="0.2">
      <c r="A63" s="540" t="s">
        <v>3064</v>
      </c>
      <c r="B63" s="540"/>
      <c r="C63" s="540"/>
      <c r="D63" s="406">
        <v>107</v>
      </c>
      <c r="E63" s="541">
        <v>107</v>
      </c>
      <c r="F63" s="541"/>
    </row>
    <row r="64" spans="1:6" s="399" customFormat="1" ht="12" hidden="1" customHeight="1" outlineLevel="3" x14ac:dyDescent="0.2">
      <c r="A64" s="540" t="s">
        <v>3065</v>
      </c>
      <c r="B64" s="540"/>
      <c r="C64" s="540"/>
      <c r="D64" s="406">
        <v>84</v>
      </c>
      <c r="E64" s="541">
        <v>84</v>
      </c>
      <c r="F64" s="541"/>
    </row>
    <row r="65" spans="1:6" s="399" customFormat="1" ht="12" hidden="1" customHeight="1" outlineLevel="3" x14ac:dyDescent="0.2">
      <c r="A65" s="540" t="s">
        <v>110</v>
      </c>
      <c r="B65" s="540"/>
      <c r="C65" s="540"/>
      <c r="D65" s="406">
        <v>84</v>
      </c>
      <c r="E65" s="541">
        <v>84</v>
      </c>
      <c r="F65" s="541"/>
    </row>
    <row r="66" spans="1:6" s="399" customFormat="1" ht="12" hidden="1" customHeight="1" outlineLevel="3" x14ac:dyDescent="0.2">
      <c r="A66" s="540" t="s">
        <v>2875</v>
      </c>
      <c r="B66" s="540"/>
      <c r="C66" s="540"/>
      <c r="D66" s="406">
        <v>86</v>
      </c>
      <c r="E66" s="541">
        <v>86</v>
      </c>
      <c r="F66" s="541"/>
    </row>
    <row r="67" spans="1:6" s="399" customFormat="1" ht="12" hidden="1" customHeight="1" outlineLevel="3" x14ac:dyDescent="0.2">
      <c r="A67" s="540" t="s">
        <v>3066</v>
      </c>
      <c r="B67" s="540"/>
      <c r="C67" s="540"/>
      <c r="D67" s="406">
        <v>95</v>
      </c>
      <c r="E67" s="541">
        <v>95</v>
      </c>
      <c r="F67" s="541"/>
    </row>
    <row r="68" spans="1:6" s="399" customFormat="1" ht="12" hidden="1" customHeight="1" outlineLevel="3" x14ac:dyDescent="0.2">
      <c r="A68" s="540" t="s">
        <v>2877</v>
      </c>
      <c r="B68" s="540"/>
      <c r="C68" s="540"/>
      <c r="D68" s="406">
        <v>90</v>
      </c>
      <c r="E68" s="541">
        <v>90</v>
      </c>
      <c r="F68" s="541"/>
    </row>
    <row r="69" spans="1:6" s="399" customFormat="1" ht="12" hidden="1" customHeight="1" outlineLevel="3" x14ac:dyDescent="0.2">
      <c r="A69" s="540" t="s">
        <v>3067</v>
      </c>
      <c r="B69" s="540"/>
      <c r="C69" s="540"/>
      <c r="D69" s="406">
        <v>91</v>
      </c>
      <c r="E69" s="541">
        <v>91</v>
      </c>
      <c r="F69" s="541"/>
    </row>
    <row r="70" spans="1:6" s="399" customFormat="1" ht="12" hidden="1" customHeight="1" outlineLevel="3" x14ac:dyDescent="0.2">
      <c r="A70" s="540" t="s">
        <v>3068</v>
      </c>
      <c r="B70" s="540"/>
      <c r="C70" s="540"/>
      <c r="D70" s="406">
        <v>3</v>
      </c>
      <c r="E70" s="541">
        <v>3</v>
      </c>
      <c r="F70" s="541"/>
    </row>
    <row r="71" spans="1:6" s="399" customFormat="1" ht="12" hidden="1" customHeight="1" outlineLevel="3" x14ac:dyDescent="0.2">
      <c r="A71" s="540" t="s">
        <v>3069</v>
      </c>
      <c r="B71" s="540"/>
      <c r="C71" s="540"/>
      <c r="D71" s="406">
        <v>5</v>
      </c>
      <c r="E71" s="541">
        <v>5</v>
      </c>
      <c r="F71" s="541"/>
    </row>
    <row r="72" spans="1:6" s="399" customFormat="1" ht="12" hidden="1" customHeight="1" outlineLevel="3" x14ac:dyDescent="0.2">
      <c r="A72" s="540" t="s">
        <v>3070</v>
      </c>
      <c r="B72" s="540"/>
      <c r="C72" s="540"/>
      <c r="D72" s="406">
        <v>14</v>
      </c>
      <c r="E72" s="541">
        <v>14</v>
      </c>
      <c r="F72" s="541"/>
    </row>
    <row r="73" spans="1:6" s="399" customFormat="1" ht="12" hidden="1" customHeight="1" outlineLevel="3" x14ac:dyDescent="0.2">
      <c r="A73" s="540" t="s">
        <v>2878</v>
      </c>
      <c r="B73" s="540"/>
      <c r="C73" s="540"/>
      <c r="D73" s="406">
        <v>85</v>
      </c>
      <c r="E73" s="541">
        <v>85</v>
      </c>
      <c r="F73" s="541"/>
    </row>
    <row r="74" spans="1:6" s="399" customFormat="1" ht="12" hidden="1" customHeight="1" outlineLevel="3" x14ac:dyDescent="0.2">
      <c r="A74" s="540" t="s">
        <v>3071</v>
      </c>
      <c r="B74" s="540"/>
      <c r="C74" s="540"/>
      <c r="D74" s="406">
        <v>93</v>
      </c>
      <c r="E74" s="541">
        <v>93</v>
      </c>
      <c r="F74" s="541"/>
    </row>
    <row r="75" spans="1:6" s="399" customFormat="1" ht="12" hidden="1" customHeight="1" outlineLevel="3" x14ac:dyDescent="0.2">
      <c r="A75" s="540" t="s">
        <v>3072</v>
      </c>
      <c r="B75" s="540"/>
      <c r="C75" s="540"/>
      <c r="D75" s="406">
        <v>101</v>
      </c>
      <c r="E75" s="541">
        <v>101</v>
      </c>
      <c r="F75" s="541"/>
    </row>
    <row r="76" spans="1:6" s="399" customFormat="1" ht="12" hidden="1" customHeight="1" outlineLevel="3" x14ac:dyDescent="0.2">
      <c r="A76" s="540" t="s">
        <v>3073</v>
      </c>
      <c r="B76" s="540"/>
      <c r="C76" s="540"/>
      <c r="D76" s="406">
        <v>96</v>
      </c>
      <c r="E76" s="541">
        <v>96</v>
      </c>
      <c r="F76" s="541"/>
    </row>
    <row r="77" spans="1:6" s="399" customFormat="1" ht="12" hidden="1" customHeight="1" outlineLevel="3" x14ac:dyDescent="0.2">
      <c r="A77" s="540" t="s">
        <v>3074</v>
      </c>
      <c r="B77" s="540"/>
      <c r="C77" s="540"/>
      <c r="D77" s="406">
        <v>90</v>
      </c>
      <c r="E77" s="541">
        <v>90</v>
      </c>
      <c r="F77" s="541"/>
    </row>
    <row r="78" spans="1:6" s="399" customFormat="1" ht="12" hidden="1" customHeight="1" outlineLevel="3" x14ac:dyDescent="0.2">
      <c r="A78" s="540" t="s">
        <v>3075</v>
      </c>
      <c r="B78" s="540"/>
      <c r="C78" s="540"/>
      <c r="D78" s="406">
        <v>92</v>
      </c>
      <c r="E78" s="541">
        <v>92</v>
      </c>
      <c r="F78" s="541"/>
    </row>
    <row r="79" spans="1:6" s="399" customFormat="1" ht="12" hidden="1" customHeight="1" outlineLevel="3" x14ac:dyDescent="0.2">
      <c r="A79" s="540" t="s">
        <v>3076</v>
      </c>
      <c r="B79" s="540"/>
      <c r="C79" s="540"/>
      <c r="D79" s="406">
        <v>93</v>
      </c>
      <c r="E79" s="541">
        <v>93</v>
      </c>
      <c r="F79" s="541"/>
    </row>
    <row r="80" spans="1:6" s="399" customFormat="1" ht="12" hidden="1" customHeight="1" outlineLevel="3" x14ac:dyDescent="0.2">
      <c r="A80" s="540" t="s">
        <v>3077</v>
      </c>
      <c r="B80" s="540"/>
      <c r="C80" s="540"/>
      <c r="D80" s="406">
        <v>97</v>
      </c>
      <c r="E80" s="541">
        <v>97</v>
      </c>
      <c r="F80" s="541"/>
    </row>
    <row r="81" spans="1:6" s="399" customFormat="1" ht="12" hidden="1" customHeight="1" outlineLevel="3" x14ac:dyDescent="0.2">
      <c r="A81" s="540" t="s">
        <v>2876</v>
      </c>
      <c r="B81" s="540"/>
      <c r="C81" s="540"/>
      <c r="D81" s="406">
        <v>45</v>
      </c>
      <c r="E81" s="541">
        <v>45</v>
      </c>
      <c r="F81" s="541"/>
    </row>
    <row r="82" spans="1:6" s="399" customFormat="1" ht="12" hidden="1" customHeight="1" outlineLevel="3" x14ac:dyDescent="0.2">
      <c r="A82" s="540" t="s">
        <v>3078</v>
      </c>
      <c r="B82" s="540"/>
      <c r="C82" s="540"/>
      <c r="D82" s="406">
        <v>53</v>
      </c>
      <c r="E82" s="541">
        <v>53</v>
      </c>
      <c r="F82" s="541"/>
    </row>
    <row r="83" spans="1:6" s="399" customFormat="1" ht="12" hidden="1" customHeight="1" outlineLevel="3" x14ac:dyDescent="0.2">
      <c r="A83" s="540" t="s">
        <v>2881</v>
      </c>
      <c r="B83" s="540"/>
      <c r="C83" s="540"/>
      <c r="D83" s="406">
        <v>135</v>
      </c>
      <c r="E83" s="541">
        <v>135</v>
      </c>
      <c r="F83" s="541"/>
    </row>
    <row r="84" spans="1:6" s="399" customFormat="1" ht="12" hidden="1" customHeight="1" outlineLevel="3" x14ac:dyDescent="0.2">
      <c r="A84" s="540" t="s">
        <v>3079</v>
      </c>
      <c r="B84" s="540"/>
      <c r="C84" s="540"/>
      <c r="D84" s="406">
        <v>24</v>
      </c>
      <c r="E84" s="541">
        <v>24</v>
      </c>
      <c r="F84" s="541"/>
    </row>
    <row r="85" spans="1:6" s="399" customFormat="1" ht="12" hidden="1" customHeight="1" outlineLevel="3" x14ac:dyDescent="0.2">
      <c r="A85" s="540" t="s">
        <v>3080</v>
      </c>
      <c r="B85" s="540"/>
      <c r="C85" s="540"/>
      <c r="D85" s="406">
        <v>22</v>
      </c>
      <c r="E85" s="541">
        <v>22</v>
      </c>
      <c r="F85" s="541"/>
    </row>
    <row r="86" spans="1:6" s="399" customFormat="1" ht="12" hidden="1" customHeight="1" outlineLevel="3" x14ac:dyDescent="0.2">
      <c r="A86" s="540" t="s">
        <v>3081</v>
      </c>
      <c r="B86" s="540"/>
      <c r="C86" s="540"/>
      <c r="D86" s="406">
        <v>83</v>
      </c>
      <c r="E86" s="541">
        <v>83</v>
      </c>
      <c r="F86" s="541"/>
    </row>
    <row r="87" spans="1:6" s="399" customFormat="1" ht="12" hidden="1" customHeight="1" outlineLevel="3" x14ac:dyDescent="0.2">
      <c r="A87" s="540" t="s">
        <v>3082</v>
      </c>
      <c r="B87" s="540"/>
      <c r="C87" s="540"/>
      <c r="D87" s="406">
        <v>60</v>
      </c>
      <c r="E87" s="541">
        <v>60</v>
      </c>
      <c r="F87" s="541"/>
    </row>
    <row r="88" spans="1:6" s="399" customFormat="1" ht="12" hidden="1" customHeight="1" outlineLevel="3" x14ac:dyDescent="0.2">
      <c r="A88" s="540" t="s">
        <v>3083</v>
      </c>
      <c r="B88" s="540"/>
      <c r="C88" s="540"/>
      <c r="D88" s="406">
        <v>71</v>
      </c>
      <c r="E88" s="541">
        <v>71</v>
      </c>
      <c r="F88" s="541"/>
    </row>
    <row r="89" spans="1:6" s="399" customFormat="1" ht="12" hidden="1" customHeight="1" outlineLevel="3" x14ac:dyDescent="0.2">
      <c r="A89" s="540" t="s">
        <v>746</v>
      </c>
      <c r="B89" s="540"/>
      <c r="C89" s="540"/>
      <c r="D89" s="406">
        <v>40</v>
      </c>
      <c r="E89" s="541">
        <v>40</v>
      </c>
      <c r="F89" s="541"/>
    </row>
    <row r="90" spans="1:6" s="399" customFormat="1" ht="12" hidden="1" customHeight="1" outlineLevel="3" x14ac:dyDescent="0.2">
      <c r="A90" s="540" t="s">
        <v>3084</v>
      </c>
      <c r="B90" s="540"/>
      <c r="C90" s="540"/>
      <c r="D90" s="406">
        <v>49</v>
      </c>
      <c r="E90" s="541">
        <v>49</v>
      </c>
      <c r="F90" s="541"/>
    </row>
    <row r="91" spans="1:6" s="399" customFormat="1" ht="12" hidden="1" customHeight="1" outlineLevel="3" x14ac:dyDescent="0.2">
      <c r="A91" s="540" t="s">
        <v>3085</v>
      </c>
      <c r="B91" s="540"/>
      <c r="C91" s="540"/>
      <c r="D91" s="406">
        <v>20</v>
      </c>
      <c r="E91" s="541">
        <v>20</v>
      </c>
      <c r="F91" s="541"/>
    </row>
    <row r="92" spans="1:6" s="399" customFormat="1" ht="12" hidden="1" customHeight="1" outlineLevel="3" x14ac:dyDescent="0.2">
      <c r="A92" s="540" t="s">
        <v>3086</v>
      </c>
      <c r="B92" s="540"/>
      <c r="C92" s="540"/>
      <c r="D92" s="406">
        <v>8</v>
      </c>
      <c r="E92" s="541">
        <v>8</v>
      </c>
      <c r="F92" s="541"/>
    </row>
    <row r="93" spans="1:6" s="399" customFormat="1" ht="12" hidden="1" customHeight="1" outlineLevel="3" x14ac:dyDescent="0.2">
      <c r="A93" s="540" t="s">
        <v>3087</v>
      </c>
      <c r="B93" s="540"/>
      <c r="C93" s="540"/>
      <c r="D93" s="406">
        <v>13</v>
      </c>
      <c r="E93" s="541">
        <v>13</v>
      </c>
      <c r="F93" s="541"/>
    </row>
    <row r="94" spans="1:6" s="399" customFormat="1" ht="12" hidden="1" customHeight="1" outlineLevel="3" collapsed="1" x14ac:dyDescent="0.2">
      <c r="A94" s="540" t="s">
        <v>3088</v>
      </c>
      <c r="B94" s="540"/>
      <c r="C94" s="540"/>
      <c r="D94" s="406">
        <v>9</v>
      </c>
      <c r="E94" s="541">
        <v>9</v>
      </c>
      <c r="F94" s="541"/>
    </row>
    <row r="95" spans="1:6" s="399" customFormat="1" ht="12" customHeight="1" outlineLevel="2" collapsed="1" x14ac:dyDescent="0.2">
      <c r="A95" s="546" t="s">
        <v>3089</v>
      </c>
      <c r="B95" s="546"/>
      <c r="C95" s="546"/>
      <c r="D95" s="405">
        <v>251</v>
      </c>
      <c r="E95" s="547">
        <v>251</v>
      </c>
      <c r="F95" s="547"/>
    </row>
    <row r="96" spans="1:6" s="399" customFormat="1" ht="12" hidden="1" customHeight="1" outlineLevel="3" x14ac:dyDescent="0.2">
      <c r="A96" s="540" t="s">
        <v>3025</v>
      </c>
      <c r="B96" s="540"/>
      <c r="C96" s="540"/>
      <c r="D96" s="406">
        <v>15</v>
      </c>
      <c r="E96" s="541">
        <v>15</v>
      </c>
      <c r="F96" s="541"/>
    </row>
    <row r="97" spans="1:6" s="399" customFormat="1" ht="12" hidden="1" customHeight="1" outlineLevel="3" x14ac:dyDescent="0.2">
      <c r="A97" s="540" t="s">
        <v>3068</v>
      </c>
      <c r="B97" s="540"/>
      <c r="C97" s="540"/>
      <c r="D97" s="406">
        <v>88</v>
      </c>
      <c r="E97" s="541">
        <v>88</v>
      </c>
      <c r="F97" s="541"/>
    </row>
    <row r="98" spans="1:6" s="399" customFormat="1" ht="12" hidden="1" customHeight="1" outlineLevel="3" x14ac:dyDescent="0.2">
      <c r="A98" s="540" t="s">
        <v>3069</v>
      </c>
      <c r="B98" s="540"/>
      <c r="C98" s="540"/>
      <c r="D98" s="406">
        <v>76</v>
      </c>
      <c r="E98" s="541">
        <v>76</v>
      </c>
      <c r="F98" s="541"/>
    </row>
    <row r="99" spans="1:6" s="399" customFormat="1" ht="12" hidden="1" customHeight="1" outlineLevel="3" x14ac:dyDescent="0.2">
      <c r="A99" s="540" t="s">
        <v>2058</v>
      </c>
      <c r="B99" s="540"/>
      <c r="C99" s="540"/>
      <c r="D99" s="406">
        <v>44</v>
      </c>
      <c r="E99" s="541">
        <v>44</v>
      </c>
      <c r="F99" s="541"/>
    </row>
    <row r="100" spans="1:6" s="399" customFormat="1" ht="12" hidden="1" customHeight="1" outlineLevel="3" x14ac:dyDescent="0.2">
      <c r="A100" s="540" t="s">
        <v>3090</v>
      </c>
      <c r="B100" s="540"/>
      <c r="C100" s="540"/>
      <c r="D100" s="406">
        <v>28</v>
      </c>
      <c r="E100" s="541">
        <v>28</v>
      </c>
      <c r="F100" s="541"/>
    </row>
    <row r="101" spans="1:6" ht="12" customHeight="1" outlineLevel="1" x14ac:dyDescent="0.2">
      <c r="A101" s="544" t="s">
        <v>3091</v>
      </c>
      <c r="B101" s="544"/>
      <c r="C101" s="544"/>
      <c r="D101" s="408">
        <v>2937.66</v>
      </c>
      <c r="E101" s="549">
        <v>2937.66</v>
      </c>
      <c r="F101" s="549"/>
    </row>
    <row r="102" spans="1:6" ht="12" customHeight="1" outlineLevel="2" x14ac:dyDescent="0.2">
      <c r="A102" s="550" t="s">
        <v>2815</v>
      </c>
      <c r="B102" s="550"/>
      <c r="C102" s="550"/>
      <c r="D102" s="414">
        <v>778</v>
      </c>
      <c r="E102" s="551">
        <v>778</v>
      </c>
      <c r="F102" s="551"/>
    </row>
    <row r="103" spans="1:6" ht="12" customHeight="1" outlineLevel="3" x14ac:dyDescent="0.2">
      <c r="A103" s="540" t="s">
        <v>3092</v>
      </c>
      <c r="B103" s="540"/>
      <c r="C103" s="540"/>
      <c r="D103" s="406">
        <v>11</v>
      </c>
      <c r="E103" s="541">
        <v>11</v>
      </c>
      <c r="F103" s="541"/>
    </row>
    <row r="104" spans="1:6" ht="12" customHeight="1" outlineLevel="3" x14ac:dyDescent="0.2">
      <c r="A104" s="540" t="s">
        <v>3093</v>
      </c>
      <c r="B104" s="540"/>
      <c r="C104" s="540"/>
      <c r="D104" s="406">
        <v>56</v>
      </c>
      <c r="E104" s="541">
        <v>56</v>
      </c>
      <c r="F104" s="541"/>
    </row>
    <row r="105" spans="1:6" ht="12" customHeight="1" outlineLevel="3" x14ac:dyDescent="0.2">
      <c r="A105" s="540" t="s">
        <v>3094</v>
      </c>
      <c r="B105" s="540"/>
      <c r="C105" s="540"/>
      <c r="D105" s="406">
        <v>14</v>
      </c>
      <c r="E105" s="541">
        <v>14</v>
      </c>
      <c r="F105" s="541"/>
    </row>
    <row r="106" spans="1:6" ht="12" customHeight="1" outlineLevel="3" x14ac:dyDescent="0.2">
      <c r="A106" s="540" t="s">
        <v>3095</v>
      </c>
      <c r="B106" s="540"/>
      <c r="C106" s="540"/>
      <c r="D106" s="406">
        <v>40</v>
      </c>
      <c r="E106" s="541">
        <v>40</v>
      </c>
      <c r="F106" s="541"/>
    </row>
    <row r="107" spans="1:6" ht="12" customHeight="1" outlineLevel="3" x14ac:dyDescent="0.2">
      <c r="A107" s="540" t="s">
        <v>3096</v>
      </c>
      <c r="B107" s="540"/>
      <c r="C107" s="540"/>
      <c r="D107" s="406">
        <v>4</v>
      </c>
      <c r="E107" s="541">
        <v>4</v>
      </c>
      <c r="F107" s="541"/>
    </row>
    <row r="108" spans="1:6" ht="12" customHeight="1" outlineLevel="3" x14ac:dyDescent="0.2">
      <c r="A108" s="540" t="s">
        <v>3097</v>
      </c>
      <c r="B108" s="540"/>
      <c r="C108" s="540"/>
      <c r="D108" s="406">
        <v>63</v>
      </c>
      <c r="E108" s="541">
        <v>63</v>
      </c>
      <c r="F108" s="541"/>
    </row>
    <row r="109" spans="1:6" ht="12" customHeight="1" outlineLevel="3" x14ac:dyDescent="0.2">
      <c r="A109" s="540" t="s">
        <v>3098</v>
      </c>
      <c r="B109" s="540"/>
      <c r="C109" s="540"/>
      <c r="D109" s="406">
        <v>47</v>
      </c>
      <c r="E109" s="541">
        <v>47</v>
      </c>
      <c r="F109" s="541"/>
    </row>
    <row r="110" spans="1:6" ht="12" customHeight="1" outlineLevel="3" x14ac:dyDescent="0.2">
      <c r="A110" s="540" t="s">
        <v>2974</v>
      </c>
      <c r="B110" s="540"/>
      <c r="C110" s="540"/>
      <c r="D110" s="406">
        <v>36</v>
      </c>
      <c r="E110" s="541">
        <v>36</v>
      </c>
      <c r="F110" s="541"/>
    </row>
    <row r="111" spans="1:6" ht="12" customHeight="1" outlineLevel="3" x14ac:dyDescent="0.2">
      <c r="A111" s="540" t="s">
        <v>3099</v>
      </c>
      <c r="B111" s="540"/>
      <c r="C111" s="540"/>
      <c r="D111" s="406">
        <v>41</v>
      </c>
      <c r="E111" s="541">
        <v>41</v>
      </c>
      <c r="F111" s="541"/>
    </row>
    <row r="112" spans="1:6" ht="12" customHeight="1" outlineLevel="3" x14ac:dyDescent="0.2">
      <c r="A112" s="540" t="s">
        <v>3100</v>
      </c>
      <c r="B112" s="540"/>
      <c r="C112" s="540"/>
      <c r="D112" s="406">
        <v>39</v>
      </c>
      <c r="E112" s="541">
        <v>39</v>
      </c>
      <c r="F112" s="541"/>
    </row>
    <row r="113" spans="1:6" ht="12" customHeight="1" outlineLevel="3" x14ac:dyDescent="0.2">
      <c r="A113" s="540" t="s">
        <v>2968</v>
      </c>
      <c r="B113" s="540"/>
      <c r="C113" s="540"/>
      <c r="D113" s="406">
        <v>79</v>
      </c>
      <c r="E113" s="541">
        <v>79</v>
      </c>
      <c r="F113" s="541"/>
    </row>
    <row r="114" spans="1:6" ht="12" customHeight="1" outlineLevel="3" x14ac:dyDescent="0.2">
      <c r="A114" s="540" t="s">
        <v>3101</v>
      </c>
      <c r="B114" s="540"/>
      <c r="C114" s="540"/>
      <c r="D114" s="406">
        <v>38</v>
      </c>
      <c r="E114" s="541">
        <v>38</v>
      </c>
      <c r="F114" s="541"/>
    </row>
    <row r="115" spans="1:6" ht="12" customHeight="1" outlineLevel="3" x14ac:dyDescent="0.2">
      <c r="A115" s="540" t="s">
        <v>2935</v>
      </c>
      <c r="B115" s="540"/>
      <c r="C115" s="540"/>
      <c r="D115" s="406">
        <v>111</v>
      </c>
      <c r="E115" s="541">
        <v>111</v>
      </c>
      <c r="F115" s="541"/>
    </row>
    <row r="116" spans="1:6" ht="12" customHeight="1" outlineLevel="3" x14ac:dyDescent="0.2">
      <c r="A116" s="540" t="s">
        <v>3102</v>
      </c>
      <c r="B116" s="540"/>
      <c r="C116" s="540"/>
      <c r="D116" s="406">
        <v>63</v>
      </c>
      <c r="E116" s="541">
        <v>63</v>
      </c>
      <c r="F116" s="541"/>
    </row>
    <row r="117" spans="1:6" ht="12" customHeight="1" outlineLevel="3" x14ac:dyDescent="0.2">
      <c r="A117" s="540" t="s">
        <v>3103</v>
      </c>
      <c r="B117" s="540"/>
      <c r="C117" s="540"/>
      <c r="D117" s="406">
        <v>41</v>
      </c>
      <c r="E117" s="541">
        <v>41</v>
      </c>
      <c r="F117" s="541"/>
    </row>
    <row r="118" spans="1:6" ht="12" customHeight="1" outlineLevel="3" x14ac:dyDescent="0.2">
      <c r="A118" s="540" t="s">
        <v>3104</v>
      </c>
      <c r="B118" s="540"/>
      <c r="C118" s="540"/>
      <c r="D118" s="406">
        <v>14</v>
      </c>
      <c r="E118" s="541">
        <v>14</v>
      </c>
      <c r="F118" s="541"/>
    </row>
    <row r="119" spans="1:6" ht="12" customHeight="1" outlineLevel="3" x14ac:dyDescent="0.2">
      <c r="A119" s="540" t="s">
        <v>3105</v>
      </c>
      <c r="B119" s="540"/>
      <c r="C119" s="540"/>
      <c r="D119" s="406">
        <v>24</v>
      </c>
      <c r="E119" s="541">
        <v>24</v>
      </c>
      <c r="F119" s="541"/>
    </row>
    <row r="120" spans="1:6" ht="12" customHeight="1" outlineLevel="3" x14ac:dyDescent="0.2">
      <c r="A120" s="540" t="s">
        <v>3106</v>
      </c>
      <c r="B120" s="540"/>
      <c r="C120" s="540"/>
      <c r="D120" s="406">
        <v>57</v>
      </c>
      <c r="E120" s="541">
        <v>57</v>
      </c>
      <c r="F120" s="541"/>
    </row>
    <row r="121" spans="1:6" ht="12" customHeight="1" outlineLevel="2" x14ac:dyDescent="0.2">
      <c r="A121" s="546" t="s">
        <v>3107</v>
      </c>
      <c r="B121" s="546"/>
      <c r="C121" s="546"/>
      <c r="D121" s="405">
        <v>420</v>
      </c>
      <c r="E121" s="547">
        <v>420</v>
      </c>
      <c r="F121" s="547"/>
    </row>
    <row r="122" spans="1:6" ht="12" hidden="1" customHeight="1" outlineLevel="3" x14ac:dyDescent="0.2">
      <c r="A122" s="540" t="s">
        <v>3092</v>
      </c>
      <c r="B122" s="540"/>
      <c r="C122" s="540"/>
      <c r="D122" s="406">
        <v>49</v>
      </c>
      <c r="E122" s="541">
        <v>49</v>
      </c>
      <c r="F122" s="541"/>
    </row>
    <row r="123" spans="1:6" ht="12" hidden="1" customHeight="1" outlineLevel="3" x14ac:dyDescent="0.2">
      <c r="A123" s="540" t="s">
        <v>3108</v>
      </c>
      <c r="B123" s="540"/>
      <c r="C123" s="540"/>
      <c r="D123" s="406">
        <v>102</v>
      </c>
      <c r="E123" s="541">
        <v>102</v>
      </c>
      <c r="F123" s="541"/>
    </row>
    <row r="124" spans="1:6" ht="12" hidden="1" customHeight="1" outlineLevel="3" x14ac:dyDescent="0.2">
      <c r="A124" s="540" t="s">
        <v>3109</v>
      </c>
      <c r="B124" s="540"/>
      <c r="C124" s="540"/>
      <c r="D124" s="406">
        <v>20</v>
      </c>
      <c r="E124" s="541">
        <v>20</v>
      </c>
      <c r="F124" s="541"/>
    </row>
    <row r="125" spans="1:6" ht="12" hidden="1" customHeight="1" outlineLevel="3" x14ac:dyDescent="0.2">
      <c r="A125" s="540" t="s">
        <v>3110</v>
      </c>
      <c r="B125" s="540"/>
      <c r="C125" s="540"/>
      <c r="D125" s="406">
        <v>62</v>
      </c>
      <c r="E125" s="541">
        <v>62</v>
      </c>
      <c r="F125" s="541"/>
    </row>
    <row r="126" spans="1:6" ht="12" hidden="1" customHeight="1" outlineLevel="3" x14ac:dyDescent="0.2">
      <c r="A126" s="540" t="s">
        <v>864</v>
      </c>
      <c r="B126" s="540"/>
      <c r="C126" s="540"/>
      <c r="D126" s="406">
        <v>55</v>
      </c>
      <c r="E126" s="541">
        <v>55</v>
      </c>
      <c r="F126" s="541"/>
    </row>
    <row r="127" spans="1:6" ht="12" hidden="1" customHeight="1" outlineLevel="3" x14ac:dyDescent="0.2">
      <c r="A127" s="540" t="s">
        <v>2884</v>
      </c>
      <c r="B127" s="540"/>
      <c r="C127" s="540"/>
      <c r="D127" s="406">
        <v>39</v>
      </c>
      <c r="E127" s="541">
        <v>39</v>
      </c>
      <c r="F127" s="541"/>
    </row>
    <row r="128" spans="1:6" ht="12" hidden="1" customHeight="1" outlineLevel="3" x14ac:dyDescent="0.2">
      <c r="A128" s="540" t="s">
        <v>3111</v>
      </c>
      <c r="B128" s="540"/>
      <c r="C128" s="540"/>
      <c r="D128" s="406">
        <v>54</v>
      </c>
      <c r="E128" s="541">
        <v>54</v>
      </c>
      <c r="F128" s="541"/>
    </row>
    <row r="129" spans="1:6" ht="12" hidden="1" customHeight="1" outlineLevel="3" x14ac:dyDescent="0.2">
      <c r="A129" s="540" t="s">
        <v>3112</v>
      </c>
      <c r="B129" s="540"/>
      <c r="C129" s="540"/>
      <c r="D129" s="406">
        <v>19</v>
      </c>
      <c r="E129" s="541">
        <v>19</v>
      </c>
      <c r="F129" s="541"/>
    </row>
    <row r="130" spans="1:6" ht="12" hidden="1" customHeight="1" outlineLevel="3" x14ac:dyDescent="0.2">
      <c r="A130" s="540" t="s">
        <v>3113</v>
      </c>
      <c r="B130" s="540"/>
      <c r="C130" s="540"/>
      <c r="D130" s="406">
        <v>20</v>
      </c>
      <c r="E130" s="541">
        <v>20</v>
      </c>
      <c r="F130" s="541"/>
    </row>
    <row r="131" spans="1:6" ht="12" customHeight="1" outlineLevel="2" collapsed="1" x14ac:dyDescent="0.2">
      <c r="A131" s="546" t="s">
        <v>2926</v>
      </c>
      <c r="B131" s="546"/>
      <c r="C131" s="546"/>
      <c r="D131" s="405">
        <v>269</v>
      </c>
      <c r="E131" s="547">
        <v>269</v>
      </c>
      <c r="F131" s="547"/>
    </row>
    <row r="132" spans="1:6" s="399" customFormat="1" ht="12" hidden="1" customHeight="1" outlineLevel="3" x14ac:dyDescent="0.2">
      <c r="A132" s="540" t="s">
        <v>3114</v>
      </c>
      <c r="B132" s="540"/>
      <c r="C132" s="540"/>
      <c r="D132" s="409">
        <v>76.64</v>
      </c>
      <c r="E132" s="552">
        <v>76.64</v>
      </c>
      <c r="F132" s="552"/>
    </row>
    <row r="133" spans="1:6" s="399" customFormat="1" ht="12" hidden="1" customHeight="1" outlineLevel="3" x14ac:dyDescent="0.2">
      <c r="A133" s="540" t="s">
        <v>3115</v>
      </c>
      <c r="B133" s="540"/>
      <c r="C133" s="540"/>
      <c r="D133" s="409">
        <v>63.51</v>
      </c>
      <c r="E133" s="552">
        <v>63.51</v>
      </c>
      <c r="F133" s="552"/>
    </row>
    <row r="134" spans="1:6" s="399" customFormat="1" ht="12" hidden="1" customHeight="1" outlineLevel="3" x14ac:dyDescent="0.2">
      <c r="A134" s="540" t="s">
        <v>3116</v>
      </c>
      <c r="B134" s="540"/>
      <c r="C134" s="540"/>
      <c r="D134" s="409">
        <v>128.85</v>
      </c>
      <c r="E134" s="552">
        <v>128.85</v>
      </c>
      <c r="F134" s="552"/>
    </row>
    <row r="135" spans="1:6" ht="12" customHeight="1" outlineLevel="2" collapsed="1" x14ac:dyDescent="0.2">
      <c r="A135" s="546" t="s">
        <v>3117</v>
      </c>
      <c r="B135" s="546"/>
      <c r="C135" s="546"/>
      <c r="D135" s="410">
        <v>440.16</v>
      </c>
      <c r="E135" s="553">
        <v>440.16</v>
      </c>
      <c r="F135" s="553"/>
    </row>
    <row r="136" spans="1:6" s="399" customFormat="1" ht="12" hidden="1" customHeight="1" outlineLevel="3" x14ac:dyDescent="0.2">
      <c r="A136" s="540" t="s">
        <v>3118</v>
      </c>
      <c r="B136" s="540"/>
      <c r="C136" s="540"/>
      <c r="D136" s="411">
        <v>38.6</v>
      </c>
      <c r="E136" s="554">
        <v>38.6</v>
      </c>
      <c r="F136" s="554"/>
    </row>
    <row r="137" spans="1:6" s="399" customFormat="1" ht="12" hidden="1" customHeight="1" outlineLevel="3" x14ac:dyDescent="0.2">
      <c r="A137" s="540" t="s">
        <v>3119</v>
      </c>
      <c r="B137" s="540"/>
      <c r="C137" s="540"/>
      <c r="D137" s="406">
        <v>55</v>
      </c>
      <c r="E137" s="541">
        <v>55</v>
      </c>
      <c r="F137" s="541"/>
    </row>
    <row r="138" spans="1:6" s="399" customFormat="1" ht="12" hidden="1" customHeight="1" outlineLevel="3" x14ac:dyDescent="0.2">
      <c r="A138" s="540" t="s">
        <v>3120</v>
      </c>
      <c r="B138" s="540"/>
      <c r="C138" s="540"/>
      <c r="D138" s="411">
        <v>94.1</v>
      </c>
      <c r="E138" s="554">
        <v>94.1</v>
      </c>
      <c r="F138" s="554"/>
    </row>
    <row r="139" spans="1:6" s="399" customFormat="1" ht="12" hidden="1" customHeight="1" outlineLevel="3" x14ac:dyDescent="0.2">
      <c r="A139" s="540" t="s">
        <v>3121</v>
      </c>
      <c r="B139" s="540"/>
      <c r="C139" s="540"/>
      <c r="D139" s="411">
        <v>93.9</v>
      </c>
      <c r="E139" s="554">
        <v>93.9</v>
      </c>
      <c r="F139" s="554"/>
    </row>
    <row r="140" spans="1:6" s="399" customFormat="1" ht="12" hidden="1" customHeight="1" outlineLevel="3" x14ac:dyDescent="0.2">
      <c r="A140" s="540" t="s">
        <v>3122</v>
      </c>
      <c r="B140" s="540"/>
      <c r="C140" s="540"/>
      <c r="D140" s="409">
        <v>102.44</v>
      </c>
      <c r="E140" s="552">
        <v>102.44</v>
      </c>
      <c r="F140" s="552"/>
    </row>
    <row r="141" spans="1:6" s="399" customFormat="1" ht="12" hidden="1" customHeight="1" outlineLevel="3" x14ac:dyDescent="0.2">
      <c r="A141" s="540" t="s">
        <v>3123</v>
      </c>
      <c r="B141" s="540"/>
      <c r="C141" s="540"/>
      <c r="D141" s="409">
        <v>56.12</v>
      </c>
      <c r="E141" s="552">
        <v>56.12</v>
      </c>
      <c r="F141" s="552"/>
    </row>
    <row r="142" spans="1:6" ht="12" customHeight="1" outlineLevel="2" collapsed="1" x14ac:dyDescent="0.2">
      <c r="A142" s="546" t="s">
        <v>3124</v>
      </c>
      <c r="B142" s="546"/>
      <c r="C142" s="546"/>
      <c r="D142" s="405">
        <v>270</v>
      </c>
      <c r="E142" s="547">
        <v>270</v>
      </c>
      <c r="F142" s="547"/>
    </row>
    <row r="143" spans="1:6" ht="12" hidden="1" customHeight="1" outlineLevel="3" x14ac:dyDescent="0.2">
      <c r="A143" s="540" t="s">
        <v>3125</v>
      </c>
      <c r="B143" s="540"/>
      <c r="C143" s="540"/>
      <c r="D143" s="406">
        <v>58</v>
      </c>
      <c r="E143" s="541">
        <v>58</v>
      </c>
      <c r="F143" s="541"/>
    </row>
    <row r="144" spans="1:6" ht="12" hidden="1" customHeight="1" outlineLevel="3" x14ac:dyDescent="0.2">
      <c r="A144" s="540" t="s">
        <v>3126</v>
      </c>
      <c r="B144" s="540"/>
      <c r="C144" s="540"/>
      <c r="D144" s="406">
        <v>20</v>
      </c>
      <c r="E144" s="541">
        <v>20</v>
      </c>
      <c r="F144" s="541"/>
    </row>
    <row r="145" spans="1:6" ht="12" hidden="1" customHeight="1" outlineLevel="3" x14ac:dyDescent="0.2">
      <c r="A145" s="540" t="s">
        <v>3096</v>
      </c>
      <c r="B145" s="540"/>
      <c r="C145" s="540"/>
      <c r="D145" s="406">
        <v>59</v>
      </c>
      <c r="E145" s="541">
        <v>59</v>
      </c>
      <c r="F145" s="541"/>
    </row>
    <row r="146" spans="1:6" ht="12" hidden="1" customHeight="1" outlineLevel="3" x14ac:dyDescent="0.2">
      <c r="A146" s="540" t="s">
        <v>3127</v>
      </c>
      <c r="B146" s="540"/>
      <c r="C146" s="540"/>
      <c r="D146" s="406">
        <v>55</v>
      </c>
      <c r="E146" s="541">
        <v>55</v>
      </c>
      <c r="F146" s="541"/>
    </row>
    <row r="147" spans="1:6" ht="12" hidden="1" customHeight="1" outlineLevel="3" x14ac:dyDescent="0.2">
      <c r="A147" s="540" t="s">
        <v>3128</v>
      </c>
      <c r="B147" s="540"/>
      <c r="C147" s="540"/>
      <c r="D147" s="406">
        <v>39</v>
      </c>
      <c r="E147" s="541">
        <v>39</v>
      </c>
      <c r="F147" s="541"/>
    </row>
    <row r="148" spans="1:6" ht="12" hidden="1" customHeight="1" outlineLevel="3" x14ac:dyDescent="0.2">
      <c r="A148" s="540" t="s">
        <v>3129</v>
      </c>
      <c r="B148" s="540"/>
      <c r="C148" s="540"/>
      <c r="D148" s="411">
        <v>19.100000000000001</v>
      </c>
      <c r="E148" s="554">
        <v>19.100000000000001</v>
      </c>
      <c r="F148" s="554"/>
    </row>
    <row r="149" spans="1:6" ht="12" hidden="1" customHeight="1" outlineLevel="3" x14ac:dyDescent="0.2">
      <c r="A149" s="540" t="s">
        <v>3130</v>
      </c>
      <c r="B149" s="540"/>
      <c r="C149" s="540"/>
      <c r="D149" s="411">
        <v>19.899999999999999</v>
      </c>
      <c r="E149" s="554">
        <v>19.899999999999999</v>
      </c>
      <c r="F149" s="554"/>
    </row>
    <row r="150" spans="1:6" ht="12" customHeight="1" outlineLevel="2" collapsed="1" x14ac:dyDescent="0.2">
      <c r="A150" s="546" t="s">
        <v>3131</v>
      </c>
      <c r="B150" s="546"/>
      <c r="C150" s="546"/>
      <c r="D150" s="405">
        <v>198</v>
      </c>
      <c r="E150" s="547">
        <v>198</v>
      </c>
      <c r="F150" s="547"/>
    </row>
    <row r="151" spans="1:6" s="399" customFormat="1" ht="12" hidden="1" customHeight="1" outlineLevel="3" x14ac:dyDescent="0.2">
      <c r="A151" s="540" t="s">
        <v>3132</v>
      </c>
      <c r="B151" s="540"/>
      <c r="C151" s="540"/>
      <c r="D151" s="406">
        <v>47</v>
      </c>
      <c r="E151" s="541">
        <v>47</v>
      </c>
      <c r="F151" s="541"/>
    </row>
    <row r="152" spans="1:6" s="399" customFormat="1" ht="12" hidden="1" customHeight="1" outlineLevel="3" x14ac:dyDescent="0.2">
      <c r="A152" s="540" t="s">
        <v>3133</v>
      </c>
      <c r="B152" s="540"/>
      <c r="C152" s="540"/>
      <c r="D152" s="406">
        <v>31</v>
      </c>
      <c r="E152" s="541">
        <v>31</v>
      </c>
      <c r="F152" s="541"/>
    </row>
    <row r="153" spans="1:6" s="399" customFormat="1" ht="12" hidden="1" customHeight="1" outlineLevel="3" x14ac:dyDescent="0.2">
      <c r="A153" s="540" t="s">
        <v>3134</v>
      </c>
      <c r="B153" s="540"/>
      <c r="C153" s="540"/>
      <c r="D153" s="406">
        <v>30</v>
      </c>
      <c r="E153" s="541">
        <v>30</v>
      </c>
      <c r="F153" s="541"/>
    </row>
    <row r="154" spans="1:6" s="399" customFormat="1" ht="12" hidden="1" customHeight="1" outlineLevel="3" x14ac:dyDescent="0.2">
      <c r="A154" s="540" t="s">
        <v>3135</v>
      </c>
      <c r="B154" s="540"/>
      <c r="C154" s="540"/>
      <c r="D154" s="406">
        <v>90</v>
      </c>
      <c r="E154" s="541">
        <v>90</v>
      </c>
      <c r="F154" s="541"/>
    </row>
    <row r="155" spans="1:6" ht="12" customHeight="1" outlineLevel="2" collapsed="1" x14ac:dyDescent="0.2">
      <c r="A155" s="546" t="s">
        <v>3136</v>
      </c>
      <c r="B155" s="546"/>
      <c r="C155" s="546"/>
      <c r="D155" s="412">
        <v>562.5</v>
      </c>
      <c r="E155" s="555">
        <v>562.5</v>
      </c>
      <c r="F155" s="555"/>
    </row>
    <row r="156" spans="1:6" s="399" customFormat="1" ht="12" hidden="1" customHeight="1" outlineLevel="3" x14ac:dyDescent="0.2">
      <c r="A156" s="540" t="s">
        <v>3137</v>
      </c>
      <c r="B156" s="540"/>
      <c r="C156" s="540"/>
      <c r="D156" s="411">
        <v>35.9</v>
      </c>
      <c r="E156" s="554">
        <v>35.9</v>
      </c>
      <c r="F156" s="554"/>
    </row>
    <row r="157" spans="1:6" s="399" customFormat="1" ht="12" hidden="1" customHeight="1" outlineLevel="3" x14ac:dyDescent="0.2">
      <c r="A157" s="540" t="s">
        <v>3138</v>
      </c>
      <c r="B157" s="540"/>
      <c r="C157" s="540"/>
      <c r="D157" s="406">
        <v>73</v>
      </c>
      <c r="E157" s="541">
        <v>73</v>
      </c>
      <c r="F157" s="541"/>
    </row>
    <row r="158" spans="1:6" s="399" customFormat="1" ht="12" hidden="1" customHeight="1" outlineLevel="3" x14ac:dyDescent="0.2">
      <c r="A158" s="540" t="s">
        <v>3118</v>
      </c>
      <c r="B158" s="540"/>
      <c r="C158" s="540"/>
      <c r="D158" s="411">
        <v>38.6</v>
      </c>
      <c r="E158" s="554">
        <v>38.6</v>
      </c>
      <c r="F158" s="554"/>
    </row>
    <row r="159" spans="1:6" s="399" customFormat="1" ht="12" hidden="1" customHeight="1" outlineLevel="3" x14ac:dyDescent="0.2">
      <c r="A159" s="540" t="s">
        <v>3119</v>
      </c>
      <c r="B159" s="540"/>
      <c r="C159" s="540"/>
      <c r="D159" s="406">
        <v>55</v>
      </c>
      <c r="E159" s="541">
        <v>55</v>
      </c>
      <c r="F159" s="541"/>
    </row>
    <row r="160" spans="1:6" s="399" customFormat="1" ht="12" hidden="1" customHeight="1" outlineLevel="3" x14ac:dyDescent="0.2">
      <c r="A160" s="540" t="s">
        <v>3139</v>
      </c>
      <c r="B160" s="540"/>
      <c r="C160" s="540"/>
      <c r="D160" s="406">
        <v>80</v>
      </c>
      <c r="E160" s="541">
        <v>80</v>
      </c>
      <c r="F160" s="541"/>
    </row>
    <row r="161" spans="1:6" s="399" customFormat="1" ht="12" hidden="1" customHeight="1" outlineLevel="3" x14ac:dyDescent="0.2">
      <c r="A161" s="540" t="s">
        <v>3120</v>
      </c>
      <c r="B161" s="540"/>
      <c r="C161" s="540"/>
      <c r="D161" s="406">
        <v>75</v>
      </c>
      <c r="E161" s="541">
        <v>75</v>
      </c>
      <c r="F161" s="541"/>
    </row>
    <row r="162" spans="1:6" s="399" customFormat="1" ht="12" hidden="1" customHeight="1" outlineLevel="3" x14ac:dyDescent="0.2">
      <c r="A162" s="540" t="s">
        <v>3121</v>
      </c>
      <c r="B162" s="540"/>
      <c r="C162" s="540"/>
      <c r="D162" s="406">
        <v>80</v>
      </c>
      <c r="E162" s="541">
        <v>80</v>
      </c>
      <c r="F162" s="541"/>
    </row>
    <row r="163" spans="1:6" s="399" customFormat="1" ht="12" hidden="1" customHeight="1" outlineLevel="3" x14ac:dyDescent="0.2">
      <c r="A163" s="540" t="s">
        <v>3122</v>
      </c>
      <c r="B163" s="540"/>
      <c r="C163" s="540"/>
      <c r="D163" s="406">
        <v>80</v>
      </c>
      <c r="E163" s="541">
        <v>80</v>
      </c>
      <c r="F163" s="541"/>
    </row>
    <row r="164" spans="1:6" s="399" customFormat="1" ht="12" hidden="1" customHeight="1" outlineLevel="3" x14ac:dyDescent="0.2">
      <c r="A164" s="540" t="s">
        <v>3123</v>
      </c>
      <c r="B164" s="540"/>
      <c r="C164" s="540"/>
      <c r="D164" s="406">
        <v>45</v>
      </c>
      <c r="E164" s="541">
        <v>45</v>
      </c>
      <c r="F164" s="541"/>
    </row>
    <row r="165" spans="1:6" ht="12" customHeight="1" x14ac:dyDescent="0.2">
      <c r="A165" s="556" t="s">
        <v>820</v>
      </c>
      <c r="B165" s="556"/>
      <c r="C165" s="556"/>
      <c r="D165" s="413">
        <v>8282.66</v>
      </c>
      <c r="E165" s="557">
        <v>8282.66</v>
      </c>
      <c r="F165" s="557"/>
    </row>
  </sheetData>
  <mergeCells count="319">
    <mergeCell ref="A163:C163"/>
    <mergeCell ref="E163:F163"/>
    <mergeCell ref="A164:C164"/>
    <mergeCell ref="E164:F164"/>
    <mergeCell ref="A165:C165"/>
    <mergeCell ref="E165:F165"/>
    <mergeCell ref="A160:C160"/>
    <mergeCell ref="E160:F160"/>
    <mergeCell ref="A161:C161"/>
    <mergeCell ref="E161:F161"/>
    <mergeCell ref="A162:C162"/>
    <mergeCell ref="E162:F162"/>
    <mergeCell ref="A157:C157"/>
    <mergeCell ref="E157:F157"/>
    <mergeCell ref="A158:C158"/>
    <mergeCell ref="E158:F158"/>
    <mergeCell ref="A159:C159"/>
    <mergeCell ref="E159:F159"/>
    <mergeCell ref="A154:C154"/>
    <mergeCell ref="E154:F154"/>
    <mergeCell ref="A155:C155"/>
    <mergeCell ref="E155:F155"/>
    <mergeCell ref="A156:C156"/>
    <mergeCell ref="E156:F156"/>
    <mergeCell ref="A151:C151"/>
    <mergeCell ref="E151:F151"/>
    <mergeCell ref="A152:C152"/>
    <mergeCell ref="E152:F152"/>
    <mergeCell ref="A153:C153"/>
    <mergeCell ref="E153:F153"/>
    <mergeCell ref="A148:C148"/>
    <mergeCell ref="E148:F148"/>
    <mergeCell ref="A149:C149"/>
    <mergeCell ref="E149:F149"/>
    <mergeCell ref="A150:C150"/>
    <mergeCell ref="E150:F150"/>
    <mergeCell ref="A145:C145"/>
    <mergeCell ref="E145:F145"/>
    <mergeCell ref="A146:C146"/>
    <mergeCell ref="E146:F146"/>
    <mergeCell ref="A147:C147"/>
    <mergeCell ref="E147:F147"/>
    <mergeCell ref="A142:C142"/>
    <mergeCell ref="E142:F142"/>
    <mergeCell ref="A143:C143"/>
    <mergeCell ref="E143:F143"/>
    <mergeCell ref="A144:C144"/>
    <mergeCell ref="E144:F144"/>
    <mergeCell ref="A139:C139"/>
    <mergeCell ref="E139:F139"/>
    <mergeCell ref="A140:C140"/>
    <mergeCell ref="E140:F140"/>
    <mergeCell ref="A141:C141"/>
    <mergeCell ref="E141:F141"/>
    <mergeCell ref="A136:C136"/>
    <mergeCell ref="E136:F136"/>
    <mergeCell ref="A137:C137"/>
    <mergeCell ref="E137:F137"/>
    <mergeCell ref="A138:C138"/>
    <mergeCell ref="E138:F138"/>
    <mergeCell ref="A133:C133"/>
    <mergeCell ref="E133:F133"/>
    <mergeCell ref="A134:C134"/>
    <mergeCell ref="E134:F134"/>
    <mergeCell ref="A135:C135"/>
    <mergeCell ref="E135:F135"/>
    <mergeCell ref="A130:C130"/>
    <mergeCell ref="E130:F130"/>
    <mergeCell ref="A131:C131"/>
    <mergeCell ref="E131:F131"/>
    <mergeCell ref="A132:C132"/>
    <mergeCell ref="E132:F132"/>
    <mergeCell ref="A127:C127"/>
    <mergeCell ref="E127:F127"/>
    <mergeCell ref="A128:C128"/>
    <mergeCell ref="E128:F128"/>
    <mergeCell ref="A129:C129"/>
    <mergeCell ref="E129:F129"/>
    <mergeCell ref="A124:C124"/>
    <mergeCell ref="E124:F124"/>
    <mergeCell ref="A125:C125"/>
    <mergeCell ref="E125:F125"/>
    <mergeCell ref="A126:C126"/>
    <mergeCell ref="E126:F126"/>
    <mergeCell ref="A121:C121"/>
    <mergeCell ref="E121:F121"/>
    <mergeCell ref="A122:C122"/>
    <mergeCell ref="E122:F122"/>
    <mergeCell ref="A123:C123"/>
    <mergeCell ref="E123:F123"/>
    <mergeCell ref="A118:C118"/>
    <mergeCell ref="E118:F118"/>
    <mergeCell ref="A119:C119"/>
    <mergeCell ref="E119:F119"/>
    <mergeCell ref="A120:C120"/>
    <mergeCell ref="E120:F120"/>
    <mergeCell ref="A115:C115"/>
    <mergeCell ref="E115:F115"/>
    <mergeCell ref="A116:C116"/>
    <mergeCell ref="E116:F116"/>
    <mergeCell ref="A117:C117"/>
    <mergeCell ref="E117:F117"/>
    <mergeCell ref="A112:C112"/>
    <mergeCell ref="E112:F112"/>
    <mergeCell ref="A113:C113"/>
    <mergeCell ref="E113:F113"/>
    <mergeCell ref="A114:C114"/>
    <mergeCell ref="E114:F114"/>
    <mergeCell ref="A109:C109"/>
    <mergeCell ref="E109:F109"/>
    <mergeCell ref="A110:C110"/>
    <mergeCell ref="E110:F110"/>
    <mergeCell ref="A111:C111"/>
    <mergeCell ref="E111:F111"/>
    <mergeCell ref="A106:C106"/>
    <mergeCell ref="E106:F106"/>
    <mergeCell ref="A107:C107"/>
    <mergeCell ref="E107:F107"/>
    <mergeCell ref="A108:C108"/>
    <mergeCell ref="E108:F108"/>
    <mergeCell ref="A103:C103"/>
    <mergeCell ref="E103:F103"/>
    <mergeCell ref="A104:C104"/>
    <mergeCell ref="E104:F104"/>
    <mergeCell ref="A105:C105"/>
    <mergeCell ref="E105:F105"/>
    <mergeCell ref="A100:C100"/>
    <mergeCell ref="E100:F100"/>
    <mergeCell ref="A101:C101"/>
    <mergeCell ref="E101:F101"/>
    <mergeCell ref="A102:C102"/>
    <mergeCell ref="E102:F102"/>
    <mergeCell ref="A97:C97"/>
    <mergeCell ref="E97:F97"/>
    <mergeCell ref="A98:C98"/>
    <mergeCell ref="E98:F98"/>
    <mergeCell ref="A99:C99"/>
    <mergeCell ref="E99:F99"/>
    <mergeCell ref="A94:C94"/>
    <mergeCell ref="E94:F94"/>
    <mergeCell ref="A95:C95"/>
    <mergeCell ref="E95:F95"/>
    <mergeCell ref="A96:C96"/>
    <mergeCell ref="E96:F96"/>
    <mergeCell ref="A91:C91"/>
    <mergeCell ref="E91:F91"/>
    <mergeCell ref="A92:C92"/>
    <mergeCell ref="E92:F92"/>
    <mergeCell ref="A93:C93"/>
    <mergeCell ref="E93:F93"/>
    <mergeCell ref="A88:C88"/>
    <mergeCell ref="E88:F88"/>
    <mergeCell ref="A89:C89"/>
    <mergeCell ref="E89:F89"/>
    <mergeCell ref="A90:C90"/>
    <mergeCell ref="E90:F90"/>
    <mergeCell ref="A85:C85"/>
    <mergeCell ref="E85:F85"/>
    <mergeCell ref="A86:C86"/>
    <mergeCell ref="E86:F86"/>
    <mergeCell ref="A87:C87"/>
    <mergeCell ref="E87:F87"/>
    <mergeCell ref="A82:C82"/>
    <mergeCell ref="E82:F82"/>
    <mergeCell ref="A83:C83"/>
    <mergeCell ref="E83:F83"/>
    <mergeCell ref="A84:C84"/>
    <mergeCell ref="E84:F84"/>
    <mergeCell ref="A79:C79"/>
    <mergeCell ref="E79:F79"/>
    <mergeCell ref="A80:C80"/>
    <mergeCell ref="E80:F80"/>
    <mergeCell ref="A81:C81"/>
    <mergeCell ref="E81:F81"/>
    <mergeCell ref="A76:C76"/>
    <mergeCell ref="E76:F76"/>
    <mergeCell ref="A77:C77"/>
    <mergeCell ref="E77:F77"/>
    <mergeCell ref="A78:C78"/>
    <mergeCell ref="E78:F78"/>
    <mergeCell ref="A73:C73"/>
    <mergeCell ref="E73:F73"/>
    <mergeCell ref="A74:C74"/>
    <mergeCell ref="E74:F74"/>
    <mergeCell ref="A75:C75"/>
    <mergeCell ref="E75:F75"/>
    <mergeCell ref="A70:C70"/>
    <mergeCell ref="E70:F70"/>
    <mergeCell ref="A71:C71"/>
    <mergeCell ref="E71:F71"/>
    <mergeCell ref="A72:C72"/>
    <mergeCell ref="E72:F72"/>
    <mergeCell ref="A67:C67"/>
    <mergeCell ref="E67:F67"/>
    <mergeCell ref="A68:C68"/>
    <mergeCell ref="E68:F68"/>
    <mergeCell ref="A69:C69"/>
    <mergeCell ref="E69:F69"/>
    <mergeCell ref="A64:C64"/>
    <mergeCell ref="E64:F64"/>
    <mergeCell ref="A65:C65"/>
    <mergeCell ref="E65:F65"/>
    <mergeCell ref="A66:C66"/>
    <mergeCell ref="E66:F66"/>
    <mergeCell ref="A61:C61"/>
    <mergeCell ref="E61:F61"/>
    <mergeCell ref="A62:C62"/>
    <mergeCell ref="E62:F62"/>
    <mergeCell ref="A63:C63"/>
    <mergeCell ref="E63:F63"/>
    <mergeCell ref="A58:C58"/>
    <mergeCell ref="E58:F58"/>
    <mergeCell ref="A59:C59"/>
    <mergeCell ref="E59:F59"/>
    <mergeCell ref="A60:C60"/>
    <mergeCell ref="E60:F60"/>
    <mergeCell ref="A55:C55"/>
    <mergeCell ref="E55:F55"/>
    <mergeCell ref="A56:C56"/>
    <mergeCell ref="E56:F56"/>
    <mergeCell ref="A57:C57"/>
    <mergeCell ref="E57:F57"/>
    <mergeCell ref="A52:C52"/>
    <mergeCell ref="E52:F52"/>
    <mergeCell ref="A53:C53"/>
    <mergeCell ref="E53:F53"/>
    <mergeCell ref="A54:C54"/>
    <mergeCell ref="E54:F54"/>
    <mergeCell ref="A49:C49"/>
    <mergeCell ref="E49:F49"/>
    <mergeCell ref="A50:C50"/>
    <mergeCell ref="E50:F50"/>
    <mergeCell ref="A51:C51"/>
    <mergeCell ref="E51:F51"/>
    <mergeCell ref="A46:C46"/>
    <mergeCell ref="E46:F46"/>
    <mergeCell ref="A47:C47"/>
    <mergeCell ref="E47:F47"/>
    <mergeCell ref="A48:C48"/>
    <mergeCell ref="E48:F48"/>
    <mergeCell ref="A43:C43"/>
    <mergeCell ref="E43:F43"/>
    <mergeCell ref="A44:C44"/>
    <mergeCell ref="E44:F44"/>
    <mergeCell ref="A45:C45"/>
    <mergeCell ref="E45:F45"/>
    <mergeCell ref="A40:C40"/>
    <mergeCell ref="E40:F40"/>
    <mergeCell ref="A41:C41"/>
    <mergeCell ref="E41:F41"/>
    <mergeCell ref="A42:C42"/>
    <mergeCell ref="E42:F42"/>
    <mergeCell ref="A37:C37"/>
    <mergeCell ref="E37:F37"/>
    <mergeCell ref="A38:C38"/>
    <mergeCell ref="E38:F38"/>
    <mergeCell ref="A39:C39"/>
    <mergeCell ref="E39:F39"/>
    <mergeCell ref="A34:C34"/>
    <mergeCell ref="E34:F34"/>
    <mergeCell ref="A35:C35"/>
    <mergeCell ref="E35:F35"/>
    <mergeCell ref="A36:C36"/>
    <mergeCell ref="E36:F36"/>
    <mergeCell ref="A31:C31"/>
    <mergeCell ref="E31:F31"/>
    <mergeCell ref="A32:C32"/>
    <mergeCell ref="E32:F32"/>
    <mergeCell ref="A33:C33"/>
    <mergeCell ref="E33:F33"/>
    <mergeCell ref="A28:C28"/>
    <mergeCell ref="E28:F28"/>
    <mergeCell ref="A29:C29"/>
    <mergeCell ref="E29:F29"/>
    <mergeCell ref="A30:C30"/>
    <mergeCell ref="E30:F30"/>
    <mergeCell ref="A25:C25"/>
    <mergeCell ref="E25:F25"/>
    <mergeCell ref="A26:C26"/>
    <mergeCell ref="E26:F26"/>
    <mergeCell ref="A27:C27"/>
    <mergeCell ref="E27:F27"/>
    <mergeCell ref="A22:C22"/>
    <mergeCell ref="E22:F22"/>
    <mergeCell ref="A23:C23"/>
    <mergeCell ref="E23:F23"/>
    <mergeCell ref="A24:C24"/>
    <mergeCell ref="E24:F24"/>
    <mergeCell ref="A19:C19"/>
    <mergeCell ref="E19:F19"/>
    <mergeCell ref="A20:C20"/>
    <mergeCell ref="E20:F20"/>
    <mergeCell ref="A21:C21"/>
    <mergeCell ref="E21:F21"/>
    <mergeCell ref="A16:C16"/>
    <mergeCell ref="E16:F16"/>
    <mergeCell ref="A17:C17"/>
    <mergeCell ref="E17:F17"/>
    <mergeCell ref="A18:C18"/>
    <mergeCell ref="E18:F18"/>
    <mergeCell ref="A14:C14"/>
    <mergeCell ref="E14:F14"/>
    <mergeCell ref="A15:C15"/>
    <mergeCell ref="E15:F15"/>
    <mergeCell ref="A10:C10"/>
    <mergeCell ref="E10:F10"/>
    <mergeCell ref="A11:C11"/>
    <mergeCell ref="E11:F11"/>
    <mergeCell ref="A12:C12"/>
    <mergeCell ref="E12:F12"/>
    <mergeCell ref="B4:G4"/>
    <mergeCell ref="A6:C6"/>
    <mergeCell ref="D6:D9"/>
    <mergeCell ref="E6:F9"/>
    <mergeCell ref="A7:C7"/>
    <mergeCell ref="A8:C8"/>
    <mergeCell ref="A9:C9"/>
    <mergeCell ref="A13:C13"/>
    <mergeCell ref="E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9F40-CA22-4510-9D36-2AF4E6CB5107}">
  <dimension ref="A1:F4"/>
  <sheetViews>
    <sheetView workbookViewId="0">
      <selection activeCell="F22" sqref="F22"/>
    </sheetView>
  </sheetViews>
  <sheetFormatPr defaultRowHeight="15" x14ac:dyDescent="0.25"/>
  <cols>
    <col min="1" max="1" width="11.5703125" bestFit="1" customWidth="1"/>
    <col min="2" max="3" width="9.28515625" bestFit="1" customWidth="1"/>
    <col min="4" max="4" width="16.85546875" bestFit="1" customWidth="1"/>
    <col min="5" max="5" width="21.140625" bestFit="1" customWidth="1"/>
    <col min="6" max="6" width="19" bestFit="1" customWidth="1"/>
  </cols>
  <sheetData>
    <row r="1" spans="1:6" x14ac:dyDescent="0.25">
      <c r="A1" s="475" t="s">
        <v>3857</v>
      </c>
    </row>
    <row r="3" spans="1:6" x14ac:dyDescent="0.25">
      <c r="A3" t="s">
        <v>83</v>
      </c>
      <c r="B3" t="s">
        <v>173</v>
      </c>
      <c r="C3" t="s">
        <v>12</v>
      </c>
      <c r="D3" t="s">
        <v>3570</v>
      </c>
      <c r="E3" t="s">
        <v>3571</v>
      </c>
      <c r="F3" t="s">
        <v>14</v>
      </c>
    </row>
    <row r="4" spans="1:6" x14ac:dyDescent="0.25">
      <c r="A4" t="s">
        <v>2932</v>
      </c>
      <c r="B4" t="s">
        <v>3108</v>
      </c>
      <c r="C4" t="s">
        <v>900</v>
      </c>
      <c r="D4">
        <v>102</v>
      </c>
      <c r="E4">
        <v>102</v>
      </c>
      <c r="F4">
        <v>3.1307448494453247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E528-A1C8-4FB4-A04A-9CF17227A515}">
  <dimension ref="A1:F15"/>
  <sheetViews>
    <sheetView workbookViewId="0">
      <selection activeCell="F15" sqref="F15"/>
    </sheetView>
  </sheetViews>
  <sheetFormatPr defaultRowHeight="15" x14ac:dyDescent="0.25"/>
  <cols>
    <col min="1" max="1" width="11.5703125" bestFit="1" customWidth="1"/>
    <col min="2" max="2" width="9.28515625" bestFit="1" customWidth="1"/>
    <col min="3" max="3" width="10" bestFit="1" customWidth="1"/>
    <col min="4" max="4" width="16.85546875" bestFit="1" customWidth="1"/>
    <col min="5" max="5" width="21.140625" bestFit="1" customWidth="1"/>
    <col min="6" max="6" width="19" bestFit="1" customWidth="1"/>
  </cols>
  <sheetData>
    <row r="1" spans="1:6" x14ac:dyDescent="0.25">
      <c r="A1" s="475" t="s">
        <v>3858</v>
      </c>
    </row>
    <row r="3" spans="1:6" x14ac:dyDescent="0.25">
      <c r="A3" t="s">
        <v>83</v>
      </c>
      <c r="B3" t="s">
        <v>173</v>
      </c>
      <c r="C3" t="s">
        <v>12</v>
      </c>
      <c r="D3" t="s">
        <v>3570</v>
      </c>
      <c r="E3" t="s">
        <v>3571</v>
      </c>
      <c r="F3" t="s">
        <v>14</v>
      </c>
    </row>
    <row r="4" spans="1:6" x14ac:dyDescent="0.25">
      <c r="A4" t="s">
        <v>2932</v>
      </c>
      <c r="B4" t="s">
        <v>864</v>
      </c>
      <c r="C4" t="s">
        <v>1755</v>
      </c>
      <c r="D4">
        <v>55</v>
      </c>
      <c r="E4">
        <v>54</v>
      </c>
      <c r="F4">
        <v>46.000000000000007</v>
      </c>
    </row>
    <row r="5" spans="1:6" x14ac:dyDescent="0.25">
      <c r="A5" t="s">
        <v>2932</v>
      </c>
      <c r="B5" t="s">
        <v>3113</v>
      </c>
      <c r="C5" t="s">
        <v>1755</v>
      </c>
      <c r="D5">
        <v>20</v>
      </c>
      <c r="E5">
        <v>8</v>
      </c>
      <c r="F5">
        <v>6</v>
      </c>
    </row>
    <row r="6" spans="1:6" x14ac:dyDescent="0.25">
      <c r="A6" t="s">
        <v>2932</v>
      </c>
      <c r="B6" t="s">
        <v>3092</v>
      </c>
      <c r="C6" t="s">
        <v>900</v>
      </c>
      <c r="D6">
        <v>49</v>
      </c>
      <c r="E6">
        <v>33</v>
      </c>
      <c r="F6">
        <v>0</v>
      </c>
    </row>
    <row r="7" spans="1:6" x14ac:dyDescent="0.25">
      <c r="A7" t="s">
        <v>2932</v>
      </c>
      <c r="B7" t="s">
        <v>3108</v>
      </c>
      <c r="C7" t="s">
        <v>900</v>
      </c>
      <c r="D7">
        <v>102</v>
      </c>
      <c r="E7">
        <v>102</v>
      </c>
      <c r="F7">
        <v>0</v>
      </c>
    </row>
    <row r="8" spans="1:6" x14ac:dyDescent="0.25">
      <c r="A8" t="s">
        <v>2932</v>
      </c>
      <c r="B8" t="s">
        <v>3109</v>
      </c>
      <c r="C8" t="s">
        <v>909</v>
      </c>
      <c r="D8">
        <v>20</v>
      </c>
      <c r="E8">
        <v>20</v>
      </c>
      <c r="F8">
        <v>19.999999999999996</v>
      </c>
    </row>
    <row r="9" spans="1:6" x14ac:dyDescent="0.25">
      <c r="A9" t="s">
        <v>2932</v>
      </c>
      <c r="B9" t="s">
        <v>864</v>
      </c>
      <c r="C9" t="s">
        <v>909</v>
      </c>
      <c r="D9">
        <v>55</v>
      </c>
      <c r="E9">
        <v>1</v>
      </c>
      <c r="F9">
        <v>9</v>
      </c>
    </row>
    <row r="10" spans="1:6" x14ac:dyDescent="0.25">
      <c r="A10" t="s">
        <v>2932</v>
      </c>
      <c r="B10" t="s">
        <v>2884</v>
      </c>
      <c r="C10" t="s">
        <v>909</v>
      </c>
      <c r="D10">
        <v>39</v>
      </c>
      <c r="E10">
        <v>39</v>
      </c>
      <c r="F10">
        <v>39</v>
      </c>
    </row>
    <row r="11" spans="1:6" x14ac:dyDescent="0.25">
      <c r="A11" t="s">
        <v>2932</v>
      </c>
      <c r="B11" t="s">
        <v>3112</v>
      </c>
      <c r="C11" t="s">
        <v>909</v>
      </c>
      <c r="D11">
        <v>19</v>
      </c>
      <c r="E11">
        <v>19</v>
      </c>
      <c r="F11">
        <v>19</v>
      </c>
    </row>
    <row r="12" spans="1:6" x14ac:dyDescent="0.25">
      <c r="A12" t="s">
        <v>2932</v>
      </c>
      <c r="B12" t="s">
        <v>3113</v>
      </c>
      <c r="C12" t="s">
        <v>909</v>
      </c>
      <c r="D12">
        <v>20</v>
      </c>
      <c r="E12">
        <v>12</v>
      </c>
      <c r="F12">
        <v>0</v>
      </c>
    </row>
    <row r="13" spans="1:6" x14ac:dyDescent="0.25">
      <c r="A13" t="s">
        <v>2932</v>
      </c>
      <c r="B13" t="s">
        <v>3111</v>
      </c>
      <c r="C13" t="s">
        <v>747</v>
      </c>
      <c r="D13">
        <v>54</v>
      </c>
      <c r="E13">
        <v>54</v>
      </c>
      <c r="F13">
        <v>33</v>
      </c>
    </row>
    <row r="14" spans="1:6" x14ac:dyDescent="0.25">
      <c r="A14" t="s">
        <v>2932</v>
      </c>
      <c r="B14" t="s">
        <v>3092</v>
      </c>
      <c r="C14" t="s">
        <v>901</v>
      </c>
      <c r="D14">
        <v>49</v>
      </c>
      <c r="E14">
        <v>16</v>
      </c>
      <c r="F14">
        <v>43.994136291600597</v>
      </c>
    </row>
    <row r="15" spans="1:6" x14ac:dyDescent="0.25">
      <c r="A15" t="s">
        <v>2932</v>
      </c>
      <c r="B15" t="s">
        <v>3110</v>
      </c>
      <c r="C15" t="s">
        <v>901</v>
      </c>
      <c r="D15">
        <v>62</v>
      </c>
      <c r="E15">
        <v>62</v>
      </c>
      <c r="F15">
        <v>16.801584786053883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BEB8-CAF7-4D73-B05C-3B4A5FB2A98E}">
  <sheetPr>
    <pageSetUpPr fitToPage="1"/>
  </sheetPr>
  <dimension ref="A1:O67"/>
  <sheetViews>
    <sheetView showGridLines="0" workbookViewId="0">
      <pane xSplit="8" ySplit="3" topLeftCell="I10" activePane="bottomRight" state="frozen"/>
      <selection activeCell="H1" sqref="H1"/>
      <selection pane="topRight" activeCell="I1" sqref="I1"/>
      <selection pane="bottomLeft" activeCell="H4" sqref="H4"/>
      <selection pane="bottomRight" activeCell="T36" sqref="T36"/>
    </sheetView>
  </sheetViews>
  <sheetFormatPr defaultRowHeight="15" outlineLevelCol="1" x14ac:dyDescent="0.25"/>
  <cols>
    <col min="1" max="1" width="2" hidden="1" customWidth="1" outlineLevel="1"/>
    <col min="2" max="2" width="15.28515625" hidden="1" customWidth="1" outlineLevel="1"/>
    <col min="3" max="3" width="9.140625" hidden="1" customWidth="1" outlineLevel="1"/>
    <col min="4" max="4" width="14.28515625" hidden="1" customWidth="1" outlineLevel="1"/>
    <col min="5" max="5" width="12.140625" hidden="1" customWidth="1" outlineLevel="1"/>
    <col min="6" max="7" width="10.140625" style="99" hidden="1" customWidth="1" outlineLevel="1"/>
    <col min="8" max="8" width="2.140625" customWidth="1" collapsed="1"/>
    <col min="9" max="9" width="21" customWidth="1"/>
    <col min="10" max="10" width="19.42578125" customWidth="1"/>
    <col min="11" max="11" width="12.28515625" customWidth="1"/>
    <col min="12" max="12" width="16.42578125" customWidth="1"/>
    <col min="13" max="13" width="18.28515625" bestFit="1" customWidth="1"/>
  </cols>
  <sheetData>
    <row r="1" spans="2:15" ht="20.45" customHeight="1" x14ac:dyDescent="0.25">
      <c r="B1" s="447" t="s">
        <v>83</v>
      </c>
      <c r="C1" s="447" t="s">
        <v>173</v>
      </c>
      <c r="D1" s="448" t="s">
        <v>12</v>
      </c>
      <c r="E1" s="447" t="s">
        <v>3570</v>
      </c>
      <c r="F1" s="447" t="s">
        <v>3571</v>
      </c>
      <c r="G1" s="447" t="s">
        <v>14</v>
      </c>
    </row>
    <row r="2" spans="2:15" ht="11.45" customHeight="1" x14ac:dyDescent="0.25">
      <c r="B2" s="436" t="s">
        <v>46</v>
      </c>
      <c r="C2" s="437" t="s">
        <v>3092</v>
      </c>
      <c r="D2" s="438" t="s">
        <v>1755</v>
      </c>
      <c r="E2" s="439">
        <v>11</v>
      </c>
      <c r="F2" s="440">
        <v>1.5</v>
      </c>
      <c r="G2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0</v>
      </c>
      <c r="L2" s="50" t="s">
        <v>1635</v>
      </c>
    </row>
    <row r="3" spans="2:15" ht="11.45" customHeight="1" x14ac:dyDescent="0.25">
      <c r="B3" s="436" t="s">
        <v>46</v>
      </c>
      <c r="C3" s="437" t="s">
        <v>3092</v>
      </c>
      <c r="D3" s="438" t="s">
        <v>900</v>
      </c>
      <c r="E3" s="439">
        <v>11</v>
      </c>
      <c r="F3" s="440">
        <v>8</v>
      </c>
      <c r="G3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11</v>
      </c>
      <c r="I3" s="50" t="s">
        <v>83</v>
      </c>
      <c r="J3" s="50" t="s">
        <v>173</v>
      </c>
      <c r="K3" s="50" t="s">
        <v>12</v>
      </c>
      <c r="L3" s="135" t="s">
        <v>3575</v>
      </c>
      <c r="M3" s="457" t="s">
        <v>3576</v>
      </c>
      <c r="N3" s="28" t="s">
        <v>3620</v>
      </c>
    </row>
    <row r="4" spans="2:15" ht="11.45" customHeight="1" x14ac:dyDescent="0.25">
      <c r="B4" s="436" t="s">
        <v>46</v>
      </c>
      <c r="C4" s="437" t="s">
        <v>3092</v>
      </c>
      <c r="D4" s="438" t="s">
        <v>909</v>
      </c>
      <c r="E4" s="439">
        <v>11</v>
      </c>
      <c r="F4" s="440">
        <v>1.5</v>
      </c>
      <c r="G4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0</v>
      </c>
      <c r="I4" t="s">
        <v>46</v>
      </c>
      <c r="J4" t="s">
        <v>3092</v>
      </c>
      <c r="L4" s="46">
        <v>11</v>
      </c>
      <c r="M4" s="456">
        <v>11</v>
      </c>
      <c r="N4" s="99">
        <f>M4-L4</f>
        <v>0</v>
      </c>
    </row>
    <row r="5" spans="2:15" ht="11.45" customHeight="1" x14ac:dyDescent="0.25">
      <c r="B5" s="436" t="s">
        <v>46</v>
      </c>
      <c r="C5" s="437" t="s">
        <v>3093</v>
      </c>
      <c r="D5" s="438" t="s">
        <v>524</v>
      </c>
      <c r="E5" s="439">
        <v>56</v>
      </c>
      <c r="F5" s="440">
        <v>54.5</v>
      </c>
      <c r="G5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54.499999999999993</v>
      </c>
      <c r="J5" t="s">
        <v>3093</v>
      </c>
      <c r="L5" s="46">
        <v>56</v>
      </c>
      <c r="M5" s="456">
        <v>55.999999999999993</v>
      </c>
      <c r="N5" s="99">
        <f t="shared" ref="N5:N44" si="0">M5-L5</f>
        <v>0</v>
      </c>
    </row>
    <row r="6" spans="2:15" ht="11.45" customHeight="1" x14ac:dyDescent="0.25">
      <c r="B6" s="436" t="s">
        <v>46</v>
      </c>
      <c r="C6" s="437" t="s">
        <v>3093</v>
      </c>
      <c r="D6" s="438" t="s">
        <v>1755</v>
      </c>
      <c r="E6" s="439">
        <v>56</v>
      </c>
      <c r="F6" s="440">
        <v>1.5</v>
      </c>
      <c r="G6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1.5</v>
      </c>
      <c r="J6" t="s">
        <v>3094</v>
      </c>
      <c r="L6" s="46">
        <v>14</v>
      </c>
      <c r="M6" s="456">
        <v>2</v>
      </c>
      <c r="N6" s="99">
        <f t="shared" si="0"/>
        <v>-12</v>
      </c>
      <c r="O6" t="s">
        <v>3840</v>
      </c>
    </row>
    <row r="7" spans="2:15" ht="11.45" customHeight="1" x14ac:dyDescent="0.25">
      <c r="B7" s="436" t="s">
        <v>46</v>
      </c>
      <c r="C7" s="437" t="s">
        <v>3094</v>
      </c>
      <c r="D7" s="438" t="s">
        <v>524</v>
      </c>
      <c r="E7" s="439">
        <v>14</v>
      </c>
      <c r="F7" s="440">
        <v>14</v>
      </c>
      <c r="G7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2</v>
      </c>
      <c r="J7" t="s">
        <v>3095</v>
      </c>
      <c r="L7" s="46">
        <v>40</v>
      </c>
      <c r="M7" s="456">
        <v>40</v>
      </c>
      <c r="N7" s="99">
        <f t="shared" si="0"/>
        <v>0</v>
      </c>
    </row>
    <row r="8" spans="2:15" ht="11.45" customHeight="1" x14ac:dyDescent="0.25">
      <c r="B8" s="436" t="s">
        <v>46</v>
      </c>
      <c r="C8" s="437" t="s">
        <v>3095</v>
      </c>
      <c r="D8" s="438" t="s">
        <v>524</v>
      </c>
      <c r="E8" s="439">
        <v>40</v>
      </c>
      <c r="F8" s="440">
        <v>10</v>
      </c>
      <c r="G8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1</v>
      </c>
      <c r="J8" t="s">
        <v>3096</v>
      </c>
      <c r="L8" s="46">
        <v>4</v>
      </c>
      <c r="M8" s="456">
        <v>4</v>
      </c>
      <c r="N8" s="99">
        <f t="shared" si="0"/>
        <v>0</v>
      </c>
    </row>
    <row r="9" spans="2:15" ht="11.45" customHeight="1" x14ac:dyDescent="0.25">
      <c r="B9" s="436" t="s">
        <v>46</v>
      </c>
      <c r="C9" s="437" t="s">
        <v>3095</v>
      </c>
      <c r="D9" s="438" t="s">
        <v>909</v>
      </c>
      <c r="E9" s="439">
        <v>40</v>
      </c>
      <c r="F9" s="440">
        <v>30</v>
      </c>
      <c r="G9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39</v>
      </c>
      <c r="J9" t="s">
        <v>3097</v>
      </c>
      <c r="L9" s="46">
        <v>63</v>
      </c>
      <c r="M9" s="456">
        <v>63.000000000000014</v>
      </c>
      <c r="N9" s="99">
        <f t="shared" si="0"/>
        <v>0</v>
      </c>
    </row>
    <row r="10" spans="2:15" ht="11.45" customHeight="1" x14ac:dyDescent="0.25">
      <c r="B10" s="436" t="s">
        <v>46</v>
      </c>
      <c r="C10" s="437" t="s">
        <v>3096</v>
      </c>
      <c r="D10" s="438" t="s">
        <v>1755</v>
      </c>
      <c r="E10" s="439">
        <v>4</v>
      </c>
      <c r="F10" s="440">
        <v>4</v>
      </c>
      <c r="G10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4</v>
      </c>
      <c r="J10" t="s">
        <v>3098</v>
      </c>
      <c r="L10" s="46">
        <v>47</v>
      </c>
      <c r="M10" s="456">
        <v>32</v>
      </c>
      <c r="N10" s="99">
        <f t="shared" si="0"/>
        <v>-15</v>
      </c>
      <c r="O10" t="s">
        <v>4039</v>
      </c>
    </row>
    <row r="11" spans="2:15" ht="11.45" customHeight="1" x14ac:dyDescent="0.25">
      <c r="B11" s="436" t="s">
        <v>46</v>
      </c>
      <c r="C11" s="437" t="s">
        <v>3097</v>
      </c>
      <c r="D11" s="438" t="s">
        <v>909</v>
      </c>
      <c r="E11" s="439">
        <v>63</v>
      </c>
      <c r="F11" s="440">
        <v>63</v>
      </c>
      <c r="G11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63.000000000000014</v>
      </c>
      <c r="J11" t="s">
        <v>2974</v>
      </c>
      <c r="L11" s="46">
        <v>36</v>
      </c>
      <c r="M11" s="456">
        <v>36</v>
      </c>
      <c r="N11" s="99">
        <f t="shared" si="0"/>
        <v>0</v>
      </c>
    </row>
    <row r="12" spans="2:15" ht="11.45" customHeight="1" x14ac:dyDescent="0.25">
      <c r="B12" s="436" t="s">
        <v>46</v>
      </c>
      <c r="C12" s="437" t="s">
        <v>3098</v>
      </c>
      <c r="D12" s="438" t="s">
        <v>901</v>
      </c>
      <c r="E12" s="439">
        <v>47</v>
      </c>
      <c r="F12" s="440">
        <v>47</v>
      </c>
      <c r="G12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32</v>
      </c>
      <c r="J12" t="s">
        <v>3099</v>
      </c>
      <c r="L12" s="46">
        <v>41</v>
      </c>
      <c r="M12" s="456">
        <v>20.000000000000004</v>
      </c>
      <c r="N12" s="99">
        <f t="shared" si="0"/>
        <v>-20.999999999999996</v>
      </c>
      <c r="O12" t="s">
        <v>3840</v>
      </c>
    </row>
    <row r="13" spans="2:15" ht="11.45" customHeight="1" x14ac:dyDescent="0.25">
      <c r="B13" s="436" t="s">
        <v>46</v>
      </c>
      <c r="C13" s="437" t="s">
        <v>2974</v>
      </c>
      <c r="D13" s="438" t="s">
        <v>782</v>
      </c>
      <c r="E13" s="439">
        <v>36</v>
      </c>
      <c r="F13" s="440">
        <v>5</v>
      </c>
      <c r="G13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5</v>
      </c>
      <c r="J13" t="s">
        <v>3100</v>
      </c>
      <c r="L13" s="46">
        <v>39</v>
      </c>
      <c r="M13" s="456">
        <v>39.000000000000007</v>
      </c>
      <c r="N13" s="99">
        <f t="shared" si="0"/>
        <v>0</v>
      </c>
    </row>
    <row r="14" spans="2:15" ht="11.45" customHeight="1" x14ac:dyDescent="0.25">
      <c r="B14" s="436" t="s">
        <v>46</v>
      </c>
      <c r="C14" s="437" t="s">
        <v>2974</v>
      </c>
      <c r="D14" s="438" t="s">
        <v>747</v>
      </c>
      <c r="E14" s="439">
        <v>36</v>
      </c>
      <c r="F14" s="440">
        <v>31</v>
      </c>
      <c r="G14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30.999999999999996</v>
      </c>
      <c r="J14" t="s">
        <v>2968</v>
      </c>
      <c r="L14" s="46">
        <v>79</v>
      </c>
      <c r="M14" s="456">
        <v>79.000000000000028</v>
      </c>
      <c r="N14" s="99">
        <f t="shared" si="0"/>
        <v>0</v>
      </c>
    </row>
    <row r="15" spans="2:15" ht="11.45" customHeight="1" x14ac:dyDescent="0.25">
      <c r="B15" s="436" t="s">
        <v>46</v>
      </c>
      <c r="C15" s="437" t="s">
        <v>3099</v>
      </c>
      <c r="D15" s="438" t="s">
        <v>747</v>
      </c>
      <c r="E15" s="439">
        <v>41</v>
      </c>
      <c r="F15" s="440">
        <v>20</v>
      </c>
      <c r="G15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20.000000000000004</v>
      </c>
      <c r="J15" t="s">
        <v>3101</v>
      </c>
      <c r="L15" s="46">
        <v>38</v>
      </c>
      <c r="M15" s="456">
        <v>38.000000000000007</v>
      </c>
      <c r="N15" s="99">
        <f t="shared" si="0"/>
        <v>0</v>
      </c>
    </row>
    <row r="16" spans="2:15" ht="11.45" customHeight="1" x14ac:dyDescent="0.25">
      <c r="B16" s="436" t="s">
        <v>46</v>
      </c>
      <c r="C16" s="437" t="s">
        <v>3099</v>
      </c>
      <c r="D16" s="438" t="s">
        <v>901</v>
      </c>
      <c r="E16" s="439">
        <v>41</v>
      </c>
      <c r="F16" s="440">
        <v>21</v>
      </c>
      <c r="G16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0</v>
      </c>
      <c r="J16" t="s">
        <v>2935</v>
      </c>
      <c r="L16" s="46">
        <v>111</v>
      </c>
      <c r="M16" s="456">
        <v>111.00000000000001</v>
      </c>
      <c r="N16" s="99">
        <f t="shared" si="0"/>
        <v>0</v>
      </c>
    </row>
    <row r="17" spans="2:15" ht="11.45" customHeight="1" x14ac:dyDescent="0.25">
      <c r="B17" s="436" t="s">
        <v>46</v>
      </c>
      <c r="C17" s="437" t="s">
        <v>3100</v>
      </c>
      <c r="D17" s="438" t="s">
        <v>901</v>
      </c>
      <c r="E17" s="439">
        <v>39</v>
      </c>
      <c r="F17" s="440">
        <v>39</v>
      </c>
      <c r="G17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39.000000000000007</v>
      </c>
      <c r="J17" t="s">
        <v>3102</v>
      </c>
      <c r="L17" s="46">
        <v>63</v>
      </c>
      <c r="M17" s="456">
        <v>26</v>
      </c>
      <c r="N17" s="99">
        <f t="shared" si="0"/>
        <v>-37</v>
      </c>
      <c r="O17" t="s">
        <v>3840</v>
      </c>
    </row>
    <row r="18" spans="2:15" ht="11.45" customHeight="1" x14ac:dyDescent="0.25">
      <c r="B18" s="436" t="s">
        <v>46</v>
      </c>
      <c r="C18" s="437" t="s">
        <v>2968</v>
      </c>
      <c r="D18" s="438" t="s">
        <v>524</v>
      </c>
      <c r="E18" s="439">
        <v>79</v>
      </c>
      <c r="F18" s="440">
        <v>79</v>
      </c>
      <c r="G18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79.000000000000028</v>
      </c>
      <c r="J18" t="s">
        <v>3103</v>
      </c>
      <c r="L18" s="46">
        <v>41</v>
      </c>
      <c r="M18" s="456">
        <v>41.000000000000014</v>
      </c>
      <c r="N18" s="99">
        <f t="shared" si="0"/>
        <v>0</v>
      </c>
    </row>
    <row r="19" spans="2:15" ht="11.45" customHeight="1" x14ac:dyDescent="0.25">
      <c r="B19" s="436" t="s">
        <v>46</v>
      </c>
      <c r="C19" s="437" t="s">
        <v>3101</v>
      </c>
      <c r="D19" s="438" t="s">
        <v>524</v>
      </c>
      <c r="E19" s="439">
        <v>38</v>
      </c>
      <c r="F19" s="440">
        <v>38</v>
      </c>
      <c r="G19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38.000000000000007</v>
      </c>
      <c r="J19" t="s">
        <v>3104</v>
      </c>
      <c r="L19" s="46">
        <v>14</v>
      </c>
      <c r="M19" s="456">
        <v>14</v>
      </c>
      <c r="N19" s="99">
        <f t="shared" si="0"/>
        <v>0</v>
      </c>
    </row>
    <row r="20" spans="2:15" ht="11.45" customHeight="1" x14ac:dyDescent="0.25">
      <c r="B20" s="436" t="s">
        <v>46</v>
      </c>
      <c r="C20" s="437" t="s">
        <v>2935</v>
      </c>
      <c r="D20" s="438" t="s">
        <v>782</v>
      </c>
      <c r="E20" s="439">
        <v>111</v>
      </c>
      <c r="F20" s="440">
        <v>111</v>
      </c>
      <c r="G20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111.00000000000001</v>
      </c>
      <c r="J20" t="s">
        <v>3105</v>
      </c>
      <c r="L20" s="46">
        <v>24</v>
      </c>
      <c r="M20" s="456">
        <v>3</v>
      </c>
      <c r="N20" s="99">
        <f t="shared" si="0"/>
        <v>-21</v>
      </c>
      <c r="O20" t="s">
        <v>3840</v>
      </c>
    </row>
    <row r="21" spans="2:15" ht="11.45" customHeight="1" x14ac:dyDescent="0.25">
      <c r="B21" s="436" t="s">
        <v>46</v>
      </c>
      <c r="C21" s="437" t="s">
        <v>3102</v>
      </c>
      <c r="D21" s="438" t="s">
        <v>524</v>
      </c>
      <c r="E21" s="439">
        <v>63</v>
      </c>
      <c r="F21" s="440">
        <v>63</v>
      </c>
      <c r="G21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26</v>
      </c>
      <c r="J21" t="s">
        <v>3106</v>
      </c>
      <c r="L21" s="46">
        <v>57</v>
      </c>
      <c r="M21" s="456">
        <v>57.000000000000021</v>
      </c>
      <c r="N21" s="99">
        <f t="shared" si="0"/>
        <v>0</v>
      </c>
    </row>
    <row r="22" spans="2:15" ht="11.45" customHeight="1" x14ac:dyDescent="0.25">
      <c r="B22" s="436" t="s">
        <v>46</v>
      </c>
      <c r="C22" s="437" t="s">
        <v>3103</v>
      </c>
      <c r="D22" s="438" t="s">
        <v>524</v>
      </c>
      <c r="E22" s="439">
        <v>41</v>
      </c>
      <c r="F22" s="440">
        <v>41</v>
      </c>
      <c r="G22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41.000000000000014</v>
      </c>
      <c r="I22" t="s">
        <v>3572</v>
      </c>
      <c r="L22" s="46">
        <v>778</v>
      </c>
      <c r="M22" s="456">
        <v>672</v>
      </c>
      <c r="N22" s="99">
        <f t="shared" si="0"/>
        <v>-106</v>
      </c>
    </row>
    <row r="23" spans="2:15" ht="11.45" customHeight="1" x14ac:dyDescent="0.25">
      <c r="B23" s="436" t="s">
        <v>46</v>
      </c>
      <c r="C23" s="437" t="s">
        <v>3104</v>
      </c>
      <c r="D23" s="438" t="s">
        <v>524</v>
      </c>
      <c r="E23" s="439">
        <v>14</v>
      </c>
      <c r="F23" s="440">
        <v>14</v>
      </c>
      <c r="G23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14</v>
      </c>
      <c r="I23" t="s">
        <v>2932</v>
      </c>
      <c r="J23" t="s">
        <v>3092</v>
      </c>
      <c r="L23" s="46">
        <v>49</v>
      </c>
      <c r="M23" s="456">
        <v>48.999999999999993</v>
      </c>
      <c r="N23" s="99">
        <f t="shared" si="0"/>
        <v>0</v>
      </c>
    </row>
    <row r="24" spans="2:15" ht="11.45" customHeight="1" x14ac:dyDescent="0.25">
      <c r="B24" s="436" t="s">
        <v>46</v>
      </c>
      <c r="C24" s="437" t="s">
        <v>3105</v>
      </c>
      <c r="D24" s="438" t="s">
        <v>901</v>
      </c>
      <c r="E24" s="439">
        <v>24</v>
      </c>
      <c r="F24" s="440">
        <v>24</v>
      </c>
      <c r="G24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3</v>
      </c>
      <c r="J24" t="s">
        <v>3108</v>
      </c>
      <c r="L24" s="46">
        <v>102</v>
      </c>
      <c r="M24" s="456">
        <v>76.999999999999986</v>
      </c>
      <c r="N24" s="99">
        <f t="shared" si="0"/>
        <v>-25.000000000000014</v>
      </c>
    </row>
    <row r="25" spans="2:15" ht="11.45" customHeight="1" x14ac:dyDescent="0.25">
      <c r="B25" s="436" t="s">
        <v>46</v>
      </c>
      <c r="C25" s="437" t="s">
        <v>3106</v>
      </c>
      <c r="D25" s="438" t="s">
        <v>524</v>
      </c>
      <c r="E25" s="439">
        <v>57</v>
      </c>
      <c r="F25" s="440">
        <v>52</v>
      </c>
      <c r="G25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52.000000000000021</v>
      </c>
      <c r="J25" t="s">
        <v>3109</v>
      </c>
      <c r="L25" s="46">
        <v>20</v>
      </c>
      <c r="M25" s="456">
        <v>19.999999999999996</v>
      </c>
      <c r="N25" s="99">
        <f t="shared" si="0"/>
        <v>0</v>
      </c>
    </row>
    <row r="26" spans="2:15" ht="11.45" customHeight="1" x14ac:dyDescent="0.25">
      <c r="B26" s="436" t="s">
        <v>46</v>
      </c>
      <c r="C26" s="437" t="s">
        <v>3106</v>
      </c>
      <c r="D26" s="438" t="s">
        <v>901</v>
      </c>
      <c r="E26" s="439">
        <v>57</v>
      </c>
      <c r="F26" s="440">
        <v>5</v>
      </c>
      <c r="G26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5</v>
      </c>
      <c r="J26" t="s">
        <v>3110</v>
      </c>
      <c r="L26" s="46">
        <v>62</v>
      </c>
      <c r="M26" s="456">
        <v>62</v>
      </c>
      <c r="N26" s="99">
        <f t="shared" si="0"/>
        <v>0</v>
      </c>
    </row>
    <row r="27" spans="2:15" ht="11.45" customHeight="1" x14ac:dyDescent="0.25">
      <c r="B27" s="436" t="s">
        <v>2932</v>
      </c>
      <c r="C27" s="437" t="s">
        <v>3092</v>
      </c>
      <c r="D27" s="438" t="s">
        <v>900</v>
      </c>
      <c r="E27" s="439">
        <v>49</v>
      </c>
      <c r="F27" s="440">
        <v>33</v>
      </c>
      <c r="G27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0</v>
      </c>
      <c r="J27" t="s">
        <v>864</v>
      </c>
      <c r="L27" s="46">
        <v>55</v>
      </c>
      <c r="M27" s="456">
        <v>54.999999999999986</v>
      </c>
      <c r="N27" s="99">
        <f>M27-L27</f>
        <v>0</v>
      </c>
    </row>
    <row r="28" spans="2:15" ht="11.45" customHeight="1" x14ac:dyDescent="0.25">
      <c r="B28" s="436" t="s">
        <v>2932</v>
      </c>
      <c r="C28" s="437" t="s">
        <v>3092</v>
      </c>
      <c r="D28" s="438" t="s">
        <v>901</v>
      </c>
      <c r="E28" s="439">
        <v>49</v>
      </c>
      <c r="F28" s="440">
        <v>16</v>
      </c>
      <c r="G28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48.999999999999993</v>
      </c>
      <c r="J28" t="s">
        <v>2884</v>
      </c>
      <c r="L28" s="46">
        <v>39</v>
      </c>
      <c r="M28" s="456">
        <v>39</v>
      </c>
      <c r="N28" s="99">
        <f t="shared" si="0"/>
        <v>0</v>
      </c>
    </row>
    <row r="29" spans="2:15" ht="11.45" customHeight="1" x14ac:dyDescent="0.25">
      <c r="B29" s="436" t="s">
        <v>2932</v>
      </c>
      <c r="C29" s="437" t="s">
        <v>3108</v>
      </c>
      <c r="D29" s="438" t="s">
        <v>900</v>
      </c>
      <c r="E29" s="439">
        <v>102</v>
      </c>
      <c r="F29" s="440">
        <v>102</v>
      </c>
      <c r="G29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76.999999999999986</v>
      </c>
      <c r="J29" t="s">
        <v>3111</v>
      </c>
      <c r="L29" s="46">
        <v>54</v>
      </c>
      <c r="M29" s="456">
        <v>33</v>
      </c>
      <c r="N29" s="99">
        <f t="shared" si="0"/>
        <v>-21</v>
      </c>
      <c r="O29" t="s">
        <v>3893</v>
      </c>
    </row>
    <row r="30" spans="2:15" ht="11.45" customHeight="1" x14ac:dyDescent="0.25">
      <c r="B30" s="436" t="s">
        <v>2932</v>
      </c>
      <c r="C30" s="437" t="s">
        <v>3109</v>
      </c>
      <c r="D30" s="438" t="s">
        <v>909</v>
      </c>
      <c r="E30" s="439">
        <v>20</v>
      </c>
      <c r="F30" s="440">
        <v>20</v>
      </c>
      <c r="G30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19.999999999999996</v>
      </c>
      <c r="J30" t="s">
        <v>3112</v>
      </c>
      <c r="L30" s="46">
        <v>19</v>
      </c>
      <c r="M30" s="456">
        <v>19</v>
      </c>
      <c r="N30" s="99">
        <f t="shared" si="0"/>
        <v>0</v>
      </c>
    </row>
    <row r="31" spans="2:15" ht="11.45" customHeight="1" x14ac:dyDescent="0.25">
      <c r="B31" s="436" t="s">
        <v>2932</v>
      </c>
      <c r="C31" s="437" t="s">
        <v>3110</v>
      </c>
      <c r="D31" s="438" t="s">
        <v>901</v>
      </c>
      <c r="E31" s="439">
        <v>62</v>
      </c>
      <c r="F31" s="440">
        <v>62</v>
      </c>
      <c r="G31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62</v>
      </c>
      <c r="J31" t="s">
        <v>3113</v>
      </c>
      <c r="L31" s="46">
        <v>20</v>
      </c>
      <c r="M31" s="456">
        <v>6</v>
      </c>
      <c r="N31" s="99">
        <f t="shared" si="0"/>
        <v>-14</v>
      </c>
      <c r="O31" s="476"/>
    </row>
    <row r="32" spans="2:15" ht="11.45" customHeight="1" x14ac:dyDescent="0.25">
      <c r="B32" s="436" t="s">
        <v>2932</v>
      </c>
      <c r="C32" s="437" t="s">
        <v>864</v>
      </c>
      <c r="D32" s="438" t="s">
        <v>1755</v>
      </c>
      <c r="E32" s="439">
        <v>55</v>
      </c>
      <c r="F32" s="440">
        <v>54</v>
      </c>
      <c r="G32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46.199999999999982</v>
      </c>
      <c r="I32" t="s">
        <v>3376</v>
      </c>
      <c r="L32" s="46">
        <v>420</v>
      </c>
      <c r="M32" s="456">
        <v>359.99999999999994</v>
      </c>
      <c r="N32" s="99">
        <f t="shared" si="0"/>
        <v>-60.000000000000057</v>
      </c>
    </row>
    <row r="33" spans="2:15" ht="11.45" customHeight="1" x14ac:dyDescent="0.25">
      <c r="B33" s="436" t="s">
        <v>2932</v>
      </c>
      <c r="C33" s="437" t="s">
        <v>864</v>
      </c>
      <c r="D33" s="438" t="s">
        <v>909</v>
      </c>
      <c r="E33" s="439">
        <v>55</v>
      </c>
      <c r="F33" s="440">
        <v>1</v>
      </c>
      <c r="G33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8.8000000000000007</v>
      </c>
      <c r="I33" t="s">
        <v>52</v>
      </c>
      <c r="J33" t="s">
        <v>3114</v>
      </c>
      <c r="L33" s="385">
        <v>76.64</v>
      </c>
      <c r="M33" s="468">
        <v>76.699999999999989</v>
      </c>
      <c r="N33" s="471">
        <f t="shared" si="0"/>
        <v>5.9999999999988063E-2</v>
      </c>
    </row>
    <row r="34" spans="2:15" ht="11.45" customHeight="1" x14ac:dyDescent="0.25">
      <c r="B34" s="436" t="s">
        <v>2932</v>
      </c>
      <c r="C34" s="437" t="s">
        <v>2884</v>
      </c>
      <c r="D34" s="438" t="s">
        <v>909</v>
      </c>
      <c r="E34" s="439">
        <v>39</v>
      </c>
      <c r="F34" s="440">
        <v>39</v>
      </c>
      <c r="G34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39</v>
      </c>
      <c r="J34" t="s">
        <v>3115</v>
      </c>
      <c r="L34" s="385">
        <v>63.51</v>
      </c>
      <c r="M34" s="468">
        <v>63.5</v>
      </c>
      <c r="N34" s="471">
        <f t="shared" si="0"/>
        <v>-9.9999999999980105E-3</v>
      </c>
    </row>
    <row r="35" spans="2:15" ht="11.45" customHeight="1" x14ac:dyDescent="0.25">
      <c r="B35" s="436" t="s">
        <v>2932</v>
      </c>
      <c r="C35" s="437" t="s">
        <v>3111</v>
      </c>
      <c r="D35" s="438" t="s">
        <v>747</v>
      </c>
      <c r="E35" s="439">
        <v>54</v>
      </c>
      <c r="F35" s="440">
        <v>54</v>
      </c>
      <c r="G35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33</v>
      </c>
      <c r="J35" t="s">
        <v>3116</v>
      </c>
      <c r="L35" s="385">
        <v>128.85</v>
      </c>
      <c r="M35" s="468">
        <v>128.90000000000003</v>
      </c>
      <c r="N35" s="471">
        <f t="shared" si="0"/>
        <v>5.000000000003979E-2</v>
      </c>
    </row>
    <row r="36" spans="2:15" ht="11.45" customHeight="1" x14ac:dyDescent="0.25">
      <c r="B36" s="436" t="s">
        <v>2932</v>
      </c>
      <c r="C36" s="437" t="s">
        <v>3112</v>
      </c>
      <c r="D36" s="438" t="s">
        <v>909</v>
      </c>
      <c r="E36" s="439">
        <v>19</v>
      </c>
      <c r="F36" s="440">
        <v>19</v>
      </c>
      <c r="G36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19</v>
      </c>
      <c r="I36" t="s">
        <v>3573</v>
      </c>
      <c r="L36" s="46">
        <v>269</v>
      </c>
      <c r="M36" s="456">
        <v>269.10000000000002</v>
      </c>
      <c r="N36" s="471">
        <f t="shared" si="0"/>
        <v>0.10000000000002274</v>
      </c>
    </row>
    <row r="37" spans="2:15" ht="11.45" customHeight="1" x14ac:dyDescent="0.25">
      <c r="B37" s="436" t="s">
        <v>2932</v>
      </c>
      <c r="C37" s="437" t="s">
        <v>3113</v>
      </c>
      <c r="D37" s="438" t="s">
        <v>1755</v>
      </c>
      <c r="E37" s="439">
        <v>20</v>
      </c>
      <c r="F37" s="440">
        <v>8</v>
      </c>
      <c r="G37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6</v>
      </c>
      <c r="I37" t="s">
        <v>53</v>
      </c>
      <c r="J37" t="s">
        <v>3118</v>
      </c>
      <c r="L37" s="46">
        <v>38.6</v>
      </c>
      <c r="M37" s="456">
        <v>38.599999999999994</v>
      </c>
      <c r="N37" s="99">
        <f t="shared" si="0"/>
        <v>0</v>
      </c>
    </row>
    <row r="38" spans="2:15" ht="11.45" customHeight="1" x14ac:dyDescent="0.25">
      <c r="B38" s="436" t="s">
        <v>2932</v>
      </c>
      <c r="C38" s="437" t="s">
        <v>3113</v>
      </c>
      <c r="D38" s="438" t="s">
        <v>909</v>
      </c>
      <c r="E38" s="439">
        <v>20</v>
      </c>
      <c r="F38" s="440">
        <v>12</v>
      </c>
      <c r="G38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0</v>
      </c>
      <c r="J38" t="s">
        <v>3119</v>
      </c>
      <c r="L38" s="46">
        <v>55</v>
      </c>
      <c r="M38" s="456">
        <v>55.000000000000007</v>
      </c>
      <c r="N38" s="99">
        <f t="shared" si="0"/>
        <v>0</v>
      </c>
    </row>
    <row r="39" spans="2:15" ht="11.45" customHeight="1" x14ac:dyDescent="0.25">
      <c r="B39" s="436" t="s">
        <v>52</v>
      </c>
      <c r="C39" s="437" t="s">
        <v>3114</v>
      </c>
      <c r="D39" s="438" t="s">
        <v>1755</v>
      </c>
      <c r="E39" s="441">
        <v>76.64</v>
      </c>
      <c r="F39" s="440">
        <v>46</v>
      </c>
      <c r="G39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46.099999999999994</v>
      </c>
      <c r="J39" t="s">
        <v>3120</v>
      </c>
      <c r="L39" s="46">
        <v>94.100000000000009</v>
      </c>
      <c r="M39" s="456">
        <v>79.099999999999994</v>
      </c>
      <c r="N39" s="99">
        <f t="shared" si="0"/>
        <v>-15.000000000000014</v>
      </c>
      <c r="O39" t="s">
        <v>3962</v>
      </c>
    </row>
    <row r="40" spans="2:15" ht="11.45" customHeight="1" x14ac:dyDescent="0.25">
      <c r="B40" s="436" t="s">
        <v>52</v>
      </c>
      <c r="C40" s="437" t="s">
        <v>3114</v>
      </c>
      <c r="D40" s="438" t="s">
        <v>909</v>
      </c>
      <c r="E40" s="441">
        <v>76.64</v>
      </c>
      <c r="F40" s="440">
        <v>30.64</v>
      </c>
      <c r="G40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30.599999999999998</v>
      </c>
      <c r="J40" t="s">
        <v>3121</v>
      </c>
      <c r="L40" s="46">
        <v>93.9</v>
      </c>
      <c r="M40" s="456">
        <v>42</v>
      </c>
      <c r="N40" s="99">
        <f t="shared" si="0"/>
        <v>-51.900000000000006</v>
      </c>
      <c r="O40" t="s">
        <v>3961</v>
      </c>
    </row>
    <row r="41" spans="2:15" ht="11.45" customHeight="1" x14ac:dyDescent="0.25">
      <c r="B41" s="436" t="s">
        <v>52</v>
      </c>
      <c r="C41" s="437" t="s">
        <v>3115</v>
      </c>
      <c r="D41" s="438" t="s">
        <v>909</v>
      </c>
      <c r="E41" s="441">
        <v>63.51</v>
      </c>
      <c r="F41" s="440">
        <v>63.51</v>
      </c>
      <c r="G41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63.5</v>
      </c>
      <c r="J41" t="s">
        <v>3122</v>
      </c>
      <c r="L41" s="46">
        <v>102.44</v>
      </c>
      <c r="M41" s="456">
        <v>102.4</v>
      </c>
      <c r="N41" s="99">
        <f t="shared" si="0"/>
        <v>-3.9999999999992042E-2</v>
      </c>
    </row>
    <row r="42" spans="2:15" ht="11.45" customHeight="1" x14ac:dyDescent="0.25">
      <c r="B42" s="436" t="s">
        <v>52</v>
      </c>
      <c r="C42" s="437" t="s">
        <v>3116</v>
      </c>
      <c r="D42" s="438" t="s">
        <v>909</v>
      </c>
      <c r="E42" s="441">
        <v>128.85</v>
      </c>
      <c r="F42" s="440">
        <v>128.85</v>
      </c>
      <c r="G42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128.90000000000003</v>
      </c>
      <c r="J42" t="s">
        <v>3123</v>
      </c>
      <c r="L42" s="46">
        <v>56.12</v>
      </c>
      <c r="M42" s="456">
        <v>56.099999999999994</v>
      </c>
      <c r="N42" s="99">
        <f t="shared" si="0"/>
        <v>-2.0000000000003126E-2</v>
      </c>
    </row>
    <row r="43" spans="2:15" ht="11.45" customHeight="1" x14ac:dyDescent="0.25">
      <c r="B43" s="436" t="s">
        <v>53</v>
      </c>
      <c r="C43" s="437" t="s">
        <v>3118</v>
      </c>
      <c r="D43" s="438" t="s">
        <v>901</v>
      </c>
      <c r="E43" s="442">
        <v>38.6</v>
      </c>
      <c r="F43" s="440">
        <v>38.6</v>
      </c>
      <c r="G43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38.599999999999994</v>
      </c>
      <c r="I43" t="s">
        <v>3574</v>
      </c>
      <c r="L43" s="46">
        <v>440.16</v>
      </c>
      <c r="M43" s="456">
        <v>373.20000000000005</v>
      </c>
      <c r="N43" s="99">
        <f t="shared" si="0"/>
        <v>-66.95999999999998</v>
      </c>
    </row>
    <row r="44" spans="2:15" ht="11.45" customHeight="1" x14ac:dyDescent="0.25">
      <c r="B44" s="436" t="s">
        <v>53</v>
      </c>
      <c r="C44" s="437" t="s">
        <v>3119</v>
      </c>
      <c r="D44" s="438" t="s">
        <v>901</v>
      </c>
      <c r="E44" s="439">
        <v>55</v>
      </c>
      <c r="F44" s="440">
        <v>55</v>
      </c>
      <c r="G44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55.000000000000007</v>
      </c>
      <c r="I44" t="s">
        <v>182</v>
      </c>
      <c r="L44" s="46">
        <v>1907.1599999999999</v>
      </c>
      <c r="M44" s="456">
        <v>1674.3</v>
      </c>
      <c r="N44" s="99">
        <f t="shared" si="0"/>
        <v>-232.8599999999999</v>
      </c>
    </row>
    <row r="45" spans="2:15" ht="11.45" customHeight="1" x14ac:dyDescent="0.25">
      <c r="B45" s="436" t="s">
        <v>53</v>
      </c>
      <c r="C45" s="437" t="s">
        <v>3120</v>
      </c>
      <c r="D45" s="438" t="s">
        <v>909</v>
      </c>
      <c r="E45" s="442">
        <v>94.1</v>
      </c>
      <c r="F45" s="440">
        <v>81.7</v>
      </c>
      <c r="G45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0</v>
      </c>
      <c r="N45" s="99"/>
    </row>
    <row r="46" spans="2:15" ht="11.45" customHeight="1" x14ac:dyDescent="0.25">
      <c r="B46" s="436" t="s">
        <v>53</v>
      </c>
      <c r="C46" s="437" t="s">
        <v>3120</v>
      </c>
      <c r="D46" s="438" t="s">
        <v>901</v>
      </c>
      <c r="E46" s="442">
        <v>94.1</v>
      </c>
      <c r="F46" s="440">
        <v>12.4</v>
      </c>
      <c r="G46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79.099999999999994</v>
      </c>
      <c r="N46" s="99"/>
    </row>
    <row r="47" spans="2:15" ht="11.45" customHeight="1" x14ac:dyDescent="0.25">
      <c r="B47" s="436" t="s">
        <v>53</v>
      </c>
      <c r="C47" s="437" t="s">
        <v>3121</v>
      </c>
      <c r="D47" s="438" t="s">
        <v>897</v>
      </c>
      <c r="E47" s="442">
        <v>93.9</v>
      </c>
      <c r="F47" s="440">
        <v>46.6</v>
      </c>
      <c r="G47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14.899999999999997</v>
      </c>
      <c r="N47" s="99"/>
    </row>
    <row r="48" spans="2:15" ht="11.45" customHeight="1" x14ac:dyDescent="0.25">
      <c r="B48" s="436" t="s">
        <v>53</v>
      </c>
      <c r="C48" s="437" t="s">
        <v>3121</v>
      </c>
      <c r="D48" s="438" t="s">
        <v>909</v>
      </c>
      <c r="E48" s="442">
        <v>93.9</v>
      </c>
      <c r="F48" s="440">
        <v>3.3</v>
      </c>
      <c r="G48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0</v>
      </c>
      <c r="N48" s="99"/>
    </row>
    <row r="49" spans="2:14" ht="11.45" customHeight="1" x14ac:dyDescent="0.25">
      <c r="B49" s="436" t="s">
        <v>53</v>
      </c>
      <c r="C49" s="437" t="s">
        <v>3121</v>
      </c>
      <c r="D49" s="438" t="s">
        <v>901</v>
      </c>
      <c r="E49" s="442">
        <v>93.9</v>
      </c>
      <c r="F49" s="440">
        <v>44</v>
      </c>
      <c r="G49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27.1</v>
      </c>
      <c r="N49" s="99"/>
    </row>
    <row r="50" spans="2:14" ht="11.45" customHeight="1" x14ac:dyDescent="0.25">
      <c r="B50" s="436" t="s">
        <v>53</v>
      </c>
      <c r="C50" s="437" t="s">
        <v>3122</v>
      </c>
      <c r="D50" s="438" t="s">
        <v>897</v>
      </c>
      <c r="E50" s="441">
        <v>102.44</v>
      </c>
      <c r="F50" s="440">
        <v>70.400000000000006</v>
      </c>
      <c r="G50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67.400000000000006</v>
      </c>
      <c r="N50" s="99"/>
    </row>
    <row r="51" spans="2:14" ht="11.45" customHeight="1" x14ac:dyDescent="0.25">
      <c r="B51" s="436" t="s">
        <v>53</v>
      </c>
      <c r="C51" s="437" t="s">
        <v>3122</v>
      </c>
      <c r="D51" s="438" t="s">
        <v>901</v>
      </c>
      <c r="E51" s="441">
        <v>102.44</v>
      </c>
      <c r="F51" s="440">
        <v>32.04</v>
      </c>
      <c r="G51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34.999999999999993</v>
      </c>
      <c r="N51" s="99"/>
    </row>
    <row r="52" spans="2:14" ht="11.45" customHeight="1" x14ac:dyDescent="0.25">
      <c r="B52" s="436" t="s">
        <v>53</v>
      </c>
      <c r="C52" s="437" t="s">
        <v>3123</v>
      </c>
      <c r="D52" s="438" t="s">
        <v>901</v>
      </c>
      <c r="E52" s="441">
        <v>56.12</v>
      </c>
      <c r="F52" s="440">
        <v>56.12</v>
      </c>
      <c r="G52" s="440">
        <f>SUMIFS('Реестр уборки 2026'!V:V,'Реестр уборки 2026'!W:W,Таблица13[[#This Row],[Культура]],'Реестр уборки 2026'!T:T,Таблица13[[#This Row],[Поле]],'Реестр уборки 2026'!U:U,Таблица13[[#This Row],[Сорт]])</f>
        <v>56.099999999999994</v>
      </c>
      <c r="N52" s="99"/>
    </row>
    <row r="53" spans="2:14" ht="11.45" customHeight="1" x14ac:dyDescent="0.25">
      <c r="N53" s="99"/>
    </row>
    <row r="54" spans="2:14" ht="11.45" customHeight="1" x14ac:dyDescent="0.25">
      <c r="N54" s="99"/>
    </row>
    <row r="55" spans="2:14" ht="11.45" customHeight="1" x14ac:dyDescent="0.25">
      <c r="N55" s="99"/>
    </row>
    <row r="56" spans="2:14" ht="11.45" customHeight="1" x14ac:dyDescent="0.25">
      <c r="N56" s="99"/>
    </row>
    <row r="57" spans="2:14" ht="11.45" customHeight="1" x14ac:dyDescent="0.25">
      <c r="N57" s="99"/>
    </row>
    <row r="58" spans="2:14" ht="11.45" customHeight="1" x14ac:dyDescent="0.25">
      <c r="N58" s="99"/>
    </row>
    <row r="59" spans="2:14" ht="11.45" customHeight="1" x14ac:dyDescent="0.25">
      <c r="N59" s="99"/>
    </row>
    <row r="60" spans="2:14" ht="11.45" customHeight="1" x14ac:dyDescent="0.25">
      <c r="N60" s="99"/>
    </row>
    <row r="61" spans="2:14" ht="11.45" customHeight="1" x14ac:dyDescent="0.25">
      <c r="N61" s="99"/>
    </row>
    <row r="62" spans="2:14" ht="11.45" customHeight="1" x14ac:dyDescent="0.25">
      <c r="N62" s="99"/>
    </row>
    <row r="63" spans="2:14" ht="11.45" customHeight="1" x14ac:dyDescent="0.25">
      <c r="N63" s="99"/>
    </row>
    <row r="64" spans="2:14" ht="11.45" customHeight="1" x14ac:dyDescent="0.25">
      <c r="N64" s="99"/>
    </row>
    <row r="65" spans="14:14" ht="11.45" customHeight="1" x14ac:dyDescent="0.25">
      <c r="N65" s="99"/>
    </row>
    <row r="66" spans="14:14" ht="11.45" customHeight="1" x14ac:dyDescent="0.25"/>
    <row r="67" spans="14:14" ht="11.45" customHeight="1" x14ac:dyDescent="0.25"/>
  </sheetData>
  <phoneticPr fontId="28" type="noConversion"/>
  <conditionalFormatting sqref="N4:N65">
    <cfRule type="cellIs" dxfId="412" priority="1" operator="lessThan">
      <formula>0</formula>
    </cfRule>
  </conditionalFormatting>
  <pageMargins left="0.7" right="0.7" top="0.75" bottom="0.75" header="0.3" footer="0.3"/>
  <pageSetup paperSize="9" scale="83" orientation="landscape" verticalDpi="0"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9A14-4330-41FE-8DD4-3C612A3C88B9}">
  <dimension ref="A1:M68"/>
  <sheetViews>
    <sheetView showGridLines="0" topLeftCell="A25" workbookViewId="0">
      <selection activeCell="I42" sqref="I42:M48"/>
    </sheetView>
  </sheetViews>
  <sheetFormatPr defaultRowHeight="15" outlineLevelRow="1" x14ac:dyDescent="0.25"/>
  <cols>
    <col min="1" max="1" width="18.7109375" bestFit="1" customWidth="1"/>
    <col min="2" max="2" width="10.85546875" customWidth="1"/>
    <col min="3" max="3" width="8.28515625" bestFit="1" customWidth="1"/>
    <col min="4" max="4" width="29.140625" customWidth="1"/>
    <col min="5" max="5" width="9.28515625" bestFit="1" customWidth="1"/>
    <col min="6" max="6" width="16.5703125" customWidth="1"/>
    <col min="7" max="7" width="24" bestFit="1" customWidth="1"/>
    <col min="8" max="8" width="17.85546875" customWidth="1"/>
    <col min="9" max="9" width="18.28515625" customWidth="1"/>
    <col min="10" max="10" width="12.28515625" customWidth="1"/>
    <col min="11" max="11" width="10.7109375" customWidth="1"/>
    <col min="12" max="12" width="18.28515625" customWidth="1"/>
    <col min="13" max="13" width="13.140625" customWidth="1"/>
  </cols>
  <sheetData>
    <row r="1" spans="1:13" x14ac:dyDescent="0.25">
      <c r="K1" s="415" t="s">
        <v>3178</v>
      </c>
      <c r="L1" s="415"/>
    </row>
    <row r="2" spans="1:13" x14ac:dyDescent="0.25">
      <c r="A2" s="25" t="s">
        <v>35</v>
      </c>
      <c r="B2" t="s">
        <v>180</v>
      </c>
      <c r="D2" s="25">
        <v>5</v>
      </c>
      <c r="E2" s="25"/>
      <c r="I2" s="25">
        <v>8</v>
      </c>
      <c r="J2" s="25"/>
    </row>
    <row r="3" spans="1:13" x14ac:dyDescent="0.25">
      <c r="A3" s="23" t="s">
        <v>22</v>
      </c>
      <c r="D3" s="23" t="s">
        <v>38</v>
      </c>
      <c r="E3" s="23" t="s">
        <v>23</v>
      </c>
      <c r="F3" s="23" t="s">
        <v>24</v>
      </c>
      <c r="G3" s="23" t="s">
        <v>25</v>
      </c>
      <c r="I3" s="23" t="s">
        <v>63</v>
      </c>
      <c r="J3" s="23"/>
      <c r="K3" s="23" t="s">
        <v>64</v>
      </c>
      <c r="L3" s="23" t="s">
        <v>177</v>
      </c>
      <c r="M3" s="23" t="s">
        <v>65</v>
      </c>
    </row>
    <row r="4" spans="1:13" x14ac:dyDescent="0.25">
      <c r="A4" t="s">
        <v>23</v>
      </c>
      <c r="B4" s="90">
        <f>C59</f>
        <v>9535.7999999999993</v>
      </c>
      <c r="D4" t="s">
        <v>46</v>
      </c>
      <c r="E4" s="56">
        <f t="shared" ref="E4:F7" si="0">C55</f>
        <v>3890</v>
      </c>
      <c r="F4" s="90">
        <f t="shared" si="0"/>
        <v>3918.2</v>
      </c>
      <c r="G4" s="332">
        <f t="shared" ref="G4:G12" si="1">IFERROR(F4/E4, )</f>
        <v>1.007249357326478</v>
      </c>
      <c r="I4">
        <v>1</v>
      </c>
      <c r="J4" s="34">
        <v>46176</v>
      </c>
      <c r="K4" s="27">
        <f>IFERROR(SUMIF('Реестр уборки 2026'!Z:Z,J4,'Реестр уборки 2026'!G:G)/1000, )</f>
        <v>191.51</v>
      </c>
      <c r="L4" s="97">
        <f>IFERROR(AVERAGEIF('Реестр уборки 2026'!Z:Z,'Данные 2026'!J4,'Реестр уборки 2026'!C:C),)</f>
        <v>52.285714285714285</v>
      </c>
      <c r="M4" s="27" t="s">
        <v>509</v>
      </c>
    </row>
    <row r="5" spans="1:13" x14ac:dyDescent="0.25">
      <c r="A5" t="s">
        <v>24</v>
      </c>
      <c r="B5" s="90">
        <f>D59</f>
        <v>8234.91</v>
      </c>
      <c r="D5" t="s">
        <v>2932</v>
      </c>
      <c r="E5" s="56">
        <f t="shared" si="0"/>
        <v>2100</v>
      </c>
      <c r="F5" s="90">
        <f t="shared" si="0"/>
        <v>1284.55</v>
      </c>
      <c r="G5" s="332">
        <f t="shared" si="1"/>
        <v>0.61169047619047612</v>
      </c>
      <c r="I5">
        <v>2</v>
      </c>
      <c r="J5" s="34">
        <f>J4+1</f>
        <v>46177</v>
      </c>
      <c r="K5" s="27">
        <f>IFERROR(SUMIF('Реестр уборки 2026'!Z:Z,J5,'Реестр уборки 2026'!G:G)/1000, )</f>
        <v>117.37</v>
      </c>
      <c r="L5" s="97">
        <f>IFERROR(AVERAGEIF('Реестр уборки 2026'!Z:Z,'Данные 2026'!J5,'Реестр уборки 2026'!C:C),)</f>
        <v>52</v>
      </c>
      <c r="M5" s="27" t="s">
        <v>509</v>
      </c>
    </row>
    <row r="6" spans="1:13" x14ac:dyDescent="0.25">
      <c r="A6" s="23" t="s">
        <v>25</v>
      </c>
      <c r="B6" s="104">
        <f>E59</f>
        <v>0.86357830491411314</v>
      </c>
      <c r="D6" t="s">
        <v>52</v>
      </c>
      <c r="E6" s="56">
        <f t="shared" si="0"/>
        <v>1345</v>
      </c>
      <c r="F6" s="90">
        <f t="shared" si="0"/>
        <v>1397.32</v>
      </c>
      <c r="G6" s="332">
        <f t="shared" si="1"/>
        <v>1.038899628252788</v>
      </c>
      <c r="I6">
        <v>3</v>
      </c>
      <c r="J6" s="34">
        <f t="shared" ref="J6:J48" si="2">J5+1</f>
        <v>46178</v>
      </c>
      <c r="K6" s="27"/>
      <c r="L6" s="97"/>
      <c r="M6" s="27" t="s">
        <v>509</v>
      </c>
    </row>
    <row r="7" spans="1:13" x14ac:dyDescent="0.25">
      <c r="D7" t="s">
        <v>53</v>
      </c>
      <c r="E7" s="56">
        <f t="shared" si="0"/>
        <v>2200.8000000000002</v>
      </c>
      <c r="F7" s="90">
        <f t="shared" si="0"/>
        <v>1634.84</v>
      </c>
      <c r="G7" s="332">
        <f t="shared" si="1"/>
        <v>0.74283896764812785</v>
      </c>
      <c r="I7">
        <v>4</v>
      </c>
      <c r="J7" s="34">
        <f t="shared" si="2"/>
        <v>46179</v>
      </c>
      <c r="K7" s="27">
        <f>IFERROR(SUMIF('Реестр уборки 2026'!Z:Z,J7,'Реестр уборки 2026'!G:G)/1000, )</f>
        <v>268.92</v>
      </c>
      <c r="L7" s="97">
        <f>IFERROR(AVERAGEIF('Реестр уборки 2026'!Z:Z,'Данные 2026'!J7,'Реестр уборки 2026'!C:C),)</f>
        <v>47.826086956521742</v>
      </c>
      <c r="M7" s="27" t="s">
        <v>509</v>
      </c>
    </row>
    <row r="8" spans="1:13" x14ac:dyDescent="0.25">
      <c r="A8" s="61" t="s">
        <v>36</v>
      </c>
      <c r="B8" s="62"/>
      <c r="E8" s="52"/>
      <c r="F8" s="170"/>
      <c r="G8" s="47"/>
      <c r="I8">
        <v>5</v>
      </c>
      <c r="J8" s="34">
        <f t="shared" si="2"/>
        <v>46180</v>
      </c>
      <c r="K8" s="27">
        <f>IFERROR(SUMIF('Реестр уборки 2026'!Z:Z,J8,'Реестр уборки 2026'!G:G)/1000, )</f>
        <v>222.31</v>
      </c>
      <c r="L8" s="97">
        <f>IFERROR(AVERAGEIF('Реестр уборки 2026'!Z:Z,'Данные 2026'!J8,'Реестр уборки 2026'!C:C),)</f>
        <v>51.2</v>
      </c>
      <c r="M8" s="27" t="s">
        <v>509</v>
      </c>
    </row>
    <row r="9" spans="1:13" x14ac:dyDescent="0.25">
      <c r="A9" s="63" t="s">
        <v>37</v>
      </c>
      <c r="B9" s="62"/>
      <c r="E9" s="52"/>
      <c r="F9" s="170"/>
      <c r="G9" s="47"/>
      <c r="I9">
        <v>6</v>
      </c>
      <c r="J9" s="34">
        <f t="shared" si="2"/>
        <v>46181</v>
      </c>
      <c r="K9" s="27">
        <f>IFERROR(SUMIF('Реестр уборки 2026'!Z:Z,J9,'Реестр уборки 2026'!G:G)/1000, )</f>
        <v>246.5</v>
      </c>
      <c r="L9" s="97">
        <f>IFERROR(AVERAGEIF('Реестр уборки 2026'!Z:Z,'Данные 2026'!J9,'Реестр уборки 2026'!C:C),)</f>
        <v>49.55</v>
      </c>
      <c r="M9" s="27" t="s">
        <v>509</v>
      </c>
    </row>
    <row r="10" spans="1:13" x14ac:dyDescent="0.25">
      <c r="A10" s="62" t="s">
        <v>23</v>
      </c>
      <c r="B10" s="64"/>
      <c r="E10" s="52"/>
      <c r="F10" s="170"/>
      <c r="G10" s="47"/>
      <c r="I10">
        <v>7</v>
      </c>
      <c r="J10" s="34">
        <f t="shared" si="2"/>
        <v>46182</v>
      </c>
      <c r="K10" s="27">
        <f>IFERROR(SUMIF('Реестр уборки 2026'!Z:Z,J10,'Реестр уборки 2026'!G:G)/1000, )</f>
        <v>309.81</v>
      </c>
      <c r="L10" s="97">
        <f>IFERROR(AVERAGEIF('Реестр уборки 2026'!Z:Z,'Данные 2026'!J10,'Реестр уборки 2026'!C:C),)</f>
        <v>53.269230769230766</v>
      </c>
      <c r="M10" s="27" t="s">
        <v>509</v>
      </c>
    </row>
    <row r="11" spans="1:13" x14ac:dyDescent="0.25">
      <c r="A11" s="62" t="s">
        <v>24</v>
      </c>
      <c r="B11" s="64"/>
      <c r="E11" s="56"/>
      <c r="F11" s="170"/>
      <c r="G11" s="47"/>
      <c r="I11">
        <v>8</v>
      </c>
      <c r="J11" s="34">
        <f t="shared" si="2"/>
        <v>46183</v>
      </c>
      <c r="K11" s="27">
        <f>IFERROR(SUMIF('Реестр уборки 2026'!Z:Z,J11,'Реестр уборки 2026'!G:G)/1000, )</f>
        <v>373.68</v>
      </c>
      <c r="L11" s="97">
        <f>IFERROR(AVERAGEIF('Реестр уборки 2026'!Z:Z,'Данные 2026'!J11,'Реестр уборки 2026'!C:C),)</f>
        <v>55.58064516129032</v>
      </c>
      <c r="M11" s="27" t="s">
        <v>509</v>
      </c>
    </row>
    <row r="12" spans="1:13" x14ac:dyDescent="0.25">
      <c r="E12" s="32">
        <f>SUM(E4:E11)</f>
        <v>9535.7999999999993</v>
      </c>
      <c r="F12" s="32">
        <f>SUM(F4:F11)</f>
        <v>8234.91</v>
      </c>
      <c r="G12" s="48">
        <f t="shared" si="1"/>
        <v>0.86357830491411314</v>
      </c>
      <c r="I12">
        <v>9</v>
      </c>
      <c r="J12" s="34">
        <f t="shared" si="2"/>
        <v>46184</v>
      </c>
      <c r="K12" s="27">
        <f>IFERROR(SUMIF('Реестр уборки 2026'!Z:Z,J12,'Реестр уборки 2026'!G:G)/1000, )</f>
        <v>314.52999999999997</v>
      </c>
      <c r="L12" s="97">
        <f>IFERROR(AVERAGEIF('Реестр уборки 2026'!Z:Z,'Данные 2026'!J12,'Реестр уборки 2026'!C:C),)</f>
        <v>61.192307692307693</v>
      </c>
      <c r="M12" s="27" t="s">
        <v>509</v>
      </c>
    </row>
    <row r="13" spans="1:13" x14ac:dyDescent="0.25">
      <c r="A13" s="25">
        <v>2</v>
      </c>
      <c r="D13" s="25">
        <v>6</v>
      </c>
      <c r="E13" s="25"/>
      <c r="I13">
        <v>10</v>
      </c>
      <c r="J13" s="34">
        <f t="shared" si="2"/>
        <v>46185</v>
      </c>
      <c r="K13" s="27">
        <f>IFERROR(SUMIF('Реестр уборки 2026'!Z:Z,J13,'Реестр уборки 2026'!G:G)/1000, )</f>
        <v>275.87</v>
      </c>
      <c r="L13" s="97">
        <f>IFERROR(AVERAGEIF('Реестр уборки 2026'!Z:Z,'Данные 2026'!J13,'Реестр уборки 2026'!C:C),)</f>
        <v>63.083333333333336</v>
      </c>
      <c r="M13" s="27" t="s">
        <v>509</v>
      </c>
    </row>
    <row r="14" spans="1:13" x14ac:dyDescent="0.25">
      <c r="A14" s="23" t="s">
        <v>14</v>
      </c>
      <c r="D14" s="23" t="s">
        <v>38</v>
      </c>
      <c r="E14" s="23"/>
      <c r="F14" s="28" t="s">
        <v>54</v>
      </c>
      <c r="G14" s="28" t="s">
        <v>55</v>
      </c>
      <c r="I14">
        <v>11</v>
      </c>
      <c r="J14" s="34">
        <f t="shared" si="2"/>
        <v>46186</v>
      </c>
      <c r="K14" s="27">
        <f>IFERROR(SUMIF('Реестр уборки 2026'!Z:Z,J14,'Реестр уборки 2026'!G:G)/1000, )</f>
        <v>210.12</v>
      </c>
      <c r="L14" s="97">
        <f>IFERROR(AVERAGEIF('Реестр уборки 2026'!Z:Z,'Данные 2026'!J14,'Реестр уборки 2026'!C:C),)</f>
        <v>60.833333333333336</v>
      </c>
      <c r="M14" s="27" t="s">
        <v>509</v>
      </c>
    </row>
    <row r="15" spans="1:13" x14ac:dyDescent="0.25">
      <c r="A15" t="s">
        <v>26</v>
      </c>
      <c r="B15" s="91">
        <f>F59</f>
        <v>1907.16</v>
      </c>
      <c r="D15" s="29">
        <v>2019</v>
      </c>
      <c r="E15" s="29"/>
      <c r="F15" s="54">
        <v>3.3</v>
      </c>
      <c r="G15" s="56">
        <v>6813</v>
      </c>
      <c r="I15">
        <v>12</v>
      </c>
      <c r="J15" s="34">
        <f t="shared" si="2"/>
        <v>46187</v>
      </c>
      <c r="K15" s="27">
        <f>IFERROR(SUMIF('Реестр уборки 2026'!Z:Z,J15,'Реестр уборки 2026'!G:G)/1000, )</f>
        <v>283.77</v>
      </c>
      <c r="L15" s="97">
        <f>IFERROR(AVERAGEIF('Реестр уборки 2026'!Z:Z,'Данные 2026'!J15,'Реестр уборки 2026'!C:C),)</f>
        <v>62.375</v>
      </c>
      <c r="M15" s="27" t="s">
        <v>509</v>
      </c>
    </row>
    <row r="16" spans="1:13" x14ac:dyDescent="0.25">
      <c r="A16" t="s">
        <v>27</v>
      </c>
      <c r="B16" s="92">
        <f>G59</f>
        <v>1674.3000000000013</v>
      </c>
      <c r="D16" s="29">
        <v>2020</v>
      </c>
      <c r="E16" s="29"/>
      <c r="F16" s="54">
        <v>4.5999999999999996</v>
      </c>
      <c r="G16" s="56">
        <v>12761</v>
      </c>
      <c r="H16" s="28"/>
      <c r="I16">
        <v>13</v>
      </c>
      <c r="J16" s="34">
        <f t="shared" si="2"/>
        <v>46188</v>
      </c>
      <c r="K16" s="27">
        <f>IFERROR(SUMIF('Реестр уборки 2026'!Z:Z,J16,'Реестр уборки 2026'!G:G)/1000, )</f>
        <v>274.72000000000003</v>
      </c>
      <c r="L16" s="97">
        <f>IFERROR(AVERAGEIF('Реестр уборки 2026'!Z:Z,'Данные 2026'!J16,'Реестр уборки 2026'!C:C),)</f>
        <v>61.826086956521742</v>
      </c>
      <c r="M16" s="27" t="s">
        <v>509</v>
      </c>
    </row>
    <row r="17" spans="1:13" x14ac:dyDescent="0.25">
      <c r="A17" t="s">
        <v>28</v>
      </c>
      <c r="B17" s="92">
        <f>B15-B16</f>
        <v>232.85999999999876</v>
      </c>
      <c r="D17" s="29">
        <v>2021</v>
      </c>
      <c r="E17" s="29"/>
      <c r="F17" s="54">
        <v>4.2</v>
      </c>
      <c r="G17" s="56">
        <v>10161</v>
      </c>
      <c r="I17">
        <v>14</v>
      </c>
      <c r="J17" s="34">
        <f t="shared" si="2"/>
        <v>46189</v>
      </c>
      <c r="K17" s="27">
        <f>IFERROR(SUMIF('Реестр уборки 2026'!Z:Z,J17,'Реестр уборки 2026'!G:G)/1000, )</f>
        <v>224.44</v>
      </c>
      <c r="L17" s="97">
        <f>IFERROR(AVERAGEIF('Реестр уборки 2026'!Z:Z,'Данные 2026'!J17,'Реестр уборки 2026'!C:C),)</f>
        <v>61.61904761904762</v>
      </c>
      <c r="M17" s="27" t="s">
        <v>509</v>
      </c>
    </row>
    <row r="18" spans="1:13" x14ac:dyDescent="0.25">
      <c r="A18" t="s">
        <v>25</v>
      </c>
      <c r="B18" s="104">
        <f>B16/B15</f>
        <v>0.87790222110363114</v>
      </c>
      <c r="D18" s="29">
        <v>2022</v>
      </c>
      <c r="E18" s="29"/>
      <c r="F18" s="54">
        <v>3</v>
      </c>
      <c r="G18" s="56">
        <v>6505</v>
      </c>
      <c r="I18">
        <v>15</v>
      </c>
      <c r="J18" s="34">
        <f t="shared" si="2"/>
        <v>46190</v>
      </c>
      <c r="K18" s="27">
        <f>IFERROR(SUMIF('Реестр уборки 2026'!Z:Z,J18,'Реестр уборки 2026'!G:G)/1000, )</f>
        <v>260.14</v>
      </c>
      <c r="L18" s="97">
        <f>IFERROR(AVERAGEIF('Реестр уборки 2026'!Z:Z,'Данные 2026'!J18,'Реестр уборки 2026'!C:C),)</f>
        <v>56.391304347826086</v>
      </c>
      <c r="M18" s="27" t="s">
        <v>509</v>
      </c>
    </row>
    <row r="19" spans="1:13" x14ac:dyDescent="0.25">
      <c r="A19" t="s">
        <v>1620</v>
      </c>
      <c r="B19" s="92"/>
      <c r="D19" s="29">
        <v>2023</v>
      </c>
      <c r="E19" s="29"/>
      <c r="F19" s="54">
        <v>5.6</v>
      </c>
      <c r="G19" s="56">
        <v>6656</v>
      </c>
      <c r="I19">
        <v>16</v>
      </c>
      <c r="J19" s="34">
        <f t="shared" si="2"/>
        <v>46191</v>
      </c>
      <c r="K19" s="27">
        <f>IFERROR(SUMIF('Реестр уборки 2026'!Z:Z,J19,'Реестр уборки 2026'!G:G)/1000, )</f>
        <v>276.54000000000002</v>
      </c>
      <c r="L19" s="97">
        <f>IFERROR(AVERAGEIF('Реестр уборки 2026'!Z:Z,'Данные 2026'!J19,'Реестр уборки 2026'!C:C),)</f>
        <v>52.84</v>
      </c>
      <c r="M19" s="27" t="s">
        <v>509</v>
      </c>
    </row>
    <row r="20" spans="1:13" x14ac:dyDescent="0.25">
      <c r="A20" t="s">
        <v>1621</v>
      </c>
      <c r="B20" s="171"/>
      <c r="D20" s="29">
        <v>2024</v>
      </c>
      <c r="E20" s="29"/>
      <c r="F20" s="54">
        <v>2.7</v>
      </c>
      <c r="G20" s="56">
        <v>4371.8999999999996</v>
      </c>
      <c r="I20">
        <v>17</v>
      </c>
      <c r="J20" s="34">
        <f t="shared" si="2"/>
        <v>46192</v>
      </c>
      <c r="K20" s="27">
        <f>IFERROR(SUMIF('Реестр уборки 2026'!Z:Z,J20,'Реестр уборки 2026'!G:G)/1000, )</f>
        <v>48.93</v>
      </c>
      <c r="L20" s="97">
        <f>IFERROR(AVERAGEIF('Реестр уборки 2026'!Z:Z,'Данные 2026'!J20,'Реестр уборки 2026'!C:C),)</f>
        <v>47.333333333333336</v>
      </c>
      <c r="M20" s="27" t="s">
        <v>509</v>
      </c>
    </row>
    <row r="21" spans="1:13" x14ac:dyDescent="0.25">
      <c r="A21" s="26" t="s">
        <v>32</v>
      </c>
      <c r="D21" s="29">
        <v>2025</v>
      </c>
      <c r="E21" s="29"/>
      <c r="F21" s="54">
        <v>4.7835642100601588</v>
      </c>
      <c r="G21" s="56">
        <v>7098.14</v>
      </c>
      <c r="I21">
        <v>18</v>
      </c>
      <c r="J21" s="34">
        <f t="shared" si="2"/>
        <v>46193</v>
      </c>
      <c r="K21" s="27">
        <f>IFERROR(SUMIF('Реестр уборки 2026'!Z:Z,J21,'Реестр уборки 2026'!G:G)/1000, )</f>
        <v>53.81</v>
      </c>
      <c r="L21" s="97">
        <f>IFERROR(AVERAGEIF('Реестр уборки 2026'!Z:Z,'Данные 2026'!J21,'Реестр уборки 2026'!C:C),)</f>
        <v>51.428571428571431</v>
      </c>
      <c r="M21" s="27" t="s">
        <v>509</v>
      </c>
    </row>
    <row r="22" spans="1:13" x14ac:dyDescent="0.25">
      <c r="A22" s="23" t="s">
        <v>31</v>
      </c>
      <c r="D22" s="29">
        <v>2026</v>
      </c>
      <c r="E22" s="29"/>
      <c r="F22" s="53">
        <f>B24</f>
        <v>4.9184196380576921</v>
      </c>
      <c r="G22" s="416">
        <f>F12</f>
        <v>8234.91</v>
      </c>
      <c r="I22">
        <v>19</v>
      </c>
      <c r="J22" s="34">
        <f t="shared" si="2"/>
        <v>46194</v>
      </c>
      <c r="K22" s="27">
        <f>IFERROR(SUMIF('Реестр уборки 2026'!Z:Z,J22,'Реестр уборки 2026'!G:G)/1000, )</f>
        <v>305.45</v>
      </c>
      <c r="L22" s="97">
        <f>IFERROR(AVERAGEIF('Реестр уборки 2026'!Z:Z,'Данные 2026'!J22,'Реестр уборки 2026'!C:C),)</f>
        <v>55.93333333333333</v>
      </c>
      <c r="M22" s="27" t="s">
        <v>509</v>
      </c>
    </row>
    <row r="23" spans="1:13" x14ac:dyDescent="0.25">
      <c r="A23" t="s">
        <v>29</v>
      </c>
      <c r="B23" s="54">
        <f>IFERROR(B4/B15, )</f>
        <v>4.9999999999999991</v>
      </c>
      <c r="F23" s="28"/>
      <c r="I23">
        <v>20</v>
      </c>
      <c r="J23" s="34">
        <f t="shared" si="2"/>
        <v>46195</v>
      </c>
      <c r="K23" s="27">
        <f>IFERROR(SUMIF('Реестр уборки 2026'!Z:Z,J23,'Реестр уборки 2026'!G:G)/1000, )</f>
        <v>278.12</v>
      </c>
      <c r="L23" s="97">
        <f>IFERROR(AVERAGEIF('Реестр уборки 2026'!Z:Z,'Данные 2026'!J23,'Реестр уборки 2026'!C:C),)</f>
        <v>58.8</v>
      </c>
      <c r="M23" s="27" t="s">
        <v>509</v>
      </c>
    </row>
    <row r="24" spans="1:13" x14ac:dyDescent="0.25">
      <c r="A24" t="s">
        <v>30</v>
      </c>
      <c r="B24" s="54">
        <f>IFERROR(B5/B16, )</f>
        <v>4.9184196380576921</v>
      </c>
      <c r="I24">
        <v>21</v>
      </c>
      <c r="J24" s="34">
        <f t="shared" si="2"/>
        <v>46196</v>
      </c>
      <c r="K24" s="27">
        <f>IFERROR(SUMIF('Реестр уборки 2026'!Z:Z,J24,'Реестр уборки 2026'!G:G)/1000, )</f>
        <v>283.39</v>
      </c>
      <c r="L24" s="97">
        <f>IFERROR(AVERAGEIF('Реестр уборки 2026'!Z:Z,'Данные 2026'!J24,'Реестр уборки 2026'!C:C),)</f>
        <v>59.230769230769234</v>
      </c>
      <c r="M24" s="27" t="s">
        <v>509</v>
      </c>
    </row>
    <row r="25" spans="1:13" x14ac:dyDescent="0.25">
      <c r="D25" s="25">
        <v>7</v>
      </c>
      <c r="E25" s="25"/>
      <c r="I25">
        <v>22</v>
      </c>
      <c r="J25" s="34">
        <f t="shared" si="2"/>
        <v>46197</v>
      </c>
      <c r="K25" s="27">
        <f>IFERROR(SUMIF('Реестр уборки 2026'!Z:Z,J25,'Реестр уборки 2026'!G:G)/1000, )</f>
        <v>228.04</v>
      </c>
      <c r="L25" s="97">
        <f>IFERROR(AVERAGEIF('Реестр уборки 2026'!Z:Z,'Данные 2026'!J25,'Реестр уборки 2026'!C:C),)</f>
        <v>61.217391304347828</v>
      </c>
      <c r="M25" s="27" t="s">
        <v>509</v>
      </c>
    </row>
    <row r="26" spans="1:13" x14ac:dyDescent="0.25">
      <c r="A26" s="65" t="s">
        <v>33</v>
      </c>
      <c r="B26" s="62"/>
      <c r="D26" s="23" t="s">
        <v>56</v>
      </c>
      <c r="E26" s="23"/>
      <c r="F26" s="28" t="s">
        <v>59</v>
      </c>
      <c r="G26" s="28" t="s">
        <v>60</v>
      </c>
      <c r="I26">
        <v>23</v>
      </c>
      <c r="J26" s="34">
        <f t="shared" si="2"/>
        <v>46198</v>
      </c>
      <c r="K26" s="27">
        <f>IFERROR(SUMIF('Реестр уборки 2026'!Z:Z,J26,'Реестр уборки 2026'!G:G)/1000, )</f>
        <v>399.44</v>
      </c>
      <c r="L26" s="97">
        <f>IFERROR(AVERAGEIF('Реестр уборки 2026'!Z:Z,'Данные 2026'!J26,'Реестр уборки 2026'!C:C),)</f>
        <v>59.529411764705884</v>
      </c>
      <c r="M26" s="27" t="s">
        <v>509</v>
      </c>
    </row>
    <row r="27" spans="1:13" x14ac:dyDescent="0.25">
      <c r="A27" s="63" t="s">
        <v>34</v>
      </c>
      <c r="B27" s="62"/>
      <c r="C27" t="s">
        <v>58</v>
      </c>
      <c r="D27" s="30" t="s">
        <v>3558</v>
      </c>
      <c r="E27" s="30"/>
      <c r="F27" s="90">
        <f>SUMIF('Реестр уборки 2026'!AC:AC,Таблица111[[#This Row],[Распределение сырья по финометру]],'Реестр уборки 2026'!G:G)/1000</f>
        <v>0</v>
      </c>
      <c r="G27" s="122">
        <f t="shared" ref="G27:G32" si="3">IFERROR(F27/$F$33, )</f>
        <v>0</v>
      </c>
      <c r="I27">
        <v>24</v>
      </c>
      <c r="J27" s="34">
        <f t="shared" si="2"/>
        <v>46199</v>
      </c>
      <c r="K27" s="27">
        <f>IFERROR(SUMIF('Реестр уборки 2026'!Z:Z,J27,'Реестр уборки 2026'!G:G)/1000, )</f>
        <v>245.87</v>
      </c>
      <c r="L27" s="97">
        <f>IFERROR(AVERAGEIF('Реестр уборки 2026'!Z:Z,'Данные 2026'!J27,'Реестр уборки 2026'!C:C),)</f>
        <v>64.681818181818187</v>
      </c>
      <c r="M27" s="27" t="s">
        <v>509</v>
      </c>
    </row>
    <row r="28" spans="1:13" x14ac:dyDescent="0.25">
      <c r="A28" s="62" t="s">
        <v>29</v>
      </c>
      <c r="B28" s="62">
        <f>IFERROR(B10/B15, 0)</f>
        <v>0</v>
      </c>
      <c r="C28" t="s">
        <v>57</v>
      </c>
      <c r="D28" s="30" t="s">
        <v>3557</v>
      </c>
      <c r="E28" s="30"/>
      <c r="F28" s="90">
        <f>SUMIF('Реестр уборки 2026'!AC:AC,Таблица111[[#This Row],[Распределение сырья по финометру]],'Реестр уборки 2026'!G:G)/1000</f>
        <v>1549.04</v>
      </c>
      <c r="G28" s="89">
        <f t="shared" si="3"/>
        <v>0.18810648810976682</v>
      </c>
      <c r="I28">
        <v>25</v>
      </c>
      <c r="J28" s="34">
        <f t="shared" si="2"/>
        <v>46200</v>
      </c>
      <c r="K28" s="27">
        <f>IFERROR(SUMIF('Реестр уборки 2026'!Z:Z,J28,'Реестр уборки 2026'!G:G)/1000, )</f>
        <v>277.62</v>
      </c>
      <c r="L28" s="97">
        <f>IFERROR(AVERAGEIF('Реестр уборки 2026'!Z:Z,'Данные 2026'!J28,'Реестр уборки 2026'!C:C),)</f>
        <v>63.263157894736842</v>
      </c>
      <c r="M28" s="27" t="s">
        <v>509</v>
      </c>
    </row>
    <row r="29" spans="1:13" x14ac:dyDescent="0.25">
      <c r="A29" s="62" t="s">
        <v>30</v>
      </c>
      <c r="B29" s="62">
        <f>IFERROR(B11/B16, 0)</f>
        <v>0</v>
      </c>
      <c r="C29" t="s">
        <v>61</v>
      </c>
      <c r="D29" s="30" t="s">
        <v>724</v>
      </c>
      <c r="E29" s="30"/>
      <c r="F29" s="90">
        <f>SUMIF('Реестр уборки 2026'!AC:AC,Таблица111[[#This Row],[Распределение сырья по финометру]],'Реестр уборки 2026'!G:G)/1000</f>
        <v>4786.51</v>
      </c>
      <c r="G29" s="89">
        <f t="shared" si="3"/>
        <v>0.5812461824112225</v>
      </c>
      <c r="I29">
        <v>26</v>
      </c>
      <c r="J29" s="34">
        <f t="shared" si="2"/>
        <v>46201</v>
      </c>
      <c r="K29" s="27">
        <f>IFERROR(SUMIF('Реестр уборки 2026'!Z:Z,J29,'Реестр уборки 2026'!G:G)/1000, )</f>
        <v>344.28</v>
      </c>
      <c r="L29" s="97">
        <f>IFERROR(AVERAGEIF('Реестр уборки 2026'!Z:Z,'Данные 2026'!J29,'Реестр уборки 2026'!C:C),)</f>
        <v>59.72</v>
      </c>
      <c r="M29" s="27" t="s">
        <v>509</v>
      </c>
    </row>
    <row r="30" spans="1:13" x14ac:dyDescent="0.25">
      <c r="C30" t="s">
        <v>62</v>
      </c>
      <c r="D30" s="30" t="s">
        <v>3559</v>
      </c>
      <c r="E30" s="30"/>
      <c r="F30" s="90">
        <f>SUMIF('Реестр уборки 2026'!AC:AC,Таблица111[[#This Row],[Распределение сырья по финометру]],'Реестр уборки 2026'!G:G)/1000</f>
        <v>1097.02</v>
      </c>
      <c r="G30" s="89">
        <f t="shared" si="3"/>
        <v>0.13321578499340006</v>
      </c>
      <c r="I30">
        <v>27</v>
      </c>
      <c r="J30" s="34">
        <f t="shared" si="2"/>
        <v>46202</v>
      </c>
      <c r="K30" s="27">
        <f>IFERROR(SUMIF('Реестр уборки 2026'!Z:Z,J30,'Реестр уборки 2026'!G:G)/1000, )</f>
        <v>262.10000000000002</v>
      </c>
      <c r="L30" s="97">
        <f>IFERROR(AVERAGEIF('Реестр уборки 2026'!Z:Z,'Данные 2026'!J30,'Реестр уборки 2026'!C:C),)</f>
        <v>56.25</v>
      </c>
      <c r="M30" s="27" t="s">
        <v>509</v>
      </c>
    </row>
    <row r="31" spans="1:13" x14ac:dyDescent="0.25">
      <c r="A31" s="66"/>
      <c r="D31" s="30" t="s">
        <v>420</v>
      </c>
      <c r="F31" s="90">
        <f>SUMIF('Реестр уборки 2026'!AC:AC,Таблица111[[#This Row],[Распределение сырья по финометру]],'Реестр уборки 2026'!G:G)/1000</f>
        <v>802.34</v>
      </c>
      <c r="G31" s="89">
        <f t="shared" si="3"/>
        <v>9.7431544485610658E-2</v>
      </c>
      <c r="I31">
        <v>28</v>
      </c>
      <c r="J31" s="34">
        <f t="shared" si="2"/>
        <v>46203</v>
      </c>
      <c r="K31" s="27">
        <f>IFERROR(SUMIF('Реестр уборки 2026'!Z:Z,J31,'Реестр уборки 2026'!G:G)/1000, )</f>
        <v>185.66</v>
      </c>
      <c r="L31" s="97">
        <f>IFERROR(AVERAGEIF('Реестр уборки 2026'!Z:Z,'Данные 2026'!J31,'Реестр уборки 2026'!C:C),)</f>
        <v>55.157894736842103</v>
      </c>
      <c r="M31" s="27" t="s">
        <v>509</v>
      </c>
    </row>
    <row r="32" spans="1:13" x14ac:dyDescent="0.25">
      <c r="A32" s="25">
        <v>4</v>
      </c>
      <c r="B32" s="25"/>
      <c r="D32" s="30" t="s">
        <v>509</v>
      </c>
      <c r="F32" s="90">
        <f>SUMIF('Реестр уборки 2026'!AC:AC,Таблица111[[#This Row],[Распределение сырья по финометру]],'Реестр уборки 2026'!G:G)/1000</f>
        <v>0</v>
      </c>
      <c r="G32" s="89">
        <f t="shared" si="3"/>
        <v>0</v>
      </c>
      <c r="I32">
        <v>29</v>
      </c>
      <c r="J32" s="34">
        <f t="shared" si="2"/>
        <v>46204</v>
      </c>
      <c r="K32" s="27">
        <f>IFERROR(SUMIF('Реестр уборки 2026'!Z:Z,J32,'Реестр уборки 2026'!G:G)/1000, )</f>
        <v>254.57</v>
      </c>
      <c r="L32" s="97">
        <f>IFERROR(AVERAGEIF('Реестр уборки 2026'!Z:Z,'Данные 2026'!J32,'Реестр уборки 2026'!C:C),)</f>
        <v>54.61904761904762</v>
      </c>
      <c r="M32" s="27" t="s">
        <v>509</v>
      </c>
    </row>
    <row r="33" spans="1:13" x14ac:dyDescent="0.25">
      <c r="A33" s="23" t="s">
        <v>189</v>
      </c>
      <c r="B33" s="23"/>
      <c r="F33" s="87">
        <f>SUM(F27:F32)</f>
        <v>8234.91</v>
      </c>
      <c r="G33" s="51">
        <f>SUM(G27:G32)</f>
        <v>1</v>
      </c>
      <c r="I33">
        <v>30</v>
      </c>
      <c r="J33" s="34">
        <f t="shared" si="2"/>
        <v>46205</v>
      </c>
      <c r="K33" s="27">
        <f>IFERROR(SUMIF('Реестр уборки 2026'!Z:Z,J33,'Реестр уборки 2026'!G:G)/1000, )</f>
        <v>283.02999999999997</v>
      </c>
      <c r="L33" s="97">
        <f>IFERROR(AVERAGEIF('Реестр уборки 2026'!Z:Z,'Данные 2026'!J33,'Реестр уборки 2026'!C:C),)</f>
        <v>54.043478260869563</v>
      </c>
      <c r="M33" s="27" t="s">
        <v>509</v>
      </c>
    </row>
    <row r="34" spans="1:13" x14ac:dyDescent="0.25">
      <c r="A34" t="s">
        <v>190</v>
      </c>
      <c r="B34" s="90">
        <f>B37-B35-B36</f>
        <v>7424.59</v>
      </c>
      <c r="I34">
        <v>31</v>
      </c>
      <c r="J34" s="34">
        <f t="shared" si="2"/>
        <v>46206</v>
      </c>
      <c r="K34" s="27">
        <f>IFERROR(SUMIF('Реестр уборки 2026'!Z:Z,J34,'Реестр уборки 2026'!G:G)/1000, )</f>
        <v>221.76</v>
      </c>
      <c r="L34" s="97">
        <f>IFERROR(AVERAGEIF('Реестр уборки 2026'!Z:Z,'Данные 2026'!J34,'Реестр уборки 2026'!C:C),)</f>
        <v>59.05263157894737</v>
      </c>
      <c r="M34" s="27" t="s">
        <v>509</v>
      </c>
    </row>
    <row r="35" spans="1:13" x14ac:dyDescent="0.25">
      <c r="A35" t="s">
        <v>191</v>
      </c>
      <c r="B35" s="90">
        <v>0</v>
      </c>
      <c r="I35">
        <v>32</v>
      </c>
      <c r="J35" s="34">
        <f t="shared" si="2"/>
        <v>46207</v>
      </c>
      <c r="K35" s="27">
        <f>IFERROR(SUMIF('Реестр уборки 2026'!Z:Z,J35,'Реестр уборки 2026'!G:G)/1000, )</f>
        <v>255.78</v>
      </c>
      <c r="L35" s="97">
        <f>IFERROR(AVERAGEIF('Реестр уборки 2026'!Z:Z,'Данные 2026'!J35,'Реестр уборки 2026'!C:C),)</f>
        <v>60.5</v>
      </c>
      <c r="M35" s="27" t="s">
        <v>509</v>
      </c>
    </row>
    <row r="36" spans="1:13" x14ac:dyDescent="0.25">
      <c r="A36" t="s">
        <v>192</v>
      </c>
      <c r="B36" s="90">
        <f>810320/1000</f>
        <v>810.32</v>
      </c>
      <c r="C36" s="170">
        <v>0</v>
      </c>
      <c r="D36" t="s">
        <v>2931</v>
      </c>
      <c r="I36">
        <v>33</v>
      </c>
      <c r="J36" s="34">
        <f t="shared" si="2"/>
        <v>46208</v>
      </c>
      <c r="K36" s="27">
        <f>IFERROR(SUMIF('Реестр уборки 2026'!Z:Z,J36,'Реестр уборки 2026'!G:G)/1000, )</f>
        <v>241.54</v>
      </c>
      <c r="L36" s="97">
        <f>IFERROR(AVERAGEIF('Реестр уборки 2026'!Z:Z,'Данные 2026'!J36,'Реестр уборки 2026'!C:C),)</f>
        <v>60.75</v>
      </c>
      <c r="M36" s="27" t="s">
        <v>509</v>
      </c>
    </row>
    <row r="37" spans="1:13" x14ac:dyDescent="0.25">
      <c r="A37" t="s">
        <v>193</v>
      </c>
      <c r="B37" s="90">
        <f>F12</f>
        <v>8234.91</v>
      </c>
      <c r="I37">
        <v>34</v>
      </c>
      <c r="J37" s="34">
        <f t="shared" si="2"/>
        <v>46209</v>
      </c>
      <c r="K37" s="27">
        <f>IFERROR(SUMIF('Реестр уборки 2026'!Z:Z,J37,'Реестр уборки 2026'!G:G)/1000, )</f>
        <v>215.29</v>
      </c>
      <c r="L37" s="97">
        <f>IFERROR(AVERAGEIF('Реестр уборки 2026'!Z:Z,'Данные 2026'!J37,'Реестр уборки 2026'!C:C),)</f>
        <v>67.470588235294116</v>
      </c>
      <c r="M37" s="27" t="s">
        <v>509</v>
      </c>
    </row>
    <row r="38" spans="1:13" x14ac:dyDescent="0.25">
      <c r="A38" t="s">
        <v>194</v>
      </c>
      <c r="B38" s="90">
        <v>0</v>
      </c>
      <c r="I38">
        <v>35</v>
      </c>
      <c r="J38" s="34">
        <f t="shared" si="2"/>
        <v>46210</v>
      </c>
      <c r="K38" s="27"/>
      <c r="L38" s="97"/>
      <c r="M38" s="27" t="s">
        <v>509</v>
      </c>
    </row>
    <row r="39" spans="1:13" x14ac:dyDescent="0.25">
      <c r="I39">
        <v>36</v>
      </c>
      <c r="J39" s="34">
        <f t="shared" si="2"/>
        <v>46211</v>
      </c>
      <c r="K39" s="27"/>
      <c r="L39" s="97"/>
      <c r="M39" s="27" t="s">
        <v>509</v>
      </c>
    </row>
    <row r="40" spans="1:13" x14ac:dyDescent="0.25">
      <c r="I40">
        <v>37</v>
      </c>
      <c r="J40" s="34">
        <f t="shared" si="2"/>
        <v>46212</v>
      </c>
      <c r="K40" s="27"/>
      <c r="L40" s="97"/>
      <c r="M40" s="27" t="s">
        <v>509</v>
      </c>
    </row>
    <row r="41" spans="1:13" s="55" customFormat="1" ht="14.45" customHeight="1" x14ac:dyDescent="0.25">
      <c r="I41">
        <v>38</v>
      </c>
      <c r="J41" s="34">
        <f t="shared" si="2"/>
        <v>46213</v>
      </c>
      <c r="K41" s="27"/>
      <c r="L41" s="97"/>
      <c r="M41" s="27" t="s">
        <v>509</v>
      </c>
    </row>
    <row r="42" spans="1:13" x14ac:dyDescent="0.25">
      <c r="I42">
        <v>39</v>
      </c>
      <c r="J42" s="34">
        <f t="shared" si="2"/>
        <v>46214</v>
      </c>
      <c r="K42" s="27"/>
      <c r="L42" s="97"/>
      <c r="M42" s="27" t="s">
        <v>509</v>
      </c>
    </row>
    <row r="43" spans="1:13" x14ac:dyDescent="0.25">
      <c r="I43">
        <v>40</v>
      </c>
      <c r="J43" s="34">
        <f t="shared" si="2"/>
        <v>46215</v>
      </c>
      <c r="K43" s="27"/>
      <c r="L43" s="97"/>
      <c r="M43" s="27" t="s">
        <v>509</v>
      </c>
    </row>
    <row r="44" spans="1:13" x14ac:dyDescent="0.25">
      <c r="I44">
        <v>41</v>
      </c>
      <c r="J44" s="34">
        <f t="shared" si="2"/>
        <v>46216</v>
      </c>
      <c r="K44" s="27"/>
      <c r="L44" s="97"/>
      <c r="M44" s="27" t="s">
        <v>509</v>
      </c>
    </row>
    <row r="45" spans="1:13" x14ac:dyDescent="0.25">
      <c r="I45">
        <v>42</v>
      </c>
      <c r="J45" s="34">
        <f t="shared" si="2"/>
        <v>46217</v>
      </c>
      <c r="K45" s="27"/>
      <c r="L45" s="97"/>
      <c r="M45" s="27" t="s">
        <v>509</v>
      </c>
    </row>
    <row r="46" spans="1:13" x14ac:dyDescent="0.25">
      <c r="I46">
        <v>43</v>
      </c>
      <c r="J46" s="34">
        <f t="shared" si="2"/>
        <v>46218</v>
      </c>
      <c r="K46" s="27"/>
      <c r="L46" s="97"/>
      <c r="M46" s="27" t="s">
        <v>509</v>
      </c>
    </row>
    <row r="47" spans="1:13" x14ac:dyDescent="0.25">
      <c r="I47">
        <v>44</v>
      </c>
      <c r="J47" s="34">
        <f t="shared" si="2"/>
        <v>46219</v>
      </c>
      <c r="K47" s="27"/>
      <c r="L47" s="97"/>
      <c r="M47" s="27" t="s">
        <v>509</v>
      </c>
    </row>
    <row r="48" spans="1:13" x14ac:dyDescent="0.25">
      <c r="I48">
        <v>45</v>
      </c>
      <c r="J48" s="34">
        <f t="shared" si="2"/>
        <v>46220</v>
      </c>
      <c r="K48" s="27"/>
      <c r="L48" s="97"/>
      <c r="M48" s="27" t="s">
        <v>509</v>
      </c>
    </row>
    <row r="49" spans="1:13" x14ac:dyDescent="0.25">
      <c r="K49" s="32">
        <f>SUM(K4:K48)</f>
        <v>8234.909999999998</v>
      </c>
    </row>
    <row r="50" spans="1:13" hidden="1" outlineLevel="1" x14ac:dyDescent="0.25">
      <c r="K50" s="32"/>
    </row>
    <row r="51" spans="1:13" hidden="1" outlineLevel="1" x14ac:dyDescent="0.25">
      <c r="J51" s="55"/>
      <c r="K51" s="55"/>
      <c r="L51" s="55"/>
      <c r="M51" s="55"/>
    </row>
    <row r="52" spans="1:13" hidden="1" outlineLevel="1" x14ac:dyDescent="0.25"/>
    <row r="53" spans="1:13" hidden="1" outlineLevel="1" x14ac:dyDescent="0.25"/>
    <row r="54" spans="1:13" ht="60" collapsed="1" x14ac:dyDescent="0.25">
      <c r="A54" s="57" t="s">
        <v>83</v>
      </c>
      <c r="B54" s="57" t="s">
        <v>176</v>
      </c>
      <c r="C54" s="57" t="s">
        <v>23</v>
      </c>
      <c r="D54" s="57" t="s">
        <v>24</v>
      </c>
      <c r="E54" s="57" t="s">
        <v>187</v>
      </c>
      <c r="F54" s="55" t="s">
        <v>26</v>
      </c>
      <c r="G54" s="55" t="s">
        <v>27</v>
      </c>
      <c r="H54" s="55" t="s">
        <v>188</v>
      </c>
      <c r="I54" s="55" t="s">
        <v>54</v>
      </c>
    </row>
    <row r="55" spans="1:13" x14ac:dyDescent="0.25">
      <c r="A55" t="s">
        <v>46</v>
      </c>
      <c r="B55" t="s">
        <v>19</v>
      </c>
      <c r="C55" s="31">
        <f>Таблица413[[#This Row],[ПЛАН, га]]*5</f>
        <v>3890</v>
      </c>
      <c r="D55" s="33">
        <f>SUMIF('Реестр уборки 2026'!W:W,Таблица413[[#This Row],[Культура]],'Реестр уборки 2026'!G:G)/1000</f>
        <v>3918.2</v>
      </c>
      <c r="E55" s="47">
        <f>IFERROR(D55/C55, )</f>
        <v>1.007249357326478</v>
      </c>
      <c r="F55" s="58">
        <v>778</v>
      </c>
      <c r="G55" s="95">
        <f>SUMIF('Реестр уборки 2026'!W:W,Таблица413[[#This Row],[Культура]],'Реестр уборки 2026'!V:V)</f>
        <v>672.00000000000125</v>
      </c>
      <c r="H55" s="47">
        <f>IFERROR(G55/F55, )</f>
        <v>0.86375321336761091</v>
      </c>
      <c r="I55" s="54">
        <f>IFERROR(Таблица413[[#This Row],[ФАКТ, т]]/Таблица413[[#This Row],[ФАКТ, га]],)</f>
        <v>5.8306547619047508</v>
      </c>
    </row>
    <row r="56" spans="1:13" x14ac:dyDescent="0.25">
      <c r="A56" t="s">
        <v>2932</v>
      </c>
      <c r="B56" t="s">
        <v>178</v>
      </c>
      <c r="C56" s="31">
        <v>2100</v>
      </c>
      <c r="D56" s="33">
        <f>SUMIF('Реестр уборки 2026'!W:W,Таблица413[[#This Row],[Культура]],'Реестр уборки 2026'!G:G)/1000</f>
        <v>1284.55</v>
      </c>
      <c r="E56" s="47">
        <f>IFERROR(D56/C56, )</f>
        <v>0.61169047619047612</v>
      </c>
      <c r="F56" s="58">
        <v>420</v>
      </c>
      <c r="G56" s="95">
        <f>SUMIF('Реестр уборки 2026'!W:W,Таблица413[[#This Row],[Культура]],'Реестр уборки 2026'!V:V)</f>
        <v>360.00000000000006</v>
      </c>
      <c r="H56" s="47">
        <f>IFERROR(G56/F56, )</f>
        <v>0.85714285714285732</v>
      </c>
      <c r="I56" s="54">
        <f>IFERROR(Таблица413[[#This Row],[ФАКТ, т]]/Таблица413[[#This Row],[ФАКТ, га]],)</f>
        <v>3.5681944444444436</v>
      </c>
    </row>
    <row r="57" spans="1:13" x14ac:dyDescent="0.25">
      <c r="A57" t="s">
        <v>52</v>
      </c>
      <c r="B57" t="s">
        <v>178</v>
      </c>
      <c r="C57" s="31">
        <v>1345</v>
      </c>
      <c r="D57" s="33">
        <f>SUMIF('Реестр уборки 2026'!W:W,Таблица413[[#This Row],[Культура]],'Реестр уборки 2026'!G:G)/1000</f>
        <v>1397.32</v>
      </c>
      <c r="E57" s="47">
        <f>IFERROR(D57/C57, )</f>
        <v>1.038899628252788</v>
      </c>
      <c r="F57" s="59">
        <v>269</v>
      </c>
      <c r="G57" s="95">
        <f>SUMIF('Реестр уборки 2026'!W:W,Таблица413[[#This Row],[Культура]],'Реестр уборки 2026'!V:V)</f>
        <v>269.10000000000019</v>
      </c>
      <c r="H57" s="47">
        <f>IFERROR(G57/F57, )</f>
        <v>1.0003717472118967</v>
      </c>
      <c r="I57" s="54">
        <f>IFERROR(Таблица413[[#This Row],[ФАКТ, т]]/Таблица413[[#This Row],[ФАКТ, га]],)</f>
        <v>5.192567818654771</v>
      </c>
    </row>
    <row r="58" spans="1:13" x14ac:dyDescent="0.25">
      <c r="A58" t="s">
        <v>53</v>
      </c>
      <c r="B58" t="s">
        <v>178</v>
      </c>
      <c r="C58" s="31">
        <v>2200.8000000000002</v>
      </c>
      <c r="D58" s="33">
        <f>SUMIF('Реестр уборки 2026'!W:W,Таблица413[[#This Row],[Культура]],'Реестр уборки 2026'!G:G)/1000</f>
        <v>1634.84</v>
      </c>
      <c r="E58" s="47">
        <f>IFERROR(D58/C58, )</f>
        <v>0.74283896764812785</v>
      </c>
      <c r="F58" s="386">
        <v>440.16</v>
      </c>
      <c r="G58" s="95">
        <f>SUMIF('Реестр уборки 2026'!W:W,Таблица413[[#This Row],[Культура]],'Реестр уборки 2026'!V:V)</f>
        <v>373.19999999999987</v>
      </c>
      <c r="H58" s="47">
        <f>IFERROR(G58/F58, )</f>
        <v>0.8478735005452559</v>
      </c>
      <c r="I58" s="54">
        <f>IFERROR(Таблица413[[#This Row],[ФАКТ, т]]/Таблица413[[#This Row],[ФАКТ, га]],)</f>
        <v>4.3806002143622731</v>
      </c>
    </row>
    <row r="59" spans="1:13" x14ac:dyDescent="0.25">
      <c r="C59" s="32">
        <f>SUBTOTAL(109,C55:C58)</f>
        <v>9535.7999999999993</v>
      </c>
      <c r="D59" s="32">
        <f>SUBTOTAL(109,D55:D58)</f>
        <v>8234.91</v>
      </c>
      <c r="E59" s="48">
        <f>D59/C59</f>
        <v>0.86357830491411314</v>
      </c>
      <c r="F59" s="387">
        <f>SUBTOTAL(109,F55:F58)</f>
        <v>1907.16</v>
      </c>
      <c r="G59" s="96">
        <f>SUBTOTAL(109,G55:G58)</f>
        <v>1674.3000000000013</v>
      </c>
      <c r="H59" s="48">
        <f>IFERROR(G59/F59, )</f>
        <v>0.87790222110363114</v>
      </c>
      <c r="I59" s="54">
        <f>D59/G59</f>
        <v>4.9184196380576921</v>
      </c>
    </row>
    <row r="60" spans="1:13" x14ac:dyDescent="0.25">
      <c r="G60" s="46"/>
    </row>
    <row r="61" spans="1:13" x14ac:dyDescent="0.25">
      <c r="G61" s="46"/>
    </row>
    <row r="63" spans="1:13" x14ac:dyDescent="0.25">
      <c r="A63" s="50" t="s">
        <v>181</v>
      </c>
      <c r="B63" t="s">
        <v>185</v>
      </c>
      <c r="C63" t="s">
        <v>184</v>
      </c>
      <c r="D63" t="s">
        <v>2933</v>
      </c>
      <c r="E63" t="s">
        <v>1074</v>
      </c>
      <c r="F63" t="s">
        <v>1075</v>
      </c>
    </row>
    <row r="64" spans="1:13" x14ac:dyDescent="0.25">
      <c r="A64" s="24" t="s">
        <v>52</v>
      </c>
      <c r="B64" s="31">
        <v>1345</v>
      </c>
      <c r="C64" s="31">
        <v>1384.14</v>
      </c>
      <c r="D64" s="47">
        <v>1.029100371747212</v>
      </c>
      <c r="E64" s="385">
        <v>269</v>
      </c>
      <c r="F64" s="385">
        <v>269.00406076858297</v>
      </c>
    </row>
    <row r="65" spans="1:6" x14ac:dyDescent="0.25">
      <c r="A65" s="24" t="s">
        <v>46</v>
      </c>
      <c r="B65" s="31">
        <v>3890</v>
      </c>
      <c r="C65" s="31">
        <v>3765.1</v>
      </c>
      <c r="D65" s="47">
        <v>0.96789203084832898</v>
      </c>
      <c r="E65" s="385">
        <v>778</v>
      </c>
      <c r="F65" s="385">
        <v>637.900000000001</v>
      </c>
    </row>
    <row r="66" spans="1:6" x14ac:dyDescent="0.25">
      <c r="A66" s="24" t="s">
        <v>2932</v>
      </c>
      <c r="B66" s="31">
        <v>2100</v>
      </c>
      <c r="C66" s="31">
        <v>719.04</v>
      </c>
      <c r="D66" s="47">
        <v>0.34239999999999998</v>
      </c>
      <c r="E66" s="385">
        <v>420</v>
      </c>
      <c r="F66" s="385">
        <v>167.00000000000006</v>
      </c>
    </row>
    <row r="67" spans="1:6" x14ac:dyDescent="0.25">
      <c r="A67" s="24" t="s">
        <v>53</v>
      </c>
      <c r="B67" s="31">
        <v>2200.8000000000002</v>
      </c>
      <c r="C67" s="31">
        <v>886.23</v>
      </c>
      <c r="D67" s="47">
        <v>0.40268538713195201</v>
      </c>
      <c r="E67" s="385">
        <v>440.16</v>
      </c>
      <c r="F67" s="385">
        <v>188.12000000000012</v>
      </c>
    </row>
    <row r="68" spans="1:6" x14ac:dyDescent="0.25">
      <c r="A68" s="24" t="s">
        <v>182</v>
      </c>
      <c r="B68" s="31">
        <v>9535.7999999999993</v>
      </c>
      <c r="C68" s="31">
        <v>6754.51</v>
      </c>
      <c r="D68" s="47">
        <v>0.7083317603137651</v>
      </c>
      <c r="E68" s="385">
        <v>1907.16</v>
      </c>
      <c r="F68" s="385">
        <v>1262.0240607685841</v>
      </c>
    </row>
  </sheetData>
  <dataValidations count="1">
    <dataValidation type="list" showInputMessage="1" showErrorMessage="1" sqref="M4:M48" xr:uid="{29544232-C2C4-4BA7-A1E2-0828C222D5C5}">
      <formula1>$D$27:$D$32</formula1>
    </dataValidation>
  </dataValidations>
  <pageMargins left="0.7" right="0.7" top="0.75" bottom="0.75" header="0.3" footer="0.3"/>
  <pageSetup paperSize="9" orientation="portrait" r:id="rId2"/>
  <ignoredErrors>
    <ignoredError sqref="I55" calculatedColumn="1"/>
  </ignoredErrors>
  <legacyDrawing r:id="rId3"/>
  <tableParts count="3"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B2:AG38"/>
  <sheetViews>
    <sheetView zoomScale="90" zoomScaleNormal="90" workbookViewId="0">
      <selection activeCell="AJ36" sqref="AJ36"/>
    </sheetView>
  </sheetViews>
  <sheetFormatPr defaultColWidth="9.140625" defaultRowHeight="14.25" x14ac:dyDescent="0.2"/>
  <cols>
    <col min="1" max="1" width="2.7109375" style="1" customWidth="1"/>
    <col min="2" max="2" width="4" style="1" customWidth="1"/>
    <col min="3" max="5" width="4" style="2" customWidth="1"/>
    <col min="6" max="8" width="4" style="1" customWidth="1"/>
    <col min="9" max="9" width="3.5703125" style="2" customWidth="1"/>
    <col min="10" max="10" width="14" style="1" customWidth="1"/>
    <col min="11" max="11" width="13.85546875" style="1" customWidth="1"/>
    <col min="12" max="22" width="9.140625" style="1"/>
    <col min="23" max="23" width="15.7109375" style="1" customWidth="1"/>
    <col min="24" max="24" width="10.140625" style="1" bestFit="1" customWidth="1"/>
    <col min="25" max="25" width="14.7109375" style="1" bestFit="1" customWidth="1"/>
    <col min="26" max="26" width="2" style="1" customWidth="1"/>
    <col min="27" max="32" width="9.140625" style="1"/>
    <col min="33" max="33" width="4.5703125" style="1" customWidth="1"/>
    <col min="34" max="16384" width="9.140625" style="1"/>
  </cols>
  <sheetData>
    <row r="2" spans="2:33" s="3" customFormat="1" ht="30.75" thickBot="1" x14ac:dyDescent="0.4">
      <c r="B2" s="526" t="s">
        <v>186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</row>
    <row r="4" spans="2:33" s="4" customFormat="1" x14ac:dyDescent="0.25"/>
    <row r="5" spans="2:33" x14ac:dyDescent="0.2">
      <c r="L5" s="4"/>
    </row>
    <row r="6" spans="2:33" x14ac:dyDescent="0.2">
      <c r="L6" s="4"/>
    </row>
    <row r="7" spans="2:33" x14ac:dyDescent="0.2">
      <c r="L7" s="4"/>
    </row>
    <row r="8" spans="2:33" x14ac:dyDescent="0.2">
      <c r="L8" s="4"/>
    </row>
    <row r="18" spans="2:30" ht="19.5" x14ac:dyDescent="0.25">
      <c r="W18" s="5"/>
      <c r="X18" s="5"/>
      <c r="Y18" s="5"/>
      <c r="Z18" s="5"/>
      <c r="AA18" s="5"/>
      <c r="AB18" s="5"/>
    </row>
    <row r="20" spans="2:30" ht="15" x14ac:dyDescent="0.2">
      <c r="W20" s="6"/>
      <c r="X20" s="7"/>
      <c r="Y20" s="8"/>
      <c r="Z20" s="7"/>
      <c r="AA20" s="7"/>
      <c r="AB20" s="7"/>
    </row>
    <row r="21" spans="2:30" ht="15" x14ac:dyDescent="0.2">
      <c r="W21" s="7"/>
      <c r="X21" s="7"/>
      <c r="Y21" s="9"/>
      <c r="Z21" s="7"/>
      <c r="AA21" s="7"/>
      <c r="AB21" s="7"/>
    </row>
    <row r="22" spans="2:30" ht="15" x14ac:dyDescent="0.2">
      <c r="W22" s="6"/>
      <c r="X22" s="7"/>
      <c r="Y22" s="9"/>
      <c r="Z22" s="7"/>
      <c r="AA22" s="7"/>
      <c r="AB22" s="7"/>
    </row>
    <row r="23" spans="2:30" ht="15" x14ac:dyDescent="0.2">
      <c r="W23" s="7"/>
      <c r="X23" s="7"/>
      <c r="Y23" s="9"/>
      <c r="Z23" s="7"/>
      <c r="AA23" s="7"/>
      <c r="AB23" s="7"/>
      <c r="AD23" s="12"/>
    </row>
    <row r="24" spans="2:30" ht="15" x14ac:dyDescent="0.2">
      <c r="B24" s="558" t="s">
        <v>0</v>
      </c>
      <c r="C24" s="559"/>
      <c r="D24" s="559"/>
      <c r="E24" s="559"/>
      <c r="F24" s="559"/>
      <c r="G24" s="559"/>
      <c r="H24" s="560"/>
      <c r="W24" s="6"/>
      <c r="X24" s="7"/>
      <c r="Y24" s="9"/>
      <c r="Z24" s="7"/>
      <c r="AA24" s="7"/>
      <c r="AB24" s="7"/>
    </row>
    <row r="25" spans="2:30" ht="15" x14ac:dyDescent="0.2">
      <c r="B25" s="10" t="s">
        <v>1</v>
      </c>
      <c r="C25" s="10" t="s">
        <v>2</v>
      </c>
      <c r="D25" s="10" t="s">
        <v>3</v>
      </c>
      <c r="E25" s="10" t="s">
        <v>4</v>
      </c>
      <c r="F25" s="10" t="s">
        <v>5</v>
      </c>
      <c r="G25" s="10" t="s">
        <v>6</v>
      </c>
      <c r="H25" s="10" t="s">
        <v>7</v>
      </c>
      <c r="W25" s="6"/>
      <c r="X25" s="7"/>
      <c r="Y25" s="9"/>
      <c r="Z25" s="7"/>
      <c r="AA25" s="7"/>
      <c r="AB25" s="7"/>
      <c r="AC25" s="12"/>
    </row>
    <row r="26" spans="2:30" ht="15" x14ac:dyDescent="0.2">
      <c r="B26" s="11"/>
      <c r="C26" s="11">
        <v>45804</v>
      </c>
      <c r="D26" s="11">
        <f>C26+1</f>
        <v>45805</v>
      </c>
      <c r="E26" s="11">
        <f>D26+1</f>
        <v>45806</v>
      </c>
      <c r="F26" s="11">
        <f>E26+1</f>
        <v>45807</v>
      </c>
      <c r="G26" s="11">
        <f>F26+1</f>
        <v>45808</v>
      </c>
      <c r="H26" s="11"/>
      <c r="W26" s="6"/>
      <c r="X26" s="7"/>
      <c r="Y26" s="9"/>
      <c r="Z26" s="7"/>
      <c r="AA26" s="7"/>
      <c r="AB26" s="7"/>
    </row>
    <row r="27" spans="2:30" ht="15" x14ac:dyDescent="0.2">
      <c r="B27" s="527" t="s">
        <v>8</v>
      </c>
      <c r="C27" s="528"/>
      <c r="D27" s="528"/>
      <c r="E27" s="528"/>
      <c r="F27" s="528"/>
      <c r="G27" s="528"/>
      <c r="H27" s="529"/>
      <c r="W27" s="7"/>
      <c r="X27" s="7"/>
      <c r="Y27" s="9"/>
      <c r="Z27" s="7"/>
      <c r="AA27" s="7"/>
      <c r="AB27" s="7"/>
    </row>
    <row r="28" spans="2:30" ht="15" x14ac:dyDescent="0.2">
      <c r="B28" s="11"/>
      <c r="C28" s="11"/>
      <c r="D28" s="11"/>
      <c r="E28" s="11"/>
      <c r="F28" s="11"/>
      <c r="G28" s="11"/>
      <c r="H28" s="11">
        <f>G26+1</f>
        <v>45809</v>
      </c>
      <c r="W28" s="6"/>
      <c r="X28" s="7"/>
      <c r="Y28" s="9"/>
      <c r="Z28" s="7"/>
      <c r="AA28" s="7"/>
      <c r="AB28" s="7"/>
    </row>
    <row r="29" spans="2:30" ht="18" x14ac:dyDescent="0.25">
      <c r="B29" s="11">
        <f>H28+1</f>
        <v>45810</v>
      </c>
      <c r="C29" s="11">
        <f t="shared" ref="C29:H29" si="0">B29+1</f>
        <v>45811</v>
      </c>
      <c r="D29" s="11">
        <f t="shared" si="0"/>
        <v>45812</v>
      </c>
      <c r="E29" s="11">
        <f t="shared" si="0"/>
        <v>45813</v>
      </c>
      <c r="F29" s="11">
        <f t="shared" si="0"/>
        <v>45814</v>
      </c>
      <c r="G29" s="11">
        <f t="shared" si="0"/>
        <v>45815</v>
      </c>
      <c r="H29" s="11">
        <f t="shared" si="0"/>
        <v>45816</v>
      </c>
      <c r="W29" s="13"/>
      <c r="X29" s="14"/>
      <c r="Y29" s="15"/>
      <c r="Z29" s="14"/>
      <c r="AA29" s="14"/>
      <c r="AB29" s="14"/>
    </row>
    <row r="30" spans="2:30" ht="18" x14ac:dyDescent="0.25">
      <c r="B30" s="11">
        <f>H29+1</f>
        <v>45817</v>
      </c>
      <c r="C30" s="11">
        <f t="shared" ref="C30:H32" si="1">B30+1</f>
        <v>45818</v>
      </c>
      <c r="D30" s="11">
        <f t="shared" si="1"/>
        <v>45819</v>
      </c>
      <c r="E30" s="11">
        <f t="shared" si="1"/>
        <v>45820</v>
      </c>
      <c r="F30" s="11">
        <f t="shared" si="1"/>
        <v>45821</v>
      </c>
      <c r="G30" s="11">
        <f t="shared" si="1"/>
        <v>45822</v>
      </c>
      <c r="H30" s="11">
        <f t="shared" si="1"/>
        <v>45823</v>
      </c>
      <c r="W30" s="6"/>
      <c r="X30" s="14"/>
      <c r="Y30" s="15"/>
      <c r="Z30" s="14"/>
      <c r="AA30" s="14"/>
      <c r="AB30" s="14"/>
    </row>
    <row r="31" spans="2:30" ht="18" x14ac:dyDescent="0.25">
      <c r="B31" s="11">
        <f>H30+1</f>
        <v>45824</v>
      </c>
      <c r="C31" s="11">
        <f t="shared" si="1"/>
        <v>45825</v>
      </c>
      <c r="D31" s="11">
        <f t="shared" si="1"/>
        <v>45826</v>
      </c>
      <c r="E31" s="11">
        <f t="shared" si="1"/>
        <v>45827</v>
      </c>
      <c r="F31" s="11">
        <f t="shared" si="1"/>
        <v>45828</v>
      </c>
      <c r="G31" s="11">
        <f t="shared" si="1"/>
        <v>45829</v>
      </c>
      <c r="H31" s="11">
        <f t="shared" si="1"/>
        <v>45830</v>
      </c>
      <c r="W31" s="6"/>
      <c r="X31" s="14"/>
      <c r="Y31" s="15"/>
      <c r="Z31" s="14"/>
      <c r="AA31" s="14"/>
      <c r="AB31" s="14"/>
    </row>
    <row r="32" spans="2:30" ht="15" x14ac:dyDescent="0.2">
      <c r="B32" s="11">
        <f>H31+1</f>
        <v>45831</v>
      </c>
      <c r="C32" s="11">
        <f t="shared" si="1"/>
        <v>45832</v>
      </c>
      <c r="D32" s="11">
        <f t="shared" si="1"/>
        <v>45833</v>
      </c>
      <c r="E32" s="11">
        <f t="shared" si="1"/>
        <v>45834</v>
      </c>
      <c r="F32" s="11">
        <f t="shared" si="1"/>
        <v>45835</v>
      </c>
      <c r="G32" s="11">
        <f t="shared" si="1"/>
        <v>45836</v>
      </c>
      <c r="H32" s="11">
        <f t="shared" si="1"/>
        <v>45837</v>
      </c>
      <c r="W32" s="6"/>
      <c r="X32" s="7"/>
      <c r="Y32" s="9"/>
      <c r="Z32" s="7"/>
      <c r="AA32" s="7"/>
      <c r="AB32" s="7"/>
    </row>
    <row r="33" spans="2:28" ht="18" x14ac:dyDescent="0.25">
      <c r="B33" s="11">
        <f>H32+1</f>
        <v>45838</v>
      </c>
      <c r="C33" s="11"/>
      <c r="D33" s="11"/>
      <c r="E33" s="11"/>
      <c r="F33" s="11"/>
      <c r="G33" s="11"/>
      <c r="H33" s="11"/>
      <c r="W33" s="13"/>
      <c r="X33" s="14"/>
      <c r="Y33" s="13"/>
      <c r="Z33" s="14"/>
      <c r="AA33" s="14"/>
      <c r="AB33" s="14"/>
    </row>
    <row r="34" spans="2:28" ht="18" x14ac:dyDescent="0.25">
      <c r="B34" s="527" t="s">
        <v>1311</v>
      </c>
      <c r="C34" s="528"/>
      <c r="D34" s="528"/>
      <c r="E34" s="528"/>
      <c r="F34" s="528"/>
      <c r="G34" s="528"/>
      <c r="H34" s="529"/>
      <c r="X34" s="14"/>
      <c r="Y34" s="13"/>
      <c r="Z34" s="14"/>
      <c r="AA34" s="14"/>
      <c r="AB34" s="14"/>
    </row>
    <row r="35" spans="2:28" ht="18" x14ac:dyDescent="0.25">
      <c r="B35" s="11"/>
      <c r="C35" s="11">
        <f>B33+1</f>
        <v>45839</v>
      </c>
      <c r="D35" s="11">
        <f>C35+1</f>
        <v>45840</v>
      </c>
      <c r="E35" s="11">
        <f t="shared" ref="E35:H36" si="2">D35+1</f>
        <v>45841</v>
      </c>
      <c r="F35" s="11">
        <f t="shared" si="2"/>
        <v>45842</v>
      </c>
      <c r="G35" s="11">
        <f t="shared" si="2"/>
        <v>45843</v>
      </c>
      <c r="H35" s="11">
        <f t="shared" si="2"/>
        <v>45844</v>
      </c>
      <c r="W35" s="14"/>
      <c r="X35" s="14"/>
      <c r="Y35" s="14"/>
      <c r="Z35" s="14"/>
      <c r="AA35" s="14"/>
      <c r="AB35" s="14"/>
    </row>
    <row r="36" spans="2:28" ht="18" x14ac:dyDescent="0.25">
      <c r="B36" s="11">
        <f>H35+1</f>
        <v>45845</v>
      </c>
      <c r="C36" s="11">
        <f>B36+1</f>
        <v>45846</v>
      </c>
      <c r="D36" s="11">
        <f>C36+1</f>
        <v>45847</v>
      </c>
      <c r="E36" s="11">
        <f t="shared" si="2"/>
        <v>45848</v>
      </c>
      <c r="F36" s="11">
        <f t="shared" si="2"/>
        <v>45849</v>
      </c>
      <c r="G36" s="11">
        <f>F36+1</f>
        <v>45850</v>
      </c>
      <c r="H36" s="11">
        <f>G36+1</f>
        <v>45851</v>
      </c>
      <c r="W36" s="14"/>
      <c r="X36" s="14"/>
      <c r="Y36" s="14"/>
      <c r="Z36" s="14"/>
      <c r="AA36" s="14"/>
      <c r="AB36" s="14"/>
    </row>
    <row r="38" spans="2:28" x14ac:dyDescent="0.2">
      <c r="B38" s="1" t="s">
        <v>278</v>
      </c>
      <c r="E38" s="67">
        <v>45</v>
      </c>
    </row>
  </sheetData>
  <mergeCells count="4">
    <mergeCell ref="B24:H24"/>
    <mergeCell ref="B27:H27"/>
    <mergeCell ref="B2:AG2"/>
    <mergeCell ref="B34:H34"/>
  </mergeCells>
  <conditionalFormatting sqref="B33">
    <cfRule type="expression" dxfId="411" priority="7">
      <formula>B33&lt;TODAY()</formula>
    </cfRule>
  </conditionalFormatting>
  <conditionalFormatting sqref="B36:E36">
    <cfRule type="expression" dxfId="410" priority="5">
      <formula>B36&lt;TODAY()+1</formula>
    </cfRule>
  </conditionalFormatting>
  <conditionalFormatting sqref="B29:H32">
    <cfRule type="expression" dxfId="409" priority="8">
      <formula>B29&lt;TODAY()</formula>
    </cfRule>
  </conditionalFormatting>
  <conditionalFormatting sqref="C26:G26">
    <cfRule type="expression" dxfId="408" priority="21">
      <formula>C26&lt;TODAY()</formula>
    </cfRule>
  </conditionalFormatting>
  <conditionalFormatting sqref="C35:H35">
    <cfRule type="expression" dxfId="407" priority="2">
      <formula>C35&lt;TODAY()</formula>
    </cfRule>
  </conditionalFormatting>
  <conditionalFormatting sqref="H28">
    <cfRule type="expression" dxfId="406" priority="18">
      <formula>H28&lt;TODAY()</formula>
    </cfRule>
  </conditionalFormatting>
  <pageMargins left="0.7" right="0.7" top="0.75" bottom="0.75" header="0.3" footer="0.3"/>
  <pageSetup paperSize="9" scale="39" orientation="landscape" r:id="rId1"/>
  <drawing r:id="rId2"/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3C57-C3BE-44DC-86F3-96EA7B3EBFCD}">
  <dimension ref="B2:AG37"/>
  <sheetViews>
    <sheetView zoomScale="70" zoomScaleNormal="70" workbookViewId="0">
      <selection activeCell="R44" sqref="R44"/>
    </sheetView>
  </sheetViews>
  <sheetFormatPr defaultColWidth="9.140625" defaultRowHeight="14.25" x14ac:dyDescent="0.2"/>
  <cols>
    <col min="1" max="1" width="2.7109375" style="1" customWidth="1"/>
    <col min="2" max="2" width="4" style="1" customWidth="1"/>
    <col min="3" max="5" width="4" style="2" customWidth="1"/>
    <col min="6" max="8" width="4" style="1" customWidth="1"/>
    <col min="9" max="9" width="3.5703125" style="2" customWidth="1"/>
    <col min="10" max="10" width="14" style="1" customWidth="1"/>
    <col min="11" max="11" width="13.85546875" style="1" customWidth="1"/>
    <col min="12" max="22" width="9.140625" style="1"/>
    <col min="23" max="23" width="15.7109375" style="1" customWidth="1"/>
    <col min="24" max="24" width="10.140625" style="1" bestFit="1" customWidth="1"/>
    <col min="25" max="25" width="14.7109375" style="1" bestFit="1" customWidth="1"/>
    <col min="26" max="26" width="2" style="1" customWidth="1"/>
    <col min="27" max="32" width="9.140625" style="1"/>
    <col min="33" max="33" width="4.5703125" style="1" customWidth="1"/>
    <col min="34" max="16384" width="9.140625" style="1"/>
  </cols>
  <sheetData>
    <row r="2" spans="2:33" s="3" customFormat="1" ht="30.75" thickBot="1" x14ac:dyDescent="0.4">
      <c r="B2" s="526" t="s">
        <v>1745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</row>
    <row r="4" spans="2:33" s="4" customFormat="1" x14ac:dyDescent="0.25"/>
    <row r="5" spans="2:33" x14ac:dyDescent="0.2">
      <c r="L5" s="4"/>
    </row>
    <row r="6" spans="2:33" x14ac:dyDescent="0.2">
      <c r="L6" s="4"/>
    </row>
    <row r="7" spans="2:33" x14ac:dyDescent="0.2">
      <c r="L7" s="4"/>
    </row>
    <row r="8" spans="2:33" x14ac:dyDescent="0.2">
      <c r="L8" s="4"/>
    </row>
    <row r="18" spans="2:30" ht="19.5" x14ac:dyDescent="0.25">
      <c r="W18" s="5"/>
      <c r="X18" s="5"/>
      <c r="Y18" s="5"/>
      <c r="Z18" s="5"/>
      <c r="AA18" s="5"/>
      <c r="AB18" s="5"/>
    </row>
    <row r="20" spans="2:30" ht="15" x14ac:dyDescent="0.2">
      <c r="W20" s="6"/>
      <c r="X20" s="7"/>
      <c r="Y20" s="8"/>
      <c r="Z20" s="7"/>
      <c r="AA20" s="7"/>
      <c r="AB20" s="7"/>
    </row>
    <row r="21" spans="2:30" ht="15" x14ac:dyDescent="0.2">
      <c r="B21" s="561" t="s">
        <v>0</v>
      </c>
      <c r="C21" s="561"/>
      <c r="D21" s="561"/>
      <c r="E21" s="561"/>
      <c r="F21" s="561"/>
      <c r="G21" s="561"/>
      <c r="H21" s="561"/>
      <c r="W21" s="7"/>
      <c r="X21" s="7"/>
      <c r="Y21" s="9"/>
      <c r="Z21" s="7"/>
      <c r="AA21" s="7"/>
      <c r="AB21" s="7"/>
    </row>
    <row r="22" spans="2:30" ht="15" x14ac:dyDescent="0.2">
      <c r="B22" s="10" t="s">
        <v>1</v>
      </c>
      <c r="C22" s="10" t="s">
        <v>2</v>
      </c>
      <c r="D22" s="10" t="s">
        <v>3</v>
      </c>
      <c r="E22" s="10" t="s">
        <v>4</v>
      </c>
      <c r="F22" s="10" t="s">
        <v>5</v>
      </c>
      <c r="G22" s="10" t="s">
        <v>6</v>
      </c>
      <c r="H22" s="10" t="s">
        <v>7</v>
      </c>
      <c r="W22" s="6"/>
      <c r="X22" s="7"/>
      <c r="Y22" s="9"/>
      <c r="Z22" s="7"/>
      <c r="AA22" s="7"/>
      <c r="AB22" s="7"/>
    </row>
    <row r="23" spans="2:30" ht="15" x14ac:dyDescent="0.2">
      <c r="B23" s="11"/>
      <c r="C23" s="11"/>
      <c r="D23" s="11"/>
      <c r="E23" s="11"/>
      <c r="F23" s="11">
        <v>45429</v>
      </c>
      <c r="G23" s="11">
        <v>45430</v>
      </c>
      <c r="H23" s="11">
        <v>45431</v>
      </c>
      <c r="W23" s="7"/>
      <c r="X23" s="7"/>
      <c r="Y23" s="9"/>
      <c r="Z23" s="7"/>
      <c r="AA23" s="7"/>
      <c r="AB23" s="7"/>
      <c r="AD23" s="12"/>
    </row>
    <row r="24" spans="2:30" ht="15" x14ac:dyDescent="0.2">
      <c r="B24" s="11">
        <f>H23+1</f>
        <v>45432</v>
      </c>
      <c r="C24" s="11">
        <f t="shared" ref="C24:H24" si="0">B24+1</f>
        <v>45433</v>
      </c>
      <c r="D24" s="11">
        <f t="shared" si="0"/>
        <v>45434</v>
      </c>
      <c r="E24" s="11">
        <f t="shared" si="0"/>
        <v>45435</v>
      </c>
      <c r="F24" s="11">
        <f t="shared" si="0"/>
        <v>45436</v>
      </c>
      <c r="G24" s="11">
        <f t="shared" si="0"/>
        <v>45437</v>
      </c>
      <c r="H24" s="11">
        <f t="shared" si="0"/>
        <v>45438</v>
      </c>
      <c r="W24" s="6"/>
      <c r="X24" s="7"/>
      <c r="Y24" s="9"/>
      <c r="Z24" s="7"/>
      <c r="AA24" s="7"/>
      <c r="AB24" s="7"/>
    </row>
    <row r="25" spans="2:30" ht="15" x14ac:dyDescent="0.2">
      <c r="B25" s="11">
        <f>H24+1</f>
        <v>45439</v>
      </c>
      <c r="C25" s="11">
        <f>B25+1</f>
        <v>45440</v>
      </c>
      <c r="D25" s="11">
        <f>C25+1</f>
        <v>45441</v>
      </c>
      <c r="E25" s="11">
        <f>D25+1</f>
        <v>45442</v>
      </c>
      <c r="F25" s="11">
        <f>E25+1</f>
        <v>45443</v>
      </c>
      <c r="G25" s="11"/>
      <c r="H25" s="11"/>
      <c r="W25" s="6"/>
      <c r="X25" s="7"/>
      <c r="Y25" s="9"/>
      <c r="Z25" s="7"/>
      <c r="AA25" s="7"/>
      <c r="AB25" s="7"/>
      <c r="AC25" s="12"/>
    </row>
    <row r="26" spans="2:30" ht="15" x14ac:dyDescent="0.2">
      <c r="B26" s="562" t="s">
        <v>8</v>
      </c>
      <c r="C26" s="562"/>
      <c r="D26" s="562"/>
      <c r="E26" s="562"/>
      <c r="F26" s="562"/>
      <c r="G26" s="562"/>
      <c r="H26" s="562"/>
      <c r="W26" s="6"/>
      <c r="X26" s="7"/>
      <c r="Y26" s="9"/>
      <c r="Z26" s="7"/>
      <c r="AA26" s="7"/>
      <c r="AB26" s="7"/>
    </row>
    <row r="27" spans="2:30" ht="15" x14ac:dyDescent="0.2">
      <c r="B27" s="11"/>
      <c r="C27" s="11"/>
      <c r="D27" s="11"/>
      <c r="E27" s="11"/>
      <c r="F27" s="11"/>
      <c r="G27" s="11">
        <v>45444</v>
      </c>
      <c r="H27" s="11">
        <f>G27+1</f>
        <v>45445</v>
      </c>
      <c r="W27" s="7"/>
      <c r="X27" s="7"/>
      <c r="Y27" s="9"/>
      <c r="Z27" s="7"/>
      <c r="AA27" s="7"/>
      <c r="AB27" s="7"/>
    </row>
    <row r="28" spans="2:30" ht="15" x14ac:dyDescent="0.2">
      <c r="B28" s="11">
        <f>H27+1</f>
        <v>45446</v>
      </c>
      <c r="C28" s="11">
        <f t="shared" ref="C28:H37" si="1">B28+1</f>
        <v>45447</v>
      </c>
      <c r="D28" s="11">
        <f t="shared" si="1"/>
        <v>45448</v>
      </c>
      <c r="E28" s="11">
        <f t="shared" si="1"/>
        <v>45449</v>
      </c>
      <c r="F28" s="11">
        <f t="shared" si="1"/>
        <v>45450</v>
      </c>
      <c r="G28" s="11">
        <f t="shared" si="1"/>
        <v>45451</v>
      </c>
      <c r="H28" s="11">
        <f t="shared" si="1"/>
        <v>45452</v>
      </c>
      <c r="W28" s="6"/>
      <c r="X28" s="7"/>
      <c r="Y28" s="9"/>
      <c r="Z28" s="7"/>
      <c r="AA28" s="7"/>
      <c r="AB28" s="7"/>
    </row>
    <row r="29" spans="2:30" ht="18" x14ac:dyDescent="0.25">
      <c r="B29" s="11">
        <f>H28+1</f>
        <v>45453</v>
      </c>
      <c r="C29" s="11">
        <f t="shared" si="1"/>
        <v>45454</v>
      </c>
      <c r="D29" s="11">
        <f t="shared" si="1"/>
        <v>45455</v>
      </c>
      <c r="E29" s="11">
        <f t="shared" si="1"/>
        <v>45456</v>
      </c>
      <c r="F29" s="11">
        <f t="shared" si="1"/>
        <v>45457</v>
      </c>
      <c r="G29" s="11">
        <f t="shared" si="1"/>
        <v>45458</v>
      </c>
      <c r="H29" s="11">
        <f t="shared" si="1"/>
        <v>45459</v>
      </c>
      <c r="W29" s="13"/>
      <c r="X29" s="14"/>
      <c r="Y29" s="15"/>
      <c r="Z29" s="14"/>
      <c r="AA29" s="14"/>
      <c r="AB29" s="14"/>
    </row>
    <row r="30" spans="2:30" ht="18" x14ac:dyDescent="0.25">
      <c r="B30" s="11">
        <f>H29+1</f>
        <v>45460</v>
      </c>
      <c r="C30" s="11">
        <f t="shared" si="1"/>
        <v>45461</v>
      </c>
      <c r="D30" s="11">
        <f t="shared" si="1"/>
        <v>45462</v>
      </c>
      <c r="E30" s="11">
        <f t="shared" si="1"/>
        <v>45463</v>
      </c>
      <c r="F30" s="11">
        <f t="shared" si="1"/>
        <v>45464</v>
      </c>
      <c r="G30" s="11">
        <f t="shared" si="1"/>
        <v>45465</v>
      </c>
      <c r="H30" s="11">
        <f t="shared" si="1"/>
        <v>45466</v>
      </c>
      <c r="W30" s="6"/>
      <c r="X30" s="14"/>
      <c r="Y30" s="15"/>
      <c r="Z30" s="14"/>
      <c r="AA30" s="14"/>
      <c r="AB30" s="14"/>
    </row>
    <row r="31" spans="2:30" ht="18" x14ac:dyDescent="0.25">
      <c r="B31" s="11">
        <f>H30+1</f>
        <v>45467</v>
      </c>
      <c r="C31" s="11">
        <f t="shared" si="1"/>
        <v>45468</v>
      </c>
      <c r="D31" s="11">
        <f t="shared" si="1"/>
        <v>45469</v>
      </c>
      <c r="E31" s="11">
        <f t="shared" si="1"/>
        <v>45470</v>
      </c>
      <c r="F31" s="11">
        <f t="shared" si="1"/>
        <v>45471</v>
      </c>
      <c r="G31" s="11">
        <f t="shared" si="1"/>
        <v>45472</v>
      </c>
      <c r="H31" s="11">
        <f t="shared" si="1"/>
        <v>45473</v>
      </c>
      <c r="W31" s="6"/>
      <c r="X31" s="14"/>
      <c r="Y31" s="15"/>
      <c r="Z31" s="14"/>
      <c r="AA31" s="14"/>
      <c r="AB31" s="14"/>
    </row>
    <row r="32" spans="2:30" ht="15" x14ac:dyDescent="0.2">
      <c r="B32" s="562" t="s">
        <v>1311</v>
      </c>
      <c r="C32" s="562"/>
      <c r="D32" s="562"/>
      <c r="E32" s="562"/>
      <c r="F32" s="562"/>
      <c r="G32" s="562"/>
      <c r="H32" s="562"/>
      <c r="W32" s="6"/>
      <c r="X32" s="7"/>
      <c r="Y32" s="9"/>
      <c r="Z32" s="7"/>
      <c r="AA32" s="7"/>
      <c r="AB32" s="7"/>
    </row>
    <row r="33" spans="2:28" ht="18" x14ac:dyDescent="0.25">
      <c r="B33" s="11">
        <f>H31+1</f>
        <v>45474</v>
      </c>
      <c r="C33" s="11">
        <f t="shared" si="1"/>
        <v>45475</v>
      </c>
      <c r="D33" s="11">
        <f t="shared" si="1"/>
        <v>45476</v>
      </c>
      <c r="E33" s="11">
        <f t="shared" si="1"/>
        <v>45477</v>
      </c>
      <c r="F33" s="11">
        <f t="shared" si="1"/>
        <v>45478</v>
      </c>
      <c r="G33" s="11">
        <f t="shared" si="1"/>
        <v>45479</v>
      </c>
      <c r="H33" s="11">
        <f t="shared" si="1"/>
        <v>45480</v>
      </c>
      <c r="W33" s="13"/>
      <c r="X33" s="14"/>
      <c r="Y33" s="13"/>
      <c r="Z33" s="14"/>
      <c r="AA33" s="14"/>
      <c r="AB33" s="14"/>
    </row>
    <row r="34" spans="2:28" ht="18" x14ac:dyDescent="0.25">
      <c r="B34" s="11">
        <f>H33+1</f>
        <v>45481</v>
      </c>
      <c r="C34" s="11">
        <f t="shared" si="1"/>
        <v>45482</v>
      </c>
      <c r="D34" s="11">
        <f t="shared" si="1"/>
        <v>45483</v>
      </c>
      <c r="E34" s="11">
        <f t="shared" si="1"/>
        <v>45484</v>
      </c>
      <c r="F34" s="11">
        <f t="shared" si="1"/>
        <v>45485</v>
      </c>
      <c r="G34" s="11">
        <f t="shared" si="1"/>
        <v>45486</v>
      </c>
      <c r="H34" s="11">
        <f t="shared" si="1"/>
        <v>45487</v>
      </c>
      <c r="X34" s="14"/>
      <c r="Y34" s="13"/>
      <c r="Z34" s="14"/>
      <c r="AA34" s="14"/>
      <c r="AB34" s="14"/>
    </row>
    <row r="35" spans="2:28" ht="18" x14ac:dyDescent="0.25">
      <c r="B35" s="11">
        <f>H34+1</f>
        <v>45488</v>
      </c>
      <c r="C35" s="11">
        <f t="shared" si="1"/>
        <v>45489</v>
      </c>
      <c r="D35" s="11">
        <f t="shared" si="1"/>
        <v>45490</v>
      </c>
      <c r="E35" s="11">
        <f t="shared" si="1"/>
        <v>45491</v>
      </c>
      <c r="F35" s="11">
        <f t="shared" si="1"/>
        <v>45492</v>
      </c>
      <c r="G35" s="11">
        <f t="shared" si="1"/>
        <v>45493</v>
      </c>
      <c r="H35" s="11">
        <f t="shared" si="1"/>
        <v>45494</v>
      </c>
      <c r="W35" s="14"/>
      <c r="X35" s="14"/>
      <c r="Y35" s="14"/>
      <c r="Z35" s="14"/>
      <c r="AA35" s="14"/>
      <c r="AB35" s="14"/>
    </row>
    <row r="36" spans="2:28" ht="18" x14ac:dyDescent="0.25">
      <c r="B36" s="11">
        <f>H35+1</f>
        <v>45495</v>
      </c>
      <c r="C36" s="11">
        <f t="shared" si="1"/>
        <v>45496</v>
      </c>
      <c r="D36" s="11">
        <f t="shared" si="1"/>
        <v>45497</v>
      </c>
      <c r="E36" s="11">
        <f t="shared" si="1"/>
        <v>45498</v>
      </c>
      <c r="F36" s="11">
        <f t="shared" si="1"/>
        <v>45499</v>
      </c>
      <c r="G36" s="11">
        <f t="shared" si="1"/>
        <v>45500</v>
      </c>
      <c r="H36" s="11">
        <f t="shared" si="1"/>
        <v>45501</v>
      </c>
      <c r="W36" s="14"/>
      <c r="X36" s="14"/>
      <c r="Y36" s="14"/>
      <c r="Z36" s="14"/>
      <c r="AA36" s="14"/>
      <c r="AB36" s="14"/>
    </row>
    <row r="37" spans="2:28" x14ac:dyDescent="0.2">
      <c r="B37" s="11">
        <f>H36+1</f>
        <v>45502</v>
      </c>
      <c r="C37" s="11">
        <f t="shared" si="1"/>
        <v>45503</v>
      </c>
      <c r="D37" s="11">
        <f t="shared" si="1"/>
        <v>45504</v>
      </c>
      <c r="E37" s="11"/>
      <c r="F37" s="11"/>
      <c r="G37" s="11"/>
      <c r="H37" s="11"/>
    </row>
  </sheetData>
  <mergeCells count="4">
    <mergeCell ref="B21:H21"/>
    <mergeCell ref="B26:H26"/>
    <mergeCell ref="B32:H32"/>
    <mergeCell ref="B2:AG2"/>
  </mergeCells>
  <conditionalFormatting sqref="B28:F31">
    <cfRule type="expression" dxfId="405" priority="2">
      <formula>B28&lt;TODAY()</formula>
    </cfRule>
  </conditionalFormatting>
  <conditionalFormatting sqref="F23:H23 B24:H24 B25:F25">
    <cfRule type="expression" dxfId="404" priority="3">
      <formula>B23&lt;TODAY()</formula>
    </cfRule>
  </conditionalFormatting>
  <conditionalFormatting sqref="G27:H30">
    <cfRule type="expression" dxfId="403" priority="1">
      <formula>G27&lt;TODAY()</formula>
    </cfRule>
  </conditionalFormatting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DB46-8D27-462C-B56A-DA2C4A51C92D}">
  <sheetPr codeName="Лист2"/>
  <dimension ref="A2:M75"/>
  <sheetViews>
    <sheetView workbookViewId="0">
      <selection activeCell="R41" sqref="R41"/>
    </sheetView>
  </sheetViews>
  <sheetFormatPr defaultRowHeight="15" outlineLevelRow="1" x14ac:dyDescent="0.25"/>
  <cols>
    <col min="1" max="1" width="25.28515625" bestFit="1" customWidth="1"/>
    <col min="2" max="2" width="14.42578125" customWidth="1"/>
    <col min="3" max="3" width="13.140625" customWidth="1"/>
    <col min="4" max="4" width="32" customWidth="1"/>
    <col min="5" max="5" width="15" customWidth="1"/>
    <col min="6" max="7" width="18.28515625" customWidth="1"/>
    <col min="8" max="8" width="17.85546875" customWidth="1"/>
    <col min="9" max="9" width="18.28515625" customWidth="1"/>
    <col min="10" max="10" width="12.28515625" customWidth="1"/>
    <col min="11" max="11" width="10.7109375" customWidth="1"/>
    <col min="12" max="12" width="18.28515625" customWidth="1"/>
    <col min="13" max="13" width="10.7109375" customWidth="1"/>
  </cols>
  <sheetData>
    <row r="2" spans="1:13" x14ac:dyDescent="0.25">
      <c r="A2" s="25" t="s">
        <v>35</v>
      </c>
      <c r="B2" t="s">
        <v>180</v>
      </c>
      <c r="D2" s="25">
        <v>5</v>
      </c>
      <c r="E2" s="25"/>
      <c r="I2" s="25">
        <v>8</v>
      </c>
      <c r="J2" s="25"/>
    </row>
    <row r="3" spans="1:13" x14ac:dyDescent="0.25">
      <c r="A3" s="23" t="s">
        <v>22</v>
      </c>
      <c r="D3" s="23" t="s">
        <v>38</v>
      </c>
      <c r="E3" s="23" t="s">
        <v>23</v>
      </c>
      <c r="F3" s="23" t="s">
        <v>24</v>
      </c>
      <c r="G3" s="23" t="s">
        <v>25</v>
      </c>
      <c r="I3" s="23" t="s">
        <v>63</v>
      </c>
      <c r="J3" s="23"/>
      <c r="K3" s="23" t="s">
        <v>64</v>
      </c>
      <c r="L3" s="23" t="s">
        <v>177</v>
      </c>
      <c r="M3" s="23" t="s">
        <v>65</v>
      </c>
    </row>
    <row r="4" spans="1:13" x14ac:dyDescent="0.25">
      <c r="A4" t="s">
        <v>23</v>
      </c>
      <c r="B4" s="90">
        <f>C63</f>
        <v>6798.0450000000001</v>
      </c>
      <c r="D4" t="s">
        <v>43</v>
      </c>
      <c r="E4" s="56">
        <v>1157.4000000000001</v>
      </c>
      <c r="F4" s="90">
        <f t="shared" ref="F4:F11" si="0">D55</f>
        <v>1320.13</v>
      </c>
      <c r="G4" s="47">
        <f t="shared" ref="G4:G12" si="1">IFERROR(F4/E4, )</f>
        <v>1.140599619837567</v>
      </c>
      <c r="I4">
        <v>1</v>
      </c>
      <c r="J4" s="34">
        <v>45804</v>
      </c>
      <c r="K4" s="27">
        <f>SUMIF('Реестр уборки 2025'!Z:Z,J4,'Реестр уборки 2025'!G:G)/1000</f>
        <v>71.349999999999994</v>
      </c>
      <c r="L4" s="97">
        <f>IFERROR(AVERAGEIF('Реестр уборки 2025'!Z:Z,'Данные 2025'!J4,'Реестр уборки 2025'!C:C),)</f>
        <v>41.333333333333336</v>
      </c>
      <c r="M4" s="27" t="s">
        <v>419</v>
      </c>
    </row>
    <row r="5" spans="1:13" x14ac:dyDescent="0.25">
      <c r="A5" t="s">
        <v>24</v>
      </c>
      <c r="B5" s="90">
        <f>D63</f>
        <v>7098.14</v>
      </c>
      <c r="D5" t="s">
        <v>44</v>
      </c>
      <c r="E5" s="52">
        <v>910</v>
      </c>
      <c r="F5" s="90">
        <f t="shared" si="0"/>
        <v>503.65</v>
      </c>
      <c r="G5" s="47">
        <f t="shared" si="1"/>
        <v>0.55346153846153845</v>
      </c>
      <c r="I5">
        <v>2</v>
      </c>
      <c r="J5" s="34">
        <v>45805</v>
      </c>
      <c r="K5" s="27">
        <f>SUMIF('Реестр уборки 2025'!Z:Z,J5,'Реестр уборки 2025'!G:G)/1000</f>
        <v>98.78</v>
      </c>
      <c r="L5" s="97">
        <f>IFERROR(AVERAGEIF('Реестр уборки 2025'!Z:Z,'Данные 2025'!J5,'Реестр уборки 2025'!C:C),)</f>
        <v>44</v>
      </c>
      <c r="M5" s="27" t="s">
        <v>419</v>
      </c>
    </row>
    <row r="6" spans="1:13" x14ac:dyDescent="0.25">
      <c r="A6" s="23" t="s">
        <v>25</v>
      </c>
      <c r="B6" s="104">
        <f>E63</f>
        <v>1.0441443091359355</v>
      </c>
      <c r="D6" t="s">
        <v>45</v>
      </c>
      <c r="E6" s="52">
        <v>136.5</v>
      </c>
      <c r="F6" s="90">
        <f t="shared" si="0"/>
        <v>91.8</v>
      </c>
      <c r="G6" s="47">
        <f t="shared" si="1"/>
        <v>0.67252747252747247</v>
      </c>
      <c r="I6">
        <v>3</v>
      </c>
      <c r="J6" s="34">
        <v>45806</v>
      </c>
      <c r="K6" s="27">
        <f>SUMIF('Реестр уборки 2025'!Z:Z,J6,'Реестр уборки 2025'!G:G)/1000</f>
        <v>10.74</v>
      </c>
      <c r="L6" s="97">
        <f>IFERROR(AVERAGEIF('Реестр уборки 2025'!Z:Z,'Данные 2025'!J6,'Реестр уборки 2025'!C:C),)</f>
        <v>42.5</v>
      </c>
      <c r="M6" s="27" t="s">
        <v>419</v>
      </c>
    </row>
    <row r="7" spans="1:13" x14ac:dyDescent="0.25">
      <c r="D7" t="s">
        <v>46</v>
      </c>
      <c r="E7" s="52">
        <v>936.2</v>
      </c>
      <c r="F7" s="90">
        <f t="shared" si="0"/>
        <v>769.25</v>
      </c>
      <c r="G7" s="47">
        <f t="shared" si="1"/>
        <v>0.82167271950437937</v>
      </c>
      <c r="I7">
        <v>4</v>
      </c>
      <c r="J7" s="34">
        <v>45807</v>
      </c>
      <c r="K7" s="27"/>
      <c r="L7" s="97"/>
      <c r="M7" s="27"/>
    </row>
    <row r="8" spans="1:13" x14ac:dyDescent="0.25">
      <c r="A8" s="61" t="s">
        <v>36</v>
      </c>
      <c r="B8" s="62"/>
      <c r="D8" t="s">
        <v>50</v>
      </c>
      <c r="E8" s="52">
        <v>765</v>
      </c>
      <c r="F8" s="90">
        <f t="shared" si="0"/>
        <v>842.08</v>
      </c>
      <c r="G8" s="47">
        <f t="shared" si="1"/>
        <v>1.1007581699346405</v>
      </c>
      <c r="I8">
        <v>5</v>
      </c>
      <c r="J8" s="34">
        <v>45808</v>
      </c>
      <c r="K8" s="27">
        <f>SUMIF('Реестр уборки 2025'!Z:Z,J8,'Реестр уборки 2025'!G:G)/1000</f>
        <v>55.61</v>
      </c>
      <c r="L8" s="97">
        <f>IFERROR(AVERAGEIF('Реестр уборки 2025'!Z:Z,'Данные 2025'!J8,'Реестр уборки 2025'!C:C),)</f>
        <v>45.625</v>
      </c>
      <c r="M8" s="27" t="s">
        <v>419</v>
      </c>
    </row>
    <row r="9" spans="1:13" x14ac:dyDescent="0.25">
      <c r="A9" s="63" t="s">
        <v>37</v>
      </c>
      <c r="B9" s="62"/>
      <c r="D9" t="s">
        <v>51</v>
      </c>
      <c r="E9" s="52">
        <v>522.32500000000005</v>
      </c>
      <c r="F9" s="90">
        <f t="shared" si="0"/>
        <v>561.29999999999995</v>
      </c>
      <c r="G9" s="47">
        <f t="shared" si="1"/>
        <v>1.0746182932082513</v>
      </c>
      <c r="I9">
        <v>6</v>
      </c>
      <c r="J9" s="34">
        <v>45809</v>
      </c>
      <c r="K9" s="27">
        <f>SUMIF('Реестр уборки 2025'!Z:Z,J9,'Реестр уборки 2025'!G:G)/1000</f>
        <v>206.19</v>
      </c>
      <c r="L9" s="97">
        <f>IFERROR(AVERAGEIF('Реестр уборки 2025'!Z:Z,'Данные 2025'!J9,'Реестр уборки 2025'!C:C),)</f>
        <v>51.588235294117645</v>
      </c>
      <c r="M9" s="27" t="s">
        <v>419</v>
      </c>
    </row>
    <row r="10" spans="1:13" x14ac:dyDescent="0.25">
      <c r="A10" s="62" t="s">
        <v>23</v>
      </c>
      <c r="B10" s="64"/>
      <c r="D10" t="s">
        <v>52</v>
      </c>
      <c r="E10" s="52">
        <v>586.5</v>
      </c>
      <c r="F10" s="90">
        <f t="shared" si="0"/>
        <v>1017.73</v>
      </c>
      <c r="G10" s="47">
        <f t="shared" si="1"/>
        <v>1.7352600170502983</v>
      </c>
      <c r="I10">
        <v>7</v>
      </c>
      <c r="J10" s="34">
        <v>45810</v>
      </c>
      <c r="K10" s="27">
        <f>SUMIF('Реестр уборки 2025'!Z:Z,J10,'Реестр уборки 2025'!G:G)/1000</f>
        <v>198.3</v>
      </c>
      <c r="L10" s="97">
        <f>IFERROR(AVERAGEIF('Реестр уборки 2025'!Z:Z,'Данные 2025'!J10,'Реестр уборки 2025'!C:C),)</f>
        <v>52.9375</v>
      </c>
      <c r="M10" s="27" t="s">
        <v>724</v>
      </c>
    </row>
    <row r="11" spans="1:13" x14ac:dyDescent="0.25">
      <c r="A11" s="62" t="s">
        <v>24</v>
      </c>
      <c r="B11" s="64"/>
      <c r="D11" t="s">
        <v>53</v>
      </c>
      <c r="E11" s="56">
        <v>1784.12</v>
      </c>
      <c r="F11" s="90">
        <f t="shared" si="0"/>
        <v>1992.2</v>
      </c>
      <c r="G11" s="47">
        <f t="shared" si="1"/>
        <v>1.1166289263054057</v>
      </c>
      <c r="I11">
        <v>8</v>
      </c>
      <c r="J11" s="34">
        <v>45811</v>
      </c>
      <c r="K11" s="27">
        <f>SUMIF('Реестр уборки 2025'!Z:Z,J11,'Реестр уборки 2025'!G:G)/1000</f>
        <v>285.91000000000003</v>
      </c>
      <c r="L11" s="97">
        <f>IFERROR(AVERAGEIF('Реестр уборки 2025'!Z:Z,'Данные 2025'!J11,'Реестр уборки 2025'!C:C),)</f>
        <v>54.666666666666664</v>
      </c>
      <c r="M11" s="27" t="s">
        <v>724</v>
      </c>
    </row>
    <row r="12" spans="1:13" x14ac:dyDescent="0.25">
      <c r="E12" s="32">
        <f>SUM(E4:E11)</f>
        <v>6798.0450000000001</v>
      </c>
      <c r="F12" s="32">
        <f>SUM(F4:F11)</f>
        <v>7098.14</v>
      </c>
      <c r="G12" s="47">
        <f t="shared" si="1"/>
        <v>1.0441443091359355</v>
      </c>
      <c r="I12">
        <v>9</v>
      </c>
      <c r="J12" s="34">
        <v>45812</v>
      </c>
      <c r="K12" s="27">
        <f>SUMIF('Реестр уборки 2025'!Z:Z,J12,'Реестр уборки 2025'!G:G)/1000</f>
        <v>339.79</v>
      </c>
      <c r="L12" s="97">
        <f>IFERROR(AVERAGEIF('Реестр уборки 2025'!Z:Z,'Данные 2025'!J12,'Реестр уборки 2025'!C:C),)</f>
        <v>57.666666666666664</v>
      </c>
      <c r="M12" s="27" t="s">
        <v>724</v>
      </c>
    </row>
    <row r="13" spans="1:13" x14ac:dyDescent="0.25">
      <c r="A13" s="25">
        <v>2</v>
      </c>
      <c r="D13" s="25">
        <v>6</v>
      </c>
      <c r="E13" s="25"/>
      <c r="I13">
        <v>10</v>
      </c>
      <c r="J13" s="34">
        <v>45813</v>
      </c>
      <c r="K13" s="27">
        <f>SUMIF('Реестр уборки 2025'!Z:Z,J13,'Реестр уборки 2025'!G:G)/1000</f>
        <v>240.45</v>
      </c>
      <c r="L13" s="97">
        <f>IFERROR(AVERAGEIF('Реестр уборки 2025'!Z:Z,'Данные 2025'!J13,'Реестр уборки 2025'!C:C),)</f>
        <v>53.473684210526315</v>
      </c>
      <c r="M13" s="27" t="s">
        <v>724</v>
      </c>
    </row>
    <row r="14" spans="1:13" x14ac:dyDescent="0.25">
      <c r="A14" s="23" t="s">
        <v>14</v>
      </c>
      <c r="D14" s="23" t="s">
        <v>38</v>
      </c>
      <c r="E14" s="23"/>
      <c r="F14" s="28" t="s">
        <v>54</v>
      </c>
      <c r="G14" s="28" t="s">
        <v>55</v>
      </c>
      <c r="I14">
        <v>11</v>
      </c>
      <c r="J14" s="34">
        <v>45814</v>
      </c>
      <c r="K14" s="27">
        <f>SUMIF('Реестр уборки 2025'!Z:Z,J14,'Реестр уборки 2025'!G:G)/1000</f>
        <v>417.43</v>
      </c>
      <c r="L14" s="97">
        <f>IFERROR(AVERAGEIF('Реестр уборки 2025'!Z:Z,'Данные 2025'!J14,'Реестр уборки 2025'!C:C),)</f>
        <v>57.228571428571428</v>
      </c>
      <c r="M14" s="27" t="s">
        <v>724</v>
      </c>
    </row>
    <row r="15" spans="1:13" x14ac:dyDescent="0.25">
      <c r="A15" t="s">
        <v>26</v>
      </c>
      <c r="B15" s="91">
        <f>F63</f>
        <v>1675.8000000000002</v>
      </c>
      <c r="D15" s="29">
        <v>2019</v>
      </c>
      <c r="E15" s="29"/>
      <c r="F15" s="54">
        <v>3.3</v>
      </c>
      <c r="G15" s="56">
        <v>6813</v>
      </c>
      <c r="I15">
        <v>12</v>
      </c>
      <c r="J15" s="34">
        <v>45815</v>
      </c>
      <c r="K15" s="27">
        <f>SUMIF('Реестр уборки 2025'!Z:Z,J15,'Реестр уборки 2025'!G:G)/1000</f>
        <v>163.35</v>
      </c>
      <c r="L15" s="97">
        <f>IFERROR(AVERAGEIF('Реестр уборки 2025'!Z:Z,'Данные 2025'!J15,'Реестр уборки 2025'!C:C),)</f>
        <v>60.93333333333333</v>
      </c>
      <c r="M15" s="27" t="s">
        <v>724</v>
      </c>
    </row>
    <row r="16" spans="1:13" x14ac:dyDescent="0.25">
      <c r="A16" t="s">
        <v>27</v>
      </c>
      <c r="B16" s="92">
        <f>G63</f>
        <v>1483.8600859735784</v>
      </c>
      <c r="D16" s="29">
        <v>2020</v>
      </c>
      <c r="E16" s="29"/>
      <c r="F16" s="54">
        <v>4.5999999999999996</v>
      </c>
      <c r="G16" s="56">
        <v>12761</v>
      </c>
      <c r="H16" s="28"/>
      <c r="I16">
        <v>13</v>
      </c>
      <c r="J16" s="34">
        <v>45816</v>
      </c>
      <c r="K16" s="27">
        <f>SUMIF('Реестр уборки 2025'!Z:Z,J16,'Реестр уборки 2025'!G:G)/1000</f>
        <v>233.26</v>
      </c>
      <c r="L16" s="97">
        <f>IFERROR(AVERAGEIF('Реестр уборки 2025'!Z:Z,'Данные 2025'!J16,'Реестр уборки 2025'!C:C),)</f>
        <v>60.869565217391305</v>
      </c>
      <c r="M16" s="27" t="s">
        <v>724</v>
      </c>
    </row>
    <row r="17" spans="1:13" x14ac:dyDescent="0.25">
      <c r="A17" t="s">
        <v>28</v>
      </c>
      <c r="B17" s="92">
        <f>B15-B16</f>
        <v>191.93991402642177</v>
      </c>
      <c r="D17" s="29">
        <v>2021</v>
      </c>
      <c r="E17" s="29"/>
      <c r="F17" s="54">
        <v>4.2</v>
      </c>
      <c r="G17" s="56">
        <v>10161</v>
      </c>
      <c r="I17">
        <v>14</v>
      </c>
      <c r="J17" s="34">
        <v>45817</v>
      </c>
      <c r="K17" s="27">
        <f>SUMIF('Реестр уборки 2025'!Z:Z,J17,'Реестр уборки 2025'!G:G)/1000</f>
        <v>100.73</v>
      </c>
      <c r="L17" s="97">
        <f>IFERROR(AVERAGEIF('Реестр уборки 2025'!Z:Z,'Данные 2025'!J17,'Реестр уборки 2025'!C:C),)</f>
        <v>68.099999999999994</v>
      </c>
      <c r="M17" s="27" t="s">
        <v>420</v>
      </c>
    </row>
    <row r="18" spans="1:13" x14ac:dyDescent="0.25">
      <c r="A18" t="s">
        <v>25</v>
      </c>
      <c r="B18" s="104">
        <f>B16/B15</f>
        <v>0.88546371045087613</v>
      </c>
      <c r="D18" s="29">
        <v>2022</v>
      </c>
      <c r="E18" s="29"/>
      <c r="F18" s="54">
        <v>3</v>
      </c>
      <c r="G18" s="56">
        <v>6505</v>
      </c>
      <c r="I18">
        <v>15</v>
      </c>
      <c r="J18" s="34">
        <v>45818</v>
      </c>
      <c r="K18" s="27">
        <f>SUMIF('Реестр уборки 2025'!Z:Z,J18,'Реестр уборки 2025'!G:G)/1000</f>
        <v>243.58</v>
      </c>
      <c r="L18" s="97">
        <f>IFERROR(AVERAGEIF('Реестр уборки 2025'!Z:Z,'Данные 2025'!J18,'Реестр уборки 2025'!C:C),)</f>
        <v>62.541666666666664</v>
      </c>
      <c r="M18" s="27" t="s">
        <v>724</v>
      </c>
    </row>
    <row r="19" spans="1:13" x14ac:dyDescent="0.25">
      <c r="A19" t="s">
        <v>1620</v>
      </c>
      <c r="B19" s="92">
        <v>71</v>
      </c>
      <c r="D19" s="29">
        <v>2023</v>
      </c>
      <c r="E19" s="29"/>
      <c r="F19" s="54">
        <v>5.6</v>
      </c>
      <c r="G19" s="56">
        <v>6656</v>
      </c>
      <c r="I19">
        <v>16</v>
      </c>
      <c r="J19" s="34">
        <v>45819</v>
      </c>
      <c r="K19" s="27">
        <f>SUMIF('Реестр уборки 2025'!Z:Z,J19,'Реестр уборки 2025'!G:G)/1000</f>
        <v>127.99</v>
      </c>
      <c r="L19" s="97">
        <f>IFERROR(AVERAGEIF('Реестр уборки 2025'!Z:Z,'Данные 2025'!J19,'Реестр уборки 2025'!C:C),)</f>
        <v>65.090909090909093</v>
      </c>
      <c r="M19" s="27" t="s">
        <v>725</v>
      </c>
    </row>
    <row r="20" spans="1:13" x14ac:dyDescent="0.25">
      <c r="A20" t="s">
        <v>1621</v>
      </c>
      <c r="B20" s="171">
        <v>120.96957236888011</v>
      </c>
      <c r="D20" s="29">
        <v>2024</v>
      </c>
      <c r="E20" s="29"/>
      <c r="F20" s="54">
        <v>2.7</v>
      </c>
      <c r="G20" s="56">
        <v>4371.8999999999996</v>
      </c>
      <c r="I20">
        <v>17</v>
      </c>
      <c r="J20" s="34">
        <v>45820</v>
      </c>
      <c r="K20" s="27">
        <f>SUMIF('Реестр уборки 2025'!Z:Z,J20,'Реестр уборки 2025'!G:G)/1000</f>
        <v>302.41000000000003</v>
      </c>
      <c r="L20" s="97">
        <f>IFERROR(AVERAGEIF('Реестр уборки 2025'!Z:Z,'Данные 2025'!J20,'Реестр уборки 2025'!C:C),)</f>
        <v>54.217391304347828</v>
      </c>
      <c r="M20" s="27" t="s">
        <v>724</v>
      </c>
    </row>
    <row r="21" spans="1:13" x14ac:dyDescent="0.25">
      <c r="A21" s="26" t="s">
        <v>32</v>
      </c>
      <c r="D21" s="29">
        <v>2025</v>
      </c>
      <c r="E21" s="29"/>
      <c r="F21" s="53">
        <f>B24</f>
        <v>4.7835642100601588</v>
      </c>
      <c r="G21" s="49">
        <f>F12</f>
        <v>7098.14</v>
      </c>
      <c r="I21">
        <v>18</v>
      </c>
      <c r="J21" s="34">
        <v>45821</v>
      </c>
      <c r="K21" s="27">
        <f>SUMIF('Реестр уборки 2025'!Z:Z,J21,'Реестр уборки 2025'!G:G)/1000</f>
        <v>251.82</v>
      </c>
      <c r="L21" s="97">
        <f>IFERROR(AVERAGEIF('Реестр уборки 2025'!Z:Z,'Данные 2025'!J21,'Реестр уборки 2025'!C:C),)</f>
        <v>53.583333333333336</v>
      </c>
      <c r="M21" s="27" t="s">
        <v>724</v>
      </c>
    </row>
    <row r="22" spans="1:13" x14ac:dyDescent="0.25">
      <c r="A22" s="23" t="s">
        <v>31</v>
      </c>
      <c r="F22" s="23"/>
      <c r="G22" s="23"/>
      <c r="I22">
        <v>19</v>
      </c>
      <c r="J22" s="34">
        <v>45822</v>
      </c>
      <c r="K22" s="27">
        <f>SUMIF('Реестр уборки 2025'!Z:Z,J22,'Реестр уборки 2025'!G:G)/1000</f>
        <v>260.19</v>
      </c>
      <c r="L22" s="97">
        <f>IFERROR(AVERAGEIF('Реестр уборки 2025'!Z:Z,'Данные 2025'!J22,'Реестр уборки 2025'!C:C),)</f>
        <v>63.15</v>
      </c>
      <c r="M22" s="27" t="s">
        <v>724</v>
      </c>
    </row>
    <row r="23" spans="1:13" x14ac:dyDescent="0.25">
      <c r="A23" t="s">
        <v>29</v>
      </c>
      <c r="B23" s="54">
        <f>IFERROR(B4/B15, )</f>
        <v>4.0565968492660218</v>
      </c>
      <c r="F23" s="28"/>
      <c r="I23">
        <v>20</v>
      </c>
      <c r="J23" s="34">
        <v>45823</v>
      </c>
      <c r="K23" s="27">
        <f>SUMIF('Реестр уборки 2025'!Z:Z,J23,'Реестр уборки 2025'!G:G)/1000</f>
        <v>251.63</v>
      </c>
      <c r="L23" s="97">
        <f>IFERROR(AVERAGEIF('Реестр уборки 2025'!Z:Z,'Данные 2025'!J23,'Реестр уборки 2025'!C:C),)</f>
        <v>67.095238095238102</v>
      </c>
      <c r="M23" s="27" t="s">
        <v>420</v>
      </c>
    </row>
    <row r="24" spans="1:13" x14ac:dyDescent="0.25">
      <c r="A24" t="s">
        <v>30</v>
      </c>
      <c r="B24" s="54">
        <f>IFERROR(B5/B16, )</f>
        <v>4.7835642100601588</v>
      </c>
      <c r="I24">
        <v>21</v>
      </c>
      <c r="J24" s="34">
        <v>45824</v>
      </c>
      <c r="K24" s="27">
        <f>SUMIF('Реестр уборки 2025'!Z:Z,J24,'Реестр уборки 2025'!G:G)/1000</f>
        <v>182.08</v>
      </c>
      <c r="L24" s="97">
        <f>IFERROR(AVERAGEIF('Реестр уборки 2025'!Z:Z,'Данные 2025'!J24,'Реестр уборки 2025'!C:C),)</f>
        <v>61.375</v>
      </c>
      <c r="M24" s="27" t="s">
        <v>724</v>
      </c>
    </row>
    <row r="25" spans="1:13" x14ac:dyDescent="0.25">
      <c r="D25" s="25">
        <v>7</v>
      </c>
      <c r="E25" s="25"/>
      <c r="I25">
        <v>22</v>
      </c>
      <c r="J25" s="34">
        <v>45825</v>
      </c>
      <c r="K25" s="27">
        <f>SUMIF('Реестр уборки 2025'!Z:Z,J25,'Реестр уборки 2025'!G:G)/1000</f>
        <v>231.15</v>
      </c>
      <c r="L25" s="97">
        <f>IFERROR(AVERAGEIF('Реестр уборки 2025'!Z:Z,'Данные 2025'!J25,'Реестр уборки 2025'!C:C),)</f>
        <v>58.117647058823529</v>
      </c>
      <c r="M25" s="27" t="s">
        <v>724</v>
      </c>
    </row>
    <row r="26" spans="1:13" x14ac:dyDescent="0.25">
      <c r="A26" s="65" t="s">
        <v>33</v>
      </c>
      <c r="B26" s="62"/>
      <c r="D26" s="23" t="s">
        <v>56</v>
      </c>
      <c r="E26" s="23"/>
      <c r="F26" s="28" t="s">
        <v>59</v>
      </c>
      <c r="G26" s="28" t="s">
        <v>60</v>
      </c>
      <c r="I26">
        <v>23</v>
      </c>
      <c r="J26" s="34">
        <v>45826</v>
      </c>
      <c r="K26" s="27">
        <f>SUMIF('Реестр уборки 2025'!Z:Z,J26,'Реестр уборки 2025'!G:G)/1000</f>
        <v>157.44999999999999</v>
      </c>
      <c r="L26" s="97">
        <f>IFERROR(AVERAGEIF('Реестр уборки 2025'!Z:Z,'Данные 2025'!J26,'Реестр уборки 2025'!C:C),)</f>
        <v>55.5</v>
      </c>
      <c r="M26" s="27" t="s">
        <v>724</v>
      </c>
    </row>
    <row r="27" spans="1:13" x14ac:dyDescent="0.25">
      <c r="A27" s="63" t="s">
        <v>34</v>
      </c>
      <c r="B27" s="62"/>
      <c r="C27" t="s">
        <v>58</v>
      </c>
      <c r="D27" s="30" t="s">
        <v>58</v>
      </c>
      <c r="E27" s="30"/>
      <c r="F27" s="90">
        <f>SUMIF('Реестр уборки 2025'!AC:AC,Таблица1[[#This Row],[Распределение сырья по финометру]],'Реестр уборки 2025'!G:G)/1000</f>
        <v>15.6</v>
      </c>
      <c r="G27" s="122">
        <f t="shared" ref="G27:G32" si="2">IFERROR(F27/$F$33, )</f>
        <v>2.1977588495014186E-3</v>
      </c>
      <c r="I27">
        <v>24</v>
      </c>
      <c r="J27" s="34">
        <v>45827</v>
      </c>
      <c r="K27" s="27">
        <f>SUMIF('Реестр уборки 2025'!Z:Z,J27,'Реестр уборки 2025'!G:G)/1000</f>
        <v>304.92</v>
      </c>
      <c r="L27" s="97">
        <f>IFERROR(AVERAGEIF('Реестр уборки 2025'!Z:Z,'Данные 2025'!J27,'Реестр уборки 2025'!C:C),)</f>
        <v>62.826086956521742</v>
      </c>
      <c r="M27" s="27" t="s">
        <v>724</v>
      </c>
    </row>
    <row r="28" spans="1:13" x14ac:dyDescent="0.25">
      <c r="A28" s="62" t="s">
        <v>29</v>
      </c>
      <c r="B28" s="62">
        <f>IFERROR(B10/B15, 0)</f>
        <v>0</v>
      </c>
      <c r="C28" t="s">
        <v>57</v>
      </c>
      <c r="D28" s="30" t="s">
        <v>419</v>
      </c>
      <c r="E28" s="30"/>
      <c r="F28" s="90">
        <f>SUMIF('Реестр уборки 2025'!AC:AC,Таблица1[[#This Row],[Распределение сырья по финометру]],'Реестр уборки 2025'!G:G)/1000</f>
        <v>1875.175</v>
      </c>
      <c r="G28" s="89">
        <f t="shared" si="2"/>
        <v>0.26417836221883478</v>
      </c>
      <c r="I28">
        <v>25</v>
      </c>
      <c r="J28" s="34">
        <v>45828</v>
      </c>
      <c r="K28" s="27">
        <f>SUMIF('Реестр уборки 2025'!Z:Z,J28,'Реестр уборки 2025'!G:G)/1000</f>
        <v>252.94</v>
      </c>
      <c r="L28" s="97">
        <f>IFERROR(AVERAGEIF('Реестр уборки 2025'!Z:Z,'Данные 2025'!J28,'Реестр уборки 2025'!C:C),)</f>
        <v>64.526315789473685</v>
      </c>
      <c r="M28" s="27" t="s">
        <v>725</v>
      </c>
    </row>
    <row r="29" spans="1:13" x14ac:dyDescent="0.25">
      <c r="A29" s="62" t="s">
        <v>30</v>
      </c>
      <c r="B29" s="62">
        <f>IFERROR(B11/B16, 0)</f>
        <v>0</v>
      </c>
      <c r="C29" t="s">
        <v>61</v>
      </c>
      <c r="D29" s="30" t="s">
        <v>724</v>
      </c>
      <c r="E29" s="30"/>
      <c r="F29" s="90">
        <f>SUMIF('Реестр уборки 2025'!AC:AC,Таблица1[[#This Row],[Распределение сырья по финометру]],'Реестр уборки 2025'!G:G)/1000</f>
        <v>3153.7849999999999</v>
      </c>
      <c r="G29" s="89">
        <f t="shared" si="2"/>
        <v>0.44431146751120715</v>
      </c>
      <c r="I29">
        <v>26</v>
      </c>
      <c r="J29" s="34">
        <v>45829</v>
      </c>
      <c r="K29" s="27">
        <f>SUMIF('Реестр уборки 2025'!Z:Z,J29,'Реестр уборки 2025'!G:G)/1000</f>
        <v>123.3</v>
      </c>
      <c r="L29" s="97">
        <f>IFERROR(AVERAGEIF('Реестр уборки 2025'!Z:Z,'Данные 2025'!J29,'Реестр уборки 2025'!C:C),)</f>
        <v>60</v>
      </c>
      <c r="M29" s="27" t="s">
        <v>724</v>
      </c>
    </row>
    <row r="30" spans="1:13" x14ac:dyDescent="0.25">
      <c r="C30" t="s">
        <v>62</v>
      </c>
      <c r="D30" s="30" t="s">
        <v>725</v>
      </c>
      <c r="E30" s="30"/>
      <c r="F30" s="90">
        <f>SUMIF('Реестр уборки 2025'!AC:AC,Таблица1[[#This Row],[Распределение сырья по финометру]],'Реестр уборки 2025'!G:G)/1000</f>
        <v>570.75</v>
      </c>
      <c r="G30" s="89">
        <f t="shared" si="2"/>
        <v>8.0408388676470169E-2</v>
      </c>
      <c r="I30">
        <v>27</v>
      </c>
      <c r="J30" s="34">
        <v>45830</v>
      </c>
      <c r="K30" s="27">
        <f>SUMIF('Реестр уборки 2025'!Z:Z,J30,'Реестр уборки 2025'!G:G)/1000</f>
        <v>272.42</v>
      </c>
      <c r="L30" s="97">
        <f>IFERROR(AVERAGEIF('Реестр уборки 2025'!Z:Z,'Данные 2025'!J30,'Реестр уборки 2025'!C:C),)</f>
        <v>49.4</v>
      </c>
      <c r="M30" s="27" t="s">
        <v>419</v>
      </c>
    </row>
    <row r="31" spans="1:13" x14ac:dyDescent="0.25">
      <c r="A31" s="66"/>
      <c r="D31" s="30" t="s">
        <v>420</v>
      </c>
      <c r="F31" s="90">
        <f>SUMIF('Реестр уборки 2025'!AC:AC,Таблица1[[#This Row],[Распределение сырья по финометру]],'Реестр уборки 2025'!G:G)/1000</f>
        <v>1443.44</v>
      </c>
      <c r="G31" s="89">
        <f t="shared" si="2"/>
        <v>0.20335468164899537</v>
      </c>
      <c r="I31">
        <v>28</v>
      </c>
      <c r="J31" s="34">
        <v>45831</v>
      </c>
      <c r="K31" s="27">
        <f>SUMIF('Реестр уборки 2025'!Z:Z,J31,'Реестр уборки 2025'!G:G)/1000</f>
        <v>109.28</v>
      </c>
      <c r="L31" s="97">
        <f>IFERROR(AVERAGEIF('Реестр уборки 2025'!Z:Z,'Данные 2025'!J31,'Реестр уборки 2025'!C:C),)</f>
        <v>52.875</v>
      </c>
      <c r="M31" s="27" t="s">
        <v>724</v>
      </c>
    </row>
    <row r="32" spans="1:13" x14ac:dyDescent="0.25">
      <c r="A32" s="25">
        <v>4</v>
      </c>
      <c r="B32" s="25"/>
      <c r="D32" s="30" t="s">
        <v>509</v>
      </c>
      <c r="F32" s="90">
        <f>SUMIF('Реестр уборки 2025'!AC:AC,Таблица1[[#This Row],[Распределение сырья по финометру]],'Реестр уборки 2025'!G:G)/1000</f>
        <v>39.39</v>
      </c>
      <c r="G32" s="122">
        <f t="shared" si="2"/>
        <v>5.549341094991082E-3</v>
      </c>
      <c r="I32">
        <v>29</v>
      </c>
      <c r="J32" s="34">
        <v>45832</v>
      </c>
      <c r="K32" s="27">
        <f>SUMIF('Реестр уборки 2025'!Z:Z,J32,'Реестр уборки 2025'!G:G)/1000</f>
        <v>200.28</v>
      </c>
      <c r="L32" s="97">
        <f>IFERROR(AVERAGEIF('Реестр уборки 2025'!Z:Z,'Данные 2025'!J32,'Реестр уборки 2025'!C:C),)</f>
        <v>49.375</v>
      </c>
      <c r="M32" s="27" t="s">
        <v>419</v>
      </c>
    </row>
    <row r="33" spans="1:13" x14ac:dyDescent="0.25">
      <c r="A33" s="23" t="s">
        <v>189</v>
      </c>
      <c r="B33" s="23"/>
      <c r="F33" s="87">
        <f>SUM(F27:F32)</f>
        <v>7098.14</v>
      </c>
      <c r="G33" s="51">
        <f>SUM(G27:G32)</f>
        <v>1</v>
      </c>
      <c r="I33">
        <v>30</v>
      </c>
      <c r="J33" s="34">
        <v>45833</v>
      </c>
      <c r="K33" s="27">
        <f>SUMIF('Реестр уборки 2025'!Z:Z,J33,'Реестр уборки 2025'!G:G)/1000</f>
        <v>19.23</v>
      </c>
      <c r="L33" s="97">
        <f>IFERROR(AVERAGEIF('Реестр уборки 2025'!Z:Z,'Данные 2025'!J33,'Реестр уборки 2025'!C:C),)</f>
        <v>48.5</v>
      </c>
      <c r="M33" s="27" t="s">
        <v>419</v>
      </c>
    </row>
    <row r="34" spans="1:13" x14ac:dyDescent="0.25">
      <c r="A34" t="s">
        <v>190</v>
      </c>
      <c r="B34" s="90">
        <f>B37-B35-B36</f>
        <v>6329.5300000000007</v>
      </c>
      <c r="I34">
        <v>31</v>
      </c>
      <c r="J34" s="34">
        <v>45834</v>
      </c>
      <c r="K34" s="27"/>
      <c r="L34" s="97"/>
      <c r="M34" s="27"/>
    </row>
    <row r="35" spans="1:13" x14ac:dyDescent="0.25">
      <c r="A35" t="s">
        <v>191</v>
      </c>
      <c r="B35" s="90">
        <f>(108250+8280+39390)/1000</f>
        <v>155.91999999999999</v>
      </c>
      <c r="I35">
        <v>32</v>
      </c>
      <c r="J35" s="34">
        <v>45835</v>
      </c>
      <c r="K35" s="27">
        <f>SUMIF('Реестр уборки 2025'!Z:Z,J35,'Реестр уборки 2025'!G:G)/1000</f>
        <v>17.559999999999999</v>
      </c>
      <c r="L35" s="97">
        <f>IFERROR(AVERAGEIF('Реестр уборки 2025'!Z:Z,'Данные 2025'!J35,'Реестр уборки 2025'!C:C),)</f>
        <v>46</v>
      </c>
      <c r="M35" s="27" t="s">
        <v>419</v>
      </c>
    </row>
    <row r="36" spans="1:13" x14ac:dyDescent="0.25">
      <c r="A36" t="s">
        <v>192</v>
      </c>
      <c r="B36" s="90">
        <v>612.69000000000005</v>
      </c>
      <c r="C36" s="170">
        <v>542.39509999999996</v>
      </c>
      <c r="D36" t="s">
        <v>1618</v>
      </c>
      <c r="I36">
        <v>33</v>
      </c>
      <c r="J36" s="34">
        <v>45836</v>
      </c>
      <c r="K36" s="27">
        <f>SUMIF('Реестр уборки 2025'!Z:Z,J36,'Реестр уборки 2025'!G:G)/1000</f>
        <v>43.19</v>
      </c>
      <c r="L36" s="97">
        <f>IFERROR(AVERAGEIF('Реестр уборки 2025'!Z:Z,'Данные 2025'!J36,'Реестр уборки 2025'!C:C),)</f>
        <v>48</v>
      </c>
      <c r="M36" s="27" t="s">
        <v>419</v>
      </c>
    </row>
    <row r="37" spans="1:13" x14ac:dyDescent="0.25">
      <c r="A37" t="s">
        <v>193</v>
      </c>
      <c r="B37" s="90">
        <f>F12</f>
        <v>7098.14</v>
      </c>
      <c r="I37">
        <v>34</v>
      </c>
      <c r="J37" s="34">
        <v>45837</v>
      </c>
      <c r="K37" s="27">
        <f>SUMIF('Реестр уборки 2025'!Z:Z,J37,'Реестр уборки 2025'!G:G)/1000</f>
        <v>71.97</v>
      </c>
      <c r="L37" s="97">
        <f>IFERROR(AVERAGEIF('Реестр уборки 2025'!Z:Z,'Данные 2025'!J37,'Реестр уборки 2025'!C:C),)</f>
        <v>48.444444444444443</v>
      </c>
      <c r="M37" s="27" t="s">
        <v>419</v>
      </c>
    </row>
    <row r="38" spans="1:13" x14ac:dyDescent="0.25">
      <c r="A38" t="s">
        <v>194</v>
      </c>
      <c r="B38" s="90">
        <v>0</v>
      </c>
      <c r="C38" t="s">
        <v>1619</v>
      </c>
      <c r="I38">
        <v>35</v>
      </c>
      <c r="J38" s="34">
        <v>45838</v>
      </c>
      <c r="K38" s="27">
        <f>SUMIF('Реестр уборки 2025'!Z:Z,J38,'Реестр уборки 2025'!G:G)/1000</f>
        <v>25.63</v>
      </c>
      <c r="L38" s="97">
        <f>IFERROR(AVERAGEIF('Реестр уборки 2025'!Z:Z,'Данные 2025'!J38,'Реестр уборки 2025'!C:C),)</f>
        <v>52</v>
      </c>
      <c r="M38" s="27" t="s">
        <v>419</v>
      </c>
    </row>
    <row r="39" spans="1:13" x14ac:dyDescent="0.25">
      <c r="I39">
        <v>36</v>
      </c>
      <c r="J39" s="34">
        <v>45839</v>
      </c>
      <c r="K39" s="27">
        <f>SUMIF('Реестр уборки 2025'!Z:Z,J39,'Реестр уборки 2025'!G:G)/1000</f>
        <v>176.53</v>
      </c>
      <c r="L39" s="97">
        <f>IFERROR(AVERAGEIF('Реестр уборки 2025'!Z:Z,'Данные 2025'!J39,'Реестр уборки 2025'!C:C),)</f>
        <v>54</v>
      </c>
      <c r="M39" s="27" t="s">
        <v>724</v>
      </c>
    </row>
    <row r="40" spans="1:13" x14ac:dyDescent="0.25">
      <c r="I40">
        <v>37</v>
      </c>
      <c r="J40" s="34">
        <v>45840</v>
      </c>
      <c r="K40" s="27">
        <f>SUMIF('Реестр уборки 2025'!Z:Z,J40,'Реестр уборки 2025'!G:G)/1000</f>
        <v>192.78</v>
      </c>
      <c r="L40" s="97">
        <f>IFERROR(AVERAGEIF('Реестр уборки 2025'!Z:Z,'Данные 2025'!J40,'Реестр уборки 2025'!C:C),)</f>
        <v>52.357142857142854</v>
      </c>
      <c r="M40" s="27" t="s">
        <v>419</v>
      </c>
    </row>
    <row r="41" spans="1:13" s="55" customFormat="1" ht="14.45" customHeight="1" x14ac:dyDescent="0.25">
      <c r="I41">
        <v>38</v>
      </c>
      <c r="J41" s="34">
        <v>45841</v>
      </c>
      <c r="K41" s="27">
        <f>SUMIF('Реестр уборки 2025'!Z:Z,J41,'Реестр уборки 2025'!G:G)/1000</f>
        <v>204.08</v>
      </c>
      <c r="L41" s="97">
        <f>IFERROR(AVERAGEIF('Реестр уборки 2025'!Z:Z,'Данные 2025'!J41,'Реестр уборки 2025'!C:C),)</f>
        <v>55.6875</v>
      </c>
      <c r="M41" s="27" t="s">
        <v>724</v>
      </c>
    </row>
    <row r="42" spans="1:13" x14ac:dyDescent="0.25">
      <c r="I42">
        <v>39</v>
      </c>
      <c r="J42" s="34">
        <v>45842</v>
      </c>
      <c r="K42" s="27">
        <f>SUMIF('Реестр уборки 2025'!Z:Z,J42,'Реестр уборки 2025'!G:G)/1000</f>
        <v>147.51</v>
      </c>
      <c r="L42" s="97">
        <f>IFERROR(AVERAGEIF('Реестр уборки 2025'!Z:Z,'Данные 2025'!J42,'Реестр уборки 2025'!C:C),)</f>
        <v>61.363636363636367</v>
      </c>
      <c r="M42" s="27" t="s">
        <v>724</v>
      </c>
    </row>
    <row r="43" spans="1:13" x14ac:dyDescent="0.25">
      <c r="I43">
        <v>40</v>
      </c>
      <c r="J43" s="34">
        <v>45843</v>
      </c>
      <c r="K43" s="27">
        <f>SUMIF('Реестр уборки 2025'!Z:Z,J43,'Реестр уборки 2025'!G:G)/1000</f>
        <v>163.16999999999999</v>
      </c>
      <c r="L43" s="97">
        <f>IFERROR(AVERAGEIF('Реестр уборки 2025'!Z:Z,'Данные 2025'!J43,'Реестр уборки 2025'!C:C),)</f>
        <v>61.25</v>
      </c>
      <c r="M43" s="27" t="s">
        <v>724</v>
      </c>
    </row>
    <row r="44" spans="1:13" x14ac:dyDescent="0.25">
      <c r="I44">
        <v>41</v>
      </c>
      <c r="J44" s="34">
        <v>45844</v>
      </c>
      <c r="K44" s="27">
        <f>SUMIF('Реестр уборки 2025'!Z:Z,J44,'Реестр уборки 2025'!G:G)/1000</f>
        <v>120.94</v>
      </c>
      <c r="L44" s="97">
        <f>IFERROR(AVERAGEIF('Реестр уборки 2025'!Z:Z,'Данные 2025'!J44,'Реестр уборки 2025'!C:C),)</f>
        <v>53.222222222222221</v>
      </c>
      <c r="M44" s="27" t="s">
        <v>724</v>
      </c>
    </row>
    <row r="45" spans="1:13" x14ac:dyDescent="0.25">
      <c r="I45">
        <v>42</v>
      </c>
      <c r="J45" s="34">
        <v>45845</v>
      </c>
      <c r="K45" s="27"/>
      <c r="L45" s="97"/>
      <c r="M45" s="27"/>
    </row>
    <row r="46" spans="1:13" x14ac:dyDescent="0.25">
      <c r="I46">
        <v>43</v>
      </c>
      <c r="J46" s="34">
        <v>45846</v>
      </c>
      <c r="K46" s="27">
        <f>SUMIF('Реестр уборки 2025'!Z:Z,J46,'Реестр уборки 2025'!G:G)/1000</f>
        <v>131.84</v>
      </c>
      <c r="L46" s="97">
        <f>IFERROR(AVERAGEIF('Реестр уборки 2025'!Z:Z,'Данные 2025'!J46,'Реестр уборки 2025'!C:C),)</f>
        <v>67.099999999999994</v>
      </c>
      <c r="M46" s="27" t="s">
        <v>420</v>
      </c>
    </row>
    <row r="47" spans="1:13" x14ac:dyDescent="0.25">
      <c r="I47">
        <v>44</v>
      </c>
      <c r="J47" s="34">
        <v>45847</v>
      </c>
      <c r="K47" s="27">
        <f>SUMIF('Реестр уборки 2025'!Z:Z,J47,'Реестр уборки 2025'!G:G)/1000</f>
        <v>63.8</v>
      </c>
      <c r="L47" s="97">
        <f>IFERROR(AVERAGEIF('Реестр уборки 2025'!Z:Z,'Данные 2025'!J47,'Реестр уборки 2025'!C:C),)</f>
        <v>71.400000000000006</v>
      </c>
      <c r="M47" s="27" t="s">
        <v>420</v>
      </c>
    </row>
    <row r="48" spans="1:13" x14ac:dyDescent="0.25">
      <c r="I48">
        <v>45</v>
      </c>
      <c r="J48" s="34">
        <v>45848</v>
      </c>
      <c r="K48" s="27">
        <f>SUMIF('Реестр уборки 2025'!Z:Z,J48,'Реестр уборки 2025'!G:G)/1000</f>
        <v>26.58</v>
      </c>
      <c r="L48" s="97">
        <f>IFERROR(AVERAGEIF('Реестр уборки 2025'!Z:Z,'Данные 2025'!J48,'Реестр уборки 2025'!C:C),)</f>
        <v>70.5</v>
      </c>
      <c r="M48" s="27" t="s">
        <v>420</v>
      </c>
    </row>
    <row r="49" spans="1:13" x14ac:dyDescent="0.25">
      <c r="K49" s="32">
        <f>SUM(K4:K48)</f>
        <v>7098.1399999999985</v>
      </c>
    </row>
    <row r="50" spans="1:13" hidden="1" outlineLevel="1" x14ac:dyDescent="0.25">
      <c r="K50" s="32"/>
    </row>
    <row r="51" spans="1:13" hidden="1" outlineLevel="1" x14ac:dyDescent="0.25">
      <c r="J51" s="55"/>
      <c r="K51" s="55"/>
      <c r="L51" s="55"/>
      <c r="M51" s="55"/>
    </row>
    <row r="52" spans="1:13" hidden="1" outlineLevel="1" x14ac:dyDescent="0.25"/>
    <row r="53" spans="1:13" hidden="1" outlineLevel="1" x14ac:dyDescent="0.25"/>
    <row r="54" spans="1:13" ht="45" collapsed="1" x14ac:dyDescent="0.25">
      <c r="A54" s="57" t="s">
        <v>83</v>
      </c>
      <c r="B54" s="57" t="s">
        <v>176</v>
      </c>
      <c r="C54" s="57" t="s">
        <v>23</v>
      </c>
      <c r="D54" s="57" t="s">
        <v>24</v>
      </c>
      <c r="E54" s="57" t="s">
        <v>187</v>
      </c>
      <c r="F54" s="55" t="s">
        <v>26</v>
      </c>
      <c r="G54" s="55" t="s">
        <v>27</v>
      </c>
      <c r="H54" s="55" t="s">
        <v>188</v>
      </c>
      <c r="I54" s="55" t="s">
        <v>54</v>
      </c>
    </row>
    <row r="55" spans="1:13" x14ac:dyDescent="0.25">
      <c r="A55" t="s">
        <v>39</v>
      </c>
      <c r="B55" t="s">
        <v>19</v>
      </c>
      <c r="C55" s="31">
        <v>1157.4000000000001</v>
      </c>
      <c r="D55" s="33">
        <f>SUMIF('Реестр уборки 2025'!W:W,'Реестр уборки 2025'!$W$3,'Реестр уборки 2025'!G:G)/1000</f>
        <v>1320.13</v>
      </c>
      <c r="E55" s="47">
        <f>IFERROR(D55/C55, )</f>
        <v>1.140599619837567</v>
      </c>
      <c r="F55" s="58">
        <v>257.2</v>
      </c>
      <c r="G55" s="95">
        <f>SUMIF('Реестр уборки 2025'!W:W,'Реестр уборки 2025'!$W$3,'Реестр уборки 2025'!V:V)</f>
        <v>237.24380450212948</v>
      </c>
      <c r="H55" s="47">
        <f t="shared" ref="H55:H62" si="3">IFERROR(G55/F55, )</f>
        <v>0.92240981532709754</v>
      </c>
      <c r="I55" s="54">
        <f>Таблица4[[#This Row],[ФАКТ, т]]/Таблица4[[#This Row],[ФАКТ, га]]</f>
        <v>5.5644445711464332</v>
      </c>
    </row>
    <row r="56" spans="1:13" x14ac:dyDescent="0.25">
      <c r="A56" t="s">
        <v>40</v>
      </c>
      <c r="B56" t="s">
        <v>19</v>
      </c>
      <c r="C56" s="31">
        <v>910</v>
      </c>
      <c r="D56" s="33">
        <f>SUMIF('Реестр уборки 2025'!W:W,'Реестр уборки 2025'!$W$4,'Реестр уборки 2025'!G:G)/1000</f>
        <v>503.65</v>
      </c>
      <c r="E56" s="47">
        <f t="shared" ref="E56:E62" si="4">IFERROR(D56/C56, )</f>
        <v>0.55346153846153845</v>
      </c>
      <c r="F56" s="58">
        <v>260</v>
      </c>
      <c r="G56" s="95">
        <f>SUMIF('Реестр уборки 2025'!W:W,'Реестр уборки 2025'!$W$4,'Реестр уборки 2025'!V:V)</f>
        <v>183.41254858411989</v>
      </c>
      <c r="H56" s="47">
        <f t="shared" si="3"/>
        <v>0.70543287916969188</v>
      </c>
      <c r="I56" s="54">
        <f>Таблица4[[#This Row],[ФАКТ, т]]/Таблица4[[#This Row],[ФАКТ, га]]</f>
        <v>2.7459953197750107</v>
      </c>
    </row>
    <row r="57" spans="1:13" x14ac:dyDescent="0.25">
      <c r="A57" t="s">
        <v>41</v>
      </c>
      <c r="B57" t="s">
        <v>19</v>
      </c>
      <c r="C57" s="31">
        <v>136.5</v>
      </c>
      <c r="D57" s="33">
        <f>SUMIF('Реестр уборки 2025'!W:W,'Реестр уборки 2025'!$W$181,'Реестр уборки 2025'!G:G)/1000</f>
        <v>91.8</v>
      </c>
      <c r="E57" s="47">
        <f t="shared" si="4"/>
        <v>0.67252747252747247</v>
      </c>
      <c r="F57" s="59">
        <v>39</v>
      </c>
      <c r="G57" s="95">
        <f>SUMIF('Реестр уборки 2025'!W:W,'Реестр уборки 2025'!$W$181,'Реестр уборки 2025'!V:V)</f>
        <v>31</v>
      </c>
      <c r="H57" s="47">
        <f t="shared" si="3"/>
        <v>0.79487179487179482</v>
      </c>
      <c r="I57" s="54">
        <f>Таблица4[[#This Row],[ФАКТ, т]]/Таблица4[[#This Row],[ФАКТ, га]]</f>
        <v>2.9612903225806453</v>
      </c>
    </row>
    <row r="58" spans="1:13" x14ac:dyDescent="0.25">
      <c r="A58" t="s">
        <v>42</v>
      </c>
      <c r="B58" t="s">
        <v>19</v>
      </c>
      <c r="C58" s="31">
        <v>936.2</v>
      </c>
      <c r="D58" s="33">
        <f>SUMIF('Реестр уборки 2025'!W:W,'Реестр уборки 2025'!$W$86,'Реестр уборки 2025'!G:G)/1000</f>
        <v>769.25</v>
      </c>
      <c r="E58" s="47">
        <f t="shared" si="4"/>
        <v>0.82167271950437937</v>
      </c>
      <c r="F58" s="58">
        <v>302</v>
      </c>
      <c r="G58" s="95">
        <f>SUMIF('Реестр уборки 2025'!W:W,'Реестр уборки 2025'!$W$109,'Реестр уборки 2025'!V:V)</f>
        <v>246.59801348128894</v>
      </c>
      <c r="H58" s="47">
        <f t="shared" si="3"/>
        <v>0.8165497135142018</v>
      </c>
      <c r="I58" s="54">
        <f>Таблица4[[#This Row],[ФАКТ, т]]/Таблица4[[#This Row],[ФАКТ, га]]</f>
        <v>3.119449297828055</v>
      </c>
    </row>
    <row r="59" spans="1:13" x14ac:dyDescent="0.25">
      <c r="A59" t="s">
        <v>47</v>
      </c>
      <c r="B59" t="s">
        <v>178</v>
      </c>
      <c r="C59" s="31">
        <v>765</v>
      </c>
      <c r="D59" s="33">
        <f>SUMIF('Реестр уборки 2025'!W:W,'Реестр уборки 2025'!$W$225,'Реестр уборки 2025'!G:G)/1000</f>
        <v>842.08</v>
      </c>
      <c r="E59" s="47">
        <f t="shared" si="4"/>
        <v>1.1007581699346405</v>
      </c>
      <c r="F59" s="58">
        <v>180</v>
      </c>
      <c r="G59" s="95">
        <f>SUMIF('Реестр уборки 2025'!W:W,'Реестр уборки 2025'!$W$225,'Реестр уборки 2025'!V:V)</f>
        <v>147.98974127065651</v>
      </c>
      <c r="H59" s="47">
        <f t="shared" si="3"/>
        <v>0.8221652292814251</v>
      </c>
      <c r="I59" s="54">
        <f>Таблица4[[#This Row],[ФАКТ, т]]/Таблица4[[#This Row],[ФАКТ, га]]</f>
        <v>5.6901241448887383</v>
      </c>
    </row>
    <row r="60" spans="1:13" x14ac:dyDescent="0.25">
      <c r="A60" t="s">
        <v>179</v>
      </c>
      <c r="B60" t="s">
        <v>178</v>
      </c>
      <c r="C60" s="31">
        <v>522.32500000000005</v>
      </c>
      <c r="D60" s="33">
        <f>SUMIF('Реестр уборки 2025'!W:W,'Реестр уборки 2025'!$W$247,'Реестр уборки 2025'!G:G)/1000</f>
        <v>561.29999999999995</v>
      </c>
      <c r="E60" s="47">
        <f t="shared" si="4"/>
        <v>1.0746182932082513</v>
      </c>
      <c r="F60" s="58">
        <f>122.9-2.9</f>
        <v>120</v>
      </c>
      <c r="G60" s="95">
        <f>SUMIF('Реестр уборки 2025'!W:W,'Реестр уборки 2025'!$W$247,'Реестр уборки 2025'!V:V)</f>
        <v>120.02629244666062</v>
      </c>
      <c r="H60" s="47">
        <f t="shared" si="3"/>
        <v>1.0002191037221719</v>
      </c>
      <c r="I60" s="54">
        <f>Таблица4[[#This Row],[ФАКТ, т]]/Таблица4[[#This Row],[ФАКТ, га]]</f>
        <v>4.6764753668404797</v>
      </c>
    </row>
    <row r="61" spans="1:13" x14ac:dyDescent="0.25">
      <c r="A61" t="s">
        <v>48</v>
      </c>
      <c r="B61" t="s">
        <v>178</v>
      </c>
      <c r="C61" s="31">
        <v>586.5</v>
      </c>
      <c r="D61" s="33">
        <f>SUMIF('Реестр уборки 2025'!W:W,'Реестр уборки 2025'!$W$275,'Реестр уборки 2025'!G:G)/1000</f>
        <v>1017.73</v>
      </c>
      <c r="E61" s="47">
        <f t="shared" si="4"/>
        <v>1.7352600170502983</v>
      </c>
      <c r="F61" s="58">
        <v>138</v>
      </c>
      <c r="G61" s="95">
        <f>SUMIF('Реестр уборки 2025'!W:W,'Реестр уборки 2025'!$W$275,'Реестр уборки 2025'!V:V)</f>
        <v>138.00000000000003</v>
      </c>
      <c r="H61" s="47">
        <f t="shared" si="3"/>
        <v>1.0000000000000002</v>
      </c>
      <c r="I61" s="54">
        <f>Таблица4[[#This Row],[ФАКТ, т]]/Таблица4[[#This Row],[ФАКТ, га]]</f>
        <v>7.3748550724637667</v>
      </c>
    </row>
    <row r="62" spans="1:13" x14ac:dyDescent="0.25">
      <c r="A62" t="s">
        <v>49</v>
      </c>
      <c r="B62" t="s">
        <v>178</v>
      </c>
      <c r="C62" s="31">
        <v>1784.12</v>
      </c>
      <c r="D62" s="33">
        <f>SUMIF('Реестр уборки 2025'!W:W,'Реестр уборки 2025'!$W$431,'Реестр уборки 2025'!G:G)/1000</f>
        <v>1992.2</v>
      </c>
      <c r="E62" s="47">
        <f t="shared" si="4"/>
        <v>1.1166289263054057</v>
      </c>
      <c r="F62" s="58">
        <v>379.6</v>
      </c>
      <c r="G62" s="95">
        <f>SUMIF('Реестр уборки 2025'!W:W,'Реестр уборки 2025'!$W$431,'Реестр уборки 2025'!V:V)</f>
        <v>379.58968568872297</v>
      </c>
      <c r="H62" s="47">
        <f t="shared" si="3"/>
        <v>0.99997282847398039</v>
      </c>
      <c r="I62" s="54">
        <f>Таблица4[[#This Row],[ФАКТ, т]]/Таблица4[[#This Row],[ФАКТ, га]]</f>
        <v>5.2482985579162307</v>
      </c>
    </row>
    <row r="63" spans="1:13" x14ac:dyDescent="0.25">
      <c r="C63" s="32">
        <f>SUBTOTAL(109,C55:C62)</f>
        <v>6798.0450000000001</v>
      </c>
      <c r="D63" s="32">
        <f>SUBTOTAL(109,D55:D62)</f>
        <v>7098.14</v>
      </c>
      <c r="E63" s="48">
        <f>D63/C63</f>
        <v>1.0441443091359355</v>
      </c>
      <c r="F63" s="60">
        <f>SUBTOTAL(109,F55:F62)</f>
        <v>1675.8000000000002</v>
      </c>
      <c r="G63" s="96">
        <f>SUBTOTAL(109,G55:G62)</f>
        <v>1483.8600859735784</v>
      </c>
      <c r="H63" s="48">
        <f>IFERROR(G63/F63, )</f>
        <v>0.88546371045087613</v>
      </c>
      <c r="I63" s="54">
        <f>D63/G63</f>
        <v>4.7835642100601588</v>
      </c>
    </row>
    <row r="64" spans="1:13" x14ac:dyDescent="0.25">
      <c r="G64" s="46"/>
    </row>
    <row r="65" spans="1:7" x14ac:dyDescent="0.25">
      <c r="G65" s="46"/>
    </row>
    <row r="66" spans="1:7" x14ac:dyDescent="0.25">
      <c r="A66" s="50" t="s">
        <v>181</v>
      </c>
      <c r="B66" t="s">
        <v>185</v>
      </c>
      <c r="C66" t="s">
        <v>184</v>
      </c>
      <c r="D66" t="s">
        <v>183</v>
      </c>
      <c r="E66" t="s">
        <v>1074</v>
      </c>
      <c r="F66" t="s">
        <v>1075</v>
      </c>
    </row>
    <row r="67" spans="1:7" x14ac:dyDescent="0.25">
      <c r="A67" s="24" t="s">
        <v>48</v>
      </c>
      <c r="B67" s="31">
        <v>586.5</v>
      </c>
      <c r="C67" s="31">
        <v>1017.73</v>
      </c>
      <c r="D67" s="47">
        <v>1.7352600170502983</v>
      </c>
      <c r="E67" s="46">
        <v>138</v>
      </c>
      <c r="F67" s="46">
        <v>138.00000000000003</v>
      </c>
    </row>
    <row r="68" spans="1:7" x14ac:dyDescent="0.25">
      <c r="A68" s="24" t="s">
        <v>47</v>
      </c>
      <c r="B68" s="31">
        <v>765</v>
      </c>
      <c r="C68" s="31">
        <v>842.08</v>
      </c>
      <c r="D68" s="47">
        <v>1.1007581699346405</v>
      </c>
      <c r="E68" s="46">
        <v>180</v>
      </c>
      <c r="F68" s="46">
        <v>147.98974127065651</v>
      </c>
    </row>
    <row r="69" spans="1:7" x14ac:dyDescent="0.25">
      <c r="A69" s="24" t="s">
        <v>179</v>
      </c>
      <c r="B69" s="31">
        <v>522.32500000000005</v>
      </c>
      <c r="C69" s="31">
        <v>561.29999999999995</v>
      </c>
      <c r="D69" s="47">
        <v>1.0746182932082513</v>
      </c>
      <c r="E69" s="46">
        <v>120</v>
      </c>
      <c r="F69" s="46">
        <v>120.02629244666062</v>
      </c>
    </row>
    <row r="70" spans="1:7" x14ac:dyDescent="0.25">
      <c r="A70" s="24" t="s">
        <v>42</v>
      </c>
      <c r="B70" s="31">
        <v>936.2</v>
      </c>
      <c r="C70" s="31">
        <v>769.25</v>
      </c>
      <c r="D70" s="47">
        <v>0.82167271950437937</v>
      </c>
      <c r="E70" s="46">
        <v>302</v>
      </c>
      <c r="F70" s="46">
        <v>246.59801348128894</v>
      </c>
    </row>
    <row r="71" spans="1:7" x14ac:dyDescent="0.25">
      <c r="A71" s="24" t="s">
        <v>41</v>
      </c>
      <c r="B71" s="31">
        <v>136.5</v>
      </c>
      <c r="C71" s="31">
        <v>91.8</v>
      </c>
      <c r="D71" s="47">
        <v>0.67252747252747247</v>
      </c>
      <c r="E71" s="46">
        <v>39</v>
      </c>
      <c r="F71" s="46">
        <v>31</v>
      </c>
    </row>
    <row r="72" spans="1:7" x14ac:dyDescent="0.25">
      <c r="A72" s="24" t="s">
        <v>40</v>
      </c>
      <c r="B72" s="31">
        <v>910</v>
      </c>
      <c r="C72" s="31">
        <v>503.65</v>
      </c>
      <c r="D72" s="47">
        <v>0.55346153846153845</v>
      </c>
      <c r="E72" s="46">
        <v>260</v>
      </c>
      <c r="F72" s="46">
        <v>183.41254858411989</v>
      </c>
    </row>
    <row r="73" spans="1:7" x14ac:dyDescent="0.25">
      <c r="A73" s="24" t="s">
        <v>49</v>
      </c>
      <c r="B73" s="31">
        <v>1784.12</v>
      </c>
      <c r="C73" s="31">
        <v>1992.2</v>
      </c>
      <c r="D73" s="47">
        <v>1.1166289263054057</v>
      </c>
      <c r="E73" s="46">
        <v>379.6</v>
      </c>
      <c r="F73" s="46">
        <v>379.58968568872297</v>
      </c>
    </row>
    <row r="74" spans="1:7" x14ac:dyDescent="0.25">
      <c r="A74" s="24" t="s">
        <v>39</v>
      </c>
      <c r="B74" s="31">
        <v>1157.4000000000001</v>
      </c>
      <c r="C74" s="31">
        <v>1320.13</v>
      </c>
      <c r="D74" s="47">
        <v>1.140599619837567</v>
      </c>
      <c r="E74" s="46">
        <v>257.2</v>
      </c>
      <c r="F74" s="46">
        <v>237.24380450212948</v>
      </c>
    </row>
    <row r="75" spans="1:7" x14ac:dyDescent="0.25">
      <c r="A75" s="24" t="s">
        <v>182</v>
      </c>
      <c r="B75" s="31">
        <v>6798.0450000000001</v>
      </c>
      <c r="C75" s="31">
        <v>7098.14</v>
      </c>
      <c r="D75" s="47">
        <v>1.0441443091359355</v>
      </c>
      <c r="E75" s="46">
        <v>1675.8</v>
      </c>
      <c r="F75" s="46">
        <v>1483.8600859735784</v>
      </c>
    </row>
  </sheetData>
  <phoneticPr fontId="28" type="noConversion"/>
  <dataValidations count="2">
    <dataValidation type="list" allowBlank="1" showInputMessage="1" showErrorMessage="1" sqref="M5:M48" xr:uid="{80B11F28-4BC1-4CA6-984D-ECF082CCC684}">
      <formula1>$D$27:$D$32</formula1>
    </dataValidation>
    <dataValidation type="list" showInputMessage="1" showErrorMessage="1" sqref="M4" xr:uid="{1A948733-F71B-4046-B262-9601994D5CE0}">
      <formula1>$D$27:$D$32</formula1>
    </dataValidation>
  </dataValidations>
  <pageMargins left="0.7" right="0.7" top="0.75" bottom="0.75" header="0.3" footer="0.3"/>
  <pageSetup paperSize="9" orientation="portrait" r:id="rId2"/>
  <legacyDrawing r:id="rId3"/>
  <tableParts count="3"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7F31-F079-42BB-8CCC-24FA0AFA86CD}">
  <sheetPr codeName="Лист3"/>
  <dimension ref="A1:M2"/>
  <sheetViews>
    <sheetView workbookViewId="0">
      <selection activeCell="C33" sqref="C33"/>
    </sheetView>
  </sheetViews>
  <sheetFormatPr defaultRowHeight="15" x14ac:dyDescent="0.25"/>
  <cols>
    <col min="1" max="2" width="14.28515625" customWidth="1"/>
    <col min="3" max="3" width="13.85546875" customWidth="1"/>
    <col min="4" max="4" width="15.85546875" customWidth="1"/>
    <col min="5" max="5" width="13.42578125" customWidth="1"/>
    <col min="6" max="6" width="16.28515625" customWidth="1"/>
    <col min="7" max="7" width="19.7109375" customWidth="1"/>
    <col min="8" max="8" width="17.5703125" customWidth="1"/>
    <col min="9" max="9" width="17.7109375" customWidth="1"/>
    <col min="10" max="10" width="26.140625" customWidth="1"/>
    <col min="11" max="11" width="22.7109375" customWidth="1"/>
    <col min="12" max="12" width="18.85546875" customWidth="1"/>
    <col min="13" max="13" width="17.7109375" customWidth="1"/>
  </cols>
  <sheetData>
    <row r="1" spans="1:13" ht="30" x14ac:dyDescent="0.25">
      <c r="A1" s="16" t="s">
        <v>9</v>
      </c>
      <c r="B1" s="16" t="s">
        <v>10</v>
      </c>
      <c r="C1" s="16" t="s">
        <v>11</v>
      </c>
      <c r="D1" s="16" t="s">
        <v>12</v>
      </c>
      <c r="E1" s="17" t="s">
        <v>13</v>
      </c>
      <c r="F1" s="17" t="s">
        <v>14</v>
      </c>
      <c r="G1" s="17" t="s">
        <v>15</v>
      </c>
      <c r="H1" s="17" t="s">
        <v>16</v>
      </c>
      <c r="I1" s="17" t="s">
        <v>1307</v>
      </c>
      <c r="J1" s="17" t="s">
        <v>1308</v>
      </c>
      <c r="K1" s="17" t="s">
        <v>1309</v>
      </c>
      <c r="L1" s="17" t="s">
        <v>1310</v>
      </c>
      <c r="M1" s="18" t="s">
        <v>17</v>
      </c>
    </row>
    <row r="2" spans="1:13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20">
        <v>48</v>
      </c>
      <c r="F2" s="20" t="e">
        <v>#VALUE!</v>
      </c>
      <c r="G2" s="20" t="e">
        <f>E2-F2</f>
        <v>#VALUE!</v>
      </c>
      <c r="H2" s="21" t="str">
        <f>IFERROR(F2/E2,"-")</f>
        <v>-</v>
      </c>
      <c r="I2" s="20">
        <f>4*0.9</f>
        <v>3.6</v>
      </c>
      <c r="J2" s="22">
        <f>IFERROR(L2/F2,)</f>
        <v>0</v>
      </c>
      <c r="K2" s="20">
        <f>E2*I2</f>
        <v>172.8</v>
      </c>
      <c r="L2" s="20" t="e">
        <v>#VALUE!</v>
      </c>
      <c r="M2" s="21" t="str">
        <f>IFERROR(L2/K2,"-")</f>
        <v>-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3598-6040-41F7-8F55-F5CB856C3454}">
  <sheetPr>
    <pageSetUpPr fitToPage="1"/>
  </sheetPr>
  <dimension ref="A1:O161"/>
  <sheetViews>
    <sheetView showGridLines="0" topLeftCell="A26" workbookViewId="0">
      <selection activeCell="B58" sqref="B58"/>
    </sheetView>
  </sheetViews>
  <sheetFormatPr defaultColWidth="9.140625" defaultRowHeight="15" x14ac:dyDescent="0.25"/>
  <cols>
    <col min="1" max="1" width="42.5703125" style="100" customWidth="1"/>
    <col min="2" max="2" width="13.85546875" style="100" customWidth="1"/>
    <col min="3" max="3" width="11.5703125" style="100" customWidth="1"/>
    <col min="4" max="4" width="9.28515625" style="100" customWidth="1"/>
    <col min="5" max="5" width="12.28515625" style="100" customWidth="1"/>
    <col min="6" max="6" width="18.5703125" style="100" customWidth="1"/>
    <col min="7" max="7" width="15.85546875" style="100" customWidth="1"/>
    <col min="8" max="8" width="16.140625" style="100" customWidth="1" collapsed="1"/>
    <col min="9" max="9" width="17.42578125" style="100" customWidth="1"/>
    <col min="10" max="10" width="17.28515625" style="100" customWidth="1"/>
    <col min="11" max="11" width="14" style="100" customWidth="1"/>
    <col min="12" max="12" width="16.5703125" style="100" customWidth="1"/>
    <col min="13" max="15" width="11.28515625" style="100" customWidth="1"/>
    <col min="16" max="16384" width="9.140625" style="100"/>
  </cols>
  <sheetData>
    <row r="1" spans="1:15" hidden="1" x14ac:dyDescent="0.25">
      <c r="A1" s="488" t="s">
        <v>356</v>
      </c>
      <c r="B1" s="488" t="s">
        <v>1563</v>
      </c>
    </row>
    <row r="2" spans="1:15" ht="21.6" customHeight="1" x14ac:dyDescent="0.25">
      <c r="A2" t="s">
        <v>1564</v>
      </c>
      <c r="B2"/>
      <c r="C2"/>
      <c r="D2"/>
      <c r="E2"/>
      <c r="F2"/>
      <c r="G2"/>
      <c r="H2"/>
      <c r="I2"/>
      <c r="J2"/>
      <c r="K2"/>
      <c r="L2"/>
    </row>
    <row r="3" spans="1:15" s="101" customFormat="1" hidden="1" x14ac:dyDescent="0.25">
      <c r="A3" s="488"/>
      <c r="B3" s="488"/>
      <c r="C3" s="488"/>
      <c r="D3" s="488" t="s">
        <v>282</v>
      </c>
      <c r="E3" s="488"/>
      <c r="F3"/>
      <c r="G3"/>
      <c r="H3"/>
      <c r="I3"/>
      <c r="J3"/>
      <c r="K3"/>
      <c r="L3"/>
    </row>
    <row r="4" spans="1:15" ht="45" x14ac:dyDescent="0.25">
      <c r="A4" s="488" t="s">
        <v>172</v>
      </c>
      <c r="B4" s="489" t="s">
        <v>83</v>
      </c>
      <c r="C4" s="489" t="s">
        <v>173</v>
      </c>
      <c r="D4" s="489" t="s">
        <v>279</v>
      </c>
      <c r="E4" s="489" t="s">
        <v>280</v>
      </c>
      <c r="F4"/>
      <c r="G4"/>
      <c r="H4"/>
      <c r="I4"/>
      <c r="J4"/>
      <c r="K4"/>
      <c r="L4"/>
    </row>
    <row r="5" spans="1:15" x14ac:dyDescent="0.25">
      <c r="A5" s="492" t="s">
        <v>1563</v>
      </c>
      <c r="B5" s="488" t="s">
        <v>46</v>
      </c>
      <c r="C5" s="488"/>
      <c r="D5" s="491">
        <v>3586130</v>
      </c>
      <c r="E5" s="491">
        <v>3055975.3999999985</v>
      </c>
      <c r="F5"/>
      <c r="G5"/>
      <c r="H5"/>
      <c r="I5"/>
      <c r="J5"/>
      <c r="K5"/>
      <c r="L5"/>
    </row>
    <row r="6" spans="1:15" x14ac:dyDescent="0.25">
      <c r="A6" s="488"/>
      <c r="B6" s="488" t="s">
        <v>52</v>
      </c>
      <c r="C6" s="488"/>
      <c r="D6" s="491">
        <v>998000</v>
      </c>
      <c r="E6" s="491">
        <v>898798.10000000021</v>
      </c>
      <c r="F6"/>
      <c r="G6"/>
      <c r="H6"/>
      <c r="I6"/>
      <c r="J6"/>
      <c r="K6"/>
      <c r="L6"/>
      <c r="M6" s="28"/>
      <c r="N6" s="28"/>
      <c r="O6" s="28"/>
    </row>
    <row r="7" spans="1:15" x14ac:dyDescent="0.25">
      <c r="A7" s="488"/>
      <c r="B7" s="488" t="s">
        <v>53</v>
      </c>
      <c r="C7" s="488"/>
      <c r="D7" s="491">
        <v>1357260</v>
      </c>
      <c r="E7" s="491">
        <v>1222677.6000000001</v>
      </c>
      <c r="F7"/>
      <c r="G7"/>
      <c r="H7"/>
      <c r="I7"/>
      <c r="J7"/>
      <c r="K7"/>
      <c r="L7"/>
    </row>
    <row r="8" spans="1:15" x14ac:dyDescent="0.25">
      <c r="A8" s="488"/>
      <c r="B8" s="488" t="s">
        <v>2932</v>
      </c>
      <c r="C8" s="488" t="s">
        <v>864</v>
      </c>
      <c r="D8" s="491">
        <v>273690</v>
      </c>
      <c r="E8" s="491">
        <v>237835.1</v>
      </c>
      <c r="F8"/>
      <c r="G8"/>
      <c r="H8"/>
      <c r="I8"/>
      <c r="J8"/>
      <c r="K8"/>
      <c r="L8"/>
    </row>
    <row r="9" spans="1:15" x14ac:dyDescent="0.25">
      <c r="A9" s="488"/>
      <c r="B9" s="488"/>
      <c r="C9" s="488" t="s">
        <v>3092</v>
      </c>
      <c r="D9" s="491">
        <v>80320</v>
      </c>
      <c r="E9" s="491">
        <v>67167.5</v>
      </c>
      <c r="F9"/>
      <c r="G9"/>
      <c r="H9"/>
      <c r="I9"/>
      <c r="J9"/>
      <c r="K9"/>
      <c r="L9"/>
    </row>
    <row r="10" spans="1:15" x14ac:dyDescent="0.25">
      <c r="A10" s="488"/>
      <c r="B10" s="488"/>
      <c r="C10" s="488" t="s">
        <v>3113</v>
      </c>
      <c r="D10" s="491">
        <v>13830</v>
      </c>
      <c r="E10" s="491">
        <v>12195.1</v>
      </c>
      <c r="F10"/>
      <c r="G10"/>
      <c r="H10"/>
      <c r="I10"/>
      <c r="J10"/>
      <c r="K10"/>
      <c r="L10"/>
    </row>
    <row r="11" spans="1:15" x14ac:dyDescent="0.25">
      <c r="A11" s="488"/>
      <c r="B11" s="488"/>
      <c r="C11" s="488" t="s">
        <v>2884</v>
      </c>
      <c r="D11" s="491">
        <v>151350</v>
      </c>
      <c r="E11" s="491">
        <v>133828.20000000001</v>
      </c>
      <c r="F11"/>
      <c r="G11"/>
      <c r="H11"/>
      <c r="I11"/>
      <c r="J11"/>
      <c r="K11"/>
      <c r="L11"/>
    </row>
    <row r="12" spans="1:15" x14ac:dyDescent="0.25">
      <c r="A12" s="488"/>
      <c r="B12" s="488"/>
      <c r="C12" s="488" t="s">
        <v>3109</v>
      </c>
      <c r="D12" s="491">
        <v>133390</v>
      </c>
      <c r="E12" s="491">
        <v>117881.20000000001</v>
      </c>
      <c r="F12"/>
      <c r="G12"/>
      <c r="H12"/>
      <c r="I12"/>
      <c r="J12"/>
      <c r="K12"/>
      <c r="L12"/>
    </row>
    <row r="13" spans="1:15" x14ac:dyDescent="0.25">
      <c r="A13" s="488"/>
      <c r="B13" s="488"/>
      <c r="C13" s="488" t="s">
        <v>3112</v>
      </c>
      <c r="D13" s="491">
        <v>73080</v>
      </c>
      <c r="E13" s="491">
        <v>67505.899999999994</v>
      </c>
      <c r="F13"/>
      <c r="G13"/>
      <c r="H13"/>
      <c r="I13"/>
      <c r="J13"/>
      <c r="K13"/>
      <c r="L13"/>
    </row>
    <row r="14" spans="1:15" x14ac:dyDescent="0.25">
      <c r="A14" s="488"/>
      <c r="B14" s="488"/>
      <c r="C14" s="488" t="s">
        <v>3108</v>
      </c>
      <c r="D14" s="491">
        <v>255800</v>
      </c>
      <c r="E14" s="491">
        <v>228067.90000000005</v>
      </c>
      <c r="F14"/>
      <c r="G14"/>
      <c r="H14"/>
      <c r="I14"/>
      <c r="J14"/>
      <c r="K14"/>
      <c r="L14"/>
    </row>
    <row r="15" spans="1:15" x14ac:dyDescent="0.25">
      <c r="A15" s="488"/>
      <c r="B15" s="488"/>
      <c r="C15" s="488" t="s">
        <v>3110</v>
      </c>
      <c r="D15" s="491">
        <v>154940</v>
      </c>
      <c r="E15" s="491">
        <v>134543.80000000002</v>
      </c>
      <c r="F15"/>
      <c r="G15"/>
      <c r="H15"/>
      <c r="I15"/>
      <c r="J15"/>
      <c r="K15"/>
      <c r="L15"/>
    </row>
    <row r="16" spans="1:15" x14ac:dyDescent="0.25">
      <c r="A16" s="488"/>
      <c r="B16" s="488" t="s">
        <v>3376</v>
      </c>
      <c r="C16" s="488"/>
      <c r="D16" s="491">
        <v>1136400</v>
      </c>
      <c r="E16" s="491">
        <v>999024.70000000007</v>
      </c>
      <c r="F16"/>
      <c r="G16"/>
      <c r="H16"/>
      <c r="I16"/>
      <c r="J16"/>
      <c r="K16"/>
      <c r="L16"/>
    </row>
    <row r="17" spans="1:12" x14ac:dyDescent="0.25">
      <c r="A17" s="492" t="s">
        <v>182</v>
      </c>
      <c r="B17" s="488"/>
      <c r="C17" s="488"/>
      <c r="D17" s="491">
        <v>7077790</v>
      </c>
      <c r="E17" s="491">
        <v>6176475.7999999989</v>
      </c>
      <c r="F17"/>
      <c r="G17"/>
      <c r="H17"/>
      <c r="I17"/>
      <c r="J17"/>
      <c r="K17"/>
      <c r="L17"/>
    </row>
    <row r="18" spans="1:12" x14ac:dyDescent="0.25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25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25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25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25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25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25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25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25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25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25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25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25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25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25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25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25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25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25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25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25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5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25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25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25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25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25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25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25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25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2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2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2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2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2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2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2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2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2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2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2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2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2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2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25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25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2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2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2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2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2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2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2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2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2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2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2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2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2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2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2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2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2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2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2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2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2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2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2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2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2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2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2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2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2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2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2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2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2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2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2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2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2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2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2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2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2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2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2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2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2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2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2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2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2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2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2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2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2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2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2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2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2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2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2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2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2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2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2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2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2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2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2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2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2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2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2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2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2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2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2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2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2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2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2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2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2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2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25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25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25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25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25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25">
      <c r="A161"/>
      <c r="B161"/>
      <c r="C161"/>
      <c r="D161"/>
      <c r="E161"/>
      <c r="F161"/>
      <c r="G161"/>
      <c r="H161"/>
      <c r="I161"/>
      <c r="J161"/>
      <c r="K161"/>
      <c r="L161"/>
    </row>
  </sheetData>
  <pageMargins left="0.7" right="0.7" top="0.75" bottom="0.75" header="0.3" footer="0.3"/>
  <pageSetup paperSize="9" scale="48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8359-B988-4FEC-9C0E-D6FF3A8AFAE9}">
  <dimension ref="A3:BC53"/>
  <sheetViews>
    <sheetView showGridLines="0" topLeftCell="H25" workbookViewId="0">
      <selection activeCell="Q47" sqref="Q47"/>
    </sheetView>
  </sheetViews>
  <sheetFormatPr defaultRowHeight="15" outlineLevelCol="1" x14ac:dyDescent="0.25"/>
  <cols>
    <col min="1" max="1" width="13.28515625" hidden="1" customWidth="1" outlineLevel="1"/>
    <col min="2" max="3" width="19" hidden="1" customWidth="1" outlineLevel="1"/>
    <col min="4" max="4" width="21.140625" hidden="1" customWidth="1" outlineLevel="1"/>
    <col min="5" max="5" width="26.7109375" style="34" hidden="1" customWidth="1" outlineLevel="1"/>
    <col min="6" max="7" width="8.85546875" hidden="1" customWidth="1" outlineLevel="1"/>
    <col min="8" max="8" width="8.85546875" customWidth="1" collapsed="1"/>
    <col min="9" max="9" width="17" bestFit="1" customWidth="1"/>
    <col min="10" max="10" width="22.42578125" bestFit="1" customWidth="1"/>
    <col min="11" max="54" width="10.140625" bestFit="1" customWidth="1"/>
    <col min="55" max="55" width="11.5703125" bestFit="1" customWidth="1"/>
  </cols>
  <sheetData>
    <row r="3" spans="1:55" s="166" customFormat="1" ht="14.45" customHeight="1" x14ac:dyDescent="0.25">
      <c r="A3" s="166" t="s">
        <v>1566</v>
      </c>
      <c r="B3" s="166" t="s">
        <v>1612</v>
      </c>
      <c r="C3" s="166" t="s">
        <v>279</v>
      </c>
      <c r="D3" s="166" t="s">
        <v>280</v>
      </c>
      <c r="E3" s="167" t="s">
        <v>1565</v>
      </c>
      <c r="I3" t="s">
        <v>1614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</row>
    <row r="4" spans="1:55" x14ac:dyDescent="0.25">
      <c r="A4" s="34">
        <v>45804</v>
      </c>
      <c r="B4" s="165">
        <f>C4/1000</f>
        <v>29.45</v>
      </c>
      <c r="C4" s="165">
        <v>29450</v>
      </c>
      <c r="D4" s="165">
        <v>21740.699999999997</v>
      </c>
      <c r="E4" s="34">
        <v>45804</v>
      </c>
      <c r="I4" s="50" t="s">
        <v>1566</v>
      </c>
      <c r="J4" t="s">
        <v>1613</v>
      </c>
    </row>
    <row r="5" spans="1:55" x14ac:dyDescent="0.25">
      <c r="A5" s="34">
        <v>45805</v>
      </c>
      <c r="B5" s="165">
        <f t="shared" ref="B5:B48" si="0">C5/1000</f>
        <v>98.79</v>
      </c>
      <c r="C5" s="165">
        <v>98790</v>
      </c>
      <c r="D5" s="165">
        <v>71595.600000000006</v>
      </c>
      <c r="E5" s="34">
        <v>45805</v>
      </c>
      <c r="I5" s="24" t="s">
        <v>1560</v>
      </c>
      <c r="J5" s="31">
        <v>227.18</v>
      </c>
    </row>
    <row r="6" spans="1:55" x14ac:dyDescent="0.25">
      <c r="A6" s="34">
        <v>45806</v>
      </c>
      <c r="B6" s="165">
        <f t="shared" si="0"/>
        <v>52.63</v>
      </c>
      <c r="C6" s="165">
        <v>52630</v>
      </c>
      <c r="D6" s="165">
        <v>37492</v>
      </c>
      <c r="E6" s="34">
        <v>45806</v>
      </c>
      <c r="I6" s="168" t="s">
        <v>1567</v>
      </c>
      <c r="J6" s="31">
        <v>29.45</v>
      </c>
    </row>
    <row r="7" spans="1:55" x14ac:dyDescent="0.25">
      <c r="A7" s="34">
        <v>45807</v>
      </c>
      <c r="B7" s="165">
        <f t="shared" si="0"/>
        <v>46.31</v>
      </c>
      <c r="C7" s="165">
        <v>46310</v>
      </c>
      <c r="D7" s="165">
        <v>33701.5</v>
      </c>
      <c r="E7" s="34">
        <v>45808</v>
      </c>
      <c r="I7" s="168" t="s">
        <v>1568</v>
      </c>
      <c r="J7" s="31">
        <v>98.79</v>
      </c>
    </row>
    <row r="8" spans="1:55" x14ac:dyDescent="0.25">
      <c r="A8" s="34">
        <v>45808</v>
      </c>
      <c r="B8" s="165"/>
      <c r="C8" s="165"/>
      <c r="D8" s="165"/>
      <c r="I8" s="168" t="s">
        <v>1569</v>
      </c>
      <c r="J8" s="31">
        <v>52.63</v>
      </c>
    </row>
    <row r="9" spans="1:55" x14ac:dyDescent="0.25">
      <c r="A9" s="34">
        <v>45809</v>
      </c>
      <c r="B9" s="165">
        <f t="shared" si="0"/>
        <v>163.69999999999999</v>
      </c>
      <c r="C9" s="165">
        <v>163700</v>
      </c>
      <c r="D9" s="165">
        <v>124140.6</v>
      </c>
      <c r="E9" s="34">
        <v>45809</v>
      </c>
      <c r="I9" s="168" t="s">
        <v>1570</v>
      </c>
      <c r="J9" s="31">
        <v>46.31</v>
      </c>
    </row>
    <row r="10" spans="1:55" x14ac:dyDescent="0.25">
      <c r="A10" s="34">
        <v>45810</v>
      </c>
      <c r="B10" s="165">
        <f t="shared" si="0"/>
        <v>181.62</v>
      </c>
      <c r="C10" s="165">
        <v>181620</v>
      </c>
      <c r="D10" s="165">
        <v>141581.70000000001</v>
      </c>
      <c r="E10" s="34">
        <v>45810</v>
      </c>
      <c r="I10" s="168" t="s">
        <v>1571</v>
      </c>
      <c r="J10" s="31"/>
    </row>
    <row r="11" spans="1:55" x14ac:dyDescent="0.25">
      <c r="A11" s="34">
        <v>45811</v>
      </c>
      <c r="B11" s="165">
        <f t="shared" si="0"/>
        <v>137.38</v>
      </c>
      <c r="C11" s="165">
        <v>137380</v>
      </c>
      <c r="D11" s="165">
        <v>111232.3</v>
      </c>
      <c r="E11" s="34">
        <v>45811</v>
      </c>
      <c r="I11" s="24" t="s">
        <v>1561</v>
      </c>
      <c r="J11" s="31">
        <v>5031.04</v>
      </c>
    </row>
    <row r="12" spans="1:55" x14ac:dyDescent="0.25">
      <c r="A12" s="34">
        <v>45812</v>
      </c>
      <c r="B12" s="165">
        <f t="shared" si="0"/>
        <v>218.34</v>
      </c>
      <c r="C12" s="165">
        <v>218340</v>
      </c>
      <c r="D12" s="165">
        <v>186899.59999999998</v>
      </c>
      <c r="E12" s="34">
        <v>45812</v>
      </c>
      <c r="I12" s="168" t="s">
        <v>1572</v>
      </c>
      <c r="J12" s="31">
        <v>163.69999999999999</v>
      </c>
    </row>
    <row r="13" spans="1:55" x14ac:dyDescent="0.25">
      <c r="A13" s="34">
        <v>45813</v>
      </c>
      <c r="B13" s="165">
        <f t="shared" si="0"/>
        <v>257.7</v>
      </c>
      <c r="C13" s="165">
        <v>257700</v>
      </c>
      <c r="D13" s="165">
        <v>215785.70000000004</v>
      </c>
      <c r="E13" s="34">
        <v>45813</v>
      </c>
      <c r="I13" s="168" t="s">
        <v>1573</v>
      </c>
      <c r="J13" s="31">
        <v>181.62</v>
      </c>
    </row>
    <row r="14" spans="1:55" x14ac:dyDescent="0.25">
      <c r="A14" s="34">
        <v>45814</v>
      </c>
      <c r="B14" s="165">
        <f t="shared" si="0"/>
        <v>187.54</v>
      </c>
      <c r="C14" s="165">
        <v>187540</v>
      </c>
      <c r="D14" s="165">
        <v>157412.60000000003</v>
      </c>
      <c r="E14" s="34">
        <v>45814</v>
      </c>
      <c r="I14" s="168" t="s">
        <v>1574</v>
      </c>
      <c r="J14" s="31">
        <v>137.38</v>
      </c>
    </row>
    <row r="15" spans="1:55" x14ac:dyDescent="0.25">
      <c r="A15" s="34">
        <v>45815</v>
      </c>
      <c r="B15" s="165">
        <f t="shared" si="0"/>
        <v>222.75</v>
      </c>
      <c r="C15" s="165">
        <v>222750</v>
      </c>
      <c r="D15" s="165">
        <v>189231</v>
      </c>
      <c r="E15" s="34">
        <v>45815</v>
      </c>
      <c r="I15" s="168" t="s">
        <v>1575</v>
      </c>
      <c r="J15" s="31">
        <v>218.34</v>
      </c>
    </row>
    <row r="16" spans="1:55" x14ac:dyDescent="0.25">
      <c r="A16" s="34">
        <v>45816</v>
      </c>
      <c r="B16" s="165">
        <f t="shared" si="0"/>
        <v>244.84</v>
      </c>
      <c r="C16" s="165">
        <v>244840</v>
      </c>
      <c r="D16" s="165">
        <v>214198.40000000002</v>
      </c>
      <c r="E16" s="34">
        <v>45816</v>
      </c>
      <c r="I16" s="168" t="s">
        <v>1576</v>
      </c>
      <c r="J16" s="31">
        <v>257.7</v>
      </c>
    </row>
    <row r="17" spans="1:10" x14ac:dyDescent="0.25">
      <c r="A17" s="34">
        <v>45817</v>
      </c>
      <c r="B17" s="165">
        <f t="shared" si="0"/>
        <v>152.51</v>
      </c>
      <c r="C17" s="165">
        <v>152510</v>
      </c>
      <c r="D17" s="165">
        <v>127138.90000000001</v>
      </c>
      <c r="E17" s="34">
        <v>45817</v>
      </c>
      <c r="I17" s="168" t="s">
        <v>1577</v>
      </c>
      <c r="J17" s="31">
        <v>187.54</v>
      </c>
    </row>
    <row r="18" spans="1:10" x14ac:dyDescent="0.25">
      <c r="A18" s="34">
        <v>45818</v>
      </c>
      <c r="B18" s="165">
        <f t="shared" si="0"/>
        <v>185.62</v>
      </c>
      <c r="C18" s="165">
        <v>185620</v>
      </c>
      <c r="D18" s="165">
        <v>159943.4</v>
      </c>
      <c r="E18" s="34">
        <v>45818</v>
      </c>
      <c r="I18" s="168" t="s">
        <v>1578</v>
      </c>
      <c r="J18" s="31">
        <v>222.75</v>
      </c>
    </row>
    <row r="19" spans="1:10" x14ac:dyDescent="0.25">
      <c r="A19" s="34">
        <v>45819</v>
      </c>
      <c r="B19" s="165">
        <f t="shared" si="0"/>
        <v>159.63</v>
      </c>
      <c r="C19" s="165">
        <v>159630</v>
      </c>
      <c r="D19" s="165">
        <v>146763.80000000002</v>
      </c>
      <c r="E19" s="34">
        <v>45819</v>
      </c>
      <c r="I19" s="168" t="s">
        <v>1579</v>
      </c>
      <c r="J19" s="31">
        <v>244.84</v>
      </c>
    </row>
    <row r="20" spans="1:10" x14ac:dyDescent="0.25">
      <c r="A20" s="34">
        <v>45820</v>
      </c>
      <c r="B20" s="165">
        <f t="shared" si="0"/>
        <v>269.58</v>
      </c>
      <c r="C20" s="165">
        <v>269580</v>
      </c>
      <c r="D20" s="165">
        <v>233118.80000000002</v>
      </c>
      <c r="E20" s="34">
        <v>45820</v>
      </c>
      <c r="I20" s="168" t="s">
        <v>1580</v>
      </c>
      <c r="J20" s="31">
        <v>152.51</v>
      </c>
    </row>
    <row r="21" spans="1:10" x14ac:dyDescent="0.25">
      <c r="A21" s="34">
        <v>45821</v>
      </c>
      <c r="B21" s="165">
        <f t="shared" si="0"/>
        <v>214.02</v>
      </c>
      <c r="C21" s="165">
        <v>214020</v>
      </c>
      <c r="D21" s="165">
        <v>182865.4</v>
      </c>
      <c r="E21" s="34">
        <v>45821</v>
      </c>
      <c r="I21" s="168" t="s">
        <v>1581</v>
      </c>
      <c r="J21" s="31">
        <v>185.62</v>
      </c>
    </row>
    <row r="22" spans="1:10" x14ac:dyDescent="0.25">
      <c r="A22" s="34">
        <v>45822</v>
      </c>
      <c r="B22" s="165">
        <f t="shared" si="0"/>
        <v>288.24</v>
      </c>
      <c r="C22" s="165">
        <v>288240</v>
      </c>
      <c r="D22" s="165">
        <v>252886.39999999999</v>
      </c>
      <c r="E22" s="34">
        <v>45822</v>
      </c>
      <c r="I22" s="168" t="s">
        <v>1582</v>
      </c>
      <c r="J22" s="31">
        <v>159.63</v>
      </c>
    </row>
    <row r="23" spans="1:10" x14ac:dyDescent="0.25">
      <c r="A23" s="34">
        <v>45823</v>
      </c>
      <c r="B23" s="165">
        <f t="shared" si="0"/>
        <v>239.3</v>
      </c>
      <c r="C23" s="165">
        <v>239300</v>
      </c>
      <c r="D23" s="165">
        <v>213149.2</v>
      </c>
      <c r="E23" s="34">
        <v>45823</v>
      </c>
      <c r="I23" s="168" t="s">
        <v>1583</v>
      </c>
      <c r="J23" s="31">
        <v>269.58</v>
      </c>
    </row>
    <row r="24" spans="1:10" x14ac:dyDescent="0.25">
      <c r="A24" s="34">
        <v>45824</v>
      </c>
      <c r="B24" s="165">
        <f t="shared" si="0"/>
        <v>167.58</v>
      </c>
      <c r="C24" s="165">
        <v>167580</v>
      </c>
      <c r="D24" s="165">
        <v>154253.30000000005</v>
      </c>
      <c r="E24" s="34">
        <v>45824</v>
      </c>
      <c r="I24" s="168" t="s">
        <v>1584</v>
      </c>
      <c r="J24" s="31">
        <v>214.02</v>
      </c>
    </row>
    <row r="25" spans="1:10" x14ac:dyDescent="0.25">
      <c r="A25" s="34">
        <v>45825</v>
      </c>
      <c r="B25" s="165">
        <f t="shared" si="0"/>
        <v>71.010000000000005</v>
      </c>
      <c r="C25" s="165">
        <v>71010</v>
      </c>
      <c r="D25" s="165">
        <v>59975.100000000006</v>
      </c>
      <c r="E25" s="34">
        <v>45825</v>
      </c>
      <c r="I25" s="168" t="s">
        <v>1585</v>
      </c>
      <c r="J25" s="31">
        <v>288.24</v>
      </c>
    </row>
    <row r="26" spans="1:10" x14ac:dyDescent="0.25">
      <c r="A26" s="34">
        <v>45826</v>
      </c>
      <c r="B26" s="165">
        <f t="shared" si="0"/>
        <v>212.04</v>
      </c>
      <c r="C26" s="165">
        <v>212040</v>
      </c>
      <c r="D26" s="165">
        <v>190603.8</v>
      </c>
      <c r="E26" s="34">
        <v>45826</v>
      </c>
      <c r="I26" s="168" t="s">
        <v>1586</v>
      </c>
      <c r="J26" s="31">
        <v>239.3</v>
      </c>
    </row>
    <row r="27" spans="1:10" x14ac:dyDescent="0.25">
      <c r="A27" s="34">
        <v>45827</v>
      </c>
      <c r="B27" s="165">
        <f t="shared" si="0"/>
        <v>277.55</v>
      </c>
      <c r="C27" s="165">
        <v>277550</v>
      </c>
      <c r="D27" s="165">
        <v>255021.40000000002</v>
      </c>
      <c r="E27" s="34">
        <v>45827</v>
      </c>
      <c r="I27" s="168" t="s">
        <v>1587</v>
      </c>
      <c r="J27" s="31">
        <v>167.58</v>
      </c>
    </row>
    <row r="28" spans="1:10" x14ac:dyDescent="0.25">
      <c r="A28" s="34">
        <v>45828</v>
      </c>
      <c r="B28" s="165">
        <f t="shared" si="0"/>
        <v>220.8</v>
      </c>
      <c r="C28" s="165">
        <v>220800</v>
      </c>
      <c r="D28" s="165">
        <v>207184.50000000003</v>
      </c>
      <c r="E28" s="34">
        <v>45828</v>
      </c>
      <c r="I28" s="168" t="s">
        <v>1588</v>
      </c>
      <c r="J28" s="31">
        <v>71.010000000000005</v>
      </c>
    </row>
    <row r="29" spans="1:10" x14ac:dyDescent="0.25">
      <c r="A29" s="34">
        <v>45829</v>
      </c>
      <c r="B29" s="165">
        <f t="shared" si="0"/>
        <v>148.15</v>
      </c>
      <c r="C29" s="165">
        <v>148150</v>
      </c>
      <c r="D29" s="165">
        <v>135735.79999999999</v>
      </c>
      <c r="E29" s="34">
        <v>45829</v>
      </c>
      <c r="I29" s="168" t="s">
        <v>1589</v>
      </c>
      <c r="J29" s="31">
        <v>212.04</v>
      </c>
    </row>
    <row r="30" spans="1:10" x14ac:dyDescent="0.25">
      <c r="A30" s="34">
        <v>45830</v>
      </c>
      <c r="B30" s="165">
        <f t="shared" si="0"/>
        <v>204.71</v>
      </c>
      <c r="C30" s="165">
        <v>204710</v>
      </c>
      <c r="D30" s="165">
        <v>167127.40000000002</v>
      </c>
      <c r="E30" s="34">
        <v>45830</v>
      </c>
      <c r="I30" s="168" t="s">
        <v>1590</v>
      </c>
      <c r="J30" s="31">
        <v>277.55</v>
      </c>
    </row>
    <row r="31" spans="1:10" x14ac:dyDescent="0.25">
      <c r="A31" s="34">
        <v>45831</v>
      </c>
      <c r="B31" s="165">
        <f t="shared" si="0"/>
        <v>228.57</v>
      </c>
      <c r="C31" s="165">
        <v>228570</v>
      </c>
      <c r="D31" s="165">
        <v>189006.80000000002</v>
      </c>
      <c r="E31" s="34">
        <v>45831</v>
      </c>
      <c r="I31" s="168" t="s">
        <v>1591</v>
      </c>
      <c r="J31" s="31">
        <v>220.8</v>
      </c>
    </row>
    <row r="32" spans="1:10" x14ac:dyDescent="0.25">
      <c r="A32" s="34">
        <v>45832</v>
      </c>
      <c r="B32" s="165">
        <f t="shared" si="0"/>
        <v>94.08</v>
      </c>
      <c r="C32" s="165">
        <v>94080</v>
      </c>
      <c r="D32" s="165">
        <v>79556.7</v>
      </c>
      <c r="E32" s="34">
        <v>45832</v>
      </c>
      <c r="I32" s="168" t="s">
        <v>1592</v>
      </c>
      <c r="J32" s="31">
        <v>148.15</v>
      </c>
    </row>
    <row r="33" spans="1:10" x14ac:dyDescent="0.25">
      <c r="A33" s="34">
        <v>45833</v>
      </c>
      <c r="B33" s="165">
        <f t="shared" si="0"/>
        <v>125.43</v>
      </c>
      <c r="C33" s="165">
        <v>125430</v>
      </c>
      <c r="D33" s="165">
        <v>104544.2</v>
      </c>
      <c r="E33" s="34">
        <v>45833</v>
      </c>
      <c r="I33" s="168" t="s">
        <v>1593</v>
      </c>
      <c r="J33" s="31">
        <v>204.71</v>
      </c>
    </row>
    <row r="34" spans="1:10" x14ac:dyDescent="0.25">
      <c r="A34" s="34">
        <v>45834</v>
      </c>
      <c r="B34" s="165"/>
      <c r="C34" s="165"/>
      <c r="D34" s="165"/>
      <c r="I34" s="168" t="s">
        <v>1594</v>
      </c>
      <c r="J34" s="31">
        <v>228.57</v>
      </c>
    </row>
    <row r="35" spans="1:10" x14ac:dyDescent="0.25">
      <c r="A35" s="34">
        <v>45835</v>
      </c>
      <c r="B35" s="165"/>
      <c r="C35" s="165"/>
      <c r="D35" s="165"/>
      <c r="I35" s="168" t="s">
        <v>1595</v>
      </c>
      <c r="J35" s="31">
        <v>94.08</v>
      </c>
    </row>
    <row r="36" spans="1:10" x14ac:dyDescent="0.25">
      <c r="A36" s="34">
        <v>45836</v>
      </c>
      <c r="B36" s="165">
        <f t="shared" si="0"/>
        <v>60.75</v>
      </c>
      <c r="C36" s="165">
        <v>60750</v>
      </c>
      <c r="D36" s="165">
        <v>51333.9</v>
      </c>
      <c r="E36" s="34">
        <v>45836</v>
      </c>
      <c r="I36" s="168" t="s">
        <v>1596</v>
      </c>
      <c r="J36" s="31">
        <v>125.43</v>
      </c>
    </row>
    <row r="37" spans="1:10" x14ac:dyDescent="0.25">
      <c r="A37" s="34">
        <v>45837</v>
      </c>
      <c r="B37" s="165">
        <f t="shared" si="0"/>
        <v>69.23</v>
      </c>
      <c r="C37" s="165">
        <v>69230</v>
      </c>
      <c r="D37" s="165">
        <v>60600.6</v>
      </c>
      <c r="E37" s="34">
        <v>45837</v>
      </c>
      <c r="I37" s="168" t="s">
        <v>1597</v>
      </c>
      <c r="J37" s="31"/>
    </row>
    <row r="38" spans="1:10" x14ac:dyDescent="0.25">
      <c r="A38" s="34">
        <v>45838</v>
      </c>
      <c r="B38" s="165">
        <f t="shared" si="0"/>
        <v>28.37</v>
      </c>
      <c r="C38" s="165">
        <v>28370</v>
      </c>
      <c r="D38" s="165">
        <v>24692.3</v>
      </c>
      <c r="E38" s="34">
        <v>45838</v>
      </c>
      <c r="I38" s="168" t="s">
        <v>1598</v>
      </c>
      <c r="J38" s="31"/>
    </row>
    <row r="39" spans="1:10" x14ac:dyDescent="0.25">
      <c r="A39" s="34">
        <v>45839</v>
      </c>
      <c r="B39" s="165">
        <f t="shared" si="0"/>
        <v>69.19</v>
      </c>
      <c r="C39" s="165">
        <v>69190</v>
      </c>
      <c r="D39" s="165">
        <v>60335.200000000004</v>
      </c>
      <c r="E39" s="34">
        <v>45839</v>
      </c>
      <c r="I39" s="168" t="s">
        <v>1599</v>
      </c>
      <c r="J39" s="31">
        <v>60.75</v>
      </c>
    </row>
    <row r="40" spans="1:10" x14ac:dyDescent="0.25">
      <c r="A40" s="34">
        <v>45840</v>
      </c>
      <c r="B40" s="165">
        <f t="shared" si="0"/>
        <v>218.92</v>
      </c>
      <c r="C40" s="165">
        <v>218920</v>
      </c>
      <c r="D40" s="165">
        <v>187414.8</v>
      </c>
      <c r="E40" s="34">
        <v>45840</v>
      </c>
      <c r="I40" s="168" t="s">
        <v>1600</v>
      </c>
      <c r="J40" s="31">
        <v>69.23</v>
      </c>
    </row>
    <row r="41" spans="1:10" x14ac:dyDescent="0.25">
      <c r="A41" s="34">
        <v>45841</v>
      </c>
      <c r="B41" s="165">
        <f t="shared" si="0"/>
        <v>192.37</v>
      </c>
      <c r="C41" s="165">
        <v>192370</v>
      </c>
      <c r="D41" s="165">
        <v>161740.50000000003</v>
      </c>
      <c r="E41" s="34">
        <v>45841</v>
      </c>
      <c r="I41" s="168" t="s">
        <v>1601</v>
      </c>
      <c r="J41" s="31">
        <v>28.37</v>
      </c>
    </row>
    <row r="42" spans="1:10" x14ac:dyDescent="0.25">
      <c r="A42" s="34">
        <v>45842</v>
      </c>
      <c r="B42" s="165">
        <f t="shared" si="0"/>
        <v>213.73</v>
      </c>
      <c r="C42" s="165">
        <v>213730</v>
      </c>
      <c r="D42" s="165">
        <v>190148.5</v>
      </c>
      <c r="E42" s="34">
        <v>45842</v>
      </c>
      <c r="I42" s="24" t="s">
        <v>1562</v>
      </c>
      <c r="J42" s="31">
        <v>1227.2300000000002</v>
      </c>
    </row>
    <row r="43" spans="1:10" x14ac:dyDescent="0.25">
      <c r="A43" s="34">
        <v>45843</v>
      </c>
      <c r="B43" s="165">
        <f t="shared" si="0"/>
        <v>84.68</v>
      </c>
      <c r="C43" s="165">
        <v>84680</v>
      </c>
      <c r="D43" s="165">
        <v>73460.3</v>
      </c>
      <c r="E43" s="34">
        <v>45843</v>
      </c>
      <c r="I43" s="168" t="s">
        <v>1602</v>
      </c>
      <c r="J43" s="31">
        <v>69.19</v>
      </c>
    </row>
    <row r="44" spans="1:10" x14ac:dyDescent="0.25">
      <c r="A44" s="34">
        <v>45844</v>
      </c>
      <c r="B44" s="165">
        <f t="shared" si="0"/>
        <v>226.12</v>
      </c>
      <c r="C44" s="165">
        <v>226120</v>
      </c>
      <c r="D44" s="165">
        <v>203439.1</v>
      </c>
      <c r="E44" s="34">
        <v>45844</v>
      </c>
      <c r="I44" s="168" t="s">
        <v>1603</v>
      </c>
      <c r="J44" s="31">
        <v>218.92</v>
      </c>
    </row>
    <row r="45" spans="1:10" x14ac:dyDescent="0.25">
      <c r="A45" s="34">
        <v>45845</v>
      </c>
      <c r="B45" s="165"/>
      <c r="C45" s="165"/>
      <c r="D45" s="165"/>
      <c r="I45" s="168" t="s">
        <v>1604</v>
      </c>
      <c r="J45" s="31">
        <v>192.37</v>
      </c>
    </row>
    <row r="46" spans="1:10" x14ac:dyDescent="0.25">
      <c r="A46" s="34">
        <v>45846</v>
      </c>
      <c r="B46" s="165">
        <f t="shared" si="0"/>
        <v>40.51</v>
      </c>
      <c r="C46" s="165">
        <v>40510</v>
      </c>
      <c r="D46" s="165">
        <v>36604.800000000003</v>
      </c>
      <c r="E46" s="34">
        <v>45846</v>
      </c>
      <c r="I46" s="168" t="s">
        <v>1605</v>
      </c>
      <c r="J46" s="31">
        <v>213.73</v>
      </c>
    </row>
    <row r="47" spans="1:10" x14ac:dyDescent="0.25">
      <c r="A47" s="34">
        <v>45847</v>
      </c>
      <c r="B47" s="165">
        <f t="shared" si="0"/>
        <v>143.24</v>
      </c>
      <c r="C47" s="165">
        <v>143240</v>
      </c>
      <c r="D47" s="165">
        <v>125850.3</v>
      </c>
      <c r="E47" s="34">
        <v>45847</v>
      </c>
      <c r="I47" s="168" t="s">
        <v>1606</v>
      </c>
      <c r="J47" s="31">
        <v>84.68</v>
      </c>
    </row>
    <row r="48" spans="1:10" x14ac:dyDescent="0.25">
      <c r="A48" s="34">
        <v>45848</v>
      </c>
      <c r="B48" s="165">
        <f t="shared" si="0"/>
        <v>38.47</v>
      </c>
      <c r="C48" s="165">
        <v>38470</v>
      </c>
      <c r="D48" s="165">
        <v>31337.5</v>
      </c>
      <c r="E48" s="34">
        <v>45848</v>
      </c>
      <c r="I48" s="168" t="s">
        <v>1607</v>
      </c>
      <c r="J48" s="31">
        <v>226.12</v>
      </c>
    </row>
    <row r="49" spans="9:10" x14ac:dyDescent="0.25">
      <c r="I49" s="168" t="s">
        <v>1608</v>
      </c>
      <c r="J49" s="31"/>
    </row>
    <row r="50" spans="9:10" x14ac:dyDescent="0.25">
      <c r="I50" s="168" t="s">
        <v>1609</v>
      </c>
      <c r="J50" s="31">
        <v>40.51</v>
      </c>
    </row>
    <row r="51" spans="9:10" x14ac:dyDescent="0.25">
      <c r="I51" s="168" t="s">
        <v>1610</v>
      </c>
      <c r="J51" s="31">
        <v>143.24</v>
      </c>
    </row>
    <row r="52" spans="9:10" x14ac:dyDescent="0.25">
      <c r="I52" s="168" t="s">
        <v>1611</v>
      </c>
      <c r="J52" s="31">
        <v>38.47</v>
      </c>
    </row>
    <row r="53" spans="9:10" x14ac:dyDescent="0.25">
      <c r="I53" s="24" t="s">
        <v>182</v>
      </c>
      <c r="J53" s="31">
        <v>6485.4499999999989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2D7D-2739-4BF2-85E3-556B27066D63}">
  <dimension ref="A1:E6"/>
  <sheetViews>
    <sheetView workbookViewId="0">
      <selection activeCell="F24" sqref="F24"/>
    </sheetView>
  </sheetViews>
  <sheetFormatPr defaultRowHeight="15" x14ac:dyDescent="0.25"/>
  <cols>
    <col min="1" max="1" width="19.5703125" bestFit="1" customWidth="1"/>
    <col min="2" max="4" width="17.85546875" bestFit="1" customWidth="1"/>
    <col min="5" max="5" width="11.85546875" bestFit="1" customWidth="1"/>
    <col min="6" max="6" width="11.5703125" bestFit="1" customWidth="1"/>
    <col min="7" max="9" width="37.7109375" bestFit="1" customWidth="1"/>
    <col min="10" max="10" width="42.28515625" bestFit="1" customWidth="1"/>
    <col min="11" max="11" width="34.42578125" bestFit="1" customWidth="1"/>
  </cols>
  <sheetData>
    <row r="1" spans="1:5" x14ac:dyDescent="0.25">
      <c r="A1" s="50" t="s">
        <v>356</v>
      </c>
      <c r="B1" t="s">
        <v>1563</v>
      </c>
    </row>
    <row r="3" spans="1:5" x14ac:dyDescent="0.25">
      <c r="A3" s="50" t="s">
        <v>1638</v>
      </c>
      <c r="B3" s="50" t="s">
        <v>567</v>
      </c>
    </row>
    <row r="4" spans="1:5" x14ac:dyDescent="0.25">
      <c r="A4" s="50" t="s">
        <v>172</v>
      </c>
      <c r="B4" t="s">
        <v>3230</v>
      </c>
      <c r="C4" t="s">
        <v>2940</v>
      </c>
      <c r="D4" t="s">
        <v>3273</v>
      </c>
      <c r="E4" t="s">
        <v>182</v>
      </c>
    </row>
    <row r="5" spans="1:5" x14ac:dyDescent="0.25">
      <c r="A5" s="34" t="s">
        <v>1563</v>
      </c>
      <c r="B5" s="31">
        <v>1434.53</v>
      </c>
      <c r="C5" s="31">
        <v>5468.02</v>
      </c>
      <c r="D5" s="31">
        <v>175.24</v>
      </c>
      <c r="E5" s="31">
        <v>7077.79</v>
      </c>
    </row>
    <row r="6" spans="1:5" x14ac:dyDescent="0.25">
      <c r="A6" s="34" t="s">
        <v>182</v>
      </c>
      <c r="B6" s="31">
        <v>1434.53</v>
      </c>
      <c r="C6" s="31">
        <v>5468.02</v>
      </c>
      <c r="D6" s="31">
        <v>175.24</v>
      </c>
      <c r="E6" s="31">
        <v>7077.79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CAEE-19CE-4B05-8185-F7F93D1FC9DF}">
  <dimension ref="B1:F113"/>
  <sheetViews>
    <sheetView workbookViewId="0">
      <pane xSplit="1" ySplit="2" topLeftCell="B57" activePane="bottomRight" state="frozen"/>
      <selection pane="topRight" activeCell="B1" sqref="B1"/>
      <selection pane="bottomLeft" activeCell="A3" sqref="A3"/>
      <selection pane="bottomRight" activeCell="F90" sqref="F90:F91"/>
    </sheetView>
  </sheetViews>
  <sheetFormatPr defaultRowHeight="15" x14ac:dyDescent="0.25"/>
  <cols>
    <col min="1" max="1" width="2" customWidth="1"/>
    <col min="2" max="2" width="36.7109375" customWidth="1"/>
    <col min="3" max="3" width="31.85546875" customWidth="1"/>
    <col min="4" max="4" width="14.28515625" customWidth="1"/>
    <col min="5" max="5" width="11.140625" customWidth="1"/>
    <col min="6" max="6" width="14.7109375" customWidth="1"/>
  </cols>
  <sheetData>
    <row r="1" spans="2:6" ht="11.45" customHeight="1" x14ac:dyDescent="0.25">
      <c r="B1" s="420" t="s">
        <v>173</v>
      </c>
      <c r="C1" s="421" t="s">
        <v>83</v>
      </c>
      <c r="D1" s="421" t="s">
        <v>524</v>
      </c>
      <c r="E1" s="422" t="s">
        <v>3570</v>
      </c>
      <c r="F1" s="423" t="s">
        <v>3571</v>
      </c>
    </row>
    <row r="2" spans="2:6" ht="11.45" customHeight="1" x14ac:dyDescent="0.25">
      <c r="B2" s="420" t="s">
        <v>3092</v>
      </c>
      <c r="C2" s="421" t="s">
        <v>2815</v>
      </c>
      <c r="D2" s="421"/>
      <c r="E2" s="422">
        <v>11</v>
      </c>
      <c r="F2" s="423">
        <v>11</v>
      </c>
    </row>
    <row r="3" spans="2:6" ht="11.45" customHeight="1" x14ac:dyDescent="0.25">
      <c r="B3" s="424" t="s">
        <v>3140</v>
      </c>
      <c r="C3" s="425" t="s">
        <v>3141</v>
      </c>
      <c r="D3" s="425" t="s">
        <v>1755</v>
      </c>
      <c r="E3" s="426">
        <v>11</v>
      </c>
      <c r="F3" s="427">
        <v>1.5</v>
      </c>
    </row>
    <row r="4" spans="2:6" ht="11.45" customHeight="1" x14ac:dyDescent="0.25">
      <c r="B4" s="424" t="s">
        <v>3142</v>
      </c>
      <c r="C4" s="425" t="s">
        <v>3143</v>
      </c>
      <c r="D4" s="425" t="s">
        <v>909</v>
      </c>
      <c r="E4" s="426">
        <v>11</v>
      </c>
      <c r="F4" s="427">
        <v>1.5</v>
      </c>
    </row>
    <row r="5" spans="2:6" ht="11.45" customHeight="1" x14ac:dyDescent="0.25">
      <c r="B5" s="424" t="s">
        <v>3144</v>
      </c>
      <c r="C5" s="425" t="s">
        <v>3145</v>
      </c>
      <c r="D5" s="425" t="s">
        <v>900</v>
      </c>
      <c r="E5" s="426">
        <v>11</v>
      </c>
      <c r="F5" s="428">
        <v>8</v>
      </c>
    </row>
    <row r="6" spans="2:6" ht="11.45" customHeight="1" x14ac:dyDescent="0.25">
      <c r="B6" s="420" t="s">
        <v>3093</v>
      </c>
      <c r="C6" s="421" t="s">
        <v>2815</v>
      </c>
      <c r="D6" s="421"/>
      <c r="E6" s="422">
        <v>56</v>
      </c>
      <c r="F6" s="423">
        <v>56</v>
      </c>
    </row>
    <row r="7" spans="2:6" ht="11.45" customHeight="1" x14ac:dyDescent="0.25">
      <c r="B7" s="424" t="s">
        <v>3140</v>
      </c>
      <c r="C7" s="425" t="s">
        <v>3141</v>
      </c>
      <c r="D7" s="425" t="s">
        <v>1755</v>
      </c>
      <c r="E7" s="426">
        <v>56</v>
      </c>
      <c r="F7" s="427">
        <v>1.5</v>
      </c>
    </row>
    <row r="8" spans="2:6" ht="11.45" customHeight="1" x14ac:dyDescent="0.25">
      <c r="B8" s="424" t="s">
        <v>3142</v>
      </c>
      <c r="C8" s="425" t="s">
        <v>3146</v>
      </c>
      <c r="D8" s="425" t="s">
        <v>524</v>
      </c>
      <c r="E8" s="426">
        <v>56</v>
      </c>
      <c r="F8" s="428">
        <v>24</v>
      </c>
    </row>
    <row r="9" spans="2:6" ht="11.45" customHeight="1" x14ac:dyDescent="0.25">
      <c r="B9" s="424" t="s">
        <v>3142</v>
      </c>
      <c r="C9" s="425" t="s">
        <v>3147</v>
      </c>
      <c r="D9" s="425" t="s">
        <v>524</v>
      </c>
      <c r="E9" s="426">
        <v>56</v>
      </c>
      <c r="F9" s="427">
        <v>30.5</v>
      </c>
    </row>
    <row r="10" spans="2:6" ht="11.45" customHeight="1" x14ac:dyDescent="0.25">
      <c r="B10" s="420" t="s">
        <v>3094</v>
      </c>
      <c r="C10" s="421" t="s">
        <v>2815</v>
      </c>
      <c r="D10" s="421"/>
      <c r="E10" s="422">
        <v>14</v>
      </c>
      <c r="F10" s="423">
        <v>14</v>
      </c>
    </row>
    <row r="11" spans="2:6" ht="11.45" customHeight="1" x14ac:dyDescent="0.25">
      <c r="B11" s="424" t="s">
        <v>3142</v>
      </c>
      <c r="C11" s="425" t="s">
        <v>3148</v>
      </c>
      <c r="D11" s="425" t="s">
        <v>524</v>
      </c>
      <c r="E11" s="426">
        <v>14</v>
      </c>
      <c r="F11" s="428">
        <v>14</v>
      </c>
    </row>
    <row r="12" spans="2:6" ht="11.45" customHeight="1" x14ac:dyDescent="0.25">
      <c r="B12" s="420" t="s">
        <v>3095</v>
      </c>
      <c r="C12" s="421" t="s">
        <v>2815</v>
      </c>
      <c r="D12" s="421"/>
      <c r="E12" s="422">
        <v>40</v>
      </c>
      <c r="F12" s="423">
        <v>40</v>
      </c>
    </row>
    <row r="13" spans="2:6" ht="11.45" customHeight="1" x14ac:dyDescent="0.25">
      <c r="B13" s="424" t="s">
        <v>3142</v>
      </c>
      <c r="C13" s="425" t="s">
        <v>3148</v>
      </c>
      <c r="D13" s="425" t="s">
        <v>524</v>
      </c>
      <c r="E13" s="426">
        <v>40</v>
      </c>
      <c r="F13" s="428">
        <v>10</v>
      </c>
    </row>
    <row r="14" spans="2:6" ht="11.45" customHeight="1" x14ac:dyDescent="0.25">
      <c r="B14" s="424" t="s">
        <v>3142</v>
      </c>
      <c r="C14" s="425" t="s">
        <v>3149</v>
      </c>
      <c r="D14" s="425" t="s">
        <v>909</v>
      </c>
      <c r="E14" s="426">
        <v>40</v>
      </c>
      <c r="F14" s="428">
        <v>30</v>
      </c>
    </row>
    <row r="15" spans="2:6" ht="11.45" customHeight="1" x14ac:dyDescent="0.25">
      <c r="B15" s="420" t="s">
        <v>3096</v>
      </c>
      <c r="C15" s="421" t="s">
        <v>2815</v>
      </c>
      <c r="D15" s="421"/>
      <c r="E15" s="422">
        <v>4</v>
      </c>
      <c r="F15" s="423">
        <v>4</v>
      </c>
    </row>
    <row r="16" spans="2:6" ht="11.45" customHeight="1" x14ac:dyDescent="0.25">
      <c r="B16" s="424" t="s">
        <v>3140</v>
      </c>
      <c r="C16" s="425" t="s">
        <v>3141</v>
      </c>
      <c r="D16" s="425" t="s">
        <v>1755</v>
      </c>
      <c r="E16" s="426">
        <v>4</v>
      </c>
      <c r="F16" s="428">
        <v>4</v>
      </c>
    </row>
    <row r="17" spans="2:6" ht="11.45" customHeight="1" x14ac:dyDescent="0.25">
      <c r="B17" s="420" t="s">
        <v>3097</v>
      </c>
      <c r="C17" s="421" t="s">
        <v>2815</v>
      </c>
      <c r="D17" s="421"/>
      <c r="E17" s="422">
        <v>63</v>
      </c>
      <c r="F17" s="423">
        <v>63</v>
      </c>
    </row>
    <row r="18" spans="2:6" ht="11.45" customHeight="1" x14ac:dyDescent="0.25">
      <c r="B18" s="424" t="s">
        <v>3142</v>
      </c>
      <c r="C18" s="425" t="s">
        <v>3143</v>
      </c>
      <c r="D18" s="425" t="s">
        <v>909</v>
      </c>
      <c r="E18" s="426">
        <v>63</v>
      </c>
      <c r="F18" s="428">
        <v>21</v>
      </c>
    </row>
    <row r="19" spans="2:6" ht="11.45" customHeight="1" x14ac:dyDescent="0.25">
      <c r="B19" s="424" t="s">
        <v>3142</v>
      </c>
      <c r="C19" s="425" t="s">
        <v>3149</v>
      </c>
      <c r="D19" s="425" t="s">
        <v>909</v>
      </c>
      <c r="E19" s="426">
        <v>63</v>
      </c>
      <c r="F19" s="428">
        <v>42</v>
      </c>
    </row>
    <row r="20" spans="2:6" ht="11.45" customHeight="1" x14ac:dyDescent="0.25">
      <c r="B20" s="420" t="s">
        <v>3098</v>
      </c>
      <c r="C20" s="421" t="s">
        <v>2815</v>
      </c>
      <c r="D20" s="421"/>
      <c r="E20" s="422">
        <v>47</v>
      </c>
      <c r="F20" s="423">
        <v>94</v>
      </c>
    </row>
    <row r="21" spans="2:6" ht="11.45" customHeight="1" x14ac:dyDescent="0.25">
      <c r="B21" s="424" t="s">
        <v>3142</v>
      </c>
      <c r="C21" s="425" t="s">
        <v>3150</v>
      </c>
      <c r="D21" s="425" t="s">
        <v>901</v>
      </c>
      <c r="E21" s="426">
        <v>47</v>
      </c>
      <c r="F21" s="428">
        <v>47</v>
      </c>
    </row>
    <row r="22" spans="2:6" ht="11.45" customHeight="1" x14ac:dyDescent="0.25">
      <c r="B22" s="424" t="s">
        <v>3142</v>
      </c>
      <c r="C22" s="425" t="s">
        <v>3151</v>
      </c>
      <c r="D22" s="425" t="s">
        <v>901</v>
      </c>
      <c r="E22" s="426">
        <v>47</v>
      </c>
      <c r="F22" s="428">
        <v>36</v>
      </c>
    </row>
    <row r="23" spans="2:6" ht="11.45" customHeight="1" x14ac:dyDescent="0.25">
      <c r="B23" s="424" t="s">
        <v>3142</v>
      </c>
      <c r="C23" s="425" t="s">
        <v>3152</v>
      </c>
      <c r="D23" s="425" t="s">
        <v>901</v>
      </c>
      <c r="E23" s="426">
        <v>47</v>
      </c>
      <c r="F23" s="428">
        <v>11</v>
      </c>
    </row>
    <row r="24" spans="2:6" ht="11.45" customHeight="1" x14ac:dyDescent="0.25">
      <c r="B24" s="420" t="s">
        <v>2974</v>
      </c>
      <c r="C24" s="421" t="s">
        <v>2815</v>
      </c>
      <c r="D24" s="421"/>
      <c r="E24" s="422">
        <v>36</v>
      </c>
      <c r="F24" s="423">
        <v>36</v>
      </c>
    </row>
    <row r="25" spans="2:6" ht="11.45" customHeight="1" x14ac:dyDescent="0.25">
      <c r="B25" s="424" t="s">
        <v>3140</v>
      </c>
      <c r="C25" s="425" t="s">
        <v>3153</v>
      </c>
      <c r="D25" s="425" t="s">
        <v>747</v>
      </c>
      <c r="E25" s="426">
        <v>36</v>
      </c>
      <c r="F25" s="428">
        <v>31</v>
      </c>
    </row>
    <row r="26" spans="2:6" ht="11.45" customHeight="1" x14ac:dyDescent="0.25">
      <c r="B26" s="424" t="s">
        <v>3142</v>
      </c>
      <c r="C26" s="425" t="s">
        <v>3154</v>
      </c>
      <c r="D26" s="425" t="s">
        <v>782</v>
      </c>
      <c r="E26" s="426">
        <v>36</v>
      </c>
      <c r="F26" s="428">
        <v>5</v>
      </c>
    </row>
    <row r="27" spans="2:6" ht="11.45" customHeight="1" x14ac:dyDescent="0.25">
      <c r="B27" s="420" t="s">
        <v>3099</v>
      </c>
      <c r="C27" s="421" t="s">
        <v>2815</v>
      </c>
      <c r="D27" s="421"/>
      <c r="E27" s="422">
        <v>41</v>
      </c>
      <c r="F27" s="423">
        <v>41</v>
      </c>
    </row>
    <row r="28" spans="2:6" ht="11.45" customHeight="1" x14ac:dyDescent="0.25">
      <c r="B28" s="424" t="s">
        <v>3140</v>
      </c>
      <c r="C28" s="425" t="s">
        <v>3153</v>
      </c>
      <c r="D28" s="425" t="s">
        <v>747</v>
      </c>
      <c r="E28" s="426">
        <v>41</v>
      </c>
      <c r="F28" s="428">
        <v>20</v>
      </c>
    </row>
    <row r="29" spans="2:6" ht="11.45" customHeight="1" x14ac:dyDescent="0.25">
      <c r="B29" s="424" t="s">
        <v>3142</v>
      </c>
      <c r="C29" s="425" t="s">
        <v>3155</v>
      </c>
      <c r="D29" s="425" t="s">
        <v>901</v>
      </c>
      <c r="E29" s="426">
        <v>41</v>
      </c>
      <c r="F29" s="428">
        <v>21</v>
      </c>
    </row>
    <row r="30" spans="2:6" ht="11.45" customHeight="1" x14ac:dyDescent="0.25">
      <c r="B30" s="420" t="s">
        <v>3100</v>
      </c>
      <c r="C30" s="421" t="s">
        <v>2815</v>
      </c>
      <c r="D30" s="421"/>
      <c r="E30" s="422">
        <v>39</v>
      </c>
      <c r="F30" s="423">
        <v>39</v>
      </c>
    </row>
    <row r="31" spans="2:6" ht="11.45" customHeight="1" x14ac:dyDescent="0.25">
      <c r="B31" s="424" t="s">
        <v>3142</v>
      </c>
      <c r="C31" s="425" t="s">
        <v>3155</v>
      </c>
      <c r="D31" s="425" t="s">
        <v>901</v>
      </c>
      <c r="E31" s="426">
        <v>39</v>
      </c>
      <c r="F31" s="428">
        <v>39</v>
      </c>
    </row>
    <row r="32" spans="2:6" ht="11.45" customHeight="1" x14ac:dyDescent="0.25">
      <c r="B32" s="420" t="s">
        <v>2968</v>
      </c>
      <c r="C32" s="421" t="s">
        <v>2815</v>
      </c>
      <c r="D32" s="421"/>
      <c r="E32" s="422">
        <v>79</v>
      </c>
      <c r="F32" s="423">
        <v>158</v>
      </c>
    </row>
    <row r="33" spans="2:6" ht="11.45" customHeight="1" x14ac:dyDescent="0.25">
      <c r="B33" s="424" t="s">
        <v>3142</v>
      </c>
      <c r="C33" s="425" t="s">
        <v>3146</v>
      </c>
      <c r="D33" s="425" t="s">
        <v>524</v>
      </c>
      <c r="E33" s="426">
        <v>79</v>
      </c>
      <c r="F33" s="428">
        <v>34</v>
      </c>
    </row>
    <row r="34" spans="2:6" ht="11.45" customHeight="1" x14ac:dyDescent="0.25">
      <c r="B34" s="424" t="s">
        <v>3142</v>
      </c>
      <c r="C34" s="425" t="s">
        <v>3148</v>
      </c>
      <c r="D34" s="425" t="s">
        <v>524</v>
      </c>
      <c r="E34" s="426">
        <v>79</v>
      </c>
      <c r="F34" s="428">
        <v>45</v>
      </c>
    </row>
    <row r="35" spans="2:6" ht="11.45" customHeight="1" x14ac:dyDescent="0.25">
      <c r="B35" s="424" t="s">
        <v>3144</v>
      </c>
      <c r="C35" s="425" t="s">
        <v>21</v>
      </c>
      <c r="D35" s="425"/>
      <c r="E35" s="426">
        <v>79</v>
      </c>
      <c r="F35" s="428">
        <v>79</v>
      </c>
    </row>
    <row r="36" spans="2:6" ht="11.45" customHeight="1" x14ac:dyDescent="0.25">
      <c r="B36" s="420" t="s">
        <v>3101</v>
      </c>
      <c r="C36" s="421" t="s">
        <v>2815</v>
      </c>
      <c r="D36" s="421"/>
      <c r="E36" s="422">
        <v>38</v>
      </c>
      <c r="F36" s="423">
        <v>76</v>
      </c>
    </row>
    <row r="37" spans="2:6" ht="11.45" customHeight="1" x14ac:dyDescent="0.25">
      <c r="B37" s="424" t="s">
        <v>3142</v>
      </c>
      <c r="C37" s="425" t="s">
        <v>3148</v>
      </c>
      <c r="D37" s="425" t="s">
        <v>524</v>
      </c>
      <c r="E37" s="426">
        <v>38</v>
      </c>
      <c r="F37" s="428">
        <v>38</v>
      </c>
    </row>
    <row r="38" spans="2:6" ht="11.45" customHeight="1" x14ac:dyDescent="0.25">
      <c r="B38" s="424" t="s">
        <v>3144</v>
      </c>
      <c r="C38" s="425" t="s">
        <v>21</v>
      </c>
      <c r="D38" s="425"/>
      <c r="E38" s="426">
        <v>38</v>
      </c>
      <c r="F38" s="428">
        <v>38</v>
      </c>
    </row>
    <row r="39" spans="2:6" ht="11.45" customHeight="1" x14ac:dyDescent="0.25">
      <c r="B39" s="420" t="s">
        <v>2935</v>
      </c>
      <c r="C39" s="421" t="s">
        <v>2815</v>
      </c>
      <c r="D39" s="421"/>
      <c r="E39" s="422">
        <v>111</v>
      </c>
      <c r="F39" s="423">
        <v>111</v>
      </c>
    </row>
    <row r="40" spans="2:6" ht="11.45" customHeight="1" x14ac:dyDescent="0.25">
      <c r="B40" s="424" t="s">
        <v>3142</v>
      </c>
      <c r="C40" s="425" t="s">
        <v>3156</v>
      </c>
      <c r="D40" s="425" t="s">
        <v>782</v>
      </c>
      <c r="E40" s="426">
        <v>111</v>
      </c>
      <c r="F40" s="428">
        <v>62</v>
      </c>
    </row>
    <row r="41" spans="2:6" ht="11.45" customHeight="1" x14ac:dyDescent="0.25">
      <c r="B41" s="424" t="s">
        <v>3142</v>
      </c>
      <c r="C41" s="425" t="s">
        <v>3157</v>
      </c>
      <c r="D41" s="425" t="s">
        <v>782</v>
      </c>
      <c r="E41" s="426">
        <v>111</v>
      </c>
      <c r="F41" s="428">
        <v>39</v>
      </c>
    </row>
    <row r="42" spans="2:6" ht="11.45" customHeight="1" x14ac:dyDescent="0.25">
      <c r="B42" s="424" t="s">
        <v>3142</v>
      </c>
      <c r="C42" s="425" t="s">
        <v>3154</v>
      </c>
      <c r="D42" s="425" t="s">
        <v>782</v>
      </c>
      <c r="E42" s="426">
        <v>111</v>
      </c>
      <c r="F42" s="428">
        <v>10</v>
      </c>
    </row>
    <row r="43" spans="2:6" ht="11.45" customHeight="1" x14ac:dyDescent="0.25">
      <c r="B43" s="420" t="s">
        <v>3102</v>
      </c>
      <c r="C43" s="421" t="s">
        <v>2815</v>
      </c>
      <c r="D43" s="421"/>
      <c r="E43" s="422">
        <v>63</v>
      </c>
      <c r="F43" s="423">
        <v>126</v>
      </c>
    </row>
    <row r="44" spans="2:6" ht="11.45" customHeight="1" x14ac:dyDescent="0.25">
      <c r="B44" s="424" t="s">
        <v>3142</v>
      </c>
      <c r="C44" s="425" t="s">
        <v>3146</v>
      </c>
      <c r="D44" s="425" t="s">
        <v>524</v>
      </c>
      <c r="E44" s="426">
        <v>63</v>
      </c>
      <c r="F44" s="428">
        <v>63</v>
      </c>
    </row>
    <row r="45" spans="2:6" ht="11.45" customHeight="1" x14ac:dyDescent="0.25">
      <c r="B45" s="424" t="s">
        <v>3144</v>
      </c>
      <c r="C45" s="425" t="s">
        <v>21</v>
      </c>
      <c r="D45" s="425"/>
      <c r="E45" s="426">
        <v>63</v>
      </c>
      <c r="F45" s="428">
        <v>63</v>
      </c>
    </row>
    <row r="46" spans="2:6" ht="11.45" customHeight="1" x14ac:dyDescent="0.25">
      <c r="B46" s="420" t="s">
        <v>3103</v>
      </c>
      <c r="C46" s="421" t="s">
        <v>2815</v>
      </c>
      <c r="D46" s="421"/>
      <c r="E46" s="422">
        <v>41</v>
      </c>
      <c r="F46" s="423">
        <v>82</v>
      </c>
    </row>
    <row r="47" spans="2:6" ht="11.45" customHeight="1" x14ac:dyDescent="0.25">
      <c r="B47" s="424" t="s">
        <v>3142</v>
      </c>
      <c r="C47" s="425" t="s">
        <v>3148</v>
      </c>
      <c r="D47" s="425" t="s">
        <v>524</v>
      </c>
      <c r="E47" s="426">
        <v>41</v>
      </c>
      <c r="F47" s="428">
        <v>41</v>
      </c>
    </row>
    <row r="48" spans="2:6" ht="11.45" customHeight="1" x14ac:dyDescent="0.25">
      <c r="B48" s="424" t="s">
        <v>3144</v>
      </c>
      <c r="C48" s="425" t="s">
        <v>21</v>
      </c>
      <c r="D48" s="425"/>
      <c r="E48" s="426">
        <v>41</v>
      </c>
      <c r="F48" s="428">
        <v>41</v>
      </c>
    </row>
    <row r="49" spans="2:6" ht="11.45" customHeight="1" x14ac:dyDescent="0.25">
      <c r="B49" s="420" t="s">
        <v>3104</v>
      </c>
      <c r="C49" s="421" t="s">
        <v>2815</v>
      </c>
      <c r="D49" s="421"/>
      <c r="E49" s="422">
        <v>14</v>
      </c>
      <c r="F49" s="423">
        <v>28</v>
      </c>
    </row>
    <row r="50" spans="2:6" ht="11.45" customHeight="1" x14ac:dyDescent="0.25">
      <c r="B50" s="424" t="s">
        <v>3142</v>
      </c>
      <c r="C50" s="425" t="s">
        <v>3148</v>
      </c>
      <c r="D50" s="425" t="s">
        <v>524</v>
      </c>
      <c r="E50" s="426">
        <v>14</v>
      </c>
      <c r="F50" s="428">
        <v>14</v>
      </c>
    </row>
    <row r="51" spans="2:6" ht="11.45" customHeight="1" x14ac:dyDescent="0.25">
      <c r="B51" s="424" t="s">
        <v>3144</v>
      </c>
      <c r="C51" s="425" t="s">
        <v>21</v>
      </c>
      <c r="D51" s="425"/>
      <c r="E51" s="426">
        <v>14</v>
      </c>
      <c r="F51" s="428">
        <v>14</v>
      </c>
    </row>
    <row r="52" spans="2:6" ht="11.45" customHeight="1" x14ac:dyDescent="0.25">
      <c r="B52" s="420" t="s">
        <v>3105</v>
      </c>
      <c r="C52" s="421" t="s">
        <v>2815</v>
      </c>
      <c r="D52" s="421"/>
      <c r="E52" s="422">
        <v>24</v>
      </c>
      <c r="F52" s="423">
        <v>24</v>
      </c>
    </row>
    <row r="53" spans="2:6" ht="11.45" customHeight="1" x14ac:dyDescent="0.25">
      <c r="B53" s="424" t="s">
        <v>3142</v>
      </c>
      <c r="C53" s="425" t="s">
        <v>3155</v>
      </c>
      <c r="D53" s="425" t="s">
        <v>901</v>
      </c>
      <c r="E53" s="426">
        <v>24</v>
      </c>
      <c r="F53" s="428">
        <v>24</v>
      </c>
    </row>
    <row r="54" spans="2:6" ht="11.45" customHeight="1" x14ac:dyDescent="0.25">
      <c r="B54" s="420" t="s">
        <v>3106</v>
      </c>
      <c r="C54" s="421" t="s">
        <v>2815</v>
      </c>
      <c r="D54" s="421"/>
      <c r="E54" s="422">
        <v>57</v>
      </c>
      <c r="F54" s="423">
        <v>57</v>
      </c>
    </row>
    <row r="55" spans="2:6" ht="11.45" customHeight="1" x14ac:dyDescent="0.25">
      <c r="B55" s="424" t="s">
        <v>3142</v>
      </c>
      <c r="C55" s="425" t="s">
        <v>3146</v>
      </c>
      <c r="D55" s="425" t="s">
        <v>524</v>
      </c>
      <c r="E55" s="426">
        <v>57</v>
      </c>
      <c r="F55" s="427">
        <v>17.3</v>
      </c>
    </row>
    <row r="56" spans="2:6" ht="11.45" customHeight="1" x14ac:dyDescent="0.25">
      <c r="B56" s="424" t="s">
        <v>3142</v>
      </c>
      <c r="C56" s="425" t="s">
        <v>3147</v>
      </c>
      <c r="D56" s="425" t="s">
        <v>524</v>
      </c>
      <c r="E56" s="426">
        <v>57</v>
      </c>
      <c r="F56" s="427">
        <v>34.700000000000003</v>
      </c>
    </row>
    <row r="57" spans="2:6" ht="11.45" customHeight="1" x14ac:dyDescent="0.25">
      <c r="B57" s="424" t="s">
        <v>3142</v>
      </c>
      <c r="C57" s="425" t="s">
        <v>3155</v>
      </c>
      <c r="D57" s="425" t="s">
        <v>901</v>
      </c>
      <c r="E57" s="426">
        <v>57</v>
      </c>
      <c r="F57" s="428">
        <v>5</v>
      </c>
    </row>
    <row r="58" spans="2:6" ht="11.45" customHeight="1" x14ac:dyDescent="0.25">
      <c r="B58" s="420" t="s">
        <v>3092</v>
      </c>
      <c r="C58" s="421" t="s">
        <v>3107</v>
      </c>
      <c r="D58" s="421"/>
      <c r="E58" s="422">
        <v>49</v>
      </c>
      <c r="F58" s="423">
        <v>98</v>
      </c>
    </row>
    <row r="59" spans="2:6" ht="11.45" customHeight="1" x14ac:dyDescent="0.25">
      <c r="B59" s="424" t="s">
        <v>3142</v>
      </c>
      <c r="C59" s="425" t="s">
        <v>3150</v>
      </c>
      <c r="D59" s="425" t="s">
        <v>901</v>
      </c>
      <c r="E59" s="426">
        <v>49</v>
      </c>
      <c r="F59" s="428">
        <v>49</v>
      </c>
    </row>
    <row r="60" spans="2:6" ht="11.45" customHeight="1" x14ac:dyDescent="0.25">
      <c r="B60" s="424" t="s">
        <v>3142</v>
      </c>
      <c r="C60" s="425" t="s">
        <v>3151</v>
      </c>
      <c r="D60" s="425" t="s">
        <v>901</v>
      </c>
      <c r="E60" s="426">
        <v>49</v>
      </c>
      <c r="F60" s="428">
        <v>16</v>
      </c>
    </row>
    <row r="61" spans="2:6" ht="11.45" customHeight="1" x14ac:dyDescent="0.25">
      <c r="B61" s="424" t="s">
        <v>3144</v>
      </c>
      <c r="C61" s="425" t="s">
        <v>3145</v>
      </c>
      <c r="D61" s="425" t="s">
        <v>900</v>
      </c>
      <c r="E61" s="426">
        <v>49</v>
      </c>
      <c r="F61" s="428">
        <v>33</v>
      </c>
    </row>
    <row r="62" spans="2:6" ht="11.45" customHeight="1" x14ac:dyDescent="0.25">
      <c r="B62" s="420" t="s">
        <v>3108</v>
      </c>
      <c r="C62" s="421" t="s">
        <v>3107</v>
      </c>
      <c r="D62" s="421"/>
      <c r="E62" s="422">
        <v>102</v>
      </c>
      <c r="F62" s="423">
        <v>204</v>
      </c>
    </row>
    <row r="63" spans="2:6" ht="11.45" customHeight="1" x14ac:dyDescent="0.25">
      <c r="B63" s="424" t="s">
        <v>3142</v>
      </c>
      <c r="C63" s="425" t="s">
        <v>3150</v>
      </c>
      <c r="D63" s="425" t="s">
        <v>901</v>
      </c>
      <c r="E63" s="426">
        <v>102</v>
      </c>
      <c r="F63" s="428">
        <v>102</v>
      </c>
    </row>
    <row r="64" spans="2:6" ht="11.45" customHeight="1" x14ac:dyDescent="0.25">
      <c r="B64" s="424" t="s">
        <v>3144</v>
      </c>
      <c r="C64" s="425" t="s">
        <v>3145</v>
      </c>
      <c r="D64" s="425" t="s">
        <v>900</v>
      </c>
      <c r="E64" s="426">
        <v>102</v>
      </c>
      <c r="F64" s="428">
        <v>102</v>
      </c>
    </row>
    <row r="65" spans="2:6" ht="11.45" customHeight="1" x14ac:dyDescent="0.25">
      <c r="B65" s="420" t="s">
        <v>3109</v>
      </c>
      <c r="C65" s="421" t="s">
        <v>3107</v>
      </c>
      <c r="D65" s="421"/>
      <c r="E65" s="422">
        <v>20</v>
      </c>
      <c r="F65" s="423">
        <v>40</v>
      </c>
    </row>
    <row r="66" spans="2:6" ht="11.45" customHeight="1" x14ac:dyDescent="0.25">
      <c r="B66" s="424" t="s">
        <v>3142</v>
      </c>
      <c r="C66" s="425" t="s">
        <v>3149</v>
      </c>
      <c r="D66" s="425" t="s">
        <v>909</v>
      </c>
      <c r="E66" s="426">
        <v>20</v>
      </c>
      <c r="F66" s="428">
        <v>20</v>
      </c>
    </row>
    <row r="67" spans="2:6" ht="11.45" customHeight="1" x14ac:dyDescent="0.25">
      <c r="B67" s="424" t="s">
        <v>3560</v>
      </c>
      <c r="C67" s="425" t="s">
        <v>3561</v>
      </c>
      <c r="D67" s="425"/>
      <c r="E67" s="426">
        <v>20</v>
      </c>
      <c r="F67" s="428">
        <v>20</v>
      </c>
    </row>
    <row r="68" spans="2:6" ht="11.45" customHeight="1" x14ac:dyDescent="0.25">
      <c r="B68" s="420" t="s">
        <v>3110</v>
      </c>
      <c r="C68" s="421" t="s">
        <v>3107</v>
      </c>
      <c r="D68" s="421"/>
      <c r="E68" s="422">
        <v>62</v>
      </c>
      <c r="F68" s="423">
        <v>124</v>
      </c>
    </row>
    <row r="69" spans="2:6" ht="11.45" customHeight="1" x14ac:dyDescent="0.25">
      <c r="B69" s="424" t="s">
        <v>3142</v>
      </c>
      <c r="C69" s="425" t="s">
        <v>3562</v>
      </c>
      <c r="D69" s="425" t="s">
        <v>1765</v>
      </c>
      <c r="E69" s="426">
        <v>62</v>
      </c>
      <c r="F69" s="428">
        <v>50</v>
      </c>
    </row>
    <row r="70" spans="2:6" ht="11.45" customHeight="1" x14ac:dyDescent="0.25">
      <c r="B70" s="443" t="s">
        <v>3142</v>
      </c>
      <c r="C70" s="444" t="s">
        <v>3150</v>
      </c>
      <c r="D70" s="444" t="s">
        <v>901</v>
      </c>
      <c r="E70" s="445">
        <v>62</v>
      </c>
      <c r="F70" s="446">
        <v>12</v>
      </c>
    </row>
    <row r="71" spans="2:6" ht="11.45" customHeight="1" x14ac:dyDescent="0.25">
      <c r="B71" s="424" t="s">
        <v>3142</v>
      </c>
      <c r="C71" s="425" t="s">
        <v>3151</v>
      </c>
      <c r="D71" s="425" t="s">
        <v>901</v>
      </c>
      <c r="E71" s="426">
        <v>62</v>
      </c>
      <c r="F71" s="428">
        <v>62</v>
      </c>
    </row>
    <row r="72" spans="2:6" ht="11.45" customHeight="1" x14ac:dyDescent="0.25">
      <c r="B72" s="420" t="s">
        <v>864</v>
      </c>
      <c r="C72" s="421" t="s">
        <v>3107</v>
      </c>
      <c r="D72" s="421"/>
      <c r="E72" s="422">
        <v>55</v>
      </c>
      <c r="F72" s="423">
        <v>55</v>
      </c>
    </row>
    <row r="73" spans="2:6" ht="11.45" customHeight="1" x14ac:dyDescent="0.25">
      <c r="B73" s="424" t="s">
        <v>3140</v>
      </c>
      <c r="C73" s="425" t="s">
        <v>3141</v>
      </c>
      <c r="D73" s="425" t="s">
        <v>1755</v>
      </c>
      <c r="E73" s="426">
        <v>55</v>
      </c>
      <c r="F73" s="428">
        <v>54</v>
      </c>
    </row>
    <row r="74" spans="2:6" ht="11.45" customHeight="1" x14ac:dyDescent="0.25">
      <c r="B74" s="424" t="s">
        <v>3142</v>
      </c>
      <c r="C74" s="425" t="s">
        <v>3563</v>
      </c>
      <c r="D74" s="425" t="s">
        <v>909</v>
      </c>
      <c r="E74" s="426">
        <v>55</v>
      </c>
      <c r="F74" s="428">
        <v>1</v>
      </c>
    </row>
    <row r="75" spans="2:6" ht="11.45" customHeight="1" x14ac:dyDescent="0.25">
      <c r="B75" s="420" t="s">
        <v>2884</v>
      </c>
      <c r="C75" s="421" t="s">
        <v>3107</v>
      </c>
      <c r="D75" s="421"/>
      <c r="E75" s="422">
        <v>39</v>
      </c>
      <c r="F75" s="423">
        <v>78</v>
      </c>
    </row>
    <row r="76" spans="2:6" ht="11.45" customHeight="1" x14ac:dyDescent="0.25">
      <c r="B76" s="424" t="s">
        <v>3142</v>
      </c>
      <c r="C76" s="425" t="s">
        <v>3563</v>
      </c>
      <c r="D76" s="425" t="s">
        <v>909</v>
      </c>
      <c r="E76" s="426">
        <v>39</v>
      </c>
      <c r="F76" s="428">
        <v>39</v>
      </c>
    </row>
    <row r="77" spans="2:6" ht="11.45" customHeight="1" x14ac:dyDescent="0.25">
      <c r="B77" s="424" t="s">
        <v>3560</v>
      </c>
      <c r="C77" s="425" t="s">
        <v>3561</v>
      </c>
      <c r="D77" s="425"/>
      <c r="E77" s="426">
        <v>39</v>
      </c>
      <c r="F77" s="428">
        <v>39</v>
      </c>
    </row>
    <row r="78" spans="2:6" ht="11.45" customHeight="1" x14ac:dyDescent="0.25">
      <c r="B78" s="420" t="s">
        <v>3111</v>
      </c>
      <c r="C78" s="421" t="s">
        <v>3107</v>
      </c>
      <c r="D78" s="421"/>
      <c r="E78" s="422">
        <v>54</v>
      </c>
      <c r="F78" s="423">
        <v>108</v>
      </c>
    </row>
    <row r="79" spans="2:6" ht="11.45" customHeight="1" x14ac:dyDescent="0.25">
      <c r="B79" s="424" t="s">
        <v>3140</v>
      </c>
      <c r="C79" s="425" t="s">
        <v>3153</v>
      </c>
      <c r="D79" s="425" t="s">
        <v>747</v>
      </c>
      <c r="E79" s="426">
        <v>54</v>
      </c>
      <c r="F79" s="427">
        <v>30.2</v>
      </c>
    </row>
    <row r="80" spans="2:6" ht="11.45" customHeight="1" x14ac:dyDescent="0.25">
      <c r="B80" s="424" t="s">
        <v>3142</v>
      </c>
      <c r="C80" s="425" t="s">
        <v>3153</v>
      </c>
      <c r="D80" s="425" t="s">
        <v>747</v>
      </c>
      <c r="E80" s="426">
        <v>54</v>
      </c>
      <c r="F80" s="427">
        <v>23.8</v>
      </c>
    </row>
    <row r="81" spans="2:6" ht="11.45" customHeight="1" x14ac:dyDescent="0.25">
      <c r="B81" s="424" t="s">
        <v>3142</v>
      </c>
      <c r="C81" s="425" t="s">
        <v>3150</v>
      </c>
      <c r="D81" s="425" t="s">
        <v>901</v>
      </c>
      <c r="E81" s="426">
        <v>54</v>
      </c>
      <c r="F81" s="428">
        <v>54</v>
      </c>
    </row>
    <row r="82" spans="2:6" ht="11.45" customHeight="1" x14ac:dyDescent="0.25">
      <c r="B82" s="420" t="s">
        <v>3112</v>
      </c>
      <c r="C82" s="421" t="s">
        <v>3107</v>
      </c>
      <c r="D82" s="421"/>
      <c r="E82" s="422">
        <v>19</v>
      </c>
      <c r="F82" s="423">
        <v>38</v>
      </c>
    </row>
    <row r="83" spans="2:6" ht="11.45" customHeight="1" x14ac:dyDescent="0.25">
      <c r="B83" s="424" t="s">
        <v>3142</v>
      </c>
      <c r="C83" s="425" t="s">
        <v>3563</v>
      </c>
      <c r="D83" s="425" t="s">
        <v>909</v>
      </c>
      <c r="E83" s="426">
        <v>19</v>
      </c>
      <c r="F83" s="428">
        <v>19</v>
      </c>
    </row>
    <row r="84" spans="2:6" ht="11.45" customHeight="1" x14ac:dyDescent="0.25">
      <c r="B84" s="424" t="s">
        <v>3560</v>
      </c>
      <c r="C84" s="425" t="s">
        <v>3561</v>
      </c>
      <c r="D84" s="425"/>
      <c r="E84" s="426">
        <v>19</v>
      </c>
      <c r="F84" s="428">
        <v>19</v>
      </c>
    </row>
    <row r="85" spans="2:6" ht="11.45" customHeight="1" x14ac:dyDescent="0.25">
      <c r="B85" s="420" t="s">
        <v>3113</v>
      </c>
      <c r="C85" s="421" t="s">
        <v>3107</v>
      </c>
      <c r="D85" s="421"/>
      <c r="E85" s="422">
        <v>20</v>
      </c>
      <c r="F85" s="423">
        <v>40</v>
      </c>
    </row>
    <row r="86" spans="2:6" ht="11.45" customHeight="1" x14ac:dyDescent="0.25">
      <c r="B86" s="424" t="s">
        <v>3140</v>
      </c>
      <c r="C86" s="425" t="s">
        <v>3141</v>
      </c>
      <c r="D86" s="425" t="s">
        <v>1755</v>
      </c>
      <c r="E86" s="426">
        <v>20</v>
      </c>
      <c r="F86" s="428">
        <v>8</v>
      </c>
    </row>
    <row r="87" spans="2:6" ht="11.45" customHeight="1" x14ac:dyDescent="0.25">
      <c r="B87" s="424" t="s">
        <v>3142</v>
      </c>
      <c r="C87" s="425" t="s">
        <v>3563</v>
      </c>
      <c r="D87" s="425" t="s">
        <v>909</v>
      </c>
      <c r="E87" s="426">
        <v>20</v>
      </c>
      <c r="F87" s="428">
        <v>12</v>
      </c>
    </row>
    <row r="88" spans="2:6" ht="11.45" customHeight="1" x14ac:dyDescent="0.25">
      <c r="B88" s="424" t="s">
        <v>3560</v>
      </c>
      <c r="C88" s="425" t="s">
        <v>3561</v>
      </c>
      <c r="D88" s="425"/>
      <c r="E88" s="426">
        <v>20</v>
      </c>
      <c r="F88" s="428">
        <v>20</v>
      </c>
    </row>
    <row r="89" spans="2:6" ht="11.45" customHeight="1" x14ac:dyDescent="0.25">
      <c r="B89" s="420" t="s">
        <v>3114</v>
      </c>
      <c r="C89" s="421" t="s">
        <v>2926</v>
      </c>
      <c r="D89" s="421"/>
      <c r="E89" s="429">
        <v>76.64</v>
      </c>
      <c r="F89" s="430">
        <v>76.64</v>
      </c>
    </row>
    <row r="90" spans="2:6" ht="11.45" customHeight="1" x14ac:dyDescent="0.25">
      <c r="B90" s="424" t="s">
        <v>3140</v>
      </c>
      <c r="C90" s="425" t="s">
        <v>3141</v>
      </c>
      <c r="D90" s="425" t="s">
        <v>1755</v>
      </c>
      <c r="E90" s="431">
        <v>76.64</v>
      </c>
      <c r="F90" s="428">
        <v>46</v>
      </c>
    </row>
    <row r="91" spans="2:6" ht="11.45" customHeight="1" x14ac:dyDescent="0.25">
      <c r="B91" s="424" t="s">
        <v>3142</v>
      </c>
      <c r="C91" s="425" t="s">
        <v>3564</v>
      </c>
      <c r="D91" s="425" t="s">
        <v>909</v>
      </c>
      <c r="E91" s="431">
        <v>76.64</v>
      </c>
      <c r="F91" s="432">
        <v>30.64</v>
      </c>
    </row>
    <row r="92" spans="2:6" ht="11.45" customHeight="1" x14ac:dyDescent="0.25">
      <c r="B92" s="420" t="s">
        <v>3115</v>
      </c>
      <c r="C92" s="421" t="s">
        <v>2926</v>
      </c>
      <c r="D92" s="421"/>
      <c r="E92" s="429">
        <v>63.51</v>
      </c>
      <c r="F92" s="430">
        <v>63.51</v>
      </c>
    </row>
    <row r="93" spans="2:6" ht="11.45" customHeight="1" x14ac:dyDescent="0.25">
      <c r="B93" s="424" t="s">
        <v>3142</v>
      </c>
      <c r="C93" s="425" t="s">
        <v>3564</v>
      </c>
      <c r="D93" s="425" t="s">
        <v>909</v>
      </c>
      <c r="E93" s="431">
        <v>63.51</v>
      </c>
      <c r="F93" s="432">
        <v>63.51</v>
      </c>
    </row>
    <row r="94" spans="2:6" ht="11.45" customHeight="1" x14ac:dyDescent="0.25">
      <c r="B94" s="420" t="s">
        <v>3116</v>
      </c>
      <c r="C94" s="421" t="s">
        <v>2926</v>
      </c>
      <c r="D94" s="421"/>
      <c r="E94" s="429">
        <v>128.85</v>
      </c>
      <c r="F94" s="430">
        <v>128.85</v>
      </c>
    </row>
    <row r="95" spans="2:6" ht="11.45" customHeight="1" x14ac:dyDescent="0.25">
      <c r="B95" s="424" t="s">
        <v>3142</v>
      </c>
      <c r="C95" s="425" t="s">
        <v>3565</v>
      </c>
      <c r="D95" s="425" t="s">
        <v>909</v>
      </c>
      <c r="E95" s="431">
        <v>128.85</v>
      </c>
      <c r="F95" s="428">
        <v>30</v>
      </c>
    </row>
    <row r="96" spans="2:6" ht="11.45" customHeight="1" x14ac:dyDescent="0.25">
      <c r="B96" s="424" t="s">
        <v>3142</v>
      </c>
      <c r="C96" s="425" t="s">
        <v>3564</v>
      </c>
      <c r="D96" s="425" t="s">
        <v>909</v>
      </c>
      <c r="E96" s="431">
        <v>128.85</v>
      </c>
      <c r="F96" s="432">
        <v>2.85</v>
      </c>
    </row>
    <row r="97" spans="2:6" ht="11.45" customHeight="1" x14ac:dyDescent="0.25">
      <c r="B97" s="424" t="s">
        <v>3142</v>
      </c>
      <c r="C97" s="425" t="s">
        <v>3566</v>
      </c>
      <c r="D97" s="425" t="s">
        <v>909</v>
      </c>
      <c r="E97" s="431">
        <v>128.85</v>
      </c>
      <c r="F97" s="428">
        <v>96</v>
      </c>
    </row>
    <row r="98" spans="2:6" ht="11.45" customHeight="1" x14ac:dyDescent="0.25">
      <c r="B98" s="420" t="s">
        <v>3118</v>
      </c>
      <c r="C98" s="421" t="s">
        <v>3117</v>
      </c>
      <c r="D98" s="421"/>
      <c r="E98" s="433">
        <v>38.6</v>
      </c>
      <c r="F98" s="434">
        <v>38.6</v>
      </c>
    </row>
    <row r="99" spans="2:6" ht="11.45" customHeight="1" x14ac:dyDescent="0.25">
      <c r="B99" s="424" t="s">
        <v>3142</v>
      </c>
      <c r="C99" s="425" t="s">
        <v>3567</v>
      </c>
      <c r="D99" s="425" t="s">
        <v>901</v>
      </c>
      <c r="E99" s="435">
        <v>38.6</v>
      </c>
      <c r="F99" s="427">
        <v>38.6</v>
      </c>
    </row>
    <row r="100" spans="2:6" ht="11.45" customHeight="1" x14ac:dyDescent="0.25">
      <c r="B100" s="420" t="s">
        <v>3119</v>
      </c>
      <c r="C100" s="421" t="s">
        <v>3117</v>
      </c>
      <c r="D100" s="421"/>
      <c r="E100" s="422">
        <v>55</v>
      </c>
      <c r="F100" s="423">
        <v>55</v>
      </c>
    </row>
    <row r="101" spans="2:6" ht="11.45" customHeight="1" x14ac:dyDescent="0.25">
      <c r="B101" s="424" t="s">
        <v>3142</v>
      </c>
      <c r="C101" s="425" t="s">
        <v>3567</v>
      </c>
      <c r="D101" s="425" t="s">
        <v>901</v>
      </c>
      <c r="E101" s="426">
        <v>55</v>
      </c>
      <c r="F101" s="428">
        <v>55</v>
      </c>
    </row>
    <row r="102" spans="2:6" ht="11.45" customHeight="1" x14ac:dyDescent="0.25">
      <c r="B102" s="420" t="s">
        <v>3120</v>
      </c>
      <c r="C102" s="421" t="s">
        <v>3117</v>
      </c>
      <c r="D102" s="421"/>
      <c r="E102" s="433">
        <v>94.1</v>
      </c>
      <c r="F102" s="434">
        <v>94.1</v>
      </c>
    </row>
    <row r="103" spans="2:6" ht="11.45" customHeight="1" x14ac:dyDescent="0.25">
      <c r="B103" s="424" t="s">
        <v>3142</v>
      </c>
      <c r="C103" s="425" t="s">
        <v>3143</v>
      </c>
      <c r="D103" s="425" t="s">
        <v>909</v>
      </c>
      <c r="E103" s="435">
        <v>94.1</v>
      </c>
      <c r="F103" s="427">
        <v>81.7</v>
      </c>
    </row>
    <row r="104" spans="2:6" ht="11.45" customHeight="1" x14ac:dyDescent="0.25">
      <c r="B104" s="424" t="s">
        <v>3142</v>
      </c>
      <c r="C104" s="425" t="s">
        <v>3567</v>
      </c>
      <c r="D104" s="425" t="s">
        <v>901</v>
      </c>
      <c r="E104" s="435">
        <v>94.1</v>
      </c>
      <c r="F104" s="427">
        <v>12.4</v>
      </c>
    </row>
    <row r="105" spans="2:6" ht="11.45" customHeight="1" x14ac:dyDescent="0.25">
      <c r="B105" s="420" t="s">
        <v>3121</v>
      </c>
      <c r="C105" s="421" t="s">
        <v>3117</v>
      </c>
      <c r="D105" s="421"/>
      <c r="E105" s="433">
        <v>93.9</v>
      </c>
      <c r="F105" s="434">
        <v>93.9</v>
      </c>
    </row>
    <row r="106" spans="2:6" ht="11.45" customHeight="1" x14ac:dyDescent="0.25">
      <c r="B106" s="424" t="s">
        <v>3142</v>
      </c>
      <c r="C106" s="425" t="s">
        <v>3143</v>
      </c>
      <c r="D106" s="425" t="s">
        <v>909</v>
      </c>
      <c r="E106" s="435">
        <v>93.9</v>
      </c>
      <c r="F106" s="427">
        <v>3.3</v>
      </c>
    </row>
    <row r="107" spans="2:6" ht="11.45" customHeight="1" x14ac:dyDescent="0.25">
      <c r="B107" s="424" t="s">
        <v>3142</v>
      </c>
      <c r="C107" s="425" t="s">
        <v>3568</v>
      </c>
      <c r="D107" s="425" t="s">
        <v>901</v>
      </c>
      <c r="E107" s="435">
        <v>93.9</v>
      </c>
      <c r="F107" s="428">
        <v>44</v>
      </c>
    </row>
    <row r="108" spans="2:6" ht="11.45" customHeight="1" x14ac:dyDescent="0.25">
      <c r="B108" s="424" t="s">
        <v>3144</v>
      </c>
      <c r="C108" s="425" t="s">
        <v>3569</v>
      </c>
      <c r="D108" s="425" t="s">
        <v>897</v>
      </c>
      <c r="E108" s="435">
        <v>93.9</v>
      </c>
      <c r="F108" s="427">
        <v>46.6</v>
      </c>
    </row>
    <row r="109" spans="2:6" ht="11.45" customHeight="1" x14ac:dyDescent="0.25">
      <c r="B109" s="420" t="s">
        <v>3122</v>
      </c>
      <c r="C109" s="421" t="s">
        <v>3117</v>
      </c>
      <c r="D109" s="421"/>
      <c r="E109" s="429">
        <v>102.44</v>
      </c>
      <c r="F109" s="430">
        <v>102.44</v>
      </c>
    </row>
    <row r="110" spans="2:6" ht="11.45" customHeight="1" x14ac:dyDescent="0.25">
      <c r="B110" s="424" t="s">
        <v>3142</v>
      </c>
      <c r="C110" s="425" t="s">
        <v>3152</v>
      </c>
      <c r="D110" s="425" t="s">
        <v>901</v>
      </c>
      <c r="E110" s="431">
        <v>102.44</v>
      </c>
      <c r="F110" s="432">
        <v>32.04</v>
      </c>
    </row>
    <row r="111" spans="2:6" ht="11.45" customHeight="1" x14ac:dyDescent="0.25">
      <c r="B111" s="424" t="s">
        <v>3144</v>
      </c>
      <c r="C111" s="425" t="s">
        <v>3569</v>
      </c>
      <c r="D111" s="425" t="s">
        <v>897</v>
      </c>
      <c r="E111" s="431">
        <v>102.44</v>
      </c>
      <c r="F111" s="427">
        <v>70.400000000000006</v>
      </c>
    </row>
    <row r="112" spans="2:6" ht="11.45" customHeight="1" x14ac:dyDescent="0.25">
      <c r="B112" s="420" t="s">
        <v>3123</v>
      </c>
      <c r="C112" s="421" t="s">
        <v>3117</v>
      </c>
      <c r="D112" s="421"/>
      <c r="E112" s="429">
        <v>56.12</v>
      </c>
      <c r="F112" s="430">
        <v>56.12</v>
      </c>
    </row>
    <row r="113" spans="2:6" ht="11.45" customHeight="1" x14ac:dyDescent="0.25">
      <c r="B113" s="424" t="s">
        <v>3142</v>
      </c>
      <c r="C113" s="425" t="s">
        <v>3152</v>
      </c>
      <c r="D113" s="425" t="s">
        <v>901</v>
      </c>
      <c r="E113" s="431">
        <v>56.12</v>
      </c>
      <c r="F113" s="432">
        <v>56.12</v>
      </c>
    </row>
  </sheetData>
  <autoFilter ref="B1:F113" xr:uid="{CD35BEB8-CAF7-4D73-B05C-3B4A5FB2A98E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FFCC-737F-41C0-9EC1-B4D6E3B88F94}">
  <dimension ref="A1:BB211"/>
  <sheetViews>
    <sheetView showGridLines="0" topLeftCell="AR1" zoomScale="90" zoomScaleNormal="90" workbookViewId="0">
      <selection activeCell="AY34" sqref="AY34"/>
    </sheetView>
  </sheetViews>
  <sheetFormatPr defaultRowHeight="15" outlineLevelCol="1" x14ac:dyDescent="0.25"/>
  <cols>
    <col min="1" max="1" width="21.140625" hidden="1" customWidth="1" outlineLevel="1"/>
    <col min="2" max="2" width="12" hidden="1" customWidth="1" outlineLevel="1"/>
    <col min="3" max="3" width="9.5703125" hidden="1" customWidth="1" outlineLevel="1"/>
    <col min="4" max="5" width="13.28515625" hidden="1" customWidth="1" outlineLevel="1"/>
    <col min="6" max="6" width="21.140625" hidden="1" customWidth="1" outlineLevel="1"/>
    <col min="7" max="7" width="12.5703125" hidden="1" customWidth="1" outlineLevel="1"/>
    <col min="8" max="8" width="9.5703125" hidden="1" customWidth="1" outlineLevel="1"/>
    <col min="9" max="10" width="13.28515625" hidden="1" customWidth="1" outlineLevel="1"/>
    <col min="11" max="11" width="21.140625" hidden="1" customWidth="1" outlineLevel="1"/>
    <col min="12" max="12" width="12.5703125" hidden="1" customWidth="1" outlineLevel="1"/>
    <col min="13" max="13" width="9.5703125" hidden="1" customWidth="1" outlineLevel="1"/>
    <col min="14" max="15" width="13.28515625" hidden="1" customWidth="1" outlineLevel="1"/>
    <col min="16" max="16" width="21.140625" hidden="1" customWidth="1" outlineLevel="1"/>
    <col min="17" max="17" width="12.5703125" hidden="1" customWidth="1" outlineLevel="1"/>
    <col min="18" max="18" width="9.5703125" hidden="1" customWidth="1" outlineLevel="1"/>
    <col min="19" max="20" width="13.28515625" hidden="1" customWidth="1" outlineLevel="1"/>
    <col min="21" max="21" width="21.140625" hidden="1" customWidth="1" outlineLevel="1"/>
    <col min="22" max="22" width="12.5703125" hidden="1" customWidth="1" outlineLevel="1"/>
    <col min="23" max="23" width="9.5703125" hidden="1" customWidth="1" outlineLevel="1"/>
    <col min="24" max="25" width="13.28515625" hidden="1" customWidth="1" outlineLevel="1"/>
    <col min="26" max="26" width="21.140625" hidden="1" customWidth="1" outlineLevel="1"/>
    <col min="27" max="27" width="12.5703125" hidden="1" customWidth="1" outlineLevel="1"/>
    <col min="28" max="28" width="9.5703125" hidden="1" customWidth="1" outlineLevel="1"/>
    <col min="29" max="30" width="13.28515625" hidden="1" customWidth="1" outlineLevel="1"/>
    <col min="31" max="31" width="21.140625" hidden="1" customWidth="1" outlineLevel="1"/>
    <col min="32" max="32" width="12.5703125" hidden="1" customWidth="1" outlineLevel="1"/>
    <col min="33" max="33" width="9.5703125" hidden="1" customWidth="1" outlineLevel="1"/>
    <col min="34" max="36" width="13.28515625" hidden="1" customWidth="1" outlineLevel="1"/>
    <col min="37" max="37" width="28.140625" hidden="1" customWidth="1" outlineLevel="1"/>
    <col min="38" max="38" width="12.5703125" hidden="1" customWidth="1" outlineLevel="1"/>
    <col min="39" max="39" width="9.5703125" hidden="1" customWidth="1" outlineLevel="1"/>
    <col min="40" max="43" width="13.28515625" hidden="1" customWidth="1" outlineLevel="1"/>
    <col min="44" max="44" width="9.140625" collapsed="1"/>
    <col min="46" max="46" width="12.5703125" customWidth="1"/>
    <col min="47" max="47" width="18" customWidth="1"/>
  </cols>
  <sheetData>
    <row r="1" spans="1:54" s="23" customFormat="1" x14ac:dyDescent="0.25">
      <c r="AR1" s="23" t="s">
        <v>4045</v>
      </c>
    </row>
    <row r="2" spans="1:54" s="23" customFormat="1" x14ac:dyDescent="0.25"/>
    <row r="3" spans="1:54" x14ac:dyDescent="0.25">
      <c r="AR3" s="23" t="s">
        <v>3655</v>
      </c>
    </row>
    <row r="4" spans="1:54" x14ac:dyDescent="0.25">
      <c r="AR4" t="s">
        <v>3656</v>
      </c>
      <c r="AU4" s="31">
        <f>GETPIVOTDATA(" Валовый сбор, т",$A$10)</f>
        <v>1834.69</v>
      </c>
      <c r="BB4" s="31"/>
    </row>
    <row r="5" spans="1:54" x14ac:dyDescent="0.25">
      <c r="AR5" t="s">
        <v>84</v>
      </c>
      <c r="AU5" s="31">
        <f>AU4/AU6</f>
        <v>307.49999999999989</v>
      </c>
    </row>
    <row r="6" spans="1:54" x14ac:dyDescent="0.25">
      <c r="AR6" t="s">
        <v>3657</v>
      </c>
      <c r="AU6" s="46">
        <f>GETPIVOTDATA(" Урожайность вал.вес, т/га",$A$10)</f>
        <v>5.966471544715449</v>
      </c>
    </row>
    <row r="7" spans="1:54" x14ac:dyDescent="0.25">
      <c r="AR7" t="s">
        <v>3659</v>
      </c>
      <c r="AU7" s="31">
        <f>GETPIVOTDATA("Степень зрелости (финометр), %",$A$10)</f>
        <v>57.437908496732028</v>
      </c>
    </row>
    <row r="10" spans="1:54" ht="60" x14ac:dyDescent="0.25">
      <c r="A10" s="343" t="s">
        <v>3652</v>
      </c>
      <c r="B10" s="345" t="s">
        <v>3654</v>
      </c>
      <c r="C10" s="345" t="s">
        <v>3653</v>
      </c>
      <c r="D10" s="345" t="s">
        <v>3666</v>
      </c>
      <c r="E10" s="345"/>
      <c r="F10" s="345"/>
      <c r="G10" s="345"/>
      <c r="H10" s="345"/>
      <c r="I10" s="345"/>
      <c r="J10" s="345"/>
      <c r="K10" s="345"/>
      <c r="L10" s="345"/>
      <c r="M10" s="345"/>
      <c r="N10" s="345"/>
      <c r="O10" s="345"/>
      <c r="P10" s="345"/>
      <c r="Q10" s="345"/>
      <c r="R10" s="345"/>
      <c r="S10" s="345"/>
      <c r="T10" s="345"/>
      <c r="U10" s="345"/>
      <c r="V10" s="345"/>
      <c r="W10" s="345"/>
      <c r="X10" s="345"/>
      <c r="Y10" s="345"/>
      <c r="Z10" s="345"/>
      <c r="AA10" s="345"/>
      <c r="AB10" s="345"/>
      <c r="AC10" s="345"/>
      <c r="AD10" s="345"/>
      <c r="AE10" s="345"/>
      <c r="AF10" s="345"/>
      <c r="AG10" s="345"/>
      <c r="AH10" s="345"/>
      <c r="AI10" s="345"/>
      <c r="AJ10" s="345"/>
      <c r="AK10" s="345"/>
      <c r="AL10" s="345"/>
      <c r="AM10" s="345"/>
      <c r="AN10" s="345"/>
      <c r="AO10" s="345"/>
      <c r="AP10" s="345"/>
      <c r="AQ10" s="345"/>
    </row>
    <row r="11" spans="1:54" x14ac:dyDescent="0.25">
      <c r="A11" s="24" t="s">
        <v>524</v>
      </c>
      <c r="B11" s="31">
        <v>57.437908496732028</v>
      </c>
      <c r="C11" s="31">
        <v>1834.69</v>
      </c>
      <c r="D11" s="46">
        <v>5.966471544715449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</row>
    <row r="12" spans="1:54" x14ac:dyDescent="0.25">
      <c r="A12" s="168" t="s">
        <v>3093</v>
      </c>
      <c r="B12" s="31">
        <v>60.217391304347828</v>
      </c>
      <c r="C12" s="31">
        <v>272.69</v>
      </c>
      <c r="D12" s="46">
        <v>5.0034862385321102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</row>
    <row r="13" spans="1:54" x14ac:dyDescent="0.25">
      <c r="A13" s="462">
        <v>46187</v>
      </c>
      <c r="B13" s="31">
        <v>57.833333333333336</v>
      </c>
      <c r="C13" s="31">
        <v>68.819999999999993</v>
      </c>
      <c r="D13" s="46">
        <v>7.6466666666666674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</row>
    <row r="14" spans="1:54" x14ac:dyDescent="0.25">
      <c r="A14" s="462">
        <v>46188</v>
      </c>
      <c r="B14" s="31">
        <v>61.058823529411768</v>
      </c>
      <c r="C14" s="31">
        <v>203.87</v>
      </c>
      <c r="D14" s="46">
        <v>4.4806593406593409</v>
      </c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</row>
    <row r="15" spans="1:54" x14ac:dyDescent="0.25">
      <c r="A15" s="168" t="s">
        <v>3094</v>
      </c>
      <c r="B15" s="31">
        <v>55.5</v>
      </c>
      <c r="C15" s="31">
        <v>11.42</v>
      </c>
      <c r="D15" s="46">
        <v>5.71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</row>
    <row r="16" spans="1:54" x14ac:dyDescent="0.25">
      <c r="A16" s="462">
        <v>46183</v>
      </c>
      <c r="B16" s="31">
        <v>55.5</v>
      </c>
      <c r="C16" s="31">
        <v>11.42</v>
      </c>
      <c r="D16" s="46">
        <v>5.71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</row>
    <row r="17" spans="1:43" x14ac:dyDescent="0.25">
      <c r="A17" s="168" t="s">
        <v>3095</v>
      </c>
      <c r="B17" s="31">
        <v>63</v>
      </c>
      <c r="C17" s="31">
        <v>4.43</v>
      </c>
      <c r="D17" s="46">
        <v>4.43</v>
      </c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</row>
    <row r="18" spans="1:43" x14ac:dyDescent="0.25">
      <c r="A18" s="462">
        <v>46183</v>
      </c>
      <c r="B18" s="31">
        <v>63</v>
      </c>
      <c r="C18" s="31">
        <v>4.43</v>
      </c>
      <c r="D18" s="46">
        <v>4.43</v>
      </c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</row>
    <row r="19" spans="1:43" x14ac:dyDescent="0.25">
      <c r="A19" s="168" t="s">
        <v>2968</v>
      </c>
      <c r="B19" s="31">
        <v>49.657894736842103</v>
      </c>
      <c r="C19" s="31">
        <v>447.05</v>
      </c>
      <c r="D19" s="46">
        <v>5.6588607594936686</v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</row>
    <row r="20" spans="1:43" x14ac:dyDescent="0.25">
      <c r="A20" s="462">
        <v>46177</v>
      </c>
      <c r="B20" s="31">
        <v>42</v>
      </c>
      <c r="C20" s="31">
        <v>6.12</v>
      </c>
      <c r="D20" s="46">
        <v>3.06</v>
      </c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</row>
    <row r="21" spans="1:43" x14ac:dyDescent="0.25">
      <c r="A21" s="462">
        <v>46180</v>
      </c>
      <c r="B21" s="31">
        <v>50.428571428571431</v>
      </c>
      <c r="C21" s="31">
        <v>160.93</v>
      </c>
      <c r="D21" s="46">
        <v>5.3643333333333327</v>
      </c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</row>
    <row r="22" spans="1:43" x14ac:dyDescent="0.25">
      <c r="A22" s="462">
        <v>46181</v>
      </c>
      <c r="B22" s="31">
        <v>49.55</v>
      </c>
      <c r="C22" s="31">
        <v>246.5</v>
      </c>
      <c r="D22" s="46">
        <v>6.0121951219512173</v>
      </c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</row>
    <row r="23" spans="1:43" x14ac:dyDescent="0.25">
      <c r="A23" s="462">
        <v>46182</v>
      </c>
      <c r="B23" s="31">
        <v>49.333333333333336</v>
      </c>
      <c r="C23" s="31">
        <v>33.5</v>
      </c>
      <c r="D23" s="46">
        <v>5.583333333333333</v>
      </c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</row>
    <row r="24" spans="1:43" x14ac:dyDescent="0.25">
      <c r="A24" s="168" t="s">
        <v>3101</v>
      </c>
      <c r="B24" s="31">
        <v>55.272727272727273</v>
      </c>
      <c r="C24" s="31">
        <v>292.70999999999998</v>
      </c>
      <c r="D24" s="46">
        <v>7.7028947368421044</v>
      </c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</row>
    <row r="25" spans="1:43" x14ac:dyDescent="0.25">
      <c r="A25" s="462">
        <v>46183</v>
      </c>
      <c r="B25" s="31">
        <v>55.272727272727273</v>
      </c>
      <c r="C25" s="31">
        <v>292.70999999999998</v>
      </c>
      <c r="D25" s="46">
        <v>7.7028947368421044</v>
      </c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</row>
    <row r="26" spans="1:43" x14ac:dyDescent="0.25">
      <c r="A26" s="168" t="s">
        <v>3102</v>
      </c>
      <c r="B26" s="31">
        <v>63.636363636363633</v>
      </c>
      <c r="C26" s="31">
        <v>138.16</v>
      </c>
      <c r="D26" s="46">
        <v>5.3138461538461543</v>
      </c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</row>
    <row r="27" spans="1:43" x14ac:dyDescent="0.25">
      <c r="A27" s="462">
        <v>46184</v>
      </c>
      <c r="B27" s="31">
        <v>63.636363636363633</v>
      </c>
      <c r="C27" s="31">
        <v>138.16</v>
      </c>
      <c r="D27" s="46">
        <v>5.3138461538461543</v>
      </c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</row>
    <row r="28" spans="1:43" x14ac:dyDescent="0.25">
      <c r="A28" s="168" t="s">
        <v>3103</v>
      </c>
      <c r="B28" s="31">
        <v>57.115384615384613</v>
      </c>
      <c r="C28" s="31">
        <v>311.44</v>
      </c>
      <c r="D28" s="46">
        <v>7.5960975609756067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</row>
    <row r="29" spans="1:43" x14ac:dyDescent="0.25">
      <c r="A29" s="462">
        <v>46185</v>
      </c>
      <c r="B29" s="31">
        <v>48.75</v>
      </c>
      <c r="C29" s="31">
        <v>101.32</v>
      </c>
      <c r="D29" s="46">
        <v>6.754666666666667</v>
      </c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</row>
    <row r="30" spans="1:43" x14ac:dyDescent="0.25">
      <c r="A30" s="462">
        <v>46186</v>
      </c>
      <c r="B30" s="31">
        <v>60.833333333333336</v>
      </c>
      <c r="C30" s="31">
        <v>210.12</v>
      </c>
      <c r="D30" s="46">
        <v>8.0815384615384609</v>
      </c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</row>
    <row r="31" spans="1:43" x14ac:dyDescent="0.25">
      <c r="A31" s="168" t="s">
        <v>3104</v>
      </c>
      <c r="B31" s="31">
        <v>67.833333333333329</v>
      </c>
      <c r="C31" s="31">
        <v>70.989999999999995</v>
      </c>
      <c r="D31" s="46">
        <v>5.0707142857142857</v>
      </c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</row>
    <row r="32" spans="1:43" x14ac:dyDescent="0.25">
      <c r="A32" s="462">
        <v>46185</v>
      </c>
      <c r="B32" s="31">
        <v>67.833333333333329</v>
      </c>
      <c r="C32" s="31">
        <v>70.989999999999995</v>
      </c>
      <c r="D32" s="46">
        <v>5.0707142857142857</v>
      </c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</row>
    <row r="33" spans="1:47" x14ac:dyDescent="0.25">
      <c r="A33" s="168" t="s">
        <v>3106</v>
      </c>
      <c r="B33" s="31">
        <v>63.916666666666664</v>
      </c>
      <c r="C33" s="31">
        <v>285.8</v>
      </c>
      <c r="D33" s="46">
        <v>5.4961538461538435</v>
      </c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</row>
    <row r="34" spans="1:47" x14ac:dyDescent="0.25">
      <c r="A34" s="462">
        <v>46187</v>
      </c>
      <c r="B34" s="31">
        <v>63.888888888888886</v>
      </c>
      <c r="C34" s="31">
        <v>214.95</v>
      </c>
      <c r="D34" s="46">
        <v>6.1414285714285697</v>
      </c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</row>
    <row r="35" spans="1:47" x14ac:dyDescent="0.25">
      <c r="A35" s="462">
        <v>46188</v>
      </c>
      <c r="B35" s="31">
        <v>64</v>
      </c>
      <c r="C35" s="31">
        <v>70.849999999999994</v>
      </c>
      <c r="D35" s="46">
        <v>4.1676470588235288</v>
      </c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</row>
    <row r="36" spans="1:47" x14ac:dyDescent="0.25">
      <c r="A36" s="24" t="s">
        <v>182</v>
      </c>
      <c r="B36" s="31">
        <v>57.437908496732028</v>
      </c>
      <c r="C36" s="31">
        <v>1834.69</v>
      </c>
      <c r="D36" s="46">
        <v>5.966471544715449</v>
      </c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</row>
    <row r="37" spans="1:47" x14ac:dyDescent="0.25">
      <c r="F37" s="46"/>
      <c r="G37" s="46"/>
      <c r="H37" s="46"/>
      <c r="I37" s="46"/>
      <c r="J37" s="46"/>
      <c r="K37" s="46"/>
      <c r="AR37" s="23" t="s">
        <v>3660</v>
      </c>
    </row>
    <row r="38" spans="1:47" x14ac:dyDescent="0.25">
      <c r="F38" s="46"/>
      <c r="G38" s="46"/>
      <c r="H38" s="46"/>
      <c r="I38" s="46"/>
      <c r="J38" s="46"/>
      <c r="K38" s="46"/>
      <c r="AR38" t="s">
        <v>3656</v>
      </c>
      <c r="AU38" s="31">
        <f>GETPIVOTDATA(" Валовый сбор, т",$F$45)</f>
        <v>502.43</v>
      </c>
    </row>
    <row r="39" spans="1:47" x14ac:dyDescent="0.25">
      <c r="F39" s="46"/>
      <c r="G39" s="46"/>
      <c r="H39" s="46"/>
      <c r="I39" s="46"/>
      <c r="J39" s="46"/>
      <c r="K39" s="46"/>
      <c r="AR39" t="s">
        <v>84</v>
      </c>
      <c r="AU39" s="31">
        <f>AU38/AU40</f>
        <v>103.80000000000004</v>
      </c>
    </row>
    <row r="40" spans="1:47" x14ac:dyDescent="0.25">
      <c r="F40" s="46"/>
      <c r="G40" s="46"/>
      <c r="H40" s="46"/>
      <c r="I40" s="46"/>
      <c r="J40" s="46"/>
      <c r="K40" s="46"/>
      <c r="AR40" t="s">
        <v>3657</v>
      </c>
      <c r="AU40" s="46">
        <f>GETPIVOTDATA(" Урожайность вал.вес, т/га",$F$45)</f>
        <v>4.840366088631983</v>
      </c>
    </row>
    <row r="41" spans="1:47" x14ac:dyDescent="0.25">
      <c r="F41" s="46"/>
      <c r="G41" s="46"/>
      <c r="H41" s="46"/>
      <c r="I41" s="46"/>
      <c r="J41" s="46"/>
      <c r="K41" s="46"/>
      <c r="AR41" t="s">
        <v>3659</v>
      </c>
      <c r="AU41" s="31">
        <f>GETPIVOTDATA("Степень зрелости (финометр), %",$F$45)</f>
        <v>54.696428571428569</v>
      </c>
    </row>
    <row r="42" spans="1:47" x14ac:dyDescent="0.25">
      <c r="F42" s="46"/>
      <c r="G42" s="46"/>
      <c r="H42" s="46"/>
      <c r="I42" s="46"/>
      <c r="J42" s="46"/>
      <c r="K42" s="46"/>
    </row>
    <row r="43" spans="1:47" x14ac:dyDescent="0.25">
      <c r="F43" s="46"/>
      <c r="G43" s="46"/>
      <c r="H43" s="46"/>
      <c r="I43" s="46"/>
      <c r="J43" s="46"/>
      <c r="K43" s="46"/>
    </row>
    <row r="44" spans="1:47" x14ac:dyDescent="0.25">
      <c r="F44" s="46"/>
      <c r="G44" s="46"/>
      <c r="H44" s="46"/>
      <c r="I44" s="46"/>
      <c r="J44" s="46"/>
      <c r="K44" s="46"/>
    </row>
    <row r="45" spans="1:47" ht="60" x14ac:dyDescent="0.25">
      <c r="F45" s="343" t="s">
        <v>3652</v>
      </c>
      <c r="G45" s="345" t="s">
        <v>3654</v>
      </c>
      <c r="H45" s="345" t="s">
        <v>3653</v>
      </c>
      <c r="I45" s="345" t="s">
        <v>3666</v>
      </c>
    </row>
    <row r="46" spans="1:47" x14ac:dyDescent="0.25">
      <c r="F46" s="24" t="s">
        <v>1755</v>
      </c>
      <c r="G46" s="31">
        <v>54.696428571428569</v>
      </c>
      <c r="H46" s="31">
        <v>502.43</v>
      </c>
      <c r="I46" s="46">
        <v>4.840366088631983</v>
      </c>
    </row>
    <row r="47" spans="1:47" x14ac:dyDescent="0.25">
      <c r="F47" s="168" t="s">
        <v>3114</v>
      </c>
      <c r="G47" s="31">
        <v>56.235294117647058</v>
      </c>
      <c r="H47" s="31">
        <v>222.58</v>
      </c>
      <c r="I47" s="46">
        <v>4.8281995661605208</v>
      </c>
    </row>
    <row r="48" spans="1:47" x14ac:dyDescent="0.25">
      <c r="F48" s="462">
        <v>46192</v>
      </c>
      <c r="G48" s="31">
        <v>44</v>
      </c>
      <c r="H48" s="31">
        <v>4.49</v>
      </c>
      <c r="I48" s="46">
        <v>4.49</v>
      </c>
    </row>
    <row r="49" spans="6:9" x14ac:dyDescent="0.25">
      <c r="F49" s="462">
        <v>46196</v>
      </c>
      <c r="G49" s="31">
        <v>54.18181818181818</v>
      </c>
      <c r="H49" s="31">
        <v>149.44</v>
      </c>
      <c r="I49" s="46">
        <v>4.8362459546925569</v>
      </c>
    </row>
    <row r="50" spans="6:9" x14ac:dyDescent="0.25">
      <c r="F50" s="462">
        <v>46197</v>
      </c>
      <c r="G50" s="31">
        <v>63.2</v>
      </c>
      <c r="H50" s="31">
        <v>68.650000000000006</v>
      </c>
      <c r="I50" s="46">
        <v>4.834507042253521</v>
      </c>
    </row>
    <row r="51" spans="6:9" x14ac:dyDescent="0.25">
      <c r="F51" s="168" t="s">
        <v>3093</v>
      </c>
      <c r="G51" s="31">
        <v>57</v>
      </c>
      <c r="H51" s="31">
        <v>5.63</v>
      </c>
      <c r="I51" s="46">
        <v>3.7533333333333334</v>
      </c>
    </row>
    <row r="52" spans="6:9" x14ac:dyDescent="0.25">
      <c r="F52" s="462">
        <v>46191</v>
      </c>
      <c r="G52" s="31">
        <v>57</v>
      </c>
      <c r="H52" s="31">
        <v>5.63</v>
      </c>
      <c r="I52" s="46">
        <v>3.7533333333333334</v>
      </c>
    </row>
    <row r="53" spans="6:9" x14ac:dyDescent="0.25">
      <c r="F53" s="168" t="s">
        <v>3096</v>
      </c>
      <c r="G53" s="31">
        <v>49.5</v>
      </c>
      <c r="H53" s="31">
        <v>22.56</v>
      </c>
      <c r="I53" s="46">
        <v>5.64</v>
      </c>
    </row>
    <row r="54" spans="6:9" x14ac:dyDescent="0.25">
      <c r="F54" s="462">
        <v>46191</v>
      </c>
      <c r="G54" s="31">
        <v>49.5</v>
      </c>
      <c r="H54" s="31">
        <v>22.56</v>
      </c>
      <c r="I54" s="46">
        <v>5.64</v>
      </c>
    </row>
    <row r="55" spans="6:9" x14ac:dyDescent="0.25">
      <c r="F55" s="168" t="s">
        <v>864</v>
      </c>
      <c r="G55" s="31">
        <v>54.088235294117645</v>
      </c>
      <c r="H55" s="31">
        <v>237.83</v>
      </c>
      <c r="I55" s="46">
        <v>5.1478354978354979</v>
      </c>
    </row>
    <row r="56" spans="6:9" x14ac:dyDescent="0.25">
      <c r="F56" s="462">
        <v>46192</v>
      </c>
      <c r="G56" s="31">
        <v>42</v>
      </c>
      <c r="H56" s="31">
        <v>4.59</v>
      </c>
      <c r="I56" s="46">
        <v>4.59</v>
      </c>
    </row>
    <row r="57" spans="6:9" x14ac:dyDescent="0.25">
      <c r="F57" s="462">
        <v>46193</v>
      </c>
      <c r="G57" s="31">
        <v>47</v>
      </c>
      <c r="H57" s="31">
        <v>2.35</v>
      </c>
      <c r="I57" s="46">
        <v>4.7</v>
      </c>
    </row>
    <row r="58" spans="6:9" x14ac:dyDescent="0.25">
      <c r="F58" s="462">
        <v>46194</v>
      </c>
      <c r="G58" s="31">
        <v>52.571428571428569</v>
      </c>
      <c r="H58" s="31">
        <v>103.21</v>
      </c>
      <c r="I58" s="46">
        <v>5.1348258706467647</v>
      </c>
    </row>
    <row r="59" spans="6:9" x14ac:dyDescent="0.25">
      <c r="F59" s="462">
        <v>46195</v>
      </c>
      <c r="G59" s="31">
        <v>51.285714285714285</v>
      </c>
      <c r="H59" s="31">
        <v>52.42</v>
      </c>
      <c r="I59" s="46">
        <v>6.5525000000000002</v>
      </c>
    </row>
    <row r="60" spans="6:9" x14ac:dyDescent="0.25">
      <c r="F60" s="462">
        <v>46196</v>
      </c>
      <c r="G60" s="31">
        <v>58.9</v>
      </c>
      <c r="H60" s="31">
        <v>67.930000000000007</v>
      </c>
      <c r="I60" s="46">
        <v>4.6527397260273968</v>
      </c>
    </row>
    <row r="61" spans="6:9" x14ac:dyDescent="0.25">
      <c r="F61" s="462">
        <v>46197</v>
      </c>
      <c r="G61" s="31">
        <v>66</v>
      </c>
      <c r="H61" s="31">
        <v>7.33</v>
      </c>
      <c r="I61" s="46">
        <v>3.665</v>
      </c>
    </row>
    <row r="62" spans="6:9" x14ac:dyDescent="0.25">
      <c r="F62" s="168" t="s">
        <v>3113</v>
      </c>
      <c r="G62" s="31">
        <v>56</v>
      </c>
      <c r="H62" s="31">
        <v>13.83</v>
      </c>
      <c r="I62" s="46">
        <v>2.3050000000000002</v>
      </c>
    </row>
    <row r="63" spans="6:9" x14ac:dyDescent="0.25">
      <c r="F63" s="462">
        <v>46195</v>
      </c>
      <c r="G63" s="31">
        <v>56</v>
      </c>
      <c r="H63" s="31">
        <v>13.83</v>
      </c>
      <c r="I63" s="46">
        <v>2.3050000000000002</v>
      </c>
    </row>
    <row r="64" spans="6:9" x14ac:dyDescent="0.25">
      <c r="F64" s="24" t="s">
        <v>182</v>
      </c>
      <c r="G64" s="31">
        <v>54.696428571428569</v>
      </c>
      <c r="H64" s="31">
        <v>502.43</v>
      </c>
      <c r="I64" s="46">
        <v>4.840366088631983</v>
      </c>
    </row>
    <row r="68" spans="11:47" x14ac:dyDescent="0.25">
      <c r="P68" s="345"/>
      <c r="Q68" s="345"/>
      <c r="R68" s="345"/>
      <c r="S68" s="345"/>
      <c r="T68" s="345"/>
      <c r="U68" s="345"/>
      <c r="AR68" s="23" t="s">
        <v>3661</v>
      </c>
    </row>
    <row r="69" spans="11:47" x14ac:dyDescent="0.25">
      <c r="P69" s="46"/>
      <c r="Q69" s="46"/>
      <c r="R69" s="46"/>
      <c r="S69" s="46"/>
      <c r="T69" s="46"/>
      <c r="U69" s="46"/>
      <c r="AR69" t="s">
        <v>3656</v>
      </c>
      <c r="AU69" s="31">
        <f>GETPIVOTDATA(" Валовый сбор, т",$K$75)</f>
        <v>287.74</v>
      </c>
    </row>
    <row r="70" spans="11:47" x14ac:dyDescent="0.25">
      <c r="P70" s="46"/>
      <c r="Q70" s="46"/>
      <c r="R70" s="46"/>
      <c r="S70" s="46"/>
      <c r="T70" s="46"/>
      <c r="U70" s="46"/>
      <c r="AR70" t="s">
        <v>84</v>
      </c>
      <c r="AU70" s="31">
        <f>AU69/AU71</f>
        <v>86.960287659899421</v>
      </c>
    </row>
    <row r="71" spans="11:47" x14ac:dyDescent="0.25">
      <c r="P71" s="46"/>
      <c r="Q71" s="46"/>
      <c r="R71" s="46"/>
      <c r="S71" s="46"/>
      <c r="T71" s="46"/>
      <c r="U71" s="46"/>
      <c r="AR71" t="s">
        <v>3657</v>
      </c>
      <c r="AU71" s="46">
        <f>GETPIVOTDATA(" Урожайность вал.вес, т/га",$K$75)</f>
        <v>3.3088666993070155</v>
      </c>
    </row>
    <row r="72" spans="11:47" x14ac:dyDescent="0.25">
      <c r="P72" s="46"/>
      <c r="Q72" s="46"/>
      <c r="R72" s="46"/>
      <c r="S72" s="46"/>
      <c r="T72" s="46"/>
      <c r="U72" s="46"/>
      <c r="AR72" t="s">
        <v>3659</v>
      </c>
      <c r="AU72" s="31">
        <f>GETPIVOTDATA("Степень зрелости (финометр), %",$K$75)</f>
        <v>59.620689655172413</v>
      </c>
    </row>
    <row r="75" spans="11:47" ht="60" x14ac:dyDescent="0.25">
      <c r="K75" s="343" t="s">
        <v>3652</v>
      </c>
      <c r="L75" s="345" t="s">
        <v>3654</v>
      </c>
      <c r="M75" s="345" t="s">
        <v>3653</v>
      </c>
      <c r="N75" s="345" t="s">
        <v>3666</v>
      </c>
      <c r="O75" s="345"/>
    </row>
    <row r="76" spans="11:47" x14ac:dyDescent="0.25">
      <c r="K76" s="24" t="s">
        <v>900</v>
      </c>
      <c r="L76" s="31">
        <v>59.620689655172413</v>
      </c>
      <c r="M76" s="31">
        <v>287.74</v>
      </c>
      <c r="N76" s="46">
        <v>3.3088666993070155</v>
      </c>
      <c r="O76" s="46"/>
    </row>
    <row r="77" spans="11:47" x14ac:dyDescent="0.25">
      <c r="K77" s="168" t="s">
        <v>3092</v>
      </c>
      <c r="L77" s="31">
        <v>60.571428571428569</v>
      </c>
      <c r="M77" s="31">
        <v>31.94</v>
      </c>
      <c r="N77" s="46">
        <v>3.2067346938775509</v>
      </c>
      <c r="O77" s="46"/>
    </row>
    <row r="78" spans="11:47" x14ac:dyDescent="0.25">
      <c r="K78" s="462">
        <v>46192</v>
      </c>
      <c r="L78" s="31">
        <v>51</v>
      </c>
      <c r="M78" s="31">
        <v>10.7</v>
      </c>
      <c r="N78" s="46">
        <v>3.2067346938775514</v>
      </c>
      <c r="O78" s="46"/>
    </row>
    <row r="79" spans="11:47" x14ac:dyDescent="0.25">
      <c r="K79" s="462">
        <v>46199</v>
      </c>
      <c r="L79" s="31">
        <v>64.400000000000006</v>
      </c>
      <c r="M79" s="31">
        <v>21.24</v>
      </c>
      <c r="N79" s="46">
        <v>3.2067346938775509</v>
      </c>
      <c r="O79" s="46"/>
    </row>
    <row r="80" spans="11:47" x14ac:dyDescent="0.25">
      <c r="K80" s="168" t="s">
        <v>3108</v>
      </c>
      <c r="L80" s="31">
        <v>59.31818181818182</v>
      </c>
      <c r="M80" s="31">
        <v>255.8</v>
      </c>
      <c r="N80" s="46">
        <v>3.3220779220779226</v>
      </c>
    </row>
    <row r="81" spans="11:44" x14ac:dyDescent="0.25">
      <c r="K81" s="462">
        <v>46208</v>
      </c>
      <c r="L81" s="31">
        <v>63.833333333333336</v>
      </c>
      <c r="M81" s="31">
        <v>62.3</v>
      </c>
      <c r="N81" s="46">
        <v>3.1464646464646462</v>
      </c>
    </row>
    <row r="82" spans="11:44" x14ac:dyDescent="0.25">
      <c r="K82" s="462">
        <v>46209</v>
      </c>
      <c r="L82" s="31">
        <v>57.625</v>
      </c>
      <c r="M82" s="31">
        <v>193.5</v>
      </c>
      <c r="N82" s="46">
        <v>3.3828671328671325</v>
      </c>
    </row>
    <row r="83" spans="11:44" x14ac:dyDescent="0.25">
      <c r="K83" s="24" t="s">
        <v>182</v>
      </c>
      <c r="L83" s="31">
        <v>59.620689655172413</v>
      </c>
      <c r="M83" s="31">
        <v>287.74</v>
      </c>
      <c r="N83" s="46">
        <v>3.3088666993070155</v>
      </c>
    </row>
    <row r="96" spans="11:44" x14ac:dyDescent="0.25">
      <c r="AR96" s="23" t="s">
        <v>3662</v>
      </c>
    </row>
    <row r="97" spans="16:47" x14ac:dyDescent="0.25">
      <c r="AR97" t="s">
        <v>3656</v>
      </c>
      <c r="AU97" s="31">
        <f>GETPIVOTDATA(" Валовый сбор, т",$P$103)</f>
        <v>633.05999999999995</v>
      </c>
    </row>
    <row r="98" spans="16:47" x14ac:dyDescent="0.25">
      <c r="AR98" t="s">
        <v>84</v>
      </c>
      <c r="AU98" s="31">
        <f>AU97/AU99</f>
        <v>116</v>
      </c>
    </row>
    <row r="99" spans="16:47" x14ac:dyDescent="0.25">
      <c r="AR99" t="s">
        <v>3657</v>
      </c>
      <c r="AU99" s="46">
        <f>GETPIVOTDATA(" Урожайность вал.вес, т/га",$P$103)</f>
        <v>5.4574137931034477</v>
      </c>
    </row>
    <row r="100" spans="16:47" x14ac:dyDescent="0.25">
      <c r="AR100" t="s">
        <v>3659</v>
      </c>
      <c r="AU100" s="31">
        <f>GETPIVOTDATA("Степень зрелости (финометр), %",$P$103)</f>
        <v>50.509803921568626</v>
      </c>
    </row>
    <row r="103" spans="16:47" ht="60" x14ac:dyDescent="0.25">
      <c r="P103" s="343" t="s">
        <v>3652</v>
      </c>
      <c r="Q103" s="345" t="s">
        <v>3654</v>
      </c>
      <c r="R103" s="345" t="s">
        <v>3653</v>
      </c>
      <c r="S103" s="345" t="s">
        <v>3666</v>
      </c>
    </row>
    <row r="104" spans="16:47" x14ac:dyDescent="0.25">
      <c r="P104" s="24" t="s">
        <v>782</v>
      </c>
      <c r="Q104" s="31">
        <v>50.509803921568626</v>
      </c>
      <c r="R104" s="31">
        <v>633.05999999999995</v>
      </c>
      <c r="S104" s="46">
        <v>5.4574137931034477</v>
      </c>
    </row>
    <row r="105" spans="16:47" x14ac:dyDescent="0.25">
      <c r="P105" s="168" t="s">
        <v>2974</v>
      </c>
      <c r="Q105" s="31">
        <v>52</v>
      </c>
      <c r="R105" s="31">
        <v>24.65</v>
      </c>
      <c r="S105" s="46">
        <v>4.93</v>
      </c>
    </row>
    <row r="106" spans="16:47" x14ac:dyDescent="0.25">
      <c r="P106" s="462">
        <v>46179</v>
      </c>
      <c r="Q106" s="31">
        <v>52</v>
      </c>
      <c r="R106" s="31">
        <v>24.65</v>
      </c>
      <c r="S106" s="46">
        <v>4.93</v>
      </c>
    </row>
    <row r="107" spans="16:47" x14ac:dyDescent="0.25">
      <c r="P107" s="168" t="s">
        <v>2935</v>
      </c>
      <c r="Q107" s="31">
        <v>50.448979591836732</v>
      </c>
      <c r="R107" s="31">
        <v>608.41</v>
      </c>
      <c r="S107" s="46">
        <v>5.4811711711711704</v>
      </c>
    </row>
    <row r="108" spans="16:47" x14ac:dyDescent="0.25">
      <c r="P108" s="462">
        <v>46176</v>
      </c>
      <c r="Q108" s="31">
        <v>52.285714285714285</v>
      </c>
      <c r="R108" s="31">
        <v>191.51</v>
      </c>
      <c r="S108" s="46">
        <v>5.3197222222222225</v>
      </c>
    </row>
    <row r="109" spans="16:47" x14ac:dyDescent="0.25">
      <c r="P109" s="462">
        <v>46177</v>
      </c>
      <c r="Q109" s="31">
        <v>53.25</v>
      </c>
      <c r="R109" s="31">
        <v>111.25</v>
      </c>
      <c r="S109" s="46">
        <v>5.5625</v>
      </c>
    </row>
    <row r="110" spans="16:47" x14ac:dyDescent="0.25">
      <c r="P110" s="462">
        <v>46179</v>
      </c>
      <c r="Q110" s="31">
        <v>47.428571428571431</v>
      </c>
      <c r="R110" s="31">
        <v>244.27</v>
      </c>
      <c r="S110" s="46">
        <v>5.8159523809523828</v>
      </c>
    </row>
    <row r="111" spans="16:47" x14ac:dyDescent="0.25">
      <c r="P111" s="462">
        <v>46180</v>
      </c>
      <c r="Q111" s="31">
        <v>53</v>
      </c>
      <c r="R111" s="31">
        <v>61.38</v>
      </c>
      <c r="S111" s="46">
        <v>4.7215384615384615</v>
      </c>
    </row>
    <row r="112" spans="16:47" x14ac:dyDescent="0.25">
      <c r="P112" s="24" t="s">
        <v>182</v>
      </c>
      <c r="Q112" s="31">
        <v>50.509803921568626</v>
      </c>
      <c r="R112" s="31">
        <v>633.05999999999995</v>
      </c>
      <c r="S112" s="46">
        <v>5.4574137931034477</v>
      </c>
    </row>
    <row r="121" spans="44:47" x14ac:dyDescent="0.25">
      <c r="AR121" s="23" t="s">
        <v>3663</v>
      </c>
    </row>
    <row r="122" spans="44:47" x14ac:dyDescent="0.25">
      <c r="AR122" t="s">
        <v>3656</v>
      </c>
      <c r="AU122" s="31">
        <f>GETPIVOTDATA(" Валовый сбор, т",$U$129)</f>
        <v>2147.9299999999998</v>
      </c>
    </row>
    <row r="123" spans="44:47" x14ac:dyDescent="0.25">
      <c r="AR123" t="s">
        <v>84</v>
      </c>
      <c r="AU123" s="31">
        <f>AU122/AU124</f>
        <v>411.8</v>
      </c>
    </row>
    <row r="124" spans="44:47" x14ac:dyDescent="0.25">
      <c r="AR124" t="s">
        <v>3657</v>
      </c>
      <c r="AU124" s="46">
        <f>GETPIVOTDATA(" Урожайность вал.вес, т/га",$U$129)</f>
        <v>5.2159543467702765</v>
      </c>
    </row>
    <row r="125" spans="44:47" x14ac:dyDescent="0.25">
      <c r="AR125" t="s">
        <v>3659</v>
      </c>
      <c r="AU125" s="31">
        <f>GETPIVOTDATA("Степень зрелости (финометр), %",$U$129)</f>
        <v>59.805555555555557</v>
      </c>
    </row>
    <row r="129" spans="21:33" ht="60" x14ac:dyDescent="0.25">
      <c r="U129" s="343" t="s">
        <v>3652</v>
      </c>
      <c r="V129" s="345" t="s">
        <v>3654</v>
      </c>
      <c r="W129" s="345" t="s">
        <v>3653</v>
      </c>
      <c r="X129" s="345" t="s">
        <v>3666</v>
      </c>
      <c r="Y129" s="345"/>
      <c r="Z129" s="345"/>
      <c r="AA129" s="345"/>
      <c r="AB129" s="345"/>
      <c r="AC129" s="345"/>
      <c r="AD129" s="345"/>
      <c r="AE129" s="345"/>
      <c r="AF129" s="345"/>
      <c r="AG129" s="345"/>
    </row>
    <row r="130" spans="21:33" x14ac:dyDescent="0.25">
      <c r="U130" s="24" t="s">
        <v>909</v>
      </c>
      <c r="V130" s="31">
        <v>59.805555555555557</v>
      </c>
      <c r="W130" s="31">
        <v>2147.9299999999998</v>
      </c>
      <c r="X130" s="46">
        <v>5.2159543467702765</v>
      </c>
      <c r="Y130" s="46"/>
      <c r="Z130" s="46"/>
      <c r="AA130" s="46"/>
      <c r="AB130" s="46"/>
      <c r="AC130" s="46"/>
      <c r="AD130" s="46"/>
      <c r="AE130" s="46"/>
      <c r="AF130" s="46"/>
      <c r="AG130" s="46"/>
    </row>
    <row r="131" spans="21:33" x14ac:dyDescent="0.25">
      <c r="U131" s="168" t="s">
        <v>3114</v>
      </c>
      <c r="V131" s="31">
        <v>55.6</v>
      </c>
      <c r="W131" s="31">
        <v>115.94</v>
      </c>
      <c r="X131" s="46">
        <v>3.7888888888888892</v>
      </c>
      <c r="Y131" s="46"/>
      <c r="Z131" s="46"/>
      <c r="AA131" s="46"/>
      <c r="AB131" s="46"/>
      <c r="AC131" s="46"/>
      <c r="AD131" s="46"/>
      <c r="AE131" s="46"/>
      <c r="AF131" s="46"/>
      <c r="AG131" s="46"/>
    </row>
    <row r="132" spans="21:33" x14ac:dyDescent="0.25">
      <c r="U132" s="462">
        <v>46192</v>
      </c>
      <c r="V132" s="31">
        <v>45</v>
      </c>
      <c r="W132" s="31">
        <v>13.77</v>
      </c>
      <c r="X132" s="46">
        <v>4.59</v>
      </c>
      <c r="Y132" s="46"/>
      <c r="Z132" s="46"/>
      <c r="AA132" s="46"/>
      <c r="AB132" s="46"/>
      <c r="AC132" s="46"/>
      <c r="AD132" s="46"/>
      <c r="AE132" s="46"/>
      <c r="AF132" s="46"/>
      <c r="AG132" s="46"/>
    </row>
    <row r="133" spans="21:33" x14ac:dyDescent="0.25">
      <c r="U133" s="462">
        <v>46193</v>
      </c>
      <c r="V133" s="31">
        <v>52.6</v>
      </c>
      <c r="W133" s="31">
        <v>47</v>
      </c>
      <c r="X133" s="46">
        <v>3.6153846153846159</v>
      </c>
      <c r="Y133" s="46"/>
      <c r="Z133" s="46"/>
      <c r="AA133" s="46"/>
      <c r="AB133" s="46"/>
      <c r="AC133" s="46"/>
      <c r="AD133" s="46"/>
      <c r="AE133" s="46"/>
      <c r="AF133" s="46"/>
      <c r="AG133" s="46"/>
    </row>
    <row r="134" spans="21:33" x14ac:dyDescent="0.25">
      <c r="U134" s="462">
        <v>46195</v>
      </c>
      <c r="V134" s="31">
        <v>62</v>
      </c>
      <c r="W134" s="31">
        <v>55.17</v>
      </c>
      <c r="X134" s="46">
        <v>3.7787671232876714</v>
      </c>
      <c r="Y134" s="46"/>
      <c r="Z134" s="46"/>
      <c r="AA134" s="46"/>
      <c r="AB134" s="46"/>
      <c r="AC134" s="46"/>
      <c r="AD134" s="46"/>
      <c r="AE134" s="46"/>
      <c r="AF134" s="46"/>
      <c r="AG134" s="46"/>
    </row>
    <row r="135" spans="21:33" x14ac:dyDescent="0.25">
      <c r="U135" s="168" t="s">
        <v>3115</v>
      </c>
      <c r="V135" s="31">
        <v>58.291666666666664</v>
      </c>
      <c r="W135" s="31">
        <v>312.26</v>
      </c>
      <c r="X135" s="46">
        <v>4.9174803149606294</v>
      </c>
      <c r="Y135" s="46"/>
      <c r="Z135" s="46"/>
      <c r="AA135" s="46"/>
      <c r="AB135" s="46"/>
      <c r="AC135" s="46"/>
      <c r="AD135" s="46"/>
      <c r="AE135" s="46"/>
      <c r="AF135" s="46"/>
      <c r="AG135" s="46"/>
    </row>
    <row r="136" spans="21:33" x14ac:dyDescent="0.25">
      <c r="U136" s="462">
        <v>46197</v>
      </c>
      <c r="V136" s="31">
        <v>55.333333333333336</v>
      </c>
      <c r="W136" s="31">
        <v>26.58</v>
      </c>
      <c r="X136" s="46">
        <v>6.9947368421052634</v>
      </c>
      <c r="Y136" s="46"/>
      <c r="Z136" s="46"/>
      <c r="AA136" s="46"/>
      <c r="AB136" s="46"/>
      <c r="AC136" s="46"/>
      <c r="AD136" s="46"/>
      <c r="AE136" s="46"/>
      <c r="AF136" s="46"/>
      <c r="AG136" s="46"/>
    </row>
    <row r="137" spans="21:33" x14ac:dyDescent="0.25">
      <c r="U137" s="462">
        <v>46198</v>
      </c>
      <c r="V137" s="31">
        <v>57.6</v>
      </c>
      <c r="W137" s="31">
        <v>104.12</v>
      </c>
      <c r="X137" s="46">
        <v>6.5898734177215177</v>
      </c>
      <c r="Y137" s="46"/>
      <c r="Z137" s="46"/>
      <c r="AA137" s="46"/>
      <c r="AB137" s="46"/>
      <c r="AC137" s="46"/>
      <c r="AD137" s="46"/>
      <c r="AE137" s="46"/>
      <c r="AF137" s="46"/>
      <c r="AG137" s="46"/>
    </row>
    <row r="138" spans="21:33" x14ac:dyDescent="0.25">
      <c r="U138" s="462">
        <v>46199</v>
      </c>
      <c r="V138" s="31">
        <v>66</v>
      </c>
      <c r="W138" s="31">
        <v>13.18</v>
      </c>
      <c r="X138" s="46">
        <v>8.7866666666666653</v>
      </c>
      <c r="Y138" s="46"/>
      <c r="Z138" s="46"/>
      <c r="AA138" s="46"/>
      <c r="AB138" s="46"/>
      <c r="AC138" s="46"/>
      <c r="AD138" s="46"/>
      <c r="AE138" s="46"/>
      <c r="AF138" s="46"/>
      <c r="AG138" s="46"/>
    </row>
    <row r="139" spans="21:33" x14ac:dyDescent="0.25">
      <c r="U139" s="462">
        <v>46200</v>
      </c>
      <c r="V139" s="31">
        <v>54.5</v>
      </c>
      <c r="W139" s="31">
        <v>103</v>
      </c>
      <c r="X139" s="46">
        <v>3.8007380073800738</v>
      </c>
      <c r="Y139" s="46"/>
      <c r="Z139" s="46"/>
      <c r="AA139" s="46"/>
      <c r="AB139" s="46"/>
      <c r="AC139" s="46"/>
      <c r="AD139" s="46"/>
      <c r="AE139" s="46"/>
      <c r="AF139" s="46"/>
      <c r="AG139" s="46"/>
    </row>
    <row r="140" spans="21:33" x14ac:dyDescent="0.25">
      <c r="U140" s="462">
        <v>46201</v>
      </c>
      <c r="V140" s="31">
        <v>66</v>
      </c>
      <c r="W140" s="31">
        <v>65.38</v>
      </c>
      <c r="X140" s="46">
        <v>4.2732026143790849</v>
      </c>
      <c r="Y140" s="46"/>
      <c r="Z140" s="46"/>
      <c r="AA140" s="46"/>
      <c r="AB140" s="46"/>
      <c r="AC140" s="46"/>
      <c r="AD140" s="46"/>
      <c r="AE140" s="46"/>
      <c r="AF140" s="46"/>
      <c r="AG140" s="46"/>
    </row>
    <row r="141" spans="21:33" x14ac:dyDescent="0.25">
      <c r="U141" s="168" t="s">
        <v>3116</v>
      </c>
      <c r="V141" s="31">
        <v>62.736842105263158</v>
      </c>
      <c r="W141" s="31">
        <v>746.54</v>
      </c>
      <c r="X141" s="46">
        <v>5.7916214119472444</v>
      </c>
      <c r="Y141" s="46"/>
      <c r="Z141" s="46"/>
      <c r="AA141" s="46"/>
      <c r="AB141" s="46"/>
      <c r="AC141" s="46"/>
      <c r="AD141" s="46"/>
      <c r="AE141" s="46"/>
      <c r="AF141" s="46"/>
      <c r="AG141" s="46"/>
    </row>
    <row r="142" spans="21:33" x14ac:dyDescent="0.25">
      <c r="U142" s="462">
        <v>46193</v>
      </c>
      <c r="V142" s="31">
        <v>50</v>
      </c>
      <c r="W142" s="31">
        <v>4.46</v>
      </c>
      <c r="X142" s="46">
        <v>4.46</v>
      </c>
      <c r="Y142" s="46"/>
      <c r="Z142" s="46"/>
      <c r="AA142" s="46"/>
      <c r="AB142" s="46"/>
      <c r="AC142" s="46"/>
      <c r="AD142" s="46"/>
      <c r="AE142" s="46"/>
      <c r="AF142" s="46"/>
      <c r="AG142" s="46"/>
    </row>
    <row r="143" spans="21:33" x14ac:dyDescent="0.25">
      <c r="U143" s="462">
        <v>46194</v>
      </c>
      <c r="V143" s="31">
        <v>58.875</v>
      </c>
      <c r="W143" s="31">
        <v>202.24</v>
      </c>
      <c r="X143" s="46">
        <v>6.3398119122257039</v>
      </c>
      <c r="Y143" s="46"/>
      <c r="Z143" s="46"/>
      <c r="AA143" s="46"/>
      <c r="AB143" s="46"/>
      <c r="AC143" s="46"/>
      <c r="AD143" s="46"/>
      <c r="AE143" s="46"/>
      <c r="AF143" s="46"/>
      <c r="AG143" s="46"/>
    </row>
    <row r="144" spans="21:33" x14ac:dyDescent="0.25">
      <c r="U144" s="462">
        <v>46195</v>
      </c>
      <c r="V144" s="31">
        <v>62.583333333333336</v>
      </c>
      <c r="W144" s="31">
        <v>156.69999999999999</v>
      </c>
      <c r="X144" s="46">
        <v>7.4265402843601889</v>
      </c>
      <c r="Y144" s="46"/>
      <c r="Z144" s="46"/>
      <c r="AA144" s="46"/>
      <c r="AB144" s="46"/>
      <c r="AC144" s="46"/>
      <c r="AD144" s="46"/>
      <c r="AE144" s="46"/>
      <c r="AF144" s="46"/>
      <c r="AG144" s="46"/>
    </row>
    <row r="145" spans="21:47" x14ac:dyDescent="0.25">
      <c r="U145" s="462">
        <v>46196</v>
      </c>
      <c r="V145" s="31">
        <v>60.2</v>
      </c>
      <c r="W145" s="31">
        <v>66.02</v>
      </c>
      <c r="X145" s="46">
        <v>6.6020000000000003</v>
      </c>
      <c r="Y145" s="46"/>
      <c r="Z145" s="46"/>
      <c r="AA145" s="46"/>
      <c r="AB145" s="46"/>
      <c r="AC145" s="46"/>
      <c r="AD145" s="46"/>
      <c r="AE145" s="46"/>
      <c r="AF145" s="46"/>
      <c r="AG145" s="46"/>
    </row>
    <row r="146" spans="21:47" x14ac:dyDescent="0.25">
      <c r="U146" s="462">
        <v>46198</v>
      </c>
      <c r="V146" s="31">
        <v>55</v>
      </c>
      <c r="W146" s="31">
        <v>26.78</v>
      </c>
      <c r="X146" s="46">
        <v>6.5317073170731712</v>
      </c>
      <c r="Y146" s="46"/>
      <c r="Z146" s="46"/>
      <c r="AA146" s="46"/>
      <c r="AB146" s="46"/>
      <c r="AC146" s="46"/>
      <c r="AD146" s="46"/>
      <c r="AE146" s="46"/>
      <c r="AF146" s="46"/>
      <c r="AG146" s="46"/>
    </row>
    <row r="147" spans="21:47" x14ac:dyDescent="0.25">
      <c r="U147" s="462">
        <v>46199</v>
      </c>
      <c r="V147" s="31">
        <v>66.333333333333329</v>
      </c>
      <c r="W147" s="31">
        <v>158.74</v>
      </c>
      <c r="X147" s="46">
        <v>3.8622871046228715</v>
      </c>
      <c r="Y147" s="46"/>
      <c r="Z147" s="46"/>
      <c r="AA147" s="46"/>
      <c r="AB147" s="46"/>
      <c r="AC147" s="46"/>
      <c r="AD147" s="46"/>
      <c r="AE147" s="46"/>
      <c r="AF147" s="46"/>
      <c r="AG147" s="46"/>
    </row>
    <row r="148" spans="21:47" x14ac:dyDescent="0.25">
      <c r="U148" s="462">
        <v>46200</v>
      </c>
      <c r="V148" s="31">
        <v>65.333333333333329</v>
      </c>
      <c r="W148" s="31">
        <v>86.04</v>
      </c>
      <c r="X148" s="46">
        <v>6.7218749999999998</v>
      </c>
      <c r="Y148" s="46"/>
      <c r="Z148" s="46"/>
      <c r="AA148" s="46"/>
      <c r="AB148" s="46"/>
      <c r="AC148" s="46"/>
      <c r="AD148" s="46"/>
      <c r="AE148" s="46"/>
      <c r="AF148" s="46"/>
      <c r="AG148" s="46"/>
      <c r="AR148" s="23" t="s">
        <v>3664</v>
      </c>
    </row>
    <row r="149" spans="21:47" x14ac:dyDescent="0.25">
      <c r="U149" s="462">
        <v>46201</v>
      </c>
      <c r="V149" s="31">
        <v>78</v>
      </c>
      <c r="W149" s="31">
        <v>45.56</v>
      </c>
      <c r="X149" s="46">
        <v>6.602898550724638</v>
      </c>
      <c r="Y149" s="46"/>
      <c r="Z149" s="46"/>
      <c r="AA149" s="46"/>
      <c r="AB149" s="46"/>
      <c r="AC149" s="46"/>
      <c r="AD149" s="46"/>
      <c r="AE149" s="46"/>
      <c r="AF149" s="46"/>
      <c r="AG149" s="46"/>
      <c r="AR149" t="s">
        <v>3656</v>
      </c>
      <c r="AU149" s="31">
        <f>GETPIVOTDATA(" Валовый сбор, т",$Z$153)</f>
        <v>417.12</v>
      </c>
    </row>
    <row r="150" spans="21:47" x14ac:dyDescent="0.25">
      <c r="U150" s="168" t="s">
        <v>3095</v>
      </c>
      <c r="V150" s="31">
        <v>62.733333333333334</v>
      </c>
      <c r="W150" s="31">
        <v>161.44</v>
      </c>
      <c r="X150" s="46">
        <v>4.1394871794871797</v>
      </c>
      <c r="Y150" s="46"/>
      <c r="Z150" s="46"/>
      <c r="AA150" s="46"/>
      <c r="AB150" s="46"/>
      <c r="AC150" s="46"/>
      <c r="AD150" s="46"/>
      <c r="AE150" s="46"/>
      <c r="AF150" s="46"/>
      <c r="AG150" s="46"/>
      <c r="AR150" t="s">
        <v>84</v>
      </c>
      <c r="AU150" s="31">
        <f>AU149/AU151</f>
        <v>84.000000000000014</v>
      </c>
    </row>
    <row r="151" spans="21:47" x14ac:dyDescent="0.25">
      <c r="U151" s="462">
        <v>46189</v>
      </c>
      <c r="V151" s="31">
        <v>62.733333333333334</v>
      </c>
      <c r="W151" s="31">
        <v>161.44</v>
      </c>
      <c r="X151" s="46">
        <v>4.1394871794871797</v>
      </c>
      <c r="Y151" s="46"/>
      <c r="Z151" s="46"/>
      <c r="AA151" s="46"/>
      <c r="AB151" s="46"/>
      <c r="AC151" s="46"/>
      <c r="AD151" s="46"/>
      <c r="AE151" s="46"/>
      <c r="AF151" s="46"/>
      <c r="AG151" s="46"/>
      <c r="AR151" t="s">
        <v>3657</v>
      </c>
      <c r="AU151" s="46">
        <f>GETPIVOTDATA(" Урожайность вал.вес, т/га",$Z$153)</f>
        <v>4.9657142857142853</v>
      </c>
    </row>
    <row r="152" spans="21:47" x14ac:dyDescent="0.25">
      <c r="U152" s="168" t="s">
        <v>3109</v>
      </c>
      <c r="V152" s="31">
        <v>57.666666666666664</v>
      </c>
      <c r="W152" s="31">
        <v>133.38999999999999</v>
      </c>
      <c r="X152" s="46">
        <v>6.6695000000000011</v>
      </c>
      <c r="Y152" s="46"/>
      <c r="AE152" s="46"/>
      <c r="AF152" s="46"/>
      <c r="AG152" s="46"/>
      <c r="AR152" t="s">
        <v>3659</v>
      </c>
      <c r="AU152" s="31">
        <f>GETPIVOTDATA("Степень зрелости (финометр), %",$Z$153)</f>
        <v>54.804878048780488</v>
      </c>
    </row>
    <row r="153" spans="21:47" ht="60" x14ac:dyDescent="0.25">
      <c r="U153" s="462">
        <v>46190</v>
      </c>
      <c r="V153" s="31">
        <v>57.666666666666664</v>
      </c>
      <c r="W153" s="31">
        <v>133.38999999999999</v>
      </c>
      <c r="X153" s="46">
        <v>6.6695000000000011</v>
      </c>
      <c r="Y153" s="46"/>
      <c r="Z153" s="343" t="s">
        <v>3652</v>
      </c>
      <c r="AA153" s="345" t="s">
        <v>3654</v>
      </c>
      <c r="AB153" s="345" t="s">
        <v>3653</v>
      </c>
      <c r="AC153" s="345" t="s">
        <v>3666</v>
      </c>
      <c r="AE153" s="46"/>
      <c r="AF153" s="46"/>
      <c r="AG153" s="46"/>
    </row>
    <row r="154" spans="21:47" x14ac:dyDescent="0.25">
      <c r="U154" s="168" t="s">
        <v>3097</v>
      </c>
      <c r="V154" s="31">
        <v>53.558823529411768</v>
      </c>
      <c r="W154" s="31">
        <v>390.48</v>
      </c>
      <c r="X154" s="46">
        <v>6.1980952380952363</v>
      </c>
      <c r="Y154" s="46"/>
      <c r="Z154" s="24" t="s">
        <v>747</v>
      </c>
      <c r="AA154" s="31">
        <v>54.804878048780488</v>
      </c>
      <c r="AB154" s="31">
        <v>417.12</v>
      </c>
      <c r="AC154" s="46">
        <v>4.9657142857142853</v>
      </c>
      <c r="AF154" s="46"/>
      <c r="AG154" s="46"/>
    </row>
    <row r="155" spans="21:47" x14ac:dyDescent="0.25">
      <c r="U155" s="462">
        <v>46190</v>
      </c>
      <c r="V155" s="31">
        <v>55</v>
      </c>
      <c r="W155" s="31">
        <v>126.75</v>
      </c>
      <c r="X155" s="46">
        <v>6.0071090047393376</v>
      </c>
      <c r="Y155" s="46"/>
      <c r="Z155" s="168" t="s">
        <v>2974</v>
      </c>
      <c r="AA155" s="31">
        <v>53.941176470588232</v>
      </c>
      <c r="AB155" s="31">
        <v>206.84</v>
      </c>
      <c r="AC155" s="46">
        <v>6.6722580645161287</v>
      </c>
      <c r="AF155" s="46"/>
      <c r="AG155" s="46"/>
    </row>
    <row r="156" spans="21:47" x14ac:dyDescent="0.25">
      <c r="U156" s="462">
        <v>46191</v>
      </c>
      <c r="V156" s="31">
        <v>52.954545454545453</v>
      </c>
      <c r="W156" s="31">
        <v>248.35</v>
      </c>
      <c r="X156" s="46">
        <v>6.3679487179487166</v>
      </c>
      <c r="Y156" s="46"/>
      <c r="Z156" s="462">
        <v>46182</v>
      </c>
      <c r="AA156" s="31">
        <v>53.941176470588232</v>
      </c>
      <c r="AB156" s="31">
        <v>206.84</v>
      </c>
      <c r="AC156" s="46">
        <v>6.6722580645161287</v>
      </c>
      <c r="AF156" s="46"/>
      <c r="AG156" s="46"/>
    </row>
    <row r="157" spans="21:47" x14ac:dyDescent="0.25">
      <c r="U157" s="462">
        <v>46192</v>
      </c>
      <c r="V157" s="31">
        <v>51</v>
      </c>
      <c r="W157" s="31">
        <v>15.38</v>
      </c>
      <c r="X157" s="46">
        <v>5.3034482758620687</v>
      </c>
      <c r="Y157" s="46"/>
      <c r="Z157" s="168" t="s">
        <v>3099</v>
      </c>
      <c r="AA157" s="31">
        <v>54.416666666666664</v>
      </c>
      <c r="AB157" s="31">
        <v>134.59</v>
      </c>
      <c r="AC157" s="46">
        <v>6.7294999999999998</v>
      </c>
      <c r="AF157" s="46"/>
      <c r="AG157" s="46"/>
    </row>
    <row r="158" spans="21:47" x14ac:dyDescent="0.25">
      <c r="U158" s="168" t="s">
        <v>864</v>
      </c>
      <c r="V158" s="31">
        <v>65</v>
      </c>
      <c r="W158" s="31">
        <v>35.86</v>
      </c>
      <c r="X158" s="46">
        <v>4.0749999999999993</v>
      </c>
      <c r="Y158" s="46"/>
      <c r="Z158" s="462">
        <v>46182</v>
      </c>
      <c r="AA158" s="31">
        <v>53.333333333333336</v>
      </c>
      <c r="AB158" s="31">
        <v>69.47</v>
      </c>
      <c r="AC158" s="46">
        <v>6.9470000000000001</v>
      </c>
      <c r="AF158" s="46"/>
      <c r="AG158" s="46"/>
    </row>
    <row r="159" spans="21:47" x14ac:dyDescent="0.25">
      <c r="U159" s="462">
        <v>46198</v>
      </c>
      <c r="V159" s="31">
        <v>65</v>
      </c>
      <c r="W159" s="31">
        <v>35.86</v>
      </c>
      <c r="X159" s="46">
        <v>4.0749999999999993</v>
      </c>
      <c r="Y159" s="46"/>
      <c r="Z159" s="462">
        <v>46183</v>
      </c>
      <c r="AA159" s="31">
        <v>55.5</v>
      </c>
      <c r="AB159" s="31">
        <v>65.12</v>
      </c>
      <c r="AC159" s="46">
        <v>6.5119999999999996</v>
      </c>
      <c r="AF159" s="46"/>
      <c r="AG159" s="46"/>
    </row>
    <row r="160" spans="21:47" x14ac:dyDescent="0.25">
      <c r="U160" s="168" t="s">
        <v>2884</v>
      </c>
      <c r="V160" s="31">
        <v>61.4375</v>
      </c>
      <c r="W160" s="31">
        <v>151.35</v>
      </c>
      <c r="X160" s="46">
        <v>3.8807692307692299</v>
      </c>
      <c r="Z160" s="168" t="s">
        <v>3111</v>
      </c>
      <c r="AA160" s="31">
        <v>56.416666666666664</v>
      </c>
      <c r="AB160" s="31">
        <v>75.69</v>
      </c>
      <c r="AC160" s="46">
        <v>2.293636363636363</v>
      </c>
    </row>
    <row r="161" spans="21:47" x14ac:dyDescent="0.25">
      <c r="U161" s="462">
        <v>46189</v>
      </c>
      <c r="V161" s="31">
        <v>61</v>
      </c>
      <c r="W161" s="31">
        <v>12.24</v>
      </c>
      <c r="X161" s="46">
        <v>3.06</v>
      </c>
      <c r="Z161" s="462">
        <v>46203</v>
      </c>
      <c r="AA161" s="31">
        <v>55.555555555555557</v>
      </c>
      <c r="AB161" s="31">
        <v>54.54</v>
      </c>
      <c r="AC161" s="46">
        <v>1.9409252669039143</v>
      </c>
    </row>
    <row r="162" spans="21:47" x14ac:dyDescent="0.25">
      <c r="U162" s="462">
        <v>46197</v>
      </c>
      <c r="V162" s="31">
        <v>61.428571428571431</v>
      </c>
      <c r="W162" s="31">
        <v>125.48</v>
      </c>
      <c r="X162" s="46">
        <v>3.8139817629179342</v>
      </c>
      <c r="Z162" s="462">
        <v>46204</v>
      </c>
      <c r="AA162" s="31">
        <v>59</v>
      </c>
      <c r="AB162" s="31">
        <v>21.15</v>
      </c>
      <c r="AC162" s="46">
        <v>4.3163265306122449</v>
      </c>
    </row>
    <row r="163" spans="21:47" x14ac:dyDescent="0.25">
      <c r="U163" s="462">
        <v>46198</v>
      </c>
      <c r="V163" s="31">
        <v>62</v>
      </c>
      <c r="W163" s="31">
        <v>13.63</v>
      </c>
      <c r="X163" s="46">
        <v>6.4904761904761896</v>
      </c>
      <c r="Z163" s="24" t="s">
        <v>182</v>
      </c>
      <c r="AA163" s="31">
        <v>54.804878048780488</v>
      </c>
      <c r="AB163" s="31">
        <v>417.12</v>
      </c>
      <c r="AC163" s="46">
        <v>4.9657142857142853</v>
      </c>
    </row>
    <row r="164" spans="21:47" x14ac:dyDescent="0.25">
      <c r="U164" s="168" t="s">
        <v>3112</v>
      </c>
      <c r="V164" s="31">
        <v>66.7</v>
      </c>
      <c r="W164" s="31">
        <v>100.67</v>
      </c>
      <c r="X164" s="46">
        <v>5.2984210526315794</v>
      </c>
    </row>
    <row r="165" spans="21:47" x14ac:dyDescent="0.25">
      <c r="U165" s="462">
        <v>46198</v>
      </c>
      <c r="V165" s="31">
        <v>66.7</v>
      </c>
      <c r="W165" s="31">
        <v>100.67</v>
      </c>
      <c r="X165" s="46">
        <v>5.2984210526315794</v>
      </c>
    </row>
    <row r="166" spans="21:47" x14ac:dyDescent="0.25">
      <c r="U166" s="24" t="s">
        <v>182</v>
      </c>
      <c r="V166" s="31">
        <v>59.805555555555557</v>
      </c>
      <c r="W166" s="31">
        <v>2147.9299999999998</v>
      </c>
      <c r="X166" s="46">
        <v>5.2159543467702765</v>
      </c>
    </row>
    <row r="172" spans="21:47" ht="60" x14ac:dyDescent="0.25">
      <c r="AE172" s="343" t="s">
        <v>3652</v>
      </c>
      <c r="AF172" s="345" t="s">
        <v>3654</v>
      </c>
      <c r="AG172" s="345" t="s">
        <v>3653</v>
      </c>
      <c r="AH172" s="345" t="s">
        <v>3666</v>
      </c>
      <c r="AI172" s="345"/>
      <c r="AJ172" s="345"/>
      <c r="AK172" s="345"/>
      <c r="AL172" s="345"/>
      <c r="AM172" s="345"/>
      <c r="AN172" s="345"/>
      <c r="AO172" s="345"/>
      <c r="AP172" s="345"/>
      <c r="AQ172" s="345"/>
      <c r="AR172" s="23" t="s">
        <v>3665</v>
      </c>
    </row>
    <row r="173" spans="21:47" x14ac:dyDescent="0.25">
      <c r="AE173" s="24" t="s">
        <v>901</v>
      </c>
      <c r="AF173" s="31">
        <v>57.130434782608695</v>
      </c>
      <c r="AG173" s="31">
        <v>1936.11</v>
      </c>
      <c r="AH173" s="46">
        <v>4.1111631685921441</v>
      </c>
      <c r="AI173" s="46"/>
      <c r="AJ173" s="46"/>
      <c r="AK173" s="46"/>
      <c r="AL173" s="46"/>
      <c r="AM173" s="46"/>
      <c r="AN173" s="46"/>
      <c r="AO173" s="46"/>
      <c r="AP173" s="46"/>
      <c r="AQ173" s="46"/>
      <c r="AR173" t="s">
        <v>3656</v>
      </c>
      <c r="AU173" s="31">
        <f>GETPIVOTDATA(" Валовый сбор, т",$AE$172)</f>
        <v>1936.11</v>
      </c>
    </row>
    <row r="174" spans="21:47" x14ac:dyDescent="0.25">
      <c r="AE174" s="168" t="s">
        <v>3120</v>
      </c>
      <c r="AF174" s="31">
        <v>57.647058823529413</v>
      </c>
      <c r="AG174" s="31">
        <v>221.1</v>
      </c>
      <c r="AH174" s="46">
        <v>2.7951959544879901</v>
      </c>
      <c r="AI174" s="46"/>
      <c r="AJ174" s="46"/>
      <c r="AK174" s="46"/>
      <c r="AL174" s="46"/>
      <c r="AM174" s="46"/>
      <c r="AN174" s="46"/>
      <c r="AO174" s="46"/>
      <c r="AP174" s="46"/>
      <c r="AQ174" s="46"/>
      <c r="AR174" t="s">
        <v>84</v>
      </c>
      <c r="AU174" s="31">
        <f>AU173/AU175</f>
        <v>470.93971234010036</v>
      </c>
    </row>
    <row r="175" spans="21:47" x14ac:dyDescent="0.25">
      <c r="AE175" s="462">
        <v>46198</v>
      </c>
      <c r="AF175" s="31">
        <v>53.222222222222221</v>
      </c>
      <c r="AG175" s="31">
        <v>118.38</v>
      </c>
      <c r="AH175" s="46">
        <v>3.9460000000000006</v>
      </c>
      <c r="AI175" s="46"/>
      <c r="AJ175" s="46"/>
      <c r="AK175" s="46"/>
      <c r="AL175" s="46"/>
      <c r="AM175" s="46"/>
      <c r="AN175" s="46"/>
      <c r="AO175" s="46"/>
      <c r="AP175" s="46"/>
      <c r="AQ175" s="46"/>
      <c r="AR175" t="s">
        <v>3657</v>
      </c>
      <c r="AU175" s="46">
        <f>GETPIVOTDATA(" Урожайность вал.вес, т/га",$AE$172)</f>
        <v>4.1111631685921441</v>
      </c>
    </row>
    <row r="176" spans="21:47" x14ac:dyDescent="0.25">
      <c r="AE176" s="462">
        <v>46199</v>
      </c>
      <c r="AF176" s="31">
        <v>59.75</v>
      </c>
      <c r="AG176" s="31">
        <v>52.71</v>
      </c>
      <c r="AH176" s="46">
        <v>2.0916666666666663</v>
      </c>
      <c r="AI176" s="46"/>
      <c r="AJ176" s="46"/>
      <c r="AK176" s="46"/>
      <c r="AL176" s="46"/>
      <c r="AM176" s="46"/>
      <c r="AN176" s="46"/>
      <c r="AO176" s="46"/>
      <c r="AP176" s="46"/>
      <c r="AQ176" s="46"/>
      <c r="AR176" t="s">
        <v>3659</v>
      </c>
      <c r="AU176" s="31">
        <f>GETPIVOTDATA("Степень зрелости (финометр), %",$AE$172)</f>
        <v>57.130434782608695</v>
      </c>
    </row>
    <row r="177" spans="31:43" x14ac:dyDescent="0.25">
      <c r="AE177" s="462">
        <v>46200</v>
      </c>
      <c r="AF177" s="31">
        <v>65.5</v>
      </c>
      <c r="AG177" s="31">
        <v>50.01</v>
      </c>
      <c r="AH177" s="46">
        <v>2.092468619246862</v>
      </c>
      <c r="AI177" s="46"/>
      <c r="AJ177" s="46"/>
      <c r="AK177" s="46"/>
      <c r="AL177" s="46"/>
      <c r="AM177" s="46"/>
      <c r="AN177" s="46"/>
      <c r="AO177" s="46"/>
      <c r="AP177" s="46"/>
      <c r="AQ177" s="46"/>
    </row>
    <row r="178" spans="31:43" x14ac:dyDescent="0.25">
      <c r="AE178" s="168" t="s">
        <v>3092</v>
      </c>
      <c r="AF178" s="31">
        <v>55.6</v>
      </c>
      <c r="AG178" s="31">
        <v>125.19</v>
      </c>
      <c r="AH178" s="46">
        <v>3.2067346938775514</v>
      </c>
      <c r="AI178" s="46"/>
      <c r="AJ178" s="46"/>
      <c r="AK178" s="46"/>
      <c r="AL178" s="46"/>
      <c r="AM178" s="46"/>
      <c r="AN178" s="46"/>
      <c r="AO178" s="46"/>
      <c r="AP178" s="46"/>
      <c r="AQ178" s="46"/>
    </row>
    <row r="179" spans="31:43" x14ac:dyDescent="0.25">
      <c r="AE179" s="462">
        <v>46204</v>
      </c>
      <c r="AF179" s="31">
        <v>55.571428571428569</v>
      </c>
      <c r="AG179" s="31">
        <v>84.41</v>
      </c>
      <c r="AH179" s="46">
        <v>3.2067346938775509</v>
      </c>
      <c r="AI179" s="46"/>
      <c r="AJ179" s="46"/>
      <c r="AK179" s="46"/>
      <c r="AL179" s="46"/>
      <c r="AM179" s="46"/>
      <c r="AN179" s="46"/>
      <c r="AO179" s="46"/>
      <c r="AP179" s="46"/>
      <c r="AQ179" s="46"/>
    </row>
    <row r="180" spans="31:43" x14ac:dyDescent="0.25">
      <c r="AE180" s="462">
        <v>46209</v>
      </c>
      <c r="AF180" s="31">
        <v>55.666666666666664</v>
      </c>
      <c r="AG180" s="31">
        <v>40.78</v>
      </c>
      <c r="AH180" s="46">
        <v>3.2067346938775509</v>
      </c>
      <c r="AI180" s="46"/>
      <c r="AJ180" s="46"/>
      <c r="AK180" s="46"/>
      <c r="AL180" s="46"/>
      <c r="AM180" s="46"/>
      <c r="AN180" s="46"/>
      <c r="AO180" s="46"/>
      <c r="AP180" s="46"/>
      <c r="AQ180" s="46"/>
    </row>
    <row r="181" spans="31:43" x14ac:dyDescent="0.25">
      <c r="AE181" s="168" t="s">
        <v>3100</v>
      </c>
      <c r="AF181" s="31">
        <v>59.4</v>
      </c>
      <c r="AG181" s="31">
        <v>279.93</v>
      </c>
      <c r="AH181" s="46">
        <v>7.1776923076923049</v>
      </c>
      <c r="AI181" s="46"/>
      <c r="AJ181" s="46"/>
      <c r="AK181" s="46"/>
      <c r="AL181" s="46"/>
      <c r="AM181" s="46"/>
      <c r="AN181" s="46"/>
      <c r="AO181" s="46"/>
      <c r="AP181" s="46"/>
      <c r="AQ181" s="46"/>
    </row>
    <row r="182" spans="31:43" x14ac:dyDescent="0.25">
      <c r="AE182" s="462">
        <v>46184</v>
      </c>
      <c r="AF182" s="31">
        <v>59.4</v>
      </c>
      <c r="AG182" s="31">
        <v>176.37</v>
      </c>
      <c r="AH182" s="46">
        <v>8.0168181818181807</v>
      </c>
      <c r="AI182" s="46"/>
      <c r="AJ182" s="46"/>
      <c r="AK182" s="46"/>
      <c r="AL182" s="46"/>
      <c r="AM182" s="46"/>
      <c r="AN182" s="46"/>
      <c r="AO182" s="46"/>
      <c r="AP182" s="46"/>
      <c r="AQ182" s="46"/>
    </row>
    <row r="183" spans="31:43" x14ac:dyDescent="0.25">
      <c r="AE183" s="462">
        <v>46185</v>
      </c>
      <c r="AF183" s="31">
        <v>59.4</v>
      </c>
      <c r="AG183" s="31">
        <v>103.56</v>
      </c>
      <c r="AH183" s="46">
        <v>6.091764705882353</v>
      </c>
      <c r="AI183" s="46"/>
      <c r="AJ183" s="46"/>
      <c r="AK183" s="46"/>
      <c r="AL183" s="46"/>
      <c r="AM183" s="46"/>
      <c r="AN183" s="46"/>
      <c r="AO183" s="46"/>
      <c r="AP183" s="46"/>
      <c r="AQ183" s="46"/>
    </row>
    <row r="184" spans="31:43" x14ac:dyDescent="0.25">
      <c r="AE184" s="168" t="s">
        <v>3105</v>
      </c>
      <c r="AF184" s="31">
        <v>57.666666666666664</v>
      </c>
      <c r="AG184" s="31">
        <v>23.42</v>
      </c>
      <c r="AH184" s="46">
        <v>7.8066666666666666</v>
      </c>
    </row>
    <row r="185" spans="31:43" x14ac:dyDescent="0.25">
      <c r="AE185" s="462">
        <v>46189</v>
      </c>
      <c r="AF185" s="31">
        <v>57.666666666666664</v>
      </c>
      <c r="AG185" s="31">
        <v>23.42</v>
      </c>
      <c r="AH185" s="46">
        <v>7.8066666666666666</v>
      </c>
    </row>
    <row r="186" spans="31:43" x14ac:dyDescent="0.25">
      <c r="AE186" s="168" t="s">
        <v>3106</v>
      </c>
      <c r="AF186" s="31">
        <v>59.5</v>
      </c>
      <c r="AG186" s="31">
        <v>27.34</v>
      </c>
      <c r="AH186" s="46">
        <v>5.468</v>
      </c>
    </row>
    <row r="187" spans="31:43" x14ac:dyDescent="0.25">
      <c r="AE187" s="462">
        <v>46189</v>
      </c>
      <c r="AF187" s="31">
        <v>59.5</v>
      </c>
      <c r="AG187" s="31">
        <v>27.34</v>
      </c>
      <c r="AH187" s="46">
        <v>5.468</v>
      </c>
    </row>
    <row r="188" spans="31:43" x14ac:dyDescent="0.25">
      <c r="AE188" s="168" t="s">
        <v>3122</v>
      </c>
      <c r="AF188" s="31">
        <v>55.277777777777779</v>
      </c>
      <c r="AG188" s="31">
        <v>233.34</v>
      </c>
      <c r="AH188" s="46">
        <v>6.6668571428571433</v>
      </c>
    </row>
    <row r="189" spans="31:43" x14ac:dyDescent="0.25">
      <c r="AE189" s="462">
        <v>46201</v>
      </c>
      <c r="AF189" s="31">
        <v>55.277777777777779</v>
      </c>
      <c r="AG189" s="31">
        <v>233.34</v>
      </c>
      <c r="AH189" s="46">
        <v>6.6668571428571433</v>
      </c>
    </row>
    <row r="190" spans="31:43" x14ac:dyDescent="0.25">
      <c r="AE190" s="168" t="s">
        <v>3123</v>
      </c>
      <c r="AF190" s="31">
        <v>59.416666666666664</v>
      </c>
      <c r="AG190" s="31">
        <v>299.63</v>
      </c>
      <c r="AH190" s="46">
        <v>5.3409982174688055</v>
      </c>
    </row>
    <row r="191" spans="31:43" x14ac:dyDescent="0.25">
      <c r="AE191" s="462">
        <v>46203</v>
      </c>
      <c r="AF191" s="31">
        <v>51</v>
      </c>
      <c r="AG191" s="31">
        <v>51.29</v>
      </c>
      <c r="AH191" s="46">
        <v>5.3409982174688064</v>
      </c>
    </row>
    <row r="192" spans="31:43" x14ac:dyDescent="0.25">
      <c r="AE192" s="462">
        <v>46207</v>
      </c>
      <c r="AF192" s="31">
        <v>58.5</v>
      </c>
      <c r="AG192" s="31">
        <v>10.45</v>
      </c>
      <c r="AH192" s="46">
        <v>5.3409982174688055</v>
      </c>
    </row>
    <row r="193" spans="31:47" x14ac:dyDescent="0.25">
      <c r="AE193" s="462">
        <v>46208</v>
      </c>
      <c r="AF193" s="31">
        <v>56.5</v>
      </c>
      <c r="AG193" s="31">
        <v>79.180000000000007</v>
      </c>
      <c r="AH193" s="46">
        <v>5.3409982174688055</v>
      </c>
    </row>
    <row r="194" spans="31:47" x14ac:dyDescent="0.25">
      <c r="AE194" s="462">
        <v>46209</v>
      </c>
      <c r="AF194" s="31">
        <v>63.833333333333336</v>
      </c>
      <c r="AG194" s="31">
        <v>158.71</v>
      </c>
      <c r="AH194" s="46">
        <v>5.3409982174688055</v>
      </c>
    </row>
    <row r="195" spans="31:47" x14ac:dyDescent="0.25">
      <c r="AE195" s="168" t="s">
        <v>3121</v>
      </c>
      <c r="AF195" s="31">
        <v>52.3</v>
      </c>
      <c r="AG195" s="31">
        <v>135.01</v>
      </c>
      <c r="AH195" s="46">
        <v>4.9819188191881913</v>
      </c>
    </row>
    <row r="196" spans="31:47" x14ac:dyDescent="0.25">
      <c r="AE196" s="462">
        <v>46204</v>
      </c>
      <c r="AF196" s="31">
        <v>52.3</v>
      </c>
      <c r="AG196" s="31">
        <v>135.01</v>
      </c>
      <c r="AH196" s="46">
        <v>4.9819188191881913</v>
      </c>
    </row>
    <row r="197" spans="31:47" x14ac:dyDescent="0.25">
      <c r="AE197" s="168" t="s">
        <v>3118</v>
      </c>
      <c r="AF197" s="31">
        <v>55</v>
      </c>
      <c r="AG197" s="31">
        <v>103.96</v>
      </c>
      <c r="AH197" s="46">
        <v>2.6932642487046632</v>
      </c>
    </row>
    <row r="198" spans="31:47" x14ac:dyDescent="0.25">
      <c r="AE198" s="462">
        <v>46205</v>
      </c>
      <c r="AF198" s="31">
        <v>55</v>
      </c>
      <c r="AG198" s="31">
        <v>13.88</v>
      </c>
      <c r="AH198" s="46">
        <v>3.3047619047619046</v>
      </c>
    </row>
    <row r="199" spans="31:47" x14ac:dyDescent="0.25">
      <c r="AE199" s="462">
        <v>46209</v>
      </c>
      <c r="AF199" s="31">
        <v>55</v>
      </c>
      <c r="AG199" s="31">
        <v>90.08</v>
      </c>
      <c r="AH199" s="46">
        <v>2.6186046511627912</v>
      </c>
    </row>
    <row r="200" spans="31:47" x14ac:dyDescent="0.25">
      <c r="AE200" s="168" t="s">
        <v>3110</v>
      </c>
      <c r="AF200" s="31">
        <v>51</v>
      </c>
      <c r="AG200" s="31">
        <v>154.94</v>
      </c>
      <c r="AH200" s="46">
        <v>2.4990322580645161</v>
      </c>
    </row>
    <row r="201" spans="31:47" ht="60" x14ac:dyDescent="0.25">
      <c r="AE201" s="462">
        <v>46205</v>
      </c>
      <c r="AF201" s="31">
        <v>50.5</v>
      </c>
      <c r="AG201" s="31">
        <v>71.52</v>
      </c>
      <c r="AH201" s="46">
        <v>2.5006993006993006</v>
      </c>
      <c r="AK201" s="343" t="s">
        <v>3652</v>
      </c>
      <c r="AL201" s="345" t="s">
        <v>3654</v>
      </c>
      <c r="AM201" s="345" t="s">
        <v>3653</v>
      </c>
      <c r="AN201" s="345" t="s">
        <v>3666</v>
      </c>
      <c r="AR201" s="23" t="s">
        <v>3758</v>
      </c>
    </row>
    <row r="202" spans="31:47" x14ac:dyDescent="0.25">
      <c r="AE202" s="462">
        <v>46206</v>
      </c>
      <c r="AF202" s="31">
        <v>53.5</v>
      </c>
      <c r="AG202" s="31">
        <v>22.81</v>
      </c>
      <c r="AH202" s="46">
        <v>2.4793478260869564</v>
      </c>
      <c r="AK202" s="24" t="s">
        <v>897</v>
      </c>
      <c r="AL202" s="31">
        <v>58.805555555555557</v>
      </c>
      <c r="AM202" s="31">
        <v>475.83</v>
      </c>
      <c r="AN202" s="46">
        <v>5.781652490886998</v>
      </c>
      <c r="AR202" t="s">
        <v>3656</v>
      </c>
      <c r="AU202" s="31">
        <f>GETPIVOTDATA(" Валовый сбор, т",$AK$201)</f>
        <v>475.83</v>
      </c>
    </row>
    <row r="203" spans="31:47" x14ac:dyDescent="0.25">
      <c r="AE203" s="462">
        <v>46209</v>
      </c>
      <c r="AF203" s="31">
        <v>50.714285714285715</v>
      </c>
      <c r="AG203" s="31">
        <v>60.61</v>
      </c>
      <c r="AH203" s="46">
        <v>2.5045454545454544</v>
      </c>
      <c r="AK203" s="168" t="s">
        <v>3122</v>
      </c>
      <c r="AL203" s="31">
        <v>56.03448275862069</v>
      </c>
      <c r="AM203" s="31">
        <v>380.5</v>
      </c>
      <c r="AN203" s="46">
        <v>5.6454005934718099</v>
      </c>
      <c r="AR203" t="s">
        <v>84</v>
      </c>
      <c r="AU203" s="31">
        <f>AU202/AU204</f>
        <v>82.300000000000011</v>
      </c>
    </row>
    <row r="204" spans="31:47" x14ac:dyDescent="0.25">
      <c r="AE204" s="168" t="s">
        <v>3119</v>
      </c>
      <c r="AF204" s="31">
        <v>59.916666666666664</v>
      </c>
      <c r="AG204" s="31">
        <v>165.97</v>
      </c>
      <c r="AH204" s="46">
        <v>3.0176363636363632</v>
      </c>
      <c r="AK204" s="462">
        <v>46200</v>
      </c>
      <c r="AL204" s="31">
        <v>52</v>
      </c>
      <c r="AM204" s="31">
        <v>38.57</v>
      </c>
      <c r="AN204" s="46">
        <v>5.645400593471809</v>
      </c>
      <c r="AR204" t="s">
        <v>3657</v>
      </c>
      <c r="AU204" s="46">
        <f>GETPIVOTDATA(" Урожайность вал.вес, т/га",$AK$201)</f>
        <v>5.781652490886998</v>
      </c>
    </row>
    <row r="205" spans="31:47" x14ac:dyDescent="0.25">
      <c r="AE205" s="462">
        <v>46205</v>
      </c>
      <c r="AF205" s="31">
        <v>57.5</v>
      </c>
      <c r="AG205" s="31">
        <v>54.94</v>
      </c>
      <c r="AH205" s="46">
        <v>3.0176363636363641</v>
      </c>
      <c r="AK205" s="462">
        <v>46202</v>
      </c>
      <c r="AL205" s="31">
        <v>56.25</v>
      </c>
      <c r="AM205" s="31">
        <v>262.10000000000002</v>
      </c>
      <c r="AN205" s="46">
        <v>5.6454005934718081</v>
      </c>
      <c r="AR205" t="s">
        <v>3659</v>
      </c>
      <c r="AU205" s="31">
        <f>GETPIVOTDATA("Степень зрелости (финометр), %",$AK$201)</f>
        <v>58.805555555555557</v>
      </c>
    </row>
    <row r="206" spans="31:47" x14ac:dyDescent="0.25">
      <c r="AE206" s="462">
        <v>46206</v>
      </c>
      <c r="AF206" s="31">
        <v>60.5</v>
      </c>
      <c r="AG206" s="31">
        <v>27.57</v>
      </c>
      <c r="AH206" s="46">
        <v>3.0176363636363637</v>
      </c>
      <c r="AK206" s="462">
        <v>46203</v>
      </c>
      <c r="AL206" s="31">
        <v>57.333333333333336</v>
      </c>
      <c r="AM206" s="31">
        <v>79.83</v>
      </c>
      <c r="AN206" s="46">
        <v>5.6454005934718099</v>
      </c>
    </row>
    <row r="207" spans="31:47" x14ac:dyDescent="0.25">
      <c r="AE207" s="462">
        <v>46209</v>
      </c>
      <c r="AF207" s="31">
        <v>61.333333333333336</v>
      </c>
      <c r="AG207" s="31">
        <v>83.46</v>
      </c>
      <c r="AH207" s="46">
        <v>3.0176363636363632</v>
      </c>
      <c r="AK207" s="168" t="s">
        <v>3121</v>
      </c>
      <c r="AL207" s="31">
        <v>70.285714285714292</v>
      </c>
      <c r="AM207" s="31">
        <v>95.33</v>
      </c>
      <c r="AN207" s="46">
        <v>6.3979865771812081</v>
      </c>
    </row>
    <row r="208" spans="31:47" x14ac:dyDescent="0.25">
      <c r="AE208" s="168" t="s">
        <v>3098</v>
      </c>
      <c r="AF208" s="31">
        <v>60.125</v>
      </c>
      <c r="AG208" s="31">
        <v>166.28</v>
      </c>
      <c r="AH208" s="46">
        <v>5.19625</v>
      </c>
      <c r="AK208" s="462">
        <v>46204</v>
      </c>
      <c r="AL208" s="31">
        <v>58</v>
      </c>
      <c r="AM208" s="31">
        <v>14</v>
      </c>
      <c r="AN208" s="46">
        <v>5</v>
      </c>
    </row>
    <row r="209" spans="31:40" x14ac:dyDescent="0.25">
      <c r="AE209" s="462">
        <v>46207</v>
      </c>
      <c r="AF209" s="31">
        <v>60</v>
      </c>
      <c r="AG209" s="31">
        <v>134.07</v>
      </c>
      <c r="AH209" s="46">
        <v>5.1965116279069763</v>
      </c>
      <c r="AK209" s="462">
        <v>46209</v>
      </c>
      <c r="AL209" s="31">
        <v>72.333333333333329</v>
      </c>
      <c r="AM209" s="31">
        <v>81.33</v>
      </c>
      <c r="AN209" s="46">
        <v>6.7214876033057855</v>
      </c>
    </row>
    <row r="210" spans="31:40" x14ac:dyDescent="0.25">
      <c r="AE210" s="462">
        <v>46209</v>
      </c>
      <c r="AF210" s="31">
        <v>60.666666666666664</v>
      </c>
      <c r="AG210" s="31">
        <v>32.21</v>
      </c>
      <c r="AH210" s="46">
        <v>5.1951612903225808</v>
      </c>
      <c r="AK210" s="24" t="s">
        <v>182</v>
      </c>
      <c r="AL210" s="31">
        <v>58.805555555555557</v>
      </c>
      <c r="AM210" s="31">
        <v>475.83</v>
      </c>
      <c r="AN210" s="46">
        <v>5.781652490886998</v>
      </c>
    </row>
    <row r="211" spans="31:40" x14ac:dyDescent="0.25">
      <c r="AE211" s="24" t="s">
        <v>182</v>
      </c>
      <c r="AF211" s="31">
        <v>57.130434782608695</v>
      </c>
      <c r="AG211" s="31">
        <v>1936.11</v>
      </c>
      <c r="AH211" s="46">
        <v>4.1111631685921441</v>
      </c>
    </row>
  </sheetData>
  <pageMargins left="0.7" right="0.7" top="0.75" bottom="0.75" header="0.3" footer="0.3"/>
  <drawing r:id="rId9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258B-6C8D-43E8-9589-C1F47C186976}">
  <dimension ref="A1:V361"/>
  <sheetViews>
    <sheetView showGridLines="0" workbookViewId="0">
      <pane ySplit="4" topLeftCell="A23" activePane="bottomLeft" state="frozen"/>
      <selection pane="bottomLeft" activeCell="Z27" sqref="Z27"/>
    </sheetView>
  </sheetViews>
  <sheetFormatPr defaultRowHeight="15" x14ac:dyDescent="0.25"/>
  <cols>
    <col min="1" max="1" width="16.28515625" customWidth="1"/>
    <col min="2" max="2" width="18.42578125" customWidth="1"/>
    <col min="3" max="3" width="13.85546875" customWidth="1"/>
    <col min="4" max="4" width="13.5703125" bestFit="1" customWidth="1"/>
    <col min="5" max="5" width="17.85546875" bestFit="1" customWidth="1"/>
    <col min="6" max="6" width="12.42578125" bestFit="1" customWidth="1"/>
    <col min="7" max="7" width="10" bestFit="1" customWidth="1"/>
    <col min="8" max="8" width="17.5703125" customWidth="1"/>
    <col min="9" max="9" width="2.85546875" customWidth="1"/>
    <col min="10" max="10" width="21.140625" hidden="1" customWidth="1"/>
    <col min="11" max="11" width="18.42578125" hidden="1" customWidth="1"/>
    <col min="12" max="12" width="24.85546875" hidden="1" customWidth="1"/>
    <col min="13" max="13" width="13.5703125" hidden="1" customWidth="1"/>
    <col min="14" max="14" width="5.5703125" hidden="1" customWidth="1"/>
    <col min="15" max="15" width="3.7109375" hidden="1" customWidth="1"/>
    <col min="16" max="16" width="21.140625" hidden="1" customWidth="1"/>
    <col min="17" max="17" width="18.42578125" hidden="1" customWidth="1"/>
    <col min="18" max="18" width="45.42578125" hidden="1" customWidth="1"/>
    <col min="19" max="20" width="13.5703125" hidden="1" customWidth="1"/>
    <col min="21" max="21" width="5.5703125" hidden="1" customWidth="1"/>
    <col min="22" max="22" width="26.7109375" hidden="1" customWidth="1"/>
    <col min="23" max="23" width="21.140625" customWidth="1"/>
    <col min="24" max="31" width="9.140625" customWidth="1"/>
  </cols>
  <sheetData>
    <row r="1" spans="1:22" x14ac:dyDescent="0.25">
      <c r="A1" s="50" t="s">
        <v>83</v>
      </c>
      <c r="B1" t="s">
        <v>52</v>
      </c>
      <c r="J1" s="50" t="s">
        <v>83</v>
      </c>
      <c r="K1" t="s">
        <v>53</v>
      </c>
      <c r="P1" s="50" t="s">
        <v>83</v>
      </c>
      <c r="Q1" t="s">
        <v>46</v>
      </c>
    </row>
    <row r="3" spans="1:22" hidden="1" x14ac:dyDescent="0.25">
      <c r="A3" s="345"/>
      <c r="B3" s="345"/>
      <c r="C3" s="345"/>
      <c r="D3" s="345"/>
      <c r="E3" s="345"/>
      <c r="F3" s="50" t="s">
        <v>282</v>
      </c>
      <c r="G3" s="345"/>
      <c r="H3" s="345"/>
      <c r="J3" s="343" t="s">
        <v>281</v>
      </c>
      <c r="K3" s="345"/>
      <c r="L3" s="345"/>
      <c r="M3" s="345"/>
      <c r="N3" s="345"/>
      <c r="P3" s="343" t="s">
        <v>281</v>
      </c>
      <c r="Q3" s="345"/>
      <c r="R3" s="345"/>
      <c r="S3" s="345"/>
      <c r="T3" s="345"/>
      <c r="U3" s="345"/>
    </row>
    <row r="4" spans="1:22" ht="58.5" customHeight="1" x14ac:dyDescent="0.25">
      <c r="A4" s="343" t="s">
        <v>3781</v>
      </c>
      <c r="B4" s="343" t="s">
        <v>175</v>
      </c>
      <c r="C4" s="343" t="s">
        <v>3791</v>
      </c>
      <c r="D4" s="343" t="s">
        <v>3782</v>
      </c>
      <c r="E4" s="343" t="s">
        <v>3790</v>
      </c>
      <c r="F4" s="345" t="s">
        <v>3789</v>
      </c>
      <c r="G4" s="345" t="s">
        <v>281</v>
      </c>
      <c r="J4" s="343" t="s">
        <v>3781</v>
      </c>
      <c r="K4" s="343" t="s">
        <v>175</v>
      </c>
      <c r="L4" s="343" t="s">
        <v>3782</v>
      </c>
      <c r="M4" s="343" t="s">
        <v>3744</v>
      </c>
      <c r="N4" t="s">
        <v>3760</v>
      </c>
      <c r="P4" s="343" t="s">
        <v>3781</v>
      </c>
      <c r="Q4" s="343" t="s">
        <v>175</v>
      </c>
      <c r="R4" s="50" t="s">
        <v>3742</v>
      </c>
      <c r="S4" s="343" t="s">
        <v>3782</v>
      </c>
      <c r="T4" s="343" t="s">
        <v>3744</v>
      </c>
      <c r="U4" t="s">
        <v>3760</v>
      </c>
    </row>
    <row r="5" spans="1:22" x14ac:dyDescent="0.25">
      <c r="A5" t="s">
        <v>3114</v>
      </c>
      <c r="B5" s="34">
        <v>46192</v>
      </c>
      <c r="C5">
        <v>460</v>
      </c>
      <c r="D5">
        <v>345</v>
      </c>
      <c r="E5" t="s">
        <v>3114</v>
      </c>
      <c r="F5" s="142">
        <v>13770</v>
      </c>
      <c r="G5" s="46">
        <v>3</v>
      </c>
      <c r="H5" s="46"/>
      <c r="J5" t="s">
        <v>3120</v>
      </c>
      <c r="K5" s="34">
        <v>46198</v>
      </c>
      <c r="L5">
        <v>467</v>
      </c>
      <c r="M5" t="s">
        <v>3120</v>
      </c>
      <c r="N5" s="46">
        <v>3.5</v>
      </c>
      <c r="P5" t="s">
        <v>3092</v>
      </c>
      <c r="Q5" s="34">
        <v>46192</v>
      </c>
      <c r="R5" t="s">
        <v>2939</v>
      </c>
      <c r="S5">
        <v>343</v>
      </c>
      <c r="T5" t="s">
        <v>3092</v>
      </c>
      <c r="U5" s="46">
        <v>1.4188888181760326</v>
      </c>
    </row>
    <row r="6" spans="1:22" x14ac:dyDescent="0.25">
      <c r="C6">
        <v>462</v>
      </c>
      <c r="D6">
        <v>347</v>
      </c>
      <c r="E6" t="s">
        <v>3114</v>
      </c>
      <c r="F6" s="142">
        <v>4490</v>
      </c>
      <c r="G6" s="46">
        <v>1</v>
      </c>
      <c r="H6" s="46"/>
      <c r="L6">
        <v>469</v>
      </c>
      <c r="M6" t="s">
        <v>3120</v>
      </c>
      <c r="N6" s="46">
        <v>3.4</v>
      </c>
      <c r="S6">
        <v>344</v>
      </c>
      <c r="T6" t="s">
        <v>3092</v>
      </c>
      <c r="U6" s="46">
        <v>1.9178387322599122</v>
      </c>
    </row>
    <row r="7" spans="1:22" x14ac:dyDescent="0.25">
      <c r="B7" s="34">
        <v>46193</v>
      </c>
      <c r="C7">
        <v>467</v>
      </c>
      <c r="D7">
        <v>354</v>
      </c>
      <c r="E7" t="s">
        <v>3114</v>
      </c>
      <c r="F7" s="142">
        <v>4440</v>
      </c>
      <c r="G7" s="46">
        <v>1.2</v>
      </c>
      <c r="H7" s="46"/>
      <c r="L7">
        <v>470</v>
      </c>
      <c r="M7" t="s">
        <v>3120</v>
      </c>
      <c r="N7" s="46">
        <v>3.4</v>
      </c>
      <c r="Q7" s="34">
        <v>46199</v>
      </c>
      <c r="R7" s="461" t="s">
        <v>3375</v>
      </c>
      <c r="S7" s="461">
        <v>480</v>
      </c>
      <c r="T7" s="461" t="s">
        <v>3092</v>
      </c>
      <c r="U7" s="473">
        <v>1.2941513396550628</v>
      </c>
      <c r="V7" s="461" t="s">
        <v>3784</v>
      </c>
    </row>
    <row r="8" spans="1:22" x14ac:dyDescent="0.25">
      <c r="C8">
        <v>468</v>
      </c>
      <c r="D8">
        <v>350</v>
      </c>
      <c r="E8" t="s">
        <v>3114</v>
      </c>
      <c r="F8" s="142">
        <v>12990</v>
      </c>
      <c r="G8" s="46">
        <v>3.6</v>
      </c>
      <c r="H8" s="46"/>
      <c r="L8">
        <v>475</v>
      </c>
      <c r="M8" t="s">
        <v>3120</v>
      </c>
      <c r="N8" s="46">
        <v>3.4</v>
      </c>
      <c r="R8" s="461"/>
      <c r="S8" s="461">
        <v>481</v>
      </c>
      <c r="T8" s="461" t="s">
        <v>3092</v>
      </c>
      <c r="U8" s="473">
        <v>1.3346910201743778</v>
      </c>
      <c r="V8" s="461" t="s">
        <v>3784</v>
      </c>
    </row>
    <row r="9" spans="1:22" x14ac:dyDescent="0.25">
      <c r="C9">
        <v>469</v>
      </c>
      <c r="D9">
        <v>351</v>
      </c>
      <c r="E9" t="s">
        <v>3114</v>
      </c>
      <c r="F9" s="142">
        <v>12870</v>
      </c>
      <c r="G9" s="46">
        <v>3.6</v>
      </c>
      <c r="H9" s="46"/>
      <c r="L9">
        <v>479</v>
      </c>
      <c r="M9" t="s">
        <v>3120</v>
      </c>
      <c r="N9" s="46">
        <v>3.3</v>
      </c>
      <c r="R9" s="461"/>
      <c r="S9" s="461">
        <v>483</v>
      </c>
      <c r="T9" s="461" t="s">
        <v>3092</v>
      </c>
      <c r="U9" s="473">
        <v>1.2380194743206263</v>
      </c>
      <c r="V9" s="461" t="s">
        <v>3784</v>
      </c>
    </row>
    <row r="10" spans="1:22" x14ac:dyDescent="0.25">
      <c r="C10">
        <v>470</v>
      </c>
      <c r="D10">
        <v>352</v>
      </c>
      <c r="E10" t="s">
        <v>3114</v>
      </c>
      <c r="F10" s="142">
        <v>3980</v>
      </c>
      <c r="G10" s="46">
        <v>1.1000000000000001</v>
      </c>
      <c r="H10" s="46"/>
      <c r="L10">
        <v>723</v>
      </c>
      <c r="M10" t="s">
        <v>3120</v>
      </c>
      <c r="N10" s="46">
        <v>3</v>
      </c>
      <c r="R10" s="461"/>
      <c r="S10" s="461">
        <v>486</v>
      </c>
      <c r="T10" s="461" t="s">
        <v>3092</v>
      </c>
      <c r="U10" s="473">
        <v>1.359638515878572</v>
      </c>
      <c r="V10" s="461" t="s">
        <v>3784</v>
      </c>
    </row>
    <row r="11" spans="1:22" x14ac:dyDescent="0.25">
      <c r="C11">
        <v>471</v>
      </c>
      <c r="D11">
        <v>353</v>
      </c>
      <c r="E11" t="s">
        <v>3114</v>
      </c>
      <c r="F11" s="142">
        <v>12720</v>
      </c>
      <c r="G11" s="46">
        <v>3.5</v>
      </c>
      <c r="H11" s="46"/>
      <c r="L11">
        <v>724</v>
      </c>
      <c r="M11" t="s">
        <v>3120</v>
      </c>
      <c r="N11" s="46">
        <v>3.4</v>
      </c>
      <c r="R11" s="461"/>
      <c r="S11" s="461">
        <v>487</v>
      </c>
      <c r="T11" t="s">
        <v>3092</v>
      </c>
      <c r="U11" s="473">
        <v>1.3970597594348628</v>
      </c>
      <c r="V11" s="461" t="s">
        <v>3784</v>
      </c>
    </row>
    <row r="12" spans="1:22" x14ac:dyDescent="0.25">
      <c r="B12" s="34">
        <v>46195</v>
      </c>
      <c r="C12">
        <v>505</v>
      </c>
      <c r="D12">
        <v>386</v>
      </c>
      <c r="E12" t="s">
        <v>3114</v>
      </c>
      <c r="F12" s="142">
        <v>12870</v>
      </c>
      <c r="G12" s="46">
        <v>3.4</v>
      </c>
      <c r="H12" s="46"/>
      <c r="L12">
        <v>721</v>
      </c>
      <c r="M12" t="s">
        <v>3120</v>
      </c>
      <c r="N12" s="46">
        <v>3.8</v>
      </c>
      <c r="P12" t="s">
        <v>3765</v>
      </c>
      <c r="U12" s="46">
        <v>9.9602876598994463</v>
      </c>
      <c r="V12" s="461" t="s">
        <v>3785</v>
      </c>
    </row>
    <row r="13" spans="1:22" x14ac:dyDescent="0.25">
      <c r="C13">
        <v>508</v>
      </c>
      <c r="D13">
        <v>388</v>
      </c>
      <c r="E13" t="s">
        <v>3114</v>
      </c>
      <c r="F13" s="142">
        <v>13140</v>
      </c>
      <c r="G13" s="46">
        <v>3.5</v>
      </c>
      <c r="H13" s="46"/>
      <c r="L13">
        <v>722</v>
      </c>
      <c r="M13" t="s">
        <v>3120</v>
      </c>
      <c r="N13" s="46">
        <v>2.8</v>
      </c>
      <c r="P13" t="s">
        <v>3093</v>
      </c>
      <c r="Q13" s="34">
        <v>46187</v>
      </c>
      <c r="R13" t="s">
        <v>2939</v>
      </c>
      <c r="S13" s="461">
        <v>204</v>
      </c>
      <c r="T13" s="461" t="s">
        <v>3105</v>
      </c>
      <c r="U13" s="473">
        <v>1.1000000000000001</v>
      </c>
    </row>
    <row r="14" spans="1:22" x14ac:dyDescent="0.25">
      <c r="C14">
        <v>509</v>
      </c>
      <c r="D14">
        <v>389</v>
      </c>
      <c r="E14" t="s">
        <v>3114</v>
      </c>
      <c r="F14" s="142">
        <v>13140</v>
      </c>
      <c r="G14" s="46">
        <v>3.5</v>
      </c>
      <c r="H14" s="46"/>
      <c r="K14" s="34">
        <v>46199</v>
      </c>
      <c r="L14">
        <v>494</v>
      </c>
      <c r="M14" t="s">
        <v>3120</v>
      </c>
      <c r="N14" s="46">
        <v>7</v>
      </c>
      <c r="S14">
        <v>205</v>
      </c>
      <c r="T14" t="s">
        <v>3093</v>
      </c>
      <c r="U14" s="46">
        <v>1.8</v>
      </c>
      <c r="V14" s="461" t="s">
        <v>3786</v>
      </c>
    </row>
    <row r="15" spans="1:22" x14ac:dyDescent="0.25">
      <c r="C15">
        <v>511</v>
      </c>
      <c r="D15">
        <v>390</v>
      </c>
      <c r="E15" t="s">
        <v>3114</v>
      </c>
      <c r="F15" s="142">
        <v>16020</v>
      </c>
      <c r="G15" s="46">
        <v>4.2</v>
      </c>
      <c r="H15" s="46"/>
      <c r="L15">
        <v>495</v>
      </c>
      <c r="M15" t="s">
        <v>3120</v>
      </c>
      <c r="N15" s="46">
        <v>6.2</v>
      </c>
      <c r="S15">
        <v>206</v>
      </c>
      <c r="T15" t="s">
        <v>3093</v>
      </c>
      <c r="U15" s="46">
        <v>1.7</v>
      </c>
    </row>
    <row r="16" spans="1:22" x14ac:dyDescent="0.25">
      <c r="B16" s="34">
        <v>46196</v>
      </c>
      <c r="C16">
        <v>541</v>
      </c>
      <c r="D16">
        <v>418</v>
      </c>
      <c r="E16" t="s">
        <v>3114</v>
      </c>
      <c r="F16" s="142">
        <v>13480</v>
      </c>
      <c r="G16" s="46">
        <v>2.8</v>
      </c>
      <c r="H16" s="46"/>
      <c r="L16">
        <v>496</v>
      </c>
      <c r="M16" t="s">
        <v>3120</v>
      </c>
      <c r="N16" s="46">
        <v>6.1</v>
      </c>
      <c r="S16" s="461">
        <v>207</v>
      </c>
      <c r="T16" s="461" t="s">
        <v>3300</v>
      </c>
      <c r="U16" s="473">
        <v>0.6</v>
      </c>
    </row>
    <row r="17" spans="1:22" x14ac:dyDescent="0.25">
      <c r="C17">
        <v>544</v>
      </c>
      <c r="D17">
        <v>421</v>
      </c>
      <c r="E17" t="s">
        <v>3114</v>
      </c>
      <c r="F17" s="142">
        <v>13390</v>
      </c>
      <c r="G17" s="46">
        <v>2.8</v>
      </c>
      <c r="H17" s="46"/>
      <c r="L17">
        <v>526</v>
      </c>
      <c r="M17" t="s">
        <v>3120</v>
      </c>
      <c r="N17" s="46">
        <v>5.9</v>
      </c>
      <c r="S17" s="461">
        <v>208</v>
      </c>
      <c r="T17" s="461" t="s">
        <v>3300</v>
      </c>
      <c r="U17" s="473">
        <v>1.8</v>
      </c>
      <c r="V17" s="461" t="s">
        <v>3787</v>
      </c>
    </row>
    <row r="18" spans="1:22" x14ac:dyDescent="0.25">
      <c r="C18">
        <v>547</v>
      </c>
      <c r="D18">
        <v>423</v>
      </c>
      <c r="E18" t="s">
        <v>3114</v>
      </c>
      <c r="F18" s="142">
        <v>16590</v>
      </c>
      <c r="G18" s="46">
        <v>3.4</v>
      </c>
      <c r="H18" s="46"/>
      <c r="K18" s="34">
        <v>46200</v>
      </c>
      <c r="L18">
        <v>497</v>
      </c>
      <c r="M18" t="s">
        <v>3120</v>
      </c>
      <c r="N18" s="46">
        <v>4.2</v>
      </c>
      <c r="S18">
        <v>209</v>
      </c>
      <c r="T18" t="s">
        <v>3093</v>
      </c>
      <c r="U18" s="46">
        <v>2</v>
      </c>
      <c r="V18" s="461" t="s">
        <v>3787</v>
      </c>
    </row>
    <row r="19" spans="1:22" x14ac:dyDescent="0.25">
      <c r="C19">
        <v>549</v>
      </c>
      <c r="D19">
        <v>425</v>
      </c>
      <c r="E19" t="s">
        <v>3114</v>
      </c>
      <c r="F19" s="142">
        <v>13080</v>
      </c>
      <c r="G19" s="46">
        <v>2.7</v>
      </c>
      <c r="H19" s="46"/>
      <c r="L19">
        <v>498</v>
      </c>
      <c r="M19" t="s">
        <v>3120</v>
      </c>
      <c r="N19" s="46">
        <v>6.3</v>
      </c>
      <c r="Q19" s="34">
        <v>46188</v>
      </c>
      <c r="R19" t="s">
        <v>2939</v>
      </c>
      <c r="S19" s="461">
        <v>235</v>
      </c>
      <c r="T19" s="461" t="s">
        <v>3300</v>
      </c>
      <c r="U19" s="473">
        <v>3</v>
      </c>
    </row>
    <row r="20" spans="1:22" x14ac:dyDescent="0.25">
      <c r="C20">
        <v>550</v>
      </c>
      <c r="D20">
        <v>426</v>
      </c>
      <c r="E20" t="s">
        <v>3114</v>
      </c>
      <c r="F20" s="142">
        <v>13050</v>
      </c>
      <c r="G20" s="46">
        <v>2.7</v>
      </c>
      <c r="H20" s="46"/>
      <c r="L20">
        <v>499</v>
      </c>
      <c r="M20" t="s">
        <v>3120</v>
      </c>
      <c r="N20" s="46">
        <v>6.4</v>
      </c>
      <c r="S20">
        <v>236</v>
      </c>
      <c r="T20" t="s">
        <v>3093</v>
      </c>
      <c r="U20" s="46">
        <v>2.9</v>
      </c>
      <c r="V20" s="461" t="s">
        <v>3787</v>
      </c>
    </row>
    <row r="21" spans="1:22" x14ac:dyDescent="0.25">
      <c r="C21">
        <v>553</v>
      </c>
      <c r="D21">
        <v>429</v>
      </c>
      <c r="E21" t="s">
        <v>3114</v>
      </c>
      <c r="F21" s="142">
        <v>13040</v>
      </c>
      <c r="G21" s="46">
        <v>2.7</v>
      </c>
      <c r="H21" s="46"/>
      <c r="L21">
        <v>500</v>
      </c>
      <c r="M21" t="s">
        <v>3120</v>
      </c>
      <c r="N21" s="46">
        <v>7</v>
      </c>
      <c r="S21">
        <v>237</v>
      </c>
      <c r="T21" t="s">
        <v>3093</v>
      </c>
      <c r="U21" s="46">
        <v>1</v>
      </c>
    </row>
    <row r="22" spans="1:22" x14ac:dyDescent="0.25">
      <c r="C22">
        <v>554</v>
      </c>
      <c r="D22">
        <v>430</v>
      </c>
      <c r="E22" t="s">
        <v>3114</v>
      </c>
      <c r="F22" s="142">
        <v>13090</v>
      </c>
      <c r="G22" s="46">
        <v>2.7</v>
      </c>
      <c r="H22" s="46"/>
      <c r="J22" t="s">
        <v>3763</v>
      </c>
      <c r="N22" s="46">
        <v>79.100000000000009</v>
      </c>
      <c r="S22">
        <v>238</v>
      </c>
      <c r="T22" t="s">
        <v>3093</v>
      </c>
      <c r="U22" s="46">
        <v>3</v>
      </c>
    </row>
    <row r="23" spans="1:22" x14ac:dyDescent="0.25">
      <c r="C23">
        <v>556</v>
      </c>
      <c r="D23">
        <v>432</v>
      </c>
      <c r="E23" t="s">
        <v>3114</v>
      </c>
      <c r="F23" s="142">
        <v>13380</v>
      </c>
      <c r="G23" s="46">
        <v>2.8</v>
      </c>
      <c r="H23" s="46"/>
      <c r="J23" t="s">
        <v>3122</v>
      </c>
      <c r="K23" s="34">
        <v>46200</v>
      </c>
      <c r="L23">
        <v>515</v>
      </c>
      <c r="M23" t="s">
        <v>3122</v>
      </c>
      <c r="N23" s="46">
        <v>2.2939027595269383</v>
      </c>
      <c r="S23">
        <v>239</v>
      </c>
      <c r="T23" t="s">
        <v>3093</v>
      </c>
      <c r="U23" s="46">
        <v>2.9</v>
      </c>
    </row>
    <row r="24" spans="1:22" x14ac:dyDescent="0.25">
      <c r="C24" t="s">
        <v>1563</v>
      </c>
      <c r="D24">
        <v>611</v>
      </c>
      <c r="E24" t="s">
        <v>3116</v>
      </c>
      <c r="F24" s="142">
        <v>13120</v>
      </c>
      <c r="G24" s="46">
        <v>2.7</v>
      </c>
      <c r="H24" s="473" t="s">
        <v>3786</v>
      </c>
      <c r="L24">
        <v>516</v>
      </c>
      <c r="M24" t="s">
        <v>3122</v>
      </c>
      <c r="N24" s="46">
        <v>2.2513902759526943</v>
      </c>
      <c r="S24">
        <v>240</v>
      </c>
      <c r="T24" t="s">
        <v>3093</v>
      </c>
      <c r="U24" s="46">
        <v>3</v>
      </c>
    </row>
    <row r="25" spans="1:22" x14ac:dyDescent="0.25">
      <c r="D25">
        <v>598</v>
      </c>
      <c r="E25" t="s">
        <v>3116</v>
      </c>
      <c r="F25" s="142">
        <v>13420</v>
      </c>
      <c r="G25" s="46">
        <v>2.8</v>
      </c>
      <c r="H25" s="46"/>
      <c r="L25">
        <v>517</v>
      </c>
      <c r="M25" t="s">
        <v>3122</v>
      </c>
      <c r="N25" s="46">
        <v>2.286817345597898</v>
      </c>
      <c r="S25">
        <v>241</v>
      </c>
      <c r="T25" t="s">
        <v>3093</v>
      </c>
      <c r="U25" s="46">
        <v>2.9</v>
      </c>
    </row>
    <row r="26" spans="1:22" x14ac:dyDescent="0.25">
      <c r="D26">
        <v>599</v>
      </c>
      <c r="E26" t="s">
        <v>3116</v>
      </c>
      <c r="F26" s="142">
        <v>13800</v>
      </c>
      <c r="G26" s="46">
        <v>2.8</v>
      </c>
      <c r="H26" s="46"/>
      <c r="K26" s="34">
        <v>46201</v>
      </c>
      <c r="L26">
        <v>502</v>
      </c>
      <c r="M26" t="s">
        <v>3122</v>
      </c>
      <c r="N26" s="46">
        <v>2.2000000000000002</v>
      </c>
      <c r="S26">
        <v>242</v>
      </c>
      <c r="T26" t="s">
        <v>3093</v>
      </c>
      <c r="U26" s="46">
        <v>1</v>
      </c>
    </row>
    <row r="27" spans="1:22" x14ac:dyDescent="0.25">
      <c r="B27" s="34">
        <v>46197</v>
      </c>
      <c r="C27">
        <v>560</v>
      </c>
      <c r="D27">
        <v>434</v>
      </c>
      <c r="E27" t="s">
        <v>3114</v>
      </c>
      <c r="F27" s="142">
        <v>12970</v>
      </c>
      <c r="G27" s="46">
        <v>2.7</v>
      </c>
      <c r="H27" s="46"/>
      <c r="L27">
        <v>503</v>
      </c>
      <c r="M27" t="s">
        <v>3122</v>
      </c>
      <c r="N27" s="46">
        <v>1.7</v>
      </c>
      <c r="S27">
        <v>243</v>
      </c>
      <c r="T27" t="s">
        <v>3093</v>
      </c>
      <c r="U27" s="46">
        <v>3</v>
      </c>
    </row>
    <row r="28" spans="1:22" x14ac:dyDescent="0.25">
      <c r="C28">
        <v>563</v>
      </c>
      <c r="D28">
        <v>436</v>
      </c>
      <c r="E28" t="s">
        <v>3114</v>
      </c>
      <c r="F28" s="142">
        <v>13190</v>
      </c>
      <c r="G28" s="46">
        <v>2.7</v>
      </c>
      <c r="H28" s="473" t="s">
        <v>3786</v>
      </c>
      <c r="L28">
        <v>507</v>
      </c>
      <c r="M28" t="s">
        <v>3122</v>
      </c>
      <c r="N28" s="46">
        <v>2.2999999999999998</v>
      </c>
      <c r="S28">
        <v>244</v>
      </c>
      <c r="T28" t="s">
        <v>3093</v>
      </c>
      <c r="U28" s="46">
        <v>2.9</v>
      </c>
    </row>
    <row r="29" spans="1:22" x14ac:dyDescent="0.25">
      <c r="C29">
        <v>569</v>
      </c>
      <c r="D29">
        <v>440</v>
      </c>
      <c r="E29" t="s">
        <v>3114</v>
      </c>
      <c r="F29" s="142">
        <v>16090</v>
      </c>
      <c r="G29" s="46">
        <v>3.3</v>
      </c>
      <c r="H29" s="46"/>
      <c r="L29">
        <v>518</v>
      </c>
      <c r="M29" t="s">
        <v>3122</v>
      </c>
      <c r="N29" s="46">
        <v>1.9</v>
      </c>
      <c r="S29">
        <v>245</v>
      </c>
      <c r="T29" t="s">
        <v>3093</v>
      </c>
      <c r="U29" s="46">
        <v>3</v>
      </c>
    </row>
    <row r="30" spans="1:22" x14ac:dyDescent="0.25">
      <c r="C30" t="s">
        <v>1563</v>
      </c>
      <c r="D30">
        <v>625</v>
      </c>
      <c r="E30" t="s">
        <v>3116</v>
      </c>
      <c r="F30" s="142">
        <v>13320</v>
      </c>
      <c r="G30" s="46">
        <v>2.7</v>
      </c>
      <c r="H30" s="46"/>
      <c r="L30">
        <v>519</v>
      </c>
      <c r="M30" t="s">
        <v>3122</v>
      </c>
      <c r="N30" s="46">
        <v>1.9</v>
      </c>
      <c r="S30">
        <v>246</v>
      </c>
      <c r="T30" t="s">
        <v>3093</v>
      </c>
      <c r="U30" s="46">
        <v>3</v>
      </c>
    </row>
    <row r="31" spans="1:22" x14ac:dyDescent="0.25">
      <c r="D31">
        <v>626</v>
      </c>
      <c r="E31" t="s">
        <v>3116</v>
      </c>
      <c r="F31" s="142">
        <v>13080</v>
      </c>
      <c r="G31" s="46">
        <v>2.8</v>
      </c>
      <c r="H31" s="46"/>
      <c r="L31">
        <v>520</v>
      </c>
      <c r="M31" t="s">
        <v>3122</v>
      </c>
      <c r="N31" s="46">
        <v>1.9</v>
      </c>
      <c r="S31">
        <v>247</v>
      </c>
      <c r="T31" t="s">
        <v>3093</v>
      </c>
      <c r="U31" s="46">
        <v>1</v>
      </c>
    </row>
    <row r="32" spans="1:22" x14ac:dyDescent="0.25">
      <c r="A32" t="s">
        <v>3759</v>
      </c>
      <c r="F32" s="142">
        <v>338520</v>
      </c>
      <c r="G32" s="46">
        <v>76.7</v>
      </c>
      <c r="H32" s="46"/>
      <c r="L32">
        <v>521</v>
      </c>
      <c r="M32" t="s">
        <v>3122</v>
      </c>
      <c r="N32" s="46">
        <v>1.9</v>
      </c>
      <c r="S32" s="461">
        <v>248</v>
      </c>
      <c r="T32" s="461" t="s">
        <v>3300</v>
      </c>
      <c r="U32" s="473">
        <v>3</v>
      </c>
    </row>
    <row r="33" spans="1:22" x14ac:dyDescent="0.25">
      <c r="A33" t="s">
        <v>3115</v>
      </c>
      <c r="B33" s="34">
        <v>46197</v>
      </c>
      <c r="C33">
        <v>573</v>
      </c>
      <c r="D33">
        <v>444</v>
      </c>
      <c r="E33" t="s">
        <v>3115</v>
      </c>
      <c r="F33" s="142">
        <v>9250</v>
      </c>
      <c r="G33" s="46">
        <v>1.3</v>
      </c>
      <c r="H33" s="46"/>
      <c r="L33">
        <v>522</v>
      </c>
      <c r="M33" t="s">
        <v>3122</v>
      </c>
      <c r="N33" s="46">
        <v>1.9</v>
      </c>
      <c r="S33">
        <v>249</v>
      </c>
      <c r="T33" t="s">
        <v>3093</v>
      </c>
      <c r="U33" s="46">
        <v>2.9</v>
      </c>
      <c r="V33" s="461" t="s">
        <v>3787</v>
      </c>
    </row>
    <row r="34" spans="1:22" x14ac:dyDescent="0.25">
      <c r="C34">
        <v>580</v>
      </c>
      <c r="D34">
        <v>453</v>
      </c>
      <c r="E34" t="s">
        <v>3115</v>
      </c>
      <c r="F34" s="142">
        <v>8800</v>
      </c>
      <c r="G34" s="46">
        <v>1.3</v>
      </c>
      <c r="H34" s="46"/>
      <c r="L34">
        <v>523</v>
      </c>
      <c r="M34" t="s">
        <v>3122</v>
      </c>
      <c r="N34" s="46">
        <v>2</v>
      </c>
      <c r="S34">
        <v>250</v>
      </c>
      <c r="T34" t="s">
        <v>3093</v>
      </c>
      <c r="U34" s="46">
        <v>4</v>
      </c>
    </row>
    <row r="35" spans="1:22" x14ac:dyDescent="0.25">
      <c r="C35">
        <v>583</v>
      </c>
      <c r="D35">
        <v>452</v>
      </c>
      <c r="E35" t="s">
        <v>3115</v>
      </c>
      <c r="F35" s="142">
        <v>8530</v>
      </c>
      <c r="G35" s="46">
        <v>1.2</v>
      </c>
      <c r="H35" s="46"/>
      <c r="L35">
        <v>524</v>
      </c>
      <c r="M35" t="s">
        <v>3122</v>
      </c>
      <c r="N35" s="46">
        <v>1.9</v>
      </c>
      <c r="S35" s="461">
        <v>278</v>
      </c>
      <c r="T35" s="461" t="s">
        <v>3300</v>
      </c>
      <c r="U35" s="473">
        <v>3</v>
      </c>
    </row>
    <row r="36" spans="1:22" x14ac:dyDescent="0.25">
      <c r="B36" s="34">
        <v>46198</v>
      </c>
      <c r="C36">
        <v>585</v>
      </c>
      <c r="D36">
        <v>456</v>
      </c>
      <c r="E36" t="s">
        <v>3115</v>
      </c>
      <c r="F36" s="142">
        <v>8520</v>
      </c>
      <c r="G36" s="46">
        <v>1.3</v>
      </c>
      <c r="H36" s="46"/>
      <c r="L36">
        <v>525</v>
      </c>
      <c r="M36" t="s">
        <v>3122</v>
      </c>
      <c r="N36" s="46">
        <v>1.9</v>
      </c>
      <c r="Q36" s="34">
        <v>46191</v>
      </c>
      <c r="R36" t="s">
        <v>2939</v>
      </c>
      <c r="S36" s="461">
        <v>327</v>
      </c>
      <c r="T36" s="461" t="s">
        <v>3300</v>
      </c>
      <c r="U36" s="473">
        <v>1.5</v>
      </c>
      <c r="V36" s="461" t="s">
        <v>3787</v>
      </c>
    </row>
    <row r="37" spans="1:22" x14ac:dyDescent="0.25">
      <c r="C37">
        <v>588</v>
      </c>
      <c r="D37">
        <v>458</v>
      </c>
      <c r="E37" t="s">
        <v>3115</v>
      </c>
      <c r="F37" s="142">
        <v>8710</v>
      </c>
      <c r="G37" s="46">
        <v>1.3</v>
      </c>
      <c r="H37" s="46"/>
      <c r="L37">
        <v>527</v>
      </c>
      <c r="M37" t="s">
        <v>3122</v>
      </c>
      <c r="N37" s="46">
        <v>1.9</v>
      </c>
      <c r="P37" t="s">
        <v>3766</v>
      </c>
      <c r="U37" s="46">
        <v>55.999999999999993</v>
      </c>
      <c r="V37" s="461" t="s">
        <v>3787</v>
      </c>
    </row>
    <row r="38" spans="1:22" x14ac:dyDescent="0.25">
      <c r="C38">
        <v>594</v>
      </c>
      <c r="D38">
        <v>460</v>
      </c>
      <c r="E38" t="s">
        <v>3115</v>
      </c>
      <c r="F38" s="142">
        <v>8790</v>
      </c>
      <c r="G38" s="46">
        <v>1.3</v>
      </c>
      <c r="H38" s="46"/>
      <c r="L38">
        <v>528</v>
      </c>
      <c r="M38" t="s">
        <v>3122</v>
      </c>
      <c r="N38" s="46">
        <v>2</v>
      </c>
      <c r="P38" t="s">
        <v>3094</v>
      </c>
      <c r="Q38" s="34">
        <v>46183</v>
      </c>
      <c r="R38" t="s">
        <v>2939</v>
      </c>
      <c r="S38">
        <v>131</v>
      </c>
      <c r="T38" t="s">
        <v>3094</v>
      </c>
      <c r="U38" s="46">
        <v>1.2</v>
      </c>
    </row>
    <row r="39" spans="1:22" x14ac:dyDescent="0.25">
      <c r="C39">
        <v>596</v>
      </c>
      <c r="D39">
        <v>462</v>
      </c>
      <c r="E39" t="s">
        <v>3115</v>
      </c>
      <c r="F39" s="142">
        <v>8810</v>
      </c>
      <c r="G39" s="46">
        <v>1.3</v>
      </c>
      <c r="H39" s="46"/>
      <c r="L39">
        <v>529</v>
      </c>
      <c r="M39" t="s">
        <v>3122</v>
      </c>
      <c r="N39" s="46">
        <v>1.9</v>
      </c>
      <c r="S39" s="461">
        <v>132</v>
      </c>
      <c r="T39" s="461" t="s">
        <v>2087</v>
      </c>
      <c r="U39" s="473">
        <v>0.8</v>
      </c>
    </row>
    <row r="40" spans="1:22" x14ac:dyDescent="0.25">
      <c r="C40">
        <v>599</v>
      </c>
      <c r="D40">
        <v>464</v>
      </c>
      <c r="E40" t="s">
        <v>3115</v>
      </c>
      <c r="F40" s="142">
        <v>8810</v>
      </c>
      <c r="G40" s="46">
        <v>1.3</v>
      </c>
      <c r="H40" s="46"/>
      <c r="L40">
        <v>545</v>
      </c>
      <c r="M40" t="s">
        <v>3122</v>
      </c>
      <c r="N40" s="46">
        <v>1.9</v>
      </c>
      <c r="P40" t="s">
        <v>3767</v>
      </c>
      <c r="U40" s="46">
        <v>2</v>
      </c>
      <c r="V40" s="461" t="s">
        <v>3787</v>
      </c>
    </row>
    <row r="41" spans="1:22" x14ac:dyDescent="0.25">
      <c r="C41">
        <v>600</v>
      </c>
      <c r="D41">
        <v>465</v>
      </c>
      <c r="E41" t="s">
        <v>3115</v>
      </c>
      <c r="F41" s="142">
        <v>8750</v>
      </c>
      <c r="G41" s="46">
        <v>1.3</v>
      </c>
      <c r="H41" s="46"/>
      <c r="L41">
        <v>547</v>
      </c>
      <c r="M41" t="s">
        <v>3122</v>
      </c>
      <c r="N41" s="46">
        <v>1.9</v>
      </c>
      <c r="P41" t="s">
        <v>3095</v>
      </c>
      <c r="Q41" s="34">
        <v>46183</v>
      </c>
      <c r="R41" t="s">
        <v>2939</v>
      </c>
      <c r="S41" s="461">
        <v>129</v>
      </c>
      <c r="T41" s="461" t="s">
        <v>3232</v>
      </c>
      <c r="U41" s="473">
        <v>1</v>
      </c>
    </row>
    <row r="42" spans="1:22" x14ac:dyDescent="0.25">
      <c r="C42">
        <v>607</v>
      </c>
      <c r="D42">
        <v>472</v>
      </c>
      <c r="E42" t="s">
        <v>3115</v>
      </c>
      <c r="F42" s="142">
        <v>13190</v>
      </c>
      <c r="G42" s="46">
        <v>2</v>
      </c>
      <c r="H42" s="46"/>
      <c r="L42">
        <v>549</v>
      </c>
      <c r="M42" t="s">
        <v>3122</v>
      </c>
      <c r="N42" s="46">
        <v>1.9</v>
      </c>
      <c r="Q42" s="34">
        <v>46189</v>
      </c>
      <c r="R42" t="s">
        <v>2939</v>
      </c>
      <c r="S42">
        <v>256</v>
      </c>
      <c r="T42" t="s">
        <v>3095</v>
      </c>
      <c r="U42" s="46">
        <v>1</v>
      </c>
      <c r="V42" s="461" t="s">
        <v>3787</v>
      </c>
    </row>
    <row r="43" spans="1:22" x14ac:dyDescent="0.25">
      <c r="C43">
        <v>609</v>
      </c>
      <c r="D43">
        <v>474</v>
      </c>
      <c r="E43" t="s">
        <v>3115</v>
      </c>
      <c r="F43" s="142">
        <v>12930</v>
      </c>
      <c r="G43" s="46">
        <v>2</v>
      </c>
      <c r="H43" s="46"/>
      <c r="L43">
        <v>551</v>
      </c>
      <c r="M43" t="s">
        <v>3122</v>
      </c>
      <c r="N43" s="46">
        <v>2</v>
      </c>
      <c r="S43" s="461">
        <v>257</v>
      </c>
      <c r="T43" s="461" t="s">
        <v>3232</v>
      </c>
      <c r="U43" s="473">
        <v>1.6</v>
      </c>
    </row>
    <row r="44" spans="1:22" x14ac:dyDescent="0.25">
      <c r="C44">
        <v>611</v>
      </c>
      <c r="D44">
        <v>476</v>
      </c>
      <c r="E44" t="s">
        <v>3115</v>
      </c>
      <c r="F44" s="142">
        <v>12840</v>
      </c>
      <c r="G44" s="46">
        <v>2</v>
      </c>
      <c r="H44" s="46"/>
      <c r="K44" s="34">
        <v>46202</v>
      </c>
      <c r="L44">
        <v>508</v>
      </c>
      <c r="M44" t="s">
        <v>3122</v>
      </c>
      <c r="N44" s="46">
        <v>2.4373823915900132</v>
      </c>
      <c r="S44">
        <v>258</v>
      </c>
      <c r="T44" t="s">
        <v>3095</v>
      </c>
      <c r="U44" s="46">
        <v>3.1</v>
      </c>
      <c r="V44" s="461" t="s">
        <v>3787</v>
      </c>
    </row>
    <row r="45" spans="1:22" x14ac:dyDescent="0.25">
      <c r="C45">
        <v>613</v>
      </c>
      <c r="D45">
        <v>478</v>
      </c>
      <c r="E45" t="s">
        <v>3115</v>
      </c>
      <c r="F45" s="142">
        <v>12770</v>
      </c>
      <c r="G45" s="46">
        <v>2</v>
      </c>
      <c r="H45" s="46"/>
      <c r="L45">
        <v>509</v>
      </c>
      <c r="M45" t="s">
        <v>3122</v>
      </c>
      <c r="N45" s="46">
        <v>2.3966412614980293</v>
      </c>
      <c r="S45">
        <v>259</v>
      </c>
      <c r="T45" t="s">
        <v>3095</v>
      </c>
      <c r="U45" s="46">
        <v>3.2</v>
      </c>
    </row>
    <row r="46" spans="1:22" x14ac:dyDescent="0.25">
      <c r="B46" s="34">
        <v>46199</v>
      </c>
      <c r="C46">
        <v>622</v>
      </c>
      <c r="D46">
        <v>484</v>
      </c>
      <c r="E46" t="s">
        <v>3115</v>
      </c>
      <c r="F46" s="142">
        <v>13180</v>
      </c>
      <c r="G46" s="46">
        <v>1.5</v>
      </c>
      <c r="H46" s="46"/>
      <c r="L46">
        <v>510</v>
      </c>
      <c r="M46" t="s">
        <v>3122</v>
      </c>
      <c r="N46" s="46">
        <v>2.4001839684625494</v>
      </c>
      <c r="S46" s="461">
        <v>260</v>
      </c>
      <c r="T46" s="461" t="s">
        <v>3232</v>
      </c>
      <c r="U46" s="473">
        <v>3.2</v>
      </c>
    </row>
    <row r="47" spans="1:22" x14ac:dyDescent="0.25">
      <c r="B47" s="34">
        <v>46200</v>
      </c>
      <c r="C47" t="s">
        <v>1563</v>
      </c>
      <c r="D47">
        <v>567</v>
      </c>
      <c r="E47" t="s">
        <v>3115</v>
      </c>
      <c r="F47" s="142">
        <v>17680</v>
      </c>
      <c r="G47" s="46">
        <v>4.5999999999999996</v>
      </c>
      <c r="H47" s="473" t="s">
        <v>3786</v>
      </c>
      <c r="L47">
        <v>511</v>
      </c>
      <c r="M47" t="s">
        <v>3122</v>
      </c>
      <c r="N47" s="46">
        <v>2.3523574244415246</v>
      </c>
      <c r="S47" s="461">
        <v>261</v>
      </c>
      <c r="T47" s="461" t="s">
        <v>3232</v>
      </c>
      <c r="U47" s="473">
        <v>3.2</v>
      </c>
      <c r="V47" s="461" t="s">
        <v>3787</v>
      </c>
    </row>
    <row r="48" spans="1:22" x14ac:dyDescent="0.25">
      <c r="D48">
        <v>568</v>
      </c>
      <c r="E48" t="s">
        <v>3115</v>
      </c>
      <c r="F48" s="142">
        <v>17480</v>
      </c>
      <c r="G48" s="46">
        <v>4.5</v>
      </c>
      <c r="H48" s="473" t="s">
        <v>3786</v>
      </c>
      <c r="L48">
        <v>512</v>
      </c>
      <c r="M48" t="s">
        <v>3122</v>
      </c>
      <c r="N48" s="46">
        <v>2.3541287779237847</v>
      </c>
      <c r="S48" s="461">
        <v>262</v>
      </c>
      <c r="T48" s="461" t="s">
        <v>3232</v>
      </c>
      <c r="U48" s="473">
        <v>1.1000000000000001</v>
      </c>
      <c r="V48" s="461" t="s">
        <v>3787</v>
      </c>
    </row>
    <row r="49" spans="1:22" x14ac:dyDescent="0.25">
      <c r="D49">
        <v>569</v>
      </c>
      <c r="E49" t="s">
        <v>3115</v>
      </c>
      <c r="F49" s="142">
        <v>18080</v>
      </c>
      <c r="G49" s="46">
        <v>4.7</v>
      </c>
      <c r="H49" s="473" t="s">
        <v>3786</v>
      </c>
      <c r="L49">
        <v>513</v>
      </c>
      <c r="M49" t="s">
        <v>3122</v>
      </c>
      <c r="N49" s="46">
        <v>2.4037266754270701</v>
      </c>
      <c r="S49" s="461">
        <v>263</v>
      </c>
      <c r="T49" s="461" t="s">
        <v>3232</v>
      </c>
      <c r="U49" s="473">
        <v>3.2</v>
      </c>
      <c r="V49" s="461" t="s">
        <v>3787</v>
      </c>
    </row>
    <row r="50" spans="1:22" x14ac:dyDescent="0.25">
      <c r="D50">
        <v>570</v>
      </c>
      <c r="E50" t="s">
        <v>3115</v>
      </c>
      <c r="F50" s="142">
        <v>15140</v>
      </c>
      <c r="G50" s="46">
        <v>4.4000000000000004</v>
      </c>
      <c r="H50" s="473" t="s">
        <v>3786</v>
      </c>
      <c r="L50">
        <v>514</v>
      </c>
      <c r="M50" t="s">
        <v>3122</v>
      </c>
      <c r="N50" s="46">
        <v>2.3063022339027599</v>
      </c>
      <c r="S50" s="461">
        <v>264</v>
      </c>
      <c r="T50" s="461" t="s">
        <v>3232</v>
      </c>
      <c r="U50" s="473">
        <v>3</v>
      </c>
      <c r="V50" s="461" t="s">
        <v>3787</v>
      </c>
    </row>
    <row r="51" spans="1:22" x14ac:dyDescent="0.25">
      <c r="D51">
        <v>606</v>
      </c>
      <c r="E51" t="s">
        <v>3115</v>
      </c>
      <c r="F51" s="142">
        <v>17420</v>
      </c>
      <c r="G51" s="46">
        <v>4.5</v>
      </c>
      <c r="H51" s="473" t="s">
        <v>3786</v>
      </c>
      <c r="L51">
        <v>530</v>
      </c>
      <c r="M51" t="s">
        <v>3122</v>
      </c>
      <c r="N51" s="46">
        <v>2.3045308804204998</v>
      </c>
      <c r="S51" s="461">
        <v>265</v>
      </c>
      <c r="T51" s="461" t="s">
        <v>3232</v>
      </c>
      <c r="U51" s="473">
        <v>1.2</v>
      </c>
      <c r="V51" s="461" t="s">
        <v>3787</v>
      </c>
    </row>
    <row r="52" spans="1:22" x14ac:dyDescent="0.25">
      <c r="D52">
        <v>607</v>
      </c>
      <c r="E52" t="s">
        <v>3115</v>
      </c>
      <c r="F52" s="142">
        <v>17200</v>
      </c>
      <c r="G52" s="46">
        <v>4.4000000000000004</v>
      </c>
      <c r="H52" s="473" t="s">
        <v>3786</v>
      </c>
      <c r="L52">
        <v>531</v>
      </c>
      <c r="M52" t="s">
        <v>3122</v>
      </c>
      <c r="N52" s="46">
        <v>2.2921314060446782</v>
      </c>
      <c r="S52" s="461">
        <v>266</v>
      </c>
      <c r="T52" s="461" t="s">
        <v>3232</v>
      </c>
      <c r="U52" s="473">
        <v>3.1</v>
      </c>
      <c r="V52" s="461" t="s">
        <v>3787</v>
      </c>
    </row>
    <row r="53" spans="1:22" x14ac:dyDescent="0.25">
      <c r="B53" s="34">
        <v>46201</v>
      </c>
      <c r="C53" t="s">
        <v>1563</v>
      </c>
      <c r="D53">
        <v>635</v>
      </c>
      <c r="E53" t="s">
        <v>3115</v>
      </c>
      <c r="F53" s="142">
        <v>17500</v>
      </c>
      <c r="G53" s="46">
        <v>4.5</v>
      </c>
      <c r="H53" s="473" t="s">
        <v>3786</v>
      </c>
      <c r="L53">
        <v>532</v>
      </c>
      <c r="M53" t="s">
        <v>3122</v>
      </c>
      <c r="N53" s="46">
        <v>2.3966412614980293</v>
      </c>
      <c r="S53">
        <v>267</v>
      </c>
      <c r="T53" t="s">
        <v>3095</v>
      </c>
      <c r="U53" s="46">
        <v>3</v>
      </c>
      <c r="V53" s="461" t="s">
        <v>3787</v>
      </c>
    </row>
    <row r="54" spans="1:22" x14ac:dyDescent="0.25">
      <c r="D54">
        <v>597</v>
      </c>
      <c r="E54" t="s">
        <v>3115</v>
      </c>
      <c r="F54" s="142">
        <v>15000</v>
      </c>
      <c r="G54" s="46">
        <v>3.9</v>
      </c>
      <c r="H54" s="473" t="s">
        <v>3786</v>
      </c>
      <c r="L54">
        <v>533</v>
      </c>
      <c r="M54" t="s">
        <v>3122</v>
      </c>
      <c r="N54" s="46">
        <v>2.30807358738502</v>
      </c>
      <c r="S54">
        <v>268</v>
      </c>
      <c r="T54" t="s">
        <v>3095</v>
      </c>
      <c r="U54" s="46">
        <v>3.1</v>
      </c>
    </row>
    <row r="55" spans="1:22" x14ac:dyDescent="0.25">
      <c r="D55">
        <v>594</v>
      </c>
      <c r="E55" t="s">
        <v>3115</v>
      </c>
      <c r="F55" s="142">
        <v>16040</v>
      </c>
      <c r="G55" s="46">
        <v>2.6</v>
      </c>
      <c r="H55" s="473" t="s">
        <v>3786</v>
      </c>
      <c r="L55">
        <v>534</v>
      </c>
      <c r="M55" t="s">
        <v>3122</v>
      </c>
      <c r="N55" s="46">
        <v>2.3417293035479636</v>
      </c>
      <c r="S55">
        <v>269</v>
      </c>
      <c r="T55" t="s">
        <v>3095</v>
      </c>
      <c r="U55" s="46">
        <v>3</v>
      </c>
    </row>
    <row r="56" spans="1:22" x14ac:dyDescent="0.25">
      <c r="D56">
        <v>595</v>
      </c>
      <c r="E56" t="s">
        <v>3115</v>
      </c>
      <c r="F56" s="142">
        <v>16840</v>
      </c>
      <c r="G56" s="46">
        <v>4.3</v>
      </c>
      <c r="H56" s="473" t="s">
        <v>3786</v>
      </c>
      <c r="L56">
        <v>535</v>
      </c>
      <c r="M56" t="s">
        <v>3122</v>
      </c>
      <c r="N56" s="46">
        <v>2.3098449408672801</v>
      </c>
      <c r="S56">
        <v>273</v>
      </c>
      <c r="T56" t="s">
        <v>3095</v>
      </c>
      <c r="U56" s="46">
        <v>3</v>
      </c>
    </row>
    <row r="57" spans="1:22" x14ac:dyDescent="0.25">
      <c r="A57" t="s">
        <v>3761</v>
      </c>
      <c r="F57" s="142">
        <v>312260</v>
      </c>
      <c r="G57" s="46">
        <v>63.5</v>
      </c>
      <c r="H57" s="473" t="s">
        <v>3786</v>
      </c>
      <c r="L57">
        <v>536</v>
      </c>
      <c r="M57" t="s">
        <v>3122</v>
      </c>
      <c r="N57" s="46">
        <v>2.1433377135348231</v>
      </c>
      <c r="P57" t="s">
        <v>3768</v>
      </c>
      <c r="U57" s="46">
        <v>40</v>
      </c>
    </row>
    <row r="58" spans="1:22" x14ac:dyDescent="0.25">
      <c r="A58" t="s">
        <v>3116</v>
      </c>
      <c r="B58" s="34">
        <v>46193</v>
      </c>
      <c r="C58">
        <v>466</v>
      </c>
      <c r="D58">
        <v>349</v>
      </c>
      <c r="E58" t="s">
        <v>3116</v>
      </c>
      <c r="F58" s="142">
        <v>4460</v>
      </c>
      <c r="G58" s="46">
        <v>1</v>
      </c>
      <c r="H58" s="473" t="s">
        <v>3786</v>
      </c>
      <c r="L58">
        <v>537</v>
      </c>
      <c r="M58" t="s">
        <v>3122</v>
      </c>
      <c r="N58" s="46">
        <v>2.2726465177398163</v>
      </c>
      <c r="P58" t="s">
        <v>3096</v>
      </c>
      <c r="Q58" s="34">
        <v>46191</v>
      </c>
      <c r="R58" t="s">
        <v>2939</v>
      </c>
      <c r="S58">
        <v>324</v>
      </c>
      <c r="T58" t="s">
        <v>3096</v>
      </c>
      <c r="U58" s="46">
        <v>1.2</v>
      </c>
    </row>
    <row r="59" spans="1:22" x14ac:dyDescent="0.25">
      <c r="B59" s="34">
        <v>46194</v>
      </c>
      <c r="C59">
        <v>472</v>
      </c>
      <c r="D59">
        <v>355</v>
      </c>
      <c r="E59" s="461" t="s">
        <v>3114</v>
      </c>
      <c r="F59" s="474">
        <v>12650</v>
      </c>
      <c r="G59" s="473">
        <v>2</v>
      </c>
      <c r="H59" s="473" t="s">
        <v>3786</v>
      </c>
      <c r="L59">
        <v>538</v>
      </c>
      <c r="M59" t="s">
        <v>3122</v>
      </c>
      <c r="N59" s="46">
        <v>2.318701708278581</v>
      </c>
      <c r="S59">
        <v>326</v>
      </c>
      <c r="T59" t="s">
        <v>3096</v>
      </c>
      <c r="U59" s="46">
        <v>2.8</v>
      </c>
    </row>
    <row r="60" spans="1:22" x14ac:dyDescent="0.25">
      <c r="C60">
        <v>473</v>
      </c>
      <c r="D60">
        <v>356</v>
      </c>
      <c r="E60" s="461" t="s">
        <v>3114</v>
      </c>
      <c r="F60" s="474">
        <v>12990</v>
      </c>
      <c r="G60" s="473">
        <v>2.1</v>
      </c>
      <c r="H60" s="473" t="s">
        <v>3786</v>
      </c>
      <c r="L60">
        <v>539</v>
      </c>
      <c r="M60" t="s">
        <v>3122</v>
      </c>
      <c r="N60" s="46">
        <v>2.277960578186597</v>
      </c>
      <c r="P60" t="s">
        <v>3769</v>
      </c>
      <c r="U60" s="46">
        <v>4</v>
      </c>
    </row>
    <row r="61" spans="1:22" x14ac:dyDescent="0.25">
      <c r="C61">
        <v>474</v>
      </c>
      <c r="D61">
        <v>357</v>
      </c>
      <c r="E61" s="461" t="s">
        <v>3114</v>
      </c>
      <c r="F61" s="474">
        <v>12770</v>
      </c>
      <c r="G61" s="473">
        <v>2</v>
      </c>
      <c r="H61" s="473" t="s">
        <v>3786</v>
      </c>
      <c r="L61">
        <v>540</v>
      </c>
      <c r="M61" t="s">
        <v>3122</v>
      </c>
      <c r="N61" s="46">
        <v>2.2761892247043365</v>
      </c>
      <c r="P61" t="s">
        <v>3097</v>
      </c>
      <c r="Q61" s="34">
        <v>46190</v>
      </c>
      <c r="R61" t="s">
        <v>2939</v>
      </c>
      <c r="S61">
        <v>297</v>
      </c>
      <c r="T61" t="s">
        <v>3097</v>
      </c>
      <c r="U61" s="46">
        <v>2.2000000000000002</v>
      </c>
    </row>
    <row r="62" spans="1:22" x14ac:dyDescent="0.25">
      <c r="C62">
        <v>477</v>
      </c>
      <c r="D62">
        <v>360</v>
      </c>
      <c r="E62" s="461" t="s">
        <v>3114</v>
      </c>
      <c r="F62" s="474">
        <v>12810</v>
      </c>
      <c r="G62" s="473">
        <v>2</v>
      </c>
      <c r="H62" s="473" t="s">
        <v>3786</v>
      </c>
      <c r="L62">
        <v>541</v>
      </c>
      <c r="M62" t="s">
        <v>3122</v>
      </c>
      <c r="N62" s="46">
        <v>2.2797319316688571</v>
      </c>
      <c r="S62">
        <v>298</v>
      </c>
      <c r="T62" t="s">
        <v>3097</v>
      </c>
      <c r="U62" s="46">
        <v>2.2000000000000002</v>
      </c>
    </row>
    <row r="63" spans="1:22" x14ac:dyDescent="0.25">
      <c r="C63">
        <v>479</v>
      </c>
      <c r="D63">
        <v>362</v>
      </c>
      <c r="E63" s="461" t="s">
        <v>3114</v>
      </c>
      <c r="F63" s="474">
        <v>12870</v>
      </c>
      <c r="G63" s="473">
        <v>2</v>
      </c>
      <c r="H63" s="46"/>
      <c r="L63">
        <v>542</v>
      </c>
      <c r="M63" t="s">
        <v>3122</v>
      </c>
      <c r="N63" s="46">
        <v>2.2549329829172144</v>
      </c>
      <c r="S63">
        <v>299</v>
      </c>
      <c r="T63" t="s">
        <v>3097</v>
      </c>
      <c r="U63" s="46">
        <v>2.2000000000000002</v>
      </c>
    </row>
    <row r="64" spans="1:22" x14ac:dyDescent="0.25">
      <c r="C64">
        <v>481</v>
      </c>
      <c r="D64">
        <v>364</v>
      </c>
      <c r="E64" s="461" t="s">
        <v>3114</v>
      </c>
      <c r="F64" s="474">
        <v>13050</v>
      </c>
      <c r="G64" s="473">
        <v>2.1</v>
      </c>
      <c r="H64" s="46"/>
      <c r="K64" s="34">
        <v>46203</v>
      </c>
      <c r="L64">
        <v>543</v>
      </c>
      <c r="M64" t="s">
        <v>3122</v>
      </c>
      <c r="N64" s="46">
        <v>2.2673324572930356</v>
      </c>
      <c r="S64">
        <v>300</v>
      </c>
      <c r="T64" t="s">
        <v>3097</v>
      </c>
      <c r="U64" s="46">
        <v>0.7</v>
      </c>
    </row>
    <row r="65" spans="2:22" x14ac:dyDescent="0.25">
      <c r="C65">
        <v>484</v>
      </c>
      <c r="D65">
        <v>367</v>
      </c>
      <c r="E65" s="461" t="s">
        <v>3114</v>
      </c>
      <c r="F65" s="474">
        <v>13150</v>
      </c>
      <c r="G65" s="473">
        <v>2.1</v>
      </c>
      <c r="H65" s="46"/>
      <c r="L65">
        <v>544</v>
      </c>
      <c r="M65" t="s">
        <v>3122</v>
      </c>
      <c r="N65" s="46">
        <v>2.3275584756898819</v>
      </c>
      <c r="S65">
        <v>301</v>
      </c>
      <c r="T65" t="s">
        <v>3097</v>
      </c>
      <c r="U65" s="46">
        <v>2.2000000000000002</v>
      </c>
    </row>
    <row r="66" spans="2:22" x14ac:dyDescent="0.25">
      <c r="C66">
        <v>486</v>
      </c>
      <c r="D66">
        <v>369</v>
      </c>
      <c r="E66" s="461" t="s">
        <v>3114</v>
      </c>
      <c r="F66" s="474">
        <v>13190</v>
      </c>
      <c r="G66" s="473">
        <v>2.1</v>
      </c>
      <c r="H66" s="46"/>
      <c r="L66">
        <v>552</v>
      </c>
      <c r="M66" t="s">
        <v>3122</v>
      </c>
      <c r="N66" s="46">
        <v>2.2549329829172144</v>
      </c>
      <c r="S66">
        <v>302</v>
      </c>
      <c r="T66" t="s">
        <v>3097</v>
      </c>
      <c r="U66" s="46">
        <v>2.2000000000000002</v>
      </c>
    </row>
    <row r="67" spans="2:22" x14ac:dyDescent="0.25">
      <c r="C67">
        <v>488</v>
      </c>
      <c r="D67">
        <v>371</v>
      </c>
      <c r="E67" s="461" t="s">
        <v>3114</v>
      </c>
      <c r="F67" s="474">
        <v>8830</v>
      </c>
      <c r="G67" s="473">
        <v>1.4</v>
      </c>
      <c r="H67" s="46"/>
      <c r="L67">
        <v>553</v>
      </c>
      <c r="M67" t="s">
        <v>3122</v>
      </c>
      <c r="N67" s="46">
        <v>2.2567043363994745</v>
      </c>
      <c r="S67">
        <v>303</v>
      </c>
      <c r="T67" t="s">
        <v>3097</v>
      </c>
      <c r="U67" s="46">
        <v>2.1</v>
      </c>
    </row>
    <row r="68" spans="2:22" x14ac:dyDescent="0.25">
      <c r="C68">
        <v>491</v>
      </c>
      <c r="D68">
        <v>374</v>
      </c>
      <c r="E68" s="461" t="s">
        <v>3114</v>
      </c>
      <c r="F68" s="474">
        <v>13190</v>
      </c>
      <c r="G68" s="473">
        <v>2.1</v>
      </c>
      <c r="H68" s="46"/>
      <c r="L68">
        <v>555</v>
      </c>
      <c r="M68" t="s">
        <v>3122</v>
      </c>
      <c r="N68" s="46">
        <v>2.6889145860709598</v>
      </c>
      <c r="S68">
        <v>304</v>
      </c>
      <c r="T68" t="s">
        <v>3097</v>
      </c>
      <c r="U68" s="46">
        <v>0.7</v>
      </c>
    </row>
    <row r="69" spans="2:22" x14ac:dyDescent="0.25">
      <c r="C69">
        <v>494</v>
      </c>
      <c r="D69">
        <v>377</v>
      </c>
      <c r="E69" s="461" t="s">
        <v>3114</v>
      </c>
      <c r="F69" s="474">
        <v>12810</v>
      </c>
      <c r="G69" s="473">
        <v>2</v>
      </c>
      <c r="H69" s="46"/>
      <c r="L69">
        <v>557</v>
      </c>
      <c r="M69" t="s">
        <v>3122</v>
      </c>
      <c r="N69" s="46">
        <v>2.3452720105124838</v>
      </c>
      <c r="S69">
        <v>308</v>
      </c>
      <c r="T69" t="s">
        <v>3097</v>
      </c>
      <c r="U69" s="46">
        <v>2.2000000000000002</v>
      </c>
    </row>
    <row r="70" spans="2:22" x14ac:dyDescent="0.25">
      <c r="C70">
        <v>495</v>
      </c>
      <c r="D70">
        <v>378</v>
      </c>
      <c r="E70" s="461" t="s">
        <v>3114</v>
      </c>
      <c r="F70" s="474">
        <v>12750</v>
      </c>
      <c r="G70" s="473">
        <v>2</v>
      </c>
      <c r="H70" s="46"/>
      <c r="J70" t="s">
        <v>3764</v>
      </c>
      <c r="N70" s="46">
        <v>102.4</v>
      </c>
      <c r="S70">
        <v>309</v>
      </c>
      <c r="T70" t="s">
        <v>3097</v>
      </c>
      <c r="U70" s="46">
        <v>2.2000000000000002</v>
      </c>
    </row>
    <row r="71" spans="2:22" x14ac:dyDescent="0.25">
      <c r="C71">
        <v>497</v>
      </c>
      <c r="D71">
        <v>380</v>
      </c>
      <c r="E71" s="461" t="s">
        <v>3114</v>
      </c>
      <c r="F71" s="474">
        <v>12790</v>
      </c>
      <c r="G71" s="473">
        <v>2</v>
      </c>
      <c r="H71" s="46"/>
      <c r="J71" t="s">
        <v>3123</v>
      </c>
      <c r="K71" s="34">
        <v>46203</v>
      </c>
      <c r="L71">
        <v>558</v>
      </c>
      <c r="M71" t="s">
        <v>3120</v>
      </c>
      <c r="N71" s="46">
        <v>2.5725528151386712</v>
      </c>
      <c r="S71">
        <v>311</v>
      </c>
      <c r="T71" t="s">
        <v>3097</v>
      </c>
      <c r="U71" s="46">
        <v>2.2000000000000002</v>
      </c>
    </row>
    <row r="72" spans="2:22" x14ac:dyDescent="0.25">
      <c r="C72">
        <v>500</v>
      </c>
      <c r="D72">
        <v>382</v>
      </c>
      <c r="E72" s="461" t="s">
        <v>3114</v>
      </c>
      <c r="F72" s="474">
        <v>12890</v>
      </c>
      <c r="G72" s="473">
        <v>2</v>
      </c>
      <c r="H72" s="46"/>
      <c r="L72">
        <v>561</v>
      </c>
      <c r="M72" t="s">
        <v>3123</v>
      </c>
      <c r="N72" s="46">
        <v>2.5351066315121984</v>
      </c>
      <c r="Q72" s="34">
        <v>46191</v>
      </c>
      <c r="R72" t="s">
        <v>2939</v>
      </c>
      <c r="S72">
        <v>312</v>
      </c>
      <c r="T72" t="s">
        <v>3097</v>
      </c>
      <c r="U72" s="46">
        <v>2.1</v>
      </c>
    </row>
    <row r="73" spans="2:22" x14ac:dyDescent="0.25">
      <c r="C73">
        <v>501</v>
      </c>
      <c r="D73">
        <v>383</v>
      </c>
      <c r="E73" s="461" t="s">
        <v>3114</v>
      </c>
      <c r="F73" s="474">
        <v>12670</v>
      </c>
      <c r="G73" s="473">
        <v>2</v>
      </c>
      <c r="H73" s="46"/>
      <c r="L73">
        <v>562</v>
      </c>
      <c r="M73" t="s">
        <v>3123</v>
      </c>
      <c r="N73" s="46">
        <v>2.3291526215665987</v>
      </c>
      <c r="S73">
        <v>313</v>
      </c>
      <c r="T73" t="s">
        <v>3097</v>
      </c>
      <c r="U73" s="46">
        <v>2</v>
      </c>
    </row>
    <row r="74" spans="2:22" x14ac:dyDescent="0.25">
      <c r="C74">
        <v>502</v>
      </c>
      <c r="D74">
        <v>384</v>
      </c>
      <c r="E74" s="461" t="s">
        <v>3114</v>
      </c>
      <c r="F74" s="474">
        <v>12830</v>
      </c>
      <c r="G74" s="473">
        <v>2</v>
      </c>
      <c r="H74" s="46"/>
      <c r="L74">
        <v>564</v>
      </c>
      <c r="M74" t="s">
        <v>3123</v>
      </c>
      <c r="N74" s="46">
        <v>2.1662617227914427</v>
      </c>
      <c r="S74">
        <v>316</v>
      </c>
      <c r="T74" t="s">
        <v>3097</v>
      </c>
      <c r="U74" s="46">
        <v>2.1</v>
      </c>
    </row>
    <row r="75" spans="2:22" x14ac:dyDescent="0.25">
      <c r="B75" s="34">
        <v>46195</v>
      </c>
      <c r="C75">
        <v>515</v>
      </c>
      <c r="D75">
        <v>393</v>
      </c>
      <c r="E75" t="s">
        <v>3116</v>
      </c>
      <c r="F75" s="142">
        <v>13260</v>
      </c>
      <c r="G75" s="46">
        <v>1.8</v>
      </c>
      <c r="H75" s="46"/>
      <c r="K75" s="34">
        <v>46207</v>
      </c>
      <c r="L75">
        <v>663</v>
      </c>
      <c r="M75" t="s">
        <v>3123</v>
      </c>
      <c r="N75" s="46">
        <v>1.3836364849981644</v>
      </c>
      <c r="S75" s="461">
        <v>317</v>
      </c>
      <c r="T75" s="461" t="s">
        <v>3550</v>
      </c>
      <c r="U75" s="473">
        <v>0.7</v>
      </c>
    </row>
    <row r="76" spans="2:22" x14ac:dyDescent="0.25">
      <c r="C76">
        <v>516</v>
      </c>
      <c r="D76">
        <v>394</v>
      </c>
      <c r="E76" t="s">
        <v>3116</v>
      </c>
      <c r="F76" s="142">
        <v>13090</v>
      </c>
      <c r="G76" s="46">
        <v>1.8</v>
      </c>
      <c r="H76" s="46"/>
      <c r="L76">
        <v>668</v>
      </c>
      <c r="M76" t="s">
        <v>3123</v>
      </c>
      <c r="N76" s="46">
        <v>0.57292660948503149</v>
      </c>
      <c r="S76">
        <v>318</v>
      </c>
      <c r="T76" t="s">
        <v>3097</v>
      </c>
      <c r="U76" s="46">
        <v>2.1</v>
      </c>
      <c r="V76" s="461" t="s">
        <v>3788</v>
      </c>
    </row>
    <row r="77" spans="2:22" x14ac:dyDescent="0.25">
      <c r="C77">
        <v>517</v>
      </c>
      <c r="D77">
        <v>395</v>
      </c>
      <c r="E77" t="s">
        <v>3116</v>
      </c>
      <c r="F77" s="142">
        <v>13440</v>
      </c>
      <c r="G77" s="46">
        <v>1.8</v>
      </c>
      <c r="H77" s="46"/>
      <c r="K77" s="34">
        <v>46208</v>
      </c>
      <c r="L77">
        <v>694</v>
      </c>
      <c r="M77" t="s">
        <v>3123</v>
      </c>
      <c r="N77" s="46">
        <v>2.4208957714514567</v>
      </c>
      <c r="S77">
        <v>319</v>
      </c>
      <c r="T77" t="s">
        <v>3097</v>
      </c>
      <c r="U77" s="46">
        <v>2.1</v>
      </c>
    </row>
    <row r="78" spans="2:22" x14ac:dyDescent="0.25">
      <c r="C78">
        <v>520</v>
      </c>
      <c r="D78">
        <v>398</v>
      </c>
      <c r="E78" t="s">
        <v>3116</v>
      </c>
      <c r="F78" s="142">
        <v>13330</v>
      </c>
      <c r="G78" s="46">
        <v>1.8</v>
      </c>
      <c r="H78" s="46"/>
      <c r="L78">
        <v>691</v>
      </c>
      <c r="M78" t="s">
        <v>3123</v>
      </c>
      <c r="N78" s="46">
        <v>2.510766612154991</v>
      </c>
      <c r="S78">
        <v>320</v>
      </c>
      <c r="T78" t="s">
        <v>3097</v>
      </c>
      <c r="U78" s="46">
        <v>2</v>
      </c>
    </row>
    <row r="79" spans="2:22" x14ac:dyDescent="0.25">
      <c r="C79">
        <v>521</v>
      </c>
      <c r="D79">
        <v>399</v>
      </c>
      <c r="E79" t="s">
        <v>3116</v>
      </c>
      <c r="F79" s="142">
        <v>13200</v>
      </c>
      <c r="G79" s="46">
        <v>1.8</v>
      </c>
      <c r="H79" s="46"/>
      <c r="L79">
        <v>692</v>
      </c>
      <c r="M79" t="s">
        <v>3123</v>
      </c>
      <c r="N79" s="46">
        <v>2.4171511530888097</v>
      </c>
      <c r="S79">
        <v>321</v>
      </c>
      <c r="T79" t="s">
        <v>3097</v>
      </c>
      <c r="U79" s="46">
        <v>2.1</v>
      </c>
    </row>
    <row r="80" spans="2:22" x14ac:dyDescent="0.25">
      <c r="C80">
        <v>522</v>
      </c>
      <c r="D80">
        <v>400</v>
      </c>
      <c r="E80" t="s">
        <v>3116</v>
      </c>
      <c r="F80" s="142">
        <v>13090</v>
      </c>
      <c r="G80" s="46">
        <v>1.8</v>
      </c>
      <c r="H80" s="473" t="s">
        <v>3786</v>
      </c>
      <c r="L80">
        <v>697</v>
      </c>
      <c r="M80" t="s">
        <v>3123</v>
      </c>
      <c r="N80" s="46">
        <v>2.5032773754296964</v>
      </c>
      <c r="S80">
        <v>322</v>
      </c>
      <c r="T80" t="s">
        <v>3097</v>
      </c>
      <c r="U80" s="46">
        <v>0.7</v>
      </c>
    </row>
    <row r="81" spans="2:22" x14ac:dyDescent="0.25">
      <c r="C81">
        <v>524</v>
      </c>
      <c r="D81">
        <v>402</v>
      </c>
      <c r="E81" t="s">
        <v>3116</v>
      </c>
      <c r="F81" s="142">
        <v>12870</v>
      </c>
      <c r="G81" s="46">
        <v>1.7</v>
      </c>
      <c r="H81" s="473" t="s">
        <v>3786</v>
      </c>
      <c r="L81">
        <v>698</v>
      </c>
      <c r="M81" t="s">
        <v>3123</v>
      </c>
      <c r="N81" s="46">
        <v>2.4976604478857256</v>
      </c>
      <c r="S81">
        <v>323</v>
      </c>
      <c r="T81" t="s">
        <v>3097</v>
      </c>
      <c r="U81" s="46">
        <v>2.1</v>
      </c>
    </row>
    <row r="82" spans="2:22" x14ac:dyDescent="0.25">
      <c r="C82">
        <v>525</v>
      </c>
      <c r="D82">
        <v>405</v>
      </c>
      <c r="E82" t="s">
        <v>3116</v>
      </c>
      <c r="F82" s="142">
        <v>12800</v>
      </c>
      <c r="G82" s="46">
        <v>1.7</v>
      </c>
      <c r="H82" s="473" t="s">
        <v>3786</v>
      </c>
      <c r="L82">
        <v>700</v>
      </c>
      <c r="M82" t="s">
        <v>3123</v>
      </c>
      <c r="N82" s="46">
        <v>2.4751927377098419</v>
      </c>
      <c r="S82">
        <v>325</v>
      </c>
      <c r="T82" t="s">
        <v>3097</v>
      </c>
      <c r="U82" s="46">
        <v>1.5</v>
      </c>
    </row>
    <row r="83" spans="2:22" x14ac:dyDescent="0.25">
      <c r="C83">
        <v>527</v>
      </c>
      <c r="D83">
        <v>404</v>
      </c>
      <c r="E83" t="s">
        <v>3116</v>
      </c>
      <c r="F83" s="142">
        <v>12810</v>
      </c>
      <c r="G83" s="46">
        <v>1.7</v>
      </c>
      <c r="H83" s="473" t="s">
        <v>3786</v>
      </c>
      <c r="K83" s="34">
        <v>46209</v>
      </c>
      <c r="L83">
        <v>659</v>
      </c>
      <c r="M83" t="s">
        <v>3123</v>
      </c>
      <c r="N83" s="46">
        <v>2.4733204285285186</v>
      </c>
      <c r="S83">
        <v>328</v>
      </c>
      <c r="T83" t="s">
        <v>3097</v>
      </c>
      <c r="U83" s="46">
        <v>2</v>
      </c>
    </row>
    <row r="84" spans="2:22" x14ac:dyDescent="0.25">
      <c r="C84">
        <v>528</v>
      </c>
      <c r="D84">
        <v>406</v>
      </c>
      <c r="E84" t="s">
        <v>3116</v>
      </c>
      <c r="F84" s="142">
        <v>12780</v>
      </c>
      <c r="G84" s="46">
        <v>1.7</v>
      </c>
      <c r="H84" s="473" t="s">
        <v>3786</v>
      </c>
      <c r="L84">
        <v>677</v>
      </c>
      <c r="M84" t="s">
        <v>3123</v>
      </c>
      <c r="N84" s="46">
        <v>2.3366418582918933</v>
      </c>
      <c r="S84" s="461">
        <v>329</v>
      </c>
      <c r="T84" s="461" t="s">
        <v>3550</v>
      </c>
      <c r="U84" s="473">
        <v>2</v>
      </c>
    </row>
    <row r="85" spans="2:22" x14ac:dyDescent="0.25">
      <c r="C85">
        <v>529</v>
      </c>
      <c r="D85">
        <v>407</v>
      </c>
      <c r="E85" t="s">
        <v>3116</v>
      </c>
      <c r="F85" s="142">
        <v>12960</v>
      </c>
      <c r="G85" s="46">
        <v>1.7</v>
      </c>
      <c r="H85" s="473" t="s">
        <v>3786</v>
      </c>
      <c r="L85">
        <v>680</v>
      </c>
      <c r="M85" t="s">
        <v>3123</v>
      </c>
      <c r="N85" s="46">
        <v>2.4208957714514567</v>
      </c>
      <c r="S85">
        <v>330</v>
      </c>
      <c r="T85" t="s">
        <v>3097</v>
      </c>
      <c r="U85" s="46">
        <v>2</v>
      </c>
      <c r="V85" s="461" t="s">
        <v>3788</v>
      </c>
    </row>
    <row r="86" spans="2:22" x14ac:dyDescent="0.25">
      <c r="C86">
        <v>531</v>
      </c>
      <c r="D86">
        <v>409</v>
      </c>
      <c r="E86" t="s">
        <v>3116</v>
      </c>
      <c r="F86" s="142">
        <v>13070</v>
      </c>
      <c r="G86" s="46">
        <v>1.8</v>
      </c>
      <c r="H86" s="473" t="s">
        <v>3786</v>
      </c>
      <c r="L86">
        <v>681</v>
      </c>
      <c r="M86" t="s">
        <v>3123</v>
      </c>
      <c r="N86" s="46">
        <v>2.4452357908086642</v>
      </c>
      <c r="S86">
        <v>331</v>
      </c>
      <c r="T86" t="s">
        <v>3097</v>
      </c>
      <c r="U86" s="46">
        <v>0.7</v>
      </c>
    </row>
    <row r="87" spans="2:22" x14ac:dyDescent="0.25">
      <c r="B87" s="34">
        <v>46196</v>
      </c>
      <c r="C87">
        <v>532</v>
      </c>
      <c r="D87">
        <v>410</v>
      </c>
      <c r="E87" t="s">
        <v>3116</v>
      </c>
      <c r="F87" s="142">
        <v>13130</v>
      </c>
      <c r="G87" s="46">
        <v>2</v>
      </c>
      <c r="H87" s="473" t="s">
        <v>3786</v>
      </c>
      <c r="L87">
        <v>683</v>
      </c>
      <c r="M87" t="s">
        <v>3123</v>
      </c>
      <c r="N87" s="46">
        <v>2.419023462270133</v>
      </c>
      <c r="S87">
        <v>332</v>
      </c>
      <c r="T87" t="s">
        <v>3097</v>
      </c>
      <c r="U87" s="46">
        <v>2.1</v>
      </c>
    </row>
    <row r="88" spans="2:22" x14ac:dyDescent="0.25">
      <c r="C88">
        <v>535</v>
      </c>
      <c r="D88">
        <v>412</v>
      </c>
      <c r="E88" t="s">
        <v>3116</v>
      </c>
      <c r="F88" s="142">
        <v>13290</v>
      </c>
      <c r="G88" s="46">
        <v>2</v>
      </c>
      <c r="H88" s="473" t="s">
        <v>3786</v>
      </c>
      <c r="L88">
        <v>686</v>
      </c>
      <c r="M88" t="s">
        <v>3123</v>
      </c>
      <c r="N88" s="46">
        <v>2.5313620131495509</v>
      </c>
      <c r="S88" s="461">
        <v>333</v>
      </c>
      <c r="T88" s="461" t="s">
        <v>3550</v>
      </c>
      <c r="U88" s="473">
        <v>2</v>
      </c>
    </row>
    <row r="89" spans="2:22" x14ac:dyDescent="0.25">
      <c r="C89">
        <v>536</v>
      </c>
      <c r="D89">
        <v>413</v>
      </c>
      <c r="E89" t="s">
        <v>3116</v>
      </c>
      <c r="F89" s="142">
        <v>13230</v>
      </c>
      <c r="G89" s="46">
        <v>2</v>
      </c>
      <c r="H89" s="473" t="s">
        <v>3786</v>
      </c>
      <c r="L89">
        <v>687</v>
      </c>
      <c r="M89" t="s">
        <v>3123</v>
      </c>
      <c r="N89" s="46">
        <v>2.5182558488802855</v>
      </c>
      <c r="S89" s="461">
        <v>334</v>
      </c>
      <c r="T89" s="461" t="s">
        <v>3550</v>
      </c>
      <c r="U89" s="473">
        <v>2</v>
      </c>
      <c r="V89" s="461" t="s">
        <v>3788</v>
      </c>
    </row>
    <row r="90" spans="2:22" x14ac:dyDescent="0.25">
      <c r="C90">
        <v>538</v>
      </c>
      <c r="D90">
        <v>415</v>
      </c>
      <c r="E90" t="s">
        <v>3116</v>
      </c>
      <c r="F90" s="142">
        <v>13140</v>
      </c>
      <c r="G90" s="46">
        <v>2</v>
      </c>
      <c r="H90" s="473" t="s">
        <v>3786</v>
      </c>
      <c r="L90">
        <v>701</v>
      </c>
      <c r="M90" t="s">
        <v>3123</v>
      </c>
      <c r="N90" s="46">
        <v>2.8908453759636887</v>
      </c>
      <c r="S90">
        <v>335</v>
      </c>
      <c r="T90" t="s">
        <v>3097</v>
      </c>
      <c r="U90" s="46">
        <v>0.6</v>
      </c>
      <c r="V90" s="461" t="s">
        <v>3788</v>
      </c>
    </row>
    <row r="91" spans="2:22" x14ac:dyDescent="0.25">
      <c r="C91">
        <v>539</v>
      </c>
      <c r="D91">
        <v>416</v>
      </c>
      <c r="E91" t="s">
        <v>3116</v>
      </c>
      <c r="F91" s="142">
        <v>13230</v>
      </c>
      <c r="G91" s="46">
        <v>2</v>
      </c>
      <c r="H91" s="473" t="s">
        <v>3786</v>
      </c>
      <c r="L91">
        <v>704</v>
      </c>
      <c r="M91" t="s">
        <v>3123</v>
      </c>
      <c r="N91" s="46">
        <v>2.3291526215665987</v>
      </c>
      <c r="S91">
        <v>336</v>
      </c>
      <c r="T91" t="s">
        <v>3097</v>
      </c>
      <c r="U91" s="46">
        <v>2</v>
      </c>
    </row>
    <row r="92" spans="2:22" x14ac:dyDescent="0.25">
      <c r="B92" s="34">
        <v>46198</v>
      </c>
      <c r="C92" t="s">
        <v>1563</v>
      </c>
      <c r="D92">
        <v>632</v>
      </c>
      <c r="E92" t="s">
        <v>3115</v>
      </c>
      <c r="F92" s="142">
        <v>13220</v>
      </c>
      <c r="G92" s="46">
        <v>2</v>
      </c>
      <c r="H92" s="473" t="s">
        <v>3786</v>
      </c>
      <c r="L92">
        <v>706</v>
      </c>
      <c r="M92" t="s">
        <v>3123</v>
      </c>
      <c r="N92" s="46">
        <v>2.3815772786436606</v>
      </c>
      <c r="S92">
        <v>337</v>
      </c>
      <c r="T92" t="s">
        <v>3097</v>
      </c>
      <c r="U92" s="46">
        <v>2</v>
      </c>
    </row>
    <row r="93" spans="2:22" x14ac:dyDescent="0.25">
      <c r="D93">
        <v>633</v>
      </c>
      <c r="E93" t="s">
        <v>3115</v>
      </c>
      <c r="F93" s="142">
        <v>13560</v>
      </c>
      <c r="G93" s="46">
        <v>2.1</v>
      </c>
      <c r="H93" s="473" t="s">
        <v>3786</v>
      </c>
      <c r="L93">
        <v>707</v>
      </c>
      <c r="M93" t="s">
        <v>3123</v>
      </c>
      <c r="N93" s="46">
        <v>2.4583419550779295</v>
      </c>
      <c r="S93">
        <v>338</v>
      </c>
      <c r="T93" t="s">
        <v>3097</v>
      </c>
      <c r="U93" s="46">
        <v>2.1</v>
      </c>
    </row>
    <row r="94" spans="2:22" x14ac:dyDescent="0.25">
      <c r="B94" s="34">
        <v>46199</v>
      </c>
      <c r="C94">
        <v>619</v>
      </c>
      <c r="D94">
        <v>482</v>
      </c>
      <c r="E94" s="461" t="s">
        <v>3115</v>
      </c>
      <c r="F94" s="474">
        <v>13250</v>
      </c>
      <c r="G94" s="473">
        <v>3.4</v>
      </c>
      <c r="H94" s="473" t="s">
        <v>3786</v>
      </c>
      <c r="L94">
        <v>709</v>
      </c>
      <c r="M94" t="s">
        <v>3123</v>
      </c>
      <c r="N94" s="46">
        <v>2.510766612154991</v>
      </c>
      <c r="Q94" s="34">
        <v>46192</v>
      </c>
      <c r="R94" t="s">
        <v>2939</v>
      </c>
      <c r="S94" s="461">
        <v>339</v>
      </c>
      <c r="T94" s="461" t="s">
        <v>3550</v>
      </c>
      <c r="U94" s="473">
        <v>2.9</v>
      </c>
    </row>
    <row r="95" spans="2:22" x14ac:dyDescent="0.25">
      <c r="C95">
        <v>624</v>
      </c>
      <c r="D95">
        <v>485</v>
      </c>
      <c r="E95" s="461" t="s">
        <v>3115</v>
      </c>
      <c r="F95" s="474">
        <v>13030</v>
      </c>
      <c r="G95" s="473">
        <v>3.4</v>
      </c>
      <c r="H95" s="473" t="s">
        <v>3786</v>
      </c>
      <c r="J95" t="s">
        <v>3821</v>
      </c>
      <c r="N95" s="46">
        <v>56.1</v>
      </c>
      <c r="P95" t="s">
        <v>3770</v>
      </c>
      <c r="U95" s="46">
        <v>63.000000000000014</v>
      </c>
      <c r="V95" s="461" t="s">
        <v>3788</v>
      </c>
    </row>
    <row r="96" spans="2:22" x14ac:dyDescent="0.25">
      <c r="C96">
        <v>629</v>
      </c>
      <c r="D96">
        <v>488</v>
      </c>
      <c r="E96" s="461" t="s">
        <v>3115</v>
      </c>
      <c r="F96" s="474">
        <v>13180</v>
      </c>
      <c r="G96" s="473">
        <v>3.4</v>
      </c>
      <c r="H96" s="46"/>
      <c r="J96" t="s">
        <v>3121</v>
      </c>
      <c r="K96" s="34">
        <v>46204</v>
      </c>
      <c r="L96">
        <v>578</v>
      </c>
      <c r="M96" t="s">
        <v>3121</v>
      </c>
      <c r="N96" s="46">
        <v>2.8</v>
      </c>
      <c r="P96" t="s">
        <v>2974</v>
      </c>
      <c r="Q96" s="34">
        <v>46179</v>
      </c>
      <c r="R96" t="s">
        <v>2939</v>
      </c>
      <c r="S96">
        <v>37</v>
      </c>
      <c r="T96" t="s">
        <v>2974</v>
      </c>
      <c r="U96" s="46">
        <v>1.8</v>
      </c>
    </row>
    <row r="97" spans="2:21" x14ac:dyDescent="0.25">
      <c r="C97">
        <v>631</v>
      </c>
      <c r="D97">
        <v>489</v>
      </c>
      <c r="E97" s="461" t="s">
        <v>3115</v>
      </c>
      <c r="F97" s="474">
        <v>13020</v>
      </c>
      <c r="G97" s="473">
        <v>3.4</v>
      </c>
      <c r="H97" s="46"/>
      <c r="L97">
        <v>582</v>
      </c>
      <c r="M97" t="s">
        <v>3121</v>
      </c>
      <c r="N97" s="46">
        <v>2.8</v>
      </c>
      <c r="S97">
        <v>41</v>
      </c>
      <c r="T97" t="s">
        <v>2974</v>
      </c>
      <c r="U97" s="46">
        <v>3.2</v>
      </c>
    </row>
    <row r="98" spans="2:21" x14ac:dyDescent="0.25">
      <c r="C98">
        <v>632</v>
      </c>
      <c r="D98">
        <v>490</v>
      </c>
      <c r="E98" s="461" t="s">
        <v>3115</v>
      </c>
      <c r="F98" s="474">
        <v>13370</v>
      </c>
      <c r="G98" s="473">
        <v>3.4</v>
      </c>
      <c r="L98">
        <v>583</v>
      </c>
      <c r="M98" t="s">
        <v>3121</v>
      </c>
      <c r="N98" s="46">
        <v>2.8</v>
      </c>
      <c r="Q98" s="34">
        <v>46182</v>
      </c>
      <c r="R98" t="s">
        <v>2939</v>
      </c>
      <c r="S98">
        <v>104</v>
      </c>
      <c r="T98" t="s">
        <v>2974</v>
      </c>
      <c r="U98" s="46">
        <v>2</v>
      </c>
    </row>
    <row r="99" spans="2:21" x14ac:dyDescent="0.25">
      <c r="C99">
        <v>634</v>
      </c>
      <c r="D99">
        <v>491</v>
      </c>
      <c r="E99" s="461" t="s">
        <v>3115</v>
      </c>
      <c r="F99" s="474">
        <v>13240</v>
      </c>
      <c r="G99" s="473">
        <v>3.5</v>
      </c>
      <c r="L99">
        <v>584</v>
      </c>
      <c r="M99" t="s">
        <v>3121</v>
      </c>
      <c r="N99" s="46">
        <v>2.8</v>
      </c>
      <c r="S99">
        <v>105</v>
      </c>
      <c r="T99" t="s">
        <v>2974</v>
      </c>
      <c r="U99" s="46">
        <v>0.7</v>
      </c>
    </row>
    <row r="100" spans="2:21" x14ac:dyDescent="0.25">
      <c r="C100">
        <v>635</v>
      </c>
      <c r="D100">
        <v>492</v>
      </c>
      <c r="E100" s="461" t="s">
        <v>3115</v>
      </c>
      <c r="F100" s="474">
        <v>12990</v>
      </c>
      <c r="G100" s="473">
        <v>3.4</v>
      </c>
      <c r="L100">
        <v>586</v>
      </c>
      <c r="M100" t="s">
        <v>3121</v>
      </c>
      <c r="N100" s="46">
        <v>2.8</v>
      </c>
      <c r="S100">
        <v>106</v>
      </c>
      <c r="T100" t="s">
        <v>3194</v>
      </c>
      <c r="U100" s="46">
        <v>1.9</v>
      </c>
    </row>
    <row r="101" spans="2:21" x14ac:dyDescent="0.25">
      <c r="C101" t="s">
        <v>1563</v>
      </c>
      <c r="D101">
        <v>634</v>
      </c>
      <c r="E101" t="s">
        <v>3115</v>
      </c>
      <c r="F101" s="142">
        <v>13200</v>
      </c>
      <c r="G101" s="46">
        <v>3.4</v>
      </c>
      <c r="L101">
        <v>588</v>
      </c>
      <c r="M101" t="s">
        <v>3121</v>
      </c>
      <c r="N101" s="46">
        <v>2.7</v>
      </c>
      <c r="S101">
        <v>107</v>
      </c>
      <c r="T101" t="s">
        <v>3194</v>
      </c>
      <c r="U101" s="46">
        <v>2</v>
      </c>
    </row>
    <row r="102" spans="2:21" x14ac:dyDescent="0.25">
      <c r="D102">
        <v>628</v>
      </c>
      <c r="E102" t="s">
        <v>3115</v>
      </c>
      <c r="F102" s="142">
        <v>13240</v>
      </c>
      <c r="G102" s="46">
        <v>3.4</v>
      </c>
      <c r="L102">
        <v>590</v>
      </c>
      <c r="M102" t="s">
        <v>3121</v>
      </c>
      <c r="N102" s="46">
        <v>2.6</v>
      </c>
      <c r="S102">
        <v>108</v>
      </c>
      <c r="T102" t="s">
        <v>3194</v>
      </c>
      <c r="U102" s="46">
        <v>2</v>
      </c>
    </row>
    <row r="103" spans="2:21" x14ac:dyDescent="0.25">
      <c r="D103">
        <v>629</v>
      </c>
      <c r="E103" t="s">
        <v>3115</v>
      </c>
      <c r="F103" s="142">
        <v>13320</v>
      </c>
      <c r="G103" s="46">
        <v>3.4</v>
      </c>
      <c r="L103">
        <v>591</v>
      </c>
      <c r="M103" t="s">
        <v>3121</v>
      </c>
      <c r="N103" s="46">
        <v>2.7</v>
      </c>
      <c r="S103">
        <v>109</v>
      </c>
      <c r="T103" t="s">
        <v>2974</v>
      </c>
      <c r="U103" s="46">
        <v>0.6</v>
      </c>
    </row>
    <row r="104" spans="2:21" x14ac:dyDescent="0.25">
      <c r="D104">
        <v>630</v>
      </c>
      <c r="E104" t="s">
        <v>3115</v>
      </c>
      <c r="F104" s="142">
        <v>13520</v>
      </c>
      <c r="G104" s="46">
        <v>3.5</v>
      </c>
      <c r="L104">
        <v>596</v>
      </c>
      <c r="M104" t="s">
        <v>3121</v>
      </c>
      <c r="N104" s="46">
        <v>2.6</v>
      </c>
      <c r="S104">
        <v>110</v>
      </c>
      <c r="T104" t="s">
        <v>2974</v>
      </c>
      <c r="U104" s="46">
        <v>2</v>
      </c>
    </row>
    <row r="105" spans="2:21" x14ac:dyDescent="0.25">
      <c r="D105">
        <v>608</v>
      </c>
      <c r="E105" t="s">
        <v>3115</v>
      </c>
      <c r="F105" s="142">
        <v>13380</v>
      </c>
      <c r="G105" s="46">
        <v>3.5</v>
      </c>
      <c r="L105">
        <v>600</v>
      </c>
      <c r="M105" t="s">
        <v>3121</v>
      </c>
      <c r="N105" s="46">
        <v>2.6</v>
      </c>
      <c r="S105">
        <v>111</v>
      </c>
      <c r="T105" t="s">
        <v>3194</v>
      </c>
      <c r="U105" s="46">
        <v>2</v>
      </c>
    </row>
    <row r="106" spans="2:21" x14ac:dyDescent="0.25">
      <c r="B106" s="34">
        <v>46200</v>
      </c>
      <c r="C106">
        <v>644</v>
      </c>
      <c r="D106">
        <v>501</v>
      </c>
      <c r="E106" s="461" t="s">
        <v>3115</v>
      </c>
      <c r="F106" s="474">
        <v>15280</v>
      </c>
      <c r="G106" s="473">
        <v>2.2999999999999998</v>
      </c>
      <c r="L106">
        <v>602</v>
      </c>
      <c r="M106" t="s">
        <v>3121</v>
      </c>
      <c r="N106" s="46">
        <v>2.7</v>
      </c>
      <c r="S106">
        <v>112</v>
      </c>
      <c r="T106" t="s">
        <v>3194</v>
      </c>
      <c r="U106" s="46">
        <v>2</v>
      </c>
    </row>
    <row r="107" spans="2:21" x14ac:dyDescent="0.25">
      <c r="C107" t="s">
        <v>1563</v>
      </c>
      <c r="D107">
        <v>550</v>
      </c>
      <c r="E107" s="461" t="s">
        <v>3115</v>
      </c>
      <c r="F107" s="474">
        <v>17720</v>
      </c>
      <c r="G107" s="473">
        <v>2.6</v>
      </c>
      <c r="K107" s="34">
        <v>46209</v>
      </c>
      <c r="L107">
        <v>711</v>
      </c>
      <c r="M107" t="s">
        <v>3121</v>
      </c>
      <c r="N107" s="46">
        <v>2.1571375876060492</v>
      </c>
      <c r="S107">
        <v>113</v>
      </c>
      <c r="T107" t="s">
        <v>3194</v>
      </c>
      <c r="U107" s="46">
        <v>2</v>
      </c>
    </row>
    <row r="108" spans="2:21" x14ac:dyDescent="0.25">
      <c r="D108">
        <v>571</v>
      </c>
      <c r="E108" t="s">
        <v>3115</v>
      </c>
      <c r="F108" s="142">
        <v>12900</v>
      </c>
      <c r="G108" s="46">
        <v>1.9</v>
      </c>
      <c r="L108">
        <v>712</v>
      </c>
      <c r="M108" t="s">
        <v>3121</v>
      </c>
      <c r="N108" s="46">
        <v>1.931390630763556</v>
      </c>
      <c r="S108">
        <v>114</v>
      </c>
      <c r="T108" t="s">
        <v>2974</v>
      </c>
      <c r="U108" s="46">
        <v>0.7</v>
      </c>
    </row>
    <row r="109" spans="2:21" x14ac:dyDescent="0.25">
      <c r="D109">
        <v>572</v>
      </c>
      <c r="E109" t="s">
        <v>3115</v>
      </c>
      <c r="F109" s="142">
        <v>13280</v>
      </c>
      <c r="G109" s="46">
        <v>2</v>
      </c>
      <c r="L109">
        <v>713</v>
      </c>
      <c r="M109" t="s">
        <v>3121</v>
      </c>
      <c r="N109" s="46">
        <v>1.8605680560678717</v>
      </c>
      <c r="S109">
        <v>115</v>
      </c>
      <c r="T109" t="s">
        <v>2974</v>
      </c>
      <c r="U109" s="46">
        <v>2</v>
      </c>
    </row>
    <row r="110" spans="2:21" x14ac:dyDescent="0.25">
      <c r="D110">
        <v>573</v>
      </c>
      <c r="E110" t="s">
        <v>3115</v>
      </c>
      <c r="F110" s="142">
        <v>13300</v>
      </c>
      <c r="G110" s="46">
        <v>2</v>
      </c>
      <c r="L110">
        <v>716</v>
      </c>
      <c r="M110" t="s">
        <v>3121</v>
      </c>
      <c r="N110" s="46">
        <v>2.1512357063814092</v>
      </c>
      <c r="S110">
        <v>116</v>
      </c>
      <c r="T110" t="s">
        <v>2974</v>
      </c>
      <c r="U110" s="46">
        <v>1.9</v>
      </c>
    </row>
    <row r="111" spans="2:21" x14ac:dyDescent="0.25">
      <c r="D111">
        <v>574</v>
      </c>
      <c r="E111" t="s">
        <v>3115</v>
      </c>
      <c r="F111" s="142">
        <v>13560</v>
      </c>
      <c r="G111" s="46">
        <v>2</v>
      </c>
      <c r="L111">
        <v>717</v>
      </c>
      <c r="M111" t="s">
        <v>3121</v>
      </c>
      <c r="N111" s="46">
        <v>2.0877904832165251</v>
      </c>
      <c r="S111">
        <v>117</v>
      </c>
      <c r="T111" t="s">
        <v>2974</v>
      </c>
      <c r="U111" s="46">
        <v>1.9</v>
      </c>
    </row>
    <row r="112" spans="2:21" x14ac:dyDescent="0.25">
      <c r="B112" s="34">
        <v>46201</v>
      </c>
      <c r="C112">
        <v>647</v>
      </c>
      <c r="D112">
        <v>504</v>
      </c>
      <c r="E112" s="461" t="s">
        <v>3115</v>
      </c>
      <c r="F112" s="474">
        <v>15310</v>
      </c>
      <c r="G112" s="473">
        <v>2.2999999999999998</v>
      </c>
      <c r="L112">
        <v>718</v>
      </c>
      <c r="M112" t="s">
        <v>3121</v>
      </c>
      <c r="N112" s="46">
        <v>1.9118775359645888</v>
      </c>
      <c r="S112">
        <v>118</v>
      </c>
      <c r="T112" t="s">
        <v>2974</v>
      </c>
      <c r="U112" s="46">
        <v>2.4</v>
      </c>
    </row>
    <row r="113" spans="1:21" x14ac:dyDescent="0.25">
      <c r="C113">
        <v>648</v>
      </c>
      <c r="D113">
        <v>505</v>
      </c>
      <c r="E113" s="461" t="s">
        <v>3115</v>
      </c>
      <c r="F113" s="474">
        <v>15110</v>
      </c>
      <c r="G113" s="473">
        <v>2.2999999999999998</v>
      </c>
      <c r="J113" t="s">
        <v>3839</v>
      </c>
      <c r="N113" s="46">
        <v>42</v>
      </c>
      <c r="S113">
        <v>228</v>
      </c>
      <c r="T113" t="s">
        <v>2974</v>
      </c>
      <c r="U113" s="46">
        <v>2.2999999999999998</v>
      </c>
    </row>
    <row r="114" spans="1:21" x14ac:dyDescent="0.25">
      <c r="C114">
        <v>649</v>
      </c>
      <c r="D114">
        <v>506</v>
      </c>
      <c r="E114" s="461" t="s">
        <v>3115</v>
      </c>
      <c r="F114" s="474">
        <v>15140</v>
      </c>
      <c r="G114" s="473">
        <v>2.2999999999999998</v>
      </c>
      <c r="J114" t="s">
        <v>3118</v>
      </c>
      <c r="K114" s="34">
        <v>46205</v>
      </c>
      <c r="L114">
        <v>620</v>
      </c>
      <c r="M114" t="s">
        <v>3118</v>
      </c>
      <c r="N114" s="46">
        <v>4.2</v>
      </c>
      <c r="S114">
        <v>272</v>
      </c>
      <c r="T114" t="s">
        <v>3194</v>
      </c>
      <c r="U114" s="46">
        <v>2.6</v>
      </c>
    </row>
    <row r="115" spans="1:21" x14ac:dyDescent="0.25">
      <c r="A115" t="s">
        <v>3762</v>
      </c>
      <c r="F115" s="142">
        <v>746540</v>
      </c>
      <c r="G115" s="46">
        <v>128.90000000000003</v>
      </c>
      <c r="K115" s="34">
        <v>46209</v>
      </c>
      <c r="L115">
        <v>603</v>
      </c>
      <c r="M115" t="s">
        <v>3118</v>
      </c>
      <c r="N115" s="46">
        <v>5.7</v>
      </c>
      <c r="P115" t="s">
        <v>3771</v>
      </c>
      <c r="U115" s="46">
        <v>35.999999999999993</v>
      </c>
    </row>
    <row r="116" spans="1:21" x14ac:dyDescent="0.25">
      <c r="A116" t="s">
        <v>182</v>
      </c>
      <c r="F116" s="142">
        <v>1397320</v>
      </c>
      <c r="G116" s="46">
        <v>269.10000000000008</v>
      </c>
      <c r="L116">
        <v>609</v>
      </c>
      <c r="M116" t="s">
        <v>3118</v>
      </c>
      <c r="N116" s="46">
        <v>3.5</v>
      </c>
      <c r="P116" t="s">
        <v>3099</v>
      </c>
      <c r="Q116" s="34">
        <v>46182</v>
      </c>
      <c r="R116" t="s">
        <v>2939</v>
      </c>
      <c r="S116">
        <v>121</v>
      </c>
      <c r="T116" t="s">
        <v>3099</v>
      </c>
      <c r="U116" s="46">
        <v>1.9</v>
      </c>
    </row>
    <row r="117" spans="1:21" x14ac:dyDescent="0.25">
      <c r="L117">
        <v>612</v>
      </c>
      <c r="M117" t="s">
        <v>3118</v>
      </c>
      <c r="N117" s="46">
        <v>3.5</v>
      </c>
      <c r="S117">
        <v>122</v>
      </c>
      <c r="T117" t="s">
        <v>3099</v>
      </c>
      <c r="U117" s="46">
        <v>1.9</v>
      </c>
    </row>
    <row r="118" spans="1:21" x14ac:dyDescent="0.25">
      <c r="L118">
        <v>613</v>
      </c>
      <c r="M118" t="s">
        <v>3118</v>
      </c>
      <c r="N118" s="46">
        <v>3.5</v>
      </c>
      <c r="S118">
        <v>123</v>
      </c>
      <c r="T118" t="s">
        <v>3099</v>
      </c>
      <c r="U118" s="46">
        <v>1.9</v>
      </c>
    </row>
    <row r="119" spans="1:21" x14ac:dyDescent="0.25">
      <c r="L119">
        <v>615</v>
      </c>
      <c r="M119" t="s">
        <v>3118</v>
      </c>
      <c r="N119" s="46">
        <v>3.4</v>
      </c>
      <c r="S119">
        <v>124</v>
      </c>
      <c r="T119" t="s">
        <v>3099</v>
      </c>
      <c r="U119" s="46">
        <v>0.5</v>
      </c>
    </row>
    <row r="120" spans="1:21" x14ac:dyDescent="0.25">
      <c r="L120">
        <v>617</v>
      </c>
      <c r="M120" t="s">
        <v>3118</v>
      </c>
      <c r="N120" s="46">
        <v>5.2</v>
      </c>
      <c r="S120">
        <v>270</v>
      </c>
      <c r="T120" t="s">
        <v>3099</v>
      </c>
      <c r="U120" s="46">
        <v>1.9</v>
      </c>
    </row>
    <row r="121" spans="1:21" x14ac:dyDescent="0.25">
      <c r="L121">
        <v>655</v>
      </c>
      <c r="M121" t="s">
        <v>3118</v>
      </c>
      <c r="N121" s="46">
        <v>4.8</v>
      </c>
      <c r="S121">
        <v>271</v>
      </c>
      <c r="T121" t="s">
        <v>3099</v>
      </c>
      <c r="U121" s="46">
        <v>1.9</v>
      </c>
    </row>
    <row r="122" spans="1:21" x14ac:dyDescent="0.25">
      <c r="L122">
        <v>657</v>
      </c>
      <c r="M122" t="s">
        <v>3118</v>
      </c>
      <c r="N122" s="46">
        <v>4.8</v>
      </c>
      <c r="Q122" s="34">
        <v>46183</v>
      </c>
      <c r="R122" t="s">
        <v>2939</v>
      </c>
      <c r="S122">
        <v>119</v>
      </c>
      <c r="T122" t="s">
        <v>3099</v>
      </c>
      <c r="U122" s="46">
        <v>0.7</v>
      </c>
    </row>
    <row r="123" spans="1:21" x14ac:dyDescent="0.25">
      <c r="J123" t="s">
        <v>3855</v>
      </c>
      <c r="N123" s="46">
        <v>38.599999999999994</v>
      </c>
      <c r="S123">
        <v>120</v>
      </c>
      <c r="T123" t="s">
        <v>3099</v>
      </c>
      <c r="U123" s="46">
        <v>2</v>
      </c>
    </row>
    <row r="124" spans="1:21" x14ac:dyDescent="0.25">
      <c r="J124" t="s">
        <v>3119</v>
      </c>
      <c r="K124" s="34">
        <v>46205</v>
      </c>
      <c r="L124">
        <v>622</v>
      </c>
      <c r="M124" t="s">
        <v>3119</v>
      </c>
      <c r="N124" s="46">
        <v>4.4604446586732545</v>
      </c>
      <c r="S124">
        <v>125</v>
      </c>
      <c r="T124" t="s">
        <v>3099</v>
      </c>
      <c r="U124" s="46">
        <v>2.1</v>
      </c>
    </row>
    <row r="125" spans="1:21" x14ac:dyDescent="0.25">
      <c r="L125">
        <v>624</v>
      </c>
      <c r="M125" t="s">
        <v>3119</v>
      </c>
      <c r="N125" s="46">
        <v>4.5731156233054167</v>
      </c>
      <c r="S125">
        <v>126</v>
      </c>
      <c r="T125" t="s">
        <v>3099</v>
      </c>
      <c r="U125" s="46">
        <v>2</v>
      </c>
    </row>
    <row r="126" spans="1:21" x14ac:dyDescent="0.25">
      <c r="L126">
        <v>631</v>
      </c>
      <c r="M126" t="s">
        <v>3119</v>
      </c>
      <c r="N126" s="46">
        <v>4.589684882810146</v>
      </c>
      <c r="S126">
        <v>127</v>
      </c>
      <c r="T126" t="s">
        <v>3099</v>
      </c>
      <c r="U126" s="46">
        <v>2.1</v>
      </c>
    </row>
    <row r="127" spans="1:21" x14ac:dyDescent="0.25">
      <c r="L127">
        <v>636</v>
      </c>
      <c r="M127" t="s">
        <v>3119</v>
      </c>
      <c r="N127" s="46">
        <v>4.5830571790082546</v>
      </c>
      <c r="S127">
        <v>128</v>
      </c>
      <c r="T127" t="s">
        <v>3099</v>
      </c>
      <c r="U127" s="46">
        <v>1.1000000000000001</v>
      </c>
    </row>
    <row r="128" spans="1:21" x14ac:dyDescent="0.25">
      <c r="K128" s="34">
        <v>46206</v>
      </c>
      <c r="L128">
        <v>640</v>
      </c>
      <c r="M128" t="s">
        <v>3119</v>
      </c>
      <c r="N128" s="46">
        <v>4.5068385852864976</v>
      </c>
      <c r="P128" t="s">
        <v>3772</v>
      </c>
      <c r="U128" s="46">
        <v>20</v>
      </c>
    </row>
    <row r="129" spans="10:21" x14ac:dyDescent="0.25">
      <c r="L129">
        <v>642</v>
      </c>
      <c r="M129" t="s">
        <v>3119</v>
      </c>
      <c r="N129" s="46">
        <v>4.6294511056214978</v>
      </c>
      <c r="P129" t="s">
        <v>3100</v>
      </c>
      <c r="Q129" s="34">
        <v>46184</v>
      </c>
      <c r="R129" t="s">
        <v>2939</v>
      </c>
      <c r="S129">
        <v>155</v>
      </c>
      <c r="T129" t="s">
        <v>3100</v>
      </c>
      <c r="U129" s="46">
        <v>1.6</v>
      </c>
    </row>
    <row r="130" spans="10:21" x14ac:dyDescent="0.25">
      <c r="K130" s="34">
        <v>46209</v>
      </c>
      <c r="L130">
        <v>644</v>
      </c>
      <c r="M130" t="s">
        <v>3119</v>
      </c>
      <c r="N130" s="46">
        <v>4.6195095499186598</v>
      </c>
      <c r="S130">
        <v>156</v>
      </c>
      <c r="T130" t="s">
        <v>3248</v>
      </c>
      <c r="U130" s="46">
        <v>1.6</v>
      </c>
    </row>
    <row r="131" spans="10:21" x14ac:dyDescent="0.25">
      <c r="L131">
        <v>646</v>
      </c>
      <c r="M131" t="s">
        <v>3119</v>
      </c>
      <c r="N131" s="46">
        <v>4.6261372537205521</v>
      </c>
      <c r="S131">
        <v>157</v>
      </c>
      <c r="T131" t="s">
        <v>3248</v>
      </c>
      <c r="U131" s="46">
        <v>1.6</v>
      </c>
    </row>
    <row r="132" spans="10:21" x14ac:dyDescent="0.25">
      <c r="L132">
        <v>651</v>
      </c>
      <c r="M132" t="s">
        <v>3119</v>
      </c>
      <c r="N132" s="46">
        <v>4.5731156233054167</v>
      </c>
      <c r="S132">
        <v>158</v>
      </c>
      <c r="T132" t="s">
        <v>3100</v>
      </c>
      <c r="U132" s="46">
        <v>1.6</v>
      </c>
    </row>
    <row r="133" spans="10:21" x14ac:dyDescent="0.25">
      <c r="L133">
        <v>647</v>
      </c>
      <c r="M133" t="s">
        <v>3119</v>
      </c>
      <c r="N133" s="46">
        <v>4.6725311803337952</v>
      </c>
      <c r="S133">
        <v>159</v>
      </c>
      <c r="T133" t="s">
        <v>3100</v>
      </c>
      <c r="U133" s="46">
        <v>0.5</v>
      </c>
    </row>
    <row r="134" spans="10:21" x14ac:dyDescent="0.25">
      <c r="L134">
        <v>648</v>
      </c>
      <c r="M134" t="s">
        <v>3119</v>
      </c>
      <c r="N134" s="46">
        <v>4.5731156233054167</v>
      </c>
      <c r="S134">
        <v>160</v>
      </c>
      <c r="T134" t="s">
        <v>3248</v>
      </c>
      <c r="U134" s="46">
        <v>1.6</v>
      </c>
    </row>
    <row r="135" spans="10:21" x14ac:dyDescent="0.25">
      <c r="L135">
        <v>653</v>
      </c>
      <c r="M135" t="s">
        <v>3119</v>
      </c>
      <c r="N135" s="46">
        <v>4.5929987347110925</v>
      </c>
      <c r="S135">
        <v>161</v>
      </c>
      <c r="T135" t="s">
        <v>3248</v>
      </c>
      <c r="U135" s="46">
        <v>1.6</v>
      </c>
    </row>
    <row r="136" spans="10:21" x14ac:dyDescent="0.25">
      <c r="J136" t="s">
        <v>3856</v>
      </c>
      <c r="N136" s="46">
        <v>55.000000000000014</v>
      </c>
      <c r="S136">
        <v>162</v>
      </c>
      <c r="T136" t="s">
        <v>3248</v>
      </c>
      <c r="U136" s="46">
        <v>1.6</v>
      </c>
    </row>
    <row r="137" spans="10:21" x14ac:dyDescent="0.25">
      <c r="J137" t="s">
        <v>182</v>
      </c>
      <c r="N137" s="46">
        <v>373.20000000000005</v>
      </c>
      <c r="S137">
        <v>163</v>
      </c>
      <c r="T137" t="s">
        <v>3100</v>
      </c>
      <c r="U137" s="46">
        <v>1.6</v>
      </c>
    </row>
    <row r="138" spans="10:21" x14ac:dyDescent="0.25">
      <c r="S138">
        <v>164</v>
      </c>
      <c r="T138" t="s">
        <v>3100</v>
      </c>
      <c r="U138" s="46">
        <v>1.6</v>
      </c>
    </row>
    <row r="139" spans="10:21" x14ac:dyDescent="0.25">
      <c r="S139">
        <v>165</v>
      </c>
      <c r="T139" t="s">
        <v>3248</v>
      </c>
      <c r="U139" s="46">
        <v>0.6</v>
      </c>
    </row>
    <row r="140" spans="10:21" x14ac:dyDescent="0.25">
      <c r="S140">
        <v>166</v>
      </c>
      <c r="T140" t="s">
        <v>3248</v>
      </c>
      <c r="U140" s="46">
        <v>1.7</v>
      </c>
    </row>
    <row r="141" spans="10:21" x14ac:dyDescent="0.25">
      <c r="S141">
        <v>284</v>
      </c>
      <c r="T141" t="s">
        <v>3248</v>
      </c>
      <c r="U141" s="46">
        <v>1.6</v>
      </c>
    </row>
    <row r="142" spans="10:21" x14ac:dyDescent="0.25">
      <c r="S142">
        <v>286</v>
      </c>
      <c r="T142" t="s">
        <v>3248</v>
      </c>
      <c r="U142" s="46">
        <v>1.6</v>
      </c>
    </row>
    <row r="143" spans="10:21" x14ac:dyDescent="0.25">
      <c r="S143">
        <v>314</v>
      </c>
      <c r="T143" t="s">
        <v>3248</v>
      </c>
      <c r="U143" s="46">
        <v>1.6</v>
      </c>
    </row>
    <row r="144" spans="10:21" x14ac:dyDescent="0.25">
      <c r="Q144" s="34">
        <v>46185</v>
      </c>
      <c r="R144" t="s">
        <v>2939</v>
      </c>
      <c r="S144">
        <v>167</v>
      </c>
      <c r="T144" t="s">
        <v>3100</v>
      </c>
      <c r="U144" s="46">
        <v>2.1</v>
      </c>
    </row>
    <row r="145" spans="16:21" x14ac:dyDescent="0.25">
      <c r="S145">
        <v>168</v>
      </c>
      <c r="T145" t="s">
        <v>3100</v>
      </c>
      <c r="U145" s="46">
        <v>2.2000000000000002</v>
      </c>
    </row>
    <row r="146" spans="16:21" x14ac:dyDescent="0.25">
      <c r="S146">
        <v>169</v>
      </c>
      <c r="T146" t="s">
        <v>3100</v>
      </c>
      <c r="U146" s="46">
        <v>2.1</v>
      </c>
    </row>
    <row r="147" spans="16:21" x14ac:dyDescent="0.25">
      <c r="S147">
        <v>170</v>
      </c>
      <c r="T147" t="s">
        <v>3100</v>
      </c>
      <c r="U147" s="46">
        <v>0.7</v>
      </c>
    </row>
    <row r="148" spans="16:21" x14ac:dyDescent="0.25">
      <c r="S148">
        <v>171</v>
      </c>
      <c r="T148" t="s">
        <v>3100</v>
      </c>
      <c r="U148" s="46">
        <v>2.1</v>
      </c>
    </row>
    <row r="149" spans="16:21" x14ac:dyDescent="0.25">
      <c r="S149">
        <v>172</v>
      </c>
      <c r="T149" t="s">
        <v>3100</v>
      </c>
      <c r="U149" s="46">
        <v>2</v>
      </c>
    </row>
    <row r="150" spans="16:21" x14ac:dyDescent="0.25">
      <c r="S150">
        <v>173</v>
      </c>
      <c r="T150" t="s">
        <v>3100</v>
      </c>
      <c r="U150" s="46">
        <v>2.1</v>
      </c>
    </row>
    <row r="151" spans="16:21" x14ac:dyDescent="0.25">
      <c r="S151">
        <v>174</v>
      </c>
      <c r="T151" t="s">
        <v>3100</v>
      </c>
      <c r="U151" s="46">
        <v>2.1</v>
      </c>
    </row>
    <row r="152" spans="16:21" x14ac:dyDescent="0.25">
      <c r="S152">
        <v>175</v>
      </c>
      <c r="T152" t="s">
        <v>3100</v>
      </c>
      <c r="U152" s="46">
        <v>0.7</v>
      </c>
    </row>
    <row r="153" spans="16:21" x14ac:dyDescent="0.25">
      <c r="S153">
        <v>176</v>
      </c>
      <c r="T153" t="s">
        <v>3100</v>
      </c>
      <c r="U153" s="46">
        <v>0.9</v>
      </c>
    </row>
    <row r="154" spans="16:21" x14ac:dyDescent="0.25">
      <c r="P154" t="s">
        <v>3773</v>
      </c>
      <c r="U154" s="46">
        <v>39.000000000000007</v>
      </c>
    </row>
    <row r="155" spans="16:21" x14ac:dyDescent="0.25">
      <c r="P155" t="s">
        <v>2968</v>
      </c>
      <c r="Q155" s="34">
        <v>46177</v>
      </c>
      <c r="R155" t="s">
        <v>2939</v>
      </c>
      <c r="S155">
        <v>36</v>
      </c>
      <c r="T155" t="s">
        <v>2968</v>
      </c>
      <c r="U155" s="46">
        <v>2</v>
      </c>
    </row>
    <row r="156" spans="16:21" x14ac:dyDescent="0.25">
      <c r="Q156" s="34">
        <v>46180</v>
      </c>
      <c r="R156" t="s">
        <v>2939</v>
      </c>
      <c r="S156">
        <v>67</v>
      </c>
      <c r="T156" t="s">
        <v>2968</v>
      </c>
      <c r="U156" s="46">
        <v>2.5</v>
      </c>
    </row>
    <row r="157" spans="16:21" x14ac:dyDescent="0.25">
      <c r="S157">
        <v>68</v>
      </c>
      <c r="T157" t="s">
        <v>2968</v>
      </c>
      <c r="U157" s="46">
        <v>2.5</v>
      </c>
    </row>
    <row r="158" spans="16:21" x14ac:dyDescent="0.25">
      <c r="S158">
        <v>69</v>
      </c>
      <c r="T158" t="s">
        <v>2968</v>
      </c>
      <c r="U158" s="46">
        <v>2.5</v>
      </c>
    </row>
    <row r="159" spans="16:21" x14ac:dyDescent="0.25">
      <c r="S159">
        <v>70</v>
      </c>
      <c r="T159" t="s">
        <v>2968</v>
      </c>
      <c r="U159" s="46">
        <v>0.9</v>
      </c>
    </row>
    <row r="160" spans="16:21" x14ac:dyDescent="0.25">
      <c r="S160">
        <v>71</v>
      </c>
      <c r="T160" t="s">
        <v>2968</v>
      </c>
      <c r="U160" s="46">
        <v>2.5</v>
      </c>
    </row>
    <row r="161" spans="17:21" x14ac:dyDescent="0.25">
      <c r="S161">
        <v>72</v>
      </c>
      <c r="T161" t="s">
        <v>2968</v>
      </c>
      <c r="U161" s="46">
        <v>2.5</v>
      </c>
    </row>
    <row r="162" spans="17:21" x14ac:dyDescent="0.25">
      <c r="S162">
        <v>73</v>
      </c>
      <c r="T162" t="s">
        <v>2968</v>
      </c>
      <c r="U162" s="46">
        <v>2.5</v>
      </c>
    </row>
    <row r="163" spans="17:21" x14ac:dyDescent="0.25">
      <c r="S163">
        <v>74</v>
      </c>
      <c r="T163" t="s">
        <v>2968</v>
      </c>
      <c r="U163" s="46">
        <v>0.8</v>
      </c>
    </row>
    <row r="164" spans="17:21" x14ac:dyDescent="0.25">
      <c r="S164">
        <v>75</v>
      </c>
      <c r="T164" t="s">
        <v>2968</v>
      </c>
      <c r="U164" s="46">
        <v>2.5</v>
      </c>
    </row>
    <row r="165" spans="17:21" x14ac:dyDescent="0.25">
      <c r="S165">
        <v>76</v>
      </c>
      <c r="T165" t="s">
        <v>2968</v>
      </c>
      <c r="U165" s="46">
        <v>2.5</v>
      </c>
    </row>
    <row r="166" spans="17:21" x14ac:dyDescent="0.25">
      <c r="S166">
        <v>77</v>
      </c>
      <c r="T166" t="s">
        <v>2968</v>
      </c>
      <c r="U166" s="46">
        <v>2.5</v>
      </c>
    </row>
    <row r="167" spans="17:21" x14ac:dyDescent="0.25">
      <c r="S167">
        <v>78</v>
      </c>
      <c r="T167" t="s">
        <v>2968</v>
      </c>
      <c r="U167" s="46">
        <v>0.8</v>
      </c>
    </row>
    <row r="168" spans="17:21" x14ac:dyDescent="0.25">
      <c r="S168">
        <v>79</v>
      </c>
      <c r="T168" t="s">
        <v>2968</v>
      </c>
      <c r="U168" s="46">
        <v>2.5</v>
      </c>
    </row>
    <row r="169" spans="17:21" x14ac:dyDescent="0.25">
      <c r="S169">
        <v>80</v>
      </c>
      <c r="T169" t="s">
        <v>2968</v>
      </c>
      <c r="U169" s="46">
        <v>2.5</v>
      </c>
    </row>
    <row r="170" spans="17:21" x14ac:dyDescent="0.25">
      <c r="Q170" s="34">
        <v>46181</v>
      </c>
      <c r="R170" t="s">
        <v>2939</v>
      </c>
      <c r="S170">
        <v>81</v>
      </c>
      <c r="T170" t="s">
        <v>2968</v>
      </c>
      <c r="U170" s="46">
        <v>0.8</v>
      </c>
    </row>
    <row r="171" spans="17:21" x14ac:dyDescent="0.25">
      <c r="S171">
        <v>82</v>
      </c>
      <c r="T171" t="s">
        <v>2968</v>
      </c>
      <c r="U171" s="46">
        <v>2.2999999999999998</v>
      </c>
    </row>
    <row r="172" spans="17:21" x14ac:dyDescent="0.25">
      <c r="S172">
        <v>83</v>
      </c>
      <c r="T172" t="s">
        <v>2968</v>
      </c>
      <c r="U172" s="46">
        <v>2.2000000000000002</v>
      </c>
    </row>
    <row r="173" spans="17:21" x14ac:dyDescent="0.25">
      <c r="S173">
        <v>84</v>
      </c>
      <c r="T173" t="s">
        <v>2968</v>
      </c>
      <c r="U173" s="46">
        <v>2.2000000000000002</v>
      </c>
    </row>
    <row r="174" spans="17:21" x14ac:dyDescent="0.25">
      <c r="S174">
        <v>85</v>
      </c>
      <c r="T174" t="s">
        <v>2968</v>
      </c>
      <c r="U174" s="46">
        <v>2.2999999999999998</v>
      </c>
    </row>
    <row r="175" spans="17:21" x14ac:dyDescent="0.25">
      <c r="S175">
        <v>86</v>
      </c>
      <c r="T175" t="s">
        <v>2968</v>
      </c>
      <c r="U175" s="46">
        <v>2.2999999999999998</v>
      </c>
    </row>
    <row r="176" spans="17:21" x14ac:dyDescent="0.25">
      <c r="S176">
        <v>87</v>
      </c>
      <c r="T176" t="s">
        <v>2968</v>
      </c>
      <c r="U176" s="46">
        <v>1.1000000000000001</v>
      </c>
    </row>
    <row r="177" spans="17:21" x14ac:dyDescent="0.25">
      <c r="S177">
        <v>88</v>
      </c>
      <c r="T177" t="s">
        <v>2968</v>
      </c>
      <c r="U177" s="46">
        <v>1.1000000000000001</v>
      </c>
    </row>
    <row r="178" spans="17:21" x14ac:dyDescent="0.25">
      <c r="S178">
        <v>89</v>
      </c>
      <c r="T178" t="s">
        <v>2968</v>
      </c>
      <c r="U178" s="46">
        <v>2.2000000000000002</v>
      </c>
    </row>
    <row r="179" spans="17:21" x14ac:dyDescent="0.25">
      <c r="S179">
        <v>90</v>
      </c>
      <c r="T179" t="s">
        <v>2968</v>
      </c>
      <c r="U179" s="46">
        <v>2.2999999999999998</v>
      </c>
    </row>
    <row r="180" spans="17:21" x14ac:dyDescent="0.25">
      <c r="S180">
        <v>91</v>
      </c>
      <c r="T180" t="s">
        <v>2968</v>
      </c>
      <c r="U180" s="46">
        <v>2.2999999999999998</v>
      </c>
    </row>
    <row r="181" spans="17:21" x14ac:dyDescent="0.25">
      <c r="S181">
        <v>92</v>
      </c>
      <c r="T181" t="s">
        <v>2968</v>
      </c>
      <c r="U181" s="46">
        <v>2.2999999999999998</v>
      </c>
    </row>
    <row r="182" spans="17:21" x14ac:dyDescent="0.25">
      <c r="S182">
        <v>93</v>
      </c>
      <c r="T182" t="s">
        <v>2968</v>
      </c>
      <c r="U182" s="46">
        <v>2.2000000000000002</v>
      </c>
    </row>
    <row r="183" spans="17:21" x14ac:dyDescent="0.25">
      <c r="S183">
        <v>94</v>
      </c>
      <c r="T183" t="s">
        <v>2968</v>
      </c>
      <c r="U183" s="46">
        <v>2.2000000000000002</v>
      </c>
    </row>
    <row r="184" spans="17:21" x14ac:dyDescent="0.25">
      <c r="S184">
        <v>95</v>
      </c>
      <c r="T184" t="s">
        <v>2968</v>
      </c>
      <c r="U184" s="46">
        <v>2.2000000000000002</v>
      </c>
    </row>
    <row r="185" spans="17:21" x14ac:dyDescent="0.25">
      <c r="S185">
        <v>96</v>
      </c>
      <c r="T185" t="s">
        <v>2968</v>
      </c>
      <c r="U185" s="46">
        <v>2.2000000000000002</v>
      </c>
    </row>
    <row r="186" spans="17:21" x14ac:dyDescent="0.25">
      <c r="S186">
        <v>97</v>
      </c>
      <c r="T186" t="s">
        <v>2968</v>
      </c>
      <c r="U186" s="46">
        <v>2.2000000000000002</v>
      </c>
    </row>
    <row r="187" spans="17:21" x14ac:dyDescent="0.25">
      <c r="S187">
        <v>98</v>
      </c>
      <c r="T187" t="s">
        <v>2968</v>
      </c>
      <c r="U187" s="46">
        <v>2.2000000000000002</v>
      </c>
    </row>
    <row r="188" spans="17:21" x14ac:dyDescent="0.25">
      <c r="S188">
        <v>99</v>
      </c>
      <c r="T188" t="s">
        <v>2968</v>
      </c>
      <c r="U188" s="46">
        <v>2.2000000000000002</v>
      </c>
    </row>
    <row r="189" spans="17:21" x14ac:dyDescent="0.25">
      <c r="S189">
        <v>100</v>
      </c>
      <c r="T189" t="s">
        <v>2968</v>
      </c>
      <c r="U189" s="46">
        <v>2.2000000000000002</v>
      </c>
    </row>
    <row r="190" spans="17:21" x14ac:dyDescent="0.25">
      <c r="Q190" s="34">
        <v>46182</v>
      </c>
      <c r="R190" t="s">
        <v>2939</v>
      </c>
      <c r="S190">
        <v>101</v>
      </c>
      <c r="T190" t="s">
        <v>2968</v>
      </c>
      <c r="U190" s="46">
        <v>2.4</v>
      </c>
    </row>
    <row r="191" spans="17:21" x14ac:dyDescent="0.25">
      <c r="S191">
        <v>102</v>
      </c>
      <c r="T191" t="s">
        <v>2968</v>
      </c>
      <c r="U191" s="46">
        <v>2.4</v>
      </c>
    </row>
    <row r="192" spans="17:21" x14ac:dyDescent="0.25">
      <c r="S192">
        <v>103</v>
      </c>
      <c r="T192" t="s">
        <v>2968</v>
      </c>
      <c r="U192" s="46">
        <v>1.2</v>
      </c>
    </row>
    <row r="193" spans="16:21" x14ac:dyDescent="0.25">
      <c r="P193" t="s">
        <v>3774</v>
      </c>
      <c r="U193" s="46">
        <v>79.000000000000028</v>
      </c>
    </row>
    <row r="194" spans="16:21" x14ac:dyDescent="0.25">
      <c r="P194" t="s">
        <v>3101</v>
      </c>
      <c r="Q194" s="34">
        <v>46183</v>
      </c>
      <c r="R194" t="s">
        <v>2939</v>
      </c>
      <c r="S194">
        <v>130</v>
      </c>
      <c r="T194" t="s">
        <v>3101</v>
      </c>
      <c r="U194" s="46">
        <v>1.7</v>
      </c>
    </row>
    <row r="195" spans="16:21" x14ac:dyDescent="0.25">
      <c r="S195">
        <v>133</v>
      </c>
      <c r="T195" t="s">
        <v>3101</v>
      </c>
      <c r="U195" s="46">
        <v>1.7</v>
      </c>
    </row>
    <row r="196" spans="16:21" x14ac:dyDescent="0.25">
      <c r="S196">
        <v>134</v>
      </c>
      <c r="T196" t="s">
        <v>3101</v>
      </c>
      <c r="U196" s="46">
        <v>1.7</v>
      </c>
    </row>
    <row r="197" spans="16:21" x14ac:dyDescent="0.25">
      <c r="S197">
        <v>135</v>
      </c>
      <c r="T197" t="s">
        <v>3101</v>
      </c>
      <c r="U197" s="46">
        <v>1.7</v>
      </c>
    </row>
    <row r="198" spans="16:21" x14ac:dyDescent="0.25">
      <c r="S198">
        <v>136</v>
      </c>
      <c r="T198" t="s">
        <v>3101</v>
      </c>
      <c r="U198" s="46">
        <v>1.8</v>
      </c>
    </row>
    <row r="199" spans="16:21" x14ac:dyDescent="0.25">
      <c r="S199">
        <v>137</v>
      </c>
      <c r="T199" t="s">
        <v>3101</v>
      </c>
      <c r="U199" s="46">
        <v>1.7</v>
      </c>
    </row>
    <row r="200" spans="16:21" x14ac:dyDescent="0.25">
      <c r="S200">
        <v>138</v>
      </c>
      <c r="T200" t="s">
        <v>3101</v>
      </c>
      <c r="U200" s="46">
        <v>0.6</v>
      </c>
    </row>
    <row r="201" spans="16:21" x14ac:dyDescent="0.25">
      <c r="S201">
        <v>139</v>
      </c>
      <c r="T201" t="s">
        <v>3101</v>
      </c>
      <c r="U201" s="46">
        <v>1.7</v>
      </c>
    </row>
    <row r="202" spans="16:21" x14ac:dyDescent="0.25">
      <c r="S202">
        <v>140</v>
      </c>
      <c r="T202" t="s">
        <v>3101</v>
      </c>
      <c r="U202" s="46">
        <v>1.7</v>
      </c>
    </row>
    <row r="203" spans="16:21" x14ac:dyDescent="0.25">
      <c r="S203">
        <v>141</v>
      </c>
      <c r="T203" t="s">
        <v>3101</v>
      </c>
      <c r="U203" s="46">
        <v>1.7</v>
      </c>
    </row>
    <row r="204" spans="16:21" x14ac:dyDescent="0.25">
      <c r="S204">
        <v>142</v>
      </c>
      <c r="T204" t="s">
        <v>3101</v>
      </c>
      <c r="U204" s="46">
        <v>0.6</v>
      </c>
    </row>
    <row r="205" spans="16:21" x14ac:dyDescent="0.25">
      <c r="S205">
        <v>143</v>
      </c>
      <c r="T205" t="s">
        <v>3101</v>
      </c>
      <c r="U205" s="46">
        <v>1.7</v>
      </c>
    </row>
    <row r="206" spans="16:21" x14ac:dyDescent="0.25">
      <c r="S206">
        <v>144</v>
      </c>
      <c r="T206" t="s">
        <v>3101</v>
      </c>
      <c r="U206" s="46">
        <v>2.2000000000000002</v>
      </c>
    </row>
    <row r="207" spans="16:21" x14ac:dyDescent="0.25">
      <c r="S207">
        <v>274</v>
      </c>
      <c r="T207" t="s">
        <v>3101</v>
      </c>
      <c r="U207" s="46">
        <v>1.7</v>
      </c>
    </row>
    <row r="208" spans="16:21" x14ac:dyDescent="0.25">
      <c r="S208">
        <v>276</v>
      </c>
      <c r="T208" t="s">
        <v>3101</v>
      </c>
      <c r="U208" s="46">
        <v>1.7</v>
      </c>
    </row>
    <row r="209" spans="16:21" x14ac:dyDescent="0.25">
      <c r="S209">
        <v>280</v>
      </c>
      <c r="T209" t="s">
        <v>3101</v>
      </c>
      <c r="U209" s="46">
        <v>1.7</v>
      </c>
    </row>
    <row r="210" spans="16:21" x14ac:dyDescent="0.25">
      <c r="S210">
        <v>281</v>
      </c>
      <c r="T210" t="s">
        <v>3101</v>
      </c>
      <c r="U210" s="46">
        <v>1.7</v>
      </c>
    </row>
    <row r="211" spans="16:21" x14ac:dyDescent="0.25">
      <c r="S211">
        <v>282</v>
      </c>
      <c r="T211" t="s">
        <v>3238</v>
      </c>
      <c r="U211" s="46">
        <v>1.6</v>
      </c>
    </row>
    <row r="212" spans="16:21" x14ac:dyDescent="0.25">
      <c r="S212">
        <v>287</v>
      </c>
      <c r="T212" t="s">
        <v>3101</v>
      </c>
      <c r="U212" s="46">
        <v>2.2999999999999998</v>
      </c>
    </row>
    <row r="213" spans="16:21" x14ac:dyDescent="0.25">
      <c r="S213">
        <v>288</v>
      </c>
      <c r="T213" t="s">
        <v>3101</v>
      </c>
      <c r="U213" s="46">
        <v>2.6</v>
      </c>
    </row>
    <row r="214" spans="16:21" x14ac:dyDescent="0.25">
      <c r="S214">
        <v>305</v>
      </c>
      <c r="T214" t="s">
        <v>3101</v>
      </c>
      <c r="U214" s="46">
        <v>2.2999999999999998</v>
      </c>
    </row>
    <row r="215" spans="16:21" x14ac:dyDescent="0.25">
      <c r="S215">
        <v>306</v>
      </c>
      <c r="T215" t="s">
        <v>3101</v>
      </c>
      <c r="U215" s="46">
        <v>1.9</v>
      </c>
    </row>
    <row r="216" spans="16:21" x14ac:dyDescent="0.25">
      <c r="P216" t="s">
        <v>3775</v>
      </c>
      <c r="U216" s="46">
        <v>37.999999999999993</v>
      </c>
    </row>
    <row r="217" spans="16:21" x14ac:dyDescent="0.25">
      <c r="P217" t="s">
        <v>2935</v>
      </c>
      <c r="Q217" s="34">
        <v>46176</v>
      </c>
      <c r="R217" t="s">
        <v>2939</v>
      </c>
      <c r="S217">
        <v>14</v>
      </c>
      <c r="T217" t="s">
        <v>2935</v>
      </c>
      <c r="U217" s="46">
        <v>3</v>
      </c>
    </row>
    <row r="218" spans="16:21" x14ac:dyDescent="0.25">
      <c r="S218">
        <v>15</v>
      </c>
      <c r="T218" t="s">
        <v>2935</v>
      </c>
      <c r="U218" s="46">
        <v>2.6</v>
      </c>
    </row>
    <row r="219" spans="16:21" x14ac:dyDescent="0.25">
      <c r="S219">
        <v>16</v>
      </c>
      <c r="T219" t="s">
        <v>2935</v>
      </c>
      <c r="U219" s="46">
        <v>2.6</v>
      </c>
    </row>
    <row r="220" spans="16:21" x14ac:dyDescent="0.25">
      <c r="S220">
        <v>17</v>
      </c>
      <c r="T220" t="s">
        <v>2935</v>
      </c>
      <c r="U220" s="46">
        <v>2.6</v>
      </c>
    </row>
    <row r="221" spans="16:21" x14ac:dyDescent="0.25">
      <c r="S221">
        <v>18</v>
      </c>
      <c r="T221" t="s">
        <v>2935</v>
      </c>
      <c r="U221" s="46">
        <v>2.6</v>
      </c>
    </row>
    <row r="222" spans="16:21" x14ac:dyDescent="0.25">
      <c r="S222">
        <v>19</v>
      </c>
      <c r="T222" t="s">
        <v>2935</v>
      </c>
      <c r="U222" s="46">
        <v>2.5</v>
      </c>
    </row>
    <row r="223" spans="16:21" x14ac:dyDescent="0.25">
      <c r="S223">
        <v>20</v>
      </c>
      <c r="T223" t="s">
        <v>2935</v>
      </c>
      <c r="U223" s="46">
        <v>2.6</v>
      </c>
    </row>
    <row r="224" spans="16:21" x14ac:dyDescent="0.25">
      <c r="S224">
        <v>21</v>
      </c>
      <c r="T224" t="s">
        <v>2935</v>
      </c>
      <c r="U224" s="46">
        <v>2.6</v>
      </c>
    </row>
    <row r="225" spans="17:21" x14ac:dyDescent="0.25">
      <c r="S225">
        <v>22</v>
      </c>
      <c r="T225" t="s">
        <v>2935</v>
      </c>
      <c r="U225" s="46">
        <v>2.5</v>
      </c>
    </row>
    <row r="226" spans="17:21" x14ac:dyDescent="0.25">
      <c r="S226">
        <v>23</v>
      </c>
      <c r="T226" t="s">
        <v>2935</v>
      </c>
      <c r="U226" s="46">
        <v>2.5</v>
      </c>
    </row>
    <row r="227" spans="17:21" x14ac:dyDescent="0.25">
      <c r="S227">
        <v>24</v>
      </c>
      <c r="T227" t="s">
        <v>2935</v>
      </c>
      <c r="U227" s="46">
        <v>2.5</v>
      </c>
    </row>
    <row r="228" spans="17:21" x14ac:dyDescent="0.25">
      <c r="S228">
        <v>25</v>
      </c>
      <c r="T228" t="s">
        <v>2935</v>
      </c>
      <c r="U228" s="46">
        <v>2.5</v>
      </c>
    </row>
    <row r="229" spans="17:21" x14ac:dyDescent="0.25">
      <c r="S229">
        <v>26</v>
      </c>
      <c r="T229" t="s">
        <v>2935</v>
      </c>
      <c r="U229" s="46">
        <v>2.4</v>
      </c>
    </row>
    <row r="230" spans="17:21" x14ac:dyDescent="0.25">
      <c r="S230">
        <v>27</v>
      </c>
      <c r="T230" t="s">
        <v>2935</v>
      </c>
      <c r="U230" s="46">
        <v>2.5</v>
      </c>
    </row>
    <row r="231" spans="17:21" x14ac:dyDescent="0.25">
      <c r="Q231" s="34">
        <v>46177</v>
      </c>
      <c r="R231" t="s">
        <v>2939</v>
      </c>
      <c r="S231">
        <v>28</v>
      </c>
      <c r="T231" t="s">
        <v>2966</v>
      </c>
      <c r="U231" s="46">
        <v>2.5</v>
      </c>
    </row>
    <row r="232" spans="17:21" x14ac:dyDescent="0.25">
      <c r="S232">
        <v>29</v>
      </c>
      <c r="T232" t="s">
        <v>2966</v>
      </c>
      <c r="U232" s="46">
        <v>2.4</v>
      </c>
    </row>
    <row r="233" spans="17:21" x14ac:dyDescent="0.25">
      <c r="S233">
        <v>30</v>
      </c>
      <c r="T233" t="s">
        <v>2966</v>
      </c>
      <c r="U233" s="46">
        <v>2.5</v>
      </c>
    </row>
    <row r="234" spans="17:21" x14ac:dyDescent="0.25">
      <c r="S234">
        <v>31</v>
      </c>
      <c r="T234" t="s">
        <v>2935</v>
      </c>
      <c r="U234" s="46">
        <v>2.5</v>
      </c>
    </row>
    <row r="235" spans="17:21" x14ac:dyDescent="0.25">
      <c r="S235">
        <v>32</v>
      </c>
      <c r="T235" t="s">
        <v>2935</v>
      </c>
      <c r="U235" s="46">
        <v>2.5</v>
      </c>
    </row>
    <row r="236" spans="17:21" x14ac:dyDescent="0.25">
      <c r="S236">
        <v>33</v>
      </c>
      <c r="T236" t="s">
        <v>2935</v>
      </c>
      <c r="U236" s="46">
        <v>2.6</v>
      </c>
    </row>
    <row r="237" spans="17:21" x14ac:dyDescent="0.25">
      <c r="S237">
        <v>34</v>
      </c>
      <c r="T237" t="s">
        <v>2935</v>
      </c>
      <c r="U237" s="46">
        <v>2.5</v>
      </c>
    </row>
    <row r="238" spans="17:21" x14ac:dyDescent="0.25">
      <c r="S238">
        <v>35</v>
      </c>
      <c r="T238" t="s">
        <v>2966</v>
      </c>
      <c r="U238" s="46">
        <v>2.5</v>
      </c>
    </row>
    <row r="239" spans="17:21" x14ac:dyDescent="0.25">
      <c r="Q239" s="34">
        <v>46179</v>
      </c>
      <c r="R239" t="s">
        <v>2939</v>
      </c>
      <c r="S239">
        <v>38</v>
      </c>
      <c r="T239" t="s">
        <v>2935</v>
      </c>
      <c r="U239" s="46">
        <v>2.2999999999999998</v>
      </c>
    </row>
    <row r="240" spans="17:21" x14ac:dyDescent="0.25">
      <c r="S240">
        <v>39</v>
      </c>
      <c r="T240" t="s">
        <v>2966</v>
      </c>
      <c r="U240" s="46">
        <v>2.4</v>
      </c>
    </row>
    <row r="241" spans="19:21" x14ac:dyDescent="0.25">
      <c r="S241">
        <v>40</v>
      </c>
      <c r="T241" t="s">
        <v>2966</v>
      </c>
      <c r="U241" s="46">
        <v>0.8</v>
      </c>
    </row>
    <row r="242" spans="19:21" x14ac:dyDescent="0.25">
      <c r="S242">
        <v>42</v>
      </c>
      <c r="T242" t="s">
        <v>2966</v>
      </c>
      <c r="U242" s="46">
        <v>0.8</v>
      </c>
    </row>
    <row r="243" spans="19:21" x14ac:dyDescent="0.25">
      <c r="S243">
        <v>43</v>
      </c>
      <c r="T243" t="s">
        <v>2966</v>
      </c>
      <c r="U243" s="46">
        <v>2.2999999999999998</v>
      </c>
    </row>
    <row r="244" spans="19:21" x14ac:dyDescent="0.25">
      <c r="S244">
        <v>44</v>
      </c>
      <c r="T244" t="s">
        <v>2935</v>
      </c>
      <c r="U244" s="46">
        <v>2.4</v>
      </c>
    </row>
    <row r="245" spans="19:21" x14ac:dyDescent="0.25">
      <c r="S245">
        <v>45</v>
      </c>
      <c r="T245" t="s">
        <v>2935</v>
      </c>
      <c r="U245" s="46">
        <v>2.2999999999999998</v>
      </c>
    </row>
    <row r="246" spans="19:21" x14ac:dyDescent="0.25">
      <c r="S246">
        <v>46</v>
      </c>
      <c r="T246" t="s">
        <v>2966</v>
      </c>
      <c r="U246" s="46">
        <v>0.8</v>
      </c>
    </row>
    <row r="247" spans="19:21" x14ac:dyDescent="0.25">
      <c r="S247">
        <v>47</v>
      </c>
      <c r="T247" t="s">
        <v>2935</v>
      </c>
      <c r="U247" s="46">
        <v>2.4</v>
      </c>
    </row>
    <row r="248" spans="19:21" x14ac:dyDescent="0.25">
      <c r="S248">
        <v>48</v>
      </c>
      <c r="T248" t="s">
        <v>2966</v>
      </c>
      <c r="U248" s="46">
        <v>2.5</v>
      </c>
    </row>
    <row r="249" spans="19:21" x14ac:dyDescent="0.25">
      <c r="S249">
        <v>49</v>
      </c>
      <c r="T249" t="s">
        <v>2935</v>
      </c>
      <c r="U249" s="46">
        <v>2.4</v>
      </c>
    </row>
    <row r="250" spans="19:21" x14ac:dyDescent="0.25">
      <c r="S250">
        <v>51</v>
      </c>
      <c r="T250" t="s">
        <v>2966</v>
      </c>
      <c r="U250" s="46">
        <v>2.7</v>
      </c>
    </row>
    <row r="251" spans="19:21" x14ac:dyDescent="0.25">
      <c r="S251">
        <v>52</v>
      </c>
      <c r="T251" t="s">
        <v>2966</v>
      </c>
      <c r="U251" s="46">
        <v>2.2999999999999998</v>
      </c>
    </row>
    <row r="252" spans="19:21" x14ac:dyDescent="0.25">
      <c r="S252">
        <v>53</v>
      </c>
      <c r="T252" t="s">
        <v>2935</v>
      </c>
      <c r="U252" s="46">
        <v>2.2999999999999998</v>
      </c>
    </row>
    <row r="253" spans="19:21" x14ac:dyDescent="0.25">
      <c r="S253">
        <v>54</v>
      </c>
      <c r="T253" t="s">
        <v>2966</v>
      </c>
      <c r="U253" s="46">
        <v>0.8</v>
      </c>
    </row>
    <row r="254" spans="19:21" x14ac:dyDescent="0.25">
      <c r="S254">
        <v>55</v>
      </c>
      <c r="T254" t="s">
        <v>2966</v>
      </c>
      <c r="U254" s="46">
        <v>2.5</v>
      </c>
    </row>
    <row r="255" spans="19:21" x14ac:dyDescent="0.25">
      <c r="S255">
        <v>56</v>
      </c>
      <c r="T255" t="s">
        <v>2966</v>
      </c>
      <c r="U255" s="46">
        <v>2.2999999999999998</v>
      </c>
    </row>
    <row r="256" spans="19:21" x14ac:dyDescent="0.25">
      <c r="S256">
        <v>57</v>
      </c>
      <c r="T256" t="s">
        <v>2935</v>
      </c>
      <c r="U256" s="46">
        <v>2.2999999999999998</v>
      </c>
    </row>
    <row r="257" spans="16:21" x14ac:dyDescent="0.25">
      <c r="S257">
        <v>58</v>
      </c>
      <c r="T257" t="s">
        <v>2966</v>
      </c>
      <c r="U257" s="46">
        <v>0.8</v>
      </c>
    </row>
    <row r="258" spans="16:21" x14ac:dyDescent="0.25">
      <c r="S258">
        <v>59</v>
      </c>
      <c r="T258" t="s">
        <v>2935</v>
      </c>
      <c r="U258" s="46">
        <v>2.2999999999999998</v>
      </c>
    </row>
    <row r="259" spans="16:21" x14ac:dyDescent="0.25">
      <c r="S259">
        <v>60</v>
      </c>
      <c r="T259" t="s">
        <v>2935</v>
      </c>
      <c r="U259" s="46">
        <v>2.2999999999999998</v>
      </c>
    </row>
    <row r="260" spans="16:21" x14ac:dyDescent="0.25">
      <c r="Q260" s="34">
        <v>46180</v>
      </c>
      <c r="R260" t="s">
        <v>2939</v>
      </c>
      <c r="S260">
        <v>61</v>
      </c>
      <c r="T260" t="s">
        <v>2935</v>
      </c>
      <c r="U260" s="46">
        <v>2.9</v>
      </c>
    </row>
    <row r="261" spans="16:21" x14ac:dyDescent="0.25">
      <c r="S261">
        <v>62</v>
      </c>
      <c r="T261" t="s">
        <v>2966</v>
      </c>
      <c r="U261" s="46">
        <v>0.9</v>
      </c>
    </row>
    <row r="262" spans="16:21" x14ac:dyDescent="0.25">
      <c r="S262">
        <v>63</v>
      </c>
      <c r="T262" t="s">
        <v>2966</v>
      </c>
      <c r="U262" s="46">
        <v>2.9</v>
      </c>
    </row>
    <row r="263" spans="16:21" x14ac:dyDescent="0.25">
      <c r="S263">
        <v>64</v>
      </c>
      <c r="T263" t="s">
        <v>2935</v>
      </c>
      <c r="U263" s="46">
        <v>2.5</v>
      </c>
    </row>
    <row r="264" spans="16:21" x14ac:dyDescent="0.25">
      <c r="S264">
        <v>65</v>
      </c>
      <c r="T264" t="s">
        <v>2966</v>
      </c>
      <c r="U264" s="46">
        <v>0.4</v>
      </c>
    </row>
    <row r="265" spans="16:21" x14ac:dyDescent="0.25">
      <c r="S265">
        <v>66</v>
      </c>
      <c r="T265" t="s">
        <v>2966</v>
      </c>
      <c r="U265" s="46">
        <v>3.4</v>
      </c>
    </row>
    <row r="266" spans="16:21" x14ac:dyDescent="0.25">
      <c r="P266" t="s">
        <v>3776</v>
      </c>
      <c r="U266" s="46">
        <v>111.00000000000001</v>
      </c>
    </row>
    <row r="267" spans="16:21" x14ac:dyDescent="0.25">
      <c r="P267" t="s">
        <v>3102</v>
      </c>
      <c r="Q267" s="34">
        <v>46184</v>
      </c>
      <c r="R267" t="s">
        <v>2939</v>
      </c>
      <c r="S267">
        <v>145</v>
      </c>
      <c r="T267" t="s">
        <v>3102</v>
      </c>
      <c r="U267" s="46">
        <v>2.4633757961783438</v>
      </c>
    </row>
    <row r="268" spans="16:21" x14ac:dyDescent="0.25">
      <c r="S268">
        <v>146</v>
      </c>
      <c r="T268" t="s">
        <v>3102</v>
      </c>
      <c r="U268" s="46">
        <v>2.4803126809496234</v>
      </c>
    </row>
    <row r="269" spans="16:21" x14ac:dyDescent="0.25">
      <c r="S269">
        <v>147</v>
      </c>
      <c r="T269" t="s">
        <v>3102</v>
      </c>
      <c r="U269" s="46">
        <v>2.5123045744064854</v>
      </c>
    </row>
    <row r="270" spans="16:21" x14ac:dyDescent="0.25">
      <c r="S270">
        <v>148</v>
      </c>
      <c r="T270" t="s">
        <v>3102</v>
      </c>
      <c r="U270" s="46">
        <v>2.5330052113491606</v>
      </c>
    </row>
    <row r="271" spans="16:21" x14ac:dyDescent="0.25">
      <c r="S271">
        <v>149</v>
      </c>
      <c r="T271" t="s">
        <v>3102</v>
      </c>
      <c r="U271" s="46">
        <v>0.84872611464968151</v>
      </c>
    </row>
    <row r="272" spans="16:21" x14ac:dyDescent="0.25">
      <c r="S272">
        <v>150</v>
      </c>
      <c r="T272" t="s">
        <v>3238</v>
      </c>
      <c r="U272" s="46">
        <v>2.529241459177765</v>
      </c>
    </row>
    <row r="273" spans="16:21" x14ac:dyDescent="0.25">
      <c r="S273">
        <v>151</v>
      </c>
      <c r="T273" t="s">
        <v>3102</v>
      </c>
      <c r="U273" s="46">
        <v>2.5141864504921831</v>
      </c>
    </row>
    <row r="274" spans="16:21" x14ac:dyDescent="0.25">
      <c r="S274">
        <v>152</v>
      </c>
      <c r="T274" t="s">
        <v>3102</v>
      </c>
      <c r="U274" s="46">
        <v>2.4934858135495079</v>
      </c>
    </row>
    <row r="275" spans="16:21" x14ac:dyDescent="0.25">
      <c r="S275">
        <v>153</v>
      </c>
      <c r="T275" t="s">
        <v>3102</v>
      </c>
      <c r="U275" s="46">
        <v>2.5217139548349738</v>
      </c>
    </row>
    <row r="276" spans="16:21" x14ac:dyDescent="0.25">
      <c r="S276">
        <v>154</v>
      </c>
      <c r="T276" t="s">
        <v>3102</v>
      </c>
      <c r="U276" s="46">
        <v>2.5781702374059061</v>
      </c>
    </row>
    <row r="277" spans="16:21" x14ac:dyDescent="0.25">
      <c r="S277">
        <v>307</v>
      </c>
      <c r="T277" t="s">
        <v>3238</v>
      </c>
      <c r="U277" s="46">
        <v>2.5254777070063694</v>
      </c>
    </row>
    <row r="278" spans="16:21" x14ac:dyDescent="0.25">
      <c r="P278" t="s">
        <v>3777</v>
      </c>
      <c r="U278" s="46">
        <v>25.999999999999996</v>
      </c>
    </row>
    <row r="279" spans="16:21" x14ac:dyDescent="0.25">
      <c r="P279" t="s">
        <v>3103</v>
      </c>
      <c r="Q279" s="34">
        <v>46185</v>
      </c>
      <c r="R279" t="s">
        <v>2939</v>
      </c>
      <c r="S279">
        <v>183</v>
      </c>
      <c r="T279" t="s">
        <v>3103</v>
      </c>
      <c r="U279" s="46">
        <v>2</v>
      </c>
    </row>
    <row r="280" spans="16:21" x14ac:dyDescent="0.25">
      <c r="S280">
        <v>184</v>
      </c>
      <c r="T280" t="s">
        <v>1563</v>
      </c>
      <c r="U280" s="46">
        <v>1.9</v>
      </c>
    </row>
    <row r="281" spans="16:21" x14ac:dyDescent="0.25">
      <c r="S281">
        <v>185</v>
      </c>
      <c r="T281" t="s">
        <v>1563</v>
      </c>
      <c r="U281" s="46">
        <v>0.6</v>
      </c>
    </row>
    <row r="282" spans="16:21" x14ac:dyDescent="0.25">
      <c r="S282">
        <v>186</v>
      </c>
      <c r="T282" t="s">
        <v>3103</v>
      </c>
      <c r="U282" s="46">
        <v>1.9</v>
      </c>
    </row>
    <row r="283" spans="16:21" x14ac:dyDescent="0.25">
      <c r="S283">
        <v>187</v>
      </c>
      <c r="T283" t="s">
        <v>3103</v>
      </c>
      <c r="U283" s="46">
        <v>2</v>
      </c>
    </row>
    <row r="284" spans="16:21" x14ac:dyDescent="0.25">
      <c r="S284">
        <v>188</v>
      </c>
      <c r="T284" t="s">
        <v>3103</v>
      </c>
      <c r="U284" s="46">
        <v>2</v>
      </c>
    </row>
    <row r="285" spans="16:21" x14ac:dyDescent="0.25">
      <c r="S285">
        <v>310</v>
      </c>
      <c r="T285" t="s">
        <v>3103</v>
      </c>
      <c r="U285" s="46">
        <v>2.6</v>
      </c>
    </row>
    <row r="286" spans="16:21" x14ac:dyDescent="0.25">
      <c r="S286">
        <v>315</v>
      </c>
      <c r="T286" t="s">
        <v>3103</v>
      </c>
      <c r="U286" s="46">
        <v>2</v>
      </c>
    </row>
    <row r="287" spans="16:21" x14ac:dyDescent="0.25">
      <c r="Q287" s="34">
        <v>46186</v>
      </c>
      <c r="R287" t="s">
        <v>2939</v>
      </c>
      <c r="S287">
        <v>189</v>
      </c>
      <c r="T287" t="s">
        <v>3103</v>
      </c>
      <c r="U287" s="46">
        <v>1.7</v>
      </c>
    </row>
    <row r="288" spans="16:21" x14ac:dyDescent="0.25">
      <c r="S288">
        <v>190</v>
      </c>
      <c r="T288" t="s">
        <v>3103</v>
      </c>
      <c r="U288" s="46">
        <v>1.6</v>
      </c>
    </row>
    <row r="289" spans="19:21" x14ac:dyDescent="0.25">
      <c r="S289">
        <v>191</v>
      </c>
      <c r="T289" t="s">
        <v>3103</v>
      </c>
      <c r="U289" s="46">
        <v>0.8</v>
      </c>
    </row>
    <row r="290" spans="19:21" x14ac:dyDescent="0.25">
      <c r="S290">
        <v>192</v>
      </c>
      <c r="T290" t="s">
        <v>3103</v>
      </c>
      <c r="U290" s="46">
        <v>1.6</v>
      </c>
    </row>
    <row r="291" spans="19:21" x14ac:dyDescent="0.25">
      <c r="S291">
        <v>193</v>
      </c>
      <c r="T291" t="s">
        <v>3103</v>
      </c>
      <c r="U291" s="46">
        <v>0.6</v>
      </c>
    </row>
    <row r="292" spans="19:21" x14ac:dyDescent="0.25">
      <c r="S292">
        <v>194</v>
      </c>
      <c r="T292" t="s">
        <v>3103</v>
      </c>
      <c r="U292" s="46">
        <v>1.7</v>
      </c>
    </row>
    <row r="293" spans="19:21" x14ac:dyDescent="0.25">
      <c r="S293">
        <v>195</v>
      </c>
      <c r="T293" t="s">
        <v>3103</v>
      </c>
      <c r="U293" s="46">
        <v>1.6</v>
      </c>
    </row>
    <row r="294" spans="19:21" x14ac:dyDescent="0.25">
      <c r="S294">
        <v>196</v>
      </c>
      <c r="T294" t="s">
        <v>3103</v>
      </c>
      <c r="U294" s="46">
        <v>1.6</v>
      </c>
    </row>
    <row r="295" spans="19:21" x14ac:dyDescent="0.25">
      <c r="S295">
        <v>197</v>
      </c>
      <c r="T295" t="s">
        <v>3103</v>
      </c>
      <c r="U295" s="46">
        <v>1.6</v>
      </c>
    </row>
    <row r="296" spans="19:21" x14ac:dyDescent="0.25">
      <c r="S296">
        <v>198</v>
      </c>
      <c r="T296" t="s">
        <v>3103</v>
      </c>
      <c r="U296" s="46">
        <v>0.5</v>
      </c>
    </row>
    <row r="297" spans="19:21" x14ac:dyDescent="0.25">
      <c r="S297">
        <v>199</v>
      </c>
      <c r="T297" t="s">
        <v>3103</v>
      </c>
      <c r="U297" s="46">
        <v>1.6</v>
      </c>
    </row>
    <row r="298" spans="19:21" x14ac:dyDescent="0.25">
      <c r="S298">
        <v>200</v>
      </c>
      <c r="T298" t="s">
        <v>3103</v>
      </c>
      <c r="U298" s="46">
        <v>1.6</v>
      </c>
    </row>
    <row r="299" spans="19:21" x14ac:dyDescent="0.25">
      <c r="S299">
        <v>201</v>
      </c>
      <c r="T299" t="s">
        <v>3103</v>
      </c>
      <c r="U299" s="46">
        <v>0.3</v>
      </c>
    </row>
    <row r="300" spans="19:21" x14ac:dyDescent="0.25">
      <c r="S300">
        <v>202</v>
      </c>
      <c r="T300" t="s">
        <v>3103</v>
      </c>
      <c r="U300" s="46">
        <v>0.7</v>
      </c>
    </row>
    <row r="301" spans="19:21" x14ac:dyDescent="0.25">
      <c r="S301">
        <v>203</v>
      </c>
      <c r="T301" t="s">
        <v>3103</v>
      </c>
      <c r="U301" s="46">
        <v>1.6</v>
      </c>
    </row>
    <row r="302" spans="19:21" x14ac:dyDescent="0.25">
      <c r="S302">
        <v>340</v>
      </c>
      <c r="T302" t="s">
        <v>3103</v>
      </c>
      <c r="U302" s="46">
        <v>2.2000000000000002</v>
      </c>
    </row>
    <row r="303" spans="19:21" x14ac:dyDescent="0.25">
      <c r="S303">
        <v>341</v>
      </c>
      <c r="T303" t="s">
        <v>3103</v>
      </c>
      <c r="U303" s="46">
        <v>2.5</v>
      </c>
    </row>
    <row r="304" spans="19:21" x14ac:dyDescent="0.25">
      <c r="S304">
        <v>342</v>
      </c>
      <c r="T304" t="s">
        <v>3103</v>
      </c>
      <c r="U304" s="46">
        <v>2.2000000000000002</v>
      </c>
    </row>
    <row r="305" spans="16:21" x14ac:dyDescent="0.25">
      <c r="P305" t="s">
        <v>3778</v>
      </c>
      <c r="U305" s="46">
        <v>41.000000000000021</v>
      </c>
    </row>
    <row r="306" spans="16:21" x14ac:dyDescent="0.25">
      <c r="P306" t="s">
        <v>3104</v>
      </c>
      <c r="Q306" s="34">
        <v>46185</v>
      </c>
      <c r="R306" t="s">
        <v>2939</v>
      </c>
      <c r="S306">
        <v>177</v>
      </c>
      <c r="T306" t="s">
        <v>3103</v>
      </c>
      <c r="U306" s="46">
        <v>2.7</v>
      </c>
    </row>
    <row r="307" spans="16:21" x14ac:dyDescent="0.25">
      <c r="S307">
        <v>178</v>
      </c>
      <c r="T307" t="s">
        <v>3103</v>
      </c>
      <c r="U307" s="46">
        <v>2.6</v>
      </c>
    </row>
    <row r="308" spans="16:21" x14ac:dyDescent="0.25">
      <c r="S308">
        <v>179</v>
      </c>
      <c r="T308" t="s">
        <v>3103</v>
      </c>
      <c r="U308" s="46">
        <v>2.7</v>
      </c>
    </row>
    <row r="309" spans="16:21" x14ac:dyDescent="0.25">
      <c r="S309">
        <v>180</v>
      </c>
      <c r="T309" t="s">
        <v>3103</v>
      </c>
      <c r="U309" s="46">
        <v>2.5</v>
      </c>
    </row>
    <row r="310" spans="16:21" x14ac:dyDescent="0.25">
      <c r="S310">
        <v>181</v>
      </c>
      <c r="T310" t="s">
        <v>3103</v>
      </c>
      <c r="U310" s="46">
        <v>0.9</v>
      </c>
    </row>
    <row r="311" spans="16:21" x14ac:dyDescent="0.25">
      <c r="S311">
        <v>182</v>
      </c>
      <c r="T311" t="s">
        <v>1563</v>
      </c>
      <c r="U311" s="46">
        <v>2.6</v>
      </c>
    </row>
    <row r="312" spans="16:21" x14ac:dyDescent="0.25">
      <c r="P312" t="s">
        <v>3783</v>
      </c>
      <c r="U312" s="46">
        <v>14</v>
      </c>
    </row>
    <row r="313" spans="16:21" x14ac:dyDescent="0.25">
      <c r="P313" t="s">
        <v>3105</v>
      </c>
      <c r="Q313" s="34">
        <v>46189</v>
      </c>
      <c r="R313" t="s">
        <v>2939</v>
      </c>
      <c r="S313">
        <v>252</v>
      </c>
      <c r="T313" t="s">
        <v>3105</v>
      </c>
      <c r="U313" s="46">
        <v>0.5</v>
      </c>
    </row>
    <row r="314" spans="16:21" x14ac:dyDescent="0.25">
      <c r="S314">
        <v>255</v>
      </c>
      <c r="T314" t="s">
        <v>3106</v>
      </c>
      <c r="U314" s="46">
        <v>1.6</v>
      </c>
    </row>
    <row r="315" spans="16:21" x14ac:dyDescent="0.25">
      <c r="S315">
        <v>279</v>
      </c>
      <c r="T315" t="s">
        <v>3105</v>
      </c>
      <c r="U315" s="46">
        <v>0.9</v>
      </c>
    </row>
    <row r="316" spans="16:21" x14ac:dyDescent="0.25">
      <c r="P316" t="s">
        <v>3779</v>
      </c>
      <c r="U316" s="46">
        <v>3</v>
      </c>
    </row>
    <row r="317" spans="16:21" x14ac:dyDescent="0.25">
      <c r="P317" t="s">
        <v>3106</v>
      </c>
      <c r="Q317" s="34">
        <v>46187</v>
      </c>
      <c r="R317" t="s">
        <v>2939</v>
      </c>
      <c r="S317">
        <v>210</v>
      </c>
      <c r="T317" t="s">
        <v>3105</v>
      </c>
      <c r="U317" s="46">
        <v>2.1</v>
      </c>
    </row>
    <row r="318" spans="16:21" x14ac:dyDescent="0.25">
      <c r="S318">
        <v>211</v>
      </c>
      <c r="T318" t="s">
        <v>3105</v>
      </c>
      <c r="U318" s="46">
        <v>0.4</v>
      </c>
    </row>
    <row r="319" spans="16:21" x14ac:dyDescent="0.25">
      <c r="S319">
        <v>212</v>
      </c>
      <c r="T319" t="s">
        <v>3105</v>
      </c>
      <c r="U319" s="46">
        <v>2.4</v>
      </c>
    </row>
    <row r="320" spans="16:21" x14ac:dyDescent="0.25">
      <c r="S320">
        <v>213</v>
      </c>
      <c r="T320" t="s">
        <v>3105</v>
      </c>
      <c r="U320" s="46">
        <v>2.2999999999999998</v>
      </c>
    </row>
    <row r="321" spans="17:21" x14ac:dyDescent="0.25">
      <c r="S321">
        <v>214</v>
      </c>
      <c r="T321" t="s">
        <v>3105</v>
      </c>
      <c r="U321" s="46">
        <v>1.4</v>
      </c>
    </row>
    <row r="322" spans="17:21" x14ac:dyDescent="0.25">
      <c r="S322">
        <v>215</v>
      </c>
      <c r="T322" t="s">
        <v>3105</v>
      </c>
      <c r="U322" s="46">
        <v>1.5</v>
      </c>
    </row>
    <row r="323" spans="17:21" x14ac:dyDescent="0.25">
      <c r="S323">
        <v>216</v>
      </c>
      <c r="T323" t="s">
        <v>3105</v>
      </c>
      <c r="U323" s="46">
        <v>2.1</v>
      </c>
    </row>
    <row r="324" spans="17:21" x14ac:dyDescent="0.25">
      <c r="S324">
        <v>217</v>
      </c>
      <c r="T324" t="s">
        <v>3105</v>
      </c>
      <c r="U324" s="46">
        <v>2.1</v>
      </c>
    </row>
    <row r="325" spans="17:21" x14ac:dyDescent="0.25">
      <c r="S325">
        <v>218</v>
      </c>
      <c r="T325" t="s">
        <v>3105</v>
      </c>
      <c r="U325" s="46">
        <v>2.1</v>
      </c>
    </row>
    <row r="326" spans="17:21" x14ac:dyDescent="0.25">
      <c r="S326">
        <v>219</v>
      </c>
      <c r="T326" t="s">
        <v>3317</v>
      </c>
      <c r="U326" s="46">
        <v>2.1</v>
      </c>
    </row>
    <row r="327" spans="17:21" x14ac:dyDescent="0.25">
      <c r="S327">
        <v>220</v>
      </c>
      <c r="T327" t="s">
        <v>3105</v>
      </c>
      <c r="U327" s="46">
        <v>2</v>
      </c>
    </row>
    <row r="328" spans="17:21" x14ac:dyDescent="0.25">
      <c r="S328">
        <v>221</v>
      </c>
      <c r="T328" t="s">
        <v>3317</v>
      </c>
      <c r="U328" s="46">
        <v>2.1</v>
      </c>
    </row>
    <row r="329" spans="17:21" x14ac:dyDescent="0.25">
      <c r="S329">
        <v>222</v>
      </c>
      <c r="T329" t="s">
        <v>3317</v>
      </c>
      <c r="U329" s="46">
        <v>2</v>
      </c>
    </row>
    <row r="330" spans="17:21" x14ac:dyDescent="0.25">
      <c r="S330">
        <v>223</v>
      </c>
      <c r="T330" t="s">
        <v>3105</v>
      </c>
      <c r="U330" s="46">
        <v>2.1</v>
      </c>
    </row>
    <row r="331" spans="17:21" x14ac:dyDescent="0.25">
      <c r="S331">
        <v>224</v>
      </c>
      <c r="T331" t="s">
        <v>3105</v>
      </c>
      <c r="U331" s="46">
        <v>2.1</v>
      </c>
    </row>
    <row r="332" spans="17:21" x14ac:dyDescent="0.25">
      <c r="S332">
        <v>225</v>
      </c>
      <c r="T332" t="s">
        <v>3105</v>
      </c>
      <c r="U332" s="46">
        <v>2</v>
      </c>
    </row>
    <row r="333" spans="17:21" x14ac:dyDescent="0.25">
      <c r="S333">
        <v>226</v>
      </c>
      <c r="T333" t="s">
        <v>3317</v>
      </c>
      <c r="U333" s="46">
        <v>2.1</v>
      </c>
    </row>
    <row r="334" spans="17:21" x14ac:dyDescent="0.25">
      <c r="S334">
        <v>227</v>
      </c>
      <c r="T334" t="s">
        <v>3105</v>
      </c>
      <c r="U334" s="46">
        <v>2.1</v>
      </c>
    </row>
    <row r="335" spans="17:21" x14ac:dyDescent="0.25">
      <c r="Q335" s="34">
        <v>46188</v>
      </c>
      <c r="R335" t="s">
        <v>2939</v>
      </c>
      <c r="S335">
        <v>229</v>
      </c>
      <c r="T335" t="s">
        <v>3317</v>
      </c>
      <c r="U335" s="46">
        <v>3.1</v>
      </c>
    </row>
    <row r="336" spans="17:21" x14ac:dyDescent="0.25">
      <c r="S336">
        <v>230</v>
      </c>
      <c r="T336" t="s">
        <v>3105</v>
      </c>
      <c r="U336" s="46">
        <v>3.2</v>
      </c>
    </row>
    <row r="337" spans="16:21" x14ac:dyDescent="0.25">
      <c r="S337">
        <v>231</v>
      </c>
      <c r="T337" t="s">
        <v>3105</v>
      </c>
      <c r="U337" s="46">
        <v>3.2</v>
      </c>
    </row>
    <row r="338" spans="16:21" x14ac:dyDescent="0.25">
      <c r="S338">
        <v>232</v>
      </c>
      <c r="T338" t="s">
        <v>3105</v>
      </c>
      <c r="U338" s="46">
        <v>3.2</v>
      </c>
    </row>
    <row r="339" spans="16:21" x14ac:dyDescent="0.25">
      <c r="S339">
        <v>233</v>
      </c>
      <c r="T339" t="s">
        <v>3105</v>
      </c>
      <c r="U339" s="46">
        <v>1.1000000000000001</v>
      </c>
    </row>
    <row r="340" spans="16:21" x14ac:dyDescent="0.25">
      <c r="S340">
        <v>234</v>
      </c>
      <c r="T340" t="s">
        <v>3105</v>
      </c>
      <c r="U340" s="46">
        <v>3.2</v>
      </c>
    </row>
    <row r="341" spans="16:21" x14ac:dyDescent="0.25">
      <c r="Q341" s="34">
        <v>46189</v>
      </c>
      <c r="R341" t="s">
        <v>2939</v>
      </c>
      <c r="S341">
        <v>251</v>
      </c>
      <c r="T341" t="s">
        <v>3106</v>
      </c>
      <c r="U341" s="46">
        <v>2.4</v>
      </c>
    </row>
    <row r="342" spans="16:21" x14ac:dyDescent="0.25">
      <c r="S342">
        <v>253</v>
      </c>
      <c r="T342" t="s">
        <v>3106</v>
      </c>
      <c r="U342" s="46">
        <v>2.6</v>
      </c>
    </row>
    <row r="343" spans="16:21" x14ac:dyDescent="0.25">
      <c r="P343" t="s">
        <v>3780</v>
      </c>
      <c r="U343" s="46">
        <v>57.000000000000021</v>
      </c>
    </row>
    <row r="344" spans="16:21" x14ac:dyDescent="0.25">
      <c r="P344" t="s">
        <v>3098</v>
      </c>
      <c r="Q344" s="34">
        <v>46207</v>
      </c>
      <c r="R344" t="s">
        <v>2939</v>
      </c>
      <c r="S344">
        <v>660</v>
      </c>
      <c r="T344" t="s">
        <v>3098</v>
      </c>
      <c r="U344" s="46">
        <v>2.5</v>
      </c>
    </row>
    <row r="345" spans="16:21" x14ac:dyDescent="0.25">
      <c r="S345">
        <v>661</v>
      </c>
      <c r="T345" t="s">
        <v>3098</v>
      </c>
      <c r="U345" s="46">
        <v>2.5</v>
      </c>
    </row>
    <row r="346" spans="16:21" x14ac:dyDescent="0.25">
      <c r="S346">
        <v>662</v>
      </c>
      <c r="T346" t="s">
        <v>3098</v>
      </c>
      <c r="U346" s="46">
        <v>0.8</v>
      </c>
    </row>
    <row r="347" spans="16:21" x14ac:dyDescent="0.25">
      <c r="S347">
        <v>664</v>
      </c>
      <c r="T347" t="s">
        <v>3098</v>
      </c>
      <c r="U347" s="46">
        <v>2.5</v>
      </c>
    </row>
    <row r="348" spans="16:21" x14ac:dyDescent="0.25">
      <c r="S348">
        <v>665</v>
      </c>
      <c r="T348" t="s">
        <v>3098</v>
      </c>
      <c r="U348" s="46">
        <v>2.5</v>
      </c>
    </row>
    <row r="349" spans="16:21" x14ac:dyDescent="0.25">
      <c r="S349">
        <v>666</v>
      </c>
      <c r="T349" t="s">
        <v>3098</v>
      </c>
      <c r="U349" s="46">
        <v>0.8</v>
      </c>
    </row>
    <row r="350" spans="16:21" x14ac:dyDescent="0.25">
      <c r="S350">
        <v>671</v>
      </c>
      <c r="T350" t="s">
        <v>3098</v>
      </c>
      <c r="U350" s="46">
        <v>2.5</v>
      </c>
    </row>
    <row r="351" spans="16:21" x14ac:dyDescent="0.25">
      <c r="S351">
        <v>670</v>
      </c>
      <c r="T351" t="s">
        <v>3098</v>
      </c>
      <c r="U351" s="46">
        <v>0.8</v>
      </c>
    </row>
    <row r="352" spans="16:21" x14ac:dyDescent="0.25">
      <c r="S352">
        <v>667</v>
      </c>
      <c r="T352" t="s">
        <v>3098</v>
      </c>
      <c r="U352" s="46">
        <v>2.5</v>
      </c>
    </row>
    <row r="353" spans="16:21" x14ac:dyDescent="0.25">
      <c r="S353">
        <v>669</v>
      </c>
      <c r="T353" t="s">
        <v>3098</v>
      </c>
      <c r="U353" s="46">
        <v>2.5</v>
      </c>
    </row>
    <row r="354" spans="16:21" x14ac:dyDescent="0.25">
      <c r="S354">
        <v>673</v>
      </c>
      <c r="T354" t="s">
        <v>3098</v>
      </c>
      <c r="U354" s="46">
        <v>2.5</v>
      </c>
    </row>
    <row r="355" spans="16:21" x14ac:dyDescent="0.25">
      <c r="S355">
        <v>672</v>
      </c>
      <c r="T355" t="s">
        <v>3098</v>
      </c>
      <c r="U355" s="46">
        <v>0.9</v>
      </c>
    </row>
    <row r="356" spans="16:21" x14ac:dyDescent="0.25">
      <c r="S356">
        <v>674</v>
      </c>
      <c r="T356" t="s">
        <v>3098</v>
      </c>
      <c r="U356" s="46">
        <v>2.5</v>
      </c>
    </row>
    <row r="357" spans="16:21" x14ac:dyDescent="0.25">
      <c r="Q357" s="34">
        <v>46209</v>
      </c>
      <c r="R357" t="s">
        <v>2939</v>
      </c>
      <c r="S357">
        <v>658</v>
      </c>
      <c r="T357" t="s">
        <v>3098</v>
      </c>
      <c r="U357" s="46">
        <v>2.5</v>
      </c>
    </row>
    <row r="358" spans="16:21" x14ac:dyDescent="0.25">
      <c r="S358">
        <v>675</v>
      </c>
      <c r="T358" t="s">
        <v>3098</v>
      </c>
      <c r="U358" s="46">
        <v>0.8</v>
      </c>
    </row>
    <row r="359" spans="16:21" x14ac:dyDescent="0.25">
      <c r="S359">
        <v>676</v>
      </c>
      <c r="T359" t="s">
        <v>3098</v>
      </c>
      <c r="U359" s="46">
        <v>2.9</v>
      </c>
    </row>
    <row r="360" spans="16:21" x14ac:dyDescent="0.25">
      <c r="P360" t="s">
        <v>3894</v>
      </c>
      <c r="U360" s="46">
        <v>32</v>
      </c>
    </row>
    <row r="361" spans="16:21" x14ac:dyDescent="0.25">
      <c r="P361" t="s">
        <v>182</v>
      </c>
      <c r="U361" s="46">
        <v>670.96028765989968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192A-C26E-4A44-95AA-F990BF66BB63}">
  <sheetPr codeName="Лист5">
    <pageSetUpPr fitToPage="1"/>
  </sheetPr>
  <dimension ref="A1:BK867"/>
  <sheetViews>
    <sheetView topLeftCell="C1" zoomScale="80" zoomScaleNormal="80" workbookViewId="0">
      <pane ySplit="1" topLeftCell="A2" activePane="bottomLeft" state="frozen"/>
      <selection activeCell="C1" sqref="C1"/>
      <selection pane="bottomLeft" activeCell="T714" sqref="T714"/>
    </sheetView>
  </sheetViews>
  <sheetFormatPr defaultColWidth="14.7109375" defaultRowHeight="15" outlineLevelCol="2" x14ac:dyDescent="0.25"/>
  <cols>
    <col min="1" max="2" width="0" hidden="1" customWidth="1"/>
    <col min="3" max="3" width="12" customWidth="1"/>
    <col min="4" max="4" width="12.28515625" customWidth="1" outlineLevel="1"/>
    <col min="5" max="5" width="11.85546875" style="34" hidden="1" customWidth="1" outlineLevel="2"/>
    <col min="6" max="6" width="11.85546875" hidden="1" customWidth="1" outlineLevel="2"/>
    <col min="7" max="7" width="16" customWidth="1" outlineLevel="1" collapsed="1"/>
    <col min="8" max="8" width="12.5703125" hidden="1" customWidth="1" outlineLevel="2"/>
    <col min="9" max="9" width="12.42578125" customWidth="1" outlineLevel="1" collapsed="1"/>
    <col min="10" max="10" width="25.7109375" customWidth="1" outlineLevel="1"/>
    <col min="11" max="11" width="9.85546875" customWidth="1" outlineLevel="1"/>
    <col min="12" max="12" width="11.140625" customWidth="1" outlineLevel="1"/>
    <col min="13" max="13" width="30.42578125" customWidth="1" outlineLevel="1"/>
    <col min="14" max="17" width="14.7109375" hidden="1" customWidth="1" outlineLevel="2"/>
    <col min="18" max="18" width="13.5703125" customWidth="1" outlineLevel="1" collapsed="1"/>
    <col min="19" max="19" width="9.28515625" hidden="1" customWidth="1" outlineLevel="2"/>
    <col min="20" max="20" width="11.42578125" customWidth="1" outlineLevel="1" collapsed="1"/>
    <col min="21" max="21" width="10.28515625" customWidth="1" outlineLevel="1"/>
    <col min="22" max="22" width="12.140625" style="46" customWidth="1" outlineLevel="1"/>
    <col min="23" max="23" width="13.85546875" customWidth="1" outlineLevel="1"/>
    <col min="24" max="24" width="11.5703125" customWidth="1" outlineLevel="1"/>
    <col min="25" max="25" width="9.140625" customWidth="1" outlineLevel="1"/>
    <col min="26" max="26" width="14.7109375" style="34" customWidth="1" outlineLevel="1"/>
    <col min="27" max="27" width="11.5703125" customWidth="1" outlineLevel="1"/>
    <col min="28" max="28" width="13.28515625" customWidth="1" outlineLevel="1"/>
    <col min="29" max="29" width="10.28515625" customWidth="1"/>
    <col min="30" max="30" width="15.42578125" customWidth="1"/>
    <col min="31" max="31" width="9.140625" customWidth="1" outlineLevel="1"/>
    <col min="32" max="32" width="14.7109375" customWidth="1" outlineLevel="1"/>
    <col min="33" max="33" width="11.28515625" customWidth="1" outlineLevel="1"/>
    <col min="34" max="34" width="14.7109375" customWidth="1" outlineLevel="1"/>
    <col min="37" max="37" width="14.7109375" style="34" customWidth="1" outlineLevel="1"/>
    <col min="38" max="38" width="16.28515625" customWidth="1" outlineLevel="1"/>
    <col min="39" max="49" width="14.7109375" customWidth="1" outlineLevel="1"/>
    <col min="56" max="56" width="14.7109375" style="34"/>
    <col min="57" max="57" width="14.7109375" customWidth="1" outlineLevel="1"/>
    <col min="59" max="62" width="0" hidden="1" customWidth="1" outlineLevel="1"/>
    <col min="63" max="63" width="14.7109375" collapsed="1"/>
  </cols>
  <sheetData>
    <row r="1" spans="1:62" s="86" customFormat="1" ht="59.45" customHeight="1" x14ac:dyDescent="0.25">
      <c r="A1" s="81" t="s">
        <v>85</v>
      </c>
      <c r="B1" s="81" t="s">
        <v>86</v>
      </c>
      <c r="C1" s="102" t="s">
        <v>1150</v>
      </c>
      <c r="D1" s="81" t="s">
        <v>87</v>
      </c>
      <c r="E1" s="144" t="s">
        <v>172</v>
      </c>
      <c r="F1" s="81" t="s">
        <v>88</v>
      </c>
      <c r="G1" s="102" t="s">
        <v>89</v>
      </c>
      <c r="H1" s="81" t="s">
        <v>90</v>
      </c>
      <c r="I1" s="102" t="s">
        <v>91</v>
      </c>
      <c r="J1" s="81" t="s">
        <v>3742</v>
      </c>
      <c r="K1" s="81" t="s">
        <v>3743</v>
      </c>
      <c r="L1" s="81" t="s">
        <v>3744</v>
      </c>
      <c r="M1" s="81" t="s">
        <v>95</v>
      </c>
      <c r="N1" s="82" t="s">
        <v>96</v>
      </c>
      <c r="O1" s="82" t="s">
        <v>97</v>
      </c>
      <c r="P1" s="82" t="s">
        <v>98</v>
      </c>
      <c r="Q1" s="82" t="s">
        <v>99</v>
      </c>
      <c r="R1" s="81" t="s">
        <v>100</v>
      </c>
      <c r="S1" s="81" t="s">
        <v>101</v>
      </c>
      <c r="T1" s="467" t="s">
        <v>173</v>
      </c>
      <c r="U1" s="467" t="s">
        <v>1626</v>
      </c>
      <c r="V1" s="84" t="s">
        <v>84</v>
      </c>
      <c r="W1" s="81" t="s">
        <v>83</v>
      </c>
      <c r="X1" s="81" t="s">
        <v>176</v>
      </c>
      <c r="Y1" s="81" t="s">
        <v>174</v>
      </c>
      <c r="Z1" s="144" t="s">
        <v>175</v>
      </c>
      <c r="AA1" s="85" t="s">
        <v>356</v>
      </c>
      <c r="AB1" s="85" t="s">
        <v>418</v>
      </c>
      <c r="AC1" s="88" t="s">
        <v>65</v>
      </c>
      <c r="AD1" s="88" t="s">
        <v>567</v>
      </c>
      <c r="AE1" s="88" t="s">
        <v>837</v>
      </c>
      <c r="AF1" s="88" t="s">
        <v>1058</v>
      </c>
      <c r="AG1" s="88" t="s">
        <v>1068</v>
      </c>
      <c r="AH1" s="88" t="s">
        <v>839</v>
      </c>
      <c r="AJ1" s="86" t="s">
        <v>837</v>
      </c>
      <c r="AK1" s="477" t="s">
        <v>1058</v>
      </c>
      <c r="AL1" s="86" t="s">
        <v>87</v>
      </c>
      <c r="AM1" s="86" t="s">
        <v>172</v>
      </c>
      <c r="AN1" s="86" t="s">
        <v>88</v>
      </c>
      <c r="AO1" s="86" t="s">
        <v>89</v>
      </c>
      <c r="AP1" s="86" t="s">
        <v>91</v>
      </c>
      <c r="AQ1" s="86" t="s">
        <v>4017</v>
      </c>
      <c r="AR1" s="86" t="s">
        <v>4018</v>
      </c>
      <c r="AS1" s="86" t="s">
        <v>4019</v>
      </c>
      <c r="AT1" s="86" t="s">
        <v>95</v>
      </c>
      <c r="AU1" s="86" t="s">
        <v>96</v>
      </c>
      <c r="AV1" s="86" t="s">
        <v>100</v>
      </c>
      <c r="AW1" s="86" t="s">
        <v>101</v>
      </c>
      <c r="AX1" s="480" t="s">
        <v>4020</v>
      </c>
      <c r="AY1" s="480" t="s">
        <v>4021</v>
      </c>
      <c r="AZ1" s="480" t="s">
        <v>4022</v>
      </c>
      <c r="BA1" s="480" t="s">
        <v>4023</v>
      </c>
      <c r="BB1" s="480" t="s">
        <v>4024</v>
      </c>
      <c r="BC1" s="480" t="s">
        <v>4025</v>
      </c>
      <c r="BD1" s="481" t="s">
        <v>4026</v>
      </c>
      <c r="BE1" s="86" t="s">
        <v>356</v>
      </c>
      <c r="BF1" s="480" t="s">
        <v>4027</v>
      </c>
      <c r="BG1" s="86" t="s">
        <v>65</v>
      </c>
      <c r="BH1" s="86" t="s">
        <v>567</v>
      </c>
      <c r="BI1" s="86" t="s">
        <v>1068</v>
      </c>
      <c r="BJ1" s="86" t="s">
        <v>839</v>
      </c>
    </row>
    <row r="2" spans="1:62" s="508" customFormat="1" ht="14.25" hidden="1" customHeight="1" x14ac:dyDescent="0.2">
      <c r="A2" s="495" t="s">
        <v>102</v>
      </c>
      <c r="B2" s="496"/>
      <c r="C2" s="497">
        <f>Таблица3[[#This Row],[Степень зрелости вспом]]</f>
        <v>49</v>
      </c>
      <c r="D2" s="498">
        <v>40</v>
      </c>
      <c r="E2" s="499"/>
      <c r="F2" s="496"/>
      <c r="G2" s="496">
        <v>16070</v>
      </c>
      <c r="H2" s="500"/>
      <c r="I2" s="496">
        <v>12936.4</v>
      </c>
      <c r="J2" s="495" t="s">
        <v>2939</v>
      </c>
      <c r="K2" s="495" t="s">
        <v>782</v>
      </c>
      <c r="L2" s="495" t="s">
        <v>2935</v>
      </c>
      <c r="M2" s="495" t="s">
        <v>212</v>
      </c>
      <c r="N2" s="495"/>
      <c r="O2" s="495"/>
      <c r="P2" s="495"/>
      <c r="Q2" s="495"/>
      <c r="R2" s="501" t="s">
        <v>2965</v>
      </c>
      <c r="S2" s="495"/>
      <c r="T2" s="482" t="str">
        <f>VLOOKUP(Таблица3[[#This Row],[№ акта]],$AJ$1:$BJ$691,15,FALSE)</f>
        <v>А-4/1</v>
      </c>
      <c r="U2" s="482" t="str">
        <f>VLOOKUP(Таблица3[[#This Row],[№ акта]],$AJ$1:$BJ$691,16,FALSE)</f>
        <v>Тиара</v>
      </c>
      <c r="V2" s="502">
        <f>VLOOKUP(Таблица3[[#This Row],[№ акта]],$AJ$1:$BJ$691,17,FALSE)</f>
        <v>3</v>
      </c>
      <c r="W2" s="502" t="str">
        <f>VLOOKUP(Таблица3[[#This Row],[№ акта]],$AJ$1:$BJ$691,18,FALSE)</f>
        <v>ГРК (богара)</v>
      </c>
      <c r="X2" s="502" t="str">
        <f>VLOOKUP(Таблица3[[#This Row],[№ акта]],$AJ$1:$BJ$691,19,FALSE)</f>
        <v>богара</v>
      </c>
      <c r="Y2" s="503">
        <f>VLOOKUP(Таблица3[[#This Row],[№ акта]],$AJ$1:$BJ$691,20,FALSE)</f>
        <v>1</v>
      </c>
      <c r="Z2" s="504">
        <f>VLOOKUP(Таблица3[[#This Row],[№ акта]],$AJ$1:$BJ$691,21,FALSE)</f>
        <v>46176</v>
      </c>
      <c r="AA2" s="504"/>
      <c r="AB2" s="504" t="str">
        <f>IF(VLOOKUP(Таблица3[[#This Row],[№ акта]],$AJ$1:$BJ$691,23,FALSE)&lt;&gt;0,VLOOKUP(Таблица3[[#This Row],[№ акта]],$AJ$1:$BJ$691,23,FALSE),"-")</f>
        <v>-</v>
      </c>
      <c r="AC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2" s="506" t="s">
        <v>2940</v>
      </c>
      <c r="AE2" s="505">
        <v>14</v>
      </c>
      <c r="AF2" s="507">
        <v>46176</v>
      </c>
      <c r="AG2" s="505">
        <v>1</v>
      </c>
      <c r="AH2" s="505">
        <f>IFERROR(VLOOKUP(Таблица3[[#This Row],[№ акта]],'Степень зрелости 2026'!$H$12:$I$800,2,FALSE),)</f>
        <v>49</v>
      </c>
      <c r="AJ2" s="508">
        <v>14</v>
      </c>
      <c r="AK2" s="509">
        <v>46176</v>
      </c>
      <c r="AL2" s="508">
        <v>40</v>
      </c>
      <c r="AO2" s="508">
        <v>16070</v>
      </c>
      <c r="AP2" s="508">
        <v>12936.4</v>
      </c>
      <c r="AQ2" s="508" t="s">
        <v>2939</v>
      </c>
      <c r="AR2" s="508" t="s">
        <v>782</v>
      </c>
      <c r="AS2" s="508" t="s">
        <v>2935</v>
      </c>
      <c r="AT2" s="508" t="s">
        <v>212</v>
      </c>
      <c r="AV2" s="508" t="s">
        <v>2965</v>
      </c>
      <c r="AX2" s="508" t="s">
        <v>2935</v>
      </c>
      <c r="AY2" s="508" t="s">
        <v>782</v>
      </c>
      <c r="AZ2" s="508">
        <v>3</v>
      </c>
      <c r="BA2" s="508" t="s">
        <v>46</v>
      </c>
      <c r="BB2" s="508" t="s">
        <v>19</v>
      </c>
      <c r="BC2" s="508">
        <v>1</v>
      </c>
      <c r="BD2" s="509">
        <v>46176</v>
      </c>
      <c r="BG2" s="508" t="s">
        <v>3557</v>
      </c>
      <c r="BH2" s="508" t="s">
        <v>2940</v>
      </c>
      <c r="BI2" s="508">
        <v>1</v>
      </c>
      <c r="BJ2" s="508">
        <v>49</v>
      </c>
    </row>
    <row r="3" spans="1:62" s="508" customFormat="1" ht="14.25" hidden="1" customHeight="1" x14ac:dyDescent="0.2">
      <c r="A3" s="495" t="s">
        <v>102</v>
      </c>
      <c r="B3" s="496"/>
      <c r="C3" s="497">
        <f>Таблица3[[#This Row],[Степень зрелости вспом]]</f>
        <v>53</v>
      </c>
      <c r="D3" s="498">
        <v>42</v>
      </c>
      <c r="E3" s="499"/>
      <c r="F3" s="496"/>
      <c r="G3" s="496">
        <v>13670</v>
      </c>
      <c r="H3" s="500"/>
      <c r="I3" s="496">
        <v>9637.4</v>
      </c>
      <c r="J3" s="495" t="s">
        <v>2939</v>
      </c>
      <c r="K3" s="495" t="s">
        <v>782</v>
      </c>
      <c r="L3" s="495" t="s">
        <v>2935</v>
      </c>
      <c r="M3" s="495" t="s">
        <v>121</v>
      </c>
      <c r="N3" s="495"/>
      <c r="O3" s="495"/>
      <c r="P3" s="495"/>
      <c r="Q3" s="495"/>
      <c r="R3" s="501" t="s">
        <v>125</v>
      </c>
      <c r="S3" s="495"/>
      <c r="T3" s="482" t="str">
        <f>VLOOKUP(Таблица3[[#This Row],[№ акта]],$AJ$1:$BJ$691,15,FALSE)</f>
        <v>А-4/1</v>
      </c>
      <c r="U3" s="482" t="str">
        <f>VLOOKUP(Таблица3[[#This Row],[№ акта]],$AJ$1:$BJ$691,16,FALSE)</f>
        <v>Тиара</v>
      </c>
      <c r="V3" s="502">
        <f>VLOOKUP(Таблица3[[#This Row],[№ акта]],$AJ$1:$BJ$691,17,FALSE)</f>
        <v>2.6</v>
      </c>
      <c r="W3" s="502" t="str">
        <f>VLOOKUP(Таблица3[[#This Row],[№ акта]],$AJ$1:$BJ$691,18,FALSE)</f>
        <v>ГРК (богара)</v>
      </c>
      <c r="X3" s="502" t="str">
        <f>VLOOKUP(Таблица3[[#This Row],[№ акта]],$AJ$1:$BJ$691,19,FALSE)</f>
        <v>богара</v>
      </c>
      <c r="Y3" s="503">
        <f>VLOOKUP(Таблица3[[#This Row],[№ акта]],$AJ$1:$BJ$691,20,FALSE)</f>
        <v>1</v>
      </c>
      <c r="Z3" s="504">
        <f>VLOOKUP(Таблица3[[#This Row],[№ акта]],$AJ$1:$BJ$691,21,FALSE)</f>
        <v>46176</v>
      </c>
      <c r="AA3" s="504"/>
      <c r="AB3" s="504" t="str">
        <f>IF(VLOOKUP(Таблица3[[#This Row],[№ акта]],$AJ$1:$BJ$691,23,FALSE)&lt;&gt;0,VLOOKUP(Таблица3[[#This Row],[№ акта]],$AJ$1:$BJ$691,23,FALSE),"-")</f>
        <v>-</v>
      </c>
      <c r="AC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" s="506" t="s">
        <v>2940</v>
      </c>
      <c r="AE3" s="505">
        <v>15</v>
      </c>
      <c r="AF3" s="507">
        <v>46176</v>
      </c>
      <c r="AG3" s="505">
        <v>2</v>
      </c>
      <c r="AH3" s="505">
        <f>IFERROR(VLOOKUP(Таблица3[[#This Row],[№ акта]],'Степень зрелости 2026'!$H$12:$I$800,2,FALSE),)</f>
        <v>53</v>
      </c>
      <c r="AJ3" s="508">
        <v>15</v>
      </c>
      <c r="AK3" s="509">
        <v>46176</v>
      </c>
      <c r="AL3" s="508">
        <v>42</v>
      </c>
      <c r="AO3" s="508">
        <v>13670</v>
      </c>
      <c r="AP3" s="508">
        <v>9637.4</v>
      </c>
      <c r="AQ3" s="508" t="s">
        <v>2939</v>
      </c>
      <c r="AR3" s="508" t="s">
        <v>782</v>
      </c>
      <c r="AS3" s="508" t="s">
        <v>2935</v>
      </c>
      <c r="AT3" s="508" t="s">
        <v>121</v>
      </c>
      <c r="AV3" s="508" t="s">
        <v>125</v>
      </c>
      <c r="AX3" s="508" t="s">
        <v>2935</v>
      </c>
      <c r="AY3" s="508" t="s">
        <v>782</v>
      </c>
      <c r="AZ3" s="508">
        <v>2.6</v>
      </c>
      <c r="BA3" s="508" t="s">
        <v>46</v>
      </c>
      <c r="BB3" s="508" t="s">
        <v>19</v>
      </c>
      <c r="BC3" s="508">
        <v>1</v>
      </c>
      <c r="BD3" s="509">
        <v>46176</v>
      </c>
      <c r="BG3" s="508" t="s">
        <v>724</v>
      </c>
      <c r="BH3" s="508" t="s">
        <v>2940</v>
      </c>
      <c r="BI3" s="508">
        <v>2</v>
      </c>
      <c r="BJ3" s="508">
        <v>53</v>
      </c>
    </row>
    <row r="4" spans="1:62" s="508" customFormat="1" ht="14.25" hidden="1" customHeight="1" x14ac:dyDescent="0.2">
      <c r="A4" s="495" t="s">
        <v>102</v>
      </c>
      <c r="B4" s="496"/>
      <c r="C4" s="497">
        <f>Таблица3[[#This Row],[Степень зрелости вспом]]</f>
        <v>50</v>
      </c>
      <c r="D4" s="498">
        <v>43</v>
      </c>
      <c r="E4" s="499"/>
      <c r="F4" s="496"/>
      <c r="G4" s="496">
        <v>13610</v>
      </c>
      <c r="H4" s="500"/>
      <c r="I4" s="496">
        <v>10683.9</v>
      </c>
      <c r="J4" s="495" t="s">
        <v>2939</v>
      </c>
      <c r="K4" s="495" t="s">
        <v>782</v>
      </c>
      <c r="L4" s="495" t="s">
        <v>2935</v>
      </c>
      <c r="M4" s="495" t="s">
        <v>212</v>
      </c>
      <c r="N4" s="495"/>
      <c r="O4" s="495"/>
      <c r="P4" s="495"/>
      <c r="Q4" s="495"/>
      <c r="R4" s="501" t="s">
        <v>2965</v>
      </c>
      <c r="S4" s="495"/>
      <c r="T4" s="482" t="str">
        <f>VLOOKUP(Таблица3[[#This Row],[№ акта]],$AJ$1:$BJ$691,15,FALSE)</f>
        <v>А-4/1</v>
      </c>
      <c r="U4" s="482" t="str">
        <f>VLOOKUP(Таблица3[[#This Row],[№ акта]],$AJ$1:$BJ$691,16,FALSE)</f>
        <v>Тиара</v>
      </c>
      <c r="V4" s="502">
        <f>VLOOKUP(Таблица3[[#This Row],[№ акта]],$AJ$1:$BJ$691,17,FALSE)</f>
        <v>2.6</v>
      </c>
      <c r="W4" s="502" t="str">
        <f>VLOOKUP(Таблица3[[#This Row],[№ акта]],$AJ$1:$BJ$691,18,FALSE)</f>
        <v>ГРК (богара)</v>
      </c>
      <c r="X4" s="502" t="str">
        <f>VLOOKUP(Таблица3[[#This Row],[№ акта]],$AJ$1:$BJ$691,19,FALSE)</f>
        <v>богара</v>
      </c>
      <c r="Y4" s="503">
        <f>VLOOKUP(Таблица3[[#This Row],[№ акта]],$AJ$1:$BJ$691,20,FALSE)</f>
        <v>1</v>
      </c>
      <c r="Z4" s="504">
        <f>VLOOKUP(Таблица3[[#This Row],[№ акта]],$AJ$1:$BJ$691,21,FALSE)</f>
        <v>46176</v>
      </c>
      <c r="AA4" s="504"/>
      <c r="AB4" s="504" t="str">
        <f>IF(VLOOKUP(Таблица3[[#This Row],[№ акта]],$AJ$1:$BJ$691,23,FALSE)&lt;&gt;0,VLOOKUP(Таблица3[[#This Row],[№ акта]],$AJ$1:$BJ$691,23,FALSE),"-")</f>
        <v>-</v>
      </c>
      <c r="AC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4" s="506" t="s">
        <v>2940</v>
      </c>
      <c r="AE4" s="505">
        <v>16</v>
      </c>
      <c r="AF4" s="507">
        <v>46176</v>
      </c>
      <c r="AG4" s="505">
        <v>3</v>
      </c>
      <c r="AH4" s="505">
        <f>IFERROR(VLOOKUP(Таблица3[[#This Row],[№ акта]],'Степень зрелости 2026'!$H$12:$I$800,2,FALSE),)</f>
        <v>50</v>
      </c>
      <c r="AJ4" s="508">
        <v>16</v>
      </c>
      <c r="AK4" s="509">
        <v>46176</v>
      </c>
      <c r="AL4" s="508">
        <v>43</v>
      </c>
      <c r="AO4" s="508">
        <v>13610</v>
      </c>
      <c r="AP4" s="508">
        <v>10683.9</v>
      </c>
      <c r="AQ4" s="508" t="s">
        <v>2939</v>
      </c>
      <c r="AR4" s="508" t="s">
        <v>782</v>
      </c>
      <c r="AS4" s="508" t="s">
        <v>2935</v>
      </c>
      <c r="AT4" s="508" t="s">
        <v>212</v>
      </c>
      <c r="AV4" s="508" t="s">
        <v>2965</v>
      </c>
      <c r="AX4" s="508" t="s">
        <v>2935</v>
      </c>
      <c r="AY4" s="508" t="s">
        <v>782</v>
      </c>
      <c r="AZ4" s="508">
        <v>2.6</v>
      </c>
      <c r="BA4" s="508" t="s">
        <v>46</v>
      </c>
      <c r="BB4" s="508" t="s">
        <v>19</v>
      </c>
      <c r="BC4" s="508">
        <v>1</v>
      </c>
      <c r="BD4" s="509">
        <v>46176</v>
      </c>
      <c r="BG4" s="508" t="s">
        <v>3557</v>
      </c>
      <c r="BH4" s="508" t="s">
        <v>2940</v>
      </c>
      <c r="BI4" s="508">
        <v>3</v>
      </c>
      <c r="BJ4" s="508">
        <v>50</v>
      </c>
    </row>
    <row r="5" spans="1:62" s="508" customFormat="1" ht="14.25" hidden="1" customHeight="1" x14ac:dyDescent="0.2">
      <c r="A5" s="495" t="s">
        <v>102</v>
      </c>
      <c r="B5" s="496"/>
      <c r="C5" s="497">
        <f>Таблица3[[#This Row],[Степень зрелости вспом]]</f>
        <v>54</v>
      </c>
      <c r="D5" s="498">
        <v>48</v>
      </c>
      <c r="E5" s="499"/>
      <c r="F5" s="496"/>
      <c r="G5" s="496">
        <v>13740</v>
      </c>
      <c r="H5" s="500"/>
      <c r="I5" s="496">
        <v>10648.5</v>
      </c>
      <c r="J5" s="495" t="s">
        <v>2939</v>
      </c>
      <c r="K5" s="495" t="s">
        <v>782</v>
      </c>
      <c r="L5" s="495" t="s">
        <v>2935</v>
      </c>
      <c r="M5" s="495" t="s">
        <v>335</v>
      </c>
      <c r="N5" s="495"/>
      <c r="O5" s="495"/>
      <c r="P5" s="495"/>
      <c r="Q5" s="495"/>
      <c r="R5" s="501" t="s">
        <v>339</v>
      </c>
      <c r="S5" s="495"/>
      <c r="T5" s="482" t="str">
        <f>VLOOKUP(Таблица3[[#This Row],[№ акта]],$AJ$1:$BJ$691,15,FALSE)</f>
        <v>А-4/1</v>
      </c>
      <c r="U5" s="482" t="str">
        <f>VLOOKUP(Таблица3[[#This Row],[№ акта]],$AJ$1:$BJ$691,16,FALSE)</f>
        <v>Тиара</v>
      </c>
      <c r="V5" s="502">
        <f>VLOOKUP(Таблица3[[#This Row],[№ акта]],$AJ$1:$BJ$691,17,FALSE)</f>
        <v>2.6</v>
      </c>
      <c r="W5" s="502" t="str">
        <f>VLOOKUP(Таблица3[[#This Row],[№ акта]],$AJ$1:$BJ$691,18,FALSE)</f>
        <v>ГРК (богара)</v>
      </c>
      <c r="X5" s="502" t="str">
        <f>VLOOKUP(Таблица3[[#This Row],[№ акта]],$AJ$1:$BJ$691,19,FALSE)</f>
        <v>богара</v>
      </c>
      <c r="Y5" s="503">
        <f>VLOOKUP(Таблица3[[#This Row],[№ акта]],$AJ$1:$BJ$691,20,FALSE)</f>
        <v>1</v>
      </c>
      <c r="Z5" s="504">
        <f>VLOOKUP(Таблица3[[#This Row],[№ акта]],$AJ$1:$BJ$691,21,FALSE)</f>
        <v>46176</v>
      </c>
      <c r="AA5" s="504"/>
      <c r="AB5" s="504" t="str">
        <f>IF(VLOOKUP(Таблица3[[#This Row],[№ акта]],$AJ$1:$BJ$691,23,FALSE)&lt;&gt;0,VLOOKUP(Таблица3[[#This Row],[№ акта]],$AJ$1:$BJ$691,23,FALSE),"-")</f>
        <v>-</v>
      </c>
      <c r="AC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" s="506" t="s">
        <v>2940</v>
      </c>
      <c r="AE5" s="505">
        <v>17</v>
      </c>
      <c r="AF5" s="507">
        <v>46176</v>
      </c>
      <c r="AG5" s="505">
        <v>4</v>
      </c>
      <c r="AH5" s="505">
        <f>IFERROR(VLOOKUP(Таблица3[[#This Row],[№ акта]],'Степень зрелости 2026'!$H$12:$I$800,2,FALSE),)</f>
        <v>54</v>
      </c>
      <c r="AJ5" s="508">
        <v>17</v>
      </c>
      <c r="AK5" s="509">
        <v>46176</v>
      </c>
      <c r="AL5" s="508">
        <v>48</v>
      </c>
      <c r="AO5" s="508">
        <v>13740</v>
      </c>
      <c r="AP5" s="508">
        <v>10648.5</v>
      </c>
      <c r="AQ5" s="508" t="s">
        <v>2939</v>
      </c>
      <c r="AR5" s="508" t="s">
        <v>782</v>
      </c>
      <c r="AS5" s="508" t="s">
        <v>2935</v>
      </c>
      <c r="AT5" s="508" t="s">
        <v>335</v>
      </c>
      <c r="AV5" s="508" t="s">
        <v>339</v>
      </c>
      <c r="AX5" s="508" t="s">
        <v>2935</v>
      </c>
      <c r="AY5" s="508" t="s">
        <v>782</v>
      </c>
      <c r="AZ5" s="508">
        <v>2.6</v>
      </c>
      <c r="BA5" s="508" t="s">
        <v>46</v>
      </c>
      <c r="BB5" s="508" t="s">
        <v>19</v>
      </c>
      <c r="BC5" s="508">
        <v>1</v>
      </c>
      <c r="BD5" s="509">
        <v>46176</v>
      </c>
      <c r="BG5" s="508" t="s">
        <v>724</v>
      </c>
      <c r="BH5" s="508" t="s">
        <v>2940</v>
      </c>
      <c r="BI5" s="508">
        <v>4</v>
      </c>
      <c r="BJ5" s="508">
        <v>54</v>
      </c>
    </row>
    <row r="6" spans="1:62" s="508" customFormat="1" ht="14.25" hidden="1" customHeight="1" x14ac:dyDescent="0.2">
      <c r="A6" s="495" t="s">
        <v>102</v>
      </c>
      <c r="B6" s="496"/>
      <c r="C6" s="497">
        <f>Таблица3[[#This Row],[Степень зрелости вспом]]</f>
        <v>53</v>
      </c>
      <c r="D6" s="498">
        <v>49</v>
      </c>
      <c r="E6" s="499"/>
      <c r="F6" s="496"/>
      <c r="G6" s="496">
        <v>13660</v>
      </c>
      <c r="H6" s="500"/>
      <c r="I6" s="496">
        <v>10996.3</v>
      </c>
      <c r="J6" s="495" t="s">
        <v>2939</v>
      </c>
      <c r="K6" s="495" t="s">
        <v>782</v>
      </c>
      <c r="L6" s="495" t="s">
        <v>2935</v>
      </c>
      <c r="M6" s="495" t="s">
        <v>212</v>
      </c>
      <c r="N6" s="495"/>
      <c r="O6" s="495"/>
      <c r="P6" s="495"/>
      <c r="Q6" s="495"/>
      <c r="R6" s="501" t="s">
        <v>2965</v>
      </c>
      <c r="S6" s="495"/>
      <c r="T6" s="482" t="str">
        <f>VLOOKUP(Таблица3[[#This Row],[№ акта]],$AJ$1:$BJ$691,15,FALSE)</f>
        <v>А-4/1</v>
      </c>
      <c r="U6" s="482" t="str">
        <f>VLOOKUP(Таблица3[[#This Row],[№ акта]],$AJ$1:$BJ$691,16,FALSE)</f>
        <v>Тиара</v>
      </c>
      <c r="V6" s="502">
        <f>VLOOKUP(Таблица3[[#This Row],[№ акта]],$AJ$1:$BJ$691,17,FALSE)</f>
        <v>2.6</v>
      </c>
      <c r="W6" s="502" t="str">
        <f>VLOOKUP(Таблица3[[#This Row],[№ акта]],$AJ$1:$BJ$691,18,FALSE)</f>
        <v>ГРК (богара)</v>
      </c>
      <c r="X6" s="502" t="str">
        <f>VLOOKUP(Таблица3[[#This Row],[№ акта]],$AJ$1:$BJ$691,19,FALSE)</f>
        <v>богара</v>
      </c>
      <c r="Y6" s="503">
        <f>VLOOKUP(Таблица3[[#This Row],[№ акта]],$AJ$1:$BJ$691,20,FALSE)</f>
        <v>1</v>
      </c>
      <c r="Z6" s="504">
        <f>VLOOKUP(Таблица3[[#This Row],[№ акта]],$AJ$1:$BJ$691,21,FALSE)</f>
        <v>46176</v>
      </c>
      <c r="AA6" s="504"/>
      <c r="AB6" s="504" t="str">
        <f>IF(VLOOKUP(Таблица3[[#This Row],[№ акта]],$AJ$1:$BJ$691,23,FALSE)&lt;&gt;0,VLOOKUP(Таблица3[[#This Row],[№ акта]],$AJ$1:$BJ$691,23,FALSE),"-")</f>
        <v>-</v>
      </c>
      <c r="AC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" s="506" t="s">
        <v>2940</v>
      </c>
      <c r="AE6" s="505">
        <v>18</v>
      </c>
      <c r="AF6" s="507">
        <v>46176</v>
      </c>
      <c r="AG6" s="505">
        <v>5</v>
      </c>
      <c r="AH6" s="505">
        <f>IFERROR(VLOOKUP(Таблица3[[#This Row],[№ акта]],'Степень зрелости 2026'!$H$12:$I$800,2,FALSE),)</f>
        <v>53</v>
      </c>
      <c r="AJ6" s="508">
        <v>18</v>
      </c>
      <c r="AK6" s="509">
        <v>46176</v>
      </c>
      <c r="AL6" s="508">
        <v>49</v>
      </c>
      <c r="AO6" s="508">
        <v>13660</v>
      </c>
      <c r="AP6" s="508">
        <v>10996.3</v>
      </c>
      <c r="AQ6" s="508" t="s">
        <v>2939</v>
      </c>
      <c r="AR6" s="508" t="s">
        <v>782</v>
      </c>
      <c r="AS6" s="508" t="s">
        <v>2935</v>
      </c>
      <c r="AT6" s="508" t="s">
        <v>212</v>
      </c>
      <c r="AV6" s="508" t="s">
        <v>2965</v>
      </c>
      <c r="AX6" s="508" t="s">
        <v>2935</v>
      </c>
      <c r="AY6" s="508" t="s">
        <v>782</v>
      </c>
      <c r="AZ6" s="508">
        <v>2.6</v>
      </c>
      <c r="BA6" s="508" t="s">
        <v>46</v>
      </c>
      <c r="BB6" s="508" t="s">
        <v>19</v>
      </c>
      <c r="BC6" s="508">
        <v>1</v>
      </c>
      <c r="BD6" s="509">
        <v>46176</v>
      </c>
      <c r="BG6" s="508" t="s">
        <v>724</v>
      </c>
      <c r="BH6" s="508" t="s">
        <v>2940</v>
      </c>
      <c r="BI6" s="508">
        <v>5</v>
      </c>
      <c r="BJ6" s="508">
        <v>53</v>
      </c>
    </row>
    <row r="7" spans="1:62" s="508" customFormat="1" ht="14.25" hidden="1" customHeight="1" x14ac:dyDescent="0.2">
      <c r="A7" s="495" t="s">
        <v>102</v>
      </c>
      <c r="B7" s="496"/>
      <c r="C7" s="497">
        <f>Таблица3[[#This Row],[Степень зрелости вспом]]</f>
        <v>53</v>
      </c>
      <c r="D7" s="498">
        <v>50</v>
      </c>
      <c r="E7" s="499"/>
      <c r="F7" s="496"/>
      <c r="G7" s="496">
        <v>13390</v>
      </c>
      <c r="H7" s="500"/>
      <c r="I7" s="496">
        <v>10645.1</v>
      </c>
      <c r="J7" s="495" t="s">
        <v>2939</v>
      </c>
      <c r="K7" s="495" t="s">
        <v>782</v>
      </c>
      <c r="L7" s="495" t="s">
        <v>2935</v>
      </c>
      <c r="M7" s="495" t="s">
        <v>239</v>
      </c>
      <c r="N7" s="495"/>
      <c r="O7" s="495"/>
      <c r="P7" s="495"/>
      <c r="Q7" s="495"/>
      <c r="R7" s="501" t="s">
        <v>243</v>
      </c>
      <c r="S7" s="495"/>
      <c r="T7" s="482" t="str">
        <f>VLOOKUP(Таблица3[[#This Row],[№ акта]],$AJ$1:$BJ$691,15,FALSE)</f>
        <v>А-4/1</v>
      </c>
      <c r="U7" s="482" t="str">
        <f>VLOOKUP(Таблица3[[#This Row],[№ акта]],$AJ$1:$BJ$691,16,FALSE)</f>
        <v>Тиара</v>
      </c>
      <c r="V7" s="502">
        <f>VLOOKUP(Таблица3[[#This Row],[№ акта]],$AJ$1:$BJ$691,17,FALSE)</f>
        <v>2.5</v>
      </c>
      <c r="W7" s="502" t="str">
        <f>VLOOKUP(Таблица3[[#This Row],[№ акта]],$AJ$1:$BJ$691,18,FALSE)</f>
        <v>ГРК (богара)</v>
      </c>
      <c r="X7" s="502" t="str">
        <f>VLOOKUP(Таблица3[[#This Row],[№ акта]],$AJ$1:$BJ$691,19,FALSE)</f>
        <v>богара</v>
      </c>
      <c r="Y7" s="503">
        <f>VLOOKUP(Таблица3[[#This Row],[№ акта]],$AJ$1:$BJ$691,20,FALSE)</f>
        <v>1</v>
      </c>
      <c r="Z7" s="504">
        <f>VLOOKUP(Таблица3[[#This Row],[№ акта]],$AJ$1:$BJ$691,21,FALSE)</f>
        <v>46176</v>
      </c>
      <c r="AA7" s="504"/>
      <c r="AB7" s="504" t="str">
        <f>IF(VLOOKUP(Таблица3[[#This Row],[№ акта]],$AJ$1:$BJ$691,23,FALSE)&lt;&gt;0,VLOOKUP(Таблица3[[#This Row],[№ акта]],$AJ$1:$BJ$691,23,FALSE),"-")</f>
        <v>-</v>
      </c>
      <c r="AC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7" s="506" t="s">
        <v>2940</v>
      </c>
      <c r="AE7" s="505">
        <v>19</v>
      </c>
      <c r="AF7" s="507">
        <v>46176</v>
      </c>
      <c r="AG7" s="505">
        <v>6</v>
      </c>
      <c r="AH7" s="505">
        <f>IFERROR(VLOOKUP(Таблица3[[#This Row],[№ акта]],'Степень зрелости 2026'!$H$12:$I$800,2,FALSE),)</f>
        <v>53</v>
      </c>
      <c r="AJ7" s="508">
        <v>19</v>
      </c>
      <c r="AK7" s="509">
        <v>46176</v>
      </c>
      <c r="AL7" s="508">
        <v>50</v>
      </c>
      <c r="AO7" s="508">
        <v>13390</v>
      </c>
      <c r="AP7" s="508">
        <v>10645.1</v>
      </c>
      <c r="AQ7" s="508" t="s">
        <v>2939</v>
      </c>
      <c r="AR7" s="508" t="s">
        <v>782</v>
      </c>
      <c r="AS7" s="508" t="s">
        <v>2935</v>
      </c>
      <c r="AT7" s="508" t="s">
        <v>239</v>
      </c>
      <c r="AV7" s="508" t="s">
        <v>243</v>
      </c>
      <c r="AX7" s="508" t="s">
        <v>2935</v>
      </c>
      <c r="AY7" s="508" t="s">
        <v>782</v>
      </c>
      <c r="AZ7" s="508">
        <v>2.5</v>
      </c>
      <c r="BA7" s="508" t="s">
        <v>46</v>
      </c>
      <c r="BB7" s="508" t="s">
        <v>19</v>
      </c>
      <c r="BC7" s="508">
        <v>1</v>
      </c>
      <c r="BD7" s="509">
        <v>46176</v>
      </c>
      <c r="BG7" s="508" t="s">
        <v>724</v>
      </c>
      <c r="BH7" s="508" t="s">
        <v>2940</v>
      </c>
      <c r="BI7" s="508">
        <v>6</v>
      </c>
      <c r="BJ7" s="508">
        <v>53</v>
      </c>
    </row>
    <row r="8" spans="1:62" s="508" customFormat="1" ht="14.25" hidden="1" customHeight="1" x14ac:dyDescent="0.2">
      <c r="A8" s="495" t="s">
        <v>102</v>
      </c>
      <c r="B8" s="496"/>
      <c r="C8" s="497">
        <f>Таблица3[[#This Row],[Степень зрелости вспом]]</f>
        <v>52</v>
      </c>
      <c r="D8" s="498">
        <v>51</v>
      </c>
      <c r="E8" s="499"/>
      <c r="F8" s="496"/>
      <c r="G8" s="496">
        <v>13720</v>
      </c>
      <c r="H8" s="500"/>
      <c r="I8" s="496">
        <v>10907.4</v>
      </c>
      <c r="J8" s="495" t="s">
        <v>2939</v>
      </c>
      <c r="K8" s="495" t="s">
        <v>782</v>
      </c>
      <c r="L8" s="495" t="s">
        <v>2935</v>
      </c>
      <c r="M8" s="495" t="s">
        <v>335</v>
      </c>
      <c r="N8" s="495"/>
      <c r="O8" s="495"/>
      <c r="P8" s="495"/>
      <c r="Q8" s="495"/>
      <c r="R8" s="501" t="s">
        <v>339</v>
      </c>
      <c r="S8" s="495"/>
      <c r="T8" s="482" t="str">
        <f>VLOOKUP(Таблица3[[#This Row],[№ акта]],$AJ$1:$BJ$691,15,FALSE)</f>
        <v>А-4/1</v>
      </c>
      <c r="U8" s="482" t="str">
        <f>VLOOKUP(Таблица3[[#This Row],[№ акта]],$AJ$1:$BJ$691,16,FALSE)</f>
        <v>Тиара</v>
      </c>
      <c r="V8" s="502">
        <f>VLOOKUP(Таблица3[[#This Row],[№ акта]],$AJ$1:$BJ$691,17,FALSE)</f>
        <v>2.6</v>
      </c>
      <c r="W8" s="502" t="str">
        <f>VLOOKUP(Таблица3[[#This Row],[№ акта]],$AJ$1:$BJ$691,18,FALSE)</f>
        <v>ГРК (богара)</v>
      </c>
      <c r="X8" s="502" t="str">
        <f>VLOOKUP(Таблица3[[#This Row],[№ акта]],$AJ$1:$BJ$691,19,FALSE)</f>
        <v>богара</v>
      </c>
      <c r="Y8" s="503">
        <f>VLOOKUP(Таблица3[[#This Row],[№ акта]],$AJ$1:$BJ$691,20,FALSE)</f>
        <v>1</v>
      </c>
      <c r="Z8" s="504">
        <f>VLOOKUP(Таблица3[[#This Row],[№ акта]],$AJ$1:$BJ$691,21,FALSE)</f>
        <v>46176</v>
      </c>
      <c r="AA8" s="504"/>
      <c r="AB8" s="504" t="str">
        <f>IF(VLOOKUP(Таблица3[[#This Row],[№ акта]],$AJ$1:$BJ$691,23,FALSE)&lt;&gt;0,VLOOKUP(Таблица3[[#This Row],[№ акта]],$AJ$1:$BJ$691,23,FALSE),"-")</f>
        <v>-</v>
      </c>
      <c r="AC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8" s="506" t="s">
        <v>2940</v>
      </c>
      <c r="AE8" s="505">
        <v>20</v>
      </c>
      <c r="AF8" s="507">
        <v>46176</v>
      </c>
      <c r="AG8" s="505">
        <v>7</v>
      </c>
      <c r="AH8" s="505">
        <f>IFERROR(VLOOKUP(Таблица3[[#This Row],[№ акта]],'Степень зрелости 2026'!$H$12:$I$800,2,FALSE),)</f>
        <v>52</v>
      </c>
      <c r="AJ8" s="508">
        <v>20</v>
      </c>
      <c r="AK8" s="509">
        <v>46176</v>
      </c>
      <c r="AL8" s="508">
        <v>51</v>
      </c>
      <c r="AO8" s="508">
        <v>13720</v>
      </c>
      <c r="AP8" s="508">
        <v>10907.4</v>
      </c>
      <c r="AQ8" s="508" t="s">
        <v>2939</v>
      </c>
      <c r="AR8" s="508" t="s">
        <v>782</v>
      </c>
      <c r="AS8" s="508" t="s">
        <v>2935</v>
      </c>
      <c r="AT8" s="508" t="s">
        <v>335</v>
      </c>
      <c r="AV8" s="508" t="s">
        <v>339</v>
      </c>
      <c r="AX8" s="508" t="s">
        <v>2935</v>
      </c>
      <c r="AY8" s="508" t="s">
        <v>782</v>
      </c>
      <c r="AZ8" s="508">
        <v>2.6</v>
      </c>
      <c r="BA8" s="508" t="s">
        <v>46</v>
      </c>
      <c r="BB8" s="508" t="s">
        <v>19</v>
      </c>
      <c r="BC8" s="508">
        <v>1</v>
      </c>
      <c r="BD8" s="509">
        <v>46176</v>
      </c>
      <c r="BG8" s="508" t="s">
        <v>3557</v>
      </c>
      <c r="BH8" s="508" t="s">
        <v>2940</v>
      </c>
      <c r="BI8" s="508">
        <v>7</v>
      </c>
      <c r="BJ8" s="508">
        <v>52</v>
      </c>
    </row>
    <row r="9" spans="1:62" s="508" customFormat="1" ht="14.25" hidden="1" customHeight="1" x14ac:dyDescent="0.2">
      <c r="A9" s="495" t="s">
        <v>102</v>
      </c>
      <c r="B9" s="496"/>
      <c r="C9" s="497">
        <f>Таблица3[[#This Row],[Степень зрелости вспом]]</f>
        <v>52</v>
      </c>
      <c r="D9" s="498">
        <v>52</v>
      </c>
      <c r="E9" s="499"/>
      <c r="F9" s="496"/>
      <c r="G9" s="496">
        <v>13740</v>
      </c>
      <c r="H9" s="500"/>
      <c r="I9" s="496">
        <v>11060.7</v>
      </c>
      <c r="J9" s="495" t="s">
        <v>2939</v>
      </c>
      <c r="K9" s="495" t="s">
        <v>782</v>
      </c>
      <c r="L9" s="495" t="s">
        <v>2935</v>
      </c>
      <c r="M9" s="495" t="s">
        <v>212</v>
      </c>
      <c r="N9" s="495"/>
      <c r="O9" s="495"/>
      <c r="P9" s="495"/>
      <c r="Q9" s="495"/>
      <c r="R9" s="501" t="s">
        <v>2965</v>
      </c>
      <c r="S9" s="495"/>
      <c r="T9" s="482" t="str">
        <f>VLOOKUP(Таблица3[[#This Row],[№ акта]],$AJ$1:$BJ$691,15,FALSE)</f>
        <v>А-4/1</v>
      </c>
      <c r="U9" s="482" t="str">
        <f>VLOOKUP(Таблица3[[#This Row],[№ акта]],$AJ$1:$BJ$691,16,FALSE)</f>
        <v>Тиара</v>
      </c>
      <c r="V9" s="502">
        <f>VLOOKUP(Таблица3[[#This Row],[№ акта]],$AJ$1:$BJ$691,17,FALSE)</f>
        <v>2.6</v>
      </c>
      <c r="W9" s="502" t="str">
        <f>VLOOKUP(Таблица3[[#This Row],[№ акта]],$AJ$1:$BJ$691,18,FALSE)</f>
        <v>ГРК (богара)</v>
      </c>
      <c r="X9" s="502" t="str">
        <f>VLOOKUP(Таблица3[[#This Row],[№ акта]],$AJ$1:$BJ$691,19,FALSE)</f>
        <v>богара</v>
      </c>
      <c r="Y9" s="503">
        <f>VLOOKUP(Таблица3[[#This Row],[№ акта]],$AJ$1:$BJ$691,20,FALSE)</f>
        <v>1</v>
      </c>
      <c r="Z9" s="504">
        <f>VLOOKUP(Таблица3[[#This Row],[№ акта]],$AJ$1:$BJ$691,21,FALSE)</f>
        <v>46176</v>
      </c>
      <c r="AA9" s="504"/>
      <c r="AB9" s="504" t="str">
        <f>IF(VLOOKUP(Таблица3[[#This Row],[№ акта]],$AJ$1:$BJ$691,23,FALSE)&lt;&gt;0,VLOOKUP(Таблица3[[#This Row],[№ акта]],$AJ$1:$BJ$691,23,FALSE),"-")</f>
        <v>-</v>
      </c>
      <c r="AC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9" s="506" t="s">
        <v>2940</v>
      </c>
      <c r="AE9" s="505">
        <v>21</v>
      </c>
      <c r="AF9" s="507">
        <v>46176</v>
      </c>
      <c r="AG9" s="505">
        <v>8</v>
      </c>
      <c r="AH9" s="505">
        <f>IFERROR(VLOOKUP(Таблица3[[#This Row],[№ акта]],'Степень зрелости 2026'!$H$12:$I$800,2,FALSE),)</f>
        <v>52</v>
      </c>
      <c r="AJ9" s="508">
        <v>21</v>
      </c>
      <c r="AK9" s="509">
        <v>46176</v>
      </c>
      <c r="AL9" s="508">
        <v>52</v>
      </c>
      <c r="AO9" s="508">
        <v>13740</v>
      </c>
      <c r="AP9" s="508">
        <v>11060.7</v>
      </c>
      <c r="AQ9" s="508" t="s">
        <v>2939</v>
      </c>
      <c r="AR9" s="508" t="s">
        <v>782</v>
      </c>
      <c r="AS9" s="508" t="s">
        <v>2935</v>
      </c>
      <c r="AT9" s="508" t="s">
        <v>212</v>
      </c>
      <c r="AV9" s="508" t="s">
        <v>2965</v>
      </c>
      <c r="AX9" s="508" t="s">
        <v>2935</v>
      </c>
      <c r="AY9" s="508" t="s">
        <v>782</v>
      </c>
      <c r="AZ9" s="508">
        <v>2.6</v>
      </c>
      <c r="BA9" s="508" t="s">
        <v>46</v>
      </c>
      <c r="BB9" s="508" t="s">
        <v>19</v>
      </c>
      <c r="BC9" s="508">
        <v>1</v>
      </c>
      <c r="BD9" s="509">
        <v>46176</v>
      </c>
      <c r="BG9" s="508" t="s">
        <v>3557</v>
      </c>
      <c r="BH9" s="508" t="s">
        <v>2940</v>
      </c>
      <c r="BI9" s="508">
        <v>8</v>
      </c>
      <c r="BJ9" s="508">
        <v>52</v>
      </c>
    </row>
    <row r="10" spans="1:62" s="508" customFormat="1" ht="14.25" hidden="1" customHeight="1" x14ac:dyDescent="0.2">
      <c r="A10" s="495" t="s">
        <v>102</v>
      </c>
      <c r="B10" s="496"/>
      <c r="C10" s="497">
        <f>Таблица3[[#This Row],[Степень зрелости вспом]]</f>
        <v>51</v>
      </c>
      <c r="D10" s="498">
        <v>53</v>
      </c>
      <c r="E10" s="499"/>
      <c r="F10" s="496"/>
      <c r="G10" s="496">
        <v>13260</v>
      </c>
      <c r="H10" s="500"/>
      <c r="I10" s="496">
        <v>10674.3</v>
      </c>
      <c r="J10" s="495" t="s">
        <v>2939</v>
      </c>
      <c r="K10" s="495" t="s">
        <v>782</v>
      </c>
      <c r="L10" s="495" t="s">
        <v>2935</v>
      </c>
      <c r="M10" s="495" t="s">
        <v>239</v>
      </c>
      <c r="N10" s="495"/>
      <c r="O10" s="495"/>
      <c r="P10" s="495"/>
      <c r="Q10" s="495"/>
      <c r="R10" s="501" t="s">
        <v>243</v>
      </c>
      <c r="S10" s="495"/>
      <c r="T10" s="482" t="str">
        <f>VLOOKUP(Таблица3[[#This Row],[№ акта]],$AJ$1:$BJ$691,15,FALSE)</f>
        <v>А-4/1</v>
      </c>
      <c r="U10" s="482" t="str">
        <f>VLOOKUP(Таблица3[[#This Row],[№ акта]],$AJ$1:$BJ$691,16,FALSE)</f>
        <v>Тиара</v>
      </c>
      <c r="V10" s="502">
        <f>VLOOKUP(Таблица3[[#This Row],[№ акта]],$AJ$1:$BJ$691,17,FALSE)</f>
        <v>2.5</v>
      </c>
      <c r="W10" s="502" t="str">
        <f>VLOOKUP(Таблица3[[#This Row],[№ акта]],$AJ$1:$BJ$691,18,FALSE)</f>
        <v>ГРК (богара)</v>
      </c>
      <c r="X10" s="502" t="str">
        <f>VLOOKUP(Таблица3[[#This Row],[№ акта]],$AJ$1:$BJ$691,19,FALSE)</f>
        <v>богара</v>
      </c>
      <c r="Y10" s="503">
        <f>VLOOKUP(Таблица3[[#This Row],[№ акта]],$AJ$1:$BJ$691,20,FALSE)</f>
        <v>1</v>
      </c>
      <c r="Z10" s="504">
        <f>VLOOKUP(Таблица3[[#This Row],[№ акта]],$AJ$1:$BJ$691,21,FALSE)</f>
        <v>46176</v>
      </c>
      <c r="AA10" s="504"/>
      <c r="AB10" s="504" t="str">
        <f>IF(VLOOKUP(Таблица3[[#This Row],[№ акта]],$AJ$1:$BJ$691,23,FALSE)&lt;&gt;0,VLOOKUP(Таблица3[[#This Row],[№ акта]],$AJ$1:$BJ$691,23,FALSE),"-")</f>
        <v>-</v>
      </c>
      <c r="AC1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10" s="506" t="s">
        <v>2940</v>
      </c>
      <c r="AE10" s="505">
        <v>22</v>
      </c>
      <c r="AF10" s="507">
        <v>46177</v>
      </c>
      <c r="AG10" s="505">
        <v>9</v>
      </c>
      <c r="AH10" s="505">
        <f>IFERROR(VLOOKUP(Таблица3[[#This Row],[№ акта]],'Степень зрелости 2026'!$H$12:$I$800,2,FALSE),)</f>
        <v>51</v>
      </c>
      <c r="AJ10" s="508">
        <v>22</v>
      </c>
      <c r="AK10" s="509">
        <v>46177</v>
      </c>
      <c r="AL10" s="508">
        <v>53</v>
      </c>
      <c r="AO10" s="508">
        <v>13260</v>
      </c>
      <c r="AP10" s="508">
        <v>10674.3</v>
      </c>
      <c r="AQ10" s="508" t="s">
        <v>2939</v>
      </c>
      <c r="AR10" s="508" t="s">
        <v>782</v>
      </c>
      <c r="AS10" s="508" t="s">
        <v>2935</v>
      </c>
      <c r="AT10" s="508" t="s">
        <v>239</v>
      </c>
      <c r="AV10" s="508" t="s">
        <v>243</v>
      </c>
      <c r="AX10" s="508" t="s">
        <v>2935</v>
      </c>
      <c r="AY10" s="508" t="s">
        <v>782</v>
      </c>
      <c r="AZ10" s="508">
        <v>2.5</v>
      </c>
      <c r="BA10" s="508" t="s">
        <v>46</v>
      </c>
      <c r="BB10" s="508" t="s">
        <v>19</v>
      </c>
      <c r="BC10" s="508">
        <v>1</v>
      </c>
      <c r="BD10" s="509">
        <v>46176</v>
      </c>
      <c r="BG10" s="508" t="s">
        <v>3557</v>
      </c>
      <c r="BH10" s="508" t="s">
        <v>2940</v>
      </c>
      <c r="BI10" s="508">
        <v>9</v>
      </c>
      <c r="BJ10" s="508">
        <v>51</v>
      </c>
    </row>
    <row r="11" spans="1:62" s="508" customFormat="1" ht="14.25" hidden="1" customHeight="1" x14ac:dyDescent="0.2">
      <c r="A11" s="495" t="s">
        <v>102</v>
      </c>
      <c r="B11" s="496"/>
      <c r="C11" s="497">
        <f>Таблица3[[#This Row],[Степень зрелости вспом]]</f>
        <v>53</v>
      </c>
      <c r="D11" s="498">
        <v>54</v>
      </c>
      <c r="E11" s="499"/>
      <c r="F11" s="496"/>
      <c r="G11" s="496">
        <v>13390</v>
      </c>
      <c r="H11" s="500"/>
      <c r="I11" s="496">
        <v>10779</v>
      </c>
      <c r="J11" s="495" t="s">
        <v>2939</v>
      </c>
      <c r="K11" s="495" t="s">
        <v>782</v>
      </c>
      <c r="L11" s="495" t="s">
        <v>2935</v>
      </c>
      <c r="M11" s="495" t="s">
        <v>335</v>
      </c>
      <c r="N11" s="495"/>
      <c r="O11" s="495"/>
      <c r="P11" s="495"/>
      <c r="Q11" s="495"/>
      <c r="R11" s="501" t="s">
        <v>339</v>
      </c>
      <c r="S11" s="495"/>
      <c r="T11" s="482" t="str">
        <f>VLOOKUP(Таблица3[[#This Row],[№ акта]],$AJ$1:$BJ$691,15,FALSE)</f>
        <v>А-4/1</v>
      </c>
      <c r="U11" s="482" t="str">
        <f>VLOOKUP(Таблица3[[#This Row],[№ акта]],$AJ$1:$BJ$691,16,FALSE)</f>
        <v>Тиара</v>
      </c>
      <c r="V11" s="502">
        <f>VLOOKUP(Таблица3[[#This Row],[№ акта]],$AJ$1:$BJ$691,17,FALSE)</f>
        <v>2.5</v>
      </c>
      <c r="W11" s="502" t="str">
        <f>VLOOKUP(Таблица3[[#This Row],[№ акта]],$AJ$1:$BJ$691,18,FALSE)</f>
        <v>ГРК (богара)</v>
      </c>
      <c r="X11" s="502" t="str">
        <f>VLOOKUP(Таблица3[[#This Row],[№ акта]],$AJ$1:$BJ$691,19,FALSE)</f>
        <v>богара</v>
      </c>
      <c r="Y11" s="503">
        <f>VLOOKUP(Таблица3[[#This Row],[№ акта]],$AJ$1:$BJ$691,20,FALSE)</f>
        <v>1</v>
      </c>
      <c r="Z11" s="504">
        <f>VLOOKUP(Таблица3[[#This Row],[№ акта]],$AJ$1:$BJ$691,21,FALSE)</f>
        <v>46176</v>
      </c>
      <c r="AA11" s="504"/>
      <c r="AB11" s="504" t="str">
        <f>IF(VLOOKUP(Таблица3[[#This Row],[№ акта]],$AJ$1:$BJ$691,23,FALSE)&lt;&gt;0,VLOOKUP(Таблица3[[#This Row],[№ акта]],$AJ$1:$BJ$691,23,FALSE),"-")</f>
        <v>-</v>
      </c>
      <c r="AC1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1" s="506" t="s">
        <v>2940</v>
      </c>
      <c r="AE11" s="505">
        <v>23</v>
      </c>
      <c r="AF11" s="507">
        <v>46177</v>
      </c>
      <c r="AG11" s="505">
        <v>10</v>
      </c>
      <c r="AH11" s="505">
        <f>IFERROR(VLOOKUP(Таблица3[[#This Row],[№ акта]],'Степень зрелости 2026'!$H$12:$I$800,2,FALSE),)</f>
        <v>53</v>
      </c>
      <c r="AJ11" s="508">
        <v>23</v>
      </c>
      <c r="AK11" s="509">
        <v>46177</v>
      </c>
      <c r="AL11" s="508">
        <v>54</v>
      </c>
      <c r="AO11" s="508">
        <v>13390</v>
      </c>
      <c r="AP11" s="508">
        <v>10779</v>
      </c>
      <c r="AQ11" s="508" t="s">
        <v>2939</v>
      </c>
      <c r="AR11" s="508" t="s">
        <v>782</v>
      </c>
      <c r="AS11" s="508" t="s">
        <v>2935</v>
      </c>
      <c r="AT11" s="508" t="s">
        <v>335</v>
      </c>
      <c r="AV11" s="508" t="s">
        <v>339</v>
      </c>
      <c r="AX11" s="508" t="s">
        <v>2935</v>
      </c>
      <c r="AY11" s="508" t="s">
        <v>782</v>
      </c>
      <c r="AZ11" s="508">
        <v>2.5</v>
      </c>
      <c r="BA11" s="508" t="s">
        <v>46</v>
      </c>
      <c r="BB11" s="508" t="s">
        <v>19</v>
      </c>
      <c r="BC11" s="508">
        <v>1</v>
      </c>
      <c r="BD11" s="509">
        <v>46176</v>
      </c>
      <c r="BG11" s="508" t="s">
        <v>724</v>
      </c>
      <c r="BH11" s="508" t="s">
        <v>2940</v>
      </c>
      <c r="BI11" s="508">
        <v>10</v>
      </c>
      <c r="BJ11" s="508">
        <v>53</v>
      </c>
    </row>
    <row r="12" spans="1:62" s="508" customFormat="1" ht="14.25" hidden="1" customHeight="1" x14ac:dyDescent="0.2">
      <c r="A12" s="495" t="s">
        <v>102</v>
      </c>
      <c r="B12" s="496"/>
      <c r="C12" s="497">
        <f>Таблица3[[#This Row],[Степень зрелости вспом]]</f>
        <v>55</v>
      </c>
      <c r="D12" s="498">
        <v>55</v>
      </c>
      <c r="E12" s="499"/>
      <c r="F12" s="496"/>
      <c r="G12" s="496">
        <v>13270</v>
      </c>
      <c r="H12" s="500"/>
      <c r="I12" s="496">
        <v>10815.1</v>
      </c>
      <c r="J12" s="495" t="s">
        <v>2939</v>
      </c>
      <c r="K12" s="495" t="s">
        <v>782</v>
      </c>
      <c r="L12" s="495" t="s">
        <v>2935</v>
      </c>
      <c r="M12" s="495" t="s">
        <v>212</v>
      </c>
      <c r="N12" s="495"/>
      <c r="O12" s="495"/>
      <c r="P12" s="495"/>
      <c r="Q12" s="495"/>
      <c r="R12" s="501" t="s">
        <v>2965</v>
      </c>
      <c r="S12" s="495"/>
      <c r="T12" s="482" t="str">
        <f>VLOOKUP(Таблица3[[#This Row],[№ акта]],$AJ$1:$BJ$691,15,FALSE)</f>
        <v>А-4/1</v>
      </c>
      <c r="U12" s="482" t="str">
        <f>VLOOKUP(Таблица3[[#This Row],[№ акта]],$AJ$1:$BJ$691,16,FALSE)</f>
        <v>Тиара</v>
      </c>
      <c r="V12" s="502">
        <f>VLOOKUP(Таблица3[[#This Row],[№ акта]],$AJ$1:$BJ$691,17,FALSE)</f>
        <v>2.5</v>
      </c>
      <c r="W12" s="502" t="str">
        <f>VLOOKUP(Таблица3[[#This Row],[№ акта]],$AJ$1:$BJ$691,18,FALSE)</f>
        <v>ГРК (богара)</v>
      </c>
      <c r="X12" s="502" t="str">
        <f>VLOOKUP(Таблица3[[#This Row],[№ акта]],$AJ$1:$BJ$691,19,FALSE)</f>
        <v>богара</v>
      </c>
      <c r="Y12" s="503">
        <f>VLOOKUP(Таблица3[[#This Row],[№ акта]],$AJ$1:$BJ$691,20,FALSE)</f>
        <v>1</v>
      </c>
      <c r="Z12" s="504">
        <f>VLOOKUP(Таблица3[[#This Row],[№ акта]],$AJ$1:$BJ$691,21,FALSE)</f>
        <v>46176</v>
      </c>
      <c r="AA12" s="504"/>
      <c r="AB12" s="504" t="str">
        <f>IF(VLOOKUP(Таблица3[[#This Row],[№ акта]],$AJ$1:$BJ$691,23,FALSE)&lt;&gt;0,VLOOKUP(Таблица3[[#This Row],[№ акта]],$AJ$1:$BJ$691,23,FALSE),"-")</f>
        <v>-</v>
      </c>
      <c r="AC1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2" s="506" t="s">
        <v>2940</v>
      </c>
      <c r="AE12" s="505">
        <v>24</v>
      </c>
      <c r="AF12" s="507">
        <v>46177</v>
      </c>
      <c r="AG12" s="505">
        <v>11</v>
      </c>
      <c r="AH12" s="505">
        <f>IFERROR(VLOOKUP(Таблица3[[#This Row],[№ акта]],'Степень зрелости 2026'!$H$12:$I$800,2,FALSE),)</f>
        <v>55</v>
      </c>
      <c r="AJ12" s="508">
        <v>24</v>
      </c>
      <c r="AK12" s="509">
        <v>46177</v>
      </c>
      <c r="AL12" s="508">
        <v>55</v>
      </c>
      <c r="AO12" s="508">
        <v>13270</v>
      </c>
      <c r="AP12" s="508">
        <v>10815.1</v>
      </c>
      <c r="AQ12" s="508" t="s">
        <v>2939</v>
      </c>
      <c r="AR12" s="508" t="s">
        <v>782</v>
      </c>
      <c r="AS12" s="508" t="s">
        <v>2935</v>
      </c>
      <c r="AT12" s="508" t="s">
        <v>212</v>
      </c>
      <c r="AV12" s="508" t="s">
        <v>2965</v>
      </c>
      <c r="AX12" s="508" t="s">
        <v>2935</v>
      </c>
      <c r="AY12" s="508" t="s">
        <v>782</v>
      </c>
      <c r="AZ12" s="508">
        <v>2.5</v>
      </c>
      <c r="BA12" s="508" t="s">
        <v>46</v>
      </c>
      <c r="BB12" s="508" t="s">
        <v>19</v>
      </c>
      <c r="BC12" s="508">
        <v>1</v>
      </c>
      <c r="BD12" s="509">
        <v>46176</v>
      </c>
      <c r="BG12" s="508" t="s">
        <v>724</v>
      </c>
      <c r="BH12" s="508" t="s">
        <v>2940</v>
      </c>
      <c r="BI12" s="508">
        <v>11</v>
      </c>
      <c r="BJ12" s="508">
        <v>55</v>
      </c>
    </row>
    <row r="13" spans="1:62" s="508" customFormat="1" ht="14.25" hidden="1" customHeight="1" x14ac:dyDescent="0.2">
      <c r="A13" s="495" t="s">
        <v>102</v>
      </c>
      <c r="B13" s="496"/>
      <c r="C13" s="497">
        <f>Таблица3[[#This Row],[Степень зрелости вспом]]</f>
        <v>50</v>
      </c>
      <c r="D13" s="498">
        <v>56</v>
      </c>
      <c r="E13" s="499"/>
      <c r="F13" s="496"/>
      <c r="G13" s="496">
        <v>13200</v>
      </c>
      <c r="H13" s="500"/>
      <c r="I13" s="496">
        <v>10362</v>
      </c>
      <c r="J13" s="495" t="s">
        <v>2939</v>
      </c>
      <c r="K13" s="495" t="s">
        <v>782</v>
      </c>
      <c r="L13" s="495" t="s">
        <v>2935</v>
      </c>
      <c r="M13" s="495" t="s">
        <v>239</v>
      </c>
      <c r="N13" s="495"/>
      <c r="O13" s="495"/>
      <c r="P13" s="495"/>
      <c r="Q13" s="495"/>
      <c r="R13" s="501" t="s">
        <v>243</v>
      </c>
      <c r="S13" s="495"/>
      <c r="T13" s="482" t="str">
        <f>VLOOKUP(Таблица3[[#This Row],[№ акта]],$AJ$1:$BJ$691,15,FALSE)</f>
        <v>А-4/1</v>
      </c>
      <c r="U13" s="482" t="str">
        <f>VLOOKUP(Таблица3[[#This Row],[№ акта]],$AJ$1:$BJ$691,16,FALSE)</f>
        <v>Тиара</v>
      </c>
      <c r="V13" s="502">
        <f>VLOOKUP(Таблица3[[#This Row],[№ акта]],$AJ$1:$BJ$691,17,FALSE)</f>
        <v>2.5</v>
      </c>
      <c r="W13" s="502" t="str">
        <f>VLOOKUP(Таблица3[[#This Row],[№ акта]],$AJ$1:$BJ$691,18,FALSE)</f>
        <v>ГРК (богара)</v>
      </c>
      <c r="X13" s="502" t="str">
        <f>VLOOKUP(Таблица3[[#This Row],[№ акта]],$AJ$1:$BJ$691,19,FALSE)</f>
        <v>богара</v>
      </c>
      <c r="Y13" s="503">
        <f>VLOOKUP(Таблица3[[#This Row],[№ акта]],$AJ$1:$BJ$691,20,FALSE)</f>
        <v>1</v>
      </c>
      <c r="Z13" s="504">
        <f>VLOOKUP(Таблица3[[#This Row],[№ акта]],$AJ$1:$BJ$691,21,FALSE)</f>
        <v>46176</v>
      </c>
      <c r="AA13" s="504"/>
      <c r="AB13" s="504" t="str">
        <f>IF(VLOOKUP(Таблица3[[#This Row],[№ акта]],$AJ$1:$BJ$691,23,FALSE)&lt;&gt;0,VLOOKUP(Таблица3[[#This Row],[№ акта]],$AJ$1:$BJ$691,23,FALSE),"-")</f>
        <v>-</v>
      </c>
      <c r="AC1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13" s="506" t="s">
        <v>2940</v>
      </c>
      <c r="AE13" s="505">
        <v>25</v>
      </c>
      <c r="AF13" s="507">
        <v>46177</v>
      </c>
      <c r="AG13" s="505">
        <v>12</v>
      </c>
      <c r="AH13" s="505">
        <f>IFERROR(VLOOKUP(Таблица3[[#This Row],[№ акта]],'Степень зрелости 2026'!$H$12:$I$800,2,FALSE),)</f>
        <v>50</v>
      </c>
      <c r="AJ13" s="508">
        <v>25</v>
      </c>
      <c r="AK13" s="509">
        <v>46177</v>
      </c>
      <c r="AL13" s="508">
        <v>56</v>
      </c>
      <c r="AO13" s="508">
        <v>13200</v>
      </c>
      <c r="AP13" s="508">
        <v>10362</v>
      </c>
      <c r="AQ13" s="508" t="s">
        <v>2939</v>
      </c>
      <c r="AR13" s="508" t="s">
        <v>782</v>
      </c>
      <c r="AS13" s="508" t="s">
        <v>2935</v>
      </c>
      <c r="AT13" s="508" t="s">
        <v>239</v>
      </c>
      <c r="AV13" s="508" t="s">
        <v>243</v>
      </c>
      <c r="AX13" s="508" t="s">
        <v>2935</v>
      </c>
      <c r="AY13" s="508" t="s">
        <v>782</v>
      </c>
      <c r="AZ13" s="508">
        <v>2.5</v>
      </c>
      <c r="BA13" s="508" t="s">
        <v>46</v>
      </c>
      <c r="BB13" s="508" t="s">
        <v>19</v>
      </c>
      <c r="BC13" s="508">
        <v>1</v>
      </c>
      <c r="BD13" s="509">
        <v>46176</v>
      </c>
      <c r="BG13" s="508" t="s">
        <v>3557</v>
      </c>
      <c r="BH13" s="508" t="s">
        <v>2940</v>
      </c>
      <c r="BI13" s="508">
        <v>12</v>
      </c>
      <c r="BJ13" s="508">
        <v>50</v>
      </c>
    </row>
    <row r="14" spans="1:62" s="508" customFormat="1" ht="14.25" hidden="1" customHeight="1" x14ac:dyDescent="0.2">
      <c r="A14" s="495" t="s">
        <v>102</v>
      </c>
      <c r="B14" s="496"/>
      <c r="C14" s="497">
        <f>Таблица3[[#This Row],[Степень зрелости вспом]]</f>
        <v>53</v>
      </c>
      <c r="D14" s="498">
        <v>58</v>
      </c>
      <c r="E14" s="499"/>
      <c r="F14" s="496"/>
      <c r="G14" s="496">
        <v>13030</v>
      </c>
      <c r="H14" s="500"/>
      <c r="I14" s="496">
        <v>10489.2</v>
      </c>
      <c r="J14" s="495" t="s">
        <v>2939</v>
      </c>
      <c r="K14" s="495" t="s">
        <v>782</v>
      </c>
      <c r="L14" s="495" t="s">
        <v>2935</v>
      </c>
      <c r="M14" s="495" t="s">
        <v>335</v>
      </c>
      <c r="N14" s="495"/>
      <c r="O14" s="495"/>
      <c r="P14" s="495"/>
      <c r="Q14" s="495"/>
      <c r="R14" s="501" t="s">
        <v>339</v>
      </c>
      <c r="S14" s="495"/>
      <c r="T14" s="482" t="str">
        <f>VLOOKUP(Таблица3[[#This Row],[№ акта]],$AJ$1:$BJ$691,15,FALSE)</f>
        <v>А-4/1</v>
      </c>
      <c r="U14" s="482" t="str">
        <f>VLOOKUP(Таблица3[[#This Row],[№ акта]],$AJ$1:$BJ$691,16,FALSE)</f>
        <v>Тиара</v>
      </c>
      <c r="V14" s="502">
        <f>VLOOKUP(Таблица3[[#This Row],[№ акта]],$AJ$1:$BJ$691,17,FALSE)</f>
        <v>2.4</v>
      </c>
      <c r="W14" s="502" t="str">
        <f>VLOOKUP(Таблица3[[#This Row],[№ акта]],$AJ$1:$BJ$691,18,FALSE)</f>
        <v>ГРК (богара)</v>
      </c>
      <c r="X14" s="502" t="str">
        <f>VLOOKUP(Таблица3[[#This Row],[№ акта]],$AJ$1:$BJ$691,19,FALSE)</f>
        <v>богара</v>
      </c>
      <c r="Y14" s="503">
        <f>VLOOKUP(Таблица3[[#This Row],[№ акта]],$AJ$1:$BJ$691,20,FALSE)</f>
        <v>1</v>
      </c>
      <c r="Z14" s="504">
        <f>VLOOKUP(Таблица3[[#This Row],[№ акта]],$AJ$1:$BJ$691,21,FALSE)</f>
        <v>46176</v>
      </c>
      <c r="AA14" s="504"/>
      <c r="AB14" s="504" t="str">
        <f>IF(VLOOKUP(Таблица3[[#This Row],[№ акта]],$AJ$1:$BJ$691,23,FALSE)&lt;&gt;0,VLOOKUP(Таблица3[[#This Row],[№ акта]],$AJ$1:$BJ$691,23,FALSE),"-")</f>
        <v>-</v>
      </c>
      <c r="AC1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4" s="506" t="s">
        <v>2940</v>
      </c>
      <c r="AE14" s="505">
        <v>26</v>
      </c>
      <c r="AF14" s="507">
        <v>46177</v>
      </c>
      <c r="AG14" s="505">
        <v>13</v>
      </c>
      <c r="AH14" s="505">
        <f>IFERROR(VLOOKUP(Таблица3[[#This Row],[№ акта]],'Степень зрелости 2026'!$H$12:$I$800,2,FALSE),)</f>
        <v>53</v>
      </c>
      <c r="AJ14" s="508">
        <v>26</v>
      </c>
      <c r="AK14" s="509">
        <v>46177</v>
      </c>
      <c r="AL14" s="508">
        <v>58</v>
      </c>
      <c r="AO14" s="508">
        <v>13030</v>
      </c>
      <c r="AP14" s="508">
        <v>10489.2</v>
      </c>
      <c r="AQ14" s="508" t="s">
        <v>2939</v>
      </c>
      <c r="AR14" s="508" t="s">
        <v>782</v>
      </c>
      <c r="AS14" s="508" t="s">
        <v>2935</v>
      </c>
      <c r="AT14" s="508" t="s">
        <v>335</v>
      </c>
      <c r="AV14" s="508" t="s">
        <v>339</v>
      </c>
      <c r="AX14" s="508" t="s">
        <v>2935</v>
      </c>
      <c r="AY14" s="508" t="s">
        <v>782</v>
      </c>
      <c r="AZ14" s="508">
        <v>2.4</v>
      </c>
      <c r="BA14" s="508" t="s">
        <v>46</v>
      </c>
      <c r="BB14" s="508" t="s">
        <v>19</v>
      </c>
      <c r="BC14" s="508">
        <v>1</v>
      </c>
      <c r="BD14" s="509">
        <v>46176</v>
      </c>
      <c r="BG14" s="508" t="s">
        <v>724</v>
      </c>
      <c r="BH14" s="508" t="s">
        <v>2940</v>
      </c>
      <c r="BI14" s="508">
        <v>13</v>
      </c>
      <c r="BJ14" s="508">
        <v>53</v>
      </c>
    </row>
    <row r="15" spans="1:62" s="508" customFormat="1" ht="14.25" hidden="1" customHeight="1" x14ac:dyDescent="0.2">
      <c r="A15" s="495" t="s">
        <v>102</v>
      </c>
      <c r="B15" s="496"/>
      <c r="C15" s="497">
        <f>Таблица3[[#This Row],[Степень зрелости вспом]]</f>
        <v>54</v>
      </c>
      <c r="D15" s="498">
        <v>59</v>
      </c>
      <c r="E15" s="499"/>
      <c r="F15" s="496"/>
      <c r="G15" s="496">
        <v>13760</v>
      </c>
      <c r="H15" s="500"/>
      <c r="I15" s="496">
        <v>10939.2</v>
      </c>
      <c r="J15" s="495" t="s">
        <v>2939</v>
      </c>
      <c r="K15" s="495" t="s">
        <v>782</v>
      </c>
      <c r="L15" s="495" t="s">
        <v>2935</v>
      </c>
      <c r="M15" s="495" t="s">
        <v>347</v>
      </c>
      <c r="N15" s="495"/>
      <c r="O15" s="495"/>
      <c r="P15" s="495"/>
      <c r="Q15" s="495"/>
      <c r="R15" s="501" t="s">
        <v>137</v>
      </c>
      <c r="S15" s="495"/>
      <c r="T15" s="482" t="str">
        <f>VLOOKUP(Таблица3[[#This Row],[№ акта]],$AJ$1:$BJ$691,15,FALSE)</f>
        <v>А-4/1</v>
      </c>
      <c r="U15" s="482" t="str">
        <f>VLOOKUP(Таблица3[[#This Row],[№ акта]],$AJ$1:$BJ$691,16,FALSE)</f>
        <v>Тиара</v>
      </c>
      <c r="V15" s="502">
        <f>VLOOKUP(Таблица3[[#This Row],[№ акта]],$AJ$1:$BJ$691,17,FALSE)</f>
        <v>2.5</v>
      </c>
      <c r="W15" s="502" t="str">
        <f>VLOOKUP(Таблица3[[#This Row],[№ акта]],$AJ$1:$BJ$691,18,FALSE)</f>
        <v>ГРК (богара)</v>
      </c>
      <c r="X15" s="502" t="str">
        <f>VLOOKUP(Таблица3[[#This Row],[№ акта]],$AJ$1:$BJ$691,19,FALSE)</f>
        <v>богара</v>
      </c>
      <c r="Y15" s="503">
        <f>VLOOKUP(Таблица3[[#This Row],[№ акта]],$AJ$1:$BJ$691,20,FALSE)</f>
        <v>1</v>
      </c>
      <c r="Z15" s="504">
        <f>VLOOKUP(Таблица3[[#This Row],[№ акта]],$AJ$1:$BJ$691,21,FALSE)</f>
        <v>46176</v>
      </c>
      <c r="AA15" s="504"/>
      <c r="AB15" s="504" t="str">
        <f>IF(VLOOKUP(Таблица3[[#This Row],[№ акта]],$AJ$1:$BJ$691,23,FALSE)&lt;&gt;0,VLOOKUP(Таблица3[[#This Row],[№ акта]],$AJ$1:$BJ$691,23,FALSE),"-")</f>
        <v>-</v>
      </c>
      <c r="AC1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5" s="506" t="s">
        <v>2940</v>
      </c>
      <c r="AE15" s="505">
        <v>27</v>
      </c>
      <c r="AF15" s="507">
        <v>46177</v>
      </c>
      <c r="AG15" s="505">
        <v>14</v>
      </c>
      <c r="AH15" s="505">
        <f>IFERROR(VLOOKUP(Таблица3[[#This Row],[№ акта]],'Степень зрелости 2026'!$H$12:$I$800,2,FALSE),)</f>
        <v>54</v>
      </c>
      <c r="AJ15" s="508">
        <v>27</v>
      </c>
      <c r="AK15" s="509">
        <v>46177</v>
      </c>
      <c r="AL15" s="508">
        <v>59</v>
      </c>
      <c r="AO15" s="508">
        <v>13760</v>
      </c>
      <c r="AP15" s="508">
        <v>10939.2</v>
      </c>
      <c r="AQ15" s="508" t="s">
        <v>2939</v>
      </c>
      <c r="AR15" s="508" t="s">
        <v>782</v>
      </c>
      <c r="AS15" s="508" t="s">
        <v>2935</v>
      </c>
      <c r="AT15" s="508" t="s">
        <v>347</v>
      </c>
      <c r="AV15" s="508" t="s">
        <v>137</v>
      </c>
      <c r="AX15" s="508" t="s">
        <v>2935</v>
      </c>
      <c r="AY15" s="508" t="s">
        <v>782</v>
      </c>
      <c r="AZ15" s="508">
        <v>2.5</v>
      </c>
      <c r="BA15" s="508" t="s">
        <v>46</v>
      </c>
      <c r="BB15" s="508" t="s">
        <v>19</v>
      </c>
      <c r="BC15" s="508">
        <v>1</v>
      </c>
      <c r="BD15" s="509">
        <v>46176</v>
      </c>
      <c r="BG15" s="508" t="s">
        <v>724</v>
      </c>
      <c r="BH15" s="508" t="s">
        <v>2940</v>
      </c>
      <c r="BI15" s="508">
        <v>14</v>
      </c>
      <c r="BJ15" s="508">
        <v>54</v>
      </c>
    </row>
    <row r="16" spans="1:62" s="508" customFormat="1" ht="14.25" hidden="1" customHeight="1" x14ac:dyDescent="0.2">
      <c r="A16" s="495" t="s">
        <v>102</v>
      </c>
      <c r="B16" s="496"/>
      <c r="C16" s="497">
        <f>Таблица3[[#This Row],[Степень зрелости вспом]]</f>
        <v>55</v>
      </c>
      <c r="D16" s="498">
        <v>61</v>
      </c>
      <c r="E16" s="499"/>
      <c r="F16" s="496"/>
      <c r="G16" s="496">
        <v>13570</v>
      </c>
      <c r="H16" s="500"/>
      <c r="I16" s="496">
        <v>10516.7</v>
      </c>
      <c r="J16" s="495" t="s">
        <v>2939</v>
      </c>
      <c r="K16" s="495" t="s">
        <v>782</v>
      </c>
      <c r="L16" s="495" t="s">
        <v>2966</v>
      </c>
      <c r="M16" s="495" t="s">
        <v>1806</v>
      </c>
      <c r="N16" s="495"/>
      <c r="O16" s="495"/>
      <c r="P16" s="495"/>
      <c r="Q16" s="495"/>
      <c r="R16" s="501" t="s">
        <v>1807</v>
      </c>
      <c r="S16" s="495"/>
      <c r="T16" s="482" t="str">
        <f>VLOOKUP(Таблица3[[#This Row],[№ акта]],$AJ$1:$BJ$691,15,FALSE)</f>
        <v>А-4/1</v>
      </c>
      <c r="U16" s="482" t="str">
        <f>VLOOKUP(Таблица3[[#This Row],[№ акта]],$AJ$1:$BJ$691,16,FALSE)</f>
        <v>Тиара</v>
      </c>
      <c r="V16" s="502">
        <f>VLOOKUP(Таблица3[[#This Row],[№ акта]],$AJ$1:$BJ$691,17,FALSE)</f>
        <v>2.5</v>
      </c>
      <c r="W16" s="502" t="str">
        <f>VLOOKUP(Таблица3[[#This Row],[№ акта]],$AJ$1:$BJ$691,18,FALSE)</f>
        <v>ГРК (богара)</v>
      </c>
      <c r="X16" s="502" t="str">
        <f>VLOOKUP(Таблица3[[#This Row],[№ акта]],$AJ$1:$BJ$691,19,FALSE)</f>
        <v>богара</v>
      </c>
      <c r="Y16" s="503">
        <f>VLOOKUP(Таблица3[[#This Row],[№ акта]],$AJ$1:$BJ$691,20,FALSE)</f>
        <v>2</v>
      </c>
      <c r="Z16" s="504">
        <f>VLOOKUP(Таблица3[[#This Row],[№ акта]],$AJ$1:$BJ$691,21,FALSE)</f>
        <v>46177</v>
      </c>
      <c r="AA16" s="504"/>
      <c r="AB16" s="504" t="str">
        <f>IF(VLOOKUP(Таблица3[[#This Row],[№ акта]],$AJ$1:$BJ$691,23,FALSE)&lt;&gt;0,VLOOKUP(Таблица3[[#This Row],[№ акта]],$AJ$1:$BJ$691,23,FALSE),"-")</f>
        <v>-</v>
      </c>
      <c r="AC1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6" s="506" t="s">
        <v>2940</v>
      </c>
      <c r="AE16" s="505">
        <v>28</v>
      </c>
      <c r="AF16" s="507">
        <v>46177</v>
      </c>
      <c r="AG16" s="505">
        <v>15</v>
      </c>
      <c r="AH16" s="505">
        <f>IFERROR(VLOOKUP(Таблица3[[#This Row],[№ акта]],'Степень зрелости 2026'!$H$12:$I$800,2,FALSE),)</f>
        <v>55</v>
      </c>
      <c r="AJ16" s="508">
        <v>28</v>
      </c>
      <c r="AK16" s="509">
        <v>46177</v>
      </c>
      <c r="AL16" s="508">
        <v>61</v>
      </c>
      <c r="AO16" s="508">
        <v>13570</v>
      </c>
      <c r="AP16" s="508">
        <v>10516.7</v>
      </c>
      <c r="AQ16" s="508" t="s">
        <v>2939</v>
      </c>
      <c r="AR16" s="508" t="s">
        <v>782</v>
      </c>
      <c r="AS16" s="508" t="s">
        <v>2966</v>
      </c>
      <c r="AT16" s="508" t="s">
        <v>1806</v>
      </c>
      <c r="AV16" s="508" t="s">
        <v>1807</v>
      </c>
      <c r="AX16" s="508" t="s">
        <v>2935</v>
      </c>
      <c r="AY16" s="508" t="s">
        <v>782</v>
      </c>
      <c r="AZ16" s="508">
        <v>2.5</v>
      </c>
      <c r="BA16" s="508" t="s">
        <v>46</v>
      </c>
      <c r="BB16" s="508" t="s">
        <v>19</v>
      </c>
      <c r="BC16" s="508">
        <v>2</v>
      </c>
      <c r="BD16" s="509">
        <v>46177</v>
      </c>
      <c r="BG16" s="508" t="s">
        <v>724</v>
      </c>
      <c r="BH16" s="508" t="s">
        <v>2940</v>
      </c>
      <c r="BI16" s="508">
        <v>15</v>
      </c>
      <c r="BJ16" s="508">
        <v>55</v>
      </c>
    </row>
    <row r="17" spans="1:62" s="508" customFormat="1" ht="14.25" hidden="1" customHeight="1" x14ac:dyDescent="0.2">
      <c r="A17" s="495" t="s">
        <v>102</v>
      </c>
      <c r="B17" s="496"/>
      <c r="C17" s="497">
        <f>Таблица3[[#This Row],[Степень зрелости вспом]]</f>
        <v>55</v>
      </c>
      <c r="D17" s="498">
        <v>63</v>
      </c>
      <c r="E17" s="499"/>
      <c r="F17" s="496"/>
      <c r="G17" s="496">
        <v>13280</v>
      </c>
      <c r="H17" s="500"/>
      <c r="I17" s="496">
        <v>10823.2</v>
      </c>
      <c r="J17" s="495" t="s">
        <v>2939</v>
      </c>
      <c r="K17" s="495" t="s">
        <v>782</v>
      </c>
      <c r="L17" s="495" t="s">
        <v>2966</v>
      </c>
      <c r="M17" s="495" t="s">
        <v>2967</v>
      </c>
      <c r="N17" s="495"/>
      <c r="O17" s="495"/>
      <c r="P17" s="495"/>
      <c r="Q17" s="495"/>
      <c r="R17" s="501" t="s">
        <v>1810</v>
      </c>
      <c r="S17" s="495"/>
      <c r="T17" s="482" t="str">
        <f>VLOOKUP(Таблица3[[#This Row],[№ акта]],$AJ$1:$BJ$691,15,FALSE)</f>
        <v>А-4/1</v>
      </c>
      <c r="U17" s="482" t="str">
        <f>VLOOKUP(Таблица3[[#This Row],[№ акта]],$AJ$1:$BJ$691,16,FALSE)</f>
        <v>Тиара</v>
      </c>
      <c r="V17" s="502">
        <f>VLOOKUP(Таблица3[[#This Row],[№ акта]],$AJ$1:$BJ$691,17,FALSE)</f>
        <v>2.4</v>
      </c>
      <c r="W17" s="502" t="str">
        <f>VLOOKUP(Таблица3[[#This Row],[№ акта]],$AJ$1:$BJ$691,18,FALSE)</f>
        <v>ГРК (богара)</v>
      </c>
      <c r="X17" s="502" t="str">
        <f>VLOOKUP(Таблица3[[#This Row],[№ акта]],$AJ$1:$BJ$691,19,FALSE)</f>
        <v>богара</v>
      </c>
      <c r="Y17" s="503">
        <f>VLOOKUP(Таблица3[[#This Row],[№ акта]],$AJ$1:$BJ$691,20,FALSE)</f>
        <v>2</v>
      </c>
      <c r="Z17" s="504">
        <f>VLOOKUP(Таблица3[[#This Row],[№ акта]],$AJ$1:$BJ$691,21,FALSE)</f>
        <v>46177</v>
      </c>
      <c r="AA17" s="504"/>
      <c r="AB17" s="504" t="str">
        <f>IF(VLOOKUP(Таблица3[[#This Row],[№ акта]],$AJ$1:$BJ$691,23,FALSE)&lt;&gt;0,VLOOKUP(Таблица3[[#This Row],[№ акта]],$AJ$1:$BJ$691,23,FALSE),"-")</f>
        <v>-</v>
      </c>
      <c r="AC1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7" s="506" t="s">
        <v>2940</v>
      </c>
      <c r="AE17" s="505">
        <v>29</v>
      </c>
      <c r="AF17" s="507">
        <v>46177</v>
      </c>
      <c r="AG17" s="505">
        <v>16</v>
      </c>
      <c r="AH17" s="505">
        <f>IFERROR(VLOOKUP(Таблица3[[#This Row],[№ акта]],'Степень зрелости 2026'!$H$12:$I$800,2,FALSE),)</f>
        <v>55</v>
      </c>
      <c r="AJ17" s="508">
        <v>29</v>
      </c>
      <c r="AK17" s="509">
        <v>46177</v>
      </c>
      <c r="AL17" s="508">
        <v>63</v>
      </c>
      <c r="AO17" s="508">
        <v>13280</v>
      </c>
      <c r="AP17" s="508">
        <v>10823.2</v>
      </c>
      <c r="AQ17" s="508" t="s">
        <v>2939</v>
      </c>
      <c r="AR17" s="508" t="s">
        <v>782</v>
      </c>
      <c r="AS17" s="508" t="s">
        <v>2966</v>
      </c>
      <c r="AT17" s="508" t="s">
        <v>2967</v>
      </c>
      <c r="AV17" s="508" t="s">
        <v>1810</v>
      </c>
      <c r="AX17" s="508" t="s">
        <v>2935</v>
      </c>
      <c r="AY17" s="508" t="s">
        <v>782</v>
      </c>
      <c r="AZ17" s="508">
        <v>2.4</v>
      </c>
      <c r="BA17" s="508" t="s">
        <v>46</v>
      </c>
      <c r="BB17" s="508" t="s">
        <v>19</v>
      </c>
      <c r="BC17" s="508">
        <v>2</v>
      </c>
      <c r="BD17" s="509">
        <v>46177</v>
      </c>
      <c r="BG17" s="508" t="s">
        <v>724</v>
      </c>
      <c r="BH17" s="508" t="s">
        <v>2940</v>
      </c>
      <c r="BI17" s="508">
        <v>16</v>
      </c>
      <c r="BJ17" s="508">
        <v>55</v>
      </c>
    </row>
    <row r="18" spans="1:62" s="508" customFormat="1" ht="14.25" hidden="1" customHeight="1" x14ac:dyDescent="0.2">
      <c r="A18" s="495" t="s">
        <v>102</v>
      </c>
      <c r="B18" s="496"/>
      <c r="C18" s="497">
        <f>Таблица3[[#This Row],[Степень зрелости вспом]]</f>
        <v>53</v>
      </c>
      <c r="D18" s="498">
        <v>64</v>
      </c>
      <c r="E18" s="499"/>
      <c r="F18" s="496"/>
      <c r="G18" s="496">
        <v>13840</v>
      </c>
      <c r="H18" s="500"/>
      <c r="I18" s="496">
        <v>11418</v>
      </c>
      <c r="J18" s="495" t="s">
        <v>2939</v>
      </c>
      <c r="K18" s="495" t="s">
        <v>782</v>
      </c>
      <c r="L18" s="495" t="s">
        <v>2966</v>
      </c>
      <c r="M18" s="495" t="s">
        <v>311</v>
      </c>
      <c r="N18" s="495"/>
      <c r="O18" s="495"/>
      <c r="P18" s="495"/>
      <c r="Q18" s="495"/>
      <c r="R18" s="501" t="s">
        <v>315</v>
      </c>
      <c r="S18" s="495"/>
      <c r="T18" s="482" t="str">
        <f>VLOOKUP(Таблица3[[#This Row],[№ акта]],$AJ$1:$BJ$691,15,FALSE)</f>
        <v>А-4/1</v>
      </c>
      <c r="U18" s="482" t="str">
        <f>VLOOKUP(Таблица3[[#This Row],[№ акта]],$AJ$1:$BJ$691,16,FALSE)</f>
        <v>Тиара</v>
      </c>
      <c r="V18" s="502">
        <f>VLOOKUP(Таблица3[[#This Row],[№ акта]],$AJ$1:$BJ$691,17,FALSE)</f>
        <v>2.5</v>
      </c>
      <c r="W18" s="502" t="str">
        <f>VLOOKUP(Таблица3[[#This Row],[№ акта]],$AJ$1:$BJ$691,18,FALSE)</f>
        <v>ГРК (богара)</v>
      </c>
      <c r="X18" s="502" t="str">
        <f>VLOOKUP(Таблица3[[#This Row],[№ акта]],$AJ$1:$BJ$691,19,FALSE)</f>
        <v>богара</v>
      </c>
      <c r="Y18" s="503">
        <f>VLOOKUP(Таблица3[[#This Row],[№ акта]],$AJ$1:$BJ$691,20,FALSE)</f>
        <v>2</v>
      </c>
      <c r="Z18" s="504">
        <f>VLOOKUP(Таблица3[[#This Row],[№ акта]],$AJ$1:$BJ$691,21,FALSE)</f>
        <v>46177</v>
      </c>
      <c r="AA18" s="504"/>
      <c r="AB18" s="504" t="str">
        <f>IF(VLOOKUP(Таблица3[[#This Row],[№ акта]],$AJ$1:$BJ$691,23,FALSE)&lt;&gt;0,VLOOKUP(Таблица3[[#This Row],[№ акта]],$AJ$1:$BJ$691,23,FALSE),"-")</f>
        <v>-</v>
      </c>
      <c r="AC1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8" s="506" t="s">
        <v>2940</v>
      </c>
      <c r="AE18" s="505">
        <v>30</v>
      </c>
      <c r="AF18" s="507">
        <v>46177</v>
      </c>
      <c r="AG18" s="505">
        <v>17</v>
      </c>
      <c r="AH18" s="505">
        <f>IFERROR(VLOOKUP(Таблица3[[#This Row],[№ акта]],'Степень зрелости 2026'!$H$12:$I$800,2,FALSE),)</f>
        <v>53</v>
      </c>
      <c r="AJ18" s="508">
        <v>30</v>
      </c>
      <c r="AK18" s="509">
        <v>46177</v>
      </c>
      <c r="AL18" s="508">
        <v>64</v>
      </c>
      <c r="AO18" s="508">
        <v>13840</v>
      </c>
      <c r="AP18" s="508">
        <v>11418</v>
      </c>
      <c r="AQ18" s="508" t="s">
        <v>2939</v>
      </c>
      <c r="AR18" s="508" t="s">
        <v>782</v>
      </c>
      <c r="AS18" s="508" t="s">
        <v>2966</v>
      </c>
      <c r="AT18" s="508" t="s">
        <v>311</v>
      </c>
      <c r="AV18" s="508" t="s">
        <v>315</v>
      </c>
      <c r="AX18" s="508" t="s">
        <v>2935</v>
      </c>
      <c r="AY18" s="508" t="s">
        <v>782</v>
      </c>
      <c r="AZ18" s="508">
        <v>2.5</v>
      </c>
      <c r="BA18" s="508" t="s">
        <v>46</v>
      </c>
      <c r="BB18" s="508" t="s">
        <v>19</v>
      </c>
      <c r="BC18" s="508">
        <v>2</v>
      </c>
      <c r="BD18" s="509">
        <v>46177</v>
      </c>
      <c r="BG18" s="508" t="s">
        <v>724</v>
      </c>
      <c r="BH18" s="508" t="s">
        <v>2940</v>
      </c>
      <c r="BI18" s="508">
        <v>17</v>
      </c>
      <c r="BJ18" s="508">
        <v>53</v>
      </c>
    </row>
    <row r="19" spans="1:62" s="508" customFormat="1" ht="14.25" hidden="1" customHeight="1" x14ac:dyDescent="0.2">
      <c r="A19" s="495" t="s">
        <v>102</v>
      </c>
      <c r="B19" s="496"/>
      <c r="C19" s="497">
        <f>Таблица3[[#This Row],[Степень зрелости вспом]]</f>
        <v>53</v>
      </c>
      <c r="D19" s="498">
        <v>65</v>
      </c>
      <c r="E19" s="499"/>
      <c r="F19" s="496"/>
      <c r="G19" s="496">
        <v>14080</v>
      </c>
      <c r="H19" s="500"/>
      <c r="I19" s="496">
        <v>11334.4</v>
      </c>
      <c r="J19" s="495" t="s">
        <v>2939</v>
      </c>
      <c r="K19" s="495" t="s">
        <v>782</v>
      </c>
      <c r="L19" s="495" t="s">
        <v>2935</v>
      </c>
      <c r="M19" s="495" t="s">
        <v>347</v>
      </c>
      <c r="N19" s="495"/>
      <c r="O19" s="495"/>
      <c r="P19" s="495"/>
      <c r="Q19" s="495"/>
      <c r="R19" s="501" t="s">
        <v>137</v>
      </c>
      <c r="S19" s="495"/>
      <c r="T19" s="482" t="str">
        <f>VLOOKUP(Таблица3[[#This Row],[№ акта]],$AJ$1:$BJ$691,15,FALSE)</f>
        <v>А-4/1</v>
      </c>
      <c r="U19" s="482" t="str">
        <f>VLOOKUP(Таблица3[[#This Row],[№ акта]],$AJ$1:$BJ$691,16,FALSE)</f>
        <v>Тиара</v>
      </c>
      <c r="V19" s="502">
        <f>VLOOKUP(Таблица3[[#This Row],[№ акта]],$AJ$1:$BJ$691,17,FALSE)</f>
        <v>2.5</v>
      </c>
      <c r="W19" s="502" t="str">
        <f>VLOOKUP(Таблица3[[#This Row],[№ акта]],$AJ$1:$BJ$691,18,FALSE)</f>
        <v>ГРК (богара)</v>
      </c>
      <c r="X19" s="502" t="str">
        <f>VLOOKUP(Таблица3[[#This Row],[№ акта]],$AJ$1:$BJ$691,19,FALSE)</f>
        <v>богара</v>
      </c>
      <c r="Y19" s="503">
        <f>VLOOKUP(Таблица3[[#This Row],[№ акта]],$AJ$1:$BJ$691,20,FALSE)</f>
        <v>2</v>
      </c>
      <c r="Z19" s="504">
        <f>VLOOKUP(Таблица3[[#This Row],[№ акта]],$AJ$1:$BJ$691,21,FALSE)</f>
        <v>46177</v>
      </c>
      <c r="AA19" s="504"/>
      <c r="AB19" s="504" t="str">
        <f>IF(VLOOKUP(Таблица3[[#This Row],[№ акта]],$AJ$1:$BJ$691,23,FALSE)&lt;&gt;0,VLOOKUP(Таблица3[[#This Row],[№ акта]],$AJ$1:$BJ$691,23,FALSE),"-")</f>
        <v>-</v>
      </c>
      <c r="AC1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9" s="506" t="s">
        <v>2940</v>
      </c>
      <c r="AE19" s="505">
        <v>31</v>
      </c>
      <c r="AF19" s="507">
        <v>46177</v>
      </c>
      <c r="AG19" s="505">
        <v>18</v>
      </c>
      <c r="AH19" s="505">
        <f>IFERROR(VLOOKUP(Таблица3[[#This Row],[№ акта]],'Степень зрелости 2026'!$H$12:$I$800,2,FALSE),)</f>
        <v>53</v>
      </c>
      <c r="AJ19" s="508">
        <v>31</v>
      </c>
      <c r="AK19" s="509">
        <v>46177</v>
      </c>
      <c r="AL19" s="508">
        <v>65</v>
      </c>
      <c r="AO19" s="508">
        <v>14080</v>
      </c>
      <c r="AP19" s="508">
        <v>11334.4</v>
      </c>
      <c r="AQ19" s="508" t="s">
        <v>2939</v>
      </c>
      <c r="AR19" s="508" t="s">
        <v>782</v>
      </c>
      <c r="AS19" s="508" t="s">
        <v>2935</v>
      </c>
      <c r="AT19" s="508" t="s">
        <v>347</v>
      </c>
      <c r="AV19" s="508" t="s">
        <v>137</v>
      </c>
      <c r="AX19" s="508" t="s">
        <v>2935</v>
      </c>
      <c r="AY19" s="508" t="s">
        <v>782</v>
      </c>
      <c r="AZ19" s="508">
        <v>2.5</v>
      </c>
      <c r="BA19" s="508" t="s">
        <v>46</v>
      </c>
      <c r="BB19" s="508" t="s">
        <v>19</v>
      </c>
      <c r="BC19" s="508">
        <v>2</v>
      </c>
      <c r="BD19" s="509">
        <v>46177</v>
      </c>
      <c r="BG19" s="508" t="s">
        <v>724</v>
      </c>
      <c r="BH19" s="508" t="s">
        <v>2940</v>
      </c>
      <c r="BI19" s="508">
        <v>18</v>
      </c>
      <c r="BJ19" s="508">
        <v>53</v>
      </c>
    </row>
    <row r="20" spans="1:62" s="508" customFormat="1" ht="14.25" hidden="1" customHeight="1" x14ac:dyDescent="0.2">
      <c r="A20" s="495" t="s">
        <v>102</v>
      </c>
      <c r="B20" s="496"/>
      <c r="C20" s="497">
        <f>Таблица3[[#This Row],[Степень зрелости вспом]]</f>
        <v>52</v>
      </c>
      <c r="D20" s="498">
        <v>66</v>
      </c>
      <c r="E20" s="499"/>
      <c r="F20" s="496"/>
      <c r="G20" s="496">
        <v>14070</v>
      </c>
      <c r="H20" s="500"/>
      <c r="I20" s="496">
        <v>11467.1</v>
      </c>
      <c r="J20" s="495" t="s">
        <v>2939</v>
      </c>
      <c r="K20" s="495" t="s">
        <v>782</v>
      </c>
      <c r="L20" s="495" t="s">
        <v>2935</v>
      </c>
      <c r="M20" s="495" t="s">
        <v>1806</v>
      </c>
      <c r="N20" s="495"/>
      <c r="O20" s="495"/>
      <c r="P20" s="495"/>
      <c r="Q20" s="495"/>
      <c r="R20" s="501" t="s">
        <v>1807</v>
      </c>
      <c r="S20" s="495"/>
      <c r="T20" s="482" t="str">
        <f>VLOOKUP(Таблица3[[#This Row],[№ акта]],$AJ$1:$BJ$691,15,FALSE)</f>
        <v>А-4/1</v>
      </c>
      <c r="U20" s="482" t="str">
        <f>VLOOKUP(Таблица3[[#This Row],[№ акта]],$AJ$1:$BJ$691,16,FALSE)</f>
        <v>Тиара</v>
      </c>
      <c r="V20" s="502">
        <f>VLOOKUP(Таблица3[[#This Row],[№ акта]],$AJ$1:$BJ$691,17,FALSE)</f>
        <v>2.5</v>
      </c>
      <c r="W20" s="502" t="str">
        <f>VLOOKUP(Таблица3[[#This Row],[№ акта]],$AJ$1:$BJ$691,18,FALSE)</f>
        <v>ГРК (богара)</v>
      </c>
      <c r="X20" s="502" t="str">
        <f>VLOOKUP(Таблица3[[#This Row],[№ акта]],$AJ$1:$BJ$691,19,FALSE)</f>
        <v>богара</v>
      </c>
      <c r="Y20" s="503">
        <f>VLOOKUP(Таблица3[[#This Row],[№ акта]],$AJ$1:$BJ$691,20,FALSE)</f>
        <v>2</v>
      </c>
      <c r="Z20" s="504">
        <f>VLOOKUP(Таблица3[[#This Row],[№ акта]],$AJ$1:$BJ$691,21,FALSE)</f>
        <v>46177</v>
      </c>
      <c r="AA20" s="504"/>
      <c r="AB20" s="504" t="str">
        <f>IF(VLOOKUP(Таблица3[[#This Row],[№ акта]],$AJ$1:$BJ$691,23,FALSE)&lt;&gt;0,VLOOKUP(Таблица3[[#This Row],[№ акта]],$AJ$1:$BJ$691,23,FALSE),"-")</f>
        <v>-</v>
      </c>
      <c r="AC2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20" s="506" t="s">
        <v>2940</v>
      </c>
      <c r="AE20" s="505">
        <v>32</v>
      </c>
      <c r="AF20" s="507">
        <v>46177</v>
      </c>
      <c r="AG20" s="505">
        <v>19</v>
      </c>
      <c r="AH20" s="505">
        <f>IFERROR(VLOOKUP(Таблица3[[#This Row],[№ акта]],'Степень зрелости 2026'!$H$12:$I$800,2,FALSE),)</f>
        <v>52</v>
      </c>
      <c r="AJ20" s="508">
        <v>32</v>
      </c>
      <c r="AK20" s="509">
        <v>46177</v>
      </c>
      <c r="AL20" s="508">
        <v>66</v>
      </c>
      <c r="AO20" s="508">
        <v>14070</v>
      </c>
      <c r="AP20" s="508">
        <v>11467.1</v>
      </c>
      <c r="AQ20" s="508" t="s">
        <v>2939</v>
      </c>
      <c r="AR20" s="508" t="s">
        <v>782</v>
      </c>
      <c r="AS20" s="508" t="s">
        <v>2935</v>
      </c>
      <c r="AT20" s="508" t="s">
        <v>1806</v>
      </c>
      <c r="AV20" s="508" t="s">
        <v>1807</v>
      </c>
      <c r="AX20" s="508" t="s">
        <v>2935</v>
      </c>
      <c r="AY20" s="508" t="s">
        <v>782</v>
      </c>
      <c r="AZ20" s="508">
        <v>2.5</v>
      </c>
      <c r="BA20" s="508" t="s">
        <v>46</v>
      </c>
      <c r="BB20" s="508" t="s">
        <v>19</v>
      </c>
      <c r="BC20" s="508">
        <v>2</v>
      </c>
      <c r="BD20" s="509">
        <v>46177</v>
      </c>
      <c r="BG20" s="508" t="s">
        <v>3557</v>
      </c>
      <c r="BH20" s="508" t="s">
        <v>2940</v>
      </c>
      <c r="BI20" s="508">
        <v>19</v>
      </c>
      <c r="BJ20" s="508">
        <v>52</v>
      </c>
    </row>
    <row r="21" spans="1:62" s="508" customFormat="1" ht="14.25" hidden="1" customHeight="1" x14ac:dyDescent="0.2">
      <c r="A21" s="495" t="s">
        <v>102</v>
      </c>
      <c r="B21" s="496"/>
      <c r="C21" s="497">
        <f>Таблица3[[#This Row],[Степень зрелости вспом]]</f>
        <v>53</v>
      </c>
      <c r="D21" s="498">
        <v>68</v>
      </c>
      <c r="E21" s="499"/>
      <c r="F21" s="496"/>
      <c r="G21" s="496">
        <v>14230</v>
      </c>
      <c r="H21" s="500"/>
      <c r="I21" s="496">
        <v>11739.8</v>
      </c>
      <c r="J21" s="495" t="s">
        <v>2939</v>
      </c>
      <c r="K21" s="495" t="s">
        <v>782</v>
      </c>
      <c r="L21" s="495" t="s">
        <v>2935</v>
      </c>
      <c r="M21" s="495" t="s">
        <v>329</v>
      </c>
      <c r="N21" s="495"/>
      <c r="O21" s="495"/>
      <c r="P21" s="495"/>
      <c r="Q21" s="495"/>
      <c r="R21" s="501" t="s">
        <v>333</v>
      </c>
      <c r="S21" s="495"/>
      <c r="T21" s="482" t="str">
        <f>VLOOKUP(Таблица3[[#This Row],[№ акта]],$AJ$1:$BJ$691,15,FALSE)</f>
        <v>А-4/1</v>
      </c>
      <c r="U21" s="482" t="str">
        <f>VLOOKUP(Таблица3[[#This Row],[№ акта]],$AJ$1:$BJ$691,16,FALSE)</f>
        <v>Тиара</v>
      </c>
      <c r="V21" s="502">
        <f>VLOOKUP(Таблица3[[#This Row],[№ акта]],$AJ$1:$BJ$691,17,FALSE)</f>
        <v>2.6</v>
      </c>
      <c r="W21" s="502" t="str">
        <f>VLOOKUP(Таблица3[[#This Row],[№ акта]],$AJ$1:$BJ$691,18,FALSE)</f>
        <v>ГРК (богара)</v>
      </c>
      <c r="X21" s="502" t="str">
        <f>VLOOKUP(Таблица3[[#This Row],[№ акта]],$AJ$1:$BJ$691,19,FALSE)</f>
        <v>богара</v>
      </c>
      <c r="Y21" s="503">
        <f>VLOOKUP(Таблица3[[#This Row],[№ акта]],$AJ$1:$BJ$691,20,FALSE)</f>
        <v>2</v>
      </c>
      <c r="Z21" s="504">
        <f>VLOOKUP(Таблица3[[#This Row],[№ акта]],$AJ$1:$BJ$691,21,FALSE)</f>
        <v>46177</v>
      </c>
      <c r="AA21" s="504"/>
      <c r="AB21" s="504" t="str">
        <f>IF(VLOOKUP(Таблица3[[#This Row],[№ акта]],$AJ$1:$BJ$691,23,FALSE)&lt;&gt;0,VLOOKUP(Таблица3[[#This Row],[№ акта]],$AJ$1:$BJ$691,23,FALSE),"-")</f>
        <v>-</v>
      </c>
      <c r="AC2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1" s="506" t="s">
        <v>2940</v>
      </c>
      <c r="AE21" s="505">
        <v>33</v>
      </c>
      <c r="AF21" s="507">
        <v>46177</v>
      </c>
      <c r="AG21" s="505">
        <v>20</v>
      </c>
      <c r="AH21" s="505">
        <f>IFERROR(VLOOKUP(Таблица3[[#This Row],[№ акта]],'Степень зрелости 2026'!$H$12:$I$800,2,FALSE),)</f>
        <v>53</v>
      </c>
      <c r="AJ21" s="508">
        <v>33</v>
      </c>
      <c r="AK21" s="509">
        <v>46177</v>
      </c>
      <c r="AL21" s="508">
        <v>68</v>
      </c>
      <c r="AO21" s="508">
        <v>14230</v>
      </c>
      <c r="AP21" s="508">
        <v>11739.8</v>
      </c>
      <c r="AQ21" s="508" t="s">
        <v>2939</v>
      </c>
      <c r="AR21" s="508" t="s">
        <v>782</v>
      </c>
      <c r="AS21" s="508" t="s">
        <v>2935</v>
      </c>
      <c r="AT21" s="508" t="s">
        <v>329</v>
      </c>
      <c r="AV21" s="508" t="s">
        <v>333</v>
      </c>
      <c r="AX21" s="508" t="s">
        <v>2935</v>
      </c>
      <c r="AY21" s="508" t="s">
        <v>782</v>
      </c>
      <c r="AZ21" s="508">
        <v>2.6</v>
      </c>
      <c r="BA21" s="508" t="s">
        <v>46</v>
      </c>
      <c r="BB21" s="508" t="s">
        <v>19</v>
      </c>
      <c r="BC21" s="508">
        <v>2</v>
      </c>
      <c r="BD21" s="509">
        <v>46177</v>
      </c>
      <c r="BG21" s="508" t="s">
        <v>724</v>
      </c>
      <c r="BH21" s="508" t="s">
        <v>2940</v>
      </c>
      <c r="BI21" s="508">
        <v>20</v>
      </c>
      <c r="BJ21" s="508">
        <v>53</v>
      </c>
    </row>
    <row r="22" spans="1:62" s="508" customFormat="1" ht="14.25" hidden="1" customHeight="1" x14ac:dyDescent="0.2">
      <c r="A22" s="495" t="s">
        <v>102</v>
      </c>
      <c r="B22" s="496"/>
      <c r="C22" s="497">
        <f>Таблица3[[#This Row],[Степень зрелости вспом]]</f>
        <v>52</v>
      </c>
      <c r="D22" s="498">
        <v>69</v>
      </c>
      <c r="E22" s="499"/>
      <c r="F22" s="496"/>
      <c r="G22" s="496">
        <v>14070</v>
      </c>
      <c r="H22" s="500"/>
      <c r="I22" s="496">
        <v>11185.7</v>
      </c>
      <c r="J22" s="495" t="s">
        <v>2939</v>
      </c>
      <c r="K22" s="495" t="s">
        <v>782</v>
      </c>
      <c r="L22" s="495" t="s">
        <v>2935</v>
      </c>
      <c r="M22" s="495" t="s">
        <v>311</v>
      </c>
      <c r="N22" s="495"/>
      <c r="O22" s="495"/>
      <c r="P22" s="495"/>
      <c r="Q22" s="495"/>
      <c r="R22" s="501" t="s">
        <v>315</v>
      </c>
      <c r="S22" s="495"/>
      <c r="T22" s="482" t="str">
        <f>VLOOKUP(Таблица3[[#This Row],[№ акта]],$AJ$1:$BJ$691,15,FALSE)</f>
        <v>А-4/1</v>
      </c>
      <c r="U22" s="482" t="str">
        <f>VLOOKUP(Таблица3[[#This Row],[№ акта]],$AJ$1:$BJ$691,16,FALSE)</f>
        <v>Тиара</v>
      </c>
      <c r="V22" s="502">
        <f>VLOOKUP(Таблица3[[#This Row],[№ акта]],$AJ$1:$BJ$691,17,FALSE)</f>
        <v>2.5</v>
      </c>
      <c r="W22" s="502" t="str">
        <f>VLOOKUP(Таблица3[[#This Row],[№ акта]],$AJ$1:$BJ$691,18,FALSE)</f>
        <v>ГРК (богара)</v>
      </c>
      <c r="X22" s="502" t="str">
        <f>VLOOKUP(Таблица3[[#This Row],[№ акта]],$AJ$1:$BJ$691,19,FALSE)</f>
        <v>богара</v>
      </c>
      <c r="Y22" s="503">
        <f>VLOOKUP(Таблица3[[#This Row],[№ акта]],$AJ$1:$BJ$691,20,FALSE)</f>
        <v>2</v>
      </c>
      <c r="Z22" s="504">
        <f>VLOOKUP(Таблица3[[#This Row],[№ акта]],$AJ$1:$BJ$691,21,FALSE)</f>
        <v>46177</v>
      </c>
      <c r="AA22" s="504"/>
      <c r="AB22" s="504" t="str">
        <f>IF(VLOOKUP(Таблица3[[#This Row],[№ акта]],$AJ$1:$BJ$691,23,FALSE)&lt;&gt;0,VLOOKUP(Таблица3[[#This Row],[№ акта]],$AJ$1:$BJ$691,23,FALSE),"-")</f>
        <v>-</v>
      </c>
      <c r="AC2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22" s="506" t="s">
        <v>2940</v>
      </c>
      <c r="AE22" s="505">
        <v>34</v>
      </c>
      <c r="AF22" s="507">
        <v>46177</v>
      </c>
      <c r="AG22" s="505">
        <v>21</v>
      </c>
      <c r="AH22" s="505">
        <f>IFERROR(VLOOKUP(Таблица3[[#This Row],[№ акта]],'Степень зрелости 2026'!$H$12:$I$800,2,FALSE),)</f>
        <v>52</v>
      </c>
      <c r="AJ22" s="508">
        <v>34</v>
      </c>
      <c r="AK22" s="509">
        <v>46177</v>
      </c>
      <c r="AL22" s="508">
        <v>69</v>
      </c>
      <c r="AO22" s="508">
        <v>14070</v>
      </c>
      <c r="AP22" s="508">
        <v>11185.7</v>
      </c>
      <c r="AQ22" s="508" t="s">
        <v>2939</v>
      </c>
      <c r="AR22" s="508" t="s">
        <v>782</v>
      </c>
      <c r="AS22" s="508" t="s">
        <v>2935</v>
      </c>
      <c r="AT22" s="508" t="s">
        <v>311</v>
      </c>
      <c r="AV22" s="508" t="s">
        <v>315</v>
      </c>
      <c r="AX22" s="508" t="s">
        <v>2935</v>
      </c>
      <c r="AY22" s="508" t="s">
        <v>782</v>
      </c>
      <c r="AZ22" s="508">
        <v>2.5</v>
      </c>
      <c r="BA22" s="508" t="s">
        <v>46</v>
      </c>
      <c r="BB22" s="508" t="s">
        <v>19</v>
      </c>
      <c r="BC22" s="508">
        <v>2</v>
      </c>
      <c r="BD22" s="509">
        <v>46177</v>
      </c>
      <c r="BG22" s="508" t="s">
        <v>3557</v>
      </c>
      <c r="BH22" s="508" t="s">
        <v>2940</v>
      </c>
      <c r="BI22" s="508">
        <v>21</v>
      </c>
      <c r="BJ22" s="508">
        <v>52</v>
      </c>
    </row>
    <row r="23" spans="1:62" s="508" customFormat="1" ht="14.25" hidden="1" customHeight="1" x14ac:dyDescent="0.2">
      <c r="A23" s="495" t="s">
        <v>102</v>
      </c>
      <c r="B23" s="496"/>
      <c r="C23" s="497">
        <f>Таблица3[[#This Row],[Степень зрелости вспом]]</f>
        <v>53</v>
      </c>
      <c r="D23" s="498">
        <v>70</v>
      </c>
      <c r="E23" s="499"/>
      <c r="F23" s="496"/>
      <c r="G23" s="496">
        <v>14110</v>
      </c>
      <c r="H23" s="500"/>
      <c r="I23" s="496">
        <v>11781.8</v>
      </c>
      <c r="J23" s="495" t="s">
        <v>2939</v>
      </c>
      <c r="K23" s="495" t="s">
        <v>782</v>
      </c>
      <c r="L23" s="495" t="s">
        <v>2966</v>
      </c>
      <c r="M23" s="495" t="s">
        <v>347</v>
      </c>
      <c r="N23" s="495"/>
      <c r="O23" s="495"/>
      <c r="P23" s="495"/>
      <c r="Q23" s="495"/>
      <c r="R23" s="501" t="s">
        <v>137</v>
      </c>
      <c r="S23" s="495"/>
      <c r="T23" s="482" t="str">
        <f>VLOOKUP(Таблица3[[#This Row],[№ акта]],$AJ$1:$BJ$691,15,FALSE)</f>
        <v>А-4/1</v>
      </c>
      <c r="U23" s="482" t="str">
        <f>VLOOKUP(Таблица3[[#This Row],[№ акта]],$AJ$1:$BJ$691,16,FALSE)</f>
        <v>Тиара</v>
      </c>
      <c r="V23" s="502">
        <f>VLOOKUP(Таблица3[[#This Row],[№ акта]],$AJ$1:$BJ$691,17,FALSE)</f>
        <v>2.5</v>
      </c>
      <c r="W23" s="502" t="str">
        <f>VLOOKUP(Таблица3[[#This Row],[№ акта]],$AJ$1:$BJ$691,18,FALSE)</f>
        <v>ГРК (богара)</v>
      </c>
      <c r="X23" s="502" t="str">
        <f>VLOOKUP(Таблица3[[#This Row],[№ акта]],$AJ$1:$BJ$691,19,FALSE)</f>
        <v>богара</v>
      </c>
      <c r="Y23" s="503">
        <f>VLOOKUP(Таблица3[[#This Row],[№ акта]],$AJ$1:$BJ$691,20,FALSE)</f>
        <v>2</v>
      </c>
      <c r="Z23" s="504">
        <f>VLOOKUP(Таблица3[[#This Row],[№ акта]],$AJ$1:$BJ$691,21,FALSE)</f>
        <v>46177</v>
      </c>
      <c r="AA23" s="504"/>
      <c r="AB23" s="504" t="str">
        <f>IF(VLOOKUP(Таблица3[[#This Row],[№ акта]],$AJ$1:$BJ$691,23,FALSE)&lt;&gt;0,VLOOKUP(Таблица3[[#This Row],[№ акта]],$AJ$1:$BJ$691,23,FALSE),"-")</f>
        <v>-</v>
      </c>
      <c r="AC2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3" s="506" t="s">
        <v>2940</v>
      </c>
      <c r="AE23" s="505">
        <v>35</v>
      </c>
      <c r="AF23" s="507">
        <v>46177</v>
      </c>
      <c r="AG23" s="505">
        <v>22</v>
      </c>
      <c r="AH23" s="505">
        <f>IFERROR(VLOOKUP(Таблица3[[#This Row],[№ акта]],'Степень зрелости 2026'!$H$12:$I$800,2,FALSE),)</f>
        <v>53</v>
      </c>
      <c r="AJ23" s="508">
        <v>35</v>
      </c>
      <c r="AK23" s="509">
        <v>46177</v>
      </c>
      <c r="AL23" s="508">
        <v>70</v>
      </c>
      <c r="AO23" s="508">
        <v>14110</v>
      </c>
      <c r="AP23" s="508">
        <v>11781.8</v>
      </c>
      <c r="AQ23" s="508" t="s">
        <v>2939</v>
      </c>
      <c r="AR23" s="508" t="s">
        <v>782</v>
      </c>
      <c r="AS23" s="508" t="s">
        <v>2966</v>
      </c>
      <c r="AT23" s="508" t="s">
        <v>347</v>
      </c>
      <c r="AV23" s="508" t="s">
        <v>137</v>
      </c>
      <c r="AX23" s="508" t="s">
        <v>2935</v>
      </c>
      <c r="AY23" s="508" t="s">
        <v>782</v>
      </c>
      <c r="AZ23" s="508">
        <v>2.5</v>
      </c>
      <c r="BA23" s="508" t="s">
        <v>46</v>
      </c>
      <c r="BB23" s="508" t="s">
        <v>19</v>
      </c>
      <c r="BC23" s="508">
        <v>2</v>
      </c>
      <c r="BD23" s="509">
        <v>46177</v>
      </c>
      <c r="BG23" s="508" t="s">
        <v>724</v>
      </c>
      <c r="BH23" s="508" t="s">
        <v>2940</v>
      </c>
      <c r="BI23" s="508">
        <v>22</v>
      </c>
      <c r="BJ23" s="508">
        <v>53</v>
      </c>
    </row>
    <row r="24" spans="1:62" s="508" customFormat="1" ht="14.25" hidden="1" customHeight="1" x14ac:dyDescent="0.2">
      <c r="A24" s="495" t="s">
        <v>102</v>
      </c>
      <c r="B24" s="496"/>
      <c r="C24" s="497">
        <f>Таблица3[[#This Row],[Степень зрелости вспом]]</f>
        <v>42</v>
      </c>
      <c r="D24" s="498">
        <v>71</v>
      </c>
      <c r="E24" s="499"/>
      <c r="F24" s="496"/>
      <c r="G24" s="496">
        <v>6120</v>
      </c>
      <c r="H24" s="500"/>
      <c r="I24" s="496">
        <v>4039.2</v>
      </c>
      <c r="J24" s="495" t="s">
        <v>2939</v>
      </c>
      <c r="K24" s="495" t="s">
        <v>524</v>
      </c>
      <c r="L24" s="495" t="s">
        <v>2968</v>
      </c>
      <c r="M24" s="495" t="s">
        <v>1806</v>
      </c>
      <c r="N24" s="495"/>
      <c r="O24" s="495"/>
      <c r="P24" s="495"/>
      <c r="Q24" s="495"/>
      <c r="R24" s="501" t="s">
        <v>1807</v>
      </c>
      <c r="S24" s="495"/>
      <c r="T24" s="482" t="str">
        <f>VLOOKUP(Таблица3[[#This Row],[№ акта]],$AJ$1:$BJ$691,15,FALSE)</f>
        <v>А-3</v>
      </c>
      <c r="U24" s="482" t="str">
        <f>VLOOKUP(Таблица3[[#This Row],[№ акта]],$AJ$1:$BJ$691,16,FALSE)</f>
        <v>Авола</v>
      </c>
      <c r="V24" s="502">
        <f>VLOOKUP(Таблица3[[#This Row],[№ акта]],$AJ$1:$BJ$691,17,FALSE)</f>
        <v>2</v>
      </c>
      <c r="W24" s="502" t="str">
        <f>VLOOKUP(Таблица3[[#This Row],[№ акта]],$AJ$1:$BJ$691,18,FALSE)</f>
        <v>ГРК (богара)</v>
      </c>
      <c r="X24" s="502" t="str">
        <f>VLOOKUP(Таблица3[[#This Row],[№ акта]],$AJ$1:$BJ$691,19,FALSE)</f>
        <v>богара</v>
      </c>
      <c r="Y24" s="503">
        <f>VLOOKUP(Таблица3[[#This Row],[№ акта]],$AJ$1:$BJ$691,20,FALSE)</f>
        <v>2</v>
      </c>
      <c r="Z24" s="504">
        <f>VLOOKUP(Таблица3[[#This Row],[№ акта]],$AJ$1:$BJ$691,21,FALSE)</f>
        <v>46177</v>
      </c>
      <c r="AA24" s="504"/>
      <c r="AB24" s="504" t="str">
        <f>IF(VLOOKUP(Таблица3[[#This Row],[№ акта]],$AJ$1:$BJ$691,23,FALSE)&lt;&gt;0,VLOOKUP(Таблица3[[#This Row],[№ акта]],$AJ$1:$BJ$691,23,FALSE),"-")</f>
        <v>-</v>
      </c>
      <c r="AC2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24" s="506" t="s">
        <v>2940</v>
      </c>
      <c r="AE24" s="505">
        <v>36</v>
      </c>
      <c r="AF24" s="507">
        <v>46177</v>
      </c>
      <c r="AG24" s="505">
        <v>23</v>
      </c>
      <c r="AH24" s="505">
        <f>IFERROR(VLOOKUP(Таблица3[[#This Row],[№ акта]],'Степень зрелости 2026'!$H$12:$I$800,2,FALSE),)</f>
        <v>42</v>
      </c>
      <c r="AJ24" s="508">
        <v>36</v>
      </c>
      <c r="AK24" s="509">
        <v>46177</v>
      </c>
      <c r="AL24" s="508">
        <v>71</v>
      </c>
      <c r="AO24" s="508">
        <v>6120</v>
      </c>
      <c r="AP24" s="508">
        <v>4039.2</v>
      </c>
      <c r="AQ24" s="508" t="s">
        <v>2939</v>
      </c>
      <c r="AR24" s="508" t="s">
        <v>524</v>
      </c>
      <c r="AS24" s="508" t="s">
        <v>2968</v>
      </c>
      <c r="AT24" s="508" t="s">
        <v>1806</v>
      </c>
      <c r="AV24" s="508" t="s">
        <v>1807</v>
      </c>
      <c r="AX24" s="508" t="s">
        <v>2968</v>
      </c>
      <c r="AY24" s="508" t="s">
        <v>524</v>
      </c>
      <c r="AZ24" s="508">
        <v>2</v>
      </c>
      <c r="BA24" s="508" t="s">
        <v>46</v>
      </c>
      <c r="BB24" s="508" t="s">
        <v>19</v>
      </c>
      <c r="BC24" s="508">
        <v>2</v>
      </c>
      <c r="BD24" s="509">
        <v>46177</v>
      </c>
      <c r="BG24" s="508" t="s">
        <v>3557</v>
      </c>
      <c r="BH24" s="508" t="s">
        <v>2940</v>
      </c>
      <c r="BI24" s="508">
        <v>23</v>
      </c>
      <c r="BJ24" s="508">
        <v>42</v>
      </c>
    </row>
    <row r="25" spans="1:62" s="508" customFormat="1" ht="14.25" hidden="1" customHeight="1" x14ac:dyDescent="0.2">
      <c r="A25" s="495" t="s">
        <v>102</v>
      </c>
      <c r="B25" s="496"/>
      <c r="C25" s="497">
        <f>Таблица3[[#This Row],[Степень зрелости вспом]]</f>
        <v>50</v>
      </c>
      <c r="D25" s="498">
        <v>76</v>
      </c>
      <c r="E25" s="499"/>
      <c r="F25" s="496"/>
      <c r="G25" s="496">
        <v>15750</v>
      </c>
      <c r="H25" s="500"/>
      <c r="I25" s="496">
        <v>13308.8</v>
      </c>
      <c r="J25" s="495" t="s">
        <v>2939</v>
      </c>
      <c r="K25" s="495" t="s">
        <v>782</v>
      </c>
      <c r="L25" s="495" t="s">
        <v>2974</v>
      </c>
      <c r="M25" s="495" t="s">
        <v>311</v>
      </c>
      <c r="N25" s="495"/>
      <c r="O25" s="495"/>
      <c r="P25" s="495"/>
      <c r="Q25" s="495"/>
      <c r="R25" s="501" t="s">
        <v>315</v>
      </c>
      <c r="S25" s="495"/>
      <c r="T25" s="482" t="str">
        <f>VLOOKUP(Таблица3[[#This Row],[№ акта]],$AJ$1:$BJ$691,15,FALSE)</f>
        <v>А-22/1</v>
      </c>
      <c r="U25" s="482" t="str">
        <f>VLOOKUP(Таблица3[[#This Row],[№ акта]],$AJ$1:$BJ$691,16,FALSE)</f>
        <v>Тиара</v>
      </c>
      <c r="V25" s="502">
        <f>VLOOKUP(Таблица3[[#This Row],[№ акта]],$AJ$1:$BJ$691,17,FALSE)</f>
        <v>3.2</v>
      </c>
      <c r="W25" s="502" t="str">
        <f>VLOOKUP(Таблица3[[#This Row],[№ акта]],$AJ$1:$BJ$691,18,FALSE)</f>
        <v>ГРК (богара)</v>
      </c>
      <c r="X25" s="502" t="str">
        <f>VLOOKUP(Таблица3[[#This Row],[№ акта]],$AJ$1:$BJ$691,19,FALSE)</f>
        <v>богара</v>
      </c>
      <c r="Y25" s="503">
        <f>VLOOKUP(Таблица3[[#This Row],[№ акта]],$AJ$1:$BJ$691,20,FALSE)</f>
        <v>3</v>
      </c>
      <c r="Z25" s="504">
        <f>VLOOKUP(Таблица3[[#This Row],[№ акта]],$AJ$1:$BJ$691,21,FALSE)</f>
        <v>46179</v>
      </c>
      <c r="AA25" s="504"/>
      <c r="AB25" s="504" t="str">
        <f>IF(VLOOKUP(Таблица3[[#This Row],[№ акта]],$AJ$1:$BJ$691,23,FALSE)&lt;&gt;0,VLOOKUP(Таблица3[[#This Row],[№ акта]],$AJ$1:$BJ$691,23,FALSE),"-")</f>
        <v>-</v>
      </c>
      <c r="AC2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25" s="506" t="s">
        <v>2940</v>
      </c>
      <c r="AE25" s="505">
        <v>41</v>
      </c>
      <c r="AF25" s="507">
        <v>46179</v>
      </c>
      <c r="AG25" s="505">
        <v>24</v>
      </c>
      <c r="AH25" s="505">
        <f>IFERROR(VLOOKUP(Таблица3[[#This Row],[№ акта]],'Степень зрелости 2026'!$H$12:$I$800,2,FALSE),)</f>
        <v>50</v>
      </c>
      <c r="AJ25" s="508">
        <v>41</v>
      </c>
      <c r="AK25" s="509">
        <v>46179</v>
      </c>
      <c r="AL25" s="508">
        <v>76</v>
      </c>
      <c r="AO25" s="508">
        <v>15750</v>
      </c>
      <c r="AP25" s="508">
        <v>13308.8</v>
      </c>
      <c r="AQ25" s="508" t="s">
        <v>2939</v>
      </c>
      <c r="AR25" s="508" t="s">
        <v>782</v>
      </c>
      <c r="AS25" s="508" t="s">
        <v>2974</v>
      </c>
      <c r="AT25" s="508" t="s">
        <v>311</v>
      </c>
      <c r="AV25" s="508" t="s">
        <v>315</v>
      </c>
      <c r="AX25" s="508" t="s">
        <v>2974</v>
      </c>
      <c r="AY25" s="508" t="s">
        <v>782</v>
      </c>
      <c r="AZ25" s="508">
        <v>3.2</v>
      </c>
      <c r="BA25" s="508" t="s">
        <v>46</v>
      </c>
      <c r="BB25" s="508" t="s">
        <v>19</v>
      </c>
      <c r="BC25" s="508">
        <v>3</v>
      </c>
      <c r="BD25" s="509">
        <v>46179</v>
      </c>
      <c r="BG25" s="508" t="s">
        <v>3557</v>
      </c>
      <c r="BH25" s="508" t="s">
        <v>2940</v>
      </c>
      <c r="BI25" s="508">
        <v>24</v>
      </c>
      <c r="BJ25" s="508">
        <v>50</v>
      </c>
    </row>
    <row r="26" spans="1:62" s="508" customFormat="1" ht="14.25" hidden="1" customHeight="1" x14ac:dyDescent="0.2">
      <c r="A26" s="495" t="s">
        <v>102</v>
      </c>
      <c r="B26" s="496"/>
      <c r="C26" s="497">
        <f>Таблица3[[#This Row],[Степень зрелости вспом]]</f>
        <v>54</v>
      </c>
      <c r="D26" s="498">
        <v>77</v>
      </c>
      <c r="E26" s="499"/>
      <c r="F26" s="496"/>
      <c r="G26" s="496">
        <v>8900</v>
      </c>
      <c r="H26" s="500"/>
      <c r="I26" s="496">
        <v>7609.5</v>
      </c>
      <c r="J26" s="495" t="s">
        <v>2939</v>
      </c>
      <c r="K26" s="495" t="s">
        <v>782</v>
      </c>
      <c r="L26" s="495" t="s">
        <v>2974</v>
      </c>
      <c r="M26" s="495" t="s">
        <v>127</v>
      </c>
      <c r="N26" s="495"/>
      <c r="O26" s="495"/>
      <c r="P26" s="495"/>
      <c r="Q26" s="495"/>
      <c r="R26" s="501" t="s">
        <v>131</v>
      </c>
      <c r="S26" s="495"/>
      <c r="T26" s="482" t="str">
        <f>VLOOKUP(Таблица3[[#This Row],[№ акта]],$AJ$1:$BJ$691,15,FALSE)</f>
        <v>А-22/1</v>
      </c>
      <c r="U26" s="482" t="str">
        <f>VLOOKUP(Таблица3[[#This Row],[№ акта]],$AJ$1:$BJ$691,16,FALSE)</f>
        <v>Тиара</v>
      </c>
      <c r="V26" s="502">
        <f>VLOOKUP(Таблица3[[#This Row],[№ акта]],$AJ$1:$BJ$691,17,FALSE)</f>
        <v>1.8</v>
      </c>
      <c r="W26" s="502" t="str">
        <f>VLOOKUP(Таблица3[[#This Row],[№ акта]],$AJ$1:$BJ$691,18,FALSE)</f>
        <v>ГРК (богара)</v>
      </c>
      <c r="X26" s="502" t="str">
        <f>VLOOKUP(Таблица3[[#This Row],[№ акта]],$AJ$1:$BJ$691,19,FALSE)</f>
        <v>богара</v>
      </c>
      <c r="Y26" s="503">
        <f>VLOOKUP(Таблица3[[#This Row],[№ акта]],$AJ$1:$BJ$691,20,FALSE)</f>
        <v>3</v>
      </c>
      <c r="Z26" s="504">
        <f>VLOOKUP(Таблица3[[#This Row],[№ акта]],$AJ$1:$BJ$691,21,FALSE)</f>
        <v>46179</v>
      </c>
      <c r="AA26" s="504"/>
      <c r="AB26" s="504" t="str">
        <f>IF(VLOOKUP(Таблица3[[#This Row],[№ акта]],$AJ$1:$BJ$691,23,FALSE)&lt;&gt;0,VLOOKUP(Таблица3[[#This Row],[№ акта]],$AJ$1:$BJ$691,23,FALSE),"-")</f>
        <v>-</v>
      </c>
      <c r="AC2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6" s="506" t="s">
        <v>2940</v>
      </c>
      <c r="AE26" s="505">
        <v>37</v>
      </c>
      <c r="AF26" s="507">
        <v>46179</v>
      </c>
      <c r="AG26" s="505">
        <v>25</v>
      </c>
      <c r="AH26" s="505">
        <f>IFERROR(VLOOKUP(Таблица3[[#This Row],[№ акта]],'Степень зрелости 2026'!$H$12:$I$800,2,FALSE),)</f>
        <v>54</v>
      </c>
      <c r="AJ26" s="508">
        <v>37</v>
      </c>
      <c r="AK26" s="509">
        <v>46179</v>
      </c>
      <c r="AL26" s="508">
        <v>77</v>
      </c>
      <c r="AO26" s="508">
        <v>8900</v>
      </c>
      <c r="AP26" s="508">
        <v>7609.5</v>
      </c>
      <c r="AQ26" s="508" t="s">
        <v>2939</v>
      </c>
      <c r="AR26" s="508" t="s">
        <v>782</v>
      </c>
      <c r="AS26" s="508" t="s">
        <v>2974</v>
      </c>
      <c r="AT26" s="508" t="s">
        <v>127</v>
      </c>
      <c r="AV26" s="508" t="s">
        <v>131</v>
      </c>
      <c r="AX26" s="508" t="s">
        <v>2974</v>
      </c>
      <c r="AY26" s="508" t="s">
        <v>782</v>
      </c>
      <c r="AZ26" s="508">
        <v>1.8</v>
      </c>
      <c r="BA26" s="508" t="s">
        <v>46</v>
      </c>
      <c r="BB26" s="508" t="s">
        <v>19</v>
      </c>
      <c r="BC26" s="508">
        <v>3</v>
      </c>
      <c r="BD26" s="509">
        <v>46179</v>
      </c>
      <c r="BG26" s="508" t="s">
        <v>724</v>
      </c>
      <c r="BH26" s="508" t="s">
        <v>2940</v>
      </c>
      <c r="BI26" s="508">
        <v>25</v>
      </c>
      <c r="BJ26" s="508">
        <v>54</v>
      </c>
    </row>
    <row r="27" spans="1:62" s="508" customFormat="1" ht="14.25" hidden="1" customHeight="1" x14ac:dyDescent="0.2">
      <c r="A27" s="495" t="s">
        <v>102</v>
      </c>
      <c r="B27" s="496"/>
      <c r="C27" s="497">
        <f>Таблица3[[#This Row],[Степень зрелости вспом]]</f>
        <v>46</v>
      </c>
      <c r="D27" s="498">
        <v>84</v>
      </c>
      <c r="E27" s="499"/>
      <c r="F27" s="496"/>
      <c r="G27" s="496">
        <v>4550</v>
      </c>
      <c r="H27" s="500"/>
      <c r="I27" s="496">
        <v>3617.2</v>
      </c>
      <c r="J27" s="495" t="s">
        <v>2939</v>
      </c>
      <c r="K27" s="495" t="s">
        <v>782</v>
      </c>
      <c r="L27" s="495" t="s">
        <v>2966</v>
      </c>
      <c r="M27" s="495" t="s">
        <v>737</v>
      </c>
      <c r="N27" s="495"/>
      <c r="O27" s="495"/>
      <c r="P27" s="495"/>
      <c r="Q27" s="495"/>
      <c r="R27" s="501" t="s">
        <v>738</v>
      </c>
      <c r="S27" s="495"/>
      <c r="T27" s="482" t="str">
        <f>VLOOKUP(Таблица3[[#This Row],[№ акта]],$AJ$1:$BJ$691,15,FALSE)</f>
        <v>А-4/1</v>
      </c>
      <c r="U27" s="482" t="str">
        <f>VLOOKUP(Таблица3[[#This Row],[№ акта]],$AJ$1:$BJ$691,16,FALSE)</f>
        <v>Тиара</v>
      </c>
      <c r="V27" s="502">
        <f>VLOOKUP(Таблица3[[#This Row],[№ акта]],$AJ$1:$BJ$691,17,FALSE)</f>
        <v>0.8</v>
      </c>
      <c r="W27" s="502" t="str">
        <f>VLOOKUP(Таблица3[[#This Row],[№ акта]],$AJ$1:$BJ$691,18,FALSE)</f>
        <v>ГРК (богара)</v>
      </c>
      <c r="X27" s="502" t="str">
        <f>VLOOKUP(Таблица3[[#This Row],[№ акта]],$AJ$1:$BJ$691,19,FALSE)</f>
        <v>богара</v>
      </c>
      <c r="Y27" s="503">
        <f>VLOOKUP(Таблица3[[#This Row],[№ акта]],$AJ$1:$BJ$691,20,FALSE)</f>
        <v>3</v>
      </c>
      <c r="Z27" s="504">
        <f>VLOOKUP(Таблица3[[#This Row],[№ акта]],$AJ$1:$BJ$691,21,FALSE)</f>
        <v>46179</v>
      </c>
      <c r="AA27" s="504"/>
      <c r="AB27" s="504" t="str">
        <f>IF(VLOOKUP(Таблица3[[#This Row],[№ акта]],$AJ$1:$BJ$691,23,FALSE)&lt;&gt;0,VLOOKUP(Таблица3[[#This Row],[№ акта]],$AJ$1:$BJ$691,23,FALSE),"-")</f>
        <v>-</v>
      </c>
      <c r="AC2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27" s="506" t="s">
        <v>2940</v>
      </c>
      <c r="AE27" s="505">
        <v>42</v>
      </c>
      <c r="AF27" s="507">
        <v>46179</v>
      </c>
      <c r="AG27" s="505">
        <v>26</v>
      </c>
      <c r="AH27" s="505">
        <f>IFERROR(VLOOKUP(Таблица3[[#This Row],[№ акта]],'Степень зрелости 2026'!$H$12:$I$800,2,FALSE),)</f>
        <v>46</v>
      </c>
      <c r="AJ27" s="508">
        <v>42</v>
      </c>
      <c r="AK27" s="509">
        <v>46179</v>
      </c>
      <c r="AL27" s="508">
        <v>84</v>
      </c>
      <c r="AO27" s="508">
        <v>4550</v>
      </c>
      <c r="AP27" s="508">
        <v>3617.2</v>
      </c>
      <c r="AQ27" s="508" t="s">
        <v>2939</v>
      </c>
      <c r="AR27" s="508" t="s">
        <v>782</v>
      </c>
      <c r="AS27" s="508" t="s">
        <v>2966</v>
      </c>
      <c r="AT27" s="508" t="s">
        <v>737</v>
      </c>
      <c r="AV27" s="508" t="s">
        <v>738</v>
      </c>
      <c r="AX27" s="508" t="s">
        <v>2935</v>
      </c>
      <c r="AY27" s="508" t="s">
        <v>782</v>
      </c>
      <c r="AZ27" s="508">
        <v>0.8</v>
      </c>
      <c r="BA27" s="508" t="s">
        <v>46</v>
      </c>
      <c r="BB27" s="508" t="s">
        <v>19</v>
      </c>
      <c r="BC27" s="508">
        <v>3</v>
      </c>
      <c r="BD27" s="509">
        <v>46179</v>
      </c>
      <c r="BG27" s="508" t="s">
        <v>3557</v>
      </c>
      <c r="BH27" s="508" t="s">
        <v>2940</v>
      </c>
      <c r="BI27" s="508">
        <v>26</v>
      </c>
      <c r="BJ27" s="508">
        <v>46</v>
      </c>
    </row>
    <row r="28" spans="1:62" s="508" customFormat="1" ht="14.25" hidden="1" customHeight="1" x14ac:dyDescent="0.2">
      <c r="A28" s="495" t="s">
        <v>102</v>
      </c>
      <c r="B28" s="496"/>
      <c r="C28" s="497">
        <f>Таблица3[[#This Row],[Степень зрелости вспом]]</f>
        <v>47</v>
      </c>
      <c r="D28" s="498">
        <v>85</v>
      </c>
      <c r="E28" s="499"/>
      <c r="F28" s="496"/>
      <c r="G28" s="496">
        <v>13630</v>
      </c>
      <c r="H28" s="500"/>
      <c r="I28" s="496">
        <v>10835.8</v>
      </c>
      <c r="J28" s="495" t="s">
        <v>2939</v>
      </c>
      <c r="K28" s="495" t="s">
        <v>782</v>
      </c>
      <c r="L28" s="495" t="s">
        <v>2966</v>
      </c>
      <c r="M28" s="495" t="s">
        <v>347</v>
      </c>
      <c r="N28" s="495"/>
      <c r="O28" s="495"/>
      <c r="P28" s="495"/>
      <c r="Q28" s="495"/>
      <c r="R28" s="501" t="s">
        <v>351</v>
      </c>
      <c r="S28" s="495"/>
      <c r="T28" s="482" t="str">
        <f>VLOOKUP(Таблица3[[#This Row],[№ акта]],$AJ$1:$BJ$691,15,FALSE)</f>
        <v>А-4/1</v>
      </c>
      <c r="U28" s="482" t="str">
        <f>VLOOKUP(Таблица3[[#This Row],[№ акта]],$AJ$1:$BJ$691,16,FALSE)</f>
        <v>Тиара</v>
      </c>
      <c r="V28" s="502">
        <f>VLOOKUP(Таблица3[[#This Row],[№ акта]],$AJ$1:$BJ$691,17,FALSE)</f>
        <v>2.2999999999999998</v>
      </c>
      <c r="W28" s="502" t="str">
        <f>VLOOKUP(Таблица3[[#This Row],[№ акта]],$AJ$1:$BJ$691,18,FALSE)</f>
        <v>ГРК (богара)</v>
      </c>
      <c r="X28" s="502" t="str">
        <f>VLOOKUP(Таблица3[[#This Row],[№ акта]],$AJ$1:$BJ$691,19,FALSE)</f>
        <v>богара</v>
      </c>
      <c r="Y28" s="503">
        <f>VLOOKUP(Таблица3[[#This Row],[№ акта]],$AJ$1:$BJ$691,20,FALSE)</f>
        <v>3</v>
      </c>
      <c r="Z28" s="504">
        <f>VLOOKUP(Таблица3[[#This Row],[№ акта]],$AJ$1:$BJ$691,21,FALSE)</f>
        <v>46179</v>
      </c>
      <c r="AA28" s="504"/>
      <c r="AB28" s="504" t="str">
        <f>IF(VLOOKUP(Таблица3[[#This Row],[№ акта]],$AJ$1:$BJ$691,23,FALSE)&lt;&gt;0,VLOOKUP(Таблица3[[#This Row],[№ акта]],$AJ$1:$BJ$691,23,FALSE),"-")</f>
        <v>-</v>
      </c>
      <c r="AC2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28" s="506" t="s">
        <v>2940</v>
      </c>
      <c r="AE28" s="505">
        <v>43</v>
      </c>
      <c r="AF28" s="507">
        <v>46179</v>
      </c>
      <c r="AG28" s="505">
        <v>27</v>
      </c>
      <c r="AH28" s="505">
        <f>IFERROR(VLOOKUP(Таблица3[[#This Row],[№ акта]],'Степень зрелости 2026'!$H$12:$I$800,2,FALSE),)</f>
        <v>47</v>
      </c>
      <c r="AJ28" s="508">
        <v>43</v>
      </c>
      <c r="AK28" s="509">
        <v>46179</v>
      </c>
      <c r="AL28" s="508">
        <v>85</v>
      </c>
      <c r="AO28" s="508">
        <v>13630</v>
      </c>
      <c r="AP28" s="508">
        <v>10835.8</v>
      </c>
      <c r="AQ28" s="508" t="s">
        <v>2939</v>
      </c>
      <c r="AR28" s="508" t="s">
        <v>782</v>
      </c>
      <c r="AS28" s="508" t="s">
        <v>2966</v>
      </c>
      <c r="AT28" s="508" t="s">
        <v>347</v>
      </c>
      <c r="AV28" s="508" t="s">
        <v>351</v>
      </c>
      <c r="AX28" s="508" t="s">
        <v>2935</v>
      </c>
      <c r="AY28" s="508" t="s">
        <v>782</v>
      </c>
      <c r="AZ28" s="508">
        <v>2.2999999999999998</v>
      </c>
      <c r="BA28" s="508" t="s">
        <v>46</v>
      </c>
      <c r="BB28" s="508" t="s">
        <v>19</v>
      </c>
      <c r="BC28" s="508">
        <v>3</v>
      </c>
      <c r="BD28" s="509">
        <v>46179</v>
      </c>
      <c r="BG28" s="508" t="s">
        <v>3557</v>
      </c>
      <c r="BH28" s="508" t="s">
        <v>2940</v>
      </c>
      <c r="BI28" s="508">
        <v>27</v>
      </c>
      <c r="BJ28" s="508">
        <v>47</v>
      </c>
    </row>
    <row r="29" spans="1:62" s="508" customFormat="1" ht="14.25" hidden="1" customHeight="1" x14ac:dyDescent="0.2">
      <c r="A29" s="495" t="s">
        <v>102</v>
      </c>
      <c r="B29" s="496"/>
      <c r="C29" s="497">
        <f>Таблица3[[#This Row],[Степень зрелости вспом]]</f>
        <v>47</v>
      </c>
      <c r="D29" s="498">
        <v>86</v>
      </c>
      <c r="E29" s="499"/>
      <c r="F29" s="496"/>
      <c r="G29" s="496">
        <v>13840</v>
      </c>
      <c r="H29" s="500"/>
      <c r="I29" s="496">
        <v>10726</v>
      </c>
      <c r="J29" s="495" t="s">
        <v>2939</v>
      </c>
      <c r="K29" s="495" t="s">
        <v>782</v>
      </c>
      <c r="L29" s="495" t="s">
        <v>2935</v>
      </c>
      <c r="M29" s="495" t="s">
        <v>1806</v>
      </c>
      <c r="N29" s="495"/>
      <c r="O29" s="495"/>
      <c r="P29" s="495"/>
      <c r="Q29" s="495"/>
      <c r="R29" s="501" t="s">
        <v>1807</v>
      </c>
      <c r="S29" s="495"/>
      <c r="T29" s="482" t="str">
        <f>VLOOKUP(Таблица3[[#This Row],[№ акта]],$AJ$1:$BJ$691,15,FALSE)</f>
        <v>А-4/1</v>
      </c>
      <c r="U29" s="482" t="str">
        <f>VLOOKUP(Таблица3[[#This Row],[№ акта]],$AJ$1:$BJ$691,16,FALSE)</f>
        <v>Тиара</v>
      </c>
      <c r="V29" s="502">
        <f>VLOOKUP(Таблица3[[#This Row],[№ акта]],$AJ$1:$BJ$691,17,FALSE)</f>
        <v>2.4</v>
      </c>
      <c r="W29" s="502" t="str">
        <f>VLOOKUP(Таблица3[[#This Row],[№ акта]],$AJ$1:$BJ$691,18,FALSE)</f>
        <v>ГРК (богара)</v>
      </c>
      <c r="X29" s="502" t="str">
        <f>VLOOKUP(Таблица3[[#This Row],[№ акта]],$AJ$1:$BJ$691,19,FALSE)</f>
        <v>богара</v>
      </c>
      <c r="Y29" s="503">
        <f>VLOOKUP(Таблица3[[#This Row],[№ акта]],$AJ$1:$BJ$691,20,FALSE)</f>
        <v>3</v>
      </c>
      <c r="Z29" s="504">
        <f>VLOOKUP(Таблица3[[#This Row],[№ акта]],$AJ$1:$BJ$691,21,FALSE)</f>
        <v>46179</v>
      </c>
      <c r="AA29" s="504"/>
      <c r="AB29" s="504" t="str">
        <f>IF(VLOOKUP(Таблица3[[#This Row],[№ акта]],$AJ$1:$BJ$691,23,FALSE)&lt;&gt;0,VLOOKUP(Таблица3[[#This Row],[№ акта]],$AJ$1:$BJ$691,23,FALSE),"-")</f>
        <v>-</v>
      </c>
      <c r="AC2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29" s="506" t="s">
        <v>2940</v>
      </c>
      <c r="AE29" s="505">
        <v>44</v>
      </c>
      <c r="AF29" s="507">
        <v>46179</v>
      </c>
      <c r="AG29" s="505">
        <v>28</v>
      </c>
      <c r="AH29" s="505">
        <f>IFERROR(VLOOKUP(Таблица3[[#This Row],[№ акта]],'Степень зрелости 2026'!$H$12:$I$800,2,FALSE),)</f>
        <v>47</v>
      </c>
      <c r="AJ29" s="508">
        <v>44</v>
      </c>
      <c r="AK29" s="509">
        <v>46179</v>
      </c>
      <c r="AL29" s="508">
        <v>86</v>
      </c>
      <c r="AO29" s="508">
        <v>13840</v>
      </c>
      <c r="AP29" s="508">
        <v>10726</v>
      </c>
      <c r="AQ29" s="508" t="s">
        <v>2939</v>
      </c>
      <c r="AR29" s="508" t="s">
        <v>782</v>
      </c>
      <c r="AS29" s="508" t="s">
        <v>2935</v>
      </c>
      <c r="AT29" s="508" t="s">
        <v>1806</v>
      </c>
      <c r="AV29" s="508" t="s">
        <v>1807</v>
      </c>
      <c r="AX29" s="508" t="s">
        <v>2935</v>
      </c>
      <c r="AY29" s="508" t="s">
        <v>782</v>
      </c>
      <c r="AZ29" s="508">
        <v>2.4</v>
      </c>
      <c r="BA29" s="508" t="s">
        <v>46</v>
      </c>
      <c r="BB29" s="508" t="s">
        <v>19</v>
      </c>
      <c r="BC29" s="508">
        <v>3</v>
      </c>
      <c r="BD29" s="509">
        <v>46179</v>
      </c>
      <c r="BG29" s="508" t="s">
        <v>3557</v>
      </c>
      <c r="BH29" s="508" t="s">
        <v>2940</v>
      </c>
      <c r="BI29" s="508">
        <v>28</v>
      </c>
      <c r="BJ29" s="508">
        <v>47</v>
      </c>
    </row>
    <row r="30" spans="1:62" s="508" customFormat="1" ht="14.25" hidden="1" customHeight="1" x14ac:dyDescent="0.2">
      <c r="A30" s="495" t="s">
        <v>102</v>
      </c>
      <c r="B30" s="496"/>
      <c r="C30" s="497">
        <f>Таблица3[[#This Row],[Степень зрелости вспом]]</f>
        <v>44</v>
      </c>
      <c r="D30" s="498">
        <v>87</v>
      </c>
      <c r="E30" s="499"/>
      <c r="F30" s="496"/>
      <c r="G30" s="496">
        <v>13640</v>
      </c>
      <c r="H30" s="500"/>
      <c r="I30" s="496">
        <v>10707.4</v>
      </c>
      <c r="J30" s="495" t="s">
        <v>2939</v>
      </c>
      <c r="K30" s="495" t="s">
        <v>782</v>
      </c>
      <c r="L30" s="495" t="s">
        <v>2935</v>
      </c>
      <c r="M30" s="495" t="s">
        <v>311</v>
      </c>
      <c r="N30" s="495"/>
      <c r="O30" s="495"/>
      <c r="P30" s="495"/>
      <c r="Q30" s="495"/>
      <c r="R30" s="501" t="s">
        <v>315</v>
      </c>
      <c r="S30" s="495"/>
      <c r="T30" s="482" t="str">
        <f>VLOOKUP(Таблица3[[#This Row],[№ акта]],$AJ$1:$BJ$691,15,FALSE)</f>
        <v>А-4/1</v>
      </c>
      <c r="U30" s="482" t="str">
        <f>VLOOKUP(Таблица3[[#This Row],[№ акта]],$AJ$1:$BJ$691,16,FALSE)</f>
        <v>Тиара</v>
      </c>
      <c r="V30" s="502">
        <f>VLOOKUP(Таблица3[[#This Row],[№ акта]],$AJ$1:$BJ$691,17,FALSE)</f>
        <v>2.2999999999999998</v>
      </c>
      <c r="W30" s="502" t="str">
        <f>VLOOKUP(Таблица3[[#This Row],[№ акта]],$AJ$1:$BJ$691,18,FALSE)</f>
        <v>ГРК (богара)</v>
      </c>
      <c r="X30" s="502" t="str">
        <f>VLOOKUP(Таблица3[[#This Row],[№ акта]],$AJ$1:$BJ$691,19,FALSE)</f>
        <v>богара</v>
      </c>
      <c r="Y30" s="503">
        <f>VLOOKUP(Таблица3[[#This Row],[№ акта]],$AJ$1:$BJ$691,20,FALSE)</f>
        <v>3</v>
      </c>
      <c r="Z30" s="504">
        <f>VLOOKUP(Таблица3[[#This Row],[№ акта]],$AJ$1:$BJ$691,21,FALSE)</f>
        <v>46179</v>
      </c>
      <c r="AA30" s="504"/>
      <c r="AB30" s="504" t="str">
        <f>IF(VLOOKUP(Таблица3[[#This Row],[№ акта]],$AJ$1:$BJ$691,23,FALSE)&lt;&gt;0,VLOOKUP(Таблица3[[#This Row],[№ акта]],$AJ$1:$BJ$691,23,FALSE),"-")</f>
        <v>-</v>
      </c>
      <c r="AC3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0" s="506" t="s">
        <v>2940</v>
      </c>
      <c r="AE30" s="505">
        <v>45</v>
      </c>
      <c r="AF30" s="507">
        <v>46179</v>
      </c>
      <c r="AG30" s="505">
        <v>29</v>
      </c>
      <c r="AH30" s="505">
        <f>IFERROR(VLOOKUP(Таблица3[[#This Row],[№ акта]],'Степень зрелости 2026'!$H$12:$I$800,2,FALSE),)</f>
        <v>44</v>
      </c>
      <c r="AJ30" s="508">
        <v>45</v>
      </c>
      <c r="AK30" s="509">
        <v>46179</v>
      </c>
      <c r="AL30" s="508">
        <v>87</v>
      </c>
      <c r="AO30" s="508">
        <v>13640</v>
      </c>
      <c r="AP30" s="508">
        <v>10707.4</v>
      </c>
      <c r="AQ30" s="508" t="s">
        <v>2939</v>
      </c>
      <c r="AR30" s="508" t="s">
        <v>782</v>
      </c>
      <c r="AS30" s="508" t="s">
        <v>2935</v>
      </c>
      <c r="AT30" s="508" t="s">
        <v>311</v>
      </c>
      <c r="AV30" s="508" t="s">
        <v>315</v>
      </c>
      <c r="AX30" s="508" t="s">
        <v>2935</v>
      </c>
      <c r="AY30" s="508" t="s">
        <v>782</v>
      </c>
      <c r="AZ30" s="508">
        <v>2.2999999999999998</v>
      </c>
      <c r="BA30" s="508" t="s">
        <v>46</v>
      </c>
      <c r="BB30" s="508" t="s">
        <v>19</v>
      </c>
      <c r="BC30" s="508">
        <v>3</v>
      </c>
      <c r="BD30" s="509">
        <v>46179</v>
      </c>
      <c r="BG30" s="508" t="s">
        <v>3557</v>
      </c>
      <c r="BH30" s="508" t="s">
        <v>2940</v>
      </c>
      <c r="BI30" s="508">
        <v>29</v>
      </c>
      <c r="BJ30" s="508">
        <v>44</v>
      </c>
    </row>
    <row r="31" spans="1:62" s="508" customFormat="1" ht="14.25" hidden="1" customHeight="1" x14ac:dyDescent="0.2">
      <c r="A31" s="495" t="s">
        <v>102</v>
      </c>
      <c r="B31" s="496"/>
      <c r="C31" s="497">
        <f>Таблица3[[#This Row],[Степень зрелости вспом]]</f>
        <v>43</v>
      </c>
      <c r="D31" s="498">
        <v>88</v>
      </c>
      <c r="E31" s="499"/>
      <c r="F31" s="496"/>
      <c r="G31" s="496">
        <v>4660</v>
      </c>
      <c r="H31" s="500"/>
      <c r="I31" s="496">
        <v>3658.1</v>
      </c>
      <c r="J31" s="495" t="s">
        <v>2939</v>
      </c>
      <c r="K31" s="495" t="s">
        <v>782</v>
      </c>
      <c r="L31" s="495" t="s">
        <v>2966</v>
      </c>
      <c r="M31" s="495" t="s">
        <v>737</v>
      </c>
      <c r="N31" s="495"/>
      <c r="O31" s="495"/>
      <c r="P31" s="495"/>
      <c r="Q31" s="495"/>
      <c r="R31" s="501" t="s">
        <v>738</v>
      </c>
      <c r="S31" s="495"/>
      <c r="T31" s="482" t="str">
        <f>VLOOKUP(Таблица3[[#This Row],[№ акта]],$AJ$1:$BJ$691,15,FALSE)</f>
        <v>А-4/1</v>
      </c>
      <c r="U31" s="482" t="str">
        <f>VLOOKUP(Таблица3[[#This Row],[№ акта]],$AJ$1:$BJ$691,16,FALSE)</f>
        <v>Тиара</v>
      </c>
      <c r="V31" s="502">
        <f>VLOOKUP(Таблица3[[#This Row],[№ акта]],$AJ$1:$BJ$691,17,FALSE)</f>
        <v>0.8</v>
      </c>
      <c r="W31" s="502" t="str">
        <f>VLOOKUP(Таблица3[[#This Row],[№ акта]],$AJ$1:$BJ$691,18,FALSE)</f>
        <v>ГРК (богара)</v>
      </c>
      <c r="X31" s="502" t="str">
        <f>VLOOKUP(Таблица3[[#This Row],[№ акта]],$AJ$1:$BJ$691,19,FALSE)</f>
        <v>богара</v>
      </c>
      <c r="Y31" s="503">
        <f>VLOOKUP(Таблица3[[#This Row],[№ акта]],$AJ$1:$BJ$691,20,FALSE)</f>
        <v>3</v>
      </c>
      <c r="Z31" s="504">
        <f>VLOOKUP(Таблица3[[#This Row],[№ акта]],$AJ$1:$BJ$691,21,FALSE)</f>
        <v>46179</v>
      </c>
      <c r="AA31" s="504"/>
      <c r="AB31" s="504" t="str">
        <f>IF(VLOOKUP(Таблица3[[#This Row],[№ акта]],$AJ$1:$BJ$691,23,FALSE)&lt;&gt;0,VLOOKUP(Таблица3[[#This Row],[№ акта]],$AJ$1:$BJ$691,23,FALSE),"-")</f>
        <v>-</v>
      </c>
      <c r="AC3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1" s="506" t="s">
        <v>2940</v>
      </c>
      <c r="AE31" s="505">
        <v>46</v>
      </c>
      <c r="AF31" s="507">
        <v>46179</v>
      </c>
      <c r="AG31" s="505">
        <v>30</v>
      </c>
      <c r="AH31" s="505">
        <f>IFERROR(VLOOKUP(Таблица3[[#This Row],[№ акта]],'Степень зрелости 2026'!$H$12:$I$800,2,FALSE),)</f>
        <v>43</v>
      </c>
      <c r="AJ31" s="508">
        <v>46</v>
      </c>
      <c r="AK31" s="509">
        <v>46179</v>
      </c>
      <c r="AL31" s="508">
        <v>88</v>
      </c>
      <c r="AO31" s="508">
        <v>4660</v>
      </c>
      <c r="AP31" s="508">
        <v>3658.1</v>
      </c>
      <c r="AQ31" s="508" t="s">
        <v>2939</v>
      </c>
      <c r="AR31" s="508" t="s">
        <v>782</v>
      </c>
      <c r="AS31" s="508" t="s">
        <v>2966</v>
      </c>
      <c r="AT31" s="508" t="s">
        <v>737</v>
      </c>
      <c r="AV31" s="508" t="s">
        <v>738</v>
      </c>
      <c r="AX31" s="508" t="s">
        <v>2935</v>
      </c>
      <c r="AY31" s="508" t="s">
        <v>782</v>
      </c>
      <c r="AZ31" s="508">
        <v>0.8</v>
      </c>
      <c r="BA31" s="508" t="s">
        <v>46</v>
      </c>
      <c r="BB31" s="508" t="s">
        <v>19</v>
      </c>
      <c r="BC31" s="508">
        <v>3</v>
      </c>
      <c r="BD31" s="509">
        <v>46179</v>
      </c>
      <c r="BG31" s="508" t="s">
        <v>3557</v>
      </c>
      <c r="BH31" s="508" t="s">
        <v>2940</v>
      </c>
      <c r="BI31" s="508">
        <v>30</v>
      </c>
      <c r="BJ31" s="508">
        <v>43</v>
      </c>
    </row>
    <row r="32" spans="1:62" s="508" customFormat="1" ht="14.25" hidden="1" customHeight="1" x14ac:dyDescent="0.2">
      <c r="A32" s="495" t="s">
        <v>102</v>
      </c>
      <c r="B32" s="496"/>
      <c r="C32" s="497">
        <f>Таблица3[[#This Row],[Степень зрелости вспом]]</f>
        <v>47</v>
      </c>
      <c r="D32" s="498">
        <v>89</v>
      </c>
      <c r="E32" s="499"/>
      <c r="F32" s="496"/>
      <c r="G32" s="496">
        <v>13710</v>
      </c>
      <c r="H32" s="500"/>
      <c r="I32" s="496">
        <v>10762.4</v>
      </c>
      <c r="J32" s="495" t="s">
        <v>2939</v>
      </c>
      <c r="K32" s="495" t="s">
        <v>782</v>
      </c>
      <c r="L32" s="495" t="s">
        <v>2935</v>
      </c>
      <c r="M32" s="495" t="s">
        <v>127</v>
      </c>
      <c r="N32" s="495"/>
      <c r="O32" s="495"/>
      <c r="P32" s="495"/>
      <c r="Q32" s="495"/>
      <c r="R32" s="501" t="s">
        <v>131</v>
      </c>
      <c r="S32" s="495"/>
      <c r="T32" s="482" t="str">
        <f>VLOOKUP(Таблица3[[#This Row],[№ акта]],$AJ$1:$BJ$691,15,FALSE)</f>
        <v>А-4/1</v>
      </c>
      <c r="U32" s="482" t="str">
        <f>VLOOKUP(Таблица3[[#This Row],[№ акта]],$AJ$1:$BJ$691,16,FALSE)</f>
        <v>Тиара</v>
      </c>
      <c r="V32" s="502">
        <f>VLOOKUP(Таблица3[[#This Row],[№ акта]],$AJ$1:$BJ$691,17,FALSE)</f>
        <v>2.4</v>
      </c>
      <c r="W32" s="502" t="str">
        <f>VLOOKUP(Таблица3[[#This Row],[№ акта]],$AJ$1:$BJ$691,18,FALSE)</f>
        <v>ГРК (богара)</v>
      </c>
      <c r="X32" s="502" t="str">
        <f>VLOOKUP(Таблица3[[#This Row],[№ акта]],$AJ$1:$BJ$691,19,FALSE)</f>
        <v>богара</v>
      </c>
      <c r="Y32" s="503">
        <f>VLOOKUP(Таблица3[[#This Row],[№ акта]],$AJ$1:$BJ$691,20,FALSE)</f>
        <v>3</v>
      </c>
      <c r="Z32" s="504">
        <f>VLOOKUP(Таблица3[[#This Row],[№ акта]],$AJ$1:$BJ$691,21,FALSE)</f>
        <v>46179</v>
      </c>
      <c r="AA32" s="504"/>
      <c r="AB32" s="504" t="str">
        <f>IF(VLOOKUP(Таблица3[[#This Row],[№ акта]],$AJ$1:$BJ$691,23,FALSE)&lt;&gt;0,VLOOKUP(Таблица3[[#This Row],[№ акта]],$AJ$1:$BJ$691,23,FALSE),"-")</f>
        <v>-</v>
      </c>
      <c r="AC3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2" s="506" t="s">
        <v>2940</v>
      </c>
      <c r="AE32" s="505">
        <v>47</v>
      </c>
      <c r="AF32" s="507">
        <v>46179</v>
      </c>
      <c r="AG32" s="505">
        <v>31</v>
      </c>
      <c r="AH32" s="505">
        <f>IFERROR(VLOOKUP(Таблица3[[#This Row],[№ акта]],'Степень зрелости 2026'!$H$12:$I$800,2,FALSE),)</f>
        <v>47</v>
      </c>
      <c r="AJ32" s="508">
        <v>47</v>
      </c>
      <c r="AK32" s="509">
        <v>46179</v>
      </c>
      <c r="AL32" s="508">
        <v>89</v>
      </c>
      <c r="AO32" s="508">
        <v>13710</v>
      </c>
      <c r="AP32" s="508">
        <v>10762.4</v>
      </c>
      <c r="AQ32" s="508" t="s">
        <v>2939</v>
      </c>
      <c r="AR32" s="508" t="s">
        <v>782</v>
      </c>
      <c r="AS32" s="508" t="s">
        <v>2935</v>
      </c>
      <c r="AT32" s="508" t="s">
        <v>127</v>
      </c>
      <c r="AV32" s="508" t="s">
        <v>131</v>
      </c>
      <c r="AX32" s="508" t="s">
        <v>2935</v>
      </c>
      <c r="AY32" s="508" t="s">
        <v>782</v>
      </c>
      <c r="AZ32" s="508">
        <v>2.4</v>
      </c>
      <c r="BA32" s="508" t="s">
        <v>46</v>
      </c>
      <c r="BB32" s="508" t="s">
        <v>19</v>
      </c>
      <c r="BC32" s="508">
        <v>3</v>
      </c>
      <c r="BD32" s="509">
        <v>46179</v>
      </c>
      <c r="BG32" s="508" t="s">
        <v>3557</v>
      </c>
      <c r="BH32" s="508" t="s">
        <v>2940</v>
      </c>
      <c r="BI32" s="508">
        <v>31</v>
      </c>
      <c r="BJ32" s="508">
        <v>47</v>
      </c>
    </row>
    <row r="33" spans="1:62" s="508" customFormat="1" ht="14.25" hidden="1" customHeight="1" x14ac:dyDescent="0.2">
      <c r="A33" s="495" t="s">
        <v>102</v>
      </c>
      <c r="B33" s="496"/>
      <c r="C33" s="497">
        <f>Таблица3[[#This Row],[Степень зрелости вспом]]</f>
        <v>45</v>
      </c>
      <c r="D33" s="498">
        <v>90</v>
      </c>
      <c r="E33" s="499"/>
      <c r="F33" s="496"/>
      <c r="G33" s="496">
        <v>14310</v>
      </c>
      <c r="H33" s="500"/>
      <c r="I33" s="496">
        <v>11233.3</v>
      </c>
      <c r="J33" s="495" t="s">
        <v>2939</v>
      </c>
      <c r="K33" s="495" t="s">
        <v>782</v>
      </c>
      <c r="L33" s="495" t="s">
        <v>2966</v>
      </c>
      <c r="M33" s="495" t="s">
        <v>347</v>
      </c>
      <c r="N33" s="495"/>
      <c r="O33" s="495"/>
      <c r="P33" s="495"/>
      <c r="Q33" s="495"/>
      <c r="R33" s="501" t="s">
        <v>351</v>
      </c>
      <c r="S33" s="495"/>
      <c r="T33" s="482" t="str">
        <f>VLOOKUP(Таблица3[[#This Row],[№ акта]],$AJ$1:$BJ$691,15,FALSE)</f>
        <v>А-4/1</v>
      </c>
      <c r="U33" s="482" t="str">
        <f>VLOOKUP(Таблица3[[#This Row],[№ акта]],$AJ$1:$BJ$691,16,FALSE)</f>
        <v>Тиара</v>
      </c>
      <c r="V33" s="502">
        <f>VLOOKUP(Таблица3[[#This Row],[№ акта]],$AJ$1:$BJ$691,17,FALSE)</f>
        <v>2.5</v>
      </c>
      <c r="W33" s="502" t="str">
        <f>VLOOKUP(Таблица3[[#This Row],[№ акта]],$AJ$1:$BJ$691,18,FALSE)</f>
        <v>ГРК (богара)</v>
      </c>
      <c r="X33" s="502" t="str">
        <f>VLOOKUP(Таблица3[[#This Row],[№ акта]],$AJ$1:$BJ$691,19,FALSE)</f>
        <v>богара</v>
      </c>
      <c r="Y33" s="503">
        <f>VLOOKUP(Таблица3[[#This Row],[№ акта]],$AJ$1:$BJ$691,20,FALSE)</f>
        <v>3</v>
      </c>
      <c r="Z33" s="504">
        <f>VLOOKUP(Таблица3[[#This Row],[№ акта]],$AJ$1:$BJ$691,21,FALSE)</f>
        <v>46179</v>
      </c>
      <c r="AA33" s="504"/>
      <c r="AB33" s="504" t="str">
        <f>IF(VLOOKUP(Таблица3[[#This Row],[№ акта]],$AJ$1:$BJ$691,23,FALSE)&lt;&gt;0,VLOOKUP(Таблица3[[#This Row],[№ акта]],$AJ$1:$BJ$691,23,FALSE),"-")</f>
        <v>-</v>
      </c>
      <c r="AC3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3" s="506" t="s">
        <v>2940</v>
      </c>
      <c r="AE33" s="505">
        <v>48</v>
      </c>
      <c r="AF33" s="507">
        <v>46179</v>
      </c>
      <c r="AG33" s="505">
        <v>32</v>
      </c>
      <c r="AH33" s="505">
        <f>IFERROR(VLOOKUP(Таблица3[[#This Row],[№ акта]],'Степень зрелости 2026'!$H$12:$I$800,2,FALSE),)</f>
        <v>45</v>
      </c>
      <c r="AJ33" s="508">
        <v>48</v>
      </c>
      <c r="AK33" s="509">
        <v>46179</v>
      </c>
      <c r="AL33" s="508">
        <v>90</v>
      </c>
      <c r="AO33" s="508">
        <v>14310</v>
      </c>
      <c r="AP33" s="508">
        <v>11233.3</v>
      </c>
      <c r="AQ33" s="508" t="s">
        <v>2939</v>
      </c>
      <c r="AR33" s="508" t="s">
        <v>782</v>
      </c>
      <c r="AS33" s="508" t="s">
        <v>2966</v>
      </c>
      <c r="AT33" s="508" t="s">
        <v>347</v>
      </c>
      <c r="AV33" s="508" t="s">
        <v>351</v>
      </c>
      <c r="AX33" s="508" t="s">
        <v>2935</v>
      </c>
      <c r="AY33" s="508" t="s">
        <v>782</v>
      </c>
      <c r="AZ33" s="508">
        <v>2.5</v>
      </c>
      <c r="BA33" s="508" t="s">
        <v>46</v>
      </c>
      <c r="BB33" s="508" t="s">
        <v>19</v>
      </c>
      <c r="BC33" s="508">
        <v>3</v>
      </c>
      <c r="BD33" s="509">
        <v>46179</v>
      </c>
      <c r="BG33" s="508" t="s">
        <v>3557</v>
      </c>
      <c r="BH33" s="508" t="s">
        <v>2940</v>
      </c>
      <c r="BI33" s="508">
        <v>32</v>
      </c>
      <c r="BJ33" s="508">
        <v>45</v>
      </c>
    </row>
    <row r="34" spans="1:62" s="508" customFormat="1" ht="14.25" hidden="1" customHeight="1" x14ac:dyDescent="0.2">
      <c r="A34" s="495" t="s">
        <v>102</v>
      </c>
      <c r="B34" s="496"/>
      <c r="C34" s="497">
        <f>Таблица3[[#This Row],[Степень зрелости вспом]]</f>
        <v>50</v>
      </c>
      <c r="D34" s="498">
        <v>91</v>
      </c>
      <c r="E34" s="499"/>
      <c r="F34" s="496"/>
      <c r="G34" s="496">
        <v>13690</v>
      </c>
      <c r="H34" s="500"/>
      <c r="I34" s="496">
        <v>10472.9</v>
      </c>
      <c r="J34" s="495" t="s">
        <v>2939</v>
      </c>
      <c r="K34" s="495" t="s">
        <v>782</v>
      </c>
      <c r="L34" s="495" t="s">
        <v>2935</v>
      </c>
      <c r="M34" s="495" t="s">
        <v>1806</v>
      </c>
      <c r="N34" s="495"/>
      <c r="O34" s="495"/>
      <c r="P34" s="495"/>
      <c r="Q34" s="495"/>
      <c r="R34" s="501" t="s">
        <v>1807</v>
      </c>
      <c r="S34" s="495"/>
      <c r="T34" s="482" t="str">
        <f>VLOOKUP(Таблица3[[#This Row],[№ акта]],$AJ$1:$BJ$691,15,FALSE)</f>
        <v>А-4/1</v>
      </c>
      <c r="U34" s="482" t="str">
        <f>VLOOKUP(Таблица3[[#This Row],[№ акта]],$AJ$1:$BJ$691,16,FALSE)</f>
        <v>Тиара</v>
      </c>
      <c r="V34" s="502">
        <f>VLOOKUP(Таблица3[[#This Row],[№ акта]],$AJ$1:$BJ$691,17,FALSE)</f>
        <v>2.4</v>
      </c>
      <c r="W34" s="502" t="str">
        <f>VLOOKUP(Таблица3[[#This Row],[№ акта]],$AJ$1:$BJ$691,18,FALSE)</f>
        <v>ГРК (богара)</v>
      </c>
      <c r="X34" s="502" t="str">
        <f>VLOOKUP(Таблица3[[#This Row],[№ акта]],$AJ$1:$BJ$691,19,FALSE)</f>
        <v>богара</v>
      </c>
      <c r="Y34" s="503">
        <f>VLOOKUP(Таблица3[[#This Row],[№ акта]],$AJ$1:$BJ$691,20,FALSE)</f>
        <v>3</v>
      </c>
      <c r="Z34" s="504">
        <f>VLOOKUP(Таблица3[[#This Row],[№ акта]],$AJ$1:$BJ$691,21,FALSE)</f>
        <v>46179</v>
      </c>
      <c r="AA34" s="504"/>
      <c r="AB34" s="504" t="str">
        <f>IF(VLOOKUP(Таблица3[[#This Row],[№ акта]],$AJ$1:$BJ$691,23,FALSE)&lt;&gt;0,VLOOKUP(Таблица3[[#This Row],[№ акта]],$AJ$1:$BJ$691,23,FALSE),"-")</f>
        <v>-</v>
      </c>
      <c r="AC3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4" s="506" t="s">
        <v>2940</v>
      </c>
      <c r="AE34" s="505">
        <v>49</v>
      </c>
      <c r="AF34" s="507">
        <v>46179</v>
      </c>
      <c r="AG34" s="505">
        <v>33</v>
      </c>
      <c r="AH34" s="505">
        <f>IFERROR(VLOOKUP(Таблица3[[#This Row],[№ акта]],'Степень зрелости 2026'!$H$12:$I$800,2,FALSE),)</f>
        <v>50</v>
      </c>
      <c r="AJ34" s="508">
        <v>49</v>
      </c>
      <c r="AK34" s="509">
        <v>46179</v>
      </c>
      <c r="AL34" s="508">
        <v>91</v>
      </c>
      <c r="AO34" s="508">
        <v>13690</v>
      </c>
      <c r="AP34" s="508">
        <v>10472.9</v>
      </c>
      <c r="AQ34" s="508" t="s">
        <v>2939</v>
      </c>
      <c r="AR34" s="508" t="s">
        <v>782</v>
      </c>
      <c r="AS34" s="508" t="s">
        <v>2935</v>
      </c>
      <c r="AT34" s="508" t="s">
        <v>1806</v>
      </c>
      <c r="AV34" s="508" t="s">
        <v>1807</v>
      </c>
      <c r="AX34" s="508" t="s">
        <v>2935</v>
      </c>
      <c r="AY34" s="508" t="s">
        <v>782</v>
      </c>
      <c r="AZ34" s="508">
        <v>2.4</v>
      </c>
      <c r="BA34" s="508" t="s">
        <v>46</v>
      </c>
      <c r="BB34" s="508" t="s">
        <v>19</v>
      </c>
      <c r="BC34" s="508">
        <v>3</v>
      </c>
      <c r="BD34" s="509">
        <v>46179</v>
      </c>
      <c r="BG34" s="508" t="s">
        <v>3557</v>
      </c>
      <c r="BH34" s="508" t="s">
        <v>2940</v>
      </c>
      <c r="BI34" s="508">
        <v>33</v>
      </c>
      <c r="BJ34" s="508">
        <v>50</v>
      </c>
    </row>
    <row r="35" spans="1:62" s="508" customFormat="1" ht="14.25" hidden="1" customHeight="1" x14ac:dyDescent="0.2">
      <c r="A35" s="495" t="s">
        <v>102</v>
      </c>
      <c r="B35" s="496"/>
      <c r="C35" s="497">
        <f>Таблица3[[#This Row],[Степень зрелости вспом]]</f>
        <v>50</v>
      </c>
      <c r="D35" s="498">
        <v>92</v>
      </c>
      <c r="E35" s="499"/>
      <c r="F35" s="496"/>
      <c r="G35" s="496">
        <v>13840</v>
      </c>
      <c r="H35" s="500"/>
      <c r="I35" s="496">
        <v>11002.8</v>
      </c>
      <c r="J35" s="495" t="s">
        <v>2939</v>
      </c>
      <c r="K35" s="495" t="s">
        <v>782</v>
      </c>
      <c r="L35" s="495" t="s">
        <v>2966</v>
      </c>
      <c r="M35" s="495" t="s">
        <v>311</v>
      </c>
      <c r="N35" s="495"/>
      <c r="O35" s="495"/>
      <c r="P35" s="495"/>
      <c r="Q35" s="495"/>
      <c r="R35" s="501" t="s">
        <v>315</v>
      </c>
      <c r="S35" s="495"/>
      <c r="T35" s="482" t="str">
        <f>VLOOKUP(Таблица3[[#This Row],[№ акта]],$AJ$1:$BJ$691,15,FALSE)</f>
        <v>А-4/1</v>
      </c>
      <c r="U35" s="482" t="str">
        <f>VLOOKUP(Таблица3[[#This Row],[№ акта]],$AJ$1:$BJ$691,16,FALSE)</f>
        <v>Тиара</v>
      </c>
      <c r="V35" s="502">
        <f>VLOOKUP(Таблица3[[#This Row],[№ акта]],$AJ$1:$BJ$691,17,FALSE)</f>
        <v>2.4</v>
      </c>
      <c r="W35" s="502" t="str">
        <f>VLOOKUP(Таблица3[[#This Row],[№ акта]],$AJ$1:$BJ$691,18,FALSE)</f>
        <v>ГРК (богара)</v>
      </c>
      <c r="X35" s="502" t="str">
        <f>VLOOKUP(Таблица3[[#This Row],[№ акта]],$AJ$1:$BJ$691,19,FALSE)</f>
        <v>богара</v>
      </c>
      <c r="Y35" s="503">
        <f>VLOOKUP(Таблица3[[#This Row],[№ акта]],$AJ$1:$BJ$691,20,FALSE)</f>
        <v>3</v>
      </c>
      <c r="Z35" s="504">
        <f>VLOOKUP(Таблица3[[#This Row],[№ акта]],$AJ$1:$BJ$691,21,FALSE)</f>
        <v>46179</v>
      </c>
      <c r="AA35" s="504"/>
      <c r="AB35" s="504" t="str">
        <f>IF(VLOOKUP(Таблица3[[#This Row],[№ акта]],$AJ$1:$BJ$691,23,FALSE)&lt;&gt;0,VLOOKUP(Таблица3[[#This Row],[№ акта]],$AJ$1:$BJ$691,23,FALSE),"-")</f>
        <v>-</v>
      </c>
      <c r="AC3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5" s="506" t="s">
        <v>2940</v>
      </c>
      <c r="AE35" s="505">
        <v>39</v>
      </c>
      <c r="AF35" s="507">
        <v>46179</v>
      </c>
      <c r="AG35" s="505">
        <v>34</v>
      </c>
      <c r="AH35" s="505">
        <f>IFERROR(VLOOKUP(Таблица3[[#This Row],[№ акта]],'Степень зрелости 2026'!$H$12:$I$800,2,FALSE),)</f>
        <v>50</v>
      </c>
      <c r="AJ35" s="508">
        <v>39</v>
      </c>
      <c r="AK35" s="509">
        <v>46179</v>
      </c>
      <c r="AL35" s="508">
        <v>92</v>
      </c>
      <c r="AO35" s="508">
        <v>13840</v>
      </c>
      <c r="AP35" s="508">
        <v>11002.8</v>
      </c>
      <c r="AQ35" s="508" t="s">
        <v>2939</v>
      </c>
      <c r="AR35" s="508" t="s">
        <v>782</v>
      </c>
      <c r="AS35" s="508" t="s">
        <v>2966</v>
      </c>
      <c r="AT35" s="508" t="s">
        <v>311</v>
      </c>
      <c r="AV35" s="508" t="s">
        <v>315</v>
      </c>
      <c r="AX35" s="508" t="s">
        <v>2935</v>
      </c>
      <c r="AY35" s="508" t="s">
        <v>782</v>
      </c>
      <c r="AZ35" s="508">
        <v>2.4</v>
      </c>
      <c r="BA35" s="508" t="s">
        <v>46</v>
      </c>
      <c r="BB35" s="508" t="s">
        <v>19</v>
      </c>
      <c r="BC35" s="508">
        <v>3</v>
      </c>
      <c r="BD35" s="509">
        <v>46179</v>
      </c>
      <c r="BG35" s="508" t="s">
        <v>3557</v>
      </c>
      <c r="BH35" s="508" t="s">
        <v>2940</v>
      </c>
      <c r="BI35" s="508">
        <v>34</v>
      </c>
      <c r="BJ35" s="508">
        <v>50</v>
      </c>
    </row>
    <row r="36" spans="1:62" s="508" customFormat="1" ht="14.25" hidden="1" customHeight="1" x14ac:dyDescent="0.2">
      <c r="A36" s="495" t="s">
        <v>102</v>
      </c>
      <c r="B36" s="496"/>
      <c r="C36" s="497">
        <f>Таблица3[[#This Row],[Степень зрелости вспом]]</f>
        <v>53</v>
      </c>
      <c r="D36" s="498">
        <v>93</v>
      </c>
      <c r="E36" s="499"/>
      <c r="F36" s="496"/>
      <c r="G36" s="496">
        <v>13630</v>
      </c>
      <c r="H36" s="500"/>
      <c r="I36" s="496">
        <v>11244.8</v>
      </c>
      <c r="J36" s="495" t="s">
        <v>2939</v>
      </c>
      <c r="K36" s="495" t="s">
        <v>782</v>
      </c>
      <c r="L36" s="495" t="s">
        <v>2935</v>
      </c>
      <c r="M36" s="495" t="s">
        <v>127</v>
      </c>
      <c r="N36" s="495"/>
      <c r="O36" s="495"/>
      <c r="P36" s="495"/>
      <c r="Q36" s="495"/>
      <c r="R36" s="501" t="s">
        <v>131</v>
      </c>
      <c r="S36" s="495"/>
      <c r="T36" s="482" t="str">
        <f>VLOOKUP(Таблица3[[#This Row],[№ акта]],$AJ$1:$BJ$691,15,FALSE)</f>
        <v>А-4/1</v>
      </c>
      <c r="U36" s="482" t="str">
        <f>VLOOKUP(Таблица3[[#This Row],[№ акта]],$AJ$1:$BJ$691,16,FALSE)</f>
        <v>Тиара</v>
      </c>
      <c r="V36" s="502">
        <f>VLOOKUP(Таблица3[[#This Row],[№ акта]],$AJ$1:$BJ$691,17,FALSE)</f>
        <v>2.2999999999999998</v>
      </c>
      <c r="W36" s="502" t="str">
        <f>VLOOKUP(Таблица3[[#This Row],[№ акта]],$AJ$1:$BJ$691,18,FALSE)</f>
        <v>ГРК (богара)</v>
      </c>
      <c r="X36" s="502" t="str">
        <f>VLOOKUP(Таблица3[[#This Row],[№ акта]],$AJ$1:$BJ$691,19,FALSE)</f>
        <v>богара</v>
      </c>
      <c r="Y36" s="503">
        <f>VLOOKUP(Таблица3[[#This Row],[№ акта]],$AJ$1:$BJ$691,20,FALSE)</f>
        <v>3</v>
      </c>
      <c r="Z36" s="504">
        <f>VLOOKUP(Таблица3[[#This Row],[№ акта]],$AJ$1:$BJ$691,21,FALSE)</f>
        <v>46179</v>
      </c>
      <c r="AA36" s="504"/>
      <c r="AB36" s="504" t="str">
        <f>IF(VLOOKUP(Таблица3[[#This Row],[№ акта]],$AJ$1:$BJ$691,23,FALSE)&lt;&gt;0,VLOOKUP(Таблица3[[#This Row],[№ акта]],$AJ$1:$BJ$691,23,FALSE),"-")</f>
        <v>-</v>
      </c>
      <c r="AC3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6" s="506" t="s">
        <v>2940</v>
      </c>
      <c r="AE36" s="505">
        <v>38</v>
      </c>
      <c r="AF36" s="507">
        <v>46179</v>
      </c>
      <c r="AG36" s="505">
        <v>35</v>
      </c>
      <c r="AH36" s="505">
        <f>IFERROR(VLOOKUP(Таблица3[[#This Row],[№ акта]],'Степень зрелости 2026'!$H$12:$I$800,2,FALSE),)</f>
        <v>53</v>
      </c>
      <c r="AJ36" s="508">
        <v>38</v>
      </c>
      <c r="AK36" s="509">
        <v>46179</v>
      </c>
      <c r="AL36" s="508">
        <v>93</v>
      </c>
      <c r="AO36" s="508">
        <v>13630</v>
      </c>
      <c r="AP36" s="508">
        <v>11244.8</v>
      </c>
      <c r="AQ36" s="508" t="s">
        <v>2939</v>
      </c>
      <c r="AR36" s="508" t="s">
        <v>782</v>
      </c>
      <c r="AS36" s="508" t="s">
        <v>2935</v>
      </c>
      <c r="AT36" s="508" t="s">
        <v>127</v>
      </c>
      <c r="AV36" s="508" t="s">
        <v>131</v>
      </c>
      <c r="AX36" s="508" t="s">
        <v>2935</v>
      </c>
      <c r="AY36" s="508" t="s">
        <v>782</v>
      </c>
      <c r="AZ36" s="508">
        <v>2.2999999999999998</v>
      </c>
      <c r="BA36" s="508" t="s">
        <v>46</v>
      </c>
      <c r="BB36" s="508" t="s">
        <v>19</v>
      </c>
      <c r="BC36" s="508">
        <v>3</v>
      </c>
      <c r="BD36" s="509">
        <v>46179</v>
      </c>
      <c r="BG36" s="508" t="s">
        <v>724</v>
      </c>
      <c r="BH36" s="508" t="s">
        <v>2940</v>
      </c>
      <c r="BI36" s="508">
        <v>35</v>
      </c>
      <c r="BJ36" s="508">
        <v>53</v>
      </c>
    </row>
    <row r="37" spans="1:62" s="508" customFormat="1" ht="14.25" hidden="1" customHeight="1" x14ac:dyDescent="0.2">
      <c r="A37" s="495" t="s">
        <v>102</v>
      </c>
      <c r="B37" s="496"/>
      <c r="C37" s="497">
        <f>Таблица3[[#This Row],[Степень зрелости вспом]]</f>
        <v>45</v>
      </c>
      <c r="D37" s="498">
        <v>94</v>
      </c>
      <c r="E37" s="499"/>
      <c r="F37" s="496"/>
      <c r="G37" s="496">
        <v>4690</v>
      </c>
      <c r="H37" s="500"/>
      <c r="I37" s="496">
        <v>3728.5</v>
      </c>
      <c r="J37" s="495" t="s">
        <v>2939</v>
      </c>
      <c r="K37" s="495" t="s">
        <v>782</v>
      </c>
      <c r="L37" s="495" t="s">
        <v>2966</v>
      </c>
      <c r="M37" s="495" t="s">
        <v>737</v>
      </c>
      <c r="N37" s="495"/>
      <c r="O37" s="495"/>
      <c r="P37" s="495"/>
      <c r="Q37" s="495"/>
      <c r="R37" s="501" t="s">
        <v>738</v>
      </c>
      <c r="S37" s="495"/>
      <c r="T37" s="482" t="str">
        <f>VLOOKUP(Таблица3[[#This Row],[№ акта]],$AJ$1:$BJ$691,15,FALSE)</f>
        <v>А-4/1</v>
      </c>
      <c r="U37" s="482" t="str">
        <f>VLOOKUP(Таблица3[[#This Row],[№ акта]],$AJ$1:$BJ$691,16,FALSE)</f>
        <v>Тиара</v>
      </c>
      <c r="V37" s="502">
        <f>VLOOKUP(Таблица3[[#This Row],[№ акта]],$AJ$1:$BJ$691,17,FALSE)</f>
        <v>0.8</v>
      </c>
      <c r="W37" s="502" t="str">
        <f>VLOOKUP(Таблица3[[#This Row],[№ акта]],$AJ$1:$BJ$691,18,FALSE)</f>
        <v>ГРК (богара)</v>
      </c>
      <c r="X37" s="502" t="str">
        <f>VLOOKUP(Таблица3[[#This Row],[№ акта]],$AJ$1:$BJ$691,19,FALSE)</f>
        <v>богара</v>
      </c>
      <c r="Y37" s="503">
        <f>VLOOKUP(Таблица3[[#This Row],[№ акта]],$AJ$1:$BJ$691,20,FALSE)</f>
        <v>3</v>
      </c>
      <c r="Z37" s="504">
        <f>VLOOKUP(Таблица3[[#This Row],[№ акта]],$AJ$1:$BJ$691,21,FALSE)</f>
        <v>46179</v>
      </c>
      <c r="AA37" s="504"/>
      <c r="AB37" s="504" t="str">
        <f>IF(VLOOKUP(Таблица3[[#This Row],[№ акта]],$AJ$1:$BJ$691,23,FALSE)&lt;&gt;0,VLOOKUP(Таблица3[[#This Row],[№ акта]],$AJ$1:$BJ$691,23,FALSE),"-")</f>
        <v>-</v>
      </c>
      <c r="AC3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7" s="506" t="s">
        <v>2940</v>
      </c>
      <c r="AE37" s="505">
        <v>40</v>
      </c>
      <c r="AF37" s="507">
        <v>46179</v>
      </c>
      <c r="AG37" s="505">
        <v>36</v>
      </c>
      <c r="AH37" s="505">
        <f>IFERROR(VLOOKUP(Таблица3[[#This Row],[№ акта]],'Степень зрелости 2026'!$H$12:$I$800,2,FALSE),)</f>
        <v>45</v>
      </c>
      <c r="AJ37" s="508">
        <v>40</v>
      </c>
      <c r="AK37" s="509">
        <v>46179</v>
      </c>
      <c r="AL37" s="508">
        <v>94</v>
      </c>
      <c r="AO37" s="508">
        <v>4690</v>
      </c>
      <c r="AP37" s="508">
        <v>3728.5</v>
      </c>
      <c r="AQ37" s="508" t="s">
        <v>2939</v>
      </c>
      <c r="AR37" s="508" t="s">
        <v>782</v>
      </c>
      <c r="AS37" s="508" t="s">
        <v>2966</v>
      </c>
      <c r="AT37" s="508" t="s">
        <v>737</v>
      </c>
      <c r="AV37" s="508" t="s">
        <v>738</v>
      </c>
      <c r="AX37" s="508" t="s">
        <v>2935</v>
      </c>
      <c r="AY37" s="508" t="s">
        <v>782</v>
      </c>
      <c r="AZ37" s="508">
        <v>0.8</v>
      </c>
      <c r="BA37" s="508" t="s">
        <v>46</v>
      </c>
      <c r="BB37" s="508" t="s">
        <v>19</v>
      </c>
      <c r="BC37" s="508">
        <v>3</v>
      </c>
      <c r="BD37" s="509">
        <v>46179</v>
      </c>
      <c r="BG37" s="508" t="s">
        <v>3557</v>
      </c>
      <c r="BH37" s="508" t="s">
        <v>2940</v>
      </c>
      <c r="BI37" s="508">
        <v>36</v>
      </c>
      <c r="BJ37" s="508">
        <v>45</v>
      </c>
    </row>
    <row r="38" spans="1:62" s="508" customFormat="1" ht="14.25" hidden="1" customHeight="1" x14ac:dyDescent="0.2">
      <c r="A38" s="495" t="s">
        <v>102</v>
      </c>
      <c r="B38" s="496"/>
      <c r="C38" s="497">
        <f>Таблица3[[#This Row],[Степень зрелости вспом]]</f>
        <v>49</v>
      </c>
      <c r="D38" s="498">
        <v>95</v>
      </c>
      <c r="E38" s="499"/>
      <c r="F38" s="496"/>
      <c r="G38" s="496">
        <v>15500</v>
      </c>
      <c r="H38" s="500"/>
      <c r="I38" s="496">
        <v>12322.5</v>
      </c>
      <c r="J38" s="495" t="s">
        <v>2939</v>
      </c>
      <c r="K38" s="495" t="s">
        <v>782</v>
      </c>
      <c r="L38" s="495" t="s">
        <v>2966</v>
      </c>
      <c r="M38" s="495" t="s">
        <v>347</v>
      </c>
      <c r="N38" s="495"/>
      <c r="O38" s="495"/>
      <c r="P38" s="495"/>
      <c r="Q38" s="495"/>
      <c r="R38" s="501" t="s">
        <v>351</v>
      </c>
      <c r="S38" s="495"/>
      <c r="T38" s="482" t="str">
        <f>VLOOKUP(Таблица3[[#This Row],[№ акта]],$AJ$1:$BJ$691,15,FALSE)</f>
        <v>А-4/1</v>
      </c>
      <c r="U38" s="482" t="str">
        <f>VLOOKUP(Таблица3[[#This Row],[№ акта]],$AJ$1:$BJ$691,16,FALSE)</f>
        <v>Тиара</v>
      </c>
      <c r="V38" s="502">
        <f>VLOOKUP(Таблица3[[#This Row],[№ акта]],$AJ$1:$BJ$691,17,FALSE)</f>
        <v>2.7</v>
      </c>
      <c r="W38" s="502" t="str">
        <f>VLOOKUP(Таблица3[[#This Row],[№ акта]],$AJ$1:$BJ$691,18,FALSE)</f>
        <v>ГРК (богара)</v>
      </c>
      <c r="X38" s="502" t="str">
        <f>VLOOKUP(Таблица3[[#This Row],[№ акта]],$AJ$1:$BJ$691,19,FALSE)</f>
        <v>богара</v>
      </c>
      <c r="Y38" s="503">
        <f>VLOOKUP(Таблица3[[#This Row],[№ акта]],$AJ$1:$BJ$691,20,FALSE)</f>
        <v>3</v>
      </c>
      <c r="Z38" s="504">
        <f>VLOOKUP(Таблица3[[#This Row],[№ акта]],$AJ$1:$BJ$691,21,FALSE)</f>
        <v>46179</v>
      </c>
      <c r="AA38" s="504"/>
      <c r="AB38" s="504" t="str">
        <f>IF(VLOOKUP(Таблица3[[#This Row],[№ акта]],$AJ$1:$BJ$691,23,FALSE)&lt;&gt;0,VLOOKUP(Таблица3[[#This Row],[№ акта]],$AJ$1:$BJ$691,23,FALSE),"-")</f>
        <v>-</v>
      </c>
      <c r="AC3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8" s="506" t="s">
        <v>2940</v>
      </c>
      <c r="AE38" s="505">
        <v>51</v>
      </c>
      <c r="AF38" s="507">
        <v>46179</v>
      </c>
      <c r="AG38" s="505">
        <v>37</v>
      </c>
      <c r="AH38" s="505">
        <f>IFERROR(VLOOKUP(Таблица3[[#This Row],[№ акта]],'Степень зрелости 2026'!$H$12:$I$800,2,FALSE),)</f>
        <v>49</v>
      </c>
      <c r="AJ38" s="508">
        <v>51</v>
      </c>
      <c r="AK38" s="509">
        <v>46179</v>
      </c>
      <c r="AL38" s="508">
        <v>95</v>
      </c>
      <c r="AO38" s="508">
        <v>15500</v>
      </c>
      <c r="AP38" s="508">
        <v>12322.5</v>
      </c>
      <c r="AQ38" s="508" t="s">
        <v>2939</v>
      </c>
      <c r="AR38" s="508" t="s">
        <v>782</v>
      </c>
      <c r="AS38" s="508" t="s">
        <v>2966</v>
      </c>
      <c r="AT38" s="508" t="s">
        <v>347</v>
      </c>
      <c r="AV38" s="508" t="s">
        <v>351</v>
      </c>
      <c r="AX38" s="508" t="s">
        <v>2935</v>
      </c>
      <c r="AY38" s="508" t="s">
        <v>782</v>
      </c>
      <c r="AZ38" s="508">
        <v>2.7</v>
      </c>
      <c r="BA38" s="508" t="s">
        <v>46</v>
      </c>
      <c r="BB38" s="508" t="s">
        <v>19</v>
      </c>
      <c r="BC38" s="508">
        <v>3</v>
      </c>
      <c r="BD38" s="509">
        <v>46179</v>
      </c>
      <c r="BG38" s="508" t="s">
        <v>3557</v>
      </c>
      <c r="BH38" s="508" t="s">
        <v>2940</v>
      </c>
      <c r="BI38" s="508">
        <v>37</v>
      </c>
      <c r="BJ38" s="508">
        <v>49</v>
      </c>
    </row>
    <row r="39" spans="1:62" s="508" customFormat="1" ht="14.25" hidden="1" customHeight="1" x14ac:dyDescent="0.2">
      <c r="A39" s="495" t="s">
        <v>102</v>
      </c>
      <c r="B39" s="496"/>
      <c r="C39" s="497">
        <f>Таблица3[[#This Row],[Степень зрелости вспом]]</f>
        <v>49</v>
      </c>
      <c r="D39" s="498">
        <v>96</v>
      </c>
      <c r="E39" s="499"/>
      <c r="F39" s="496"/>
      <c r="G39" s="496">
        <v>13520</v>
      </c>
      <c r="H39" s="500"/>
      <c r="I39" s="496">
        <v>10342.799999999999</v>
      </c>
      <c r="J39" s="495" t="s">
        <v>2939</v>
      </c>
      <c r="K39" s="495" t="s">
        <v>782</v>
      </c>
      <c r="L39" s="495" t="s">
        <v>2966</v>
      </c>
      <c r="M39" s="495" t="s">
        <v>1806</v>
      </c>
      <c r="N39" s="495"/>
      <c r="O39" s="495"/>
      <c r="P39" s="495"/>
      <c r="Q39" s="495"/>
      <c r="R39" s="501" t="s">
        <v>1807</v>
      </c>
      <c r="S39" s="495"/>
      <c r="T39" s="482" t="str">
        <f>VLOOKUP(Таблица3[[#This Row],[№ акта]],$AJ$1:$BJ$691,15,FALSE)</f>
        <v>А-4/1</v>
      </c>
      <c r="U39" s="482" t="str">
        <f>VLOOKUP(Таблица3[[#This Row],[№ акта]],$AJ$1:$BJ$691,16,FALSE)</f>
        <v>Тиара</v>
      </c>
      <c r="V39" s="502">
        <f>VLOOKUP(Таблица3[[#This Row],[№ акта]],$AJ$1:$BJ$691,17,FALSE)</f>
        <v>2.2999999999999998</v>
      </c>
      <c r="W39" s="502" t="str">
        <f>VLOOKUP(Таблица3[[#This Row],[№ акта]],$AJ$1:$BJ$691,18,FALSE)</f>
        <v>ГРК (богара)</v>
      </c>
      <c r="X39" s="502" t="str">
        <f>VLOOKUP(Таблица3[[#This Row],[№ акта]],$AJ$1:$BJ$691,19,FALSE)</f>
        <v>богара</v>
      </c>
      <c r="Y39" s="503">
        <f>VLOOKUP(Таблица3[[#This Row],[№ акта]],$AJ$1:$BJ$691,20,FALSE)</f>
        <v>3</v>
      </c>
      <c r="Z39" s="504">
        <f>VLOOKUP(Таблица3[[#This Row],[№ акта]],$AJ$1:$BJ$691,21,FALSE)</f>
        <v>46179</v>
      </c>
      <c r="AA39" s="504"/>
      <c r="AB39" s="504" t="str">
        <f>IF(VLOOKUP(Таблица3[[#This Row],[№ акта]],$AJ$1:$BJ$691,23,FALSE)&lt;&gt;0,VLOOKUP(Таблица3[[#This Row],[№ акта]],$AJ$1:$BJ$691,23,FALSE),"-")</f>
        <v>-</v>
      </c>
      <c r="AC3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9" s="506" t="s">
        <v>2940</v>
      </c>
      <c r="AE39" s="505">
        <v>52</v>
      </c>
      <c r="AF39" s="507">
        <v>46179</v>
      </c>
      <c r="AG39" s="505">
        <v>38</v>
      </c>
      <c r="AH39" s="505">
        <f>IFERROR(VLOOKUP(Таблица3[[#This Row],[№ акта]],'Степень зрелости 2026'!$H$12:$I$800,2,FALSE),)</f>
        <v>49</v>
      </c>
      <c r="AJ39" s="508">
        <v>52</v>
      </c>
      <c r="AK39" s="509">
        <v>46179</v>
      </c>
      <c r="AL39" s="508">
        <v>96</v>
      </c>
      <c r="AO39" s="508">
        <v>13520</v>
      </c>
      <c r="AP39" s="508">
        <v>10342.799999999999</v>
      </c>
      <c r="AQ39" s="508" t="s">
        <v>2939</v>
      </c>
      <c r="AR39" s="508" t="s">
        <v>782</v>
      </c>
      <c r="AS39" s="508" t="s">
        <v>2966</v>
      </c>
      <c r="AT39" s="508" t="s">
        <v>1806</v>
      </c>
      <c r="AV39" s="508" t="s">
        <v>1807</v>
      </c>
      <c r="AX39" s="508" t="s">
        <v>2935</v>
      </c>
      <c r="AY39" s="508" t="s">
        <v>782</v>
      </c>
      <c r="AZ39" s="508">
        <v>2.2999999999999998</v>
      </c>
      <c r="BA39" s="508" t="s">
        <v>46</v>
      </c>
      <c r="BB39" s="508" t="s">
        <v>19</v>
      </c>
      <c r="BC39" s="508">
        <v>3</v>
      </c>
      <c r="BD39" s="509">
        <v>46179</v>
      </c>
      <c r="BG39" s="508" t="s">
        <v>3557</v>
      </c>
      <c r="BH39" s="508" t="s">
        <v>2940</v>
      </c>
      <c r="BI39" s="508">
        <v>38</v>
      </c>
      <c r="BJ39" s="508">
        <v>49</v>
      </c>
    </row>
    <row r="40" spans="1:62" s="508" customFormat="1" ht="14.25" hidden="1" customHeight="1" x14ac:dyDescent="0.2">
      <c r="A40" s="495" t="s">
        <v>102</v>
      </c>
      <c r="B40" s="496"/>
      <c r="C40" s="497">
        <f>Таблица3[[#This Row],[Степень зрелости вспом]]</f>
        <v>48</v>
      </c>
      <c r="D40" s="498">
        <v>97</v>
      </c>
      <c r="E40" s="499"/>
      <c r="F40" s="496"/>
      <c r="G40" s="496">
        <v>13550</v>
      </c>
      <c r="H40" s="500"/>
      <c r="I40" s="496">
        <v>10772.3</v>
      </c>
      <c r="J40" s="495" t="s">
        <v>2939</v>
      </c>
      <c r="K40" s="495" t="s">
        <v>782</v>
      </c>
      <c r="L40" s="495" t="s">
        <v>2935</v>
      </c>
      <c r="M40" s="495" t="s">
        <v>311</v>
      </c>
      <c r="N40" s="495"/>
      <c r="O40" s="495"/>
      <c r="P40" s="495"/>
      <c r="Q40" s="495"/>
      <c r="R40" s="501" t="s">
        <v>315</v>
      </c>
      <c r="S40" s="495"/>
      <c r="T40" s="482" t="str">
        <f>VLOOKUP(Таблица3[[#This Row],[№ акта]],$AJ$1:$BJ$691,15,FALSE)</f>
        <v>А-4/1</v>
      </c>
      <c r="U40" s="482" t="str">
        <f>VLOOKUP(Таблица3[[#This Row],[№ акта]],$AJ$1:$BJ$691,16,FALSE)</f>
        <v>Тиара</v>
      </c>
      <c r="V40" s="502">
        <f>VLOOKUP(Таблица3[[#This Row],[№ акта]],$AJ$1:$BJ$691,17,FALSE)</f>
        <v>2.2999999999999998</v>
      </c>
      <c r="W40" s="502" t="str">
        <f>VLOOKUP(Таблица3[[#This Row],[№ акта]],$AJ$1:$BJ$691,18,FALSE)</f>
        <v>ГРК (богара)</v>
      </c>
      <c r="X40" s="502" t="str">
        <f>VLOOKUP(Таблица3[[#This Row],[№ акта]],$AJ$1:$BJ$691,19,FALSE)</f>
        <v>богара</v>
      </c>
      <c r="Y40" s="503">
        <f>VLOOKUP(Таблица3[[#This Row],[№ акта]],$AJ$1:$BJ$691,20,FALSE)</f>
        <v>3</v>
      </c>
      <c r="Z40" s="504">
        <f>VLOOKUP(Таблица3[[#This Row],[№ акта]],$AJ$1:$BJ$691,21,FALSE)</f>
        <v>46179</v>
      </c>
      <c r="AA40" s="504"/>
      <c r="AB40" s="504" t="str">
        <f>IF(VLOOKUP(Таблица3[[#This Row],[№ акта]],$AJ$1:$BJ$691,23,FALSE)&lt;&gt;0,VLOOKUP(Таблица3[[#This Row],[№ акта]],$AJ$1:$BJ$691,23,FALSE),"-")</f>
        <v>-</v>
      </c>
      <c r="AC4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40" s="506" t="s">
        <v>2940</v>
      </c>
      <c r="AE40" s="505">
        <v>53</v>
      </c>
      <c r="AF40" s="507">
        <v>46179</v>
      </c>
      <c r="AG40" s="505">
        <v>39</v>
      </c>
      <c r="AH40" s="505">
        <f>IFERROR(VLOOKUP(Таблица3[[#This Row],[№ акта]],'Степень зрелости 2026'!$H$12:$I$800,2,FALSE),)</f>
        <v>48</v>
      </c>
      <c r="AJ40" s="508">
        <v>53</v>
      </c>
      <c r="AK40" s="509">
        <v>46179</v>
      </c>
      <c r="AL40" s="508">
        <v>97</v>
      </c>
      <c r="AO40" s="508">
        <v>13550</v>
      </c>
      <c r="AP40" s="508">
        <v>10772.3</v>
      </c>
      <c r="AQ40" s="508" t="s">
        <v>2939</v>
      </c>
      <c r="AR40" s="508" t="s">
        <v>782</v>
      </c>
      <c r="AS40" s="508" t="s">
        <v>2935</v>
      </c>
      <c r="AT40" s="508" t="s">
        <v>311</v>
      </c>
      <c r="AV40" s="508" t="s">
        <v>315</v>
      </c>
      <c r="AX40" s="508" t="s">
        <v>2935</v>
      </c>
      <c r="AY40" s="508" t="s">
        <v>782</v>
      </c>
      <c r="AZ40" s="508">
        <v>2.2999999999999998</v>
      </c>
      <c r="BA40" s="508" t="s">
        <v>46</v>
      </c>
      <c r="BB40" s="508" t="s">
        <v>19</v>
      </c>
      <c r="BC40" s="508">
        <v>3</v>
      </c>
      <c r="BD40" s="509">
        <v>46179</v>
      </c>
      <c r="BG40" s="508" t="s">
        <v>3557</v>
      </c>
      <c r="BH40" s="508" t="s">
        <v>2940</v>
      </c>
      <c r="BI40" s="508">
        <v>39</v>
      </c>
      <c r="BJ40" s="508">
        <v>48</v>
      </c>
    </row>
    <row r="41" spans="1:62" s="508" customFormat="1" ht="14.25" hidden="1" customHeight="1" x14ac:dyDescent="0.2">
      <c r="A41" s="495" t="s">
        <v>102</v>
      </c>
      <c r="B41" s="496"/>
      <c r="C41" s="497">
        <f>Таблица3[[#This Row],[Степень зрелости вспом]]</f>
        <v>47</v>
      </c>
      <c r="D41" s="498">
        <v>98</v>
      </c>
      <c r="E41" s="499"/>
      <c r="F41" s="496"/>
      <c r="G41" s="496">
        <v>4470</v>
      </c>
      <c r="H41" s="500"/>
      <c r="I41" s="496">
        <v>3687.7</v>
      </c>
      <c r="J41" s="495" t="s">
        <v>2939</v>
      </c>
      <c r="K41" s="495" t="s">
        <v>782</v>
      </c>
      <c r="L41" s="495" t="s">
        <v>2966</v>
      </c>
      <c r="M41" s="495" t="s">
        <v>737</v>
      </c>
      <c r="N41" s="495"/>
      <c r="O41" s="495"/>
      <c r="P41" s="495"/>
      <c r="Q41" s="495"/>
      <c r="R41" s="501" t="s">
        <v>738</v>
      </c>
      <c r="S41" s="495"/>
      <c r="T41" s="482" t="str">
        <f>VLOOKUP(Таблица3[[#This Row],[№ акта]],$AJ$1:$BJ$691,15,FALSE)</f>
        <v>А-4/1</v>
      </c>
      <c r="U41" s="482" t="str">
        <f>VLOOKUP(Таблица3[[#This Row],[№ акта]],$AJ$1:$BJ$691,16,FALSE)</f>
        <v>Тиара</v>
      </c>
      <c r="V41" s="502">
        <f>VLOOKUP(Таблица3[[#This Row],[№ акта]],$AJ$1:$BJ$691,17,FALSE)</f>
        <v>0.8</v>
      </c>
      <c r="W41" s="502" t="str">
        <f>VLOOKUP(Таблица3[[#This Row],[№ акта]],$AJ$1:$BJ$691,18,FALSE)</f>
        <v>ГРК (богара)</v>
      </c>
      <c r="X41" s="502" t="str">
        <f>VLOOKUP(Таблица3[[#This Row],[№ акта]],$AJ$1:$BJ$691,19,FALSE)</f>
        <v>богара</v>
      </c>
      <c r="Y41" s="503">
        <f>VLOOKUP(Таблица3[[#This Row],[№ акта]],$AJ$1:$BJ$691,20,FALSE)</f>
        <v>3</v>
      </c>
      <c r="Z41" s="504">
        <f>VLOOKUP(Таблица3[[#This Row],[№ акта]],$AJ$1:$BJ$691,21,FALSE)</f>
        <v>46179</v>
      </c>
      <c r="AA41" s="504"/>
      <c r="AB41" s="504" t="str">
        <f>IF(VLOOKUP(Таблица3[[#This Row],[№ акта]],$AJ$1:$BJ$691,23,FALSE)&lt;&gt;0,VLOOKUP(Таблица3[[#This Row],[№ акта]],$AJ$1:$BJ$691,23,FALSE),"-")</f>
        <v>-</v>
      </c>
      <c r="AC4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41" s="506" t="s">
        <v>2940</v>
      </c>
      <c r="AE41" s="505">
        <v>54</v>
      </c>
      <c r="AF41" s="507">
        <v>46179</v>
      </c>
      <c r="AG41" s="505">
        <v>40</v>
      </c>
      <c r="AH41" s="505">
        <f>IFERROR(VLOOKUP(Таблица3[[#This Row],[№ акта]],'Степень зрелости 2026'!$H$12:$I$800,2,FALSE),)</f>
        <v>47</v>
      </c>
      <c r="AJ41" s="508">
        <v>54</v>
      </c>
      <c r="AK41" s="509">
        <v>46179</v>
      </c>
      <c r="AL41" s="508">
        <v>98</v>
      </c>
      <c r="AO41" s="508">
        <v>4470</v>
      </c>
      <c r="AP41" s="508">
        <v>3687.7</v>
      </c>
      <c r="AQ41" s="508" t="s">
        <v>2939</v>
      </c>
      <c r="AR41" s="508" t="s">
        <v>782</v>
      </c>
      <c r="AS41" s="508" t="s">
        <v>2966</v>
      </c>
      <c r="AT41" s="508" t="s">
        <v>737</v>
      </c>
      <c r="AV41" s="508" t="s">
        <v>738</v>
      </c>
      <c r="AX41" s="508" t="s">
        <v>2935</v>
      </c>
      <c r="AY41" s="508" t="s">
        <v>782</v>
      </c>
      <c r="AZ41" s="508">
        <v>0.8</v>
      </c>
      <c r="BA41" s="508" t="s">
        <v>46</v>
      </c>
      <c r="BB41" s="508" t="s">
        <v>19</v>
      </c>
      <c r="BC41" s="508">
        <v>3</v>
      </c>
      <c r="BD41" s="509">
        <v>46179</v>
      </c>
      <c r="BG41" s="508" t="s">
        <v>3557</v>
      </c>
      <c r="BH41" s="508" t="s">
        <v>2940</v>
      </c>
      <c r="BI41" s="508">
        <v>40</v>
      </c>
      <c r="BJ41" s="508">
        <v>47</v>
      </c>
    </row>
    <row r="42" spans="1:62" s="508" customFormat="1" ht="14.25" hidden="1" customHeight="1" x14ac:dyDescent="0.2">
      <c r="A42" s="495" t="s">
        <v>102</v>
      </c>
      <c r="B42" s="496"/>
      <c r="C42" s="497">
        <f>Таблица3[[#This Row],[Степень зрелости вспом]]</f>
        <v>49</v>
      </c>
      <c r="D42" s="498">
        <v>99</v>
      </c>
      <c r="E42" s="499"/>
      <c r="F42" s="496"/>
      <c r="G42" s="496">
        <v>14560</v>
      </c>
      <c r="H42" s="500"/>
      <c r="I42" s="496">
        <v>12303.2</v>
      </c>
      <c r="J42" s="495" t="s">
        <v>2939</v>
      </c>
      <c r="K42" s="495" t="s">
        <v>782</v>
      </c>
      <c r="L42" s="495" t="s">
        <v>2966</v>
      </c>
      <c r="M42" s="495" t="s">
        <v>127</v>
      </c>
      <c r="N42" s="495"/>
      <c r="O42" s="495"/>
      <c r="P42" s="495"/>
      <c r="Q42" s="495"/>
      <c r="R42" s="501" t="s">
        <v>131</v>
      </c>
      <c r="S42" s="495"/>
      <c r="T42" s="482" t="str">
        <f>VLOOKUP(Таблица3[[#This Row],[№ акта]],$AJ$1:$BJ$691,15,FALSE)</f>
        <v>А-4/1</v>
      </c>
      <c r="U42" s="482" t="str">
        <f>VLOOKUP(Таблица3[[#This Row],[№ акта]],$AJ$1:$BJ$691,16,FALSE)</f>
        <v>Тиара</v>
      </c>
      <c r="V42" s="502">
        <f>VLOOKUP(Таблица3[[#This Row],[№ акта]],$AJ$1:$BJ$691,17,FALSE)</f>
        <v>2.5</v>
      </c>
      <c r="W42" s="502" t="str">
        <f>VLOOKUP(Таблица3[[#This Row],[№ акта]],$AJ$1:$BJ$691,18,FALSE)</f>
        <v>ГРК (богара)</v>
      </c>
      <c r="X42" s="502" t="str">
        <f>VLOOKUP(Таблица3[[#This Row],[№ акта]],$AJ$1:$BJ$691,19,FALSE)</f>
        <v>богара</v>
      </c>
      <c r="Y42" s="503">
        <f>VLOOKUP(Таблица3[[#This Row],[№ акта]],$AJ$1:$BJ$691,20,FALSE)</f>
        <v>3</v>
      </c>
      <c r="Z42" s="504">
        <f>VLOOKUP(Таблица3[[#This Row],[№ акта]],$AJ$1:$BJ$691,21,FALSE)</f>
        <v>46179</v>
      </c>
      <c r="AA42" s="504"/>
      <c r="AB42" s="504" t="str">
        <f>IF(VLOOKUP(Таблица3[[#This Row],[№ акта]],$AJ$1:$BJ$691,23,FALSE)&lt;&gt;0,VLOOKUP(Таблица3[[#This Row],[№ акта]],$AJ$1:$BJ$691,23,FALSE),"-")</f>
        <v>-</v>
      </c>
      <c r="AC4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42" s="506" t="s">
        <v>2940</v>
      </c>
      <c r="AE42" s="505">
        <v>55</v>
      </c>
      <c r="AF42" s="507">
        <v>46179</v>
      </c>
      <c r="AG42" s="505">
        <v>41</v>
      </c>
      <c r="AH42" s="505">
        <f>IFERROR(VLOOKUP(Таблица3[[#This Row],[№ акта]],'Степень зрелости 2026'!$H$12:$I$800,2,FALSE),)</f>
        <v>49</v>
      </c>
      <c r="AJ42" s="508">
        <v>55</v>
      </c>
      <c r="AK42" s="509">
        <v>46179</v>
      </c>
      <c r="AL42" s="508">
        <v>99</v>
      </c>
      <c r="AO42" s="508">
        <v>14560</v>
      </c>
      <c r="AP42" s="508">
        <v>12303.2</v>
      </c>
      <c r="AQ42" s="508" t="s">
        <v>2939</v>
      </c>
      <c r="AR42" s="508" t="s">
        <v>782</v>
      </c>
      <c r="AS42" s="508" t="s">
        <v>2966</v>
      </c>
      <c r="AT42" s="508" t="s">
        <v>127</v>
      </c>
      <c r="AV42" s="508" t="s">
        <v>131</v>
      </c>
      <c r="AX42" s="508" t="s">
        <v>2935</v>
      </c>
      <c r="AY42" s="508" t="s">
        <v>782</v>
      </c>
      <c r="AZ42" s="508">
        <v>2.5</v>
      </c>
      <c r="BA42" s="508" t="s">
        <v>46</v>
      </c>
      <c r="BB42" s="508" t="s">
        <v>19</v>
      </c>
      <c r="BC42" s="508">
        <v>3</v>
      </c>
      <c r="BD42" s="509">
        <v>46179</v>
      </c>
      <c r="BG42" s="508" t="s">
        <v>3557</v>
      </c>
      <c r="BH42" s="508" t="s">
        <v>2940</v>
      </c>
      <c r="BI42" s="508">
        <v>41</v>
      </c>
      <c r="BJ42" s="508">
        <v>49</v>
      </c>
    </row>
    <row r="43" spans="1:62" s="508" customFormat="1" ht="14.25" hidden="1" customHeight="1" x14ac:dyDescent="0.2">
      <c r="A43" s="495" t="s">
        <v>102</v>
      </c>
      <c r="B43" s="496"/>
      <c r="C43" s="497">
        <f>Таблица3[[#This Row],[Степень зрелости вспом]]</f>
        <v>47</v>
      </c>
      <c r="D43" s="498">
        <v>100</v>
      </c>
      <c r="E43" s="499"/>
      <c r="F43" s="496"/>
      <c r="G43" s="496">
        <v>13400</v>
      </c>
      <c r="H43" s="500"/>
      <c r="I43" s="496">
        <v>11457</v>
      </c>
      <c r="J43" s="495" t="s">
        <v>2939</v>
      </c>
      <c r="K43" s="495" t="s">
        <v>782</v>
      </c>
      <c r="L43" s="495" t="s">
        <v>2966</v>
      </c>
      <c r="M43" s="495" t="s">
        <v>347</v>
      </c>
      <c r="N43" s="495"/>
      <c r="O43" s="495"/>
      <c r="P43" s="495"/>
      <c r="Q43" s="495"/>
      <c r="R43" s="501" t="s">
        <v>351</v>
      </c>
      <c r="S43" s="495"/>
      <c r="T43" s="482" t="str">
        <f>VLOOKUP(Таблица3[[#This Row],[№ акта]],$AJ$1:$BJ$691,15,FALSE)</f>
        <v>А-4/1</v>
      </c>
      <c r="U43" s="482" t="str">
        <f>VLOOKUP(Таблица3[[#This Row],[№ акта]],$AJ$1:$BJ$691,16,FALSE)</f>
        <v>Тиара</v>
      </c>
      <c r="V43" s="502">
        <f>VLOOKUP(Таблица3[[#This Row],[№ акта]],$AJ$1:$BJ$691,17,FALSE)</f>
        <v>2.2999999999999998</v>
      </c>
      <c r="W43" s="502" t="str">
        <f>VLOOKUP(Таблица3[[#This Row],[№ акта]],$AJ$1:$BJ$691,18,FALSE)</f>
        <v>ГРК (богара)</v>
      </c>
      <c r="X43" s="502" t="str">
        <f>VLOOKUP(Таблица3[[#This Row],[№ акта]],$AJ$1:$BJ$691,19,FALSE)</f>
        <v>богара</v>
      </c>
      <c r="Y43" s="503">
        <f>VLOOKUP(Таблица3[[#This Row],[№ акта]],$AJ$1:$BJ$691,20,FALSE)</f>
        <v>3</v>
      </c>
      <c r="Z43" s="504">
        <f>VLOOKUP(Таблица3[[#This Row],[№ акта]],$AJ$1:$BJ$691,21,FALSE)</f>
        <v>46179</v>
      </c>
      <c r="AA43" s="504"/>
      <c r="AB43" s="504" t="str">
        <f>IF(VLOOKUP(Таблица3[[#This Row],[№ акта]],$AJ$1:$BJ$691,23,FALSE)&lt;&gt;0,VLOOKUP(Таблица3[[#This Row],[№ акта]],$AJ$1:$BJ$691,23,FALSE),"-")</f>
        <v>-</v>
      </c>
      <c r="AC4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43" s="506" t="s">
        <v>2940</v>
      </c>
      <c r="AE43" s="505">
        <v>56</v>
      </c>
      <c r="AF43" s="507">
        <v>46180</v>
      </c>
      <c r="AG43" s="505">
        <v>42</v>
      </c>
      <c r="AH43" s="505">
        <f>IFERROR(VLOOKUP(Таблица3[[#This Row],[№ акта]],'Степень зрелости 2026'!$H$12:$I$800,2,FALSE),)</f>
        <v>47</v>
      </c>
      <c r="AJ43" s="508">
        <v>56</v>
      </c>
      <c r="AK43" s="509">
        <v>46180</v>
      </c>
      <c r="AL43" s="508">
        <v>100</v>
      </c>
      <c r="AO43" s="508">
        <v>13400</v>
      </c>
      <c r="AP43" s="508">
        <v>11457</v>
      </c>
      <c r="AQ43" s="508" t="s">
        <v>2939</v>
      </c>
      <c r="AR43" s="508" t="s">
        <v>782</v>
      </c>
      <c r="AS43" s="508" t="s">
        <v>2966</v>
      </c>
      <c r="AT43" s="508" t="s">
        <v>347</v>
      </c>
      <c r="AV43" s="508" t="s">
        <v>351</v>
      </c>
      <c r="AX43" s="508" t="s">
        <v>2935</v>
      </c>
      <c r="AY43" s="508" t="s">
        <v>782</v>
      </c>
      <c r="AZ43" s="508">
        <v>2.2999999999999998</v>
      </c>
      <c r="BA43" s="508" t="s">
        <v>46</v>
      </c>
      <c r="BB43" s="508" t="s">
        <v>19</v>
      </c>
      <c r="BC43" s="508">
        <v>3</v>
      </c>
      <c r="BD43" s="509">
        <v>46179</v>
      </c>
      <c r="BG43" s="508" t="s">
        <v>3557</v>
      </c>
      <c r="BH43" s="508" t="s">
        <v>2940</v>
      </c>
      <c r="BI43" s="508">
        <v>42</v>
      </c>
      <c r="BJ43" s="508">
        <v>47</v>
      </c>
    </row>
    <row r="44" spans="1:62" s="508" customFormat="1" ht="14.25" hidden="1" customHeight="1" x14ac:dyDescent="0.2">
      <c r="A44" s="495" t="s">
        <v>102</v>
      </c>
      <c r="B44" s="496"/>
      <c r="C44" s="497">
        <f>Таблица3[[#This Row],[Степень зрелости вспом]]</f>
        <v>48</v>
      </c>
      <c r="D44" s="498">
        <v>101</v>
      </c>
      <c r="E44" s="499"/>
      <c r="F44" s="496"/>
      <c r="G44" s="496">
        <v>13470</v>
      </c>
      <c r="H44" s="500"/>
      <c r="I44" s="496">
        <v>11112.8</v>
      </c>
      <c r="J44" s="495" t="s">
        <v>2939</v>
      </c>
      <c r="K44" s="495" t="s">
        <v>782</v>
      </c>
      <c r="L44" s="495" t="s">
        <v>2935</v>
      </c>
      <c r="M44" s="495" t="s">
        <v>1806</v>
      </c>
      <c r="N44" s="495"/>
      <c r="O44" s="495"/>
      <c r="P44" s="495"/>
      <c r="Q44" s="495"/>
      <c r="R44" s="501" t="s">
        <v>1807</v>
      </c>
      <c r="S44" s="495"/>
      <c r="T44" s="482" t="str">
        <f>VLOOKUP(Таблица3[[#This Row],[№ акта]],$AJ$1:$BJ$691,15,FALSE)</f>
        <v>А-4/1</v>
      </c>
      <c r="U44" s="482" t="str">
        <f>VLOOKUP(Таблица3[[#This Row],[№ акта]],$AJ$1:$BJ$691,16,FALSE)</f>
        <v>Тиара</v>
      </c>
      <c r="V44" s="502">
        <f>VLOOKUP(Таблица3[[#This Row],[№ акта]],$AJ$1:$BJ$691,17,FALSE)</f>
        <v>2.2999999999999998</v>
      </c>
      <c r="W44" s="502" t="str">
        <f>VLOOKUP(Таблица3[[#This Row],[№ акта]],$AJ$1:$BJ$691,18,FALSE)</f>
        <v>ГРК (богара)</v>
      </c>
      <c r="X44" s="502" t="str">
        <f>VLOOKUP(Таблица3[[#This Row],[№ акта]],$AJ$1:$BJ$691,19,FALSE)</f>
        <v>богара</v>
      </c>
      <c r="Y44" s="503">
        <f>VLOOKUP(Таблица3[[#This Row],[№ акта]],$AJ$1:$BJ$691,20,FALSE)</f>
        <v>3</v>
      </c>
      <c r="Z44" s="504">
        <f>VLOOKUP(Таблица3[[#This Row],[№ акта]],$AJ$1:$BJ$691,21,FALSE)</f>
        <v>46179</v>
      </c>
      <c r="AA44" s="504"/>
      <c r="AB44" s="504" t="str">
        <f>IF(VLOOKUP(Таблица3[[#This Row],[№ акта]],$AJ$1:$BJ$691,23,FALSE)&lt;&gt;0,VLOOKUP(Таблица3[[#This Row],[№ акта]],$AJ$1:$BJ$691,23,FALSE),"-")</f>
        <v>-</v>
      </c>
      <c r="AC4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44" s="506" t="s">
        <v>2940</v>
      </c>
      <c r="AE44" s="505">
        <v>57</v>
      </c>
      <c r="AF44" s="507">
        <v>46180</v>
      </c>
      <c r="AG44" s="505">
        <v>43</v>
      </c>
      <c r="AH44" s="505">
        <f>IFERROR(VLOOKUP(Таблица3[[#This Row],[№ акта]],'Степень зрелости 2026'!$H$12:$I$800,2,FALSE),)</f>
        <v>48</v>
      </c>
      <c r="AJ44" s="508">
        <v>57</v>
      </c>
      <c r="AK44" s="509">
        <v>46180</v>
      </c>
      <c r="AL44" s="508">
        <v>101</v>
      </c>
      <c r="AO44" s="508">
        <v>13470</v>
      </c>
      <c r="AP44" s="508">
        <v>11112.8</v>
      </c>
      <c r="AQ44" s="508" t="s">
        <v>2939</v>
      </c>
      <c r="AR44" s="508" t="s">
        <v>782</v>
      </c>
      <c r="AS44" s="508" t="s">
        <v>2935</v>
      </c>
      <c r="AT44" s="508" t="s">
        <v>1806</v>
      </c>
      <c r="AV44" s="508" t="s">
        <v>1807</v>
      </c>
      <c r="AX44" s="508" t="s">
        <v>2935</v>
      </c>
      <c r="AY44" s="508" t="s">
        <v>782</v>
      </c>
      <c r="AZ44" s="508">
        <v>2.2999999999999998</v>
      </c>
      <c r="BA44" s="508" t="s">
        <v>46</v>
      </c>
      <c r="BB44" s="508" t="s">
        <v>19</v>
      </c>
      <c r="BC44" s="508">
        <v>3</v>
      </c>
      <c r="BD44" s="509">
        <v>46179</v>
      </c>
      <c r="BG44" s="508" t="s">
        <v>3557</v>
      </c>
      <c r="BH44" s="508" t="s">
        <v>2940</v>
      </c>
      <c r="BI44" s="508">
        <v>43</v>
      </c>
      <c r="BJ44" s="508">
        <v>48</v>
      </c>
    </row>
    <row r="45" spans="1:62" s="508" customFormat="1" ht="14.25" hidden="1" customHeight="1" x14ac:dyDescent="0.2">
      <c r="A45" s="495" t="s">
        <v>102</v>
      </c>
      <c r="B45" s="496"/>
      <c r="C45" s="497">
        <f>Таблица3[[#This Row],[Степень зрелости вспом]]</f>
        <v>45</v>
      </c>
      <c r="D45" s="498">
        <v>102</v>
      </c>
      <c r="E45" s="499"/>
      <c r="F45" s="496"/>
      <c r="G45" s="496">
        <v>4490</v>
      </c>
      <c r="H45" s="500"/>
      <c r="I45" s="496">
        <v>3883.8</v>
      </c>
      <c r="J45" s="495" t="s">
        <v>2939</v>
      </c>
      <c r="K45" s="495" t="s">
        <v>782</v>
      </c>
      <c r="L45" s="495" t="s">
        <v>2966</v>
      </c>
      <c r="M45" s="495" t="s">
        <v>737</v>
      </c>
      <c r="N45" s="495"/>
      <c r="O45" s="495"/>
      <c r="P45" s="495"/>
      <c r="Q45" s="495"/>
      <c r="R45" s="501" t="s">
        <v>738</v>
      </c>
      <c r="S45" s="495"/>
      <c r="T45" s="482" t="str">
        <f>VLOOKUP(Таблица3[[#This Row],[№ акта]],$AJ$1:$BJ$691,15,FALSE)</f>
        <v>А-4/1</v>
      </c>
      <c r="U45" s="482" t="str">
        <f>VLOOKUP(Таблица3[[#This Row],[№ акта]],$AJ$1:$BJ$691,16,FALSE)</f>
        <v>Тиара</v>
      </c>
      <c r="V45" s="502">
        <f>VLOOKUP(Таблица3[[#This Row],[№ акта]],$AJ$1:$BJ$691,17,FALSE)</f>
        <v>0.8</v>
      </c>
      <c r="W45" s="502" t="str">
        <f>VLOOKUP(Таблица3[[#This Row],[№ акта]],$AJ$1:$BJ$691,18,FALSE)</f>
        <v>ГРК (богара)</v>
      </c>
      <c r="X45" s="502" t="str">
        <f>VLOOKUP(Таблица3[[#This Row],[№ акта]],$AJ$1:$BJ$691,19,FALSE)</f>
        <v>богара</v>
      </c>
      <c r="Y45" s="503">
        <f>VLOOKUP(Таблица3[[#This Row],[№ акта]],$AJ$1:$BJ$691,20,FALSE)</f>
        <v>3</v>
      </c>
      <c r="Z45" s="504">
        <f>VLOOKUP(Таблица3[[#This Row],[№ акта]],$AJ$1:$BJ$691,21,FALSE)</f>
        <v>46179</v>
      </c>
      <c r="AA45" s="504"/>
      <c r="AB45" s="504" t="str">
        <f>IF(VLOOKUP(Таблица3[[#This Row],[№ акта]],$AJ$1:$BJ$691,23,FALSE)&lt;&gt;0,VLOOKUP(Таблица3[[#This Row],[№ акта]],$AJ$1:$BJ$691,23,FALSE),"-")</f>
        <v>-</v>
      </c>
      <c r="AC4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45" s="506" t="s">
        <v>2940</v>
      </c>
      <c r="AE45" s="505">
        <v>58</v>
      </c>
      <c r="AF45" s="507">
        <v>46180</v>
      </c>
      <c r="AG45" s="505">
        <v>44</v>
      </c>
      <c r="AH45" s="505">
        <f>IFERROR(VLOOKUP(Таблица3[[#This Row],[№ акта]],'Степень зрелости 2026'!$H$12:$I$800,2,FALSE),)</f>
        <v>45</v>
      </c>
      <c r="AJ45" s="508">
        <v>58</v>
      </c>
      <c r="AK45" s="509">
        <v>46180</v>
      </c>
      <c r="AL45" s="508">
        <v>102</v>
      </c>
      <c r="AO45" s="508">
        <v>4490</v>
      </c>
      <c r="AP45" s="508">
        <v>3883.8</v>
      </c>
      <c r="AQ45" s="508" t="s">
        <v>2939</v>
      </c>
      <c r="AR45" s="508" t="s">
        <v>782</v>
      </c>
      <c r="AS45" s="508" t="s">
        <v>2966</v>
      </c>
      <c r="AT45" s="508" t="s">
        <v>737</v>
      </c>
      <c r="AV45" s="508" t="s">
        <v>738</v>
      </c>
      <c r="AX45" s="508" t="s">
        <v>2935</v>
      </c>
      <c r="AY45" s="508" t="s">
        <v>782</v>
      </c>
      <c r="AZ45" s="508">
        <v>0.8</v>
      </c>
      <c r="BA45" s="508" t="s">
        <v>46</v>
      </c>
      <c r="BB45" s="508" t="s">
        <v>19</v>
      </c>
      <c r="BC45" s="508">
        <v>3</v>
      </c>
      <c r="BD45" s="509">
        <v>46179</v>
      </c>
      <c r="BG45" s="508" t="s">
        <v>3557</v>
      </c>
      <c r="BH45" s="508" t="s">
        <v>2940</v>
      </c>
      <c r="BI45" s="508">
        <v>44</v>
      </c>
      <c r="BJ45" s="508">
        <v>45</v>
      </c>
    </row>
    <row r="46" spans="1:62" s="508" customFormat="1" ht="14.25" hidden="1" customHeight="1" x14ac:dyDescent="0.2">
      <c r="A46" s="495" t="s">
        <v>102</v>
      </c>
      <c r="B46" s="496"/>
      <c r="C46" s="497">
        <f>Таблица3[[#This Row],[Степень зрелости вспом]]</f>
        <v>47</v>
      </c>
      <c r="D46" s="498">
        <v>103</v>
      </c>
      <c r="E46" s="499"/>
      <c r="F46" s="496"/>
      <c r="G46" s="496">
        <v>13580</v>
      </c>
      <c r="H46" s="500"/>
      <c r="I46" s="496">
        <v>11067.7</v>
      </c>
      <c r="J46" s="495" t="s">
        <v>2939</v>
      </c>
      <c r="K46" s="495" t="s">
        <v>782</v>
      </c>
      <c r="L46" s="495" t="s">
        <v>2935</v>
      </c>
      <c r="M46" s="495" t="s">
        <v>311</v>
      </c>
      <c r="N46" s="495"/>
      <c r="O46" s="495"/>
      <c r="P46" s="495"/>
      <c r="Q46" s="495"/>
      <c r="R46" s="501" t="s">
        <v>315</v>
      </c>
      <c r="S46" s="495"/>
      <c r="T46" s="482" t="str">
        <f>VLOOKUP(Таблица3[[#This Row],[№ акта]],$AJ$1:$BJ$691,15,FALSE)</f>
        <v>А-4/1</v>
      </c>
      <c r="U46" s="482" t="str">
        <f>VLOOKUP(Таблица3[[#This Row],[№ акта]],$AJ$1:$BJ$691,16,FALSE)</f>
        <v>Тиара</v>
      </c>
      <c r="V46" s="502">
        <f>VLOOKUP(Таблица3[[#This Row],[№ акта]],$AJ$1:$BJ$691,17,FALSE)</f>
        <v>2.2999999999999998</v>
      </c>
      <c r="W46" s="502" t="str">
        <f>VLOOKUP(Таблица3[[#This Row],[№ акта]],$AJ$1:$BJ$691,18,FALSE)</f>
        <v>ГРК (богара)</v>
      </c>
      <c r="X46" s="502" t="str">
        <f>VLOOKUP(Таблица3[[#This Row],[№ акта]],$AJ$1:$BJ$691,19,FALSE)</f>
        <v>богара</v>
      </c>
      <c r="Y46" s="503">
        <f>VLOOKUP(Таблица3[[#This Row],[№ акта]],$AJ$1:$BJ$691,20,FALSE)</f>
        <v>3</v>
      </c>
      <c r="Z46" s="504">
        <f>VLOOKUP(Таблица3[[#This Row],[№ акта]],$AJ$1:$BJ$691,21,FALSE)</f>
        <v>46179</v>
      </c>
      <c r="AA46" s="504"/>
      <c r="AB46" s="504" t="str">
        <f>IF(VLOOKUP(Таблица3[[#This Row],[№ акта]],$AJ$1:$BJ$691,23,FALSE)&lt;&gt;0,VLOOKUP(Таблица3[[#This Row],[№ акта]],$AJ$1:$BJ$691,23,FALSE),"-")</f>
        <v>-</v>
      </c>
      <c r="AC4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46" s="506" t="s">
        <v>2940</v>
      </c>
      <c r="AE46" s="505">
        <v>59</v>
      </c>
      <c r="AF46" s="507">
        <v>46180</v>
      </c>
      <c r="AG46" s="505">
        <v>45</v>
      </c>
      <c r="AH46" s="505">
        <f>IFERROR(VLOOKUP(Таблица3[[#This Row],[№ акта]],'Степень зрелости 2026'!$H$12:$I$800,2,FALSE),)</f>
        <v>47</v>
      </c>
      <c r="AJ46" s="508">
        <v>59</v>
      </c>
      <c r="AK46" s="509">
        <v>46180</v>
      </c>
      <c r="AL46" s="508">
        <v>103</v>
      </c>
      <c r="AO46" s="508">
        <v>13580</v>
      </c>
      <c r="AP46" s="508">
        <v>11067.7</v>
      </c>
      <c r="AQ46" s="508" t="s">
        <v>2939</v>
      </c>
      <c r="AR46" s="508" t="s">
        <v>782</v>
      </c>
      <c r="AS46" s="508" t="s">
        <v>2935</v>
      </c>
      <c r="AT46" s="508" t="s">
        <v>311</v>
      </c>
      <c r="AV46" s="508" t="s">
        <v>315</v>
      </c>
      <c r="AX46" s="508" t="s">
        <v>2935</v>
      </c>
      <c r="AY46" s="508" t="s">
        <v>782</v>
      </c>
      <c r="AZ46" s="508">
        <v>2.2999999999999998</v>
      </c>
      <c r="BA46" s="508" t="s">
        <v>46</v>
      </c>
      <c r="BB46" s="508" t="s">
        <v>19</v>
      </c>
      <c r="BC46" s="508">
        <v>3</v>
      </c>
      <c r="BD46" s="509">
        <v>46179</v>
      </c>
      <c r="BG46" s="508" t="s">
        <v>3557</v>
      </c>
      <c r="BH46" s="508" t="s">
        <v>2940</v>
      </c>
      <c r="BI46" s="508">
        <v>45</v>
      </c>
      <c r="BJ46" s="508">
        <v>47</v>
      </c>
    </row>
    <row r="47" spans="1:62" s="508" customFormat="1" ht="14.25" hidden="1" customHeight="1" x14ac:dyDescent="0.2">
      <c r="A47" s="495" t="s">
        <v>102</v>
      </c>
      <c r="B47" s="496"/>
      <c r="C47" s="497">
        <f>Таблица3[[#This Row],[Степень зрелости вспом]]</f>
        <v>50</v>
      </c>
      <c r="D47" s="498">
        <v>104</v>
      </c>
      <c r="E47" s="499"/>
      <c r="F47" s="496"/>
      <c r="G47" s="496">
        <v>13540</v>
      </c>
      <c r="H47" s="500"/>
      <c r="I47" s="496">
        <v>11035.1</v>
      </c>
      <c r="J47" s="495" t="s">
        <v>2939</v>
      </c>
      <c r="K47" s="495" t="s">
        <v>782</v>
      </c>
      <c r="L47" s="495" t="s">
        <v>2935</v>
      </c>
      <c r="M47" s="495" t="s">
        <v>127</v>
      </c>
      <c r="N47" s="495"/>
      <c r="O47" s="495"/>
      <c r="P47" s="495"/>
      <c r="Q47" s="495"/>
      <c r="R47" s="501" t="s">
        <v>131</v>
      </c>
      <c r="S47" s="495"/>
      <c r="T47" s="482" t="str">
        <f>VLOOKUP(Таблица3[[#This Row],[№ акта]],$AJ$1:$BJ$691,15,FALSE)</f>
        <v>А-4/1</v>
      </c>
      <c r="U47" s="482" t="str">
        <f>VLOOKUP(Таблица3[[#This Row],[№ акта]],$AJ$1:$BJ$691,16,FALSE)</f>
        <v>Тиара</v>
      </c>
      <c r="V47" s="502">
        <f>VLOOKUP(Таблица3[[#This Row],[№ акта]],$AJ$1:$BJ$691,17,FALSE)</f>
        <v>2.2999999999999998</v>
      </c>
      <c r="W47" s="502" t="str">
        <f>VLOOKUP(Таблица3[[#This Row],[№ акта]],$AJ$1:$BJ$691,18,FALSE)</f>
        <v>ГРК (богара)</v>
      </c>
      <c r="X47" s="502" t="str">
        <f>VLOOKUP(Таблица3[[#This Row],[№ акта]],$AJ$1:$BJ$691,19,FALSE)</f>
        <v>богара</v>
      </c>
      <c r="Y47" s="503">
        <f>VLOOKUP(Таблица3[[#This Row],[№ акта]],$AJ$1:$BJ$691,20,FALSE)</f>
        <v>3</v>
      </c>
      <c r="Z47" s="504">
        <f>VLOOKUP(Таблица3[[#This Row],[№ акта]],$AJ$1:$BJ$691,21,FALSE)</f>
        <v>46179</v>
      </c>
      <c r="AA47" s="504"/>
      <c r="AB47" s="504" t="str">
        <f>IF(VLOOKUP(Таблица3[[#This Row],[№ акта]],$AJ$1:$BJ$691,23,FALSE)&lt;&gt;0,VLOOKUP(Таблица3[[#This Row],[№ акта]],$AJ$1:$BJ$691,23,FALSE),"-")</f>
        <v>-</v>
      </c>
      <c r="AC4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47" s="506" t="s">
        <v>2940</v>
      </c>
      <c r="AE47" s="505">
        <v>60</v>
      </c>
      <c r="AF47" s="507">
        <v>46180</v>
      </c>
      <c r="AG47" s="505">
        <v>46</v>
      </c>
      <c r="AH47" s="505">
        <f>IFERROR(VLOOKUP(Таблица3[[#This Row],[№ акта]],'Степень зрелости 2026'!$H$12:$I$800,2,FALSE),)</f>
        <v>50</v>
      </c>
      <c r="AJ47" s="508">
        <v>60</v>
      </c>
      <c r="AK47" s="509">
        <v>46180</v>
      </c>
      <c r="AL47" s="508">
        <v>104</v>
      </c>
      <c r="AO47" s="508">
        <v>13540</v>
      </c>
      <c r="AP47" s="508">
        <v>11035.1</v>
      </c>
      <c r="AQ47" s="508" t="s">
        <v>2939</v>
      </c>
      <c r="AR47" s="508" t="s">
        <v>782</v>
      </c>
      <c r="AS47" s="508" t="s">
        <v>2935</v>
      </c>
      <c r="AT47" s="508" t="s">
        <v>127</v>
      </c>
      <c r="AV47" s="508" t="s">
        <v>131</v>
      </c>
      <c r="AX47" s="508" t="s">
        <v>2935</v>
      </c>
      <c r="AY47" s="508" t="s">
        <v>782</v>
      </c>
      <c r="AZ47" s="508">
        <v>2.2999999999999998</v>
      </c>
      <c r="BA47" s="508" t="s">
        <v>46</v>
      </c>
      <c r="BB47" s="508" t="s">
        <v>19</v>
      </c>
      <c r="BC47" s="508">
        <v>3</v>
      </c>
      <c r="BD47" s="509">
        <v>46179</v>
      </c>
      <c r="BG47" s="508" t="s">
        <v>3557</v>
      </c>
      <c r="BH47" s="508" t="s">
        <v>2940</v>
      </c>
      <c r="BI47" s="508">
        <v>46</v>
      </c>
      <c r="BJ47" s="508">
        <v>50</v>
      </c>
    </row>
    <row r="48" spans="1:62" s="508" customFormat="1" ht="14.25" hidden="1" customHeight="1" x14ac:dyDescent="0.2">
      <c r="A48" s="495" t="s">
        <v>102</v>
      </c>
      <c r="B48" s="496"/>
      <c r="C48" s="497">
        <f>Таблица3[[#This Row],[Степень зрелости вспом]]</f>
        <v>56</v>
      </c>
      <c r="D48" s="498">
        <v>107</v>
      </c>
      <c r="E48" s="499"/>
      <c r="F48" s="496"/>
      <c r="G48" s="496">
        <v>13880</v>
      </c>
      <c r="H48" s="500"/>
      <c r="I48" s="496">
        <v>11034.6</v>
      </c>
      <c r="J48" s="495" t="s">
        <v>2939</v>
      </c>
      <c r="K48" s="495" t="s">
        <v>782</v>
      </c>
      <c r="L48" s="495" t="s">
        <v>2935</v>
      </c>
      <c r="M48" s="495" t="s">
        <v>121</v>
      </c>
      <c r="N48" s="495"/>
      <c r="O48" s="495"/>
      <c r="P48" s="495"/>
      <c r="Q48" s="495"/>
      <c r="R48" s="501" t="s">
        <v>125</v>
      </c>
      <c r="S48" s="495"/>
      <c r="T48" s="482" t="str">
        <f>VLOOKUP(Таблица3[[#This Row],[№ акта]],$AJ$1:$BJ$691,15,FALSE)</f>
        <v>А-4/1</v>
      </c>
      <c r="U48" s="482" t="str">
        <f>VLOOKUP(Таблица3[[#This Row],[№ акта]],$AJ$1:$BJ$691,16,FALSE)</f>
        <v>Тиара</v>
      </c>
      <c r="V48" s="502">
        <f>VLOOKUP(Таблица3[[#This Row],[№ акта]],$AJ$1:$BJ$691,17,FALSE)</f>
        <v>2.9</v>
      </c>
      <c r="W48" s="502" t="str">
        <f>VLOOKUP(Таблица3[[#This Row],[№ акта]],$AJ$1:$BJ$691,18,FALSE)</f>
        <v>ГРК (богара)</v>
      </c>
      <c r="X48" s="502" t="str">
        <f>VLOOKUP(Таблица3[[#This Row],[№ акта]],$AJ$1:$BJ$691,19,FALSE)</f>
        <v>богара</v>
      </c>
      <c r="Y48" s="503">
        <f>VLOOKUP(Таблица3[[#This Row],[№ акта]],$AJ$1:$BJ$691,20,FALSE)</f>
        <v>4</v>
      </c>
      <c r="Z48" s="504">
        <f>VLOOKUP(Таблица3[[#This Row],[№ акта]],$AJ$1:$BJ$691,21,FALSE)</f>
        <v>46180</v>
      </c>
      <c r="AA48" s="504"/>
      <c r="AB48" s="504" t="str">
        <f>IF(VLOOKUP(Таблица3[[#This Row],[№ акта]],$AJ$1:$BJ$691,23,FALSE)&lt;&gt;0,VLOOKUP(Таблица3[[#This Row],[№ акта]],$AJ$1:$BJ$691,23,FALSE),"-")</f>
        <v>-</v>
      </c>
      <c r="AC4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8" s="506" t="s">
        <v>2940</v>
      </c>
      <c r="AE48" s="505">
        <v>61</v>
      </c>
      <c r="AF48" s="507">
        <v>46180</v>
      </c>
      <c r="AG48" s="505">
        <v>47</v>
      </c>
      <c r="AH48" s="505">
        <f>IFERROR(VLOOKUP(Таблица3[[#This Row],[№ акта]],'Степень зрелости 2026'!$H$12:$I$800,2,FALSE),)</f>
        <v>56</v>
      </c>
      <c r="AJ48" s="508">
        <v>61</v>
      </c>
      <c r="AK48" s="509">
        <v>46180</v>
      </c>
      <c r="AL48" s="508">
        <v>107</v>
      </c>
      <c r="AO48" s="508">
        <v>13880</v>
      </c>
      <c r="AP48" s="508">
        <v>11034.6</v>
      </c>
      <c r="AQ48" s="508" t="s">
        <v>2939</v>
      </c>
      <c r="AR48" s="508" t="s">
        <v>782</v>
      </c>
      <c r="AS48" s="508" t="s">
        <v>2935</v>
      </c>
      <c r="AT48" s="508" t="s">
        <v>121</v>
      </c>
      <c r="AV48" s="508" t="s">
        <v>125</v>
      </c>
      <c r="AX48" s="508" t="s">
        <v>2935</v>
      </c>
      <c r="AY48" s="508" t="s">
        <v>782</v>
      </c>
      <c r="AZ48" s="508">
        <v>2.9</v>
      </c>
      <c r="BA48" s="508" t="s">
        <v>46</v>
      </c>
      <c r="BB48" s="508" t="s">
        <v>19</v>
      </c>
      <c r="BC48" s="508">
        <v>4</v>
      </c>
      <c r="BD48" s="509">
        <v>46180</v>
      </c>
      <c r="BG48" s="508" t="s">
        <v>724</v>
      </c>
      <c r="BH48" s="508" t="s">
        <v>2940</v>
      </c>
      <c r="BI48" s="508">
        <v>47</v>
      </c>
      <c r="BJ48" s="508">
        <v>56</v>
      </c>
    </row>
    <row r="49" spans="1:62" s="508" customFormat="1" ht="14.25" hidden="1" customHeight="1" x14ac:dyDescent="0.2">
      <c r="A49" s="495" t="s">
        <v>102</v>
      </c>
      <c r="B49" s="496"/>
      <c r="C49" s="497">
        <f>Таблица3[[#This Row],[Степень зрелости вспом]]</f>
        <v>57</v>
      </c>
      <c r="D49" s="498">
        <v>109</v>
      </c>
      <c r="E49" s="499"/>
      <c r="F49" s="496"/>
      <c r="G49" s="496">
        <v>4470</v>
      </c>
      <c r="H49" s="500"/>
      <c r="I49" s="496">
        <v>3866.5</v>
      </c>
      <c r="J49" s="495" t="s">
        <v>2939</v>
      </c>
      <c r="K49" s="495" t="s">
        <v>782</v>
      </c>
      <c r="L49" s="495" t="s">
        <v>2966</v>
      </c>
      <c r="M49" s="495" t="s">
        <v>762</v>
      </c>
      <c r="N49" s="495"/>
      <c r="O49" s="495"/>
      <c r="P49" s="495"/>
      <c r="Q49" s="495"/>
      <c r="R49" s="501" t="s">
        <v>763</v>
      </c>
      <c r="S49" s="495"/>
      <c r="T49" s="482" t="str">
        <f>VLOOKUP(Таблица3[[#This Row],[№ акта]],$AJ$1:$BJ$691,15,FALSE)</f>
        <v>А-4/1</v>
      </c>
      <c r="U49" s="482" t="str">
        <f>VLOOKUP(Таблица3[[#This Row],[№ акта]],$AJ$1:$BJ$691,16,FALSE)</f>
        <v>Тиара</v>
      </c>
      <c r="V49" s="502">
        <f>VLOOKUP(Таблица3[[#This Row],[№ акта]],$AJ$1:$BJ$691,17,FALSE)</f>
        <v>0.9</v>
      </c>
      <c r="W49" s="502" t="str">
        <f>VLOOKUP(Таблица3[[#This Row],[№ акта]],$AJ$1:$BJ$691,18,FALSE)</f>
        <v>ГРК (богара)</v>
      </c>
      <c r="X49" s="502" t="str">
        <f>VLOOKUP(Таблица3[[#This Row],[№ акта]],$AJ$1:$BJ$691,19,FALSE)</f>
        <v>богара</v>
      </c>
      <c r="Y49" s="503">
        <f>VLOOKUP(Таблица3[[#This Row],[№ акта]],$AJ$1:$BJ$691,20,FALSE)</f>
        <v>4</v>
      </c>
      <c r="Z49" s="504">
        <f>VLOOKUP(Таблица3[[#This Row],[№ акта]],$AJ$1:$BJ$691,21,FALSE)</f>
        <v>46180</v>
      </c>
      <c r="AA49" s="504"/>
      <c r="AB49" s="504" t="str">
        <f>IF(VLOOKUP(Таблица3[[#This Row],[№ акта]],$AJ$1:$BJ$691,23,FALSE)&lt;&gt;0,VLOOKUP(Таблица3[[#This Row],[№ акта]],$AJ$1:$BJ$691,23,FALSE),"-")</f>
        <v>-</v>
      </c>
      <c r="AC4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9" s="506" t="s">
        <v>2940</v>
      </c>
      <c r="AE49" s="505">
        <v>62</v>
      </c>
      <c r="AF49" s="507">
        <v>46180</v>
      </c>
      <c r="AG49" s="505">
        <v>48</v>
      </c>
      <c r="AH49" s="505">
        <f>IFERROR(VLOOKUP(Таблица3[[#This Row],[№ акта]],'Степень зрелости 2026'!$H$12:$I$800,2,FALSE),)</f>
        <v>57</v>
      </c>
      <c r="AJ49" s="508">
        <v>62</v>
      </c>
      <c r="AK49" s="509">
        <v>46180</v>
      </c>
      <c r="AL49" s="508">
        <v>109</v>
      </c>
      <c r="AO49" s="508">
        <v>4470</v>
      </c>
      <c r="AP49" s="508">
        <v>3866.5</v>
      </c>
      <c r="AQ49" s="508" t="s">
        <v>2939</v>
      </c>
      <c r="AR49" s="508" t="s">
        <v>782</v>
      </c>
      <c r="AS49" s="508" t="s">
        <v>2966</v>
      </c>
      <c r="AT49" s="508" t="s">
        <v>762</v>
      </c>
      <c r="AV49" s="508" t="s">
        <v>763</v>
      </c>
      <c r="AX49" s="508" t="s">
        <v>2935</v>
      </c>
      <c r="AY49" s="508" t="s">
        <v>782</v>
      </c>
      <c r="AZ49" s="508">
        <v>0.9</v>
      </c>
      <c r="BA49" s="508" t="s">
        <v>46</v>
      </c>
      <c r="BB49" s="508" t="s">
        <v>19</v>
      </c>
      <c r="BC49" s="508">
        <v>4</v>
      </c>
      <c r="BD49" s="509">
        <v>46180</v>
      </c>
      <c r="BG49" s="508" t="s">
        <v>724</v>
      </c>
      <c r="BH49" s="508" t="s">
        <v>2940</v>
      </c>
      <c r="BI49" s="508">
        <v>48</v>
      </c>
      <c r="BJ49" s="508">
        <v>57</v>
      </c>
    </row>
    <row r="50" spans="1:62" s="508" customFormat="1" ht="14.25" hidden="1" customHeight="1" x14ac:dyDescent="0.2">
      <c r="A50" s="495" t="s">
        <v>102</v>
      </c>
      <c r="B50" s="496"/>
      <c r="C50" s="497">
        <f>Таблица3[[#This Row],[Степень зрелости вспом]]</f>
        <v>50</v>
      </c>
      <c r="D50" s="498">
        <v>111</v>
      </c>
      <c r="E50" s="499"/>
      <c r="F50" s="496"/>
      <c r="G50" s="496">
        <v>13880</v>
      </c>
      <c r="H50" s="500"/>
      <c r="I50" s="496">
        <v>11589.8</v>
      </c>
      <c r="J50" s="495" t="s">
        <v>2939</v>
      </c>
      <c r="K50" s="495" t="s">
        <v>782</v>
      </c>
      <c r="L50" s="495" t="s">
        <v>2966</v>
      </c>
      <c r="M50" s="495" t="s">
        <v>1792</v>
      </c>
      <c r="N50" s="495"/>
      <c r="O50" s="495"/>
      <c r="P50" s="495"/>
      <c r="Q50" s="495"/>
      <c r="R50" s="501" t="s">
        <v>80</v>
      </c>
      <c r="S50" s="495"/>
      <c r="T50" s="482" t="str">
        <f>VLOOKUP(Таблица3[[#This Row],[№ акта]],$AJ$1:$BJ$691,15,FALSE)</f>
        <v>А-4/1</v>
      </c>
      <c r="U50" s="482" t="str">
        <f>VLOOKUP(Таблица3[[#This Row],[№ акта]],$AJ$1:$BJ$691,16,FALSE)</f>
        <v>Тиара</v>
      </c>
      <c r="V50" s="502">
        <f>VLOOKUP(Таблица3[[#This Row],[№ акта]],$AJ$1:$BJ$691,17,FALSE)</f>
        <v>2.9</v>
      </c>
      <c r="W50" s="502" t="str">
        <f>VLOOKUP(Таблица3[[#This Row],[№ акта]],$AJ$1:$BJ$691,18,FALSE)</f>
        <v>ГРК (богара)</v>
      </c>
      <c r="X50" s="502" t="str">
        <f>VLOOKUP(Таблица3[[#This Row],[№ акта]],$AJ$1:$BJ$691,19,FALSE)</f>
        <v>богара</v>
      </c>
      <c r="Y50" s="503">
        <f>VLOOKUP(Таблица3[[#This Row],[№ акта]],$AJ$1:$BJ$691,20,FALSE)</f>
        <v>4</v>
      </c>
      <c r="Z50" s="504">
        <f>VLOOKUP(Таблица3[[#This Row],[№ акта]],$AJ$1:$BJ$691,21,FALSE)</f>
        <v>46180</v>
      </c>
      <c r="AA50" s="504"/>
      <c r="AB50" s="504" t="str">
        <f>IF(VLOOKUP(Таблица3[[#This Row],[№ акта]],$AJ$1:$BJ$691,23,FALSE)&lt;&gt;0,VLOOKUP(Таблица3[[#This Row],[№ акта]],$AJ$1:$BJ$691,23,FALSE),"-")</f>
        <v>-</v>
      </c>
      <c r="AC5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0" s="506" t="s">
        <v>2940</v>
      </c>
      <c r="AE50" s="505">
        <v>63</v>
      </c>
      <c r="AF50" s="507">
        <v>46180</v>
      </c>
      <c r="AG50" s="505">
        <v>49</v>
      </c>
      <c r="AH50" s="505">
        <f>IFERROR(VLOOKUP(Таблица3[[#This Row],[№ акта]],'Степень зрелости 2026'!$H$12:$I$800,2,FALSE),)</f>
        <v>50</v>
      </c>
      <c r="AJ50" s="508">
        <v>63</v>
      </c>
      <c r="AK50" s="509">
        <v>46180</v>
      </c>
      <c r="AL50" s="508">
        <v>111</v>
      </c>
      <c r="AO50" s="508">
        <v>13880</v>
      </c>
      <c r="AP50" s="508">
        <v>11589.8</v>
      </c>
      <c r="AQ50" s="508" t="s">
        <v>2939</v>
      </c>
      <c r="AR50" s="508" t="s">
        <v>782</v>
      </c>
      <c r="AS50" s="508" t="s">
        <v>2966</v>
      </c>
      <c r="AT50" s="508" t="s">
        <v>1792</v>
      </c>
      <c r="AV50" s="508" t="s">
        <v>80</v>
      </c>
      <c r="AX50" s="508" t="s">
        <v>2935</v>
      </c>
      <c r="AY50" s="508" t="s">
        <v>782</v>
      </c>
      <c r="AZ50" s="508">
        <v>2.9</v>
      </c>
      <c r="BA50" s="508" t="s">
        <v>46</v>
      </c>
      <c r="BB50" s="508" t="s">
        <v>19</v>
      </c>
      <c r="BC50" s="508">
        <v>4</v>
      </c>
      <c r="BD50" s="509">
        <v>46180</v>
      </c>
      <c r="BG50" s="508" t="s">
        <v>3557</v>
      </c>
      <c r="BH50" s="508" t="s">
        <v>2940</v>
      </c>
      <c r="BI50" s="508">
        <v>49</v>
      </c>
      <c r="BJ50" s="508">
        <v>50</v>
      </c>
    </row>
    <row r="51" spans="1:62" s="508" customFormat="1" ht="14.25" hidden="1" customHeight="1" x14ac:dyDescent="0.2">
      <c r="A51" s="495" t="s">
        <v>102</v>
      </c>
      <c r="B51" s="496"/>
      <c r="C51" s="497">
        <f>Таблица3[[#This Row],[Степень зрелости вспом]]</f>
        <v>55</v>
      </c>
      <c r="D51" s="498">
        <v>113</v>
      </c>
      <c r="E51" s="499"/>
      <c r="F51" s="496"/>
      <c r="G51" s="496">
        <v>11920</v>
      </c>
      <c r="H51" s="500"/>
      <c r="I51" s="496">
        <v>8403.6</v>
      </c>
      <c r="J51" s="495" t="s">
        <v>2939</v>
      </c>
      <c r="K51" s="495" t="s">
        <v>782</v>
      </c>
      <c r="L51" s="495" t="s">
        <v>2935</v>
      </c>
      <c r="M51" s="495" t="s">
        <v>894</v>
      </c>
      <c r="N51" s="495"/>
      <c r="O51" s="495"/>
      <c r="P51" s="495"/>
      <c r="Q51" s="495"/>
      <c r="R51" s="501" t="s">
        <v>895</v>
      </c>
      <c r="S51" s="495"/>
      <c r="T51" s="482" t="str">
        <f>VLOOKUP(Таблица3[[#This Row],[№ акта]],$AJ$1:$BJ$691,15,FALSE)</f>
        <v>А-4/1</v>
      </c>
      <c r="U51" s="482" t="str">
        <f>VLOOKUP(Таблица3[[#This Row],[№ акта]],$AJ$1:$BJ$691,16,FALSE)</f>
        <v>Тиара</v>
      </c>
      <c r="V51" s="502">
        <f>VLOOKUP(Таблица3[[#This Row],[№ акта]],$AJ$1:$BJ$691,17,FALSE)</f>
        <v>2.5</v>
      </c>
      <c r="W51" s="502" t="str">
        <f>VLOOKUP(Таблица3[[#This Row],[№ акта]],$AJ$1:$BJ$691,18,FALSE)</f>
        <v>ГРК (богара)</v>
      </c>
      <c r="X51" s="502" t="str">
        <f>VLOOKUP(Таблица3[[#This Row],[№ акта]],$AJ$1:$BJ$691,19,FALSE)</f>
        <v>богара</v>
      </c>
      <c r="Y51" s="503">
        <f>VLOOKUP(Таблица3[[#This Row],[№ акта]],$AJ$1:$BJ$691,20,FALSE)</f>
        <v>4</v>
      </c>
      <c r="Z51" s="504">
        <f>VLOOKUP(Таблица3[[#This Row],[№ акта]],$AJ$1:$BJ$691,21,FALSE)</f>
        <v>46180</v>
      </c>
      <c r="AA51" s="504"/>
      <c r="AB51" s="504" t="str">
        <f>IF(VLOOKUP(Таблица3[[#This Row],[№ акта]],$AJ$1:$BJ$691,23,FALSE)&lt;&gt;0,VLOOKUP(Таблица3[[#This Row],[№ акта]],$AJ$1:$BJ$691,23,FALSE),"-")</f>
        <v>-</v>
      </c>
      <c r="AC5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1" s="506" t="s">
        <v>2940</v>
      </c>
      <c r="AE51" s="505">
        <v>64</v>
      </c>
      <c r="AF51" s="507">
        <v>46180</v>
      </c>
      <c r="AG51" s="505">
        <v>50</v>
      </c>
      <c r="AH51" s="505">
        <f>IFERROR(VLOOKUP(Таблица3[[#This Row],[№ акта]],'Степень зрелости 2026'!$H$12:$I$800,2,FALSE),)</f>
        <v>55</v>
      </c>
      <c r="AJ51" s="508">
        <v>64</v>
      </c>
      <c r="AK51" s="509">
        <v>46180</v>
      </c>
      <c r="AL51" s="508">
        <v>113</v>
      </c>
      <c r="AO51" s="508">
        <v>11920</v>
      </c>
      <c r="AP51" s="508">
        <v>8403.6</v>
      </c>
      <c r="AQ51" s="508" t="s">
        <v>2939</v>
      </c>
      <c r="AR51" s="508" t="s">
        <v>782</v>
      </c>
      <c r="AS51" s="508" t="s">
        <v>2935</v>
      </c>
      <c r="AT51" s="508" t="s">
        <v>894</v>
      </c>
      <c r="AV51" s="508" t="s">
        <v>895</v>
      </c>
      <c r="AX51" s="508" t="s">
        <v>2935</v>
      </c>
      <c r="AY51" s="508" t="s">
        <v>782</v>
      </c>
      <c r="AZ51" s="508">
        <v>2.5</v>
      </c>
      <c r="BA51" s="508" t="s">
        <v>46</v>
      </c>
      <c r="BB51" s="508" t="s">
        <v>19</v>
      </c>
      <c r="BC51" s="508">
        <v>4</v>
      </c>
      <c r="BD51" s="509">
        <v>46180</v>
      </c>
      <c r="BG51" s="508" t="s">
        <v>724</v>
      </c>
      <c r="BH51" s="508" t="s">
        <v>2940</v>
      </c>
      <c r="BI51" s="508">
        <v>50</v>
      </c>
      <c r="BJ51" s="508">
        <v>55</v>
      </c>
    </row>
    <row r="52" spans="1:62" s="508" customFormat="1" ht="14.25" hidden="1" customHeight="1" x14ac:dyDescent="0.2">
      <c r="A52" s="495" t="s">
        <v>102</v>
      </c>
      <c r="B52" s="496"/>
      <c r="C52" s="497">
        <f>Таблица3[[#This Row],[Степень зрелости вспом]]</f>
        <v>50</v>
      </c>
      <c r="D52" s="498">
        <v>114</v>
      </c>
      <c r="E52" s="499"/>
      <c r="F52" s="496"/>
      <c r="G52" s="496">
        <v>1830</v>
      </c>
      <c r="H52" s="500"/>
      <c r="I52" s="496">
        <v>1564.6</v>
      </c>
      <c r="J52" s="495" t="s">
        <v>2939</v>
      </c>
      <c r="K52" s="495" t="s">
        <v>782</v>
      </c>
      <c r="L52" s="495" t="s">
        <v>2966</v>
      </c>
      <c r="M52" s="495" t="s">
        <v>762</v>
      </c>
      <c r="N52" s="495"/>
      <c r="O52" s="495"/>
      <c r="P52" s="495"/>
      <c r="Q52" s="495"/>
      <c r="R52" s="501" t="s">
        <v>763</v>
      </c>
      <c r="S52" s="495"/>
      <c r="T52" s="482" t="str">
        <f>VLOOKUP(Таблица3[[#This Row],[№ акта]],$AJ$1:$BJ$691,15,FALSE)</f>
        <v>А-4/1</v>
      </c>
      <c r="U52" s="482" t="str">
        <f>VLOOKUP(Таблица3[[#This Row],[№ акта]],$AJ$1:$BJ$691,16,FALSE)</f>
        <v>Тиара</v>
      </c>
      <c r="V52" s="502">
        <f>VLOOKUP(Таблица3[[#This Row],[№ акта]],$AJ$1:$BJ$691,17,FALSE)</f>
        <v>0.4</v>
      </c>
      <c r="W52" s="502" t="str">
        <f>VLOOKUP(Таблица3[[#This Row],[№ акта]],$AJ$1:$BJ$691,18,FALSE)</f>
        <v>ГРК (богара)</v>
      </c>
      <c r="X52" s="502" t="str">
        <f>VLOOKUP(Таблица3[[#This Row],[№ акта]],$AJ$1:$BJ$691,19,FALSE)</f>
        <v>богара</v>
      </c>
      <c r="Y52" s="503">
        <f>VLOOKUP(Таблица3[[#This Row],[№ акта]],$AJ$1:$BJ$691,20,FALSE)</f>
        <v>4</v>
      </c>
      <c r="Z52" s="504">
        <f>VLOOKUP(Таблица3[[#This Row],[№ акта]],$AJ$1:$BJ$691,21,FALSE)</f>
        <v>46180</v>
      </c>
      <c r="AA52" s="504"/>
      <c r="AB52" s="504" t="str">
        <f>IF(VLOOKUP(Таблица3[[#This Row],[№ акта]],$AJ$1:$BJ$691,23,FALSE)&lt;&gt;0,VLOOKUP(Таблица3[[#This Row],[№ акта]],$AJ$1:$BJ$691,23,FALSE),"-")</f>
        <v>-</v>
      </c>
      <c r="AC5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2" s="506" t="s">
        <v>2940</v>
      </c>
      <c r="AE52" s="505">
        <v>65</v>
      </c>
      <c r="AF52" s="507">
        <v>46180</v>
      </c>
      <c r="AG52" s="505">
        <v>51</v>
      </c>
      <c r="AH52" s="505">
        <f>IFERROR(VLOOKUP(Таблица3[[#This Row],[№ акта]],'Степень зрелости 2026'!$H$12:$I$800,2,FALSE),)</f>
        <v>50</v>
      </c>
      <c r="AJ52" s="508">
        <v>65</v>
      </c>
      <c r="AK52" s="509">
        <v>46180</v>
      </c>
      <c r="AL52" s="508">
        <v>114</v>
      </c>
      <c r="AO52" s="508">
        <v>1830</v>
      </c>
      <c r="AP52" s="508">
        <v>1564.6</v>
      </c>
      <c r="AQ52" s="508" t="s">
        <v>2939</v>
      </c>
      <c r="AR52" s="508" t="s">
        <v>782</v>
      </c>
      <c r="AS52" s="508" t="s">
        <v>2966</v>
      </c>
      <c r="AT52" s="508" t="s">
        <v>762</v>
      </c>
      <c r="AV52" s="508" t="s">
        <v>763</v>
      </c>
      <c r="AX52" s="508" t="s">
        <v>2935</v>
      </c>
      <c r="AY52" s="508" t="s">
        <v>782</v>
      </c>
      <c r="AZ52" s="508">
        <v>0.4</v>
      </c>
      <c r="BA52" s="508" t="s">
        <v>46</v>
      </c>
      <c r="BB52" s="508" t="s">
        <v>19</v>
      </c>
      <c r="BC52" s="508">
        <v>4</v>
      </c>
      <c r="BD52" s="509">
        <v>46180</v>
      </c>
      <c r="BG52" s="508" t="s">
        <v>3557</v>
      </c>
      <c r="BH52" s="508" t="s">
        <v>2940</v>
      </c>
      <c r="BI52" s="508">
        <v>51</v>
      </c>
      <c r="BJ52" s="508">
        <v>50</v>
      </c>
    </row>
    <row r="53" spans="1:62" s="508" customFormat="1" ht="14.25" hidden="1" customHeight="1" x14ac:dyDescent="0.2">
      <c r="A53" s="495" t="s">
        <v>102</v>
      </c>
      <c r="B53" s="496"/>
      <c r="C53" s="497">
        <f>Таблица3[[#This Row],[Степень зрелости вспом]]</f>
        <v>50</v>
      </c>
      <c r="D53" s="498">
        <v>115</v>
      </c>
      <c r="E53" s="499"/>
      <c r="F53" s="496"/>
      <c r="G53" s="496">
        <v>15400</v>
      </c>
      <c r="H53" s="500"/>
      <c r="I53" s="496">
        <v>13321</v>
      </c>
      <c r="J53" s="495" t="s">
        <v>2939</v>
      </c>
      <c r="K53" s="495" t="s">
        <v>782</v>
      </c>
      <c r="L53" s="495" t="s">
        <v>2966</v>
      </c>
      <c r="M53" s="495" t="s">
        <v>1312</v>
      </c>
      <c r="N53" s="495"/>
      <c r="O53" s="495"/>
      <c r="P53" s="495"/>
      <c r="Q53" s="495"/>
      <c r="R53" s="501" t="s">
        <v>320</v>
      </c>
      <c r="S53" s="495"/>
      <c r="T53" s="482" t="str">
        <f>VLOOKUP(Таблица3[[#This Row],[№ акта]],$AJ$1:$BJ$691,15,FALSE)</f>
        <v>А-4/1</v>
      </c>
      <c r="U53" s="482" t="str">
        <f>VLOOKUP(Таблица3[[#This Row],[№ акта]],$AJ$1:$BJ$691,16,FALSE)</f>
        <v>Тиара</v>
      </c>
      <c r="V53" s="502">
        <f>VLOOKUP(Таблица3[[#This Row],[№ акта]],$AJ$1:$BJ$691,17,FALSE)</f>
        <v>3.4</v>
      </c>
      <c r="W53" s="502" t="str">
        <f>VLOOKUP(Таблица3[[#This Row],[№ акта]],$AJ$1:$BJ$691,18,FALSE)</f>
        <v>ГРК (богара)</v>
      </c>
      <c r="X53" s="502" t="str">
        <f>VLOOKUP(Таблица3[[#This Row],[№ акта]],$AJ$1:$BJ$691,19,FALSE)</f>
        <v>богара</v>
      </c>
      <c r="Y53" s="503">
        <f>VLOOKUP(Таблица3[[#This Row],[№ акта]],$AJ$1:$BJ$691,20,FALSE)</f>
        <v>4</v>
      </c>
      <c r="Z53" s="504">
        <f>VLOOKUP(Таблица3[[#This Row],[№ акта]],$AJ$1:$BJ$691,21,FALSE)</f>
        <v>46180</v>
      </c>
      <c r="AA53" s="504"/>
      <c r="AB53" s="504" t="str">
        <f>IF(VLOOKUP(Таблица3[[#This Row],[№ акта]],$AJ$1:$BJ$691,23,FALSE)&lt;&gt;0,VLOOKUP(Таблица3[[#This Row],[№ акта]],$AJ$1:$BJ$691,23,FALSE),"-")</f>
        <v>-</v>
      </c>
      <c r="AC5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3" s="506" t="s">
        <v>2940</v>
      </c>
      <c r="AE53" s="505">
        <v>66</v>
      </c>
      <c r="AF53" s="507">
        <v>46180</v>
      </c>
      <c r="AG53" s="505">
        <v>52</v>
      </c>
      <c r="AH53" s="505">
        <f>IFERROR(VLOOKUP(Таблица3[[#This Row],[№ акта]],'Степень зрелости 2026'!$H$12:$I$800,2,FALSE),)</f>
        <v>50</v>
      </c>
      <c r="AJ53" s="508">
        <v>66</v>
      </c>
      <c r="AK53" s="509">
        <v>46180</v>
      </c>
      <c r="AL53" s="508">
        <v>115</v>
      </c>
      <c r="AO53" s="508">
        <v>15400</v>
      </c>
      <c r="AP53" s="508">
        <v>13321</v>
      </c>
      <c r="AQ53" s="508" t="s">
        <v>2939</v>
      </c>
      <c r="AR53" s="508" t="s">
        <v>782</v>
      </c>
      <c r="AS53" s="508" t="s">
        <v>2966</v>
      </c>
      <c r="AT53" s="508" t="s">
        <v>1312</v>
      </c>
      <c r="AV53" s="508" t="s">
        <v>320</v>
      </c>
      <c r="AX53" s="508" t="s">
        <v>2935</v>
      </c>
      <c r="AY53" s="508" t="s">
        <v>782</v>
      </c>
      <c r="AZ53" s="508">
        <v>3.4</v>
      </c>
      <c r="BA53" s="508" t="s">
        <v>46</v>
      </c>
      <c r="BB53" s="508" t="s">
        <v>19</v>
      </c>
      <c r="BC53" s="508">
        <v>4</v>
      </c>
      <c r="BD53" s="509">
        <v>46180</v>
      </c>
      <c r="BG53" s="508" t="s">
        <v>3557</v>
      </c>
      <c r="BH53" s="508" t="s">
        <v>2940</v>
      </c>
      <c r="BI53" s="508">
        <v>52</v>
      </c>
      <c r="BJ53" s="508">
        <v>50</v>
      </c>
    </row>
    <row r="54" spans="1:62" s="508" customFormat="1" ht="14.25" hidden="1" customHeight="1" x14ac:dyDescent="0.2">
      <c r="A54" s="495" t="s">
        <v>102</v>
      </c>
      <c r="B54" s="496"/>
      <c r="C54" s="497">
        <f>Таблица3[[#This Row],[Степень зрелости вспом]]</f>
        <v>52</v>
      </c>
      <c r="D54" s="498">
        <v>117</v>
      </c>
      <c r="E54" s="499"/>
      <c r="F54" s="496"/>
      <c r="G54" s="496">
        <v>13400</v>
      </c>
      <c r="H54" s="500"/>
      <c r="I54" s="496">
        <v>10653</v>
      </c>
      <c r="J54" s="495" t="s">
        <v>2939</v>
      </c>
      <c r="K54" s="495" t="s">
        <v>524</v>
      </c>
      <c r="L54" s="495" t="s">
        <v>2968</v>
      </c>
      <c r="M54" s="495" t="s">
        <v>121</v>
      </c>
      <c r="N54" s="495"/>
      <c r="O54" s="495"/>
      <c r="P54" s="495"/>
      <c r="Q54" s="495"/>
      <c r="R54" s="501" t="s">
        <v>125</v>
      </c>
      <c r="S54" s="495"/>
      <c r="T54" s="482" t="str">
        <f>VLOOKUP(Таблица3[[#This Row],[№ акта]],$AJ$1:$BJ$691,15,FALSE)</f>
        <v>А-3</v>
      </c>
      <c r="U54" s="482" t="str">
        <f>VLOOKUP(Таблица3[[#This Row],[№ акта]],$AJ$1:$BJ$691,16,FALSE)</f>
        <v>Авола</v>
      </c>
      <c r="V54" s="502">
        <f>VLOOKUP(Таблица3[[#This Row],[№ акта]],$AJ$1:$BJ$691,17,FALSE)</f>
        <v>2.5</v>
      </c>
      <c r="W54" s="502" t="str">
        <f>VLOOKUP(Таблица3[[#This Row],[№ акта]],$AJ$1:$BJ$691,18,FALSE)</f>
        <v>ГРК (богара)</v>
      </c>
      <c r="X54" s="502" t="str">
        <f>VLOOKUP(Таблица3[[#This Row],[№ акта]],$AJ$1:$BJ$691,19,FALSE)</f>
        <v>богара</v>
      </c>
      <c r="Y54" s="503">
        <f>VLOOKUP(Таблица3[[#This Row],[№ акта]],$AJ$1:$BJ$691,20,FALSE)</f>
        <v>4</v>
      </c>
      <c r="Z54" s="504">
        <f>VLOOKUP(Таблица3[[#This Row],[№ акта]],$AJ$1:$BJ$691,21,FALSE)</f>
        <v>46180</v>
      </c>
      <c r="AA54" s="504"/>
      <c r="AB54" s="504" t="str">
        <f>IF(VLOOKUP(Таблица3[[#This Row],[№ акта]],$AJ$1:$BJ$691,23,FALSE)&lt;&gt;0,VLOOKUP(Таблица3[[#This Row],[№ акта]],$AJ$1:$BJ$691,23,FALSE),"-")</f>
        <v>-</v>
      </c>
      <c r="AC5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4" s="506" t="s">
        <v>2940</v>
      </c>
      <c r="AE54" s="505">
        <v>67</v>
      </c>
      <c r="AF54" s="507">
        <v>46180</v>
      </c>
      <c r="AG54" s="505">
        <v>53</v>
      </c>
      <c r="AH54" s="505">
        <f>IFERROR(VLOOKUP(Таблица3[[#This Row],[№ акта]],'Степень зрелости 2026'!$H$12:$I$800,2,FALSE),)</f>
        <v>52</v>
      </c>
      <c r="AJ54" s="508">
        <v>67</v>
      </c>
      <c r="AK54" s="509">
        <v>46180</v>
      </c>
      <c r="AL54" s="508">
        <v>117</v>
      </c>
      <c r="AO54" s="508">
        <v>13400</v>
      </c>
      <c r="AP54" s="508">
        <v>10653</v>
      </c>
      <c r="AQ54" s="508" t="s">
        <v>2939</v>
      </c>
      <c r="AR54" s="508" t="s">
        <v>524</v>
      </c>
      <c r="AS54" s="508" t="s">
        <v>2968</v>
      </c>
      <c r="AT54" s="508" t="s">
        <v>121</v>
      </c>
      <c r="AV54" s="508" t="s">
        <v>125</v>
      </c>
      <c r="AX54" s="508" t="s">
        <v>2968</v>
      </c>
      <c r="AY54" s="508" t="s">
        <v>524</v>
      </c>
      <c r="AZ54" s="508">
        <v>2.5</v>
      </c>
      <c r="BA54" s="508" t="s">
        <v>46</v>
      </c>
      <c r="BB54" s="508" t="s">
        <v>19</v>
      </c>
      <c r="BC54" s="508">
        <v>4</v>
      </c>
      <c r="BD54" s="509">
        <v>46180</v>
      </c>
      <c r="BG54" s="508" t="s">
        <v>3557</v>
      </c>
      <c r="BH54" s="508" t="s">
        <v>2940</v>
      </c>
      <c r="BI54" s="508">
        <v>53</v>
      </c>
      <c r="BJ54" s="508">
        <v>52</v>
      </c>
    </row>
    <row r="55" spans="1:62" s="508" customFormat="1" ht="14.25" hidden="1" customHeight="1" x14ac:dyDescent="0.2">
      <c r="A55" s="495" t="s">
        <v>102</v>
      </c>
      <c r="B55" s="496"/>
      <c r="C55" s="497">
        <f>Таблица3[[#This Row],[Степень зрелости вспом]]</f>
        <v>55</v>
      </c>
      <c r="D55" s="498">
        <v>118</v>
      </c>
      <c r="E55" s="499"/>
      <c r="F55" s="496"/>
      <c r="G55" s="496">
        <v>13150</v>
      </c>
      <c r="H55" s="500"/>
      <c r="I55" s="496">
        <v>10585.7</v>
      </c>
      <c r="J55" s="495" t="s">
        <v>2939</v>
      </c>
      <c r="K55" s="495" t="s">
        <v>524</v>
      </c>
      <c r="L55" s="495" t="s">
        <v>2968</v>
      </c>
      <c r="M55" s="495" t="s">
        <v>1792</v>
      </c>
      <c r="N55" s="495"/>
      <c r="O55" s="495"/>
      <c r="P55" s="495"/>
      <c r="Q55" s="495"/>
      <c r="R55" s="501" t="s">
        <v>80</v>
      </c>
      <c r="S55" s="495"/>
      <c r="T55" s="482" t="str">
        <f>VLOOKUP(Таблица3[[#This Row],[№ акта]],$AJ$1:$BJ$691,15,FALSE)</f>
        <v>А-3</v>
      </c>
      <c r="U55" s="482" t="str">
        <f>VLOOKUP(Таблица3[[#This Row],[№ акта]],$AJ$1:$BJ$691,16,FALSE)</f>
        <v>Авола</v>
      </c>
      <c r="V55" s="502">
        <f>VLOOKUP(Таблица3[[#This Row],[№ акта]],$AJ$1:$BJ$691,17,FALSE)</f>
        <v>2.5</v>
      </c>
      <c r="W55" s="502" t="str">
        <f>VLOOKUP(Таблица3[[#This Row],[№ акта]],$AJ$1:$BJ$691,18,FALSE)</f>
        <v>ГРК (богара)</v>
      </c>
      <c r="X55" s="502" t="str">
        <f>VLOOKUP(Таблица3[[#This Row],[№ акта]],$AJ$1:$BJ$691,19,FALSE)</f>
        <v>богара</v>
      </c>
      <c r="Y55" s="503">
        <f>VLOOKUP(Таблица3[[#This Row],[№ акта]],$AJ$1:$BJ$691,20,FALSE)</f>
        <v>4</v>
      </c>
      <c r="Z55" s="504">
        <f>VLOOKUP(Таблица3[[#This Row],[№ акта]],$AJ$1:$BJ$691,21,FALSE)</f>
        <v>46180</v>
      </c>
      <c r="AA55" s="504"/>
      <c r="AB55" s="504" t="str">
        <f>IF(VLOOKUP(Таблица3[[#This Row],[№ акта]],$AJ$1:$BJ$691,23,FALSE)&lt;&gt;0,VLOOKUP(Таблица3[[#This Row],[№ акта]],$AJ$1:$BJ$691,23,FALSE),"-")</f>
        <v>-</v>
      </c>
      <c r="AC5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5" s="506" t="s">
        <v>2940</v>
      </c>
      <c r="AE55" s="505">
        <v>68</v>
      </c>
      <c r="AF55" s="507">
        <v>46180</v>
      </c>
      <c r="AG55" s="505">
        <v>54</v>
      </c>
      <c r="AH55" s="505">
        <f>IFERROR(VLOOKUP(Таблица3[[#This Row],[№ акта]],'Степень зрелости 2026'!$H$12:$I$800,2,FALSE),)</f>
        <v>55</v>
      </c>
      <c r="AJ55" s="508">
        <v>68</v>
      </c>
      <c r="AK55" s="509">
        <v>46180</v>
      </c>
      <c r="AL55" s="508">
        <v>118</v>
      </c>
      <c r="AO55" s="508">
        <v>13150</v>
      </c>
      <c r="AP55" s="508">
        <v>10585.7</v>
      </c>
      <c r="AQ55" s="508" t="s">
        <v>2939</v>
      </c>
      <c r="AR55" s="508" t="s">
        <v>524</v>
      </c>
      <c r="AS55" s="508" t="s">
        <v>2968</v>
      </c>
      <c r="AT55" s="508" t="s">
        <v>1792</v>
      </c>
      <c r="AV55" s="508" t="s">
        <v>80</v>
      </c>
      <c r="AX55" s="508" t="s">
        <v>2968</v>
      </c>
      <c r="AY55" s="508" t="s">
        <v>524</v>
      </c>
      <c r="AZ55" s="508">
        <v>2.5</v>
      </c>
      <c r="BA55" s="508" t="s">
        <v>46</v>
      </c>
      <c r="BB55" s="508" t="s">
        <v>19</v>
      </c>
      <c r="BC55" s="508">
        <v>4</v>
      </c>
      <c r="BD55" s="509">
        <v>46180</v>
      </c>
      <c r="BG55" s="508" t="s">
        <v>724</v>
      </c>
      <c r="BH55" s="508" t="s">
        <v>2940</v>
      </c>
      <c r="BI55" s="508">
        <v>54</v>
      </c>
      <c r="BJ55" s="508">
        <v>55</v>
      </c>
    </row>
    <row r="56" spans="1:62" s="508" customFormat="1" ht="14.25" hidden="1" customHeight="1" x14ac:dyDescent="0.2">
      <c r="A56" s="495" t="s">
        <v>102</v>
      </c>
      <c r="B56" s="496"/>
      <c r="C56" s="497">
        <f>Таблица3[[#This Row],[Степень зрелости вспом]]</f>
        <v>48</v>
      </c>
      <c r="D56" s="498">
        <v>119</v>
      </c>
      <c r="E56" s="499"/>
      <c r="F56" s="496"/>
      <c r="G56" s="496">
        <v>13450</v>
      </c>
      <c r="H56" s="500"/>
      <c r="I56" s="496">
        <v>10827.2</v>
      </c>
      <c r="J56" s="495" t="s">
        <v>2939</v>
      </c>
      <c r="K56" s="495" t="s">
        <v>524</v>
      </c>
      <c r="L56" s="495" t="s">
        <v>2968</v>
      </c>
      <c r="M56" s="495" t="s">
        <v>894</v>
      </c>
      <c r="N56" s="495"/>
      <c r="O56" s="495"/>
      <c r="P56" s="495"/>
      <c r="Q56" s="495"/>
      <c r="R56" s="501" t="s">
        <v>895</v>
      </c>
      <c r="S56" s="495"/>
      <c r="T56" s="482" t="str">
        <f>VLOOKUP(Таблица3[[#This Row],[№ акта]],$AJ$1:$BJ$691,15,FALSE)</f>
        <v>А-3</v>
      </c>
      <c r="U56" s="482" t="str">
        <f>VLOOKUP(Таблица3[[#This Row],[№ акта]],$AJ$1:$BJ$691,16,FALSE)</f>
        <v>Авола</v>
      </c>
      <c r="V56" s="502">
        <f>VLOOKUP(Таблица3[[#This Row],[№ акта]],$AJ$1:$BJ$691,17,FALSE)</f>
        <v>2.5</v>
      </c>
      <c r="W56" s="502" t="str">
        <f>VLOOKUP(Таблица3[[#This Row],[№ акта]],$AJ$1:$BJ$691,18,FALSE)</f>
        <v>ГРК (богара)</v>
      </c>
      <c r="X56" s="502" t="str">
        <f>VLOOKUP(Таблица3[[#This Row],[№ акта]],$AJ$1:$BJ$691,19,FALSE)</f>
        <v>богара</v>
      </c>
      <c r="Y56" s="503">
        <f>VLOOKUP(Таблица3[[#This Row],[№ акта]],$AJ$1:$BJ$691,20,FALSE)</f>
        <v>4</v>
      </c>
      <c r="Z56" s="504">
        <f>VLOOKUP(Таблица3[[#This Row],[№ акта]],$AJ$1:$BJ$691,21,FALSE)</f>
        <v>46180</v>
      </c>
      <c r="AA56" s="504"/>
      <c r="AB56" s="504" t="str">
        <f>IF(VLOOKUP(Таблица3[[#This Row],[№ акта]],$AJ$1:$BJ$691,23,FALSE)&lt;&gt;0,VLOOKUP(Таблица3[[#This Row],[№ акта]],$AJ$1:$BJ$691,23,FALSE),"-")</f>
        <v>-</v>
      </c>
      <c r="AC5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6" s="506" t="s">
        <v>2940</v>
      </c>
      <c r="AE56" s="505">
        <v>69</v>
      </c>
      <c r="AF56" s="507">
        <v>46180</v>
      </c>
      <c r="AG56" s="505">
        <v>55</v>
      </c>
      <c r="AH56" s="505">
        <f>IFERROR(VLOOKUP(Таблица3[[#This Row],[№ акта]],'Степень зрелости 2026'!$H$12:$I$800,2,FALSE),)</f>
        <v>48</v>
      </c>
      <c r="AJ56" s="508">
        <v>69</v>
      </c>
      <c r="AK56" s="509">
        <v>46180</v>
      </c>
      <c r="AL56" s="508">
        <v>119</v>
      </c>
      <c r="AO56" s="508">
        <v>13450</v>
      </c>
      <c r="AP56" s="508">
        <v>10827.2</v>
      </c>
      <c r="AQ56" s="508" t="s">
        <v>2939</v>
      </c>
      <c r="AR56" s="508" t="s">
        <v>524</v>
      </c>
      <c r="AS56" s="508" t="s">
        <v>2968</v>
      </c>
      <c r="AT56" s="508" t="s">
        <v>894</v>
      </c>
      <c r="AV56" s="508" t="s">
        <v>895</v>
      </c>
      <c r="AX56" s="508" t="s">
        <v>2968</v>
      </c>
      <c r="AY56" s="508" t="s">
        <v>524</v>
      </c>
      <c r="AZ56" s="508">
        <v>2.5</v>
      </c>
      <c r="BA56" s="508" t="s">
        <v>46</v>
      </c>
      <c r="BB56" s="508" t="s">
        <v>19</v>
      </c>
      <c r="BC56" s="508">
        <v>4</v>
      </c>
      <c r="BD56" s="509">
        <v>46180</v>
      </c>
      <c r="BG56" s="508" t="s">
        <v>3557</v>
      </c>
      <c r="BH56" s="508" t="s">
        <v>2940</v>
      </c>
      <c r="BI56" s="508">
        <v>55</v>
      </c>
      <c r="BJ56" s="508">
        <v>48</v>
      </c>
    </row>
    <row r="57" spans="1:62" s="508" customFormat="1" ht="14.25" hidden="1" customHeight="1" x14ac:dyDescent="0.2">
      <c r="A57" s="495" t="s">
        <v>102</v>
      </c>
      <c r="B57" s="496"/>
      <c r="C57" s="497">
        <f>Таблица3[[#This Row],[Степень зрелости вспом]]</f>
        <v>48</v>
      </c>
      <c r="D57" s="498">
        <v>120</v>
      </c>
      <c r="E57" s="499"/>
      <c r="F57" s="496"/>
      <c r="G57" s="496">
        <v>4590</v>
      </c>
      <c r="H57" s="500"/>
      <c r="I57" s="496">
        <v>3740.8</v>
      </c>
      <c r="J57" s="495" t="s">
        <v>2939</v>
      </c>
      <c r="K57" s="495" t="s">
        <v>524</v>
      </c>
      <c r="L57" s="495" t="s">
        <v>2968</v>
      </c>
      <c r="M57" s="495" t="s">
        <v>762</v>
      </c>
      <c r="N57" s="495"/>
      <c r="O57" s="495"/>
      <c r="P57" s="495"/>
      <c r="Q57" s="495"/>
      <c r="R57" s="501" t="s">
        <v>763</v>
      </c>
      <c r="S57" s="495"/>
      <c r="T57" s="482" t="str">
        <f>VLOOKUP(Таблица3[[#This Row],[№ акта]],$AJ$1:$BJ$691,15,FALSE)</f>
        <v>А-3</v>
      </c>
      <c r="U57" s="482" t="str">
        <f>VLOOKUP(Таблица3[[#This Row],[№ акта]],$AJ$1:$BJ$691,16,FALSE)</f>
        <v>Авола</v>
      </c>
      <c r="V57" s="502">
        <f>VLOOKUP(Таблица3[[#This Row],[№ акта]],$AJ$1:$BJ$691,17,FALSE)</f>
        <v>0.9</v>
      </c>
      <c r="W57" s="502" t="str">
        <f>VLOOKUP(Таблица3[[#This Row],[№ акта]],$AJ$1:$BJ$691,18,FALSE)</f>
        <v>ГРК (богара)</v>
      </c>
      <c r="X57" s="502" t="str">
        <f>VLOOKUP(Таблица3[[#This Row],[№ акта]],$AJ$1:$BJ$691,19,FALSE)</f>
        <v>богара</v>
      </c>
      <c r="Y57" s="503">
        <f>VLOOKUP(Таблица3[[#This Row],[№ акта]],$AJ$1:$BJ$691,20,FALSE)</f>
        <v>4</v>
      </c>
      <c r="Z57" s="504">
        <f>VLOOKUP(Таблица3[[#This Row],[№ акта]],$AJ$1:$BJ$691,21,FALSE)</f>
        <v>46180</v>
      </c>
      <c r="AA57" s="504"/>
      <c r="AB57" s="504" t="str">
        <f>IF(VLOOKUP(Таблица3[[#This Row],[№ акта]],$AJ$1:$BJ$691,23,FALSE)&lt;&gt;0,VLOOKUP(Таблица3[[#This Row],[№ акта]],$AJ$1:$BJ$691,23,FALSE),"-")</f>
        <v>-</v>
      </c>
      <c r="AC5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7" s="506" t="s">
        <v>2940</v>
      </c>
      <c r="AE57" s="505">
        <v>70</v>
      </c>
      <c r="AF57" s="507">
        <v>46180</v>
      </c>
      <c r="AG57" s="505">
        <v>56</v>
      </c>
      <c r="AH57" s="505">
        <f>IFERROR(VLOOKUP(Таблица3[[#This Row],[№ акта]],'Степень зрелости 2026'!$H$12:$I$800,2,FALSE),)</f>
        <v>48</v>
      </c>
      <c r="AJ57" s="508">
        <v>70</v>
      </c>
      <c r="AK57" s="509">
        <v>46180</v>
      </c>
      <c r="AL57" s="508">
        <v>120</v>
      </c>
      <c r="AO57" s="508">
        <v>4590</v>
      </c>
      <c r="AP57" s="508">
        <v>3740.8</v>
      </c>
      <c r="AQ57" s="508" t="s">
        <v>2939</v>
      </c>
      <c r="AR57" s="508" t="s">
        <v>524</v>
      </c>
      <c r="AS57" s="508" t="s">
        <v>2968</v>
      </c>
      <c r="AT57" s="508" t="s">
        <v>762</v>
      </c>
      <c r="AV57" s="508" t="s">
        <v>763</v>
      </c>
      <c r="AX57" s="508" t="s">
        <v>2968</v>
      </c>
      <c r="AY57" s="508" t="s">
        <v>524</v>
      </c>
      <c r="AZ57" s="508">
        <v>0.9</v>
      </c>
      <c r="BA57" s="508" t="s">
        <v>46</v>
      </c>
      <c r="BB57" s="508" t="s">
        <v>19</v>
      </c>
      <c r="BC57" s="508">
        <v>4</v>
      </c>
      <c r="BD57" s="509">
        <v>46180</v>
      </c>
      <c r="BG57" s="508" t="s">
        <v>3557</v>
      </c>
      <c r="BH57" s="508" t="s">
        <v>2940</v>
      </c>
      <c r="BI57" s="508">
        <v>56</v>
      </c>
      <c r="BJ57" s="508">
        <v>48</v>
      </c>
    </row>
    <row r="58" spans="1:62" s="508" customFormat="1" ht="14.25" hidden="1" customHeight="1" x14ac:dyDescent="0.2">
      <c r="A58" s="495" t="s">
        <v>102</v>
      </c>
      <c r="B58" s="496"/>
      <c r="C58" s="497">
        <f>Таблица3[[#This Row],[Степень зрелости вспом]]</f>
        <v>46</v>
      </c>
      <c r="D58" s="498">
        <v>121</v>
      </c>
      <c r="E58" s="499"/>
      <c r="F58" s="496"/>
      <c r="G58" s="496">
        <v>13450</v>
      </c>
      <c r="H58" s="500"/>
      <c r="I58" s="496">
        <v>10827.2</v>
      </c>
      <c r="J58" s="495" t="s">
        <v>2939</v>
      </c>
      <c r="K58" s="495" t="s">
        <v>524</v>
      </c>
      <c r="L58" s="495" t="s">
        <v>2968</v>
      </c>
      <c r="M58" s="495" t="s">
        <v>1312</v>
      </c>
      <c r="N58" s="495"/>
      <c r="O58" s="495"/>
      <c r="P58" s="495"/>
      <c r="Q58" s="495"/>
      <c r="R58" s="501" t="s">
        <v>320</v>
      </c>
      <c r="S58" s="495"/>
      <c r="T58" s="482" t="str">
        <f>VLOOKUP(Таблица3[[#This Row],[№ акта]],$AJ$1:$BJ$691,15,FALSE)</f>
        <v>А-3</v>
      </c>
      <c r="U58" s="482" t="str">
        <f>VLOOKUP(Таблица3[[#This Row],[№ акта]],$AJ$1:$BJ$691,16,FALSE)</f>
        <v>Авола</v>
      </c>
      <c r="V58" s="502">
        <f>VLOOKUP(Таблица3[[#This Row],[№ акта]],$AJ$1:$BJ$691,17,FALSE)</f>
        <v>2.5</v>
      </c>
      <c r="W58" s="502" t="str">
        <f>VLOOKUP(Таблица3[[#This Row],[№ акта]],$AJ$1:$BJ$691,18,FALSE)</f>
        <v>ГРК (богара)</v>
      </c>
      <c r="X58" s="502" t="str">
        <f>VLOOKUP(Таблица3[[#This Row],[№ акта]],$AJ$1:$BJ$691,19,FALSE)</f>
        <v>богара</v>
      </c>
      <c r="Y58" s="503">
        <f>VLOOKUP(Таблица3[[#This Row],[№ акта]],$AJ$1:$BJ$691,20,FALSE)</f>
        <v>4</v>
      </c>
      <c r="Z58" s="504">
        <f>VLOOKUP(Таблица3[[#This Row],[№ акта]],$AJ$1:$BJ$691,21,FALSE)</f>
        <v>46180</v>
      </c>
      <c r="AA58" s="504"/>
      <c r="AB58" s="504" t="str">
        <f>IF(VLOOKUP(Таблица3[[#This Row],[№ акта]],$AJ$1:$BJ$691,23,FALSE)&lt;&gt;0,VLOOKUP(Таблица3[[#This Row],[№ акта]],$AJ$1:$BJ$691,23,FALSE),"-")</f>
        <v>-</v>
      </c>
      <c r="AC5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8" s="506" t="s">
        <v>2940</v>
      </c>
      <c r="AE58" s="505">
        <v>71</v>
      </c>
      <c r="AF58" s="507">
        <v>46180</v>
      </c>
      <c r="AG58" s="505">
        <v>57</v>
      </c>
      <c r="AH58" s="505">
        <f>IFERROR(VLOOKUP(Таблица3[[#This Row],[№ акта]],'Степень зрелости 2026'!$H$12:$I$800,2,FALSE),)</f>
        <v>46</v>
      </c>
      <c r="AJ58" s="508">
        <v>71</v>
      </c>
      <c r="AK58" s="509">
        <v>46180</v>
      </c>
      <c r="AL58" s="508">
        <v>121</v>
      </c>
      <c r="AO58" s="508">
        <v>13450</v>
      </c>
      <c r="AP58" s="508">
        <v>10827.2</v>
      </c>
      <c r="AQ58" s="508" t="s">
        <v>2939</v>
      </c>
      <c r="AR58" s="508" t="s">
        <v>524</v>
      </c>
      <c r="AS58" s="508" t="s">
        <v>2968</v>
      </c>
      <c r="AT58" s="508" t="s">
        <v>1312</v>
      </c>
      <c r="AV58" s="508" t="s">
        <v>320</v>
      </c>
      <c r="AX58" s="508" t="s">
        <v>2968</v>
      </c>
      <c r="AY58" s="508" t="s">
        <v>524</v>
      </c>
      <c r="AZ58" s="508">
        <v>2.5</v>
      </c>
      <c r="BA58" s="508" t="s">
        <v>46</v>
      </c>
      <c r="BB58" s="508" t="s">
        <v>19</v>
      </c>
      <c r="BC58" s="508">
        <v>4</v>
      </c>
      <c r="BD58" s="509">
        <v>46180</v>
      </c>
      <c r="BG58" s="508" t="s">
        <v>3557</v>
      </c>
      <c r="BH58" s="508" t="s">
        <v>2940</v>
      </c>
      <c r="BI58" s="508">
        <v>57</v>
      </c>
      <c r="BJ58" s="508">
        <v>46</v>
      </c>
    </row>
    <row r="59" spans="1:62" s="508" customFormat="1" ht="14.25" hidden="1" customHeight="1" x14ac:dyDescent="0.2">
      <c r="A59" s="495" t="s">
        <v>102</v>
      </c>
      <c r="B59" s="496"/>
      <c r="C59" s="497">
        <f>Таблица3[[#This Row],[Степень зрелости вспом]]</f>
        <v>56</v>
      </c>
      <c r="D59" s="498">
        <v>122</v>
      </c>
      <c r="E59" s="499"/>
      <c r="F59" s="496"/>
      <c r="G59" s="496">
        <v>13250</v>
      </c>
      <c r="H59" s="500"/>
      <c r="I59" s="496">
        <v>10997.5</v>
      </c>
      <c r="J59" s="495" t="s">
        <v>2939</v>
      </c>
      <c r="K59" s="495" t="s">
        <v>524</v>
      </c>
      <c r="L59" s="495" t="s">
        <v>2968</v>
      </c>
      <c r="M59" s="495" t="s">
        <v>121</v>
      </c>
      <c r="N59" s="495"/>
      <c r="O59" s="495"/>
      <c r="P59" s="495"/>
      <c r="Q59" s="495"/>
      <c r="R59" s="501" t="s">
        <v>125</v>
      </c>
      <c r="S59" s="495"/>
      <c r="T59" s="482" t="str">
        <f>VLOOKUP(Таблица3[[#This Row],[№ акта]],$AJ$1:$BJ$691,15,FALSE)</f>
        <v>А-3</v>
      </c>
      <c r="U59" s="482" t="str">
        <f>VLOOKUP(Таблица3[[#This Row],[№ акта]],$AJ$1:$BJ$691,16,FALSE)</f>
        <v>Авола</v>
      </c>
      <c r="V59" s="502">
        <f>VLOOKUP(Таблица3[[#This Row],[№ акта]],$AJ$1:$BJ$691,17,FALSE)</f>
        <v>2.5</v>
      </c>
      <c r="W59" s="502" t="str">
        <f>VLOOKUP(Таблица3[[#This Row],[№ акта]],$AJ$1:$BJ$691,18,FALSE)</f>
        <v>ГРК (богара)</v>
      </c>
      <c r="X59" s="502" t="str">
        <f>VLOOKUP(Таблица3[[#This Row],[№ акта]],$AJ$1:$BJ$691,19,FALSE)</f>
        <v>богара</v>
      </c>
      <c r="Y59" s="503">
        <f>VLOOKUP(Таблица3[[#This Row],[№ акта]],$AJ$1:$BJ$691,20,FALSE)</f>
        <v>4</v>
      </c>
      <c r="Z59" s="504">
        <f>VLOOKUP(Таблица3[[#This Row],[№ акта]],$AJ$1:$BJ$691,21,FALSE)</f>
        <v>46180</v>
      </c>
      <c r="AA59" s="504"/>
      <c r="AB59" s="504" t="str">
        <f>IF(VLOOKUP(Таблица3[[#This Row],[№ акта]],$AJ$1:$BJ$691,23,FALSE)&lt;&gt;0,VLOOKUP(Таблица3[[#This Row],[№ акта]],$AJ$1:$BJ$691,23,FALSE),"-")</f>
        <v>-</v>
      </c>
      <c r="AC5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9" s="506" t="s">
        <v>2940</v>
      </c>
      <c r="AE59" s="505">
        <v>72</v>
      </c>
      <c r="AF59" s="507">
        <v>46180</v>
      </c>
      <c r="AG59" s="505">
        <v>58</v>
      </c>
      <c r="AH59" s="505">
        <f>IFERROR(VLOOKUP(Таблица3[[#This Row],[№ акта]],'Степень зрелости 2026'!$H$12:$I$800,2,FALSE),)</f>
        <v>56</v>
      </c>
      <c r="AJ59" s="508">
        <v>72</v>
      </c>
      <c r="AK59" s="509">
        <v>46180</v>
      </c>
      <c r="AL59" s="508">
        <v>122</v>
      </c>
      <c r="AO59" s="508">
        <v>13250</v>
      </c>
      <c r="AP59" s="508">
        <v>10997.5</v>
      </c>
      <c r="AQ59" s="508" t="s">
        <v>2939</v>
      </c>
      <c r="AR59" s="508" t="s">
        <v>524</v>
      </c>
      <c r="AS59" s="508" t="s">
        <v>2968</v>
      </c>
      <c r="AT59" s="508" t="s">
        <v>121</v>
      </c>
      <c r="AV59" s="508" t="s">
        <v>125</v>
      </c>
      <c r="AX59" s="508" t="s">
        <v>2968</v>
      </c>
      <c r="AY59" s="508" t="s">
        <v>524</v>
      </c>
      <c r="AZ59" s="508">
        <v>2.5</v>
      </c>
      <c r="BA59" s="508" t="s">
        <v>46</v>
      </c>
      <c r="BB59" s="508" t="s">
        <v>19</v>
      </c>
      <c r="BC59" s="508">
        <v>4</v>
      </c>
      <c r="BD59" s="509">
        <v>46180</v>
      </c>
      <c r="BG59" s="508" t="s">
        <v>724</v>
      </c>
      <c r="BH59" s="508" t="s">
        <v>2940</v>
      </c>
      <c r="BI59" s="508">
        <v>58</v>
      </c>
      <c r="BJ59" s="508">
        <v>56</v>
      </c>
    </row>
    <row r="60" spans="1:62" s="508" customFormat="1" ht="14.25" hidden="1" customHeight="1" x14ac:dyDescent="0.2">
      <c r="A60" s="495" t="s">
        <v>102</v>
      </c>
      <c r="B60" s="496"/>
      <c r="C60" s="497">
        <f>Таблица3[[#This Row],[Степень зрелости вспом]]</f>
        <v>50</v>
      </c>
      <c r="D60" s="498">
        <v>123</v>
      </c>
      <c r="E60" s="499"/>
      <c r="F60" s="496"/>
      <c r="G60" s="496">
        <v>13310</v>
      </c>
      <c r="H60" s="500"/>
      <c r="I60" s="496">
        <v>10714.5</v>
      </c>
      <c r="J60" s="495" t="s">
        <v>2939</v>
      </c>
      <c r="K60" s="495" t="s">
        <v>524</v>
      </c>
      <c r="L60" s="495" t="s">
        <v>2968</v>
      </c>
      <c r="M60" s="495" t="s">
        <v>1792</v>
      </c>
      <c r="N60" s="495"/>
      <c r="O60" s="495"/>
      <c r="P60" s="495"/>
      <c r="Q60" s="495"/>
      <c r="R60" s="501" t="s">
        <v>80</v>
      </c>
      <c r="S60" s="495"/>
      <c r="T60" s="482" t="str">
        <f>VLOOKUP(Таблица3[[#This Row],[№ акта]],$AJ$1:$BJ$691,15,FALSE)</f>
        <v>А-3</v>
      </c>
      <c r="U60" s="482" t="str">
        <f>VLOOKUP(Таблица3[[#This Row],[№ акта]],$AJ$1:$BJ$691,16,FALSE)</f>
        <v>Авола</v>
      </c>
      <c r="V60" s="502">
        <f>VLOOKUP(Таблица3[[#This Row],[№ акта]],$AJ$1:$BJ$691,17,FALSE)</f>
        <v>2.5</v>
      </c>
      <c r="W60" s="502" t="str">
        <f>VLOOKUP(Таблица3[[#This Row],[№ акта]],$AJ$1:$BJ$691,18,FALSE)</f>
        <v>ГРК (богара)</v>
      </c>
      <c r="X60" s="502" t="str">
        <f>VLOOKUP(Таблица3[[#This Row],[№ акта]],$AJ$1:$BJ$691,19,FALSE)</f>
        <v>богара</v>
      </c>
      <c r="Y60" s="503">
        <f>VLOOKUP(Таблица3[[#This Row],[№ акта]],$AJ$1:$BJ$691,20,FALSE)</f>
        <v>4</v>
      </c>
      <c r="Z60" s="504">
        <f>VLOOKUP(Таблица3[[#This Row],[№ акта]],$AJ$1:$BJ$691,21,FALSE)</f>
        <v>46180</v>
      </c>
      <c r="AA60" s="504"/>
      <c r="AB60" s="504" t="str">
        <f>IF(VLOOKUP(Таблица3[[#This Row],[№ акта]],$AJ$1:$BJ$691,23,FALSE)&lt;&gt;0,VLOOKUP(Таблица3[[#This Row],[№ акта]],$AJ$1:$BJ$691,23,FALSE),"-")</f>
        <v>-</v>
      </c>
      <c r="AC6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60" s="506" t="s">
        <v>2940</v>
      </c>
      <c r="AE60" s="505">
        <v>73</v>
      </c>
      <c r="AF60" s="507">
        <v>46180</v>
      </c>
      <c r="AG60" s="505">
        <v>59</v>
      </c>
      <c r="AH60" s="505">
        <f>IFERROR(VLOOKUP(Таблица3[[#This Row],[№ акта]],'Степень зрелости 2026'!$H$12:$I$800,2,FALSE),)</f>
        <v>50</v>
      </c>
      <c r="AJ60" s="508">
        <v>73</v>
      </c>
      <c r="AK60" s="509">
        <v>46180</v>
      </c>
      <c r="AL60" s="508">
        <v>123</v>
      </c>
      <c r="AO60" s="508">
        <v>13310</v>
      </c>
      <c r="AP60" s="508">
        <v>10714.5</v>
      </c>
      <c r="AQ60" s="508" t="s">
        <v>2939</v>
      </c>
      <c r="AR60" s="508" t="s">
        <v>524</v>
      </c>
      <c r="AS60" s="508" t="s">
        <v>2968</v>
      </c>
      <c r="AT60" s="508" t="s">
        <v>1792</v>
      </c>
      <c r="AV60" s="508" t="s">
        <v>80</v>
      </c>
      <c r="AX60" s="508" t="s">
        <v>2968</v>
      </c>
      <c r="AY60" s="508" t="s">
        <v>524</v>
      </c>
      <c r="AZ60" s="508">
        <v>2.5</v>
      </c>
      <c r="BA60" s="508" t="s">
        <v>46</v>
      </c>
      <c r="BB60" s="508" t="s">
        <v>19</v>
      </c>
      <c r="BC60" s="508">
        <v>4</v>
      </c>
      <c r="BD60" s="509">
        <v>46180</v>
      </c>
      <c r="BG60" s="508" t="s">
        <v>3557</v>
      </c>
      <c r="BH60" s="508" t="s">
        <v>2940</v>
      </c>
      <c r="BI60" s="508">
        <v>59</v>
      </c>
      <c r="BJ60" s="508">
        <v>50</v>
      </c>
    </row>
    <row r="61" spans="1:62" s="508" customFormat="1" ht="14.25" hidden="1" customHeight="1" x14ac:dyDescent="0.2">
      <c r="A61" s="495" t="s">
        <v>102</v>
      </c>
      <c r="B61" s="496"/>
      <c r="C61" s="497">
        <f>Таблица3[[#This Row],[Степень зрелости вспом]]</f>
        <v>50</v>
      </c>
      <c r="D61" s="498">
        <v>124</v>
      </c>
      <c r="E61" s="499"/>
      <c r="F61" s="496"/>
      <c r="G61" s="496">
        <v>13410</v>
      </c>
      <c r="H61" s="500"/>
      <c r="I61" s="496">
        <v>11130.3</v>
      </c>
      <c r="J61" s="495" t="s">
        <v>2939</v>
      </c>
      <c r="K61" s="495" t="s">
        <v>524</v>
      </c>
      <c r="L61" s="495" t="s">
        <v>2968</v>
      </c>
      <c r="M61" s="495" t="s">
        <v>894</v>
      </c>
      <c r="N61" s="495"/>
      <c r="O61" s="495"/>
      <c r="P61" s="495"/>
      <c r="Q61" s="495"/>
      <c r="R61" s="501" t="s">
        <v>895</v>
      </c>
      <c r="S61" s="495"/>
      <c r="T61" s="482" t="str">
        <f>VLOOKUP(Таблица3[[#This Row],[№ акта]],$AJ$1:$BJ$691,15,FALSE)</f>
        <v>А-3</v>
      </c>
      <c r="U61" s="482" t="str">
        <f>VLOOKUP(Таблица3[[#This Row],[№ акта]],$AJ$1:$BJ$691,16,FALSE)</f>
        <v>Авола</v>
      </c>
      <c r="V61" s="502">
        <f>VLOOKUP(Таблица3[[#This Row],[№ акта]],$AJ$1:$BJ$691,17,FALSE)</f>
        <v>2.5</v>
      </c>
      <c r="W61" s="502" t="str">
        <f>VLOOKUP(Таблица3[[#This Row],[№ акта]],$AJ$1:$BJ$691,18,FALSE)</f>
        <v>ГРК (богара)</v>
      </c>
      <c r="X61" s="502" t="str">
        <f>VLOOKUP(Таблица3[[#This Row],[№ акта]],$AJ$1:$BJ$691,19,FALSE)</f>
        <v>богара</v>
      </c>
      <c r="Y61" s="503">
        <f>VLOOKUP(Таблица3[[#This Row],[№ акта]],$AJ$1:$BJ$691,20,FALSE)</f>
        <v>4</v>
      </c>
      <c r="Z61" s="504">
        <f>VLOOKUP(Таблица3[[#This Row],[№ акта]],$AJ$1:$BJ$691,21,FALSE)</f>
        <v>46180</v>
      </c>
      <c r="AA61" s="504"/>
      <c r="AB61" s="504" t="str">
        <f>IF(VLOOKUP(Таблица3[[#This Row],[№ акта]],$AJ$1:$BJ$691,23,FALSE)&lt;&gt;0,VLOOKUP(Таблица3[[#This Row],[№ акта]],$AJ$1:$BJ$691,23,FALSE),"-")</f>
        <v>-</v>
      </c>
      <c r="AC6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61" s="506" t="s">
        <v>2940</v>
      </c>
      <c r="AE61" s="505">
        <v>75</v>
      </c>
      <c r="AF61" s="507">
        <v>46180</v>
      </c>
      <c r="AG61" s="505">
        <v>60</v>
      </c>
      <c r="AH61" s="505">
        <f>IFERROR(VLOOKUP(Таблица3[[#This Row],[№ акта]],'Степень зрелости 2026'!$H$12:$I$800,2,FALSE),)</f>
        <v>50</v>
      </c>
      <c r="AJ61" s="508">
        <v>75</v>
      </c>
      <c r="AK61" s="509">
        <v>46180</v>
      </c>
      <c r="AL61" s="508">
        <v>124</v>
      </c>
      <c r="AO61" s="508">
        <v>13410</v>
      </c>
      <c r="AP61" s="508">
        <v>11130.3</v>
      </c>
      <c r="AQ61" s="508" t="s">
        <v>2939</v>
      </c>
      <c r="AR61" s="508" t="s">
        <v>524</v>
      </c>
      <c r="AS61" s="508" t="s">
        <v>2968</v>
      </c>
      <c r="AT61" s="508" t="s">
        <v>894</v>
      </c>
      <c r="AV61" s="508" t="s">
        <v>895</v>
      </c>
      <c r="AX61" s="508" t="s">
        <v>2968</v>
      </c>
      <c r="AY61" s="508" t="s">
        <v>524</v>
      </c>
      <c r="AZ61" s="508">
        <v>2.5</v>
      </c>
      <c r="BA61" s="508" t="s">
        <v>46</v>
      </c>
      <c r="BB61" s="508" t="s">
        <v>19</v>
      </c>
      <c r="BC61" s="508">
        <v>4</v>
      </c>
      <c r="BD61" s="509">
        <v>46180</v>
      </c>
      <c r="BG61" s="508" t="s">
        <v>3557</v>
      </c>
      <c r="BH61" s="508" t="s">
        <v>2940</v>
      </c>
      <c r="BI61" s="508">
        <v>60</v>
      </c>
      <c r="BJ61" s="508">
        <v>50</v>
      </c>
    </row>
    <row r="62" spans="1:62" s="508" customFormat="1" ht="14.25" hidden="1" customHeight="1" x14ac:dyDescent="0.2">
      <c r="A62" s="495" t="s">
        <v>102</v>
      </c>
      <c r="B62" s="496"/>
      <c r="C62" s="497">
        <f>Таблица3[[#This Row],[Степень зрелости вспом]]</f>
        <v>48</v>
      </c>
      <c r="D62" s="498">
        <v>125</v>
      </c>
      <c r="E62" s="499"/>
      <c r="F62" s="496"/>
      <c r="G62" s="496">
        <v>4500</v>
      </c>
      <c r="H62" s="500"/>
      <c r="I62" s="496">
        <v>3622.5</v>
      </c>
      <c r="J62" s="495" t="s">
        <v>2939</v>
      </c>
      <c r="K62" s="495" t="s">
        <v>524</v>
      </c>
      <c r="L62" s="495" t="s">
        <v>2968</v>
      </c>
      <c r="M62" s="495" t="s">
        <v>762</v>
      </c>
      <c r="N62" s="495"/>
      <c r="O62" s="495"/>
      <c r="P62" s="495"/>
      <c r="Q62" s="495"/>
      <c r="R62" s="501" t="s">
        <v>763</v>
      </c>
      <c r="S62" s="495"/>
      <c r="T62" s="482" t="str">
        <f>VLOOKUP(Таблица3[[#This Row],[№ акта]],$AJ$1:$BJ$691,15,FALSE)</f>
        <v>А-3</v>
      </c>
      <c r="U62" s="482" t="str">
        <f>VLOOKUP(Таблица3[[#This Row],[№ акта]],$AJ$1:$BJ$691,16,FALSE)</f>
        <v>Авола</v>
      </c>
      <c r="V62" s="502">
        <f>VLOOKUP(Таблица3[[#This Row],[№ акта]],$AJ$1:$BJ$691,17,FALSE)</f>
        <v>0.8</v>
      </c>
      <c r="W62" s="502" t="str">
        <f>VLOOKUP(Таблица3[[#This Row],[№ акта]],$AJ$1:$BJ$691,18,FALSE)</f>
        <v>ГРК (богара)</v>
      </c>
      <c r="X62" s="502" t="str">
        <f>VLOOKUP(Таблица3[[#This Row],[№ акта]],$AJ$1:$BJ$691,19,FALSE)</f>
        <v>богара</v>
      </c>
      <c r="Y62" s="503">
        <f>VLOOKUP(Таблица3[[#This Row],[№ акта]],$AJ$1:$BJ$691,20,FALSE)</f>
        <v>4</v>
      </c>
      <c r="Z62" s="504">
        <f>VLOOKUP(Таблица3[[#This Row],[№ акта]],$AJ$1:$BJ$691,21,FALSE)</f>
        <v>46180</v>
      </c>
      <c r="AA62" s="504"/>
      <c r="AB62" s="504" t="str">
        <f>IF(VLOOKUP(Таблица3[[#This Row],[№ акта]],$AJ$1:$BJ$691,23,FALSE)&lt;&gt;0,VLOOKUP(Таблица3[[#This Row],[№ акта]],$AJ$1:$BJ$691,23,FALSE),"-")</f>
        <v>-</v>
      </c>
      <c r="AC6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62" s="506" t="s">
        <v>2940</v>
      </c>
      <c r="AE62" s="505">
        <v>74</v>
      </c>
      <c r="AF62" s="507">
        <v>46180</v>
      </c>
      <c r="AG62" s="505">
        <v>61</v>
      </c>
      <c r="AH62" s="505">
        <f>IFERROR(VLOOKUP(Таблица3[[#This Row],[№ акта]],'Степень зрелости 2026'!$H$12:$I$800,2,FALSE),)</f>
        <v>48</v>
      </c>
      <c r="AJ62" s="508">
        <v>74</v>
      </c>
      <c r="AK62" s="509">
        <v>46180</v>
      </c>
      <c r="AL62" s="508">
        <v>125</v>
      </c>
      <c r="AO62" s="508">
        <v>4500</v>
      </c>
      <c r="AP62" s="508">
        <v>3622.5</v>
      </c>
      <c r="AQ62" s="508" t="s">
        <v>2939</v>
      </c>
      <c r="AR62" s="508" t="s">
        <v>524</v>
      </c>
      <c r="AS62" s="508" t="s">
        <v>2968</v>
      </c>
      <c r="AT62" s="508" t="s">
        <v>762</v>
      </c>
      <c r="AV62" s="508" t="s">
        <v>763</v>
      </c>
      <c r="AX62" s="508" t="s">
        <v>2968</v>
      </c>
      <c r="AY62" s="508" t="s">
        <v>524</v>
      </c>
      <c r="AZ62" s="508">
        <v>0.8</v>
      </c>
      <c r="BA62" s="508" t="s">
        <v>46</v>
      </c>
      <c r="BB62" s="508" t="s">
        <v>19</v>
      </c>
      <c r="BC62" s="508">
        <v>4</v>
      </c>
      <c r="BD62" s="509">
        <v>46180</v>
      </c>
      <c r="BG62" s="508" t="s">
        <v>3557</v>
      </c>
      <c r="BH62" s="508" t="s">
        <v>2940</v>
      </c>
      <c r="BI62" s="508">
        <v>61</v>
      </c>
      <c r="BJ62" s="508">
        <v>48</v>
      </c>
    </row>
    <row r="63" spans="1:62" s="508" customFormat="1" ht="14.25" hidden="1" customHeight="1" x14ac:dyDescent="0.2">
      <c r="A63" s="495" t="s">
        <v>102</v>
      </c>
      <c r="B63" s="496"/>
      <c r="C63" s="497">
        <f>Таблица3[[#This Row],[Степень зрелости вспом]]</f>
        <v>53</v>
      </c>
      <c r="D63" s="498">
        <v>126</v>
      </c>
      <c r="E63" s="499"/>
      <c r="F63" s="496"/>
      <c r="G63" s="496">
        <v>13450</v>
      </c>
      <c r="H63" s="500"/>
      <c r="I63" s="496">
        <v>10827.2</v>
      </c>
      <c r="J63" s="495" t="s">
        <v>2939</v>
      </c>
      <c r="K63" s="495" t="s">
        <v>524</v>
      </c>
      <c r="L63" s="495" t="s">
        <v>2968</v>
      </c>
      <c r="M63" s="495" t="s">
        <v>1312</v>
      </c>
      <c r="N63" s="495"/>
      <c r="O63" s="495"/>
      <c r="P63" s="495"/>
      <c r="Q63" s="495"/>
      <c r="R63" s="501" t="s">
        <v>320</v>
      </c>
      <c r="S63" s="495"/>
      <c r="T63" s="482" t="str">
        <f>VLOOKUP(Таблица3[[#This Row],[№ акта]],$AJ$1:$BJ$691,15,FALSE)</f>
        <v>А-3</v>
      </c>
      <c r="U63" s="482" t="str">
        <f>VLOOKUP(Таблица3[[#This Row],[№ акта]],$AJ$1:$BJ$691,16,FALSE)</f>
        <v>Авола</v>
      </c>
      <c r="V63" s="502">
        <f>VLOOKUP(Таблица3[[#This Row],[№ акта]],$AJ$1:$BJ$691,17,FALSE)</f>
        <v>2.5</v>
      </c>
      <c r="W63" s="502" t="str">
        <f>VLOOKUP(Таблица3[[#This Row],[№ акта]],$AJ$1:$BJ$691,18,FALSE)</f>
        <v>ГРК (богара)</v>
      </c>
      <c r="X63" s="502" t="str">
        <f>VLOOKUP(Таблица3[[#This Row],[№ акта]],$AJ$1:$BJ$691,19,FALSE)</f>
        <v>богара</v>
      </c>
      <c r="Y63" s="503">
        <f>VLOOKUP(Таблица3[[#This Row],[№ акта]],$AJ$1:$BJ$691,20,FALSE)</f>
        <v>4</v>
      </c>
      <c r="Z63" s="504">
        <f>VLOOKUP(Таблица3[[#This Row],[№ акта]],$AJ$1:$BJ$691,21,FALSE)</f>
        <v>46180</v>
      </c>
      <c r="AA63" s="504"/>
      <c r="AB63" s="504" t="str">
        <f>IF(VLOOKUP(Таблица3[[#This Row],[№ акта]],$AJ$1:$BJ$691,23,FALSE)&lt;&gt;0,VLOOKUP(Таблица3[[#This Row],[№ акта]],$AJ$1:$BJ$691,23,FALSE),"-")</f>
        <v>-</v>
      </c>
      <c r="AC6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3" s="506" t="s">
        <v>2940</v>
      </c>
      <c r="AE63" s="505">
        <v>76</v>
      </c>
      <c r="AF63" s="507">
        <v>46181</v>
      </c>
      <c r="AG63" s="505">
        <v>62</v>
      </c>
      <c r="AH63" s="505">
        <f>IFERROR(VLOOKUP(Таблица3[[#This Row],[№ акта]],'Степень зрелости 2026'!$H$12:$I$800,2,FALSE),)</f>
        <v>53</v>
      </c>
      <c r="AJ63" s="508">
        <v>76</v>
      </c>
      <c r="AK63" s="509">
        <v>46181</v>
      </c>
      <c r="AL63" s="508">
        <v>126</v>
      </c>
      <c r="AO63" s="508">
        <v>13450</v>
      </c>
      <c r="AP63" s="508">
        <v>10827.2</v>
      </c>
      <c r="AQ63" s="508" t="s">
        <v>2939</v>
      </c>
      <c r="AR63" s="508" t="s">
        <v>524</v>
      </c>
      <c r="AS63" s="508" t="s">
        <v>2968</v>
      </c>
      <c r="AT63" s="508" t="s">
        <v>1312</v>
      </c>
      <c r="AV63" s="508" t="s">
        <v>320</v>
      </c>
      <c r="AX63" s="508" t="s">
        <v>2968</v>
      </c>
      <c r="AY63" s="508" t="s">
        <v>524</v>
      </c>
      <c r="AZ63" s="508">
        <v>2.5</v>
      </c>
      <c r="BA63" s="508" t="s">
        <v>46</v>
      </c>
      <c r="BB63" s="508" t="s">
        <v>19</v>
      </c>
      <c r="BC63" s="508">
        <v>4</v>
      </c>
      <c r="BD63" s="509">
        <v>46180</v>
      </c>
      <c r="BG63" s="508" t="s">
        <v>724</v>
      </c>
      <c r="BH63" s="508" t="s">
        <v>2940</v>
      </c>
      <c r="BI63" s="508">
        <v>62</v>
      </c>
      <c r="BJ63" s="508">
        <v>53</v>
      </c>
    </row>
    <row r="64" spans="1:62" s="508" customFormat="1" ht="14.25" hidden="1" customHeight="1" x14ac:dyDescent="0.2">
      <c r="A64" s="495" t="s">
        <v>102</v>
      </c>
      <c r="B64" s="496"/>
      <c r="C64" s="497">
        <f>Таблица3[[#This Row],[Степень зрелости вспом]]</f>
        <v>53</v>
      </c>
      <c r="D64" s="498">
        <v>127</v>
      </c>
      <c r="E64" s="499"/>
      <c r="F64" s="496"/>
      <c r="G64" s="496">
        <v>13560</v>
      </c>
      <c r="H64" s="500"/>
      <c r="I64" s="496">
        <v>11458.2</v>
      </c>
      <c r="J64" s="495" t="s">
        <v>2939</v>
      </c>
      <c r="K64" s="495" t="s">
        <v>524</v>
      </c>
      <c r="L64" s="495" t="s">
        <v>2968</v>
      </c>
      <c r="M64" s="495" t="s">
        <v>121</v>
      </c>
      <c r="N64" s="495"/>
      <c r="O64" s="495"/>
      <c r="P64" s="495"/>
      <c r="Q64" s="495"/>
      <c r="R64" s="501" t="s">
        <v>125</v>
      </c>
      <c r="S64" s="495"/>
      <c r="T64" s="482" t="str">
        <f>VLOOKUP(Таблица3[[#This Row],[№ акта]],$AJ$1:$BJ$691,15,FALSE)</f>
        <v>А-3</v>
      </c>
      <c r="U64" s="482" t="str">
        <f>VLOOKUP(Таблица3[[#This Row],[№ акта]],$AJ$1:$BJ$691,16,FALSE)</f>
        <v>Авола</v>
      </c>
      <c r="V64" s="502">
        <f>VLOOKUP(Таблица3[[#This Row],[№ акта]],$AJ$1:$BJ$691,17,FALSE)</f>
        <v>2.5</v>
      </c>
      <c r="W64" s="502" t="str">
        <f>VLOOKUP(Таблица3[[#This Row],[№ акта]],$AJ$1:$BJ$691,18,FALSE)</f>
        <v>ГРК (богара)</v>
      </c>
      <c r="X64" s="502" t="str">
        <f>VLOOKUP(Таблица3[[#This Row],[№ акта]],$AJ$1:$BJ$691,19,FALSE)</f>
        <v>богара</v>
      </c>
      <c r="Y64" s="503">
        <f>VLOOKUP(Таблица3[[#This Row],[№ акта]],$AJ$1:$BJ$691,20,FALSE)</f>
        <v>4</v>
      </c>
      <c r="Z64" s="504">
        <f>VLOOKUP(Таблица3[[#This Row],[№ акта]],$AJ$1:$BJ$691,21,FALSE)</f>
        <v>46180</v>
      </c>
      <c r="AA64" s="504"/>
      <c r="AB64" s="504" t="str">
        <f>IF(VLOOKUP(Таблица3[[#This Row],[№ акта]],$AJ$1:$BJ$691,23,FALSE)&lt;&gt;0,VLOOKUP(Таблица3[[#This Row],[№ акта]],$AJ$1:$BJ$691,23,FALSE),"-")</f>
        <v>-</v>
      </c>
      <c r="AC6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4" s="506" t="s">
        <v>2940</v>
      </c>
      <c r="AE64" s="505">
        <v>77</v>
      </c>
      <c r="AF64" s="507">
        <v>46181</v>
      </c>
      <c r="AG64" s="505">
        <v>63</v>
      </c>
      <c r="AH64" s="505">
        <f>IFERROR(VLOOKUP(Таблица3[[#This Row],[№ акта]],'Степень зрелости 2026'!$H$12:$I$800,2,FALSE),)</f>
        <v>53</v>
      </c>
      <c r="AJ64" s="508">
        <v>77</v>
      </c>
      <c r="AK64" s="509">
        <v>46181</v>
      </c>
      <c r="AL64" s="508">
        <v>127</v>
      </c>
      <c r="AO64" s="508">
        <v>13560</v>
      </c>
      <c r="AP64" s="508">
        <v>11458.2</v>
      </c>
      <c r="AQ64" s="508" t="s">
        <v>2939</v>
      </c>
      <c r="AR64" s="508" t="s">
        <v>524</v>
      </c>
      <c r="AS64" s="508" t="s">
        <v>2968</v>
      </c>
      <c r="AT64" s="508" t="s">
        <v>121</v>
      </c>
      <c r="AV64" s="508" t="s">
        <v>125</v>
      </c>
      <c r="AX64" s="508" t="s">
        <v>2968</v>
      </c>
      <c r="AY64" s="508" t="s">
        <v>524</v>
      </c>
      <c r="AZ64" s="508">
        <v>2.5</v>
      </c>
      <c r="BA64" s="508" t="s">
        <v>46</v>
      </c>
      <c r="BB64" s="508" t="s">
        <v>19</v>
      </c>
      <c r="BC64" s="508">
        <v>4</v>
      </c>
      <c r="BD64" s="509">
        <v>46180</v>
      </c>
      <c r="BG64" s="508" t="s">
        <v>724</v>
      </c>
      <c r="BH64" s="508" t="s">
        <v>2940</v>
      </c>
      <c r="BI64" s="508">
        <v>63</v>
      </c>
      <c r="BJ64" s="508">
        <v>53</v>
      </c>
    </row>
    <row r="65" spans="1:62" s="508" customFormat="1" ht="14.25" hidden="1" customHeight="1" x14ac:dyDescent="0.2">
      <c r="A65" s="495" t="s">
        <v>102</v>
      </c>
      <c r="B65" s="496"/>
      <c r="C65" s="497">
        <f>Таблица3[[#This Row],[Степень зрелости вспом]]</f>
        <v>48</v>
      </c>
      <c r="D65" s="498">
        <v>128</v>
      </c>
      <c r="E65" s="499"/>
      <c r="F65" s="496"/>
      <c r="G65" s="496">
        <v>4510</v>
      </c>
      <c r="H65" s="500"/>
      <c r="I65" s="496">
        <v>3720.7</v>
      </c>
      <c r="J65" s="495" t="s">
        <v>2939</v>
      </c>
      <c r="K65" s="495" t="s">
        <v>524</v>
      </c>
      <c r="L65" s="495" t="s">
        <v>2968</v>
      </c>
      <c r="M65" s="495" t="s">
        <v>762</v>
      </c>
      <c r="N65" s="495"/>
      <c r="O65" s="495"/>
      <c r="P65" s="495"/>
      <c r="Q65" s="495"/>
      <c r="R65" s="501" t="s">
        <v>763</v>
      </c>
      <c r="S65" s="495"/>
      <c r="T65" s="482" t="str">
        <f>VLOOKUP(Таблица3[[#This Row],[№ акта]],$AJ$1:$BJ$691,15,FALSE)</f>
        <v>А-3</v>
      </c>
      <c r="U65" s="482" t="str">
        <f>VLOOKUP(Таблица3[[#This Row],[№ акта]],$AJ$1:$BJ$691,16,FALSE)</f>
        <v>Авола</v>
      </c>
      <c r="V65" s="502">
        <f>VLOOKUP(Таблица3[[#This Row],[№ акта]],$AJ$1:$BJ$691,17,FALSE)</f>
        <v>0.8</v>
      </c>
      <c r="W65" s="502" t="str">
        <f>VLOOKUP(Таблица3[[#This Row],[№ акта]],$AJ$1:$BJ$691,18,FALSE)</f>
        <v>ГРК (богара)</v>
      </c>
      <c r="X65" s="502" t="str">
        <f>VLOOKUP(Таблица3[[#This Row],[№ акта]],$AJ$1:$BJ$691,19,FALSE)</f>
        <v>богара</v>
      </c>
      <c r="Y65" s="503">
        <f>VLOOKUP(Таблица3[[#This Row],[№ акта]],$AJ$1:$BJ$691,20,FALSE)</f>
        <v>4</v>
      </c>
      <c r="Z65" s="504">
        <f>VLOOKUP(Таблица3[[#This Row],[№ акта]],$AJ$1:$BJ$691,21,FALSE)</f>
        <v>46180</v>
      </c>
      <c r="AA65" s="504"/>
      <c r="AB65" s="504" t="str">
        <f>IF(VLOOKUP(Таблица3[[#This Row],[№ акта]],$AJ$1:$BJ$691,23,FALSE)&lt;&gt;0,VLOOKUP(Таблица3[[#This Row],[№ акта]],$AJ$1:$BJ$691,23,FALSE),"-")</f>
        <v>-</v>
      </c>
      <c r="AC6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65" s="506" t="s">
        <v>2940</v>
      </c>
      <c r="AE65" s="505">
        <v>78</v>
      </c>
      <c r="AF65" s="507">
        <v>46181</v>
      </c>
      <c r="AG65" s="505">
        <v>64</v>
      </c>
      <c r="AH65" s="505">
        <f>IFERROR(VLOOKUP(Таблица3[[#This Row],[№ акта]],'Степень зрелости 2026'!$H$12:$I$800,2,FALSE),)</f>
        <v>48</v>
      </c>
      <c r="AJ65" s="508">
        <v>78</v>
      </c>
      <c r="AK65" s="509">
        <v>46181</v>
      </c>
      <c r="AL65" s="508">
        <v>128</v>
      </c>
      <c r="AO65" s="508">
        <v>4510</v>
      </c>
      <c r="AP65" s="508">
        <v>3720.7</v>
      </c>
      <c r="AQ65" s="508" t="s">
        <v>2939</v>
      </c>
      <c r="AR65" s="508" t="s">
        <v>524</v>
      </c>
      <c r="AS65" s="508" t="s">
        <v>2968</v>
      </c>
      <c r="AT65" s="508" t="s">
        <v>762</v>
      </c>
      <c r="AV65" s="508" t="s">
        <v>763</v>
      </c>
      <c r="AX65" s="508" t="s">
        <v>2968</v>
      </c>
      <c r="AY65" s="508" t="s">
        <v>524</v>
      </c>
      <c r="AZ65" s="508">
        <v>0.8</v>
      </c>
      <c r="BA65" s="508" t="s">
        <v>46</v>
      </c>
      <c r="BB65" s="508" t="s">
        <v>19</v>
      </c>
      <c r="BC65" s="508">
        <v>4</v>
      </c>
      <c r="BD65" s="509">
        <v>46180</v>
      </c>
      <c r="BG65" s="508" t="s">
        <v>3557</v>
      </c>
      <c r="BH65" s="508" t="s">
        <v>2940</v>
      </c>
      <c r="BI65" s="508">
        <v>64</v>
      </c>
      <c r="BJ65" s="508">
        <v>48</v>
      </c>
    </row>
    <row r="66" spans="1:62" s="508" customFormat="1" ht="14.25" hidden="1" customHeight="1" x14ac:dyDescent="0.2">
      <c r="A66" s="495" t="s">
        <v>102</v>
      </c>
      <c r="B66" s="496"/>
      <c r="C66" s="497">
        <f>Таблица3[[#This Row],[Степень зрелости вспом]]</f>
        <v>50</v>
      </c>
      <c r="D66" s="498">
        <v>129</v>
      </c>
      <c r="E66" s="499"/>
      <c r="F66" s="496"/>
      <c r="G66" s="496">
        <v>13440</v>
      </c>
      <c r="H66" s="500"/>
      <c r="I66" s="496">
        <v>10819.2</v>
      </c>
      <c r="J66" s="495" t="s">
        <v>2939</v>
      </c>
      <c r="K66" s="495" t="s">
        <v>524</v>
      </c>
      <c r="L66" s="495" t="s">
        <v>2968</v>
      </c>
      <c r="M66" s="495" t="s">
        <v>1792</v>
      </c>
      <c r="N66" s="495"/>
      <c r="O66" s="495"/>
      <c r="P66" s="495"/>
      <c r="Q66" s="495"/>
      <c r="R66" s="501" t="s">
        <v>80</v>
      </c>
      <c r="S66" s="495"/>
      <c r="T66" s="482" t="str">
        <f>VLOOKUP(Таблица3[[#This Row],[№ акта]],$AJ$1:$BJ$691,15,FALSE)</f>
        <v>А-3</v>
      </c>
      <c r="U66" s="482" t="str">
        <f>VLOOKUP(Таблица3[[#This Row],[№ акта]],$AJ$1:$BJ$691,16,FALSE)</f>
        <v>Авола</v>
      </c>
      <c r="V66" s="502">
        <f>VLOOKUP(Таблица3[[#This Row],[№ акта]],$AJ$1:$BJ$691,17,FALSE)</f>
        <v>2.5</v>
      </c>
      <c r="W66" s="502" t="str">
        <f>VLOOKUP(Таблица3[[#This Row],[№ акта]],$AJ$1:$BJ$691,18,FALSE)</f>
        <v>ГРК (богара)</v>
      </c>
      <c r="X66" s="502" t="str">
        <f>VLOOKUP(Таблица3[[#This Row],[№ акта]],$AJ$1:$BJ$691,19,FALSE)</f>
        <v>богара</v>
      </c>
      <c r="Y66" s="503">
        <f>VLOOKUP(Таблица3[[#This Row],[№ акта]],$AJ$1:$BJ$691,20,FALSE)</f>
        <v>4</v>
      </c>
      <c r="Z66" s="504">
        <f>VLOOKUP(Таблица3[[#This Row],[№ акта]],$AJ$1:$BJ$691,21,FALSE)</f>
        <v>46180</v>
      </c>
      <c r="AA66" s="504"/>
      <c r="AB66" s="504" t="str">
        <f>IF(VLOOKUP(Таблица3[[#This Row],[№ акта]],$AJ$1:$BJ$691,23,FALSE)&lt;&gt;0,VLOOKUP(Таблица3[[#This Row],[№ акта]],$AJ$1:$BJ$691,23,FALSE),"-")</f>
        <v>-</v>
      </c>
      <c r="AC6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66" s="506" t="s">
        <v>2940</v>
      </c>
      <c r="AE66" s="505">
        <v>79</v>
      </c>
      <c r="AF66" s="507">
        <v>46181</v>
      </c>
      <c r="AG66" s="505">
        <v>65</v>
      </c>
      <c r="AH66" s="505">
        <f>IFERROR(VLOOKUP(Таблица3[[#This Row],[№ акта]],'Степень зрелости 2026'!$H$12:$I$800,2,FALSE),)</f>
        <v>50</v>
      </c>
      <c r="AJ66" s="508">
        <v>79</v>
      </c>
      <c r="AK66" s="509">
        <v>46181</v>
      </c>
      <c r="AL66" s="508">
        <v>129</v>
      </c>
      <c r="AO66" s="508">
        <v>13440</v>
      </c>
      <c r="AP66" s="508">
        <v>10819.2</v>
      </c>
      <c r="AQ66" s="508" t="s">
        <v>2939</v>
      </c>
      <c r="AR66" s="508" t="s">
        <v>524</v>
      </c>
      <c r="AS66" s="508" t="s">
        <v>2968</v>
      </c>
      <c r="AT66" s="508" t="s">
        <v>1792</v>
      </c>
      <c r="AV66" s="508" t="s">
        <v>80</v>
      </c>
      <c r="AX66" s="508" t="s">
        <v>2968</v>
      </c>
      <c r="AY66" s="508" t="s">
        <v>524</v>
      </c>
      <c r="AZ66" s="508">
        <v>2.5</v>
      </c>
      <c r="BA66" s="508" t="s">
        <v>46</v>
      </c>
      <c r="BB66" s="508" t="s">
        <v>19</v>
      </c>
      <c r="BC66" s="508">
        <v>4</v>
      </c>
      <c r="BD66" s="509">
        <v>46180</v>
      </c>
      <c r="BG66" s="508" t="s">
        <v>3557</v>
      </c>
      <c r="BH66" s="508" t="s">
        <v>2940</v>
      </c>
      <c r="BI66" s="508">
        <v>65</v>
      </c>
      <c r="BJ66" s="508">
        <v>50</v>
      </c>
    </row>
    <row r="67" spans="1:62" s="508" customFormat="1" ht="14.25" hidden="1" customHeight="1" x14ac:dyDescent="0.2">
      <c r="A67" s="495" t="s">
        <v>102</v>
      </c>
      <c r="B67" s="496"/>
      <c r="C67" s="497">
        <f>Таблица3[[#This Row],[Степень зрелости вспом]]</f>
        <v>49</v>
      </c>
      <c r="D67" s="498">
        <v>130</v>
      </c>
      <c r="E67" s="499"/>
      <c r="F67" s="496"/>
      <c r="G67" s="496">
        <v>13460</v>
      </c>
      <c r="H67" s="500"/>
      <c r="I67" s="496">
        <v>10700.7</v>
      </c>
      <c r="J67" s="495" t="s">
        <v>2939</v>
      </c>
      <c r="K67" s="495" t="s">
        <v>524</v>
      </c>
      <c r="L67" s="495" t="s">
        <v>2968</v>
      </c>
      <c r="M67" s="495" t="s">
        <v>894</v>
      </c>
      <c r="N67" s="495"/>
      <c r="O67" s="495"/>
      <c r="P67" s="495"/>
      <c r="Q67" s="495"/>
      <c r="R67" s="501" t="s">
        <v>895</v>
      </c>
      <c r="S67" s="495"/>
      <c r="T67" s="482" t="str">
        <f>VLOOKUP(Таблица3[[#This Row],[№ акта]],$AJ$1:$BJ$691,15,FALSE)</f>
        <v>А-3</v>
      </c>
      <c r="U67" s="482" t="str">
        <f>VLOOKUP(Таблица3[[#This Row],[№ акта]],$AJ$1:$BJ$691,16,FALSE)</f>
        <v>Авола</v>
      </c>
      <c r="V67" s="502">
        <f>VLOOKUP(Таблица3[[#This Row],[№ акта]],$AJ$1:$BJ$691,17,FALSE)</f>
        <v>2.5</v>
      </c>
      <c r="W67" s="502" t="str">
        <f>VLOOKUP(Таблица3[[#This Row],[№ акта]],$AJ$1:$BJ$691,18,FALSE)</f>
        <v>ГРК (богара)</v>
      </c>
      <c r="X67" s="502" t="str">
        <f>VLOOKUP(Таблица3[[#This Row],[№ акта]],$AJ$1:$BJ$691,19,FALSE)</f>
        <v>богара</v>
      </c>
      <c r="Y67" s="503">
        <f>VLOOKUP(Таблица3[[#This Row],[№ акта]],$AJ$1:$BJ$691,20,FALSE)</f>
        <v>4</v>
      </c>
      <c r="Z67" s="504">
        <f>VLOOKUP(Таблица3[[#This Row],[№ акта]],$AJ$1:$BJ$691,21,FALSE)</f>
        <v>46180</v>
      </c>
      <c r="AA67" s="504"/>
      <c r="AB67" s="504" t="str">
        <f>IF(VLOOKUP(Таблица3[[#This Row],[№ акта]],$AJ$1:$BJ$691,23,FALSE)&lt;&gt;0,VLOOKUP(Таблица3[[#This Row],[№ акта]],$AJ$1:$BJ$691,23,FALSE),"-")</f>
        <v>-</v>
      </c>
      <c r="AC6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67" s="506" t="s">
        <v>2940</v>
      </c>
      <c r="AE67" s="505">
        <v>80</v>
      </c>
      <c r="AF67" s="507">
        <v>46181</v>
      </c>
      <c r="AG67" s="505">
        <v>66</v>
      </c>
      <c r="AH67" s="505">
        <f>IFERROR(VLOOKUP(Таблица3[[#This Row],[№ акта]],'Степень зрелости 2026'!$H$12:$I$800,2,FALSE),)</f>
        <v>49</v>
      </c>
      <c r="AJ67" s="508">
        <v>80</v>
      </c>
      <c r="AK67" s="509">
        <v>46181</v>
      </c>
      <c r="AL67" s="508">
        <v>130</v>
      </c>
      <c r="AO67" s="508">
        <v>13460</v>
      </c>
      <c r="AP67" s="508">
        <v>10700.7</v>
      </c>
      <c r="AQ67" s="508" t="s">
        <v>2939</v>
      </c>
      <c r="AR67" s="508" t="s">
        <v>524</v>
      </c>
      <c r="AS67" s="508" t="s">
        <v>2968</v>
      </c>
      <c r="AT67" s="508" t="s">
        <v>894</v>
      </c>
      <c r="AV67" s="508" t="s">
        <v>895</v>
      </c>
      <c r="AX67" s="508" t="s">
        <v>2968</v>
      </c>
      <c r="AY67" s="508" t="s">
        <v>524</v>
      </c>
      <c r="AZ67" s="508">
        <v>2.5</v>
      </c>
      <c r="BA67" s="508" t="s">
        <v>46</v>
      </c>
      <c r="BB67" s="508" t="s">
        <v>19</v>
      </c>
      <c r="BC67" s="508">
        <v>4</v>
      </c>
      <c r="BD67" s="509">
        <v>46180</v>
      </c>
      <c r="BG67" s="508" t="s">
        <v>3557</v>
      </c>
      <c r="BH67" s="508" t="s">
        <v>2940</v>
      </c>
      <c r="BI67" s="508">
        <v>66</v>
      </c>
      <c r="BJ67" s="508">
        <v>49</v>
      </c>
    </row>
    <row r="68" spans="1:62" s="508" customFormat="1" ht="14.25" hidden="1" customHeight="1" x14ac:dyDescent="0.2">
      <c r="A68" s="495" t="s">
        <v>102</v>
      </c>
      <c r="B68" s="496"/>
      <c r="C68" s="497">
        <f>Таблица3[[#This Row],[Степень зрелости вспом]]</f>
        <v>48</v>
      </c>
      <c r="D68" s="498">
        <v>131</v>
      </c>
      <c r="E68" s="499"/>
      <c r="F68" s="496"/>
      <c r="G68" s="496">
        <v>13240</v>
      </c>
      <c r="H68" s="500"/>
      <c r="I68" s="496">
        <v>10790.6</v>
      </c>
      <c r="J68" s="495" t="s">
        <v>2939</v>
      </c>
      <c r="K68" s="495" t="s">
        <v>524</v>
      </c>
      <c r="L68" s="495" t="s">
        <v>2968</v>
      </c>
      <c r="M68" s="495" t="s">
        <v>1312</v>
      </c>
      <c r="N68" s="495"/>
      <c r="O68" s="495"/>
      <c r="P68" s="495"/>
      <c r="Q68" s="495"/>
      <c r="R68" s="501" t="s">
        <v>320</v>
      </c>
      <c r="S68" s="495"/>
      <c r="T68" s="482" t="str">
        <f>VLOOKUP(Таблица3[[#This Row],[№ акта]],$AJ$1:$BJ$691,15,FALSE)</f>
        <v>А-3</v>
      </c>
      <c r="U68" s="482" t="str">
        <f>VLOOKUP(Таблица3[[#This Row],[№ акта]],$AJ$1:$BJ$691,16,FALSE)</f>
        <v>Авола</v>
      </c>
      <c r="V68" s="502">
        <f>VLOOKUP(Таблица3[[#This Row],[№ акта]],$AJ$1:$BJ$691,17,FALSE)</f>
        <v>2.2000000000000002</v>
      </c>
      <c r="W68" s="502" t="str">
        <f>VLOOKUP(Таблица3[[#This Row],[№ акта]],$AJ$1:$BJ$691,18,FALSE)</f>
        <v>ГРК (богара)</v>
      </c>
      <c r="X68" s="502" t="str">
        <f>VLOOKUP(Таблица3[[#This Row],[№ акта]],$AJ$1:$BJ$691,19,FALSE)</f>
        <v>богара</v>
      </c>
      <c r="Y68" s="503">
        <f>VLOOKUP(Таблица3[[#This Row],[№ акта]],$AJ$1:$BJ$691,20,FALSE)</f>
        <v>5</v>
      </c>
      <c r="Z68" s="504">
        <f>VLOOKUP(Таблица3[[#This Row],[№ акта]],$AJ$1:$BJ$691,21,FALSE)</f>
        <v>46181</v>
      </c>
      <c r="AA68" s="504"/>
      <c r="AB68" s="504" t="str">
        <f>IF(VLOOKUP(Таблица3[[#This Row],[№ акта]],$AJ$1:$BJ$691,23,FALSE)&lt;&gt;0,VLOOKUP(Таблица3[[#This Row],[№ акта]],$AJ$1:$BJ$691,23,FALSE),"-")</f>
        <v>-</v>
      </c>
      <c r="AC6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68" s="506" t="s">
        <v>2940</v>
      </c>
      <c r="AE68" s="505">
        <v>83</v>
      </c>
      <c r="AF68" s="507">
        <v>46181</v>
      </c>
      <c r="AG68" s="505">
        <v>67</v>
      </c>
      <c r="AH68" s="505">
        <f>IFERROR(VLOOKUP(Таблица3[[#This Row],[№ акта]],'Степень зрелости 2026'!$H$12:$I$800,2,FALSE),)</f>
        <v>48</v>
      </c>
      <c r="AJ68" s="508">
        <v>83</v>
      </c>
      <c r="AK68" s="509">
        <v>46181</v>
      </c>
      <c r="AL68" s="508">
        <v>131</v>
      </c>
      <c r="AO68" s="508">
        <v>13240</v>
      </c>
      <c r="AP68" s="508">
        <v>10790.6</v>
      </c>
      <c r="AQ68" s="508" t="s">
        <v>2939</v>
      </c>
      <c r="AR68" s="508" t="s">
        <v>524</v>
      </c>
      <c r="AS68" s="508" t="s">
        <v>2968</v>
      </c>
      <c r="AT68" s="508" t="s">
        <v>1312</v>
      </c>
      <c r="AV68" s="508" t="s">
        <v>320</v>
      </c>
      <c r="AX68" s="508" t="s">
        <v>2968</v>
      </c>
      <c r="AY68" s="508" t="s">
        <v>524</v>
      </c>
      <c r="AZ68" s="508">
        <v>2.2000000000000002</v>
      </c>
      <c r="BA68" s="508" t="s">
        <v>46</v>
      </c>
      <c r="BB68" s="508" t="s">
        <v>19</v>
      </c>
      <c r="BC68" s="508">
        <v>5</v>
      </c>
      <c r="BD68" s="509">
        <v>46181</v>
      </c>
      <c r="BG68" s="508" t="s">
        <v>3557</v>
      </c>
      <c r="BH68" s="508" t="s">
        <v>2940</v>
      </c>
      <c r="BI68" s="508">
        <v>67</v>
      </c>
      <c r="BJ68" s="508">
        <v>48</v>
      </c>
    </row>
    <row r="69" spans="1:62" s="508" customFormat="1" ht="14.25" hidden="1" customHeight="1" x14ac:dyDescent="0.2">
      <c r="A69" s="495" t="s">
        <v>102</v>
      </c>
      <c r="B69" s="496"/>
      <c r="C69" s="497">
        <f>Таблица3[[#This Row],[Степень зрелости вспом]]</f>
        <v>49</v>
      </c>
      <c r="D69" s="498">
        <v>132</v>
      </c>
      <c r="E69" s="499"/>
      <c r="F69" s="496"/>
      <c r="G69" s="496">
        <v>13580</v>
      </c>
      <c r="H69" s="500"/>
      <c r="I69" s="496">
        <v>10931.9</v>
      </c>
      <c r="J69" s="495" t="s">
        <v>2939</v>
      </c>
      <c r="K69" s="495" t="s">
        <v>524</v>
      </c>
      <c r="L69" s="495" t="s">
        <v>2968</v>
      </c>
      <c r="M69" s="495" t="s">
        <v>121</v>
      </c>
      <c r="N69" s="495"/>
      <c r="O69" s="495"/>
      <c r="P69" s="495"/>
      <c r="Q69" s="495"/>
      <c r="R69" s="501" t="s">
        <v>125</v>
      </c>
      <c r="S69" s="495"/>
      <c r="T69" s="482" t="str">
        <f>VLOOKUP(Таблица3[[#This Row],[№ акта]],$AJ$1:$BJ$691,15,FALSE)</f>
        <v>А-3</v>
      </c>
      <c r="U69" s="482" t="str">
        <f>VLOOKUP(Таблица3[[#This Row],[№ акта]],$AJ$1:$BJ$691,16,FALSE)</f>
        <v>Авола</v>
      </c>
      <c r="V69" s="502">
        <f>VLOOKUP(Таблица3[[#This Row],[№ акта]],$AJ$1:$BJ$691,17,FALSE)</f>
        <v>2.2999999999999998</v>
      </c>
      <c r="W69" s="502" t="str">
        <f>VLOOKUP(Таблица3[[#This Row],[№ акта]],$AJ$1:$BJ$691,18,FALSE)</f>
        <v>ГРК (богара)</v>
      </c>
      <c r="X69" s="502" t="str">
        <f>VLOOKUP(Таблица3[[#This Row],[№ акта]],$AJ$1:$BJ$691,19,FALSE)</f>
        <v>богара</v>
      </c>
      <c r="Y69" s="503">
        <f>VLOOKUP(Таблица3[[#This Row],[№ акта]],$AJ$1:$BJ$691,20,FALSE)</f>
        <v>5</v>
      </c>
      <c r="Z69" s="504">
        <f>VLOOKUP(Таблица3[[#This Row],[№ акта]],$AJ$1:$BJ$691,21,FALSE)</f>
        <v>46181</v>
      </c>
      <c r="AA69" s="504"/>
      <c r="AB69" s="504" t="str">
        <f>IF(VLOOKUP(Таблица3[[#This Row],[№ акта]],$AJ$1:$BJ$691,23,FALSE)&lt;&gt;0,VLOOKUP(Таблица3[[#This Row],[№ акта]],$AJ$1:$BJ$691,23,FALSE),"-")</f>
        <v>-</v>
      </c>
      <c r="AC6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69" s="506" t="s">
        <v>2940</v>
      </c>
      <c r="AE69" s="505">
        <v>82</v>
      </c>
      <c r="AF69" s="507">
        <v>46181</v>
      </c>
      <c r="AG69" s="505">
        <v>68</v>
      </c>
      <c r="AH69" s="505">
        <f>IFERROR(VLOOKUP(Таблица3[[#This Row],[№ акта]],'Степень зрелости 2026'!$H$12:$I$800,2,FALSE),)</f>
        <v>49</v>
      </c>
      <c r="AJ69" s="508">
        <v>82</v>
      </c>
      <c r="AK69" s="509">
        <v>46181</v>
      </c>
      <c r="AL69" s="508">
        <v>132</v>
      </c>
      <c r="AO69" s="508">
        <v>13580</v>
      </c>
      <c r="AP69" s="508">
        <v>10931.9</v>
      </c>
      <c r="AQ69" s="508" t="s">
        <v>2939</v>
      </c>
      <c r="AR69" s="508" t="s">
        <v>524</v>
      </c>
      <c r="AS69" s="508" t="s">
        <v>2968</v>
      </c>
      <c r="AT69" s="508" t="s">
        <v>121</v>
      </c>
      <c r="AV69" s="508" t="s">
        <v>125</v>
      </c>
      <c r="AX69" s="508" t="s">
        <v>2968</v>
      </c>
      <c r="AY69" s="508" t="s">
        <v>524</v>
      </c>
      <c r="AZ69" s="508">
        <v>2.2999999999999998</v>
      </c>
      <c r="BA69" s="508" t="s">
        <v>46</v>
      </c>
      <c r="BB69" s="508" t="s">
        <v>19</v>
      </c>
      <c r="BC69" s="508">
        <v>5</v>
      </c>
      <c r="BD69" s="509">
        <v>46181</v>
      </c>
      <c r="BG69" s="508" t="s">
        <v>3557</v>
      </c>
      <c r="BH69" s="508" t="s">
        <v>2940</v>
      </c>
      <c r="BI69" s="508">
        <v>68</v>
      </c>
      <c r="BJ69" s="508">
        <v>49</v>
      </c>
    </row>
    <row r="70" spans="1:62" s="508" customFormat="1" ht="14.25" hidden="1" customHeight="1" x14ac:dyDescent="0.2">
      <c r="A70" s="495" t="s">
        <v>102</v>
      </c>
      <c r="B70" s="496"/>
      <c r="C70" s="497">
        <f>Таблица3[[#This Row],[Степень зрелости вспом]]</f>
        <v>47</v>
      </c>
      <c r="D70" s="498">
        <v>133</v>
      </c>
      <c r="E70" s="499"/>
      <c r="F70" s="496"/>
      <c r="G70" s="496">
        <v>4540</v>
      </c>
      <c r="H70" s="500"/>
      <c r="I70" s="496">
        <v>3609.3</v>
      </c>
      <c r="J70" s="495" t="s">
        <v>2939</v>
      </c>
      <c r="K70" s="495" t="s">
        <v>524</v>
      </c>
      <c r="L70" s="495" t="s">
        <v>2968</v>
      </c>
      <c r="M70" s="495" t="s">
        <v>762</v>
      </c>
      <c r="N70" s="495"/>
      <c r="O70" s="495"/>
      <c r="P70" s="495"/>
      <c r="Q70" s="495"/>
      <c r="R70" s="501" t="s">
        <v>763</v>
      </c>
      <c r="S70" s="495"/>
      <c r="T70" s="482" t="str">
        <f>VLOOKUP(Таблица3[[#This Row],[№ акта]],$AJ$1:$BJ$691,15,FALSE)</f>
        <v>А-3</v>
      </c>
      <c r="U70" s="482" t="str">
        <f>VLOOKUP(Таблица3[[#This Row],[№ акта]],$AJ$1:$BJ$691,16,FALSE)</f>
        <v>Авола</v>
      </c>
      <c r="V70" s="502">
        <f>VLOOKUP(Таблица3[[#This Row],[№ акта]],$AJ$1:$BJ$691,17,FALSE)</f>
        <v>0.8</v>
      </c>
      <c r="W70" s="502" t="str">
        <f>VLOOKUP(Таблица3[[#This Row],[№ акта]],$AJ$1:$BJ$691,18,FALSE)</f>
        <v>ГРК (богара)</v>
      </c>
      <c r="X70" s="502" t="str">
        <f>VLOOKUP(Таблица3[[#This Row],[№ акта]],$AJ$1:$BJ$691,19,FALSE)</f>
        <v>богара</v>
      </c>
      <c r="Y70" s="503">
        <f>VLOOKUP(Таблица3[[#This Row],[№ акта]],$AJ$1:$BJ$691,20,FALSE)</f>
        <v>5</v>
      </c>
      <c r="Z70" s="504">
        <f>VLOOKUP(Таблица3[[#This Row],[№ акта]],$AJ$1:$BJ$691,21,FALSE)</f>
        <v>46181</v>
      </c>
      <c r="AA70" s="504"/>
      <c r="AB70" s="504" t="str">
        <f>IF(VLOOKUP(Таблица3[[#This Row],[№ акта]],$AJ$1:$BJ$691,23,FALSE)&lt;&gt;0,VLOOKUP(Таблица3[[#This Row],[№ акта]],$AJ$1:$BJ$691,23,FALSE),"-")</f>
        <v>-</v>
      </c>
      <c r="AC7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70" s="506" t="s">
        <v>2940</v>
      </c>
      <c r="AE70" s="505">
        <v>81</v>
      </c>
      <c r="AF70" s="507">
        <v>46181</v>
      </c>
      <c r="AG70" s="505">
        <v>69</v>
      </c>
      <c r="AH70" s="505">
        <f>IFERROR(VLOOKUP(Таблица3[[#This Row],[№ акта]],'Степень зрелости 2026'!$H$12:$I$800,2,FALSE),)</f>
        <v>47</v>
      </c>
      <c r="AJ70" s="508">
        <v>81</v>
      </c>
      <c r="AK70" s="509">
        <v>46181</v>
      </c>
      <c r="AL70" s="508">
        <v>133</v>
      </c>
      <c r="AO70" s="508">
        <v>4540</v>
      </c>
      <c r="AP70" s="508">
        <v>3609.3</v>
      </c>
      <c r="AQ70" s="508" t="s">
        <v>2939</v>
      </c>
      <c r="AR70" s="508" t="s">
        <v>524</v>
      </c>
      <c r="AS70" s="508" t="s">
        <v>2968</v>
      </c>
      <c r="AT70" s="508" t="s">
        <v>762</v>
      </c>
      <c r="AV70" s="508" t="s">
        <v>763</v>
      </c>
      <c r="AX70" s="508" t="s">
        <v>2968</v>
      </c>
      <c r="AY70" s="508" t="s">
        <v>524</v>
      </c>
      <c r="AZ70" s="508">
        <v>0.8</v>
      </c>
      <c r="BA70" s="508" t="s">
        <v>46</v>
      </c>
      <c r="BB70" s="508" t="s">
        <v>19</v>
      </c>
      <c r="BC70" s="508">
        <v>5</v>
      </c>
      <c r="BD70" s="509">
        <v>46181</v>
      </c>
      <c r="BG70" s="508" t="s">
        <v>3557</v>
      </c>
      <c r="BH70" s="508" t="s">
        <v>2940</v>
      </c>
      <c r="BI70" s="508">
        <v>69</v>
      </c>
      <c r="BJ70" s="508">
        <v>47</v>
      </c>
    </row>
    <row r="71" spans="1:62" s="508" customFormat="1" ht="14.25" hidden="1" customHeight="1" x14ac:dyDescent="0.2">
      <c r="A71" s="495" t="s">
        <v>102</v>
      </c>
      <c r="B71" s="496"/>
      <c r="C71" s="497">
        <f>Таблица3[[#This Row],[Степень зрелости вспом]]</f>
        <v>47</v>
      </c>
      <c r="D71" s="498">
        <v>134</v>
      </c>
      <c r="E71" s="499"/>
      <c r="F71" s="496"/>
      <c r="G71" s="496">
        <v>13410</v>
      </c>
      <c r="H71" s="500"/>
      <c r="I71" s="496">
        <v>10661</v>
      </c>
      <c r="J71" s="495" t="s">
        <v>2939</v>
      </c>
      <c r="K71" s="495" t="s">
        <v>524</v>
      </c>
      <c r="L71" s="495" t="s">
        <v>2968</v>
      </c>
      <c r="M71" s="495" t="s">
        <v>329</v>
      </c>
      <c r="N71" s="495"/>
      <c r="O71" s="495"/>
      <c r="P71" s="495"/>
      <c r="Q71" s="495"/>
      <c r="R71" s="501" t="s">
        <v>333</v>
      </c>
      <c r="S71" s="495"/>
      <c r="T71" s="482" t="str">
        <f>VLOOKUP(Таблица3[[#This Row],[№ акта]],$AJ$1:$BJ$691,15,FALSE)</f>
        <v>А-3</v>
      </c>
      <c r="U71" s="482" t="str">
        <f>VLOOKUP(Таблица3[[#This Row],[№ акта]],$AJ$1:$BJ$691,16,FALSE)</f>
        <v>Авола</v>
      </c>
      <c r="V71" s="502">
        <f>VLOOKUP(Таблица3[[#This Row],[№ акта]],$AJ$1:$BJ$691,17,FALSE)</f>
        <v>2.2000000000000002</v>
      </c>
      <c r="W71" s="502" t="str">
        <f>VLOOKUP(Таблица3[[#This Row],[№ акта]],$AJ$1:$BJ$691,18,FALSE)</f>
        <v>ГРК (богара)</v>
      </c>
      <c r="X71" s="502" t="str">
        <f>VLOOKUP(Таблица3[[#This Row],[№ акта]],$AJ$1:$BJ$691,19,FALSE)</f>
        <v>богара</v>
      </c>
      <c r="Y71" s="503">
        <f>VLOOKUP(Таблица3[[#This Row],[№ акта]],$AJ$1:$BJ$691,20,FALSE)</f>
        <v>5</v>
      </c>
      <c r="Z71" s="504">
        <f>VLOOKUP(Таблица3[[#This Row],[№ акта]],$AJ$1:$BJ$691,21,FALSE)</f>
        <v>46181</v>
      </c>
      <c r="AA71" s="504"/>
      <c r="AB71" s="504" t="str">
        <f>IF(VLOOKUP(Таблица3[[#This Row],[№ акта]],$AJ$1:$BJ$691,23,FALSE)&lt;&gt;0,VLOOKUP(Таблица3[[#This Row],[№ акта]],$AJ$1:$BJ$691,23,FALSE),"-")</f>
        <v>-</v>
      </c>
      <c r="AC7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71" s="506" t="s">
        <v>2940</v>
      </c>
      <c r="AE71" s="505">
        <v>84</v>
      </c>
      <c r="AF71" s="507">
        <v>46181</v>
      </c>
      <c r="AG71" s="505">
        <v>70</v>
      </c>
      <c r="AH71" s="505">
        <f>IFERROR(VLOOKUP(Таблица3[[#This Row],[№ акта]],'Степень зрелости 2026'!$H$12:$I$800,2,FALSE),)</f>
        <v>47</v>
      </c>
      <c r="AJ71" s="508">
        <v>84</v>
      </c>
      <c r="AK71" s="509">
        <v>46181</v>
      </c>
      <c r="AL71" s="508">
        <v>134</v>
      </c>
      <c r="AO71" s="508">
        <v>13410</v>
      </c>
      <c r="AP71" s="508">
        <v>10661</v>
      </c>
      <c r="AQ71" s="508" t="s">
        <v>2939</v>
      </c>
      <c r="AR71" s="508" t="s">
        <v>524</v>
      </c>
      <c r="AS71" s="508" t="s">
        <v>2968</v>
      </c>
      <c r="AT71" s="508" t="s">
        <v>329</v>
      </c>
      <c r="AV71" s="508" t="s">
        <v>333</v>
      </c>
      <c r="AX71" s="508" t="s">
        <v>2968</v>
      </c>
      <c r="AY71" s="508" t="s">
        <v>524</v>
      </c>
      <c r="AZ71" s="508">
        <v>2.2000000000000002</v>
      </c>
      <c r="BA71" s="508" t="s">
        <v>46</v>
      </c>
      <c r="BB71" s="508" t="s">
        <v>19</v>
      </c>
      <c r="BC71" s="508">
        <v>5</v>
      </c>
      <c r="BD71" s="509">
        <v>46181</v>
      </c>
      <c r="BG71" s="508" t="s">
        <v>3557</v>
      </c>
      <c r="BH71" s="508" t="s">
        <v>2940</v>
      </c>
      <c r="BI71" s="508">
        <v>70</v>
      </c>
      <c r="BJ71" s="508">
        <v>47</v>
      </c>
    </row>
    <row r="72" spans="1:62" s="508" customFormat="1" ht="14.25" hidden="1" customHeight="1" x14ac:dyDescent="0.2">
      <c r="A72" s="495" t="s">
        <v>102</v>
      </c>
      <c r="B72" s="496"/>
      <c r="C72" s="497">
        <f>Таблица3[[#This Row],[Степень зрелости вспом]]</f>
        <v>48</v>
      </c>
      <c r="D72" s="498">
        <v>136</v>
      </c>
      <c r="E72" s="499"/>
      <c r="F72" s="496"/>
      <c r="G72" s="496">
        <v>13650</v>
      </c>
      <c r="H72" s="500"/>
      <c r="I72" s="496">
        <v>11124.7</v>
      </c>
      <c r="J72" s="495" t="s">
        <v>2939</v>
      </c>
      <c r="K72" s="495" t="s">
        <v>524</v>
      </c>
      <c r="L72" s="495" t="s">
        <v>2968</v>
      </c>
      <c r="M72" s="495" t="s">
        <v>195</v>
      </c>
      <c r="N72" s="495"/>
      <c r="O72" s="495"/>
      <c r="P72" s="495"/>
      <c r="Q72" s="495"/>
      <c r="R72" s="501" t="s">
        <v>199</v>
      </c>
      <c r="S72" s="495"/>
      <c r="T72" s="482" t="str">
        <f>VLOOKUP(Таблица3[[#This Row],[№ акта]],$AJ$1:$BJ$691,15,FALSE)</f>
        <v>А-3</v>
      </c>
      <c r="U72" s="482" t="str">
        <f>VLOOKUP(Таблица3[[#This Row],[№ акта]],$AJ$1:$BJ$691,16,FALSE)</f>
        <v>Авола</v>
      </c>
      <c r="V72" s="502">
        <f>VLOOKUP(Таблица3[[#This Row],[№ акта]],$AJ$1:$BJ$691,17,FALSE)</f>
        <v>2.2999999999999998</v>
      </c>
      <c r="W72" s="502" t="str">
        <f>VLOOKUP(Таблица3[[#This Row],[№ акта]],$AJ$1:$BJ$691,18,FALSE)</f>
        <v>ГРК (богара)</v>
      </c>
      <c r="X72" s="502" t="str">
        <f>VLOOKUP(Таблица3[[#This Row],[№ акта]],$AJ$1:$BJ$691,19,FALSE)</f>
        <v>богара</v>
      </c>
      <c r="Y72" s="503">
        <f>VLOOKUP(Таблица3[[#This Row],[№ акта]],$AJ$1:$BJ$691,20,FALSE)</f>
        <v>5</v>
      </c>
      <c r="Z72" s="504">
        <f>VLOOKUP(Таблица3[[#This Row],[№ акта]],$AJ$1:$BJ$691,21,FALSE)</f>
        <v>46181</v>
      </c>
      <c r="AA72" s="504"/>
      <c r="AB72" s="504" t="str">
        <f>IF(VLOOKUP(Таблица3[[#This Row],[№ акта]],$AJ$1:$BJ$691,23,FALSE)&lt;&gt;0,VLOOKUP(Таблица3[[#This Row],[№ акта]],$AJ$1:$BJ$691,23,FALSE),"-")</f>
        <v>-</v>
      </c>
      <c r="AC7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72" s="506" t="s">
        <v>2940</v>
      </c>
      <c r="AE72" s="505">
        <v>85</v>
      </c>
      <c r="AF72" s="507">
        <v>46181</v>
      </c>
      <c r="AG72" s="505">
        <v>71</v>
      </c>
      <c r="AH72" s="505">
        <f>IFERROR(VLOOKUP(Таблица3[[#This Row],[№ акта]],'Степень зрелости 2026'!$H$12:$I$800,2,FALSE),)</f>
        <v>48</v>
      </c>
      <c r="AJ72" s="508">
        <v>85</v>
      </c>
      <c r="AK72" s="509">
        <v>46181</v>
      </c>
      <c r="AL72" s="508">
        <v>136</v>
      </c>
      <c r="AO72" s="508">
        <v>13650</v>
      </c>
      <c r="AP72" s="508">
        <v>11124.7</v>
      </c>
      <c r="AQ72" s="508" t="s">
        <v>2939</v>
      </c>
      <c r="AR72" s="508" t="s">
        <v>524</v>
      </c>
      <c r="AS72" s="508" t="s">
        <v>2968</v>
      </c>
      <c r="AT72" s="508" t="s">
        <v>195</v>
      </c>
      <c r="AV72" s="508" t="s">
        <v>199</v>
      </c>
      <c r="AX72" s="508" t="s">
        <v>2968</v>
      </c>
      <c r="AY72" s="508" t="s">
        <v>524</v>
      </c>
      <c r="AZ72" s="508">
        <v>2.2999999999999998</v>
      </c>
      <c r="BA72" s="508" t="s">
        <v>46</v>
      </c>
      <c r="BB72" s="508" t="s">
        <v>19</v>
      </c>
      <c r="BC72" s="508">
        <v>5</v>
      </c>
      <c r="BD72" s="509">
        <v>46181</v>
      </c>
      <c r="BG72" s="508" t="s">
        <v>3557</v>
      </c>
      <c r="BH72" s="508" t="s">
        <v>2940</v>
      </c>
      <c r="BI72" s="508">
        <v>71</v>
      </c>
      <c r="BJ72" s="508">
        <v>48</v>
      </c>
    </row>
    <row r="73" spans="1:62" s="508" customFormat="1" ht="14.25" hidden="1" customHeight="1" x14ac:dyDescent="0.2">
      <c r="A73" s="495" t="s">
        <v>102</v>
      </c>
      <c r="B73" s="496"/>
      <c r="C73" s="497">
        <f>Таблица3[[#This Row],[Степень зрелости вспом]]</f>
        <v>48</v>
      </c>
      <c r="D73" s="498">
        <v>137</v>
      </c>
      <c r="E73" s="499"/>
      <c r="F73" s="496"/>
      <c r="G73" s="496">
        <v>13630</v>
      </c>
      <c r="H73" s="500"/>
      <c r="I73" s="496">
        <v>11517.3</v>
      </c>
      <c r="J73" s="495" t="s">
        <v>2939</v>
      </c>
      <c r="K73" s="495" t="s">
        <v>524</v>
      </c>
      <c r="L73" s="495" t="s">
        <v>2968</v>
      </c>
      <c r="M73" s="495" t="s">
        <v>234</v>
      </c>
      <c r="N73" s="495"/>
      <c r="O73" s="495"/>
      <c r="P73" s="495"/>
      <c r="Q73" s="495"/>
      <c r="R73" s="501" t="s">
        <v>238</v>
      </c>
      <c r="S73" s="495"/>
      <c r="T73" s="482" t="str">
        <f>VLOOKUP(Таблица3[[#This Row],[№ акта]],$AJ$1:$BJ$691,15,FALSE)</f>
        <v>А-3</v>
      </c>
      <c r="U73" s="482" t="str">
        <f>VLOOKUP(Таблица3[[#This Row],[№ акта]],$AJ$1:$BJ$691,16,FALSE)</f>
        <v>Авола</v>
      </c>
      <c r="V73" s="502">
        <f>VLOOKUP(Таблица3[[#This Row],[№ акта]],$AJ$1:$BJ$691,17,FALSE)</f>
        <v>2.2999999999999998</v>
      </c>
      <c r="W73" s="502" t="str">
        <f>VLOOKUP(Таблица3[[#This Row],[№ акта]],$AJ$1:$BJ$691,18,FALSE)</f>
        <v>ГРК (богара)</v>
      </c>
      <c r="X73" s="502" t="str">
        <f>VLOOKUP(Таблица3[[#This Row],[№ акта]],$AJ$1:$BJ$691,19,FALSE)</f>
        <v>богара</v>
      </c>
      <c r="Y73" s="503">
        <f>VLOOKUP(Таблица3[[#This Row],[№ акта]],$AJ$1:$BJ$691,20,FALSE)</f>
        <v>5</v>
      </c>
      <c r="Z73" s="504">
        <f>VLOOKUP(Таблица3[[#This Row],[№ акта]],$AJ$1:$BJ$691,21,FALSE)</f>
        <v>46181</v>
      </c>
      <c r="AA73" s="504"/>
      <c r="AB73" s="504" t="str">
        <f>IF(VLOOKUP(Таблица3[[#This Row],[№ акта]],$AJ$1:$BJ$691,23,FALSE)&lt;&gt;0,VLOOKUP(Таблица3[[#This Row],[№ акта]],$AJ$1:$BJ$691,23,FALSE),"-")</f>
        <v>-</v>
      </c>
      <c r="AC7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73" s="506" t="s">
        <v>2940</v>
      </c>
      <c r="AE73" s="505">
        <v>86</v>
      </c>
      <c r="AF73" s="507">
        <v>46181</v>
      </c>
      <c r="AG73" s="505">
        <v>72</v>
      </c>
      <c r="AH73" s="505">
        <f>IFERROR(VLOOKUP(Таблица3[[#This Row],[№ акта]],'Степень зрелости 2026'!$H$12:$I$800,2,FALSE),)</f>
        <v>48</v>
      </c>
      <c r="AJ73" s="508">
        <v>86</v>
      </c>
      <c r="AK73" s="509">
        <v>46181</v>
      </c>
      <c r="AL73" s="508">
        <v>137</v>
      </c>
      <c r="AO73" s="508">
        <v>13630</v>
      </c>
      <c r="AP73" s="508">
        <v>11517.3</v>
      </c>
      <c r="AQ73" s="508" t="s">
        <v>2939</v>
      </c>
      <c r="AR73" s="508" t="s">
        <v>524</v>
      </c>
      <c r="AS73" s="508" t="s">
        <v>2968</v>
      </c>
      <c r="AT73" s="508" t="s">
        <v>234</v>
      </c>
      <c r="AV73" s="508" t="s">
        <v>238</v>
      </c>
      <c r="AX73" s="508" t="s">
        <v>2968</v>
      </c>
      <c r="AY73" s="508" t="s">
        <v>524</v>
      </c>
      <c r="AZ73" s="508">
        <v>2.2999999999999998</v>
      </c>
      <c r="BA73" s="508" t="s">
        <v>46</v>
      </c>
      <c r="BB73" s="508" t="s">
        <v>19</v>
      </c>
      <c r="BC73" s="508">
        <v>5</v>
      </c>
      <c r="BD73" s="509">
        <v>46181</v>
      </c>
      <c r="BG73" s="508" t="s">
        <v>3557</v>
      </c>
      <c r="BH73" s="508" t="s">
        <v>2940</v>
      </c>
      <c r="BI73" s="508">
        <v>72</v>
      </c>
      <c r="BJ73" s="508">
        <v>48</v>
      </c>
    </row>
    <row r="74" spans="1:62" s="508" customFormat="1" ht="14.25" hidden="1" customHeight="1" x14ac:dyDescent="0.2">
      <c r="A74" s="495" t="s">
        <v>102</v>
      </c>
      <c r="B74" s="496"/>
      <c r="C74" s="497">
        <f>Таблица3[[#This Row],[Степень зрелости вспом]]</f>
        <v>49</v>
      </c>
      <c r="D74" s="498">
        <v>138</v>
      </c>
      <c r="E74" s="499"/>
      <c r="F74" s="496"/>
      <c r="G74" s="496">
        <v>6730</v>
      </c>
      <c r="H74" s="500"/>
      <c r="I74" s="496">
        <v>5653.2</v>
      </c>
      <c r="J74" s="495" t="s">
        <v>2939</v>
      </c>
      <c r="K74" s="495" t="s">
        <v>524</v>
      </c>
      <c r="L74" s="495" t="s">
        <v>2968</v>
      </c>
      <c r="M74" s="495" t="s">
        <v>329</v>
      </c>
      <c r="N74" s="495"/>
      <c r="O74" s="495"/>
      <c r="P74" s="495"/>
      <c r="Q74" s="495"/>
      <c r="R74" s="501" t="s">
        <v>333</v>
      </c>
      <c r="S74" s="495"/>
      <c r="T74" s="482" t="str">
        <f>VLOOKUP(Таблица3[[#This Row],[№ акта]],$AJ$1:$BJ$691,15,FALSE)</f>
        <v>А-3</v>
      </c>
      <c r="U74" s="482" t="str">
        <f>VLOOKUP(Таблица3[[#This Row],[№ акта]],$AJ$1:$BJ$691,16,FALSE)</f>
        <v>Авола</v>
      </c>
      <c r="V74" s="502">
        <f>VLOOKUP(Таблица3[[#This Row],[№ акта]],$AJ$1:$BJ$691,17,FALSE)</f>
        <v>1.1000000000000001</v>
      </c>
      <c r="W74" s="502" t="str">
        <f>VLOOKUP(Таблица3[[#This Row],[№ акта]],$AJ$1:$BJ$691,18,FALSE)</f>
        <v>ГРК (богара)</v>
      </c>
      <c r="X74" s="502" t="str">
        <f>VLOOKUP(Таблица3[[#This Row],[№ акта]],$AJ$1:$BJ$691,19,FALSE)</f>
        <v>богара</v>
      </c>
      <c r="Y74" s="503">
        <f>VLOOKUP(Таблица3[[#This Row],[№ акта]],$AJ$1:$BJ$691,20,FALSE)</f>
        <v>5</v>
      </c>
      <c r="Z74" s="504">
        <f>VLOOKUP(Таблица3[[#This Row],[№ акта]],$AJ$1:$BJ$691,21,FALSE)</f>
        <v>46181</v>
      </c>
      <c r="AA74" s="504"/>
      <c r="AB74" s="504" t="str">
        <f>IF(VLOOKUP(Таблица3[[#This Row],[№ акта]],$AJ$1:$BJ$691,23,FALSE)&lt;&gt;0,VLOOKUP(Таблица3[[#This Row],[№ акта]],$AJ$1:$BJ$691,23,FALSE),"-")</f>
        <v>-</v>
      </c>
      <c r="AC7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74" s="506" t="s">
        <v>2940</v>
      </c>
      <c r="AE74" s="505">
        <v>87</v>
      </c>
      <c r="AF74" s="507">
        <v>46181</v>
      </c>
      <c r="AG74" s="505">
        <v>73</v>
      </c>
      <c r="AH74" s="505">
        <f>IFERROR(VLOOKUP(Таблица3[[#This Row],[№ акта]],'Степень зрелости 2026'!$H$12:$I$800,2,FALSE),)</f>
        <v>49</v>
      </c>
      <c r="AJ74" s="508">
        <v>87</v>
      </c>
      <c r="AK74" s="509">
        <v>46181</v>
      </c>
      <c r="AL74" s="508">
        <v>138</v>
      </c>
      <c r="AO74" s="508">
        <v>6730</v>
      </c>
      <c r="AP74" s="508">
        <v>5653.2</v>
      </c>
      <c r="AQ74" s="508" t="s">
        <v>2939</v>
      </c>
      <c r="AR74" s="508" t="s">
        <v>524</v>
      </c>
      <c r="AS74" s="508" t="s">
        <v>2968</v>
      </c>
      <c r="AT74" s="508" t="s">
        <v>329</v>
      </c>
      <c r="AV74" s="508" t="s">
        <v>333</v>
      </c>
      <c r="AX74" s="508" t="s">
        <v>2968</v>
      </c>
      <c r="AY74" s="508" t="s">
        <v>524</v>
      </c>
      <c r="AZ74" s="508">
        <v>1.1000000000000001</v>
      </c>
      <c r="BA74" s="508" t="s">
        <v>46</v>
      </c>
      <c r="BB74" s="508" t="s">
        <v>19</v>
      </c>
      <c r="BC74" s="508">
        <v>5</v>
      </c>
      <c r="BD74" s="509">
        <v>46181</v>
      </c>
      <c r="BG74" s="508" t="s">
        <v>3557</v>
      </c>
      <c r="BH74" s="508" t="s">
        <v>2940</v>
      </c>
      <c r="BI74" s="508">
        <v>73</v>
      </c>
      <c r="BJ74" s="508">
        <v>49</v>
      </c>
    </row>
    <row r="75" spans="1:62" s="508" customFormat="1" ht="14.25" hidden="1" customHeight="1" x14ac:dyDescent="0.2">
      <c r="A75" s="495" t="s">
        <v>102</v>
      </c>
      <c r="B75" s="496"/>
      <c r="C75" s="497">
        <f>Таблица3[[#This Row],[Степень зрелости вспом]]</f>
        <v>49</v>
      </c>
      <c r="D75" s="498">
        <v>140</v>
      </c>
      <c r="E75" s="499"/>
      <c r="F75" s="496"/>
      <c r="G75" s="496">
        <v>6820</v>
      </c>
      <c r="H75" s="500"/>
      <c r="I75" s="496">
        <v>5558.3</v>
      </c>
      <c r="J75" s="495" t="s">
        <v>2939</v>
      </c>
      <c r="K75" s="495" t="s">
        <v>524</v>
      </c>
      <c r="L75" s="495" t="s">
        <v>2968</v>
      </c>
      <c r="M75" s="495" t="s">
        <v>329</v>
      </c>
      <c r="N75" s="495"/>
      <c r="O75" s="495"/>
      <c r="P75" s="495"/>
      <c r="Q75" s="495"/>
      <c r="R75" s="501" t="s">
        <v>333</v>
      </c>
      <c r="S75" s="495"/>
      <c r="T75" s="482" t="str">
        <f>VLOOKUP(Таблица3[[#This Row],[№ акта]],$AJ$1:$BJ$691,15,FALSE)</f>
        <v>А-3</v>
      </c>
      <c r="U75" s="482" t="str">
        <f>VLOOKUP(Таблица3[[#This Row],[№ акта]],$AJ$1:$BJ$691,16,FALSE)</f>
        <v>Авола</v>
      </c>
      <c r="V75" s="502">
        <f>VLOOKUP(Таблица3[[#This Row],[№ акта]],$AJ$1:$BJ$691,17,FALSE)</f>
        <v>1.1000000000000001</v>
      </c>
      <c r="W75" s="502" t="str">
        <f>VLOOKUP(Таблица3[[#This Row],[№ акта]],$AJ$1:$BJ$691,18,FALSE)</f>
        <v>ГРК (богара)</v>
      </c>
      <c r="X75" s="502" t="str">
        <f>VLOOKUP(Таблица3[[#This Row],[№ акта]],$AJ$1:$BJ$691,19,FALSE)</f>
        <v>богара</v>
      </c>
      <c r="Y75" s="503">
        <f>VLOOKUP(Таблица3[[#This Row],[№ акта]],$AJ$1:$BJ$691,20,FALSE)</f>
        <v>5</v>
      </c>
      <c r="Z75" s="504">
        <f>VLOOKUP(Таблица3[[#This Row],[№ акта]],$AJ$1:$BJ$691,21,FALSE)</f>
        <v>46181</v>
      </c>
      <c r="AA75" s="504"/>
      <c r="AB75" s="504" t="str">
        <f>IF(VLOOKUP(Таблица3[[#This Row],[№ акта]],$AJ$1:$BJ$691,23,FALSE)&lt;&gt;0,VLOOKUP(Таблица3[[#This Row],[№ акта]],$AJ$1:$BJ$691,23,FALSE),"-")</f>
        <v>-</v>
      </c>
      <c r="AC7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75" s="506" t="s">
        <v>2940</v>
      </c>
      <c r="AE75" s="505">
        <v>88</v>
      </c>
      <c r="AF75" s="507">
        <v>46181</v>
      </c>
      <c r="AG75" s="505">
        <v>74</v>
      </c>
      <c r="AH75" s="505">
        <f>IFERROR(VLOOKUP(Таблица3[[#This Row],[№ акта]],'Степень зрелости 2026'!$H$12:$I$800,2,FALSE),)</f>
        <v>49</v>
      </c>
      <c r="AJ75" s="508">
        <v>88</v>
      </c>
      <c r="AK75" s="509">
        <v>46181</v>
      </c>
      <c r="AL75" s="508">
        <v>140</v>
      </c>
      <c r="AO75" s="508">
        <v>6820</v>
      </c>
      <c r="AP75" s="508">
        <v>5558.3</v>
      </c>
      <c r="AQ75" s="508" t="s">
        <v>2939</v>
      </c>
      <c r="AR75" s="508" t="s">
        <v>524</v>
      </c>
      <c r="AS75" s="508" t="s">
        <v>2968</v>
      </c>
      <c r="AT75" s="508" t="s">
        <v>329</v>
      </c>
      <c r="AV75" s="508" t="s">
        <v>333</v>
      </c>
      <c r="AX75" s="508" t="s">
        <v>2968</v>
      </c>
      <c r="AY75" s="508" t="s">
        <v>524</v>
      </c>
      <c r="AZ75" s="508">
        <v>1.1000000000000001</v>
      </c>
      <c r="BA75" s="508" t="s">
        <v>46</v>
      </c>
      <c r="BB75" s="508" t="s">
        <v>19</v>
      </c>
      <c r="BC75" s="508">
        <v>5</v>
      </c>
      <c r="BD75" s="509">
        <v>46181</v>
      </c>
      <c r="BG75" s="508" t="s">
        <v>3557</v>
      </c>
      <c r="BH75" s="508" t="s">
        <v>2940</v>
      </c>
      <c r="BI75" s="508">
        <v>74</v>
      </c>
      <c r="BJ75" s="508">
        <v>49</v>
      </c>
    </row>
    <row r="76" spans="1:62" s="508" customFormat="1" ht="14.25" hidden="1" customHeight="1" x14ac:dyDescent="0.2">
      <c r="A76" s="495" t="s">
        <v>102</v>
      </c>
      <c r="B76" s="496"/>
      <c r="C76" s="497">
        <f>Таблица3[[#This Row],[Степень зрелости вспом]]</f>
        <v>50</v>
      </c>
      <c r="D76" s="498">
        <v>141</v>
      </c>
      <c r="E76" s="499"/>
      <c r="F76" s="496"/>
      <c r="G76" s="496">
        <v>13350</v>
      </c>
      <c r="H76" s="500"/>
      <c r="I76" s="496">
        <v>11547.7</v>
      </c>
      <c r="J76" s="495" t="s">
        <v>2939</v>
      </c>
      <c r="K76" s="495" t="s">
        <v>524</v>
      </c>
      <c r="L76" s="495" t="s">
        <v>2968</v>
      </c>
      <c r="M76" s="495" t="s">
        <v>195</v>
      </c>
      <c r="N76" s="495"/>
      <c r="O76" s="495"/>
      <c r="P76" s="495"/>
      <c r="Q76" s="495"/>
      <c r="R76" s="501" t="s">
        <v>199</v>
      </c>
      <c r="S76" s="495"/>
      <c r="T76" s="482" t="str">
        <f>VLOOKUP(Таблица3[[#This Row],[№ акта]],$AJ$1:$BJ$691,15,FALSE)</f>
        <v>А-3</v>
      </c>
      <c r="U76" s="482" t="str">
        <f>VLOOKUP(Таблица3[[#This Row],[№ акта]],$AJ$1:$BJ$691,16,FALSE)</f>
        <v>Авола</v>
      </c>
      <c r="V76" s="502">
        <f>VLOOKUP(Таблица3[[#This Row],[№ акта]],$AJ$1:$BJ$691,17,FALSE)</f>
        <v>2.2000000000000002</v>
      </c>
      <c r="W76" s="502" t="str">
        <f>VLOOKUP(Таблица3[[#This Row],[№ акта]],$AJ$1:$BJ$691,18,FALSE)</f>
        <v>ГРК (богара)</v>
      </c>
      <c r="X76" s="502" t="str">
        <f>VLOOKUP(Таблица3[[#This Row],[№ акта]],$AJ$1:$BJ$691,19,FALSE)</f>
        <v>богара</v>
      </c>
      <c r="Y76" s="503">
        <f>VLOOKUP(Таблица3[[#This Row],[№ акта]],$AJ$1:$BJ$691,20,FALSE)</f>
        <v>5</v>
      </c>
      <c r="Z76" s="504">
        <f>VLOOKUP(Таблица3[[#This Row],[№ акта]],$AJ$1:$BJ$691,21,FALSE)</f>
        <v>46181</v>
      </c>
      <c r="AA76" s="504"/>
      <c r="AB76" s="504" t="str">
        <f>IF(VLOOKUP(Таблица3[[#This Row],[№ акта]],$AJ$1:$BJ$691,23,FALSE)&lt;&gt;0,VLOOKUP(Таблица3[[#This Row],[№ акта]],$AJ$1:$BJ$691,23,FALSE),"-")</f>
        <v>-</v>
      </c>
      <c r="AC7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76" s="506" t="s">
        <v>2940</v>
      </c>
      <c r="AE76" s="505">
        <v>89</v>
      </c>
      <c r="AF76" s="507">
        <v>46181</v>
      </c>
      <c r="AG76" s="505">
        <v>75</v>
      </c>
      <c r="AH76" s="505">
        <f>IFERROR(VLOOKUP(Таблица3[[#This Row],[№ акта]],'Степень зрелости 2026'!$H$12:$I$800,2,FALSE),)</f>
        <v>50</v>
      </c>
      <c r="AJ76" s="508">
        <v>89</v>
      </c>
      <c r="AK76" s="509">
        <v>46181</v>
      </c>
      <c r="AL76" s="508">
        <v>141</v>
      </c>
      <c r="AO76" s="508">
        <v>13350</v>
      </c>
      <c r="AP76" s="508">
        <v>11547.7</v>
      </c>
      <c r="AQ76" s="508" t="s">
        <v>2939</v>
      </c>
      <c r="AR76" s="508" t="s">
        <v>524</v>
      </c>
      <c r="AS76" s="508" t="s">
        <v>2968</v>
      </c>
      <c r="AT76" s="508" t="s">
        <v>195</v>
      </c>
      <c r="AV76" s="508" t="s">
        <v>199</v>
      </c>
      <c r="AX76" s="508" t="s">
        <v>2968</v>
      </c>
      <c r="AY76" s="508" t="s">
        <v>524</v>
      </c>
      <c r="AZ76" s="508">
        <v>2.2000000000000002</v>
      </c>
      <c r="BA76" s="508" t="s">
        <v>46</v>
      </c>
      <c r="BB76" s="508" t="s">
        <v>19</v>
      </c>
      <c r="BC76" s="508">
        <v>5</v>
      </c>
      <c r="BD76" s="509">
        <v>46181</v>
      </c>
      <c r="BG76" s="508" t="s">
        <v>3557</v>
      </c>
      <c r="BH76" s="508" t="s">
        <v>2940</v>
      </c>
      <c r="BI76" s="508">
        <v>75</v>
      </c>
      <c r="BJ76" s="508">
        <v>50</v>
      </c>
    </row>
    <row r="77" spans="1:62" s="508" customFormat="1" ht="14.25" hidden="1" customHeight="1" x14ac:dyDescent="0.2">
      <c r="A77" s="495" t="s">
        <v>102</v>
      </c>
      <c r="B77" s="496"/>
      <c r="C77" s="497">
        <f>Таблица3[[#This Row],[Степень зрелости вспом]]</f>
        <v>51</v>
      </c>
      <c r="D77" s="498">
        <v>143</v>
      </c>
      <c r="E77" s="499"/>
      <c r="F77" s="496"/>
      <c r="G77" s="496">
        <v>13560</v>
      </c>
      <c r="H77" s="500"/>
      <c r="I77" s="496">
        <v>10915.8</v>
      </c>
      <c r="J77" s="495" t="s">
        <v>2939</v>
      </c>
      <c r="K77" s="495" t="s">
        <v>524</v>
      </c>
      <c r="L77" s="495" t="s">
        <v>2968</v>
      </c>
      <c r="M77" s="495" t="s">
        <v>234</v>
      </c>
      <c r="N77" s="495"/>
      <c r="O77" s="495"/>
      <c r="P77" s="495"/>
      <c r="Q77" s="495"/>
      <c r="R77" s="501" t="s">
        <v>238</v>
      </c>
      <c r="S77" s="495"/>
      <c r="T77" s="482" t="str">
        <f>VLOOKUP(Таблица3[[#This Row],[№ акта]],$AJ$1:$BJ$691,15,FALSE)</f>
        <v>А-3</v>
      </c>
      <c r="U77" s="482" t="str">
        <f>VLOOKUP(Таблица3[[#This Row],[№ акта]],$AJ$1:$BJ$691,16,FALSE)</f>
        <v>Авола</v>
      </c>
      <c r="V77" s="502">
        <f>VLOOKUP(Таблица3[[#This Row],[№ акта]],$AJ$1:$BJ$691,17,FALSE)</f>
        <v>2.2999999999999998</v>
      </c>
      <c r="W77" s="502" t="str">
        <f>VLOOKUP(Таблица3[[#This Row],[№ акта]],$AJ$1:$BJ$691,18,FALSE)</f>
        <v>ГРК (богара)</v>
      </c>
      <c r="X77" s="502" t="str">
        <f>VLOOKUP(Таблица3[[#This Row],[№ акта]],$AJ$1:$BJ$691,19,FALSE)</f>
        <v>богара</v>
      </c>
      <c r="Y77" s="503">
        <f>VLOOKUP(Таблица3[[#This Row],[№ акта]],$AJ$1:$BJ$691,20,FALSE)</f>
        <v>5</v>
      </c>
      <c r="Z77" s="504">
        <f>VLOOKUP(Таблица3[[#This Row],[№ акта]],$AJ$1:$BJ$691,21,FALSE)</f>
        <v>46181</v>
      </c>
      <c r="AA77" s="504"/>
      <c r="AB77" s="504" t="str">
        <f>IF(VLOOKUP(Таблица3[[#This Row],[№ акта]],$AJ$1:$BJ$691,23,FALSE)&lt;&gt;0,VLOOKUP(Таблица3[[#This Row],[№ акта]],$AJ$1:$BJ$691,23,FALSE),"-")</f>
        <v>-</v>
      </c>
      <c r="AC7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77" s="506" t="s">
        <v>2940</v>
      </c>
      <c r="AE77" s="505">
        <v>90</v>
      </c>
      <c r="AF77" s="507">
        <v>46181</v>
      </c>
      <c r="AG77" s="505">
        <v>76</v>
      </c>
      <c r="AH77" s="505">
        <f>IFERROR(VLOOKUP(Таблица3[[#This Row],[№ акта]],'Степень зрелости 2026'!$H$12:$I$800,2,FALSE),)</f>
        <v>51</v>
      </c>
      <c r="AJ77" s="508">
        <v>90</v>
      </c>
      <c r="AK77" s="509">
        <v>46181</v>
      </c>
      <c r="AL77" s="508">
        <v>143</v>
      </c>
      <c r="AO77" s="508">
        <v>13560</v>
      </c>
      <c r="AP77" s="508">
        <v>10915.8</v>
      </c>
      <c r="AQ77" s="508" t="s">
        <v>2939</v>
      </c>
      <c r="AR77" s="508" t="s">
        <v>524</v>
      </c>
      <c r="AS77" s="508" t="s">
        <v>2968</v>
      </c>
      <c r="AT77" s="508" t="s">
        <v>234</v>
      </c>
      <c r="AV77" s="508" t="s">
        <v>238</v>
      </c>
      <c r="AX77" s="508" t="s">
        <v>2968</v>
      </c>
      <c r="AY77" s="508" t="s">
        <v>524</v>
      </c>
      <c r="AZ77" s="508">
        <v>2.2999999999999998</v>
      </c>
      <c r="BA77" s="508" t="s">
        <v>46</v>
      </c>
      <c r="BB77" s="508" t="s">
        <v>19</v>
      </c>
      <c r="BC77" s="508">
        <v>5</v>
      </c>
      <c r="BD77" s="509">
        <v>46181</v>
      </c>
      <c r="BG77" s="508" t="s">
        <v>3557</v>
      </c>
      <c r="BH77" s="508" t="s">
        <v>2940</v>
      </c>
      <c r="BI77" s="508">
        <v>76</v>
      </c>
      <c r="BJ77" s="508">
        <v>51</v>
      </c>
    </row>
    <row r="78" spans="1:62" s="508" customFormat="1" ht="14.25" hidden="1" customHeight="1" x14ac:dyDescent="0.2">
      <c r="A78" s="495" t="s">
        <v>102</v>
      </c>
      <c r="B78" s="496"/>
      <c r="C78" s="497">
        <f>Таблица3[[#This Row],[Степень зрелости вспом]]</f>
        <v>49</v>
      </c>
      <c r="D78" s="498">
        <v>144</v>
      </c>
      <c r="E78" s="499"/>
      <c r="F78" s="496"/>
      <c r="G78" s="496">
        <v>13690</v>
      </c>
      <c r="H78" s="500"/>
      <c r="I78" s="496">
        <v>11362.7</v>
      </c>
      <c r="J78" s="495" t="s">
        <v>2939</v>
      </c>
      <c r="K78" s="495" t="s">
        <v>524</v>
      </c>
      <c r="L78" s="495" t="s">
        <v>2968</v>
      </c>
      <c r="M78" s="495" t="s">
        <v>329</v>
      </c>
      <c r="N78" s="495"/>
      <c r="O78" s="495"/>
      <c r="P78" s="495"/>
      <c r="Q78" s="495"/>
      <c r="R78" s="501" t="s">
        <v>333</v>
      </c>
      <c r="S78" s="495"/>
      <c r="T78" s="482" t="str">
        <f>VLOOKUP(Таблица3[[#This Row],[№ акта]],$AJ$1:$BJ$691,15,FALSE)</f>
        <v>А-3</v>
      </c>
      <c r="U78" s="482" t="str">
        <f>VLOOKUP(Таблица3[[#This Row],[№ акта]],$AJ$1:$BJ$691,16,FALSE)</f>
        <v>Авола</v>
      </c>
      <c r="V78" s="502">
        <f>VLOOKUP(Таблица3[[#This Row],[№ акта]],$AJ$1:$BJ$691,17,FALSE)</f>
        <v>2.2999999999999998</v>
      </c>
      <c r="W78" s="502" t="str">
        <f>VLOOKUP(Таблица3[[#This Row],[№ акта]],$AJ$1:$BJ$691,18,FALSE)</f>
        <v>ГРК (богара)</v>
      </c>
      <c r="X78" s="502" t="str">
        <f>VLOOKUP(Таблица3[[#This Row],[№ акта]],$AJ$1:$BJ$691,19,FALSE)</f>
        <v>богара</v>
      </c>
      <c r="Y78" s="503">
        <f>VLOOKUP(Таблица3[[#This Row],[№ акта]],$AJ$1:$BJ$691,20,FALSE)</f>
        <v>5</v>
      </c>
      <c r="Z78" s="504">
        <f>VLOOKUP(Таблица3[[#This Row],[№ акта]],$AJ$1:$BJ$691,21,FALSE)</f>
        <v>46181</v>
      </c>
      <c r="AA78" s="504"/>
      <c r="AB78" s="504" t="str">
        <f>IF(VLOOKUP(Таблица3[[#This Row],[№ акта]],$AJ$1:$BJ$691,23,FALSE)&lt;&gt;0,VLOOKUP(Таблица3[[#This Row],[№ акта]],$AJ$1:$BJ$691,23,FALSE),"-")</f>
        <v>-</v>
      </c>
      <c r="AC7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78" s="506" t="s">
        <v>2940</v>
      </c>
      <c r="AE78" s="505">
        <v>91</v>
      </c>
      <c r="AF78" s="507">
        <v>46181</v>
      </c>
      <c r="AG78" s="505">
        <v>77</v>
      </c>
      <c r="AH78" s="505">
        <f>IFERROR(VLOOKUP(Таблица3[[#This Row],[№ акта]],'Степень зрелости 2026'!$H$12:$I$800,2,FALSE),)</f>
        <v>49</v>
      </c>
      <c r="AJ78" s="508">
        <v>91</v>
      </c>
      <c r="AK78" s="509">
        <v>46181</v>
      </c>
      <c r="AL78" s="508">
        <v>144</v>
      </c>
      <c r="AO78" s="508">
        <v>13690</v>
      </c>
      <c r="AP78" s="508">
        <v>11362.7</v>
      </c>
      <c r="AQ78" s="508" t="s">
        <v>2939</v>
      </c>
      <c r="AR78" s="508" t="s">
        <v>524</v>
      </c>
      <c r="AS78" s="508" t="s">
        <v>2968</v>
      </c>
      <c r="AT78" s="508" t="s">
        <v>329</v>
      </c>
      <c r="AV78" s="508" t="s">
        <v>333</v>
      </c>
      <c r="AX78" s="508" t="s">
        <v>2968</v>
      </c>
      <c r="AY78" s="508" t="s">
        <v>524</v>
      </c>
      <c r="AZ78" s="508">
        <v>2.2999999999999998</v>
      </c>
      <c r="BA78" s="508" t="s">
        <v>46</v>
      </c>
      <c r="BB78" s="508" t="s">
        <v>19</v>
      </c>
      <c r="BC78" s="508">
        <v>5</v>
      </c>
      <c r="BD78" s="509">
        <v>46181</v>
      </c>
      <c r="BG78" s="508" t="s">
        <v>3557</v>
      </c>
      <c r="BH78" s="508" t="s">
        <v>2940</v>
      </c>
      <c r="BI78" s="508">
        <v>77</v>
      </c>
      <c r="BJ78" s="508">
        <v>49</v>
      </c>
    </row>
    <row r="79" spans="1:62" s="508" customFormat="1" ht="14.25" hidden="1" customHeight="1" x14ac:dyDescent="0.2">
      <c r="A79" s="495" t="s">
        <v>102</v>
      </c>
      <c r="B79" s="496"/>
      <c r="C79" s="497">
        <f>Таблица3[[#This Row],[Степень зрелости вспом]]</f>
        <v>51</v>
      </c>
      <c r="D79" s="498">
        <v>146</v>
      </c>
      <c r="E79" s="499"/>
      <c r="F79" s="496"/>
      <c r="G79" s="496">
        <v>13980</v>
      </c>
      <c r="H79" s="500"/>
      <c r="I79" s="496">
        <v>11952.9</v>
      </c>
      <c r="J79" s="495" t="s">
        <v>2939</v>
      </c>
      <c r="K79" s="495" t="s">
        <v>524</v>
      </c>
      <c r="L79" s="495" t="s">
        <v>2968</v>
      </c>
      <c r="M79" s="495" t="s">
        <v>195</v>
      </c>
      <c r="N79" s="495"/>
      <c r="O79" s="495"/>
      <c r="P79" s="495"/>
      <c r="Q79" s="495"/>
      <c r="R79" s="501" t="s">
        <v>199</v>
      </c>
      <c r="S79" s="495"/>
      <c r="T79" s="482" t="str">
        <f>VLOOKUP(Таблица3[[#This Row],[№ акта]],$AJ$1:$BJ$691,15,FALSE)</f>
        <v>А-3</v>
      </c>
      <c r="U79" s="482" t="str">
        <f>VLOOKUP(Таблица3[[#This Row],[№ акта]],$AJ$1:$BJ$691,16,FALSE)</f>
        <v>Авола</v>
      </c>
      <c r="V79" s="502">
        <f>VLOOKUP(Таблица3[[#This Row],[№ акта]],$AJ$1:$BJ$691,17,FALSE)</f>
        <v>2.2999999999999998</v>
      </c>
      <c r="W79" s="502" t="str">
        <f>VLOOKUP(Таблица3[[#This Row],[№ акта]],$AJ$1:$BJ$691,18,FALSE)</f>
        <v>ГРК (богара)</v>
      </c>
      <c r="X79" s="502" t="str">
        <f>VLOOKUP(Таблица3[[#This Row],[№ акта]],$AJ$1:$BJ$691,19,FALSE)</f>
        <v>богара</v>
      </c>
      <c r="Y79" s="503">
        <f>VLOOKUP(Таблица3[[#This Row],[№ акта]],$AJ$1:$BJ$691,20,FALSE)</f>
        <v>5</v>
      </c>
      <c r="Z79" s="504">
        <f>VLOOKUP(Таблица3[[#This Row],[№ акта]],$AJ$1:$BJ$691,21,FALSE)</f>
        <v>46181</v>
      </c>
      <c r="AA79" s="504"/>
      <c r="AB79" s="504" t="str">
        <f>IF(VLOOKUP(Таблица3[[#This Row],[№ акта]],$AJ$1:$BJ$691,23,FALSE)&lt;&gt;0,VLOOKUP(Таблица3[[#This Row],[№ акта]],$AJ$1:$BJ$691,23,FALSE),"-")</f>
        <v>-</v>
      </c>
      <c r="AC7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79" s="506" t="s">
        <v>2940</v>
      </c>
      <c r="AE79" s="505">
        <v>92</v>
      </c>
      <c r="AF79" s="507">
        <v>46181</v>
      </c>
      <c r="AG79" s="505">
        <v>78</v>
      </c>
      <c r="AH79" s="505">
        <f>IFERROR(VLOOKUP(Таблица3[[#This Row],[№ акта]],'Степень зрелости 2026'!$H$12:$I$800,2,FALSE),)</f>
        <v>51</v>
      </c>
      <c r="AJ79" s="508">
        <v>92</v>
      </c>
      <c r="AK79" s="509">
        <v>46181</v>
      </c>
      <c r="AL79" s="508">
        <v>146</v>
      </c>
      <c r="AO79" s="508">
        <v>13980</v>
      </c>
      <c r="AP79" s="508">
        <v>11952.9</v>
      </c>
      <c r="AQ79" s="508" t="s">
        <v>2939</v>
      </c>
      <c r="AR79" s="508" t="s">
        <v>524</v>
      </c>
      <c r="AS79" s="508" t="s">
        <v>2968</v>
      </c>
      <c r="AT79" s="508" t="s">
        <v>195</v>
      </c>
      <c r="AV79" s="508" t="s">
        <v>199</v>
      </c>
      <c r="AX79" s="508" t="s">
        <v>2968</v>
      </c>
      <c r="AY79" s="508" t="s">
        <v>524</v>
      </c>
      <c r="AZ79" s="508">
        <v>2.2999999999999998</v>
      </c>
      <c r="BA79" s="508" t="s">
        <v>46</v>
      </c>
      <c r="BB79" s="508" t="s">
        <v>19</v>
      </c>
      <c r="BC79" s="508">
        <v>5</v>
      </c>
      <c r="BD79" s="509">
        <v>46181</v>
      </c>
      <c r="BG79" s="508" t="s">
        <v>3557</v>
      </c>
      <c r="BH79" s="508" t="s">
        <v>2940</v>
      </c>
      <c r="BI79" s="508">
        <v>78</v>
      </c>
      <c r="BJ79" s="508">
        <v>51</v>
      </c>
    </row>
    <row r="80" spans="1:62" s="508" customFormat="1" ht="14.25" hidden="1" customHeight="1" x14ac:dyDescent="0.2">
      <c r="A80" s="495" t="s">
        <v>102</v>
      </c>
      <c r="B80" s="496"/>
      <c r="C80" s="497">
        <f>Таблица3[[#This Row],[Степень зрелости вспом]]</f>
        <v>50</v>
      </c>
      <c r="D80" s="498">
        <v>147</v>
      </c>
      <c r="E80" s="499"/>
      <c r="F80" s="496"/>
      <c r="G80" s="496">
        <v>13180</v>
      </c>
      <c r="H80" s="500"/>
      <c r="I80" s="496">
        <v>10873.5</v>
      </c>
      <c r="J80" s="495" t="s">
        <v>2939</v>
      </c>
      <c r="K80" s="495" t="s">
        <v>524</v>
      </c>
      <c r="L80" s="495" t="s">
        <v>2968</v>
      </c>
      <c r="M80" s="495" t="s">
        <v>234</v>
      </c>
      <c r="N80" s="495"/>
      <c r="O80" s="495"/>
      <c r="P80" s="495"/>
      <c r="Q80" s="495"/>
      <c r="R80" s="501" t="s">
        <v>238</v>
      </c>
      <c r="S80" s="495"/>
      <c r="T80" s="482" t="str">
        <f>VLOOKUP(Таблица3[[#This Row],[№ акта]],$AJ$1:$BJ$691,15,FALSE)</f>
        <v>А-3</v>
      </c>
      <c r="U80" s="482" t="str">
        <f>VLOOKUP(Таблица3[[#This Row],[№ акта]],$AJ$1:$BJ$691,16,FALSE)</f>
        <v>Авола</v>
      </c>
      <c r="V80" s="502">
        <f>VLOOKUP(Таблица3[[#This Row],[№ акта]],$AJ$1:$BJ$691,17,FALSE)</f>
        <v>2.2000000000000002</v>
      </c>
      <c r="W80" s="502" t="str">
        <f>VLOOKUP(Таблица3[[#This Row],[№ акта]],$AJ$1:$BJ$691,18,FALSE)</f>
        <v>ГРК (богара)</v>
      </c>
      <c r="X80" s="502" t="str">
        <f>VLOOKUP(Таблица3[[#This Row],[№ акта]],$AJ$1:$BJ$691,19,FALSE)</f>
        <v>богара</v>
      </c>
      <c r="Y80" s="503">
        <f>VLOOKUP(Таблица3[[#This Row],[№ акта]],$AJ$1:$BJ$691,20,FALSE)</f>
        <v>5</v>
      </c>
      <c r="Z80" s="504">
        <f>VLOOKUP(Таблица3[[#This Row],[№ акта]],$AJ$1:$BJ$691,21,FALSE)</f>
        <v>46181</v>
      </c>
      <c r="AA80" s="504"/>
      <c r="AB80" s="504" t="str">
        <f>IF(VLOOKUP(Таблица3[[#This Row],[№ акта]],$AJ$1:$BJ$691,23,FALSE)&lt;&gt;0,VLOOKUP(Таблица3[[#This Row],[№ акта]],$AJ$1:$BJ$691,23,FALSE),"-")</f>
        <v>-</v>
      </c>
      <c r="AC8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80" s="506" t="s">
        <v>2940</v>
      </c>
      <c r="AE80" s="505">
        <v>93</v>
      </c>
      <c r="AF80" s="507">
        <v>46181</v>
      </c>
      <c r="AG80" s="505">
        <v>79</v>
      </c>
      <c r="AH80" s="505">
        <f>IFERROR(VLOOKUP(Таблица3[[#This Row],[№ акта]],'Степень зрелости 2026'!$H$12:$I$800,2,FALSE),)</f>
        <v>50</v>
      </c>
      <c r="AJ80" s="508">
        <v>93</v>
      </c>
      <c r="AK80" s="509">
        <v>46181</v>
      </c>
      <c r="AL80" s="508">
        <v>147</v>
      </c>
      <c r="AO80" s="508">
        <v>13180</v>
      </c>
      <c r="AP80" s="508">
        <v>10873.5</v>
      </c>
      <c r="AQ80" s="508" t="s">
        <v>2939</v>
      </c>
      <c r="AR80" s="508" t="s">
        <v>524</v>
      </c>
      <c r="AS80" s="508" t="s">
        <v>2968</v>
      </c>
      <c r="AT80" s="508" t="s">
        <v>234</v>
      </c>
      <c r="AV80" s="508" t="s">
        <v>238</v>
      </c>
      <c r="AX80" s="508" t="s">
        <v>2968</v>
      </c>
      <c r="AY80" s="508" t="s">
        <v>524</v>
      </c>
      <c r="AZ80" s="508">
        <v>2.2000000000000002</v>
      </c>
      <c r="BA80" s="508" t="s">
        <v>46</v>
      </c>
      <c r="BB80" s="508" t="s">
        <v>19</v>
      </c>
      <c r="BC80" s="508">
        <v>5</v>
      </c>
      <c r="BD80" s="509">
        <v>46181</v>
      </c>
      <c r="BG80" s="508" t="s">
        <v>3557</v>
      </c>
      <c r="BH80" s="508" t="s">
        <v>2940</v>
      </c>
      <c r="BI80" s="508">
        <v>79</v>
      </c>
      <c r="BJ80" s="508">
        <v>50</v>
      </c>
    </row>
    <row r="81" spans="1:62" s="508" customFormat="1" ht="14.25" hidden="1" customHeight="1" x14ac:dyDescent="0.2">
      <c r="A81" s="495" t="s">
        <v>102</v>
      </c>
      <c r="B81" s="496"/>
      <c r="C81" s="497">
        <f>Таблица3[[#This Row],[Степень зрелости вспом]]</f>
        <v>48</v>
      </c>
      <c r="D81" s="498">
        <v>148</v>
      </c>
      <c r="E81" s="499"/>
      <c r="F81" s="496"/>
      <c r="G81" s="496">
        <v>13290</v>
      </c>
      <c r="H81" s="500"/>
      <c r="I81" s="496">
        <v>11230.1</v>
      </c>
      <c r="J81" s="495" t="s">
        <v>2939</v>
      </c>
      <c r="K81" s="495" t="s">
        <v>524</v>
      </c>
      <c r="L81" s="495" t="s">
        <v>2968</v>
      </c>
      <c r="M81" s="495" t="s">
        <v>121</v>
      </c>
      <c r="N81" s="495"/>
      <c r="O81" s="495"/>
      <c r="P81" s="495"/>
      <c r="Q81" s="495"/>
      <c r="R81" s="501" t="s">
        <v>125</v>
      </c>
      <c r="S81" s="495"/>
      <c r="T81" s="482" t="str">
        <f>VLOOKUP(Таблица3[[#This Row],[№ акта]],$AJ$1:$BJ$691,15,FALSE)</f>
        <v>А-3</v>
      </c>
      <c r="U81" s="482" t="str">
        <f>VLOOKUP(Таблица3[[#This Row],[№ акта]],$AJ$1:$BJ$691,16,FALSE)</f>
        <v>Авола</v>
      </c>
      <c r="V81" s="502">
        <f>VLOOKUP(Таблица3[[#This Row],[№ акта]],$AJ$1:$BJ$691,17,FALSE)</f>
        <v>2.2000000000000002</v>
      </c>
      <c r="W81" s="502" t="str">
        <f>VLOOKUP(Таблица3[[#This Row],[№ акта]],$AJ$1:$BJ$691,18,FALSE)</f>
        <v>ГРК (богара)</v>
      </c>
      <c r="X81" s="502" t="str">
        <f>VLOOKUP(Таблица3[[#This Row],[№ акта]],$AJ$1:$BJ$691,19,FALSE)</f>
        <v>богара</v>
      </c>
      <c r="Y81" s="503">
        <f>VLOOKUP(Таблица3[[#This Row],[№ акта]],$AJ$1:$BJ$691,20,FALSE)</f>
        <v>5</v>
      </c>
      <c r="Z81" s="504">
        <f>VLOOKUP(Таблица3[[#This Row],[№ акта]],$AJ$1:$BJ$691,21,FALSE)</f>
        <v>46181</v>
      </c>
      <c r="AA81" s="504"/>
      <c r="AB81" s="504" t="str">
        <f>IF(VLOOKUP(Таблица3[[#This Row],[№ акта]],$AJ$1:$BJ$691,23,FALSE)&lt;&gt;0,VLOOKUP(Таблица3[[#This Row],[№ акта]],$AJ$1:$BJ$691,23,FALSE),"-")</f>
        <v>-</v>
      </c>
      <c r="AC8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81" s="506" t="s">
        <v>2940</v>
      </c>
      <c r="AE81" s="505">
        <v>94</v>
      </c>
      <c r="AF81" s="507">
        <v>46181</v>
      </c>
      <c r="AG81" s="505">
        <v>80</v>
      </c>
      <c r="AH81" s="505">
        <f>IFERROR(VLOOKUP(Таблица3[[#This Row],[№ акта]],'Степень зрелости 2026'!$H$12:$I$800,2,FALSE),)</f>
        <v>48</v>
      </c>
      <c r="AJ81" s="508">
        <v>94</v>
      </c>
      <c r="AK81" s="509">
        <v>46181</v>
      </c>
      <c r="AL81" s="508">
        <v>148</v>
      </c>
      <c r="AO81" s="508">
        <v>13290</v>
      </c>
      <c r="AP81" s="508">
        <v>11230.1</v>
      </c>
      <c r="AQ81" s="508" t="s">
        <v>2939</v>
      </c>
      <c r="AR81" s="508" t="s">
        <v>524</v>
      </c>
      <c r="AS81" s="508" t="s">
        <v>2968</v>
      </c>
      <c r="AT81" s="508" t="s">
        <v>121</v>
      </c>
      <c r="AV81" s="508" t="s">
        <v>125</v>
      </c>
      <c r="AX81" s="508" t="s">
        <v>2968</v>
      </c>
      <c r="AY81" s="508" t="s">
        <v>524</v>
      </c>
      <c r="AZ81" s="508">
        <v>2.2000000000000002</v>
      </c>
      <c r="BA81" s="508" t="s">
        <v>46</v>
      </c>
      <c r="BB81" s="508" t="s">
        <v>19</v>
      </c>
      <c r="BC81" s="508">
        <v>5</v>
      </c>
      <c r="BD81" s="509">
        <v>46181</v>
      </c>
      <c r="BG81" s="508" t="s">
        <v>3557</v>
      </c>
      <c r="BH81" s="508" t="s">
        <v>2940</v>
      </c>
      <c r="BI81" s="508">
        <v>80</v>
      </c>
      <c r="BJ81" s="508">
        <v>48</v>
      </c>
    </row>
    <row r="82" spans="1:62" s="508" customFormat="1" ht="14.25" hidden="1" customHeight="1" x14ac:dyDescent="0.2">
      <c r="A82" s="495" t="s">
        <v>102</v>
      </c>
      <c r="B82" s="496"/>
      <c r="C82" s="497">
        <f>Таблица3[[#This Row],[Степень зрелости вспом]]</f>
        <v>51</v>
      </c>
      <c r="D82" s="498">
        <v>149</v>
      </c>
      <c r="E82" s="499"/>
      <c r="F82" s="496"/>
      <c r="G82" s="496">
        <v>13330</v>
      </c>
      <c r="H82" s="500"/>
      <c r="I82" s="496">
        <v>10863.9</v>
      </c>
      <c r="J82" s="495" t="s">
        <v>2939</v>
      </c>
      <c r="K82" s="495" t="s">
        <v>524</v>
      </c>
      <c r="L82" s="495" t="s">
        <v>2968</v>
      </c>
      <c r="M82" s="495" t="s">
        <v>329</v>
      </c>
      <c r="N82" s="495"/>
      <c r="O82" s="495"/>
      <c r="P82" s="495"/>
      <c r="Q82" s="495"/>
      <c r="R82" s="501" t="s">
        <v>333</v>
      </c>
      <c r="S82" s="495"/>
      <c r="T82" s="482" t="str">
        <f>VLOOKUP(Таблица3[[#This Row],[№ акта]],$AJ$1:$BJ$691,15,FALSE)</f>
        <v>А-3</v>
      </c>
      <c r="U82" s="482" t="str">
        <f>VLOOKUP(Таблица3[[#This Row],[№ акта]],$AJ$1:$BJ$691,16,FALSE)</f>
        <v>Авола</v>
      </c>
      <c r="V82" s="502">
        <f>VLOOKUP(Таблица3[[#This Row],[№ акта]],$AJ$1:$BJ$691,17,FALSE)</f>
        <v>2.2000000000000002</v>
      </c>
      <c r="W82" s="502" t="str">
        <f>VLOOKUP(Таблица3[[#This Row],[№ акта]],$AJ$1:$BJ$691,18,FALSE)</f>
        <v>ГРК (богара)</v>
      </c>
      <c r="X82" s="502" t="str">
        <f>VLOOKUP(Таблица3[[#This Row],[№ акта]],$AJ$1:$BJ$691,19,FALSE)</f>
        <v>богара</v>
      </c>
      <c r="Y82" s="503">
        <f>VLOOKUP(Таблица3[[#This Row],[№ акта]],$AJ$1:$BJ$691,20,FALSE)</f>
        <v>5</v>
      </c>
      <c r="Z82" s="504">
        <f>VLOOKUP(Таблица3[[#This Row],[№ акта]],$AJ$1:$BJ$691,21,FALSE)</f>
        <v>46181</v>
      </c>
      <c r="AA82" s="504"/>
      <c r="AB82" s="504" t="str">
        <f>IF(VLOOKUP(Таблица3[[#This Row],[№ акта]],$AJ$1:$BJ$691,23,FALSE)&lt;&gt;0,VLOOKUP(Таблица3[[#This Row],[№ акта]],$AJ$1:$BJ$691,23,FALSE),"-")</f>
        <v>-</v>
      </c>
      <c r="AC8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82" s="506" t="s">
        <v>2940</v>
      </c>
      <c r="AE82" s="505">
        <v>95</v>
      </c>
      <c r="AF82" s="507">
        <v>46181</v>
      </c>
      <c r="AG82" s="505">
        <v>81</v>
      </c>
      <c r="AH82" s="505">
        <f>IFERROR(VLOOKUP(Таблица3[[#This Row],[№ акта]],'Степень зрелости 2026'!$H$12:$I$800,2,FALSE),)</f>
        <v>51</v>
      </c>
      <c r="AJ82" s="508">
        <v>95</v>
      </c>
      <c r="AK82" s="509">
        <v>46181</v>
      </c>
      <c r="AL82" s="508">
        <v>149</v>
      </c>
      <c r="AO82" s="508">
        <v>13330</v>
      </c>
      <c r="AP82" s="508">
        <v>10863.9</v>
      </c>
      <c r="AQ82" s="508" t="s">
        <v>2939</v>
      </c>
      <c r="AR82" s="508" t="s">
        <v>524</v>
      </c>
      <c r="AS82" s="508" t="s">
        <v>2968</v>
      </c>
      <c r="AT82" s="508" t="s">
        <v>329</v>
      </c>
      <c r="AV82" s="508" t="s">
        <v>333</v>
      </c>
      <c r="AX82" s="508" t="s">
        <v>2968</v>
      </c>
      <c r="AY82" s="508" t="s">
        <v>524</v>
      </c>
      <c r="AZ82" s="508">
        <v>2.2000000000000002</v>
      </c>
      <c r="BA82" s="508" t="s">
        <v>46</v>
      </c>
      <c r="BB82" s="508" t="s">
        <v>19</v>
      </c>
      <c r="BC82" s="508">
        <v>5</v>
      </c>
      <c r="BD82" s="509">
        <v>46181</v>
      </c>
      <c r="BG82" s="508" t="s">
        <v>3557</v>
      </c>
      <c r="BH82" s="508" t="s">
        <v>2940</v>
      </c>
      <c r="BI82" s="508">
        <v>81</v>
      </c>
      <c r="BJ82" s="508">
        <v>51</v>
      </c>
    </row>
    <row r="83" spans="1:62" s="508" customFormat="1" ht="14.25" hidden="1" customHeight="1" x14ac:dyDescent="0.2">
      <c r="A83" s="495" t="s">
        <v>102</v>
      </c>
      <c r="B83" s="496"/>
      <c r="C83" s="497">
        <f>Таблица3[[#This Row],[Степень зрелости вспом]]</f>
        <v>48</v>
      </c>
      <c r="D83" s="498">
        <v>150</v>
      </c>
      <c r="E83" s="499"/>
      <c r="F83" s="496"/>
      <c r="G83" s="496">
        <v>13340</v>
      </c>
      <c r="H83" s="500"/>
      <c r="I83" s="496">
        <v>10738.7</v>
      </c>
      <c r="J83" s="495" t="s">
        <v>2939</v>
      </c>
      <c r="K83" s="495" t="s">
        <v>524</v>
      </c>
      <c r="L83" s="495" t="s">
        <v>2968</v>
      </c>
      <c r="M83" s="495" t="s">
        <v>195</v>
      </c>
      <c r="N83" s="495"/>
      <c r="O83" s="495"/>
      <c r="P83" s="495"/>
      <c r="Q83" s="495"/>
      <c r="R83" s="501" t="s">
        <v>199</v>
      </c>
      <c r="S83" s="495"/>
      <c r="T83" s="482" t="str">
        <f>VLOOKUP(Таблица3[[#This Row],[№ акта]],$AJ$1:$BJ$691,15,FALSE)</f>
        <v>А-3</v>
      </c>
      <c r="U83" s="482" t="str">
        <f>VLOOKUP(Таблица3[[#This Row],[№ акта]],$AJ$1:$BJ$691,16,FALSE)</f>
        <v>Авола</v>
      </c>
      <c r="V83" s="502">
        <f>VLOOKUP(Таблица3[[#This Row],[№ акта]],$AJ$1:$BJ$691,17,FALSE)</f>
        <v>2.2000000000000002</v>
      </c>
      <c r="W83" s="502" t="str">
        <f>VLOOKUP(Таблица3[[#This Row],[№ акта]],$AJ$1:$BJ$691,18,FALSE)</f>
        <v>ГРК (богара)</v>
      </c>
      <c r="X83" s="502" t="str">
        <f>VLOOKUP(Таблица3[[#This Row],[№ акта]],$AJ$1:$BJ$691,19,FALSE)</f>
        <v>богара</v>
      </c>
      <c r="Y83" s="503">
        <f>VLOOKUP(Таблица3[[#This Row],[№ акта]],$AJ$1:$BJ$691,20,FALSE)</f>
        <v>5</v>
      </c>
      <c r="Z83" s="504">
        <f>VLOOKUP(Таблица3[[#This Row],[№ акта]],$AJ$1:$BJ$691,21,FALSE)</f>
        <v>46181</v>
      </c>
      <c r="AA83" s="504"/>
      <c r="AB83" s="504" t="str">
        <f>IF(VLOOKUP(Таблица3[[#This Row],[№ акта]],$AJ$1:$BJ$691,23,FALSE)&lt;&gt;0,VLOOKUP(Таблица3[[#This Row],[№ акта]],$AJ$1:$BJ$691,23,FALSE),"-")</f>
        <v>-</v>
      </c>
      <c r="AC8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83" s="506" t="s">
        <v>2940</v>
      </c>
      <c r="AE83" s="505">
        <v>96</v>
      </c>
      <c r="AF83" s="507">
        <v>46181</v>
      </c>
      <c r="AG83" s="505">
        <v>82</v>
      </c>
      <c r="AH83" s="505">
        <f>IFERROR(VLOOKUP(Таблица3[[#This Row],[№ акта]],'Степень зрелости 2026'!$H$12:$I$800,2,FALSE),)</f>
        <v>48</v>
      </c>
      <c r="AJ83" s="508">
        <v>96</v>
      </c>
      <c r="AK83" s="509">
        <v>46181</v>
      </c>
      <c r="AL83" s="508">
        <v>150</v>
      </c>
      <c r="AO83" s="508">
        <v>13340</v>
      </c>
      <c r="AP83" s="508">
        <v>10738.7</v>
      </c>
      <c r="AQ83" s="508" t="s">
        <v>2939</v>
      </c>
      <c r="AR83" s="508" t="s">
        <v>524</v>
      </c>
      <c r="AS83" s="508" t="s">
        <v>2968</v>
      </c>
      <c r="AT83" s="508" t="s">
        <v>195</v>
      </c>
      <c r="AV83" s="508" t="s">
        <v>199</v>
      </c>
      <c r="AX83" s="508" t="s">
        <v>2968</v>
      </c>
      <c r="AY83" s="508" t="s">
        <v>524</v>
      </c>
      <c r="AZ83" s="508">
        <v>2.2000000000000002</v>
      </c>
      <c r="BA83" s="508" t="s">
        <v>46</v>
      </c>
      <c r="BB83" s="508" t="s">
        <v>19</v>
      </c>
      <c r="BC83" s="508">
        <v>5</v>
      </c>
      <c r="BD83" s="509">
        <v>46181</v>
      </c>
      <c r="BG83" s="508" t="s">
        <v>3557</v>
      </c>
      <c r="BH83" s="508" t="s">
        <v>2940</v>
      </c>
      <c r="BI83" s="508">
        <v>82</v>
      </c>
      <c r="BJ83" s="508">
        <v>48</v>
      </c>
    </row>
    <row r="84" spans="1:62" s="508" customFormat="1" ht="14.25" hidden="1" customHeight="1" x14ac:dyDescent="0.2">
      <c r="A84" s="495" t="s">
        <v>102</v>
      </c>
      <c r="B84" s="496"/>
      <c r="C84" s="497">
        <f>Таблица3[[#This Row],[Степень зрелости вспом]]</f>
        <v>53</v>
      </c>
      <c r="D84" s="498">
        <v>151</v>
      </c>
      <c r="E84" s="499"/>
      <c r="F84" s="496"/>
      <c r="G84" s="496">
        <v>13020</v>
      </c>
      <c r="H84" s="500"/>
      <c r="I84" s="496">
        <v>10611.3</v>
      </c>
      <c r="J84" s="495" t="s">
        <v>2939</v>
      </c>
      <c r="K84" s="495" t="s">
        <v>524</v>
      </c>
      <c r="L84" s="495" t="s">
        <v>2968</v>
      </c>
      <c r="M84" s="495" t="s">
        <v>234</v>
      </c>
      <c r="N84" s="495"/>
      <c r="O84" s="495"/>
      <c r="P84" s="495"/>
      <c r="Q84" s="495"/>
      <c r="R84" s="501" t="s">
        <v>238</v>
      </c>
      <c r="S84" s="495"/>
      <c r="T84" s="482" t="str">
        <f>VLOOKUP(Таблица3[[#This Row],[№ акта]],$AJ$1:$BJ$691,15,FALSE)</f>
        <v>А-3</v>
      </c>
      <c r="U84" s="482" t="str">
        <f>VLOOKUP(Таблица3[[#This Row],[№ акта]],$AJ$1:$BJ$691,16,FALSE)</f>
        <v>Авола</v>
      </c>
      <c r="V84" s="502">
        <f>VLOOKUP(Таблица3[[#This Row],[№ акта]],$AJ$1:$BJ$691,17,FALSE)</f>
        <v>2.2000000000000002</v>
      </c>
      <c r="W84" s="502" t="str">
        <f>VLOOKUP(Таблица3[[#This Row],[№ акта]],$AJ$1:$BJ$691,18,FALSE)</f>
        <v>ГРК (богара)</v>
      </c>
      <c r="X84" s="502" t="str">
        <f>VLOOKUP(Таблица3[[#This Row],[№ акта]],$AJ$1:$BJ$691,19,FALSE)</f>
        <v>богара</v>
      </c>
      <c r="Y84" s="503">
        <f>VLOOKUP(Таблица3[[#This Row],[№ акта]],$AJ$1:$BJ$691,20,FALSE)</f>
        <v>5</v>
      </c>
      <c r="Z84" s="504">
        <f>VLOOKUP(Таблица3[[#This Row],[№ акта]],$AJ$1:$BJ$691,21,FALSE)</f>
        <v>46181</v>
      </c>
      <c r="AA84" s="504"/>
      <c r="AB84" s="504" t="str">
        <f>IF(VLOOKUP(Таблица3[[#This Row],[№ акта]],$AJ$1:$BJ$691,23,FALSE)&lt;&gt;0,VLOOKUP(Таблица3[[#This Row],[№ акта]],$AJ$1:$BJ$691,23,FALSE),"-")</f>
        <v>-</v>
      </c>
      <c r="AC8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84" s="506" t="s">
        <v>2940</v>
      </c>
      <c r="AE84" s="505">
        <v>97</v>
      </c>
      <c r="AF84" s="507">
        <v>46182</v>
      </c>
      <c r="AG84" s="505">
        <v>83</v>
      </c>
      <c r="AH84" s="505">
        <f>IFERROR(VLOOKUP(Таблица3[[#This Row],[№ акта]],'Степень зрелости 2026'!$H$12:$I$800,2,FALSE),)</f>
        <v>53</v>
      </c>
      <c r="AJ84" s="508">
        <v>97</v>
      </c>
      <c r="AK84" s="509">
        <v>46182</v>
      </c>
      <c r="AL84" s="508">
        <v>151</v>
      </c>
      <c r="AO84" s="508">
        <v>13020</v>
      </c>
      <c r="AP84" s="508">
        <v>10611.3</v>
      </c>
      <c r="AQ84" s="508" t="s">
        <v>2939</v>
      </c>
      <c r="AR84" s="508" t="s">
        <v>524</v>
      </c>
      <c r="AS84" s="508" t="s">
        <v>2968</v>
      </c>
      <c r="AT84" s="508" t="s">
        <v>234</v>
      </c>
      <c r="AV84" s="508" t="s">
        <v>238</v>
      </c>
      <c r="AX84" s="508" t="s">
        <v>2968</v>
      </c>
      <c r="AY84" s="508" t="s">
        <v>524</v>
      </c>
      <c r="AZ84" s="508">
        <v>2.2000000000000002</v>
      </c>
      <c r="BA84" s="508" t="s">
        <v>46</v>
      </c>
      <c r="BB84" s="508" t="s">
        <v>19</v>
      </c>
      <c r="BC84" s="508">
        <v>5</v>
      </c>
      <c r="BD84" s="509">
        <v>46181</v>
      </c>
      <c r="BG84" s="508" t="s">
        <v>724</v>
      </c>
      <c r="BH84" s="508" t="s">
        <v>2940</v>
      </c>
      <c r="BI84" s="508">
        <v>83</v>
      </c>
      <c r="BJ84" s="508">
        <v>53</v>
      </c>
    </row>
    <row r="85" spans="1:62" s="508" customFormat="1" ht="14.25" hidden="1" customHeight="1" x14ac:dyDescent="0.2">
      <c r="A85" s="495" t="s">
        <v>102</v>
      </c>
      <c r="B85" s="496"/>
      <c r="C85" s="497">
        <f>Таблица3[[#This Row],[Степень зрелости вспом]]</f>
        <v>52</v>
      </c>
      <c r="D85" s="498">
        <v>152</v>
      </c>
      <c r="E85" s="499"/>
      <c r="F85" s="496"/>
      <c r="G85" s="496">
        <v>13310</v>
      </c>
      <c r="H85" s="500"/>
      <c r="I85" s="496">
        <v>11113.9</v>
      </c>
      <c r="J85" s="495" t="s">
        <v>2939</v>
      </c>
      <c r="K85" s="495" t="s">
        <v>524</v>
      </c>
      <c r="L85" s="495" t="s">
        <v>2968</v>
      </c>
      <c r="M85" s="495" t="s">
        <v>121</v>
      </c>
      <c r="N85" s="495"/>
      <c r="O85" s="495"/>
      <c r="P85" s="495"/>
      <c r="Q85" s="495"/>
      <c r="R85" s="501" t="s">
        <v>125</v>
      </c>
      <c r="S85" s="495"/>
      <c r="T85" s="482" t="str">
        <f>VLOOKUP(Таблица3[[#This Row],[№ акта]],$AJ$1:$BJ$691,15,FALSE)</f>
        <v>А-3</v>
      </c>
      <c r="U85" s="482" t="str">
        <f>VLOOKUP(Таблица3[[#This Row],[№ акта]],$AJ$1:$BJ$691,16,FALSE)</f>
        <v>Авола</v>
      </c>
      <c r="V85" s="502">
        <f>VLOOKUP(Таблица3[[#This Row],[№ акта]],$AJ$1:$BJ$691,17,FALSE)</f>
        <v>2.2000000000000002</v>
      </c>
      <c r="W85" s="502" t="str">
        <f>VLOOKUP(Таблица3[[#This Row],[№ акта]],$AJ$1:$BJ$691,18,FALSE)</f>
        <v>ГРК (богара)</v>
      </c>
      <c r="X85" s="502" t="str">
        <f>VLOOKUP(Таблица3[[#This Row],[№ акта]],$AJ$1:$BJ$691,19,FALSE)</f>
        <v>богара</v>
      </c>
      <c r="Y85" s="503">
        <f>VLOOKUP(Таблица3[[#This Row],[№ акта]],$AJ$1:$BJ$691,20,FALSE)</f>
        <v>5</v>
      </c>
      <c r="Z85" s="504">
        <f>VLOOKUP(Таблица3[[#This Row],[№ акта]],$AJ$1:$BJ$691,21,FALSE)</f>
        <v>46181</v>
      </c>
      <c r="AA85" s="504"/>
      <c r="AB85" s="504" t="str">
        <f>IF(VLOOKUP(Таблица3[[#This Row],[№ акта]],$AJ$1:$BJ$691,23,FALSE)&lt;&gt;0,VLOOKUP(Таблица3[[#This Row],[№ акта]],$AJ$1:$BJ$691,23,FALSE),"-")</f>
        <v>-</v>
      </c>
      <c r="AC8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85" s="506" t="s">
        <v>2940</v>
      </c>
      <c r="AE85" s="505">
        <v>98</v>
      </c>
      <c r="AF85" s="507">
        <v>46182</v>
      </c>
      <c r="AG85" s="505">
        <v>84</v>
      </c>
      <c r="AH85" s="505">
        <f>IFERROR(VLOOKUP(Таблица3[[#This Row],[№ акта]],'Степень зрелости 2026'!$H$12:$I$800,2,FALSE),)</f>
        <v>52</v>
      </c>
      <c r="AJ85" s="508">
        <v>98</v>
      </c>
      <c r="AK85" s="509">
        <v>46182</v>
      </c>
      <c r="AL85" s="508">
        <v>152</v>
      </c>
      <c r="AO85" s="508">
        <v>13310</v>
      </c>
      <c r="AP85" s="508">
        <v>11113.9</v>
      </c>
      <c r="AQ85" s="508" t="s">
        <v>2939</v>
      </c>
      <c r="AR85" s="508" t="s">
        <v>524</v>
      </c>
      <c r="AS85" s="508" t="s">
        <v>2968</v>
      </c>
      <c r="AT85" s="508" t="s">
        <v>121</v>
      </c>
      <c r="AV85" s="508" t="s">
        <v>125</v>
      </c>
      <c r="AX85" s="508" t="s">
        <v>2968</v>
      </c>
      <c r="AY85" s="508" t="s">
        <v>524</v>
      </c>
      <c r="AZ85" s="508">
        <v>2.2000000000000002</v>
      </c>
      <c r="BA85" s="508" t="s">
        <v>46</v>
      </c>
      <c r="BB85" s="508" t="s">
        <v>19</v>
      </c>
      <c r="BC85" s="508">
        <v>5</v>
      </c>
      <c r="BD85" s="509">
        <v>46181</v>
      </c>
      <c r="BG85" s="508" t="s">
        <v>3557</v>
      </c>
      <c r="BH85" s="508" t="s">
        <v>2940</v>
      </c>
      <c r="BI85" s="508">
        <v>84</v>
      </c>
      <c r="BJ85" s="508">
        <v>52</v>
      </c>
    </row>
    <row r="86" spans="1:62" s="508" customFormat="1" ht="14.25" hidden="1" customHeight="1" x14ac:dyDescent="0.2">
      <c r="A86" s="495" t="s">
        <v>102</v>
      </c>
      <c r="B86" s="496"/>
      <c r="C86" s="497">
        <f>Таблица3[[#This Row],[Степень зрелости вспом]]</f>
        <v>53</v>
      </c>
      <c r="D86" s="498">
        <v>153</v>
      </c>
      <c r="E86" s="499"/>
      <c r="F86" s="496"/>
      <c r="G86" s="496">
        <v>13340</v>
      </c>
      <c r="H86" s="500"/>
      <c r="I86" s="496">
        <v>10605.3</v>
      </c>
      <c r="J86" s="495" t="s">
        <v>2939</v>
      </c>
      <c r="K86" s="495" t="s">
        <v>524</v>
      </c>
      <c r="L86" s="495" t="s">
        <v>2968</v>
      </c>
      <c r="M86" s="495" t="s">
        <v>329</v>
      </c>
      <c r="N86" s="495"/>
      <c r="O86" s="495"/>
      <c r="P86" s="495"/>
      <c r="Q86" s="495"/>
      <c r="R86" s="501" t="s">
        <v>333</v>
      </c>
      <c r="S86" s="495"/>
      <c r="T86" s="482" t="str">
        <f>VLOOKUP(Таблица3[[#This Row],[№ акта]],$AJ$1:$BJ$691,15,FALSE)</f>
        <v>А-3</v>
      </c>
      <c r="U86" s="482" t="str">
        <f>VLOOKUP(Таблица3[[#This Row],[№ акта]],$AJ$1:$BJ$691,16,FALSE)</f>
        <v>Авола</v>
      </c>
      <c r="V86" s="502">
        <f>VLOOKUP(Таблица3[[#This Row],[№ акта]],$AJ$1:$BJ$691,17,FALSE)</f>
        <v>2.2000000000000002</v>
      </c>
      <c r="W86" s="502" t="str">
        <f>VLOOKUP(Таблица3[[#This Row],[№ акта]],$AJ$1:$BJ$691,18,FALSE)</f>
        <v>ГРК (богара)</v>
      </c>
      <c r="X86" s="502" t="str">
        <f>VLOOKUP(Таблица3[[#This Row],[№ акта]],$AJ$1:$BJ$691,19,FALSE)</f>
        <v>богара</v>
      </c>
      <c r="Y86" s="503">
        <f>VLOOKUP(Таблица3[[#This Row],[№ акта]],$AJ$1:$BJ$691,20,FALSE)</f>
        <v>5</v>
      </c>
      <c r="Z86" s="504">
        <f>VLOOKUP(Таблица3[[#This Row],[№ акта]],$AJ$1:$BJ$691,21,FALSE)</f>
        <v>46181</v>
      </c>
      <c r="AA86" s="504"/>
      <c r="AB86" s="504" t="str">
        <f>IF(VLOOKUP(Таблица3[[#This Row],[№ акта]],$AJ$1:$BJ$691,23,FALSE)&lt;&gt;0,VLOOKUP(Таблица3[[#This Row],[№ акта]],$AJ$1:$BJ$691,23,FALSE),"-")</f>
        <v>-</v>
      </c>
      <c r="AC8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86" s="506" t="s">
        <v>2940</v>
      </c>
      <c r="AE86" s="505">
        <v>99</v>
      </c>
      <c r="AF86" s="507">
        <v>46182</v>
      </c>
      <c r="AG86" s="505">
        <v>85</v>
      </c>
      <c r="AH86" s="505">
        <f>IFERROR(VLOOKUP(Таблица3[[#This Row],[№ акта]],'Степень зрелости 2026'!$H$12:$I$800,2,FALSE),)</f>
        <v>53</v>
      </c>
      <c r="AJ86" s="508">
        <v>99</v>
      </c>
      <c r="AK86" s="509">
        <v>46182</v>
      </c>
      <c r="AL86" s="508">
        <v>153</v>
      </c>
      <c r="AO86" s="508">
        <v>13340</v>
      </c>
      <c r="AP86" s="508">
        <v>10605.3</v>
      </c>
      <c r="AQ86" s="508" t="s">
        <v>2939</v>
      </c>
      <c r="AR86" s="508" t="s">
        <v>524</v>
      </c>
      <c r="AS86" s="508" t="s">
        <v>2968</v>
      </c>
      <c r="AT86" s="508" t="s">
        <v>329</v>
      </c>
      <c r="AV86" s="508" t="s">
        <v>333</v>
      </c>
      <c r="AX86" s="508" t="s">
        <v>2968</v>
      </c>
      <c r="AY86" s="508" t="s">
        <v>524</v>
      </c>
      <c r="AZ86" s="508">
        <v>2.2000000000000002</v>
      </c>
      <c r="BA86" s="508" t="s">
        <v>46</v>
      </c>
      <c r="BB86" s="508" t="s">
        <v>19</v>
      </c>
      <c r="BC86" s="508">
        <v>5</v>
      </c>
      <c r="BD86" s="509">
        <v>46181</v>
      </c>
      <c r="BG86" s="508" t="s">
        <v>724</v>
      </c>
      <c r="BH86" s="508" t="s">
        <v>2940</v>
      </c>
      <c r="BI86" s="508">
        <v>85</v>
      </c>
      <c r="BJ86" s="508">
        <v>53</v>
      </c>
    </row>
    <row r="87" spans="1:62" s="508" customFormat="1" ht="14.25" hidden="1" customHeight="1" x14ac:dyDescent="0.2">
      <c r="A87" s="495" t="s">
        <v>102</v>
      </c>
      <c r="B87" s="496"/>
      <c r="C87" s="497">
        <f>Таблица3[[#This Row],[Степень зрелости вспом]]</f>
        <v>50</v>
      </c>
      <c r="D87" s="498">
        <v>154</v>
      </c>
      <c r="E87" s="499"/>
      <c r="F87" s="496"/>
      <c r="G87" s="496">
        <v>13510</v>
      </c>
      <c r="H87" s="500"/>
      <c r="I87" s="496">
        <v>10605.3</v>
      </c>
      <c r="J87" s="495" t="s">
        <v>2939</v>
      </c>
      <c r="K87" s="495" t="s">
        <v>524</v>
      </c>
      <c r="L87" s="495" t="s">
        <v>2968</v>
      </c>
      <c r="M87" s="495" t="s">
        <v>195</v>
      </c>
      <c r="N87" s="495"/>
      <c r="O87" s="495"/>
      <c r="P87" s="495"/>
      <c r="Q87" s="495"/>
      <c r="R87" s="501" t="s">
        <v>199</v>
      </c>
      <c r="S87" s="495"/>
      <c r="T87" s="482" t="str">
        <f>VLOOKUP(Таблица3[[#This Row],[№ акта]],$AJ$1:$BJ$691,15,FALSE)</f>
        <v>А-3</v>
      </c>
      <c r="U87" s="482" t="str">
        <f>VLOOKUP(Таблица3[[#This Row],[№ акта]],$AJ$1:$BJ$691,16,FALSE)</f>
        <v>Авола</v>
      </c>
      <c r="V87" s="502">
        <f>VLOOKUP(Таблица3[[#This Row],[№ акта]],$AJ$1:$BJ$691,17,FALSE)</f>
        <v>2.2000000000000002</v>
      </c>
      <c r="W87" s="502" t="str">
        <f>VLOOKUP(Таблица3[[#This Row],[№ акта]],$AJ$1:$BJ$691,18,FALSE)</f>
        <v>ГРК (богара)</v>
      </c>
      <c r="X87" s="502" t="str">
        <f>VLOOKUP(Таблица3[[#This Row],[№ акта]],$AJ$1:$BJ$691,19,FALSE)</f>
        <v>богара</v>
      </c>
      <c r="Y87" s="503">
        <f>VLOOKUP(Таблица3[[#This Row],[№ акта]],$AJ$1:$BJ$691,20,FALSE)</f>
        <v>5</v>
      </c>
      <c r="Z87" s="504">
        <f>VLOOKUP(Таблица3[[#This Row],[№ акта]],$AJ$1:$BJ$691,21,FALSE)</f>
        <v>46181</v>
      </c>
      <c r="AA87" s="504"/>
      <c r="AB87" s="504" t="str">
        <f>IF(VLOOKUP(Таблица3[[#This Row],[№ акта]],$AJ$1:$BJ$691,23,FALSE)&lt;&gt;0,VLOOKUP(Таблица3[[#This Row],[№ акта]],$AJ$1:$BJ$691,23,FALSE),"-")</f>
        <v>-</v>
      </c>
      <c r="AC8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87" s="506" t="s">
        <v>2940</v>
      </c>
      <c r="AE87" s="505">
        <v>100</v>
      </c>
      <c r="AF87" s="507">
        <v>46182</v>
      </c>
      <c r="AG87" s="505">
        <v>86</v>
      </c>
      <c r="AH87" s="505">
        <f>IFERROR(VLOOKUP(Таблица3[[#This Row],[№ акта]],'Степень зрелости 2026'!$H$12:$I$800,2,FALSE),)</f>
        <v>50</v>
      </c>
      <c r="AJ87" s="508">
        <v>100</v>
      </c>
      <c r="AK87" s="509">
        <v>46182</v>
      </c>
      <c r="AL87" s="508">
        <v>154</v>
      </c>
      <c r="AO87" s="508">
        <v>13510</v>
      </c>
      <c r="AP87" s="508">
        <v>10605.3</v>
      </c>
      <c r="AQ87" s="508" t="s">
        <v>2939</v>
      </c>
      <c r="AR87" s="508" t="s">
        <v>524</v>
      </c>
      <c r="AS87" s="508" t="s">
        <v>2968</v>
      </c>
      <c r="AT87" s="508" t="s">
        <v>195</v>
      </c>
      <c r="AV87" s="508" t="s">
        <v>199</v>
      </c>
      <c r="AX87" s="508" t="s">
        <v>2968</v>
      </c>
      <c r="AY87" s="508" t="s">
        <v>524</v>
      </c>
      <c r="AZ87" s="508">
        <v>2.2000000000000002</v>
      </c>
      <c r="BA87" s="508" t="s">
        <v>46</v>
      </c>
      <c r="BB87" s="508" t="s">
        <v>19</v>
      </c>
      <c r="BC87" s="508">
        <v>5</v>
      </c>
      <c r="BD87" s="509">
        <v>46181</v>
      </c>
      <c r="BG87" s="508" t="s">
        <v>3557</v>
      </c>
      <c r="BH87" s="508" t="s">
        <v>2940</v>
      </c>
      <c r="BI87" s="508">
        <v>86</v>
      </c>
      <c r="BJ87" s="508">
        <v>50</v>
      </c>
    </row>
    <row r="88" spans="1:62" s="508" customFormat="1" ht="14.25" hidden="1" customHeight="1" x14ac:dyDescent="0.2">
      <c r="A88" s="495" t="s">
        <v>102</v>
      </c>
      <c r="B88" s="496"/>
      <c r="C88" s="497">
        <f>Таблица3[[#This Row],[Степень зрелости вспом]]</f>
        <v>48</v>
      </c>
      <c r="D88" s="498">
        <v>155</v>
      </c>
      <c r="E88" s="499"/>
      <c r="F88" s="496"/>
      <c r="G88" s="496">
        <v>13230</v>
      </c>
      <c r="H88" s="500"/>
      <c r="I88" s="496">
        <v>9988.7000000000007</v>
      </c>
      <c r="J88" s="495" t="s">
        <v>2939</v>
      </c>
      <c r="K88" s="495" t="s">
        <v>524</v>
      </c>
      <c r="L88" s="495" t="s">
        <v>2968</v>
      </c>
      <c r="M88" s="495" t="s">
        <v>234</v>
      </c>
      <c r="N88" s="495"/>
      <c r="O88" s="495"/>
      <c r="P88" s="495"/>
      <c r="Q88" s="495"/>
      <c r="R88" s="501" t="s">
        <v>238</v>
      </c>
      <c r="S88" s="495"/>
      <c r="T88" s="482" t="str">
        <f>VLOOKUP(Таблица3[[#This Row],[№ акта]],$AJ$1:$BJ$691,15,FALSE)</f>
        <v>А-3</v>
      </c>
      <c r="U88" s="482" t="str">
        <f>VLOOKUP(Таблица3[[#This Row],[№ акта]],$AJ$1:$BJ$691,16,FALSE)</f>
        <v>Авола</v>
      </c>
      <c r="V88" s="502">
        <f>VLOOKUP(Таблица3[[#This Row],[№ акта]],$AJ$1:$BJ$691,17,FALSE)</f>
        <v>2.4</v>
      </c>
      <c r="W88" s="502" t="str">
        <f>VLOOKUP(Таблица3[[#This Row],[№ акта]],$AJ$1:$BJ$691,18,FALSE)</f>
        <v>ГРК (богара)</v>
      </c>
      <c r="X88" s="502" t="str">
        <f>VLOOKUP(Таблица3[[#This Row],[№ акта]],$AJ$1:$BJ$691,19,FALSE)</f>
        <v>богара</v>
      </c>
      <c r="Y88" s="503">
        <f>VLOOKUP(Таблица3[[#This Row],[№ акта]],$AJ$1:$BJ$691,20,FALSE)</f>
        <v>6</v>
      </c>
      <c r="Z88" s="504">
        <f>VLOOKUP(Таблица3[[#This Row],[№ акта]],$AJ$1:$BJ$691,21,FALSE)</f>
        <v>46182</v>
      </c>
      <c r="AA88" s="504"/>
      <c r="AB88" s="504" t="str">
        <f>IF(VLOOKUP(Таблица3[[#This Row],[№ акта]],$AJ$1:$BJ$691,23,FALSE)&lt;&gt;0,VLOOKUP(Таблица3[[#This Row],[№ акта]],$AJ$1:$BJ$691,23,FALSE),"-")</f>
        <v>-</v>
      </c>
      <c r="AC8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88" s="506" t="s">
        <v>2940</v>
      </c>
      <c r="AE88" s="505">
        <v>101</v>
      </c>
      <c r="AF88" s="507">
        <v>46182</v>
      </c>
      <c r="AG88" s="505">
        <v>87</v>
      </c>
      <c r="AH88" s="505">
        <f>IFERROR(VLOOKUP(Таблица3[[#This Row],[№ акта]],'Степень зрелости 2026'!$H$12:$I$800,2,FALSE),)</f>
        <v>48</v>
      </c>
      <c r="AJ88" s="508">
        <v>101</v>
      </c>
      <c r="AK88" s="509">
        <v>46182</v>
      </c>
      <c r="AL88" s="508">
        <v>155</v>
      </c>
      <c r="AO88" s="508">
        <v>13230</v>
      </c>
      <c r="AP88" s="508">
        <v>9988.7000000000007</v>
      </c>
      <c r="AQ88" s="508" t="s">
        <v>2939</v>
      </c>
      <c r="AR88" s="508" t="s">
        <v>524</v>
      </c>
      <c r="AS88" s="508" t="s">
        <v>2968</v>
      </c>
      <c r="AT88" s="508" t="s">
        <v>234</v>
      </c>
      <c r="AV88" s="508" t="s">
        <v>238</v>
      </c>
      <c r="AX88" s="508" t="s">
        <v>2968</v>
      </c>
      <c r="AY88" s="508" t="s">
        <v>524</v>
      </c>
      <c r="AZ88" s="508">
        <v>2.4</v>
      </c>
      <c r="BA88" s="508" t="s">
        <v>46</v>
      </c>
      <c r="BB88" s="508" t="s">
        <v>19</v>
      </c>
      <c r="BC88" s="508">
        <v>6</v>
      </c>
      <c r="BD88" s="509">
        <v>46182</v>
      </c>
      <c r="BG88" s="508" t="s">
        <v>3557</v>
      </c>
      <c r="BH88" s="508" t="s">
        <v>2940</v>
      </c>
      <c r="BI88" s="508">
        <v>87</v>
      </c>
      <c r="BJ88" s="508">
        <v>48</v>
      </c>
    </row>
    <row r="89" spans="1:62" s="508" customFormat="1" ht="14.25" hidden="1" customHeight="1" x14ac:dyDescent="0.2">
      <c r="A89" s="495" t="s">
        <v>102</v>
      </c>
      <c r="B89" s="496"/>
      <c r="C89" s="497">
        <f>Таблица3[[#This Row],[Степень зрелости вспом]]</f>
        <v>50</v>
      </c>
      <c r="D89" s="498">
        <v>156</v>
      </c>
      <c r="E89" s="499"/>
      <c r="F89" s="496"/>
      <c r="G89" s="496">
        <v>13160</v>
      </c>
      <c r="H89" s="500"/>
      <c r="I89" s="496">
        <v>9935.7999999999993</v>
      </c>
      <c r="J89" s="495" t="s">
        <v>2939</v>
      </c>
      <c r="K89" s="495" t="s">
        <v>524</v>
      </c>
      <c r="L89" s="495" t="s">
        <v>2968</v>
      </c>
      <c r="M89" s="495" t="s">
        <v>121</v>
      </c>
      <c r="N89" s="495"/>
      <c r="O89" s="495"/>
      <c r="P89" s="495"/>
      <c r="Q89" s="495"/>
      <c r="R89" s="501" t="s">
        <v>125</v>
      </c>
      <c r="S89" s="495"/>
      <c r="T89" s="482" t="str">
        <f>VLOOKUP(Таблица3[[#This Row],[№ акта]],$AJ$1:$BJ$691,15,FALSE)</f>
        <v>А-3</v>
      </c>
      <c r="U89" s="482" t="str">
        <f>VLOOKUP(Таблица3[[#This Row],[№ акта]],$AJ$1:$BJ$691,16,FALSE)</f>
        <v>Авола</v>
      </c>
      <c r="V89" s="502">
        <f>VLOOKUP(Таблица3[[#This Row],[№ акта]],$AJ$1:$BJ$691,17,FALSE)</f>
        <v>2.4</v>
      </c>
      <c r="W89" s="502" t="str">
        <f>VLOOKUP(Таблица3[[#This Row],[№ акта]],$AJ$1:$BJ$691,18,FALSE)</f>
        <v>ГРК (богара)</v>
      </c>
      <c r="X89" s="502" t="str">
        <f>VLOOKUP(Таблица3[[#This Row],[№ акта]],$AJ$1:$BJ$691,19,FALSE)</f>
        <v>богара</v>
      </c>
      <c r="Y89" s="503">
        <f>VLOOKUP(Таблица3[[#This Row],[№ акта]],$AJ$1:$BJ$691,20,FALSE)</f>
        <v>6</v>
      </c>
      <c r="Z89" s="504">
        <f>VLOOKUP(Таблица3[[#This Row],[№ акта]],$AJ$1:$BJ$691,21,FALSE)</f>
        <v>46182</v>
      </c>
      <c r="AA89" s="504"/>
      <c r="AB89" s="504" t="str">
        <f>IF(VLOOKUP(Таблица3[[#This Row],[№ акта]],$AJ$1:$BJ$691,23,FALSE)&lt;&gt;0,VLOOKUP(Таблица3[[#This Row],[№ акта]],$AJ$1:$BJ$691,23,FALSE),"-")</f>
        <v>-</v>
      </c>
      <c r="AC8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89" s="506" t="s">
        <v>2940</v>
      </c>
      <c r="AE89" s="505">
        <v>102</v>
      </c>
      <c r="AF89" s="507">
        <v>46182</v>
      </c>
      <c r="AG89" s="505">
        <v>88</v>
      </c>
      <c r="AH89" s="505">
        <f>IFERROR(VLOOKUP(Таблица3[[#This Row],[№ акта]],'Степень зрелости 2026'!$H$12:$I$800,2,FALSE),)</f>
        <v>50</v>
      </c>
      <c r="AJ89" s="508">
        <v>102</v>
      </c>
      <c r="AK89" s="509">
        <v>46182</v>
      </c>
      <c r="AL89" s="508">
        <v>156</v>
      </c>
      <c r="AO89" s="508">
        <v>13160</v>
      </c>
      <c r="AP89" s="508">
        <v>9935.7999999999993</v>
      </c>
      <c r="AQ89" s="508" t="s">
        <v>2939</v>
      </c>
      <c r="AR89" s="508" t="s">
        <v>524</v>
      </c>
      <c r="AS89" s="508" t="s">
        <v>2968</v>
      </c>
      <c r="AT89" s="508" t="s">
        <v>121</v>
      </c>
      <c r="AV89" s="508" t="s">
        <v>125</v>
      </c>
      <c r="AX89" s="508" t="s">
        <v>2968</v>
      </c>
      <c r="AY89" s="508" t="s">
        <v>524</v>
      </c>
      <c r="AZ89" s="508">
        <v>2.4</v>
      </c>
      <c r="BA89" s="508" t="s">
        <v>46</v>
      </c>
      <c r="BB89" s="508" t="s">
        <v>19</v>
      </c>
      <c r="BC89" s="508">
        <v>6</v>
      </c>
      <c r="BD89" s="509">
        <v>46182</v>
      </c>
      <c r="BG89" s="508" t="s">
        <v>3557</v>
      </c>
      <c r="BH89" s="508" t="s">
        <v>2940</v>
      </c>
      <c r="BI89" s="508">
        <v>88</v>
      </c>
      <c r="BJ89" s="508">
        <v>50</v>
      </c>
    </row>
    <row r="90" spans="1:62" s="508" customFormat="1" ht="14.25" hidden="1" customHeight="1" x14ac:dyDescent="0.2">
      <c r="A90" s="495" t="s">
        <v>102</v>
      </c>
      <c r="B90" s="496"/>
      <c r="C90" s="497">
        <f>Таблица3[[#This Row],[Степень зрелости вспом]]</f>
        <v>50</v>
      </c>
      <c r="D90" s="498">
        <v>157</v>
      </c>
      <c r="E90" s="499"/>
      <c r="F90" s="496"/>
      <c r="G90" s="496">
        <v>7110</v>
      </c>
      <c r="H90" s="500"/>
      <c r="I90" s="496">
        <v>5510.3</v>
      </c>
      <c r="J90" s="495" t="s">
        <v>2939</v>
      </c>
      <c r="K90" s="495" t="s">
        <v>524</v>
      </c>
      <c r="L90" s="495" t="s">
        <v>2968</v>
      </c>
      <c r="M90" s="495" t="s">
        <v>329</v>
      </c>
      <c r="N90" s="495"/>
      <c r="O90" s="495"/>
      <c r="P90" s="495"/>
      <c r="Q90" s="495"/>
      <c r="R90" s="501" t="s">
        <v>333</v>
      </c>
      <c r="S90" s="495"/>
      <c r="T90" s="482" t="str">
        <f>VLOOKUP(Таблица3[[#This Row],[№ акта]],$AJ$1:$BJ$691,15,FALSE)</f>
        <v>А-3</v>
      </c>
      <c r="U90" s="482" t="str">
        <f>VLOOKUP(Таблица3[[#This Row],[№ акта]],$AJ$1:$BJ$691,16,FALSE)</f>
        <v>Авола</v>
      </c>
      <c r="V90" s="502">
        <f>VLOOKUP(Таблица3[[#This Row],[№ акта]],$AJ$1:$BJ$691,17,FALSE)</f>
        <v>1.2</v>
      </c>
      <c r="W90" s="502" t="str">
        <f>VLOOKUP(Таблица3[[#This Row],[№ акта]],$AJ$1:$BJ$691,18,FALSE)</f>
        <v>ГРК (богара)</v>
      </c>
      <c r="X90" s="502" t="str">
        <f>VLOOKUP(Таблица3[[#This Row],[№ акта]],$AJ$1:$BJ$691,19,FALSE)</f>
        <v>богара</v>
      </c>
      <c r="Y90" s="503">
        <f>VLOOKUP(Таблица3[[#This Row],[№ акта]],$AJ$1:$BJ$691,20,FALSE)</f>
        <v>6</v>
      </c>
      <c r="Z90" s="504">
        <f>VLOOKUP(Таблица3[[#This Row],[№ акта]],$AJ$1:$BJ$691,21,FALSE)</f>
        <v>46182</v>
      </c>
      <c r="AA90" s="504"/>
      <c r="AB90" s="504" t="str">
        <f>IF(VLOOKUP(Таблица3[[#This Row],[№ акта]],$AJ$1:$BJ$691,23,FALSE)&lt;&gt;0,VLOOKUP(Таблица3[[#This Row],[№ акта]],$AJ$1:$BJ$691,23,FALSE),"-")</f>
        <v>-</v>
      </c>
      <c r="AC9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90" s="506" t="s">
        <v>2940</v>
      </c>
      <c r="AE90" s="505">
        <v>103</v>
      </c>
      <c r="AF90" s="507">
        <v>46182</v>
      </c>
      <c r="AG90" s="505">
        <v>89</v>
      </c>
      <c r="AH90" s="505">
        <f>IFERROR(VLOOKUP(Таблица3[[#This Row],[№ акта]],'Степень зрелости 2026'!$H$12:$I$800,2,FALSE),)</f>
        <v>50</v>
      </c>
      <c r="AJ90" s="508">
        <v>103</v>
      </c>
      <c r="AK90" s="509">
        <v>46182</v>
      </c>
      <c r="AL90" s="508">
        <v>157</v>
      </c>
      <c r="AO90" s="508">
        <v>7110</v>
      </c>
      <c r="AP90" s="508">
        <v>5510.3</v>
      </c>
      <c r="AQ90" s="508" t="s">
        <v>2939</v>
      </c>
      <c r="AR90" s="508" t="s">
        <v>524</v>
      </c>
      <c r="AS90" s="508" t="s">
        <v>2968</v>
      </c>
      <c r="AT90" s="508" t="s">
        <v>329</v>
      </c>
      <c r="AV90" s="508" t="s">
        <v>333</v>
      </c>
      <c r="AX90" s="508" t="s">
        <v>2968</v>
      </c>
      <c r="AY90" s="508" t="s">
        <v>524</v>
      </c>
      <c r="AZ90" s="508">
        <v>1.2</v>
      </c>
      <c r="BA90" s="508" t="s">
        <v>46</v>
      </c>
      <c r="BB90" s="508" t="s">
        <v>19</v>
      </c>
      <c r="BC90" s="508">
        <v>6</v>
      </c>
      <c r="BD90" s="509">
        <v>46182</v>
      </c>
      <c r="BG90" s="508" t="s">
        <v>3557</v>
      </c>
      <c r="BH90" s="508" t="s">
        <v>2940</v>
      </c>
      <c r="BI90" s="508">
        <v>89</v>
      </c>
      <c r="BJ90" s="508">
        <v>50</v>
      </c>
    </row>
    <row r="91" spans="1:62" s="508" customFormat="1" ht="14.25" hidden="1" customHeight="1" x14ac:dyDescent="0.2">
      <c r="A91" s="495" t="s">
        <v>102</v>
      </c>
      <c r="B91" s="496"/>
      <c r="C91" s="497">
        <f>Таблица3[[#This Row],[Степень зрелости вспом]]</f>
        <v>51</v>
      </c>
      <c r="D91" s="498">
        <v>160</v>
      </c>
      <c r="E91" s="499"/>
      <c r="F91" s="496"/>
      <c r="G91" s="496">
        <v>13400</v>
      </c>
      <c r="H91" s="500"/>
      <c r="I91" s="496">
        <v>10653</v>
      </c>
      <c r="J91" s="495" t="s">
        <v>2939</v>
      </c>
      <c r="K91" s="495" t="s">
        <v>747</v>
      </c>
      <c r="L91" s="495" t="s">
        <v>2974</v>
      </c>
      <c r="M91" s="495" t="s">
        <v>195</v>
      </c>
      <c r="N91" s="495"/>
      <c r="O91" s="495"/>
      <c r="P91" s="495"/>
      <c r="Q91" s="495"/>
      <c r="R91" s="501" t="s">
        <v>199</v>
      </c>
      <c r="S91" s="495"/>
      <c r="T91" s="482" t="str">
        <f>VLOOKUP(Таблица3[[#This Row],[№ акта]],$AJ$1:$BJ$691,15,FALSE)</f>
        <v>А-22/1</v>
      </c>
      <c r="U91" s="482" t="str">
        <f>VLOOKUP(Таблица3[[#This Row],[№ акта]],$AJ$1:$BJ$691,16,FALSE)</f>
        <v>Увертюра</v>
      </c>
      <c r="V91" s="502">
        <f>VLOOKUP(Таблица3[[#This Row],[№ акта]],$AJ$1:$BJ$691,17,FALSE)</f>
        <v>2</v>
      </c>
      <c r="W91" s="502" t="str">
        <f>VLOOKUP(Таблица3[[#This Row],[№ акта]],$AJ$1:$BJ$691,18,FALSE)</f>
        <v>ГРК (богара)</v>
      </c>
      <c r="X91" s="502" t="str">
        <f>VLOOKUP(Таблица3[[#This Row],[№ акта]],$AJ$1:$BJ$691,19,FALSE)</f>
        <v>богара</v>
      </c>
      <c r="Y91" s="503">
        <f>VLOOKUP(Таблица3[[#This Row],[№ акта]],$AJ$1:$BJ$691,20,FALSE)</f>
        <v>6</v>
      </c>
      <c r="Z91" s="504">
        <f>VLOOKUP(Таблица3[[#This Row],[№ акта]],$AJ$1:$BJ$691,21,FALSE)</f>
        <v>46182</v>
      </c>
      <c r="AA91" s="504"/>
      <c r="AB91" s="504" t="str">
        <f>IF(VLOOKUP(Таблица3[[#This Row],[№ акта]],$AJ$1:$BJ$691,23,FALSE)&lt;&gt;0,VLOOKUP(Таблица3[[#This Row],[№ акта]],$AJ$1:$BJ$691,23,FALSE),"-")</f>
        <v>-</v>
      </c>
      <c r="AC9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91" s="506" t="s">
        <v>2940</v>
      </c>
      <c r="AE91" s="505">
        <v>104</v>
      </c>
      <c r="AF91" s="507">
        <v>46182</v>
      </c>
      <c r="AG91" s="505">
        <v>90</v>
      </c>
      <c r="AH91" s="505">
        <f>IFERROR(VLOOKUP(Таблица3[[#This Row],[№ акта]],'Степень зрелости 2026'!$H$12:$I$800,2,FALSE),)</f>
        <v>51</v>
      </c>
      <c r="AJ91" s="508">
        <v>104</v>
      </c>
      <c r="AK91" s="509">
        <v>46182</v>
      </c>
      <c r="AL91" s="508">
        <v>160</v>
      </c>
      <c r="AO91" s="508">
        <v>13400</v>
      </c>
      <c r="AP91" s="508">
        <v>10653</v>
      </c>
      <c r="AQ91" s="508" t="s">
        <v>2939</v>
      </c>
      <c r="AR91" s="508" t="s">
        <v>747</v>
      </c>
      <c r="AS91" s="508" t="s">
        <v>2974</v>
      </c>
      <c r="AT91" s="508" t="s">
        <v>195</v>
      </c>
      <c r="AV91" s="508" t="s">
        <v>199</v>
      </c>
      <c r="AX91" s="508" t="s">
        <v>2974</v>
      </c>
      <c r="AY91" s="508" t="s">
        <v>747</v>
      </c>
      <c r="AZ91" s="508">
        <v>2</v>
      </c>
      <c r="BA91" s="508" t="s">
        <v>46</v>
      </c>
      <c r="BB91" s="508" t="s">
        <v>19</v>
      </c>
      <c r="BC91" s="508">
        <v>6</v>
      </c>
      <c r="BD91" s="509">
        <v>46182</v>
      </c>
      <c r="BG91" s="508" t="s">
        <v>3557</v>
      </c>
      <c r="BH91" s="508" t="s">
        <v>2940</v>
      </c>
      <c r="BI91" s="508">
        <v>90</v>
      </c>
      <c r="BJ91" s="508">
        <v>51</v>
      </c>
    </row>
    <row r="92" spans="1:62" s="508" customFormat="1" ht="14.25" hidden="1" customHeight="1" x14ac:dyDescent="0.2">
      <c r="A92" s="495" t="s">
        <v>102</v>
      </c>
      <c r="B92" s="496"/>
      <c r="C92" s="497">
        <f>Таблица3[[#This Row],[Степень зрелости вспом]]</f>
        <v>50</v>
      </c>
      <c r="D92" s="498">
        <v>161</v>
      </c>
      <c r="E92" s="499"/>
      <c r="F92" s="496"/>
      <c r="G92" s="496">
        <v>4560</v>
      </c>
      <c r="H92" s="500"/>
      <c r="I92" s="496">
        <v>3762</v>
      </c>
      <c r="J92" s="495" t="s">
        <v>2939</v>
      </c>
      <c r="K92" s="495" t="s">
        <v>747</v>
      </c>
      <c r="L92" s="495" t="s">
        <v>2974</v>
      </c>
      <c r="M92" s="495" t="s">
        <v>762</v>
      </c>
      <c r="N92" s="495"/>
      <c r="O92" s="495"/>
      <c r="P92" s="495"/>
      <c r="Q92" s="495"/>
      <c r="R92" s="501" t="s">
        <v>763</v>
      </c>
      <c r="S92" s="495"/>
      <c r="T92" s="482" t="str">
        <f>VLOOKUP(Таблица3[[#This Row],[№ акта]],$AJ$1:$BJ$691,15,FALSE)</f>
        <v>А-22/1</v>
      </c>
      <c r="U92" s="482" t="str">
        <f>VLOOKUP(Таблица3[[#This Row],[№ акта]],$AJ$1:$BJ$691,16,FALSE)</f>
        <v>Увертюра</v>
      </c>
      <c r="V92" s="502">
        <f>VLOOKUP(Таблица3[[#This Row],[№ акта]],$AJ$1:$BJ$691,17,FALSE)</f>
        <v>0.7</v>
      </c>
      <c r="W92" s="502" t="str">
        <f>VLOOKUP(Таблица3[[#This Row],[№ акта]],$AJ$1:$BJ$691,18,FALSE)</f>
        <v>ГРК (богара)</v>
      </c>
      <c r="X92" s="502" t="str">
        <f>VLOOKUP(Таблица3[[#This Row],[№ акта]],$AJ$1:$BJ$691,19,FALSE)</f>
        <v>богара</v>
      </c>
      <c r="Y92" s="503">
        <f>VLOOKUP(Таблица3[[#This Row],[№ акта]],$AJ$1:$BJ$691,20,FALSE)</f>
        <v>6</v>
      </c>
      <c r="Z92" s="504">
        <f>VLOOKUP(Таблица3[[#This Row],[№ акта]],$AJ$1:$BJ$691,21,FALSE)</f>
        <v>46182</v>
      </c>
      <c r="AA92" s="504"/>
      <c r="AB92" s="504" t="str">
        <f>IF(VLOOKUP(Таблица3[[#This Row],[№ акта]],$AJ$1:$BJ$691,23,FALSE)&lt;&gt;0,VLOOKUP(Таблица3[[#This Row],[№ акта]],$AJ$1:$BJ$691,23,FALSE),"-")</f>
        <v>-</v>
      </c>
      <c r="AC9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92" s="506" t="s">
        <v>2940</v>
      </c>
      <c r="AE92" s="505">
        <v>105</v>
      </c>
      <c r="AF92" s="507">
        <v>46182</v>
      </c>
      <c r="AG92" s="505">
        <v>91</v>
      </c>
      <c r="AH92" s="505">
        <f>IFERROR(VLOOKUP(Таблица3[[#This Row],[№ акта]],'Степень зрелости 2026'!$H$12:$I$800,2,FALSE),)</f>
        <v>50</v>
      </c>
      <c r="AJ92" s="508">
        <v>105</v>
      </c>
      <c r="AK92" s="509">
        <v>46182</v>
      </c>
      <c r="AL92" s="508">
        <v>161</v>
      </c>
      <c r="AO92" s="508">
        <v>4560</v>
      </c>
      <c r="AP92" s="508">
        <v>3762</v>
      </c>
      <c r="AQ92" s="508" t="s">
        <v>2939</v>
      </c>
      <c r="AR92" s="508" t="s">
        <v>747</v>
      </c>
      <c r="AS92" s="508" t="s">
        <v>2974</v>
      </c>
      <c r="AT92" s="508" t="s">
        <v>762</v>
      </c>
      <c r="AV92" s="508" t="s">
        <v>763</v>
      </c>
      <c r="AX92" s="508" t="s">
        <v>2974</v>
      </c>
      <c r="AY92" s="508" t="s">
        <v>747</v>
      </c>
      <c r="AZ92" s="508">
        <v>0.7</v>
      </c>
      <c r="BA92" s="508" t="s">
        <v>46</v>
      </c>
      <c r="BB92" s="508" t="s">
        <v>19</v>
      </c>
      <c r="BC92" s="508">
        <v>6</v>
      </c>
      <c r="BD92" s="509">
        <v>46182</v>
      </c>
      <c r="BG92" s="508" t="s">
        <v>3557</v>
      </c>
      <c r="BH92" s="508" t="s">
        <v>2940</v>
      </c>
      <c r="BI92" s="508">
        <v>91</v>
      </c>
      <c r="BJ92" s="508">
        <v>50</v>
      </c>
    </row>
    <row r="93" spans="1:62" s="508" customFormat="1" ht="14.25" hidden="1" customHeight="1" x14ac:dyDescent="0.2">
      <c r="A93" s="495" t="s">
        <v>102</v>
      </c>
      <c r="B93" s="496"/>
      <c r="C93" s="497">
        <f>Таблица3[[#This Row],[Степень зрелости вспом]]</f>
        <v>53</v>
      </c>
      <c r="D93" s="498">
        <v>162</v>
      </c>
      <c r="E93" s="499"/>
      <c r="F93" s="496"/>
      <c r="G93" s="496">
        <v>13010</v>
      </c>
      <c r="H93" s="500"/>
      <c r="I93" s="496">
        <v>11513.8</v>
      </c>
      <c r="J93" s="495" t="s">
        <v>2939</v>
      </c>
      <c r="K93" s="495" t="s">
        <v>747</v>
      </c>
      <c r="L93" s="495" t="s">
        <v>3194</v>
      </c>
      <c r="M93" s="495" t="s">
        <v>1792</v>
      </c>
      <c r="N93" s="495"/>
      <c r="O93" s="495"/>
      <c r="P93" s="495"/>
      <c r="Q93" s="495"/>
      <c r="R93" s="501" t="s">
        <v>80</v>
      </c>
      <c r="S93" s="495"/>
      <c r="T93" s="482" t="str">
        <f>VLOOKUP(Таблица3[[#This Row],[№ акта]],$AJ$1:$BJ$691,15,FALSE)</f>
        <v>А-22/1</v>
      </c>
      <c r="U93" s="482" t="str">
        <f>VLOOKUP(Таблица3[[#This Row],[№ акта]],$AJ$1:$BJ$691,16,FALSE)</f>
        <v>Увертюра</v>
      </c>
      <c r="V93" s="502">
        <f>VLOOKUP(Таблица3[[#This Row],[№ акта]],$AJ$1:$BJ$691,17,FALSE)</f>
        <v>1.9</v>
      </c>
      <c r="W93" s="502" t="str">
        <f>VLOOKUP(Таблица3[[#This Row],[№ акта]],$AJ$1:$BJ$691,18,FALSE)</f>
        <v>ГРК (богара)</v>
      </c>
      <c r="X93" s="502" t="str">
        <f>VLOOKUP(Таблица3[[#This Row],[№ акта]],$AJ$1:$BJ$691,19,FALSE)</f>
        <v>богара</v>
      </c>
      <c r="Y93" s="503">
        <f>VLOOKUP(Таблица3[[#This Row],[№ акта]],$AJ$1:$BJ$691,20,FALSE)</f>
        <v>6</v>
      </c>
      <c r="Z93" s="504">
        <f>VLOOKUP(Таблица3[[#This Row],[№ акта]],$AJ$1:$BJ$691,21,FALSE)</f>
        <v>46182</v>
      </c>
      <c r="AA93" s="504"/>
      <c r="AB93" s="504" t="str">
        <f>IF(VLOOKUP(Таблица3[[#This Row],[№ акта]],$AJ$1:$BJ$691,23,FALSE)&lt;&gt;0,VLOOKUP(Таблица3[[#This Row],[№ акта]],$AJ$1:$BJ$691,23,FALSE),"-")</f>
        <v>-</v>
      </c>
      <c r="AC9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93" s="506" t="s">
        <v>2940</v>
      </c>
      <c r="AE93" s="505">
        <v>106</v>
      </c>
      <c r="AF93" s="507">
        <v>46182</v>
      </c>
      <c r="AG93" s="505">
        <v>92</v>
      </c>
      <c r="AH93" s="505">
        <f>IFERROR(VLOOKUP(Таблица3[[#This Row],[№ акта]],'Степень зрелости 2026'!$H$12:$I$800,2,FALSE),)</f>
        <v>53</v>
      </c>
      <c r="AJ93" s="508">
        <v>106</v>
      </c>
      <c r="AK93" s="509">
        <v>46182</v>
      </c>
      <c r="AL93" s="508">
        <v>162</v>
      </c>
      <c r="AO93" s="508">
        <v>13010</v>
      </c>
      <c r="AP93" s="508">
        <v>11513.8</v>
      </c>
      <c r="AQ93" s="508" t="s">
        <v>2939</v>
      </c>
      <c r="AR93" s="508" t="s">
        <v>747</v>
      </c>
      <c r="AS93" s="508" t="s">
        <v>3194</v>
      </c>
      <c r="AT93" s="508" t="s">
        <v>1792</v>
      </c>
      <c r="AV93" s="508" t="s">
        <v>80</v>
      </c>
      <c r="AX93" s="508" t="s">
        <v>2974</v>
      </c>
      <c r="AY93" s="508" t="s">
        <v>747</v>
      </c>
      <c r="AZ93" s="508">
        <v>1.9</v>
      </c>
      <c r="BA93" s="508" t="s">
        <v>46</v>
      </c>
      <c r="BB93" s="508" t="s">
        <v>19</v>
      </c>
      <c r="BC93" s="508">
        <v>6</v>
      </c>
      <c r="BD93" s="509">
        <v>46182</v>
      </c>
      <c r="BG93" s="508" t="s">
        <v>724</v>
      </c>
      <c r="BH93" s="508" t="s">
        <v>2940</v>
      </c>
      <c r="BI93" s="508">
        <v>92</v>
      </c>
      <c r="BJ93" s="508">
        <v>53</v>
      </c>
    </row>
    <row r="94" spans="1:62" s="508" customFormat="1" ht="14.25" hidden="1" customHeight="1" x14ac:dyDescent="0.2">
      <c r="A94" s="495" t="s">
        <v>102</v>
      </c>
      <c r="B94" s="496"/>
      <c r="C94" s="497">
        <f>Таблица3[[#This Row],[Степень зрелости вспом]]</f>
        <v>53</v>
      </c>
      <c r="D94" s="498">
        <v>163</v>
      </c>
      <c r="E94" s="499"/>
      <c r="F94" s="496"/>
      <c r="G94" s="496">
        <v>13470</v>
      </c>
      <c r="H94" s="500"/>
      <c r="I94" s="496">
        <v>10978</v>
      </c>
      <c r="J94" s="495" t="s">
        <v>2939</v>
      </c>
      <c r="K94" s="495" t="s">
        <v>747</v>
      </c>
      <c r="L94" s="495" t="s">
        <v>3194</v>
      </c>
      <c r="M94" s="495" t="s">
        <v>3195</v>
      </c>
      <c r="N94" s="495"/>
      <c r="O94" s="495"/>
      <c r="P94" s="495"/>
      <c r="Q94" s="495"/>
      <c r="R94" s="501" t="s">
        <v>3196</v>
      </c>
      <c r="S94" s="495"/>
      <c r="T94" s="482" t="str">
        <f>VLOOKUP(Таблица3[[#This Row],[№ акта]],$AJ$1:$BJ$691,15,FALSE)</f>
        <v>А-22/1</v>
      </c>
      <c r="U94" s="482" t="str">
        <f>VLOOKUP(Таблица3[[#This Row],[№ акта]],$AJ$1:$BJ$691,16,FALSE)</f>
        <v>Увертюра</v>
      </c>
      <c r="V94" s="502">
        <f>VLOOKUP(Таблица3[[#This Row],[№ акта]],$AJ$1:$BJ$691,17,FALSE)</f>
        <v>2</v>
      </c>
      <c r="W94" s="502" t="str">
        <f>VLOOKUP(Таблица3[[#This Row],[№ акта]],$AJ$1:$BJ$691,18,FALSE)</f>
        <v>ГРК (богара)</v>
      </c>
      <c r="X94" s="502" t="str">
        <f>VLOOKUP(Таблица3[[#This Row],[№ акта]],$AJ$1:$BJ$691,19,FALSE)</f>
        <v>богара</v>
      </c>
      <c r="Y94" s="503">
        <f>VLOOKUP(Таблица3[[#This Row],[№ акта]],$AJ$1:$BJ$691,20,FALSE)</f>
        <v>6</v>
      </c>
      <c r="Z94" s="504">
        <f>VLOOKUP(Таблица3[[#This Row],[№ акта]],$AJ$1:$BJ$691,21,FALSE)</f>
        <v>46182</v>
      </c>
      <c r="AA94" s="504"/>
      <c r="AB94" s="504" t="str">
        <f>IF(VLOOKUP(Таблица3[[#This Row],[№ акта]],$AJ$1:$BJ$691,23,FALSE)&lt;&gt;0,VLOOKUP(Таблица3[[#This Row],[№ акта]],$AJ$1:$BJ$691,23,FALSE),"-")</f>
        <v>-</v>
      </c>
      <c r="AC9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94" s="506" t="s">
        <v>2940</v>
      </c>
      <c r="AE94" s="505">
        <v>107</v>
      </c>
      <c r="AF94" s="507">
        <v>46182</v>
      </c>
      <c r="AG94" s="505">
        <v>93</v>
      </c>
      <c r="AH94" s="505">
        <f>IFERROR(VLOOKUP(Таблица3[[#This Row],[№ акта]],'Степень зрелости 2026'!$H$12:$I$800,2,FALSE),)</f>
        <v>53</v>
      </c>
      <c r="AJ94" s="508">
        <v>107</v>
      </c>
      <c r="AK94" s="509">
        <v>46182</v>
      </c>
      <c r="AL94" s="508">
        <v>163</v>
      </c>
      <c r="AO94" s="508">
        <v>13470</v>
      </c>
      <c r="AP94" s="508">
        <v>10978</v>
      </c>
      <c r="AQ94" s="508" t="s">
        <v>2939</v>
      </c>
      <c r="AR94" s="508" t="s">
        <v>747</v>
      </c>
      <c r="AS94" s="508" t="s">
        <v>3194</v>
      </c>
      <c r="AT94" s="508" t="s">
        <v>3195</v>
      </c>
      <c r="AV94" s="508" t="s">
        <v>3196</v>
      </c>
      <c r="AX94" s="508" t="s">
        <v>2974</v>
      </c>
      <c r="AY94" s="508" t="s">
        <v>747</v>
      </c>
      <c r="AZ94" s="508">
        <v>2</v>
      </c>
      <c r="BA94" s="508" t="s">
        <v>46</v>
      </c>
      <c r="BB94" s="508" t="s">
        <v>19</v>
      </c>
      <c r="BC94" s="508">
        <v>6</v>
      </c>
      <c r="BD94" s="509">
        <v>46182</v>
      </c>
      <c r="BG94" s="508" t="s">
        <v>724</v>
      </c>
      <c r="BH94" s="508" t="s">
        <v>2940</v>
      </c>
      <c r="BI94" s="508">
        <v>93</v>
      </c>
      <c r="BJ94" s="508">
        <v>53</v>
      </c>
    </row>
    <row r="95" spans="1:62" s="508" customFormat="1" ht="14.25" hidden="1" customHeight="1" x14ac:dyDescent="0.2">
      <c r="A95" s="495" t="s">
        <v>102</v>
      </c>
      <c r="B95" s="496"/>
      <c r="C95" s="497">
        <f>Таблица3[[#This Row],[Степень зрелости вспом]]</f>
        <v>58</v>
      </c>
      <c r="D95" s="498">
        <v>165</v>
      </c>
      <c r="E95" s="499"/>
      <c r="F95" s="496"/>
      <c r="G95" s="496">
        <v>17540</v>
      </c>
      <c r="H95" s="500"/>
      <c r="I95" s="496">
        <v>14875.5</v>
      </c>
      <c r="J95" s="495" t="s">
        <v>2939</v>
      </c>
      <c r="K95" s="495" t="s">
        <v>747</v>
      </c>
      <c r="L95" s="495" t="s">
        <v>3194</v>
      </c>
      <c r="M95" s="495" t="s">
        <v>3203</v>
      </c>
      <c r="N95" s="495"/>
      <c r="O95" s="495"/>
      <c r="P95" s="495"/>
      <c r="Q95" s="495"/>
      <c r="R95" s="501" t="s">
        <v>3378</v>
      </c>
      <c r="S95" s="495"/>
      <c r="T95" s="482" t="str">
        <f>VLOOKUP(Таблица3[[#This Row],[№ акта]],$AJ$1:$BJ$691,15,FALSE)</f>
        <v>А-22/1</v>
      </c>
      <c r="U95" s="482" t="str">
        <f>VLOOKUP(Таблица3[[#This Row],[№ акта]],$AJ$1:$BJ$691,16,FALSE)</f>
        <v>Увертюра</v>
      </c>
      <c r="V95" s="502">
        <f>VLOOKUP(Таблица3[[#This Row],[№ акта]],$AJ$1:$BJ$691,17,FALSE)</f>
        <v>2.6</v>
      </c>
      <c r="W95" s="502" t="str">
        <f>VLOOKUP(Таблица3[[#This Row],[№ акта]],$AJ$1:$BJ$691,18,FALSE)</f>
        <v>ГРК (богара)</v>
      </c>
      <c r="X95" s="502" t="str">
        <f>VLOOKUP(Таблица3[[#This Row],[№ акта]],$AJ$1:$BJ$691,19,FALSE)</f>
        <v>богара</v>
      </c>
      <c r="Y95" s="503">
        <f>VLOOKUP(Таблица3[[#This Row],[№ акта]],$AJ$1:$BJ$691,20,FALSE)</f>
        <v>6</v>
      </c>
      <c r="Z95" s="504">
        <f>VLOOKUP(Таблица3[[#This Row],[№ акта]],$AJ$1:$BJ$691,21,FALSE)</f>
        <v>46182</v>
      </c>
      <c r="AA95" s="496">
        <f>Таблица3[[#This Row],[Регистратор.Вес нетто]]</f>
        <v>17540</v>
      </c>
      <c r="AB95" s="504" t="str">
        <f>IF(VLOOKUP(Таблица3[[#This Row],[№ акта]],$AJ$1:$BJ$691,23,FALSE)&lt;&gt;0,VLOOKUP(Таблица3[[#This Row],[№ акта]],$AJ$1:$BJ$691,23,FALSE),"-")</f>
        <v>ТПК ЮЖНЫЙ ПРОДУКТ ООО</v>
      </c>
      <c r="AC9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95" s="506" t="s">
        <v>2940</v>
      </c>
      <c r="AE95" s="505">
        <v>272</v>
      </c>
      <c r="AF95" s="507">
        <v>46182</v>
      </c>
      <c r="AG95" s="505" t="s">
        <v>3509</v>
      </c>
      <c r="AH95" s="505">
        <f>IFERROR(VLOOKUP(Таблица3[[#This Row],[№ акта]],'Степень зрелости 2026'!$H$12:$I$800,2,FALSE),)</f>
        <v>58</v>
      </c>
      <c r="AJ95" s="508">
        <v>272</v>
      </c>
      <c r="AK95" s="509">
        <v>46182</v>
      </c>
      <c r="AL95" s="508">
        <v>165</v>
      </c>
      <c r="AO95" s="508">
        <v>17540</v>
      </c>
      <c r="AP95" s="508">
        <v>14875.5</v>
      </c>
      <c r="AQ95" s="508" t="s">
        <v>2939</v>
      </c>
      <c r="AR95" s="508" t="s">
        <v>747</v>
      </c>
      <c r="AS95" s="508" t="s">
        <v>3194</v>
      </c>
      <c r="AT95" s="508" t="s">
        <v>3203</v>
      </c>
      <c r="AV95" s="508" t="s">
        <v>3378</v>
      </c>
      <c r="AX95" s="508" t="s">
        <v>2974</v>
      </c>
      <c r="AY95" s="508" t="s">
        <v>747</v>
      </c>
      <c r="AZ95" s="508">
        <v>2.6</v>
      </c>
      <c r="BA95" s="508" t="s">
        <v>46</v>
      </c>
      <c r="BB95" s="508" t="s">
        <v>19</v>
      </c>
      <c r="BC95" s="508">
        <v>6</v>
      </c>
      <c r="BD95" s="509">
        <v>46182</v>
      </c>
      <c r="BE95" s="508">
        <v>17540</v>
      </c>
      <c r="BF95" s="508" t="s">
        <v>3205</v>
      </c>
      <c r="BG95" s="508" t="s">
        <v>724</v>
      </c>
      <c r="BH95" s="508" t="s">
        <v>2940</v>
      </c>
      <c r="BI95" s="508" t="s">
        <v>3509</v>
      </c>
      <c r="BJ95" s="508">
        <v>58</v>
      </c>
    </row>
    <row r="96" spans="1:62" s="508" customFormat="1" ht="14.25" hidden="1" customHeight="1" x14ac:dyDescent="0.2">
      <c r="A96" s="495" t="s">
        <v>102</v>
      </c>
      <c r="B96" s="496"/>
      <c r="C96" s="497">
        <f>Таблица3[[#This Row],[Степень зрелости вспом]]</f>
        <v>54</v>
      </c>
      <c r="D96" s="498">
        <v>166</v>
      </c>
      <c r="E96" s="499"/>
      <c r="F96" s="496"/>
      <c r="G96" s="496">
        <v>15390</v>
      </c>
      <c r="H96" s="500"/>
      <c r="I96" s="496">
        <v>13701</v>
      </c>
      <c r="J96" s="495" t="s">
        <v>2939</v>
      </c>
      <c r="K96" s="495" t="s">
        <v>747</v>
      </c>
      <c r="L96" s="495" t="s">
        <v>2974</v>
      </c>
      <c r="M96" s="495" t="s">
        <v>3202</v>
      </c>
      <c r="N96" s="495"/>
      <c r="O96" s="495"/>
      <c r="P96" s="495"/>
      <c r="Q96" s="495"/>
      <c r="R96" s="501" t="s">
        <v>3383</v>
      </c>
      <c r="S96" s="495"/>
      <c r="T96" s="482" t="str">
        <f>VLOOKUP(Таблица3[[#This Row],[№ акта]],$AJ$1:$BJ$691,15,FALSE)</f>
        <v>А-22/1</v>
      </c>
      <c r="U96" s="482" t="str">
        <f>VLOOKUP(Таблица3[[#This Row],[№ акта]],$AJ$1:$BJ$691,16,FALSE)</f>
        <v>Увертюра</v>
      </c>
      <c r="V96" s="502">
        <f>VLOOKUP(Таблица3[[#This Row],[№ акта]],$AJ$1:$BJ$691,17,FALSE)</f>
        <v>2.2999999999999998</v>
      </c>
      <c r="W96" s="502" t="str">
        <f>VLOOKUP(Таблица3[[#This Row],[№ акта]],$AJ$1:$BJ$691,18,FALSE)</f>
        <v>ГРК (богара)</v>
      </c>
      <c r="X96" s="502" t="str">
        <f>VLOOKUP(Таблица3[[#This Row],[№ акта]],$AJ$1:$BJ$691,19,FALSE)</f>
        <v>богара</v>
      </c>
      <c r="Y96" s="503">
        <f>VLOOKUP(Таблица3[[#This Row],[№ акта]],$AJ$1:$BJ$691,20,FALSE)</f>
        <v>6</v>
      </c>
      <c r="Z96" s="504">
        <f>VLOOKUP(Таблица3[[#This Row],[№ акта]],$AJ$1:$BJ$691,21,FALSE)</f>
        <v>46182</v>
      </c>
      <c r="AA96" s="496">
        <f>Таблица3[[#This Row],[Регистратор.Вес нетто]]</f>
        <v>15390</v>
      </c>
      <c r="AB96" s="504" t="str">
        <f>IF(VLOOKUP(Таблица3[[#This Row],[№ акта]],$AJ$1:$BJ$691,23,FALSE)&lt;&gt;0,VLOOKUP(Таблица3[[#This Row],[№ акта]],$AJ$1:$BJ$691,23,FALSE),"-")</f>
        <v>ТПК ЮЖНЫЙ ПРОДУКТ ООО</v>
      </c>
      <c r="AC9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96" s="506" t="s">
        <v>2940</v>
      </c>
      <c r="AE96" s="505">
        <v>228</v>
      </c>
      <c r="AF96" s="507">
        <v>46188</v>
      </c>
      <c r="AG96" s="505" t="s">
        <v>3621</v>
      </c>
      <c r="AH96" s="505">
        <f>IFERROR(VLOOKUP(Таблица3[[#This Row],[№ акта]],'Степень зрелости 2026'!$H$12:$I$800,2,FALSE),)</f>
        <v>54</v>
      </c>
      <c r="AJ96" s="508">
        <v>228</v>
      </c>
      <c r="AK96" s="509">
        <v>46188</v>
      </c>
      <c r="AL96" s="508">
        <v>166</v>
      </c>
      <c r="AO96" s="508">
        <v>15390</v>
      </c>
      <c r="AP96" s="508">
        <v>13701</v>
      </c>
      <c r="AQ96" s="508" t="s">
        <v>2939</v>
      </c>
      <c r="AR96" s="508" t="s">
        <v>747</v>
      </c>
      <c r="AS96" s="508" t="s">
        <v>2974</v>
      </c>
      <c r="AT96" s="508" t="s">
        <v>3202</v>
      </c>
      <c r="AV96" s="508" t="s">
        <v>3383</v>
      </c>
      <c r="AX96" s="508" t="s">
        <v>2974</v>
      </c>
      <c r="AY96" s="508" t="s">
        <v>747</v>
      </c>
      <c r="AZ96" s="508">
        <v>2.2999999999999998</v>
      </c>
      <c r="BA96" s="508" t="s">
        <v>46</v>
      </c>
      <c r="BB96" s="508" t="s">
        <v>19</v>
      </c>
      <c r="BC96" s="508">
        <v>6</v>
      </c>
      <c r="BD96" s="509">
        <v>46182</v>
      </c>
      <c r="BE96" s="508">
        <v>15390</v>
      </c>
      <c r="BF96" s="508" t="s">
        <v>3205</v>
      </c>
      <c r="BG96" s="508" t="s">
        <v>724</v>
      </c>
      <c r="BH96" s="508" t="s">
        <v>2940</v>
      </c>
      <c r="BI96" s="508" t="s">
        <v>3621</v>
      </c>
      <c r="BJ96" s="508">
        <v>54</v>
      </c>
    </row>
    <row r="97" spans="1:62" s="508" customFormat="1" ht="14.25" hidden="1" customHeight="1" x14ac:dyDescent="0.2">
      <c r="A97" s="495" t="s">
        <v>102</v>
      </c>
      <c r="B97" s="496"/>
      <c r="C97" s="497">
        <f>Таблица3[[#This Row],[Степень зрелости вспом]]</f>
        <v>56</v>
      </c>
      <c r="D97" s="498">
        <v>167</v>
      </c>
      <c r="E97" s="499"/>
      <c r="F97" s="496"/>
      <c r="G97" s="496">
        <v>13530</v>
      </c>
      <c r="H97" s="500"/>
      <c r="I97" s="496">
        <v>10756.3</v>
      </c>
      <c r="J97" s="495" t="s">
        <v>2939</v>
      </c>
      <c r="K97" s="495" t="s">
        <v>747</v>
      </c>
      <c r="L97" s="495" t="s">
        <v>3194</v>
      </c>
      <c r="M97" s="495" t="s">
        <v>329</v>
      </c>
      <c r="N97" s="495"/>
      <c r="O97" s="495"/>
      <c r="P97" s="495"/>
      <c r="Q97" s="495"/>
      <c r="R97" s="501" t="s">
        <v>333</v>
      </c>
      <c r="S97" s="495"/>
      <c r="T97" s="482" t="str">
        <f>VLOOKUP(Таблица3[[#This Row],[№ акта]],$AJ$1:$BJ$691,15,FALSE)</f>
        <v>А-22/1</v>
      </c>
      <c r="U97" s="482" t="str">
        <f>VLOOKUP(Таблица3[[#This Row],[№ акта]],$AJ$1:$BJ$691,16,FALSE)</f>
        <v>Увертюра</v>
      </c>
      <c r="V97" s="502">
        <f>VLOOKUP(Таблица3[[#This Row],[№ акта]],$AJ$1:$BJ$691,17,FALSE)</f>
        <v>2</v>
      </c>
      <c r="W97" s="502" t="str">
        <f>VLOOKUP(Таблица3[[#This Row],[№ акта]],$AJ$1:$BJ$691,18,FALSE)</f>
        <v>ГРК (богара)</v>
      </c>
      <c r="X97" s="502" t="str">
        <f>VLOOKUP(Таблица3[[#This Row],[№ акта]],$AJ$1:$BJ$691,19,FALSE)</f>
        <v>богара</v>
      </c>
      <c r="Y97" s="503">
        <f>VLOOKUP(Таблица3[[#This Row],[№ акта]],$AJ$1:$BJ$691,20,FALSE)</f>
        <v>6</v>
      </c>
      <c r="Z97" s="504">
        <f>VLOOKUP(Таблица3[[#This Row],[№ акта]],$AJ$1:$BJ$691,21,FALSE)</f>
        <v>46182</v>
      </c>
      <c r="AA97" s="496"/>
      <c r="AB97" s="504" t="str">
        <f>IF(VLOOKUP(Таблица3[[#This Row],[№ акта]],$AJ$1:$BJ$691,23,FALSE)&lt;&gt;0,VLOOKUP(Таблица3[[#This Row],[№ акта]],$AJ$1:$BJ$691,23,FALSE),"-")</f>
        <v>-</v>
      </c>
      <c r="AC9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97" s="506" t="s">
        <v>2940</v>
      </c>
      <c r="AE97" s="505">
        <v>108</v>
      </c>
      <c r="AF97" s="507">
        <v>46182</v>
      </c>
      <c r="AG97" s="505">
        <v>94</v>
      </c>
      <c r="AH97" s="505">
        <f>IFERROR(VLOOKUP(Таблица3[[#This Row],[№ акта]],'Степень зрелости 2026'!$H$12:$I$800,2,FALSE),)</f>
        <v>56</v>
      </c>
      <c r="AJ97" s="508">
        <v>108</v>
      </c>
      <c r="AK97" s="509">
        <v>46182</v>
      </c>
      <c r="AL97" s="508">
        <v>167</v>
      </c>
      <c r="AO97" s="508">
        <v>13530</v>
      </c>
      <c r="AP97" s="508">
        <v>10756.3</v>
      </c>
      <c r="AQ97" s="508" t="s">
        <v>2939</v>
      </c>
      <c r="AR97" s="508" t="s">
        <v>747</v>
      </c>
      <c r="AS97" s="508" t="s">
        <v>3194</v>
      </c>
      <c r="AT97" s="508" t="s">
        <v>329</v>
      </c>
      <c r="AV97" s="508" t="s">
        <v>333</v>
      </c>
      <c r="AX97" s="508" t="s">
        <v>2974</v>
      </c>
      <c r="AY97" s="508" t="s">
        <v>747</v>
      </c>
      <c r="AZ97" s="508">
        <v>2</v>
      </c>
      <c r="BA97" s="508" t="s">
        <v>46</v>
      </c>
      <c r="BB97" s="508" t="s">
        <v>19</v>
      </c>
      <c r="BC97" s="508">
        <v>6</v>
      </c>
      <c r="BD97" s="509">
        <v>46182</v>
      </c>
      <c r="BG97" s="508" t="s">
        <v>724</v>
      </c>
      <c r="BH97" s="508" t="s">
        <v>2940</v>
      </c>
      <c r="BI97" s="508">
        <v>94</v>
      </c>
      <c r="BJ97" s="508">
        <v>56</v>
      </c>
    </row>
    <row r="98" spans="1:62" s="508" customFormat="1" ht="14.25" hidden="1" customHeight="1" x14ac:dyDescent="0.2">
      <c r="A98" s="495" t="s">
        <v>102</v>
      </c>
      <c r="B98" s="496"/>
      <c r="C98" s="497">
        <f>Таблица3[[#This Row],[Степень зрелости вспом]]</f>
        <v>54</v>
      </c>
      <c r="D98" s="498">
        <v>168</v>
      </c>
      <c r="E98" s="499"/>
      <c r="F98" s="496"/>
      <c r="G98" s="496">
        <v>4090</v>
      </c>
      <c r="H98" s="500"/>
      <c r="I98" s="496">
        <v>3456.1</v>
      </c>
      <c r="J98" s="495" t="s">
        <v>2939</v>
      </c>
      <c r="K98" s="495" t="s">
        <v>747</v>
      </c>
      <c r="L98" s="495" t="s">
        <v>2974</v>
      </c>
      <c r="M98" s="495" t="s">
        <v>762</v>
      </c>
      <c r="N98" s="495"/>
      <c r="O98" s="495"/>
      <c r="P98" s="495"/>
      <c r="Q98" s="495"/>
      <c r="R98" s="501" t="s">
        <v>763</v>
      </c>
      <c r="S98" s="495"/>
      <c r="T98" s="482" t="str">
        <f>VLOOKUP(Таблица3[[#This Row],[№ акта]],$AJ$1:$BJ$691,15,FALSE)</f>
        <v>А-22/1</v>
      </c>
      <c r="U98" s="482" t="str">
        <f>VLOOKUP(Таблица3[[#This Row],[№ акта]],$AJ$1:$BJ$691,16,FALSE)</f>
        <v>Увертюра</v>
      </c>
      <c r="V98" s="502">
        <f>VLOOKUP(Таблица3[[#This Row],[№ акта]],$AJ$1:$BJ$691,17,FALSE)</f>
        <v>0.6</v>
      </c>
      <c r="W98" s="502" t="str">
        <f>VLOOKUP(Таблица3[[#This Row],[№ акта]],$AJ$1:$BJ$691,18,FALSE)</f>
        <v>ГРК (богара)</v>
      </c>
      <c r="X98" s="502" t="str">
        <f>VLOOKUP(Таблица3[[#This Row],[№ акта]],$AJ$1:$BJ$691,19,FALSE)</f>
        <v>богара</v>
      </c>
      <c r="Y98" s="503">
        <f>VLOOKUP(Таблица3[[#This Row],[№ акта]],$AJ$1:$BJ$691,20,FALSE)</f>
        <v>6</v>
      </c>
      <c r="Z98" s="504">
        <f>VLOOKUP(Таблица3[[#This Row],[№ акта]],$AJ$1:$BJ$691,21,FALSE)</f>
        <v>46182</v>
      </c>
      <c r="AA98" s="504"/>
      <c r="AB98" s="504" t="str">
        <f>IF(VLOOKUP(Таблица3[[#This Row],[№ акта]],$AJ$1:$BJ$691,23,FALSE)&lt;&gt;0,VLOOKUP(Таблица3[[#This Row],[№ акта]],$AJ$1:$BJ$691,23,FALSE),"-")</f>
        <v>-</v>
      </c>
      <c r="AC9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98" s="506" t="s">
        <v>2940</v>
      </c>
      <c r="AE98" s="505">
        <v>109</v>
      </c>
      <c r="AF98" s="507">
        <v>46182</v>
      </c>
      <c r="AG98" s="505">
        <v>95</v>
      </c>
      <c r="AH98" s="505">
        <f>IFERROR(VLOOKUP(Таблица3[[#This Row],[№ акта]],'Степень зрелости 2026'!$H$12:$I$800,2,FALSE),)</f>
        <v>54</v>
      </c>
      <c r="AJ98" s="508">
        <v>109</v>
      </c>
      <c r="AK98" s="509">
        <v>46182</v>
      </c>
      <c r="AL98" s="508">
        <v>168</v>
      </c>
      <c r="AO98" s="508">
        <v>4090</v>
      </c>
      <c r="AP98" s="508">
        <v>3456.1</v>
      </c>
      <c r="AQ98" s="508" t="s">
        <v>2939</v>
      </c>
      <c r="AR98" s="508" t="s">
        <v>747</v>
      </c>
      <c r="AS98" s="508" t="s">
        <v>2974</v>
      </c>
      <c r="AT98" s="508" t="s">
        <v>762</v>
      </c>
      <c r="AV98" s="508" t="s">
        <v>763</v>
      </c>
      <c r="AX98" s="508" t="s">
        <v>2974</v>
      </c>
      <c r="AY98" s="508" t="s">
        <v>747</v>
      </c>
      <c r="AZ98" s="508">
        <v>0.6</v>
      </c>
      <c r="BA98" s="508" t="s">
        <v>46</v>
      </c>
      <c r="BB98" s="508" t="s">
        <v>19</v>
      </c>
      <c r="BC98" s="508">
        <v>6</v>
      </c>
      <c r="BD98" s="509">
        <v>46182</v>
      </c>
      <c r="BG98" s="508" t="s">
        <v>724</v>
      </c>
      <c r="BH98" s="508" t="s">
        <v>2940</v>
      </c>
      <c r="BI98" s="508">
        <v>95</v>
      </c>
      <c r="BJ98" s="508">
        <v>54</v>
      </c>
    </row>
    <row r="99" spans="1:62" s="508" customFormat="1" ht="14.25" hidden="1" customHeight="1" x14ac:dyDescent="0.2">
      <c r="A99" s="495" t="s">
        <v>102</v>
      </c>
      <c r="B99" s="496"/>
      <c r="C99" s="497">
        <f>Таблица3[[#This Row],[Степень зрелости вспом]]</f>
        <v>56</v>
      </c>
      <c r="D99" s="498">
        <v>170</v>
      </c>
      <c r="E99" s="499"/>
      <c r="F99" s="496"/>
      <c r="G99" s="496">
        <v>13410</v>
      </c>
      <c r="H99" s="500"/>
      <c r="I99" s="496">
        <v>12136.1</v>
      </c>
      <c r="J99" s="495" t="s">
        <v>2939</v>
      </c>
      <c r="K99" s="495" t="s">
        <v>747</v>
      </c>
      <c r="L99" s="495" t="s">
        <v>2974</v>
      </c>
      <c r="M99" s="495" t="s">
        <v>195</v>
      </c>
      <c r="N99" s="495"/>
      <c r="O99" s="495"/>
      <c r="P99" s="495"/>
      <c r="Q99" s="495"/>
      <c r="R99" s="501" t="s">
        <v>199</v>
      </c>
      <c r="S99" s="495"/>
      <c r="T99" s="482" t="str">
        <f>VLOOKUP(Таблица3[[#This Row],[№ акта]],$AJ$1:$BJ$691,15,FALSE)</f>
        <v>А-22/1</v>
      </c>
      <c r="U99" s="482" t="str">
        <f>VLOOKUP(Таблица3[[#This Row],[№ акта]],$AJ$1:$BJ$691,16,FALSE)</f>
        <v>Увертюра</v>
      </c>
      <c r="V99" s="502">
        <f>VLOOKUP(Таблица3[[#This Row],[№ акта]],$AJ$1:$BJ$691,17,FALSE)</f>
        <v>2</v>
      </c>
      <c r="W99" s="502" t="str">
        <f>VLOOKUP(Таблица3[[#This Row],[№ акта]],$AJ$1:$BJ$691,18,FALSE)</f>
        <v>ГРК (богара)</v>
      </c>
      <c r="X99" s="502" t="str">
        <f>VLOOKUP(Таблица3[[#This Row],[№ акта]],$AJ$1:$BJ$691,19,FALSE)</f>
        <v>богара</v>
      </c>
      <c r="Y99" s="503">
        <f>VLOOKUP(Таблица3[[#This Row],[№ акта]],$AJ$1:$BJ$691,20,FALSE)</f>
        <v>6</v>
      </c>
      <c r="Z99" s="504">
        <f>VLOOKUP(Таблица3[[#This Row],[№ акта]],$AJ$1:$BJ$691,21,FALSE)</f>
        <v>46182</v>
      </c>
      <c r="AA99" s="504"/>
      <c r="AB99" s="504" t="str">
        <f>IF(VLOOKUP(Таблица3[[#This Row],[№ акта]],$AJ$1:$BJ$691,23,FALSE)&lt;&gt;0,VLOOKUP(Таблица3[[#This Row],[№ акта]],$AJ$1:$BJ$691,23,FALSE),"-")</f>
        <v>-</v>
      </c>
      <c r="AC9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99" s="506" t="s">
        <v>2940</v>
      </c>
      <c r="AE99" s="505">
        <v>110</v>
      </c>
      <c r="AF99" s="507">
        <v>46182</v>
      </c>
      <c r="AG99" s="505">
        <v>96</v>
      </c>
      <c r="AH99" s="505">
        <f>IFERROR(VLOOKUP(Таблица3[[#This Row],[№ акта]],'Степень зрелости 2026'!$H$12:$I$800,2,FALSE),)</f>
        <v>56</v>
      </c>
      <c r="AJ99" s="508">
        <v>110</v>
      </c>
      <c r="AK99" s="509">
        <v>46182</v>
      </c>
      <c r="AL99" s="508">
        <v>170</v>
      </c>
      <c r="AO99" s="508">
        <v>13410</v>
      </c>
      <c r="AP99" s="508">
        <v>12136.1</v>
      </c>
      <c r="AQ99" s="508" t="s">
        <v>2939</v>
      </c>
      <c r="AR99" s="508" t="s">
        <v>747</v>
      </c>
      <c r="AS99" s="508" t="s">
        <v>2974</v>
      </c>
      <c r="AT99" s="508" t="s">
        <v>195</v>
      </c>
      <c r="AV99" s="508" t="s">
        <v>199</v>
      </c>
      <c r="AX99" s="508" t="s">
        <v>2974</v>
      </c>
      <c r="AY99" s="508" t="s">
        <v>747</v>
      </c>
      <c r="AZ99" s="508">
        <v>2</v>
      </c>
      <c r="BA99" s="508" t="s">
        <v>46</v>
      </c>
      <c r="BB99" s="508" t="s">
        <v>19</v>
      </c>
      <c r="BC99" s="508">
        <v>6</v>
      </c>
      <c r="BD99" s="509">
        <v>46182</v>
      </c>
      <c r="BG99" s="508" t="s">
        <v>724</v>
      </c>
      <c r="BH99" s="508" t="s">
        <v>2940</v>
      </c>
      <c r="BI99" s="508">
        <v>96</v>
      </c>
      <c r="BJ99" s="508">
        <v>56</v>
      </c>
    </row>
    <row r="100" spans="1:62" s="508" customFormat="1" ht="14.25" hidden="1" customHeight="1" x14ac:dyDescent="0.2">
      <c r="A100" s="495" t="s">
        <v>102</v>
      </c>
      <c r="B100" s="496"/>
      <c r="C100" s="497">
        <f>Таблица3[[#This Row],[Степень зрелости вспом]]</f>
        <v>54</v>
      </c>
      <c r="D100" s="498">
        <v>171</v>
      </c>
      <c r="E100" s="499"/>
      <c r="F100" s="496"/>
      <c r="G100" s="496">
        <v>13300</v>
      </c>
      <c r="H100" s="500"/>
      <c r="I100" s="496">
        <v>11238.5</v>
      </c>
      <c r="J100" s="495" t="s">
        <v>2939</v>
      </c>
      <c r="K100" s="495" t="s">
        <v>747</v>
      </c>
      <c r="L100" s="495" t="s">
        <v>3194</v>
      </c>
      <c r="M100" s="495" t="s">
        <v>1792</v>
      </c>
      <c r="N100" s="495"/>
      <c r="O100" s="495"/>
      <c r="P100" s="495"/>
      <c r="Q100" s="495"/>
      <c r="R100" s="501" t="s">
        <v>80</v>
      </c>
      <c r="S100" s="495"/>
      <c r="T100" s="482" t="str">
        <f>VLOOKUP(Таблица3[[#This Row],[№ акта]],$AJ$1:$BJ$691,15,FALSE)</f>
        <v>А-22/1</v>
      </c>
      <c r="U100" s="482" t="str">
        <f>VLOOKUP(Таблица3[[#This Row],[№ акта]],$AJ$1:$BJ$691,16,FALSE)</f>
        <v>Увертюра</v>
      </c>
      <c r="V100" s="502">
        <f>VLOOKUP(Таблица3[[#This Row],[№ акта]],$AJ$1:$BJ$691,17,FALSE)</f>
        <v>2</v>
      </c>
      <c r="W100" s="502" t="str">
        <f>VLOOKUP(Таблица3[[#This Row],[№ акта]],$AJ$1:$BJ$691,18,FALSE)</f>
        <v>ГРК (богара)</v>
      </c>
      <c r="X100" s="502" t="str">
        <f>VLOOKUP(Таблица3[[#This Row],[№ акта]],$AJ$1:$BJ$691,19,FALSE)</f>
        <v>богара</v>
      </c>
      <c r="Y100" s="503">
        <f>VLOOKUP(Таблица3[[#This Row],[№ акта]],$AJ$1:$BJ$691,20,FALSE)</f>
        <v>6</v>
      </c>
      <c r="Z100" s="504">
        <f>VLOOKUP(Таблица3[[#This Row],[№ акта]],$AJ$1:$BJ$691,21,FALSE)</f>
        <v>46182</v>
      </c>
      <c r="AA100" s="496"/>
      <c r="AB100" s="504" t="str">
        <f>IF(VLOOKUP(Таблица3[[#This Row],[№ акта]],$AJ$1:$BJ$691,23,FALSE)&lt;&gt;0,VLOOKUP(Таблица3[[#This Row],[№ акта]],$AJ$1:$BJ$691,23,FALSE),"-")</f>
        <v>-</v>
      </c>
      <c r="AC10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00" s="506" t="s">
        <v>2940</v>
      </c>
      <c r="AE100" s="505">
        <v>111</v>
      </c>
      <c r="AF100" s="507">
        <v>46182</v>
      </c>
      <c r="AG100" s="505">
        <v>92</v>
      </c>
      <c r="AH100" s="505">
        <f>IFERROR(VLOOKUP(Таблица3[[#This Row],[№ акта]],'Степень зрелости 2026'!$H$12:$I$800,2,FALSE),)</f>
        <v>54</v>
      </c>
      <c r="AJ100" s="508">
        <v>111</v>
      </c>
      <c r="AK100" s="509">
        <v>46182</v>
      </c>
      <c r="AL100" s="508">
        <v>171</v>
      </c>
      <c r="AO100" s="508">
        <v>13300</v>
      </c>
      <c r="AP100" s="508">
        <v>11238.5</v>
      </c>
      <c r="AQ100" s="508" t="s">
        <v>2939</v>
      </c>
      <c r="AR100" s="508" t="s">
        <v>747</v>
      </c>
      <c r="AS100" s="508" t="s">
        <v>3194</v>
      </c>
      <c r="AT100" s="508" t="s">
        <v>1792</v>
      </c>
      <c r="AV100" s="508" t="s">
        <v>80</v>
      </c>
      <c r="AX100" s="508" t="s">
        <v>2974</v>
      </c>
      <c r="AY100" s="508" t="s">
        <v>747</v>
      </c>
      <c r="AZ100" s="508">
        <v>2</v>
      </c>
      <c r="BA100" s="508" t="s">
        <v>46</v>
      </c>
      <c r="BB100" s="508" t="s">
        <v>19</v>
      </c>
      <c r="BC100" s="508">
        <v>6</v>
      </c>
      <c r="BD100" s="509">
        <v>46182</v>
      </c>
      <c r="BG100" s="508" t="s">
        <v>724</v>
      </c>
      <c r="BH100" s="508" t="s">
        <v>2940</v>
      </c>
      <c r="BI100" s="508">
        <v>92</v>
      </c>
      <c r="BJ100" s="508">
        <v>54</v>
      </c>
    </row>
    <row r="101" spans="1:62" s="508" customFormat="1" ht="14.25" hidden="1" customHeight="1" x14ac:dyDescent="0.2">
      <c r="A101" s="495" t="s">
        <v>102</v>
      </c>
      <c r="B101" s="496"/>
      <c r="C101" s="497">
        <f>Таблица3[[#This Row],[Степень зрелости вспом]]</f>
        <v>51</v>
      </c>
      <c r="D101" s="498">
        <v>172</v>
      </c>
      <c r="E101" s="499"/>
      <c r="F101" s="496"/>
      <c r="G101" s="496">
        <v>13070</v>
      </c>
      <c r="H101" s="500"/>
      <c r="I101" s="496">
        <v>11566.9</v>
      </c>
      <c r="J101" s="495" t="s">
        <v>2939</v>
      </c>
      <c r="K101" s="495" t="s">
        <v>747</v>
      </c>
      <c r="L101" s="495" t="s">
        <v>3194</v>
      </c>
      <c r="M101" s="495" t="s">
        <v>3195</v>
      </c>
      <c r="N101" s="495"/>
      <c r="O101" s="495"/>
      <c r="P101" s="495"/>
      <c r="Q101" s="495"/>
      <c r="R101" s="501" t="s">
        <v>3196</v>
      </c>
      <c r="S101" s="495"/>
      <c r="T101" s="482" t="str">
        <f>VLOOKUP(Таблица3[[#This Row],[№ акта]],$AJ$1:$BJ$691,15,FALSE)</f>
        <v>А-22/1</v>
      </c>
      <c r="U101" s="482" t="str">
        <f>VLOOKUP(Таблица3[[#This Row],[№ акта]],$AJ$1:$BJ$691,16,FALSE)</f>
        <v>Увертюра</v>
      </c>
      <c r="V101" s="502">
        <f>VLOOKUP(Таблица3[[#This Row],[№ акта]],$AJ$1:$BJ$691,17,FALSE)</f>
        <v>2</v>
      </c>
      <c r="W101" s="502" t="str">
        <f>VLOOKUP(Таблица3[[#This Row],[№ акта]],$AJ$1:$BJ$691,18,FALSE)</f>
        <v>ГРК (богара)</v>
      </c>
      <c r="X101" s="502" t="str">
        <f>VLOOKUP(Таблица3[[#This Row],[№ акта]],$AJ$1:$BJ$691,19,FALSE)</f>
        <v>богара</v>
      </c>
      <c r="Y101" s="503">
        <f>VLOOKUP(Таблица3[[#This Row],[№ акта]],$AJ$1:$BJ$691,20,FALSE)</f>
        <v>6</v>
      </c>
      <c r="Z101" s="504">
        <f>VLOOKUP(Таблица3[[#This Row],[№ акта]],$AJ$1:$BJ$691,21,FALSE)</f>
        <v>46182</v>
      </c>
      <c r="AA101" s="504"/>
      <c r="AB101" s="504" t="str">
        <f>IF(VLOOKUP(Таблица3[[#This Row],[№ акта]],$AJ$1:$BJ$691,23,FALSE)&lt;&gt;0,VLOOKUP(Таблица3[[#This Row],[№ акта]],$AJ$1:$BJ$691,23,FALSE),"-")</f>
        <v>-</v>
      </c>
      <c r="AC10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101" s="506" t="s">
        <v>2940</v>
      </c>
      <c r="AE101" s="505">
        <v>112</v>
      </c>
      <c r="AF101" s="507">
        <v>46182</v>
      </c>
      <c r="AG101" s="505">
        <v>98</v>
      </c>
      <c r="AH101" s="505">
        <f>IFERROR(VLOOKUP(Таблица3[[#This Row],[№ акта]],'Степень зрелости 2026'!$H$12:$I$800,2,FALSE),)</f>
        <v>51</v>
      </c>
      <c r="AJ101" s="508">
        <v>112</v>
      </c>
      <c r="AK101" s="509">
        <v>46182</v>
      </c>
      <c r="AL101" s="508">
        <v>172</v>
      </c>
      <c r="AO101" s="508">
        <v>13070</v>
      </c>
      <c r="AP101" s="508">
        <v>11566.9</v>
      </c>
      <c r="AQ101" s="508" t="s">
        <v>2939</v>
      </c>
      <c r="AR101" s="508" t="s">
        <v>747</v>
      </c>
      <c r="AS101" s="508" t="s">
        <v>3194</v>
      </c>
      <c r="AT101" s="508" t="s">
        <v>3195</v>
      </c>
      <c r="AV101" s="508" t="s">
        <v>3196</v>
      </c>
      <c r="AX101" s="508" t="s">
        <v>2974</v>
      </c>
      <c r="AY101" s="508" t="s">
        <v>747</v>
      </c>
      <c r="AZ101" s="508">
        <v>2</v>
      </c>
      <c r="BA101" s="508" t="s">
        <v>46</v>
      </c>
      <c r="BB101" s="508" t="s">
        <v>19</v>
      </c>
      <c r="BC101" s="508">
        <v>6</v>
      </c>
      <c r="BD101" s="509">
        <v>46182</v>
      </c>
      <c r="BG101" s="508" t="s">
        <v>3557</v>
      </c>
      <c r="BH101" s="508" t="s">
        <v>2940</v>
      </c>
      <c r="BI101" s="508">
        <v>98</v>
      </c>
      <c r="BJ101" s="508">
        <v>51</v>
      </c>
    </row>
    <row r="102" spans="1:62" s="508" customFormat="1" ht="14.25" hidden="1" customHeight="1" x14ac:dyDescent="0.2">
      <c r="A102" s="495" t="s">
        <v>102</v>
      </c>
      <c r="B102" s="496"/>
      <c r="C102" s="497">
        <f>Таблица3[[#This Row],[Степень зрелости вспом]]</f>
        <v>54</v>
      </c>
      <c r="D102" s="498">
        <v>173</v>
      </c>
      <c r="E102" s="499"/>
      <c r="F102" s="496"/>
      <c r="G102" s="496">
        <v>13100</v>
      </c>
      <c r="H102" s="500"/>
      <c r="I102" s="496">
        <v>10283.5</v>
      </c>
      <c r="J102" s="495" t="s">
        <v>2939</v>
      </c>
      <c r="K102" s="495" t="s">
        <v>747</v>
      </c>
      <c r="L102" s="495" t="s">
        <v>3194</v>
      </c>
      <c r="M102" s="495" t="s">
        <v>329</v>
      </c>
      <c r="N102" s="495"/>
      <c r="O102" s="495"/>
      <c r="P102" s="495"/>
      <c r="Q102" s="495"/>
      <c r="R102" s="501" t="s">
        <v>333</v>
      </c>
      <c r="S102" s="495"/>
      <c r="T102" s="482" t="str">
        <f>VLOOKUP(Таблица3[[#This Row],[№ акта]],$AJ$1:$BJ$691,15,FALSE)</f>
        <v>А-22/1</v>
      </c>
      <c r="U102" s="482" t="str">
        <f>VLOOKUP(Таблица3[[#This Row],[№ акта]],$AJ$1:$BJ$691,16,FALSE)</f>
        <v>Увертюра</v>
      </c>
      <c r="V102" s="502">
        <f>VLOOKUP(Таблица3[[#This Row],[№ акта]],$AJ$1:$BJ$691,17,FALSE)</f>
        <v>2</v>
      </c>
      <c r="W102" s="502" t="str">
        <f>VLOOKUP(Таблица3[[#This Row],[№ акта]],$AJ$1:$BJ$691,18,FALSE)</f>
        <v>ГРК (богара)</v>
      </c>
      <c r="X102" s="502" t="str">
        <f>VLOOKUP(Таблица3[[#This Row],[№ акта]],$AJ$1:$BJ$691,19,FALSE)</f>
        <v>богара</v>
      </c>
      <c r="Y102" s="503">
        <f>VLOOKUP(Таблица3[[#This Row],[№ акта]],$AJ$1:$BJ$691,20,FALSE)</f>
        <v>6</v>
      </c>
      <c r="Z102" s="504">
        <f>VLOOKUP(Таблица3[[#This Row],[№ акта]],$AJ$1:$BJ$691,21,FALSE)</f>
        <v>46182</v>
      </c>
      <c r="AA102" s="504"/>
      <c r="AB102" s="504" t="str">
        <f>IF(VLOOKUP(Таблица3[[#This Row],[№ акта]],$AJ$1:$BJ$691,23,FALSE)&lt;&gt;0,VLOOKUP(Таблица3[[#This Row],[№ акта]],$AJ$1:$BJ$691,23,FALSE),"-")</f>
        <v>-</v>
      </c>
      <c r="AC10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02" s="506" t="s">
        <v>2940</v>
      </c>
      <c r="AE102" s="505">
        <v>113</v>
      </c>
      <c r="AF102" s="507">
        <v>46182</v>
      </c>
      <c r="AG102" s="505">
        <v>99</v>
      </c>
      <c r="AH102" s="505">
        <f>IFERROR(VLOOKUP(Таблица3[[#This Row],[№ акта]],'Степень зрелости 2026'!$H$12:$I$800,2,FALSE),)</f>
        <v>54</v>
      </c>
      <c r="AJ102" s="508">
        <v>113</v>
      </c>
      <c r="AK102" s="509">
        <v>46182</v>
      </c>
      <c r="AL102" s="508">
        <v>173</v>
      </c>
      <c r="AO102" s="508">
        <v>13100</v>
      </c>
      <c r="AP102" s="508">
        <v>10283.5</v>
      </c>
      <c r="AQ102" s="508" t="s">
        <v>2939</v>
      </c>
      <c r="AR102" s="508" t="s">
        <v>747</v>
      </c>
      <c r="AS102" s="508" t="s">
        <v>3194</v>
      </c>
      <c r="AT102" s="508" t="s">
        <v>329</v>
      </c>
      <c r="AV102" s="508" t="s">
        <v>333</v>
      </c>
      <c r="AX102" s="508" t="s">
        <v>2974</v>
      </c>
      <c r="AY102" s="508" t="s">
        <v>747</v>
      </c>
      <c r="AZ102" s="508">
        <v>2</v>
      </c>
      <c r="BA102" s="508" t="s">
        <v>46</v>
      </c>
      <c r="BB102" s="508" t="s">
        <v>19</v>
      </c>
      <c r="BC102" s="508">
        <v>6</v>
      </c>
      <c r="BD102" s="509">
        <v>46182</v>
      </c>
      <c r="BG102" s="508" t="s">
        <v>724</v>
      </c>
      <c r="BH102" s="508" t="s">
        <v>2940</v>
      </c>
      <c r="BI102" s="508">
        <v>99</v>
      </c>
      <c r="BJ102" s="508">
        <v>54</v>
      </c>
    </row>
    <row r="103" spans="1:62" s="508" customFormat="1" ht="14.25" hidden="1" customHeight="1" x14ac:dyDescent="0.2">
      <c r="A103" s="495" t="s">
        <v>102</v>
      </c>
      <c r="B103" s="496"/>
      <c r="C103" s="497">
        <f>Таблица3[[#This Row],[Степень зрелости вспом]]</f>
        <v>53</v>
      </c>
      <c r="D103" s="498">
        <v>174</v>
      </c>
      <c r="E103" s="499"/>
      <c r="F103" s="496"/>
      <c r="G103" s="496">
        <v>4430</v>
      </c>
      <c r="H103" s="500"/>
      <c r="I103" s="496">
        <v>3743.4</v>
      </c>
      <c r="J103" s="495" t="s">
        <v>2939</v>
      </c>
      <c r="K103" s="495" t="s">
        <v>747</v>
      </c>
      <c r="L103" s="495" t="s">
        <v>2974</v>
      </c>
      <c r="M103" s="495" t="s">
        <v>762</v>
      </c>
      <c r="N103" s="495"/>
      <c r="O103" s="495"/>
      <c r="P103" s="495"/>
      <c r="Q103" s="495"/>
      <c r="R103" s="501" t="s">
        <v>763</v>
      </c>
      <c r="S103" s="495"/>
      <c r="T103" s="482" t="str">
        <f>VLOOKUP(Таблица3[[#This Row],[№ акта]],$AJ$1:$BJ$691,15,FALSE)</f>
        <v>А-22/1</v>
      </c>
      <c r="U103" s="482" t="str">
        <f>VLOOKUP(Таблица3[[#This Row],[№ акта]],$AJ$1:$BJ$691,16,FALSE)</f>
        <v>Увертюра</v>
      </c>
      <c r="V103" s="502">
        <f>VLOOKUP(Таблица3[[#This Row],[№ акта]],$AJ$1:$BJ$691,17,FALSE)</f>
        <v>0.7</v>
      </c>
      <c r="W103" s="502" t="str">
        <f>VLOOKUP(Таблица3[[#This Row],[№ акта]],$AJ$1:$BJ$691,18,FALSE)</f>
        <v>ГРК (богара)</v>
      </c>
      <c r="X103" s="502" t="str">
        <f>VLOOKUP(Таблица3[[#This Row],[№ акта]],$AJ$1:$BJ$691,19,FALSE)</f>
        <v>богара</v>
      </c>
      <c r="Y103" s="503">
        <f>VLOOKUP(Таблица3[[#This Row],[№ акта]],$AJ$1:$BJ$691,20,FALSE)</f>
        <v>6</v>
      </c>
      <c r="Z103" s="504">
        <f>VLOOKUP(Таблица3[[#This Row],[№ акта]],$AJ$1:$BJ$691,21,FALSE)</f>
        <v>46182</v>
      </c>
      <c r="AA103" s="504"/>
      <c r="AB103" s="504" t="str">
        <f>IF(VLOOKUP(Таблица3[[#This Row],[№ акта]],$AJ$1:$BJ$691,23,FALSE)&lt;&gt;0,VLOOKUP(Таблица3[[#This Row],[№ акта]],$AJ$1:$BJ$691,23,FALSE),"-")</f>
        <v>-</v>
      </c>
      <c r="AC10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03" s="506" t="s">
        <v>2940</v>
      </c>
      <c r="AE103" s="505">
        <v>114</v>
      </c>
      <c r="AF103" s="507">
        <v>46182</v>
      </c>
      <c r="AG103" s="505">
        <v>100</v>
      </c>
      <c r="AH103" s="505">
        <f>IFERROR(VLOOKUP(Таблица3[[#This Row],[№ акта]],'Степень зрелости 2026'!$H$12:$I$800,2,FALSE),)</f>
        <v>53</v>
      </c>
      <c r="AJ103" s="508">
        <v>114</v>
      </c>
      <c r="AK103" s="509">
        <v>46182</v>
      </c>
      <c r="AL103" s="508">
        <v>174</v>
      </c>
      <c r="AO103" s="508">
        <v>4430</v>
      </c>
      <c r="AP103" s="508">
        <v>3743.4</v>
      </c>
      <c r="AQ103" s="508" t="s">
        <v>2939</v>
      </c>
      <c r="AR103" s="508" t="s">
        <v>747</v>
      </c>
      <c r="AS103" s="508" t="s">
        <v>2974</v>
      </c>
      <c r="AT103" s="508" t="s">
        <v>762</v>
      </c>
      <c r="AV103" s="508" t="s">
        <v>763</v>
      </c>
      <c r="AX103" s="508" t="s">
        <v>2974</v>
      </c>
      <c r="AY103" s="508" t="s">
        <v>747</v>
      </c>
      <c r="AZ103" s="508">
        <v>0.7</v>
      </c>
      <c r="BA103" s="508" t="s">
        <v>46</v>
      </c>
      <c r="BB103" s="508" t="s">
        <v>19</v>
      </c>
      <c r="BC103" s="508">
        <v>6</v>
      </c>
      <c r="BD103" s="509">
        <v>46182</v>
      </c>
      <c r="BG103" s="508" t="s">
        <v>724</v>
      </c>
      <c r="BH103" s="508" t="s">
        <v>2940</v>
      </c>
      <c r="BI103" s="508">
        <v>100</v>
      </c>
      <c r="BJ103" s="508">
        <v>53</v>
      </c>
    </row>
    <row r="104" spans="1:62" s="508" customFormat="1" ht="14.25" hidden="1" customHeight="1" x14ac:dyDescent="0.2">
      <c r="A104" s="495" t="s">
        <v>102</v>
      </c>
      <c r="B104" s="496"/>
      <c r="C104" s="497">
        <f>Таблица3[[#This Row],[Степень зрелости вспом]]</f>
        <v>54</v>
      </c>
      <c r="D104" s="498">
        <v>175</v>
      </c>
      <c r="E104" s="499"/>
      <c r="F104" s="496"/>
      <c r="G104" s="496">
        <v>13270</v>
      </c>
      <c r="H104" s="500"/>
      <c r="I104" s="496">
        <v>11611.3</v>
      </c>
      <c r="J104" s="495" t="s">
        <v>2939</v>
      </c>
      <c r="K104" s="495" t="s">
        <v>747</v>
      </c>
      <c r="L104" s="495" t="s">
        <v>2974</v>
      </c>
      <c r="M104" s="495" t="s">
        <v>195</v>
      </c>
      <c r="N104" s="495"/>
      <c r="O104" s="495"/>
      <c r="P104" s="495"/>
      <c r="Q104" s="495"/>
      <c r="R104" s="501" t="s">
        <v>199</v>
      </c>
      <c r="S104" s="495"/>
      <c r="T104" s="482" t="str">
        <f>VLOOKUP(Таблица3[[#This Row],[№ акта]],$AJ$1:$BJ$691,15,FALSE)</f>
        <v>А-22/1</v>
      </c>
      <c r="U104" s="482" t="str">
        <f>VLOOKUP(Таблица3[[#This Row],[№ акта]],$AJ$1:$BJ$691,16,FALSE)</f>
        <v>Увертюра</v>
      </c>
      <c r="V104" s="502">
        <f>VLOOKUP(Таблица3[[#This Row],[№ акта]],$AJ$1:$BJ$691,17,FALSE)</f>
        <v>2</v>
      </c>
      <c r="W104" s="502" t="str">
        <f>VLOOKUP(Таблица3[[#This Row],[№ акта]],$AJ$1:$BJ$691,18,FALSE)</f>
        <v>ГРК (богара)</v>
      </c>
      <c r="X104" s="502" t="str">
        <f>VLOOKUP(Таблица3[[#This Row],[№ акта]],$AJ$1:$BJ$691,19,FALSE)</f>
        <v>богара</v>
      </c>
      <c r="Y104" s="503">
        <f>VLOOKUP(Таблица3[[#This Row],[№ акта]],$AJ$1:$BJ$691,20,FALSE)</f>
        <v>6</v>
      </c>
      <c r="Z104" s="504">
        <f>VLOOKUP(Таблица3[[#This Row],[№ акта]],$AJ$1:$BJ$691,21,FALSE)</f>
        <v>46182</v>
      </c>
      <c r="AA104" s="504"/>
      <c r="AB104" s="504" t="str">
        <f>IF(VLOOKUP(Таблица3[[#This Row],[№ акта]],$AJ$1:$BJ$691,23,FALSE)&lt;&gt;0,VLOOKUP(Таблица3[[#This Row],[№ акта]],$AJ$1:$BJ$691,23,FALSE),"-")</f>
        <v>-</v>
      </c>
      <c r="AC10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04" s="506" t="s">
        <v>2940</v>
      </c>
      <c r="AE104" s="505">
        <v>115</v>
      </c>
      <c r="AF104" s="507">
        <v>46182</v>
      </c>
      <c r="AG104" s="505">
        <v>101</v>
      </c>
      <c r="AH104" s="505">
        <f>IFERROR(VLOOKUP(Таблица3[[#This Row],[№ акта]],'Степень зрелости 2026'!$H$12:$I$800,2,FALSE),)</f>
        <v>54</v>
      </c>
      <c r="AJ104" s="508">
        <v>115</v>
      </c>
      <c r="AK104" s="509">
        <v>46182</v>
      </c>
      <c r="AL104" s="508">
        <v>175</v>
      </c>
      <c r="AO104" s="508">
        <v>13270</v>
      </c>
      <c r="AP104" s="508">
        <v>11611.3</v>
      </c>
      <c r="AQ104" s="508" t="s">
        <v>2939</v>
      </c>
      <c r="AR104" s="508" t="s">
        <v>747</v>
      </c>
      <c r="AS104" s="508" t="s">
        <v>2974</v>
      </c>
      <c r="AT104" s="508" t="s">
        <v>195</v>
      </c>
      <c r="AV104" s="508" t="s">
        <v>199</v>
      </c>
      <c r="AX104" s="508" t="s">
        <v>2974</v>
      </c>
      <c r="AY104" s="508" t="s">
        <v>747</v>
      </c>
      <c r="AZ104" s="508">
        <v>2</v>
      </c>
      <c r="BA104" s="508" t="s">
        <v>46</v>
      </c>
      <c r="BB104" s="508" t="s">
        <v>19</v>
      </c>
      <c r="BC104" s="508">
        <v>6</v>
      </c>
      <c r="BD104" s="509">
        <v>46182</v>
      </c>
      <c r="BG104" s="508" t="s">
        <v>724</v>
      </c>
      <c r="BH104" s="508" t="s">
        <v>2940</v>
      </c>
      <c r="BI104" s="508">
        <v>101</v>
      </c>
      <c r="BJ104" s="508">
        <v>54</v>
      </c>
    </row>
    <row r="105" spans="1:62" s="508" customFormat="1" ht="14.25" hidden="1" customHeight="1" x14ac:dyDescent="0.2">
      <c r="A105" s="495" t="s">
        <v>102</v>
      </c>
      <c r="B105" s="496"/>
      <c r="C105" s="497">
        <f>Таблица3[[#This Row],[Степень зрелости вспом]]</f>
        <v>53</v>
      </c>
      <c r="D105" s="498">
        <v>176</v>
      </c>
      <c r="E105" s="499"/>
      <c r="F105" s="496"/>
      <c r="G105" s="496">
        <v>13030</v>
      </c>
      <c r="H105" s="500"/>
      <c r="I105" s="496">
        <v>11448</v>
      </c>
      <c r="J105" s="495" t="s">
        <v>2939</v>
      </c>
      <c r="K105" s="495" t="s">
        <v>747</v>
      </c>
      <c r="L105" s="495" t="s">
        <v>3099</v>
      </c>
      <c r="M105" s="495" t="s">
        <v>305</v>
      </c>
      <c r="N105" s="495"/>
      <c r="O105" s="495"/>
      <c r="P105" s="495"/>
      <c r="Q105" s="495"/>
      <c r="R105" s="501" t="s">
        <v>309</v>
      </c>
      <c r="S105" s="495"/>
      <c r="T105" s="482" t="str">
        <f>VLOOKUP(Таблица3[[#This Row],[№ акта]],$AJ$1:$BJ$691,15,FALSE)</f>
        <v>А-23</v>
      </c>
      <c r="U105" s="482" t="str">
        <f>VLOOKUP(Таблица3[[#This Row],[№ акта]],$AJ$1:$BJ$691,16,FALSE)</f>
        <v>Увертюра</v>
      </c>
      <c r="V105" s="502">
        <f>VLOOKUP(Таблица3[[#This Row],[№ акта]],$AJ$1:$BJ$691,17,FALSE)</f>
        <v>1.9</v>
      </c>
      <c r="W105" s="502" t="str">
        <f>VLOOKUP(Таблица3[[#This Row],[№ акта]],$AJ$1:$BJ$691,18,FALSE)</f>
        <v>ГРК (богара)</v>
      </c>
      <c r="X105" s="502" t="str">
        <f>VLOOKUP(Таблица3[[#This Row],[№ акта]],$AJ$1:$BJ$691,19,FALSE)</f>
        <v>богара</v>
      </c>
      <c r="Y105" s="503">
        <f>VLOOKUP(Таблица3[[#This Row],[№ акта]],$AJ$1:$BJ$691,20,FALSE)</f>
        <v>6</v>
      </c>
      <c r="Z105" s="504">
        <f>VLOOKUP(Таблица3[[#This Row],[№ акта]],$AJ$1:$BJ$691,21,FALSE)</f>
        <v>46182</v>
      </c>
      <c r="AA105" s="496">
        <f>Таблица3[[#This Row],[Регистратор.Вес нетто]]</f>
        <v>13030</v>
      </c>
      <c r="AB105" s="504" t="str">
        <f>IF(VLOOKUP(Таблица3[[#This Row],[№ акта]],$AJ$1:$BJ$691,23,FALSE)&lt;&gt;0,VLOOKUP(Таблица3[[#This Row],[№ акта]],$AJ$1:$BJ$691,23,FALSE),"-")</f>
        <v>ГРАНД-СТАР ООО</v>
      </c>
      <c r="AC10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05" s="506" t="s">
        <v>2940</v>
      </c>
      <c r="AE105" s="505">
        <v>270</v>
      </c>
      <c r="AF105" s="507">
        <v>46182</v>
      </c>
      <c r="AG105" s="505" t="s">
        <v>3512</v>
      </c>
      <c r="AH105" s="505">
        <f>IFERROR(VLOOKUP(Таблица3[[#This Row],[№ акта]],'Степень зрелости 2026'!$H$12:$I$800,2,FALSE),)</f>
        <v>53</v>
      </c>
      <c r="AJ105" s="508">
        <v>270</v>
      </c>
      <c r="AK105" s="509">
        <v>46182</v>
      </c>
      <c r="AL105" s="508">
        <v>176</v>
      </c>
      <c r="AO105" s="508">
        <v>13030</v>
      </c>
      <c r="AP105" s="508">
        <v>11448</v>
      </c>
      <c r="AQ105" s="508" t="s">
        <v>2939</v>
      </c>
      <c r="AR105" s="508" t="s">
        <v>747</v>
      </c>
      <c r="AS105" s="508" t="s">
        <v>3099</v>
      </c>
      <c r="AT105" s="508" t="s">
        <v>305</v>
      </c>
      <c r="AV105" s="508" t="s">
        <v>309</v>
      </c>
      <c r="AX105" s="508" t="s">
        <v>3099</v>
      </c>
      <c r="AY105" s="508" t="s">
        <v>747</v>
      </c>
      <c r="AZ105" s="508">
        <v>1.9</v>
      </c>
      <c r="BA105" s="508" t="s">
        <v>46</v>
      </c>
      <c r="BB105" s="508" t="s">
        <v>19</v>
      </c>
      <c r="BC105" s="508">
        <v>6</v>
      </c>
      <c r="BD105" s="509">
        <v>46182</v>
      </c>
      <c r="BE105" s="508">
        <v>13030</v>
      </c>
      <c r="BF105" s="508" t="s">
        <v>3206</v>
      </c>
      <c r="BG105" s="508" t="s">
        <v>724</v>
      </c>
      <c r="BH105" s="508" t="s">
        <v>2940</v>
      </c>
      <c r="BI105" s="508" t="s">
        <v>3512</v>
      </c>
      <c r="BJ105" s="508">
        <v>53</v>
      </c>
    </row>
    <row r="106" spans="1:62" s="508" customFormat="1" ht="14.25" hidden="1" customHeight="1" x14ac:dyDescent="0.2">
      <c r="A106" s="495" t="s">
        <v>102</v>
      </c>
      <c r="B106" s="496"/>
      <c r="C106" s="497">
        <f>Таблица3[[#This Row],[Степень зрелости вспом]]</f>
        <v>50</v>
      </c>
      <c r="D106" s="498">
        <v>177</v>
      </c>
      <c r="E106" s="499"/>
      <c r="F106" s="496"/>
      <c r="G106" s="496">
        <v>13100</v>
      </c>
      <c r="H106" s="500"/>
      <c r="I106" s="496">
        <v>11283</v>
      </c>
      <c r="J106" s="495" t="s">
        <v>2939</v>
      </c>
      <c r="K106" s="495" t="s">
        <v>747</v>
      </c>
      <c r="L106" s="495" t="s">
        <v>3099</v>
      </c>
      <c r="M106" s="495" t="s">
        <v>3204</v>
      </c>
      <c r="N106" s="495"/>
      <c r="O106" s="495"/>
      <c r="P106" s="495"/>
      <c r="Q106" s="495"/>
      <c r="R106" s="501" t="s">
        <v>3303</v>
      </c>
      <c r="S106" s="495"/>
      <c r="T106" s="482" t="str">
        <f>VLOOKUP(Таблица3[[#This Row],[№ акта]],$AJ$1:$BJ$691,15,FALSE)</f>
        <v>А-23</v>
      </c>
      <c r="U106" s="482" t="str">
        <f>VLOOKUP(Таблица3[[#This Row],[№ акта]],$AJ$1:$BJ$691,16,FALSE)</f>
        <v>Увертюра</v>
      </c>
      <c r="V106" s="502">
        <f>VLOOKUP(Таблица3[[#This Row],[№ акта]],$AJ$1:$BJ$691,17,FALSE)</f>
        <v>1.9</v>
      </c>
      <c r="W106" s="502" t="str">
        <f>VLOOKUP(Таблица3[[#This Row],[№ акта]],$AJ$1:$BJ$691,18,FALSE)</f>
        <v>ГРК (богара)</v>
      </c>
      <c r="X106" s="502" t="str">
        <f>VLOOKUP(Таблица3[[#This Row],[№ акта]],$AJ$1:$BJ$691,19,FALSE)</f>
        <v>богара</v>
      </c>
      <c r="Y106" s="503">
        <f>VLOOKUP(Таблица3[[#This Row],[№ акта]],$AJ$1:$BJ$691,20,FALSE)</f>
        <v>6</v>
      </c>
      <c r="Z106" s="504">
        <f>VLOOKUP(Таблица3[[#This Row],[№ акта]],$AJ$1:$BJ$691,21,FALSE)</f>
        <v>46182</v>
      </c>
      <c r="AA106" s="496">
        <f>Таблица3[[#This Row],[Регистратор.Вес нетто]]</f>
        <v>13100</v>
      </c>
      <c r="AB106" s="504" t="str">
        <f>IF(VLOOKUP(Таблица3[[#This Row],[№ акта]],$AJ$1:$BJ$691,23,FALSE)&lt;&gt;0,VLOOKUP(Таблица3[[#This Row],[№ акта]],$AJ$1:$BJ$691,23,FALSE),"-")</f>
        <v>ГРАНД-СТАР ООО</v>
      </c>
      <c r="AC10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106" s="506" t="s">
        <v>2940</v>
      </c>
      <c r="AE106" s="505">
        <v>271</v>
      </c>
      <c r="AF106" s="507">
        <v>46182</v>
      </c>
      <c r="AG106" s="505" t="s">
        <v>3511</v>
      </c>
      <c r="AH106" s="505">
        <f>IFERROR(VLOOKUP(Таблица3[[#This Row],[№ акта]],'Степень зрелости 2026'!$H$12:$I$800,2,FALSE),)</f>
        <v>50</v>
      </c>
      <c r="AJ106" s="508">
        <v>271</v>
      </c>
      <c r="AK106" s="509">
        <v>46182</v>
      </c>
      <c r="AL106" s="508">
        <v>177</v>
      </c>
      <c r="AO106" s="508">
        <v>13100</v>
      </c>
      <c r="AP106" s="508">
        <v>11283</v>
      </c>
      <c r="AQ106" s="508" t="s">
        <v>2939</v>
      </c>
      <c r="AR106" s="508" t="s">
        <v>747</v>
      </c>
      <c r="AS106" s="508" t="s">
        <v>3099</v>
      </c>
      <c r="AT106" s="508" t="s">
        <v>3204</v>
      </c>
      <c r="AV106" s="508" t="s">
        <v>3303</v>
      </c>
      <c r="AX106" s="508" t="s">
        <v>3099</v>
      </c>
      <c r="AY106" s="508" t="s">
        <v>747</v>
      </c>
      <c r="AZ106" s="508">
        <v>1.9</v>
      </c>
      <c r="BA106" s="508" t="s">
        <v>46</v>
      </c>
      <c r="BB106" s="508" t="s">
        <v>19</v>
      </c>
      <c r="BC106" s="508">
        <v>6</v>
      </c>
      <c r="BD106" s="509">
        <v>46182</v>
      </c>
      <c r="BE106" s="508">
        <v>13100</v>
      </c>
      <c r="BF106" s="508" t="s">
        <v>3206</v>
      </c>
      <c r="BG106" s="508" t="s">
        <v>3557</v>
      </c>
      <c r="BH106" s="508" t="s">
        <v>2940</v>
      </c>
      <c r="BI106" s="508" t="s">
        <v>3511</v>
      </c>
      <c r="BJ106" s="508">
        <v>50</v>
      </c>
    </row>
    <row r="107" spans="1:62" s="508" customFormat="1" ht="14.25" hidden="1" customHeight="1" x14ac:dyDescent="0.2">
      <c r="A107" s="495" t="s">
        <v>102</v>
      </c>
      <c r="B107" s="496"/>
      <c r="C107" s="497">
        <f>Таблица3[[#This Row],[Степень зрелости вспом]]</f>
        <v>55</v>
      </c>
      <c r="D107" s="498">
        <v>178</v>
      </c>
      <c r="E107" s="499"/>
      <c r="F107" s="496"/>
      <c r="G107" s="496">
        <v>12880</v>
      </c>
      <c r="H107" s="500"/>
      <c r="I107" s="496">
        <v>11527.6</v>
      </c>
      <c r="J107" s="495" t="s">
        <v>2939</v>
      </c>
      <c r="K107" s="495" t="s">
        <v>747</v>
      </c>
      <c r="L107" s="495" t="s">
        <v>2974</v>
      </c>
      <c r="M107" s="495" t="s">
        <v>1792</v>
      </c>
      <c r="N107" s="495"/>
      <c r="O107" s="495"/>
      <c r="P107" s="495"/>
      <c r="Q107" s="495"/>
      <c r="R107" s="501" t="s">
        <v>80</v>
      </c>
      <c r="S107" s="495"/>
      <c r="T107" s="482" t="str">
        <f>VLOOKUP(Таблица3[[#This Row],[№ акта]],$AJ$1:$BJ$691,15,FALSE)</f>
        <v>А-22/1</v>
      </c>
      <c r="U107" s="482" t="str">
        <f>VLOOKUP(Таблица3[[#This Row],[№ акта]],$AJ$1:$BJ$691,16,FALSE)</f>
        <v>Увертюра</v>
      </c>
      <c r="V107" s="502">
        <f>VLOOKUP(Таблица3[[#This Row],[№ акта]],$AJ$1:$BJ$691,17,FALSE)</f>
        <v>1.9</v>
      </c>
      <c r="W107" s="502" t="str">
        <f>VLOOKUP(Таблица3[[#This Row],[№ акта]],$AJ$1:$BJ$691,18,FALSE)</f>
        <v>ГРК (богара)</v>
      </c>
      <c r="X107" s="502" t="str">
        <f>VLOOKUP(Таблица3[[#This Row],[№ акта]],$AJ$1:$BJ$691,19,FALSE)</f>
        <v>богара</v>
      </c>
      <c r="Y107" s="503">
        <f>VLOOKUP(Таблица3[[#This Row],[№ акта]],$AJ$1:$BJ$691,20,FALSE)</f>
        <v>6</v>
      </c>
      <c r="Z107" s="504">
        <f>VLOOKUP(Таблица3[[#This Row],[№ акта]],$AJ$1:$BJ$691,21,FALSE)</f>
        <v>46182</v>
      </c>
      <c r="AA107" s="496"/>
      <c r="AB107" s="504" t="str">
        <f>IF(VLOOKUP(Таблица3[[#This Row],[№ акта]],$AJ$1:$BJ$691,23,FALSE)&lt;&gt;0,VLOOKUP(Таблица3[[#This Row],[№ акта]],$AJ$1:$BJ$691,23,FALSE),"-")</f>
        <v>-</v>
      </c>
      <c r="AC10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07" s="506" t="s">
        <v>2940</v>
      </c>
      <c r="AE107" s="505">
        <v>116</v>
      </c>
      <c r="AF107" s="507">
        <v>46182</v>
      </c>
      <c r="AG107" s="505">
        <v>102</v>
      </c>
      <c r="AH107" s="505">
        <f>IFERROR(VLOOKUP(Таблица3[[#This Row],[№ акта]],'Степень зрелости 2026'!$H$12:$I$800,2,FALSE),)</f>
        <v>55</v>
      </c>
      <c r="AJ107" s="508">
        <v>116</v>
      </c>
      <c r="AK107" s="509">
        <v>46182</v>
      </c>
      <c r="AL107" s="508">
        <v>178</v>
      </c>
      <c r="AO107" s="508">
        <v>12880</v>
      </c>
      <c r="AP107" s="508">
        <v>11527.6</v>
      </c>
      <c r="AQ107" s="508" t="s">
        <v>2939</v>
      </c>
      <c r="AR107" s="508" t="s">
        <v>747</v>
      </c>
      <c r="AS107" s="508" t="s">
        <v>2974</v>
      </c>
      <c r="AT107" s="508" t="s">
        <v>1792</v>
      </c>
      <c r="AV107" s="508" t="s">
        <v>80</v>
      </c>
      <c r="AX107" s="508" t="s">
        <v>2974</v>
      </c>
      <c r="AY107" s="508" t="s">
        <v>747</v>
      </c>
      <c r="AZ107" s="508">
        <v>1.9</v>
      </c>
      <c r="BA107" s="508" t="s">
        <v>46</v>
      </c>
      <c r="BB107" s="508" t="s">
        <v>19</v>
      </c>
      <c r="BC107" s="508">
        <v>6</v>
      </c>
      <c r="BD107" s="509">
        <v>46182</v>
      </c>
      <c r="BG107" s="508" t="s">
        <v>724</v>
      </c>
      <c r="BH107" s="508" t="s">
        <v>2940</v>
      </c>
      <c r="BI107" s="508">
        <v>102</v>
      </c>
      <c r="BJ107" s="508">
        <v>55</v>
      </c>
    </row>
    <row r="108" spans="1:62" s="508" customFormat="1" ht="14.25" hidden="1" customHeight="1" x14ac:dyDescent="0.2">
      <c r="A108" s="495" t="s">
        <v>102</v>
      </c>
      <c r="B108" s="496"/>
      <c r="C108" s="497">
        <f>Таблица3[[#This Row],[Степень зрелости вспом]]</f>
        <v>56</v>
      </c>
      <c r="D108" s="498">
        <v>179</v>
      </c>
      <c r="E108" s="499"/>
      <c r="F108" s="496"/>
      <c r="G108" s="496">
        <v>12970</v>
      </c>
      <c r="H108" s="500"/>
      <c r="I108" s="496">
        <v>10700.3</v>
      </c>
      <c r="J108" s="495" t="s">
        <v>2939</v>
      </c>
      <c r="K108" s="495" t="s">
        <v>747</v>
      </c>
      <c r="L108" s="495" t="s">
        <v>2974</v>
      </c>
      <c r="M108" s="495" t="s">
        <v>3195</v>
      </c>
      <c r="N108" s="495"/>
      <c r="O108" s="495"/>
      <c r="P108" s="495"/>
      <c r="Q108" s="495"/>
      <c r="R108" s="501" t="s">
        <v>3196</v>
      </c>
      <c r="S108" s="495"/>
      <c r="T108" s="482" t="str">
        <f>VLOOKUP(Таблица3[[#This Row],[№ акта]],$AJ$1:$BJ$691,15,FALSE)</f>
        <v>А-22/1</v>
      </c>
      <c r="U108" s="482" t="str">
        <f>VLOOKUP(Таблица3[[#This Row],[№ акта]],$AJ$1:$BJ$691,16,FALSE)</f>
        <v>Увертюра</v>
      </c>
      <c r="V108" s="502">
        <f>VLOOKUP(Таблица3[[#This Row],[№ акта]],$AJ$1:$BJ$691,17,FALSE)</f>
        <v>1.9</v>
      </c>
      <c r="W108" s="502" t="str">
        <f>VLOOKUP(Таблица3[[#This Row],[№ акта]],$AJ$1:$BJ$691,18,FALSE)</f>
        <v>ГРК (богара)</v>
      </c>
      <c r="X108" s="502" t="str">
        <f>VLOOKUP(Таблица3[[#This Row],[№ акта]],$AJ$1:$BJ$691,19,FALSE)</f>
        <v>богара</v>
      </c>
      <c r="Y108" s="503">
        <f>VLOOKUP(Таблица3[[#This Row],[№ акта]],$AJ$1:$BJ$691,20,FALSE)</f>
        <v>6</v>
      </c>
      <c r="Z108" s="504">
        <f>VLOOKUP(Таблица3[[#This Row],[№ акта]],$AJ$1:$BJ$691,21,FALSE)</f>
        <v>46182</v>
      </c>
      <c r="AA108" s="504"/>
      <c r="AB108" s="504" t="str">
        <f>IF(VLOOKUP(Таблица3[[#This Row],[№ акта]],$AJ$1:$BJ$691,23,FALSE)&lt;&gt;0,VLOOKUP(Таблица3[[#This Row],[№ акта]],$AJ$1:$BJ$691,23,FALSE),"-")</f>
        <v>-</v>
      </c>
      <c r="AC10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08" s="506" t="s">
        <v>2940</v>
      </c>
      <c r="AE108" s="505">
        <v>117</v>
      </c>
      <c r="AF108" s="507">
        <v>46182</v>
      </c>
      <c r="AG108" s="505">
        <v>103</v>
      </c>
      <c r="AH108" s="505">
        <f>IFERROR(VLOOKUP(Таблица3[[#This Row],[№ акта]],'Степень зрелости 2026'!$H$12:$I$800,2,FALSE),)</f>
        <v>56</v>
      </c>
      <c r="AJ108" s="508">
        <v>117</v>
      </c>
      <c r="AK108" s="509">
        <v>46182</v>
      </c>
      <c r="AL108" s="508">
        <v>179</v>
      </c>
      <c r="AO108" s="508">
        <v>12970</v>
      </c>
      <c r="AP108" s="508">
        <v>10700.3</v>
      </c>
      <c r="AQ108" s="508" t="s">
        <v>2939</v>
      </c>
      <c r="AR108" s="508" t="s">
        <v>747</v>
      </c>
      <c r="AS108" s="508" t="s">
        <v>2974</v>
      </c>
      <c r="AT108" s="508" t="s">
        <v>3195</v>
      </c>
      <c r="AV108" s="508" t="s">
        <v>3196</v>
      </c>
      <c r="AX108" s="508" t="s">
        <v>2974</v>
      </c>
      <c r="AY108" s="508" t="s">
        <v>747</v>
      </c>
      <c r="AZ108" s="508">
        <v>1.9</v>
      </c>
      <c r="BA108" s="508" t="s">
        <v>46</v>
      </c>
      <c r="BB108" s="508" t="s">
        <v>19</v>
      </c>
      <c r="BC108" s="508">
        <v>6</v>
      </c>
      <c r="BD108" s="509">
        <v>46182</v>
      </c>
      <c r="BG108" s="508" t="s">
        <v>724</v>
      </c>
      <c r="BH108" s="508" t="s">
        <v>2940</v>
      </c>
      <c r="BI108" s="508">
        <v>103</v>
      </c>
      <c r="BJ108" s="508">
        <v>56</v>
      </c>
    </row>
    <row r="109" spans="1:62" s="508" customFormat="1" ht="14.25" hidden="1" customHeight="1" x14ac:dyDescent="0.2">
      <c r="A109" s="495" t="s">
        <v>102</v>
      </c>
      <c r="B109" s="496"/>
      <c r="C109" s="497">
        <f>Таблица3[[#This Row],[Степень зрелости вспом]]</f>
        <v>55</v>
      </c>
      <c r="D109" s="498">
        <v>180</v>
      </c>
      <c r="E109" s="499"/>
      <c r="F109" s="496"/>
      <c r="G109" s="496">
        <v>15420</v>
      </c>
      <c r="H109" s="500"/>
      <c r="I109" s="496">
        <v>13338.3</v>
      </c>
      <c r="J109" s="495" t="s">
        <v>2939</v>
      </c>
      <c r="K109" s="495" t="s">
        <v>747</v>
      </c>
      <c r="L109" s="495" t="s">
        <v>2974</v>
      </c>
      <c r="M109" s="495" t="s">
        <v>329</v>
      </c>
      <c r="N109" s="495"/>
      <c r="O109" s="495"/>
      <c r="P109" s="495"/>
      <c r="Q109" s="495"/>
      <c r="R109" s="501" t="s">
        <v>333</v>
      </c>
      <c r="S109" s="495"/>
      <c r="T109" s="482" t="str">
        <f>VLOOKUP(Таблица3[[#This Row],[№ акта]],$AJ$1:$BJ$691,15,FALSE)</f>
        <v>А-22/1</v>
      </c>
      <c r="U109" s="482" t="str">
        <f>VLOOKUP(Таблица3[[#This Row],[№ акта]],$AJ$1:$BJ$691,16,FALSE)</f>
        <v>Увертюра</v>
      </c>
      <c r="V109" s="502">
        <f>VLOOKUP(Таблица3[[#This Row],[№ акта]],$AJ$1:$BJ$691,17,FALSE)</f>
        <v>2.4</v>
      </c>
      <c r="W109" s="502" t="str">
        <f>VLOOKUP(Таблица3[[#This Row],[№ акта]],$AJ$1:$BJ$691,18,FALSE)</f>
        <v>ГРК (богара)</v>
      </c>
      <c r="X109" s="502" t="str">
        <f>VLOOKUP(Таблица3[[#This Row],[№ акта]],$AJ$1:$BJ$691,19,FALSE)</f>
        <v>богара</v>
      </c>
      <c r="Y109" s="503">
        <f>VLOOKUP(Таблица3[[#This Row],[№ акта]],$AJ$1:$BJ$691,20,FALSE)</f>
        <v>6</v>
      </c>
      <c r="Z109" s="504">
        <f>VLOOKUP(Таблица3[[#This Row],[№ акта]],$AJ$1:$BJ$691,21,FALSE)</f>
        <v>46182</v>
      </c>
      <c r="AA109" s="504"/>
      <c r="AB109" s="504" t="str">
        <f>IF(VLOOKUP(Таблица3[[#This Row],[№ акта]],$AJ$1:$BJ$691,23,FALSE)&lt;&gt;0,VLOOKUP(Таблица3[[#This Row],[№ акта]],$AJ$1:$BJ$691,23,FALSE),"-")</f>
        <v>-</v>
      </c>
      <c r="AC10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09" s="506" t="s">
        <v>2940</v>
      </c>
      <c r="AE109" s="505">
        <v>118</v>
      </c>
      <c r="AF109" s="507">
        <v>46182</v>
      </c>
      <c r="AG109" s="505">
        <v>104</v>
      </c>
      <c r="AH109" s="505">
        <f>IFERROR(VLOOKUP(Таблица3[[#This Row],[№ акта]],'Степень зрелости 2026'!$H$12:$I$800,2,FALSE),)</f>
        <v>55</v>
      </c>
      <c r="AJ109" s="508">
        <v>118</v>
      </c>
      <c r="AK109" s="509">
        <v>46182</v>
      </c>
      <c r="AL109" s="508">
        <v>180</v>
      </c>
      <c r="AO109" s="508">
        <v>15420</v>
      </c>
      <c r="AP109" s="508">
        <v>13338.3</v>
      </c>
      <c r="AQ109" s="508" t="s">
        <v>2939</v>
      </c>
      <c r="AR109" s="508" t="s">
        <v>747</v>
      </c>
      <c r="AS109" s="508" t="s">
        <v>2974</v>
      </c>
      <c r="AT109" s="508" t="s">
        <v>329</v>
      </c>
      <c r="AV109" s="508" t="s">
        <v>333</v>
      </c>
      <c r="AX109" s="508" t="s">
        <v>2974</v>
      </c>
      <c r="AY109" s="508" t="s">
        <v>747</v>
      </c>
      <c r="AZ109" s="508">
        <v>2.4</v>
      </c>
      <c r="BA109" s="508" t="s">
        <v>46</v>
      </c>
      <c r="BB109" s="508" t="s">
        <v>19</v>
      </c>
      <c r="BC109" s="508">
        <v>6</v>
      </c>
      <c r="BD109" s="509">
        <v>46182</v>
      </c>
      <c r="BG109" s="508" t="s">
        <v>724</v>
      </c>
      <c r="BH109" s="508" t="s">
        <v>2940</v>
      </c>
      <c r="BI109" s="508">
        <v>104</v>
      </c>
      <c r="BJ109" s="508">
        <v>55</v>
      </c>
    </row>
    <row r="110" spans="1:62" s="508" customFormat="1" ht="14.25" hidden="1" customHeight="1" x14ac:dyDescent="0.2">
      <c r="A110" s="495" t="s">
        <v>102</v>
      </c>
      <c r="B110" s="496"/>
      <c r="C110" s="497">
        <f>Таблица3[[#This Row],[Степень зрелости вспом]]</f>
        <v>55</v>
      </c>
      <c r="D110" s="498">
        <v>181</v>
      </c>
      <c r="E110" s="499"/>
      <c r="F110" s="496"/>
      <c r="G110" s="496">
        <v>4250</v>
      </c>
      <c r="H110" s="500"/>
      <c r="I110" s="496">
        <v>3591.2</v>
      </c>
      <c r="J110" s="495" t="s">
        <v>2939</v>
      </c>
      <c r="K110" s="495" t="s">
        <v>747</v>
      </c>
      <c r="L110" s="495" t="s">
        <v>3099</v>
      </c>
      <c r="M110" s="495" t="s">
        <v>762</v>
      </c>
      <c r="N110" s="495"/>
      <c r="O110" s="495"/>
      <c r="P110" s="495"/>
      <c r="Q110" s="495"/>
      <c r="R110" s="501" t="s">
        <v>763</v>
      </c>
      <c r="S110" s="495"/>
      <c r="T110" s="482" t="str">
        <f>VLOOKUP(Таблица3[[#This Row],[№ акта]],$AJ$1:$BJ$691,15,FALSE)</f>
        <v>А-23</v>
      </c>
      <c r="U110" s="482" t="str">
        <f>VLOOKUP(Таблица3[[#This Row],[№ акта]],$AJ$1:$BJ$691,16,FALSE)</f>
        <v>Увертюра</v>
      </c>
      <c r="V110" s="502">
        <f>VLOOKUP(Таблица3[[#This Row],[№ акта]],$AJ$1:$BJ$691,17,FALSE)</f>
        <v>0.7</v>
      </c>
      <c r="W110" s="502" t="str">
        <f>VLOOKUP(Таблица3[[#This Row],[№ акта]],$AJ$1:$BJ$691,18,FALSE)</f>
        <v>ГРК (богара)</v>
      </c>
      <c r="X110" s="502" t="str">
        <f>VLOOKUP(Таблица3[[#This Row],[№ акта]],$AJ$1:$BJ$691,19,FALSE)</f>
        <v>богара</v>
      </c>
      <c r="Y110" s="503">
        <f>VLOOKUP(Таблица3[[#This Row],[№ акта]],$AJ$1:$BJ$691,20,FALSE)</f>
        <v>7</v>
      </c>
      <c r="Z110" s="504">
        <f>VLOOKUP(Таблица3[[#This Row],[№ акта]],$AJ$1:$BJ$691,21,FALSE)</f>
        <v>46183</v>
      </c>
      <c r="AA110" s="504"/>
      <c r="AB110" s="504" t="str">
        <f>IF(VLOOKUP(Таблица3[[#This Row],[№ акта]],$AJ$1:$BJ$691,23,FALSE)&lt;&gt;0,VLOOKUP(Таблица3[[#This Row],[№ акта]],$AJ$1:$BJ$691,23,FALSE),"-")</f>
        <v>-</v>
      </c>
      <c r="AC11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10" s="506" t="s">
        <v>2940</v>
      </c>
      <c r="AE110" s="505">
        <v>119</v>
      </c>
      <c r="AF110" s="507">
        <v>46183</v>
      </c>
      <c r="AG110" s="505">
        <v>105</v>
      </c>
      <c r="AH110" s="505">
        <f>IFERROR(VLOOKUP(Таблица3[[#This Row],[№ акта]],'Степень зрелости 2026'!$H$12:$I$800,2,FALSE),)</f>
        <v>55</v>
      </c>
      <c r="AJ110" s="508">
        <v>119</v>
      </c>
      <c r="AK110" s="509">
        <v>46183</v>
      </c>
      <c r="AL110" s="508">
        <v>181</v>
      </c>
      <c r="AO110" s="508">
        <v>4250</v>
      </c>
      <c r="AP110" s="508">
        <v>3591.2</v>
      </c>
      <c r="AQ110" s="508" t="s">
        <v>2939</v>
      </c>
      <c r="AR110" s="508" t="s">
        <v>747</v>
      </c>
      <c r="AS110" s="508" t="s">
        <v>3099</v>
      </c>
      <c r="AT110" s="508" t="s">
        <v>762</v>
      </c>
      <c r="AV110" s="508" t="s">
        <v>763</v>
      </c>
      <c r="AX110" s="508" t="s">
        <v>3099</v>
      </c>
      <c r="AY110" s="508" t="s">
        <v>747</v>
      </c>
      <c r="AZ110" s="508">
        <v>0.7</v>
      </c>
      <c r="BA110" s="508" t="s">
        <v>46</v>
      </c>
      <c r="BB110" s="508" t="s">
        <v>19</v>
      </c>
      <c r="BC110" s="508">
        <v>7</v>
      </c>
      <c r="BD110" s="509">
        <v>46183</v>
      </c>
      <c r="BG110" s="508" t="s">
        <v>724</v>
      </c>
      <c r="BH110" s="508" t="s">
        <v>2940</v>
      </c>
      <c r="BI110" s="508">
        <v>105</v>
      </c>
      <c r="BJ110" s="508">
        <v>55</v>
      </c>
    </row>
    <row r="111" spans="1:62" s="508" customFormat="1" ht="14.25" hidden="1" customHeight="1" x14ac:dyDescent="0.2">
      <c r="A111" s="495"/>
      <c r="B111" s="496"/>
      <c r="C111" s="497">
        <f>Таблица3[[#This Row],[Степень зрелости вспом]]</f>
        <v>56</v>
      </c>
      <c r="D111" s="498">
        <v>182</v>
      </c>
      <c r="E111" s="499"/>
      <c r="F111" s="496"/>
      <c r="G111" s="496">
        <v>12980</v>
      </c>
      <c r="H111" s="500"/>
      <c r="I111" s="496">
        <v>10968.1</v>
      </c>
      <c r="J111" s="495" t="s">
        <v>2939</v>
      </c>
      <c r="K111" s="495" t="s">
        <v>747</v>
      </c>
      <c r="L111" s="495" t="s">
        <v>3099</v>
      </c>
      <c r="M111" s="495" t="s">
        <v>195</v>
      </c>
      <c r="N111" s="495"/>
      <c r="O111" s="495"/>
      <c r="P111" s="495"/>
      <c r="Q111" s="495"/>
      <c r="R111" s="501" t="s">
        <v>199</v>
      </c>
      <c r="S111" s="495"/>
      <c r="T111" s="482" t="str">
        <f>VLOOKUP(Таблица3[[#This Row],[№ акта]],$AJ$1:$BJ$691,15,FALSE)</f>
        <v>А-23</v>
      </c>
      <c r="U111" s="482" t="str">
        <f>VLOOKUP(Таблица3[[#This Row],[№ акта]],$AJ$1:$BJ$691,16,FALSE)</f>
        <v>Увертюра</v>
      </c>
      <c r="V111" s="502">
        <f>VLOOKUP(Таблица3[[#This Row],[№ акта]],$AJ$1:$BJ$691,17,FALSE)</f>
        <v>2</v>
      </c>
      <c r="W111" s="502" t="str">
        <f>VLOOKUP(Таблица3[[#This Row],[№ акта]],$AJ$1:$BJ$691,18,FALSE)</f>
        <v>ГРК (богара)</v>
      </c>
      <c r="X111" s="502" t="str">
        <f>VLOOKUP(Таблица3[[#This Row],[№ акта]],$AJ$1:$BJ$691,19,FALSE)</f>
        <v>богара</v>
      </c>
      <c r="Y111" s="503">
        <f>VLOOKUP(Таблица3[[#This Row],[№ акта]],$AJ$1:$BJ$691,20,FALSE)</f>
        <v>7</v>
      </c>
      <c r="Z111" s="504">
        <f>VLOOKUP(Таблица3[[#This Row],[№ акта]],$AJ$1:$BJ$691,21,FALSE)</f>
        <v>46183</v>
      </c>
      <c r="AA111" s="504"/>
      <c r="AB111" s="504" t="str">
        <f>IF(VLOOKUP(Таблица3[[#This Row],[№ акта]],$AJ$1:$BJ$691,23,FALSE)&lt;&gt;0,VLOOKUP(Таблица3[[#This Row],[№ акта]],$AJ$1:$BJ$691,23,FALSE),"-")</f>
        <v>-</v>
      </c>
      <c r="AC11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11" s="506" t="s">
        <v>2940</v>
      </c>
      <c r="AE111" s="505">
        <v>120</v>
      </c>
      <c r="AF111" s="507">
        <v>46183</v>
      </c>
      <c r="AG111" s="505">
        <v>106</v>
      </c>
      <c r="AH111" s="505">
        <f>IFERROR(VLOOKUP(Таблица3[[#This Row],[№ акта]],'Степень зрелости 2026'!$H$12:$I$800,2,FALSE),)</f>
        <v>56</v>
      </c>
      <c r="AJ111" s="508">
        <v>120</v>
      </c>
      <c r="AK111" s="509">
        <v>46183</v>
      </c>
      <c r="AL111" s="508">
        <v>182</v>
      </c>
      <c r="AO111" s="508">
        <v>12980</v>
      </c>
      <c r="AP111" s="508">
        <v>10968.1</v>
      </c>
      <c r="AQ111" s="508" t="s">
        <v>2939</v>
      </c>
      <c r="AR111" s="508" t="s">
        <v>747</v>
      </c>
      <c r="AS111" s="508" t="s">
        <v>3099</v>
      </c>
      <c r="AT111" s="508" t="s">
        <v>195</v>
      </c>
      <c r="AV111" s="508" t="s">
        <v>199</v>
      </c>
      <c r="AX111" s="508" t="s">
        <v>3099</v>
      </c>
      <c r="AY111" s="508" t="s">
        <v>747</v>
      </c>
      <c r="AZ111" s="508">
        <v>2</v>
      </c>
      <c r="BA111" s="508" t="s">
        <v>46</v>
      </c>
      <c r="BB111" s="508" t="s">
        <v>19</v>
      </c>
      <c r="BC111" s="508">
        <v>7</v>
      </c>
      <c r="BD111" s="509">
        <v>46183</v>
      </c>
      <c r="BG111" s="508" t="s">
        <v>724</v>
      </c>
      <c r="BH111" s="508" t="s">
        <v>2940</v>
      </c>
      <c r="BI111" s="508">
        <v>106</v>
      </c>
      <c r="BJ111" s="508">
        <v>56</v>
      </c>
    </row>
    <row r="112" spans="1:62" s="508" customFormat="1" ht="14.25" hidden="1" customHeight="1" x14ac:dyDescent="0.2">
      <c r="A112" s="495" t="s">
        <v>102</v>
      </c>
      <c r="B112" s="496"/>
      <c r="C112" s="497">
        <f>Таблица3[[#This Row],[Степень зрелости вспом]]</f>
        <v>54</v>
      </c>
      <c r="D112" s="498">
        <v>184</v>
      </c>
      <c r="E112" s="499"/>
      <c r="F112" s="496"/>
      <c r="G112" s="496">
        <v>13060</v>
      </c>
      <c r="H112" s="500"/>
      <c r="I112" s="496">
        <v>11688.7</v>
      </c>
      <c r="J112" s="495" t="s">
        <v>2939</v>
      </c>
      <c r="K112" s="495" t="s">
        <v>747</v>
      </c>
      <c r="L112" s="495" t="s">
        <v>3099</v>
      </c>
      <c r="M112" s="495" t="s">
        <v>1792</v>
      </c>
      <c r="N112" s="495"/>
      <c r="O112" s="495"/>
      <c r="P112" s="495"/>
      <c r="Q112" s="495"/>
      <c r="R112" s="501" t="s">
        <v>80</v>
      </c>
      <c r="S112" s="495"/>
      <c r="T112" s="482" t="str">
        <f>VLOOKUP(Таблица3[[#This Row],[№ акта]],$AJ$1:$BJ$691,15,FALSE)</f>
        <v>А-23</v>
      </c>
      <c r="U112" s="482" t="str">
        <f>VLOOKUP(Таблица3[[#This Row],[№ акта]],$AJ$1:$BJ$691,16,FALSE)</f>
        <v>Увертюра</v>
      </c>
      <c r="V112" s="502">
        <f>VLOOKUP(Таблица3[[#This Row],[№ акта]],$AJ$1:$BJ$691,17,FALSE)</f>
        <v>1.9</v>
      </c>
      <c r="W112" s="502" t="str">
        <f>VLOOKUP(Таблица3[[#This Row],[№ акта]],$AJ$1:$BJ$691,18,FALSE)</f>
        <v>ГРК (богара)</v>
      </c>
      <c r="X112" s="502" t="str">
        <f>VLOOKUP(Таблица3[[#This Row],[№ акта]],$AJ$1:$BJ$691,19,FALSE)</f>
        <v>богара</v>
      </c>
      <c r="Y112" s="503">
        <f>VLOOKUP(Таблица3[[#This Row],[№ акта]],$AJ$1:$BJ$691,20,FALSE)</f>
        <v>6</v>
      </c>
      <c r="Z112" s="504">
        <f>VLOOKUP(Таблица3[[#This Row],[№ акта]],$AJ$1:$BJ$691,21,FALSE)</f>
        <v>46182</v>
      </c>
      <c r="AA112" s="504"/>
      <c r="AB112" s="504" t="str">
        <f>IF(VLOOKUP(Таблица3[[#This Row],[№ акта]],$AJ$1:$BJ$691,23,FALSE)&lt;&gt;0,VLOOKUP(Таблица3[[#This Row],[№ акта]],$AJ$1:$BJ$691,23,FALSE),"-")</f>
        <v>-</v>
      </c>
      <c r="AC11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12" s="506" t="s">
        <v>2940</v>
      </c>
      <c r="AE112" s="505">
        <v>121</v>
      </c>
      <c r="AF112" s="507">
        <v>46183</v>
      </c>
      <c r="AG112" s="505">
        <v>107</v>
      </c>
      <c r="AH112" s="505">
        <f>IFERROR(VLOOKUP(Таблица3[[#This Row],[№ акта]],'Степень зрелости 2026'!$H$12:$I$800,2,FALSE),)</f>
        <v>54</v>
      </c>
      <c r="AJ112" s="508">
        <v>121</v>
      </c>
      <c r="AK112" s="509">
        <v>46183</v>
      </c>
      <c r="AL112" s="508">
        <v>184</v>
      </c>
      <c r="AO112" s="508">
        <v>13060</v>
      </c>
      <c r="AP112" s="508">
        <v>11688.7</v>
      </c>
      <c r="AQ112" s="508" t="s">
        <v>2939</v>
      </c>
      <c r="AR112" s="508" t="s">
        <v>747</v>
      </c>
      <c r="AS112" s="508" t="s">
        <v>3099</v>
      </c>
      <c r="AT112" s="508" t="s">
        <v>1792</v>
      </c>
      <c r="AV112" s="508" t="s">
        <v>80</v>
      </c>
      <c r="AX112" s="508" t="s">
        <v>3099</v>
      </c>
      <c r="AY112" s="508" t="s">
        <v>747</v>
      </c>
      <c r="AZ112" s="508">
        <v>1.9</v>
      </c>
      <c r="BA112" s="508" t="s">
        <v>46</v>
      </c>
      <c r="BB112" s="508" t="s">
        <v>19</v>
      </c>
      <c r="BC112" s="508">
        <v>6</v>
      </c>
      <c r="BD112" s="509">
        <v>46182</v>
      </c>
      <c r="BG112" s="508" t="s">
        <v>724</v>
      </c>
      <c r="BH112" s="508" t="s">
        <v>2940</v>
      </c>
      <c r="BI112" s="508">
        <v>107</v>
      </c>
      <c r="BJ112" s="508">
        <v>54</v>
      </c>
    </row>
    <row r="113" spans="1:62" s="508" customFormat="1" ht="14.25" hidden="1" customHeight="1" x14ac:dyDescent="0.2">
      <c r="A113" s="495" t="s">
        <v>102</v>
      </c>
      <c r="B113" s="496"/>
      <c r="C113" s="497">
        <f>Таблица3[[#This Row],[Степень зрелости вспом]]</f>
        <v>54</v>
      </c>
      <c r="D113" s="498">
        <v>185</v>
      </c>
      <c r="E113" s="499"/>
      <c r="F113" s="496"/>
      <c r="G113" s="496">
        <v>12930</v>
      </c>
      <c r="H113" s="500"/>
      <c r="I113" s="496">
        <v>11701.6</v>
      </c>
      <c r="J113" s="495" t="s">
        <v>2939</v>
      </c>
      <c r="K113" s="495" t="s">
        <v>747</v>
      </c>
      <c r="L113" s="495" t="s">
        <v>3099</v>
      </c>
      <c r="M113" s="495" t="s">
        <v>3195</v>
      </c>
      <c r="N113" s="495"/>
      <c r="O113" s="495"/>
      <c r="P113" s="495"/>
      <c r="Q113" s="495"/>
      <c r="R113" s="501" t="s">
        <v>3196</v>
      </c>
      <c r="S113" s="495"/>
      <c r="T113" s="482" t="str">
        <f>VLOOKUP(Таблица3[[#This Row],[№ акта]],$AJ$1:$BJ$691,15,FALSE)</f>
        <v>А-23</v>
      </c>
      <c r="U113" s="482" t="str">
        <f>VLOOKUP(Таблица3[[#This Row],[№ акта]],$AJ$1:$BJ$691,16,FALSE)</f>
        <v>Увертюра</v>
      </c>
      <c r="V113" s="502">
        <f>VLOOKUP(Таблица3[[#This Row],[№ акта]],$AJ$1:$BJ$691,17,FALSE)</f>
        <v>1.9</v>
      </c>
      <c r="W113" s="502" t="str">
        <f>VLOOKUP(Таблица3[[#This Row],[№ акта]],$AJ$1:$BJ$691,18,FALSE)</f>
        <v>ГРК (богара)</v>
      </c>
      <c r="X113" s="502" t="str">
        <f>VLOOKUP(Таблица3[[#This Row],[№ акта]],$AJ$1:$BJ$691,19,FALSE)</f>
        <v>богара</v>
      </c>
      <c r="Y113" s="503">
        <f>VLOOKUP(Таблица3[[#This Row],[№ акта]],$AJ$1:$BJ$691,20,FALSE)</f>
        <v>6</v>
      </c>
      <c r="Z113" s="504">
        <f>VLOOKUP(Таблица3[[#This Row],[№ акта]],$AJ$1:$BJ$691,21,FALSE)</f>
        <v>46182</v>
      </c>
      <c r="AA113" s="504"/>
      <c r="AB113" s="504" t="str">
        <f>IF(VLOOKUP(Таблица3[[#This Row],[№ акта]],$AJ$1:$BJ$691,23,FALSE)&lt;&gt;0,VLOOKUP(Таблица3[[#This Row],[№ акта]],$AJ$1:$BJ$691,23,FALSE),"-")</f>
        <v>-</v>
      </c>
      <c r="AC11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13" s="506" t="s">
        <v>2940</v>
      </c>
      <c r="AE113" s="505">
        <v>122</v>
      </c>
      <c r="AF113" s="507">
        <v>46183</v>
      </c>
      <c r="AG113" s="505">
        <v>108</v>
      </c>
      <c r="AH113" s="505">
        <f>IFERROR(VLOOKUP(Таблица3[[#This Row],[№ акта]],'Степень зрелости 2026'!$H$12:$I$800,2,FALSE),)</f>
        <v>54</v>
      </c>
      <c r="AJ113" s="508">
        <v>122</v>
      </c>
      <c r="AK113" s="509">
        <v>46183</v>
      </c>
      <c r="AL113" s="508">
        <v>185</v>
      </c>
      <c r="AO113" s="508">
        <v>12930</v>
      </c>
      <c r="AP113" s="508">
        <v>11701.6</v>
      </c>
      <c r="AQ113" s="508" t="s">
        <v>2939</v>
      </c>
      <c r="AR113" s="508" t="s">
        <v>747</v>
      </c>
      <c r="AS113" s="508" t="s">
        <v>3099</v>
      </c>
      <c r="AT113" s="508" t="s">
        <v>3195</v>
      </c>
      <c r="AV113" s="508" t="s">
        <v>3196</v>
      </c>
      <c r="AX113" s="508" t="s">
        <v>3099</v>
      </c>
      <c r="AY113" s="508" t="s">
        <v>747</v>
      </c>
      <c r="AZ113" s="508">
        <v>1.9</v>
      </c>
      <c r="BA113" s="508" t="s">
        <v>46</v>
      </c>
      <c r="BB113" s="508" t="s">
        <v>19</v>
      </c>
      <c r="BC113" s="508">
        <v>6</v>
      </c>
      <c r="BD113" s="509">
        <v>46182</v>
      </c>
      <c r="BG113" s="508" t="s">
        <v>724</v>
      </c>
      <c r="BH113" s="508" t="s">
        <v>2940</v>
      </c>
      <c r="BI113" s="508">
        <v>108</v>
      </c>
      <c r="BJ113" s="508">
        <v>54</v>
      </c>
    </row>
    <row r="114" spans="1:62" s="508" customFormat="1" ht="14.25" hidden="1" customHeight="1" x14ac:dyDescent="0.2">
      <c r="A114" s="495"/>
      <c r="B114" s="496"/>
      <c r="C114" s="497">
        <f>Таблица3[[#This Row],[Степень зрелости вспом]]</f>
        <v>56</v>
      </c>
      <c r="D114" s="498">
        <v>186</v>
      </c>
      <c r="E114" s="499"/>
      <c r="F114" s="496"/>
      <c r="G114" s="496">
        <v>12930</v>
      </c>
      <c r="H114" s="500"/>
      <c r="I114" s="496">
        <v>10796.6</v>
      </c>
      <c r="J114" s="495" t="s">
        <v>2939</v>
      </c>
      <c r="K114" s="495" t="s">
        <v>747</v>
      </c>
      <c r="L114" s="495" t="s">
        <v>3099</v>
      </c>
      <c r="M114" s="495" t="s">
        <v>329</v>
      </c>
      <c r="N114" s="495"/>
      <c r="O114" s="495"/>
      <c r="P114" s="495"/>
      <c r="Q114" s="495"/>
      <c r="R114" s="501" t="s">
        <v>333</v>
      </c>
      <c r="S114" s="495"/>
      <c r="T114" s="482" t="str">
        <f>VLOOKUP(Таблица3[[#This Row],[№ акта]],$AJ$1:$BJ$691,15,FALSE)</f>
        <v>А-23</v>
      </c>
      <c r="U114" s="482" t="str">
        <f>VLOOKUP(Таблица3[[#This Row],[№ акта]],$AJ$1:$BJ$691,16,FALSE)</f>
        <v>Увертюра</v>
      </c>
      <c r="V114" s="502">
        <f>VLOOKUP(Таблица3[[#This Row],[№ акта]],$AJ$1:$BJ$691,17,FALSE)</f>
        <v>1.9</v>
      </c>
      <c r="W114" s="502" t="str">
        <f>VLOOKUP(Таблица3[[#This Row],[№ акта]],$AJ$1:$BJ$691,18,FALSE)</f>
        <v>ГРК (богара)</v>
      </c>
      <c r="X114" s="502" t="str">
        <f>VLOOKUP(Таблица3[[#This Row],[№ акта]],$AJ$1:$BJ$691,19,FALSE)</f>
        <v>богара</v>
      </c>
      <c r="Y114" s="503">
        <f>VLOOKUP(Таблица3[[#This Row],[№ акта]],$AJ$1:$BJ$691,20,FALSE)</f>
        <v>6</v>
      </c>
      <c r="Z114" s="504">
        <f>VLOOKUP(Таблица3[[#This Row],[№ акта]],$AJ$1:$BJ$691,21,FALSE)</f>
        <v>46182</v>
      </c>
      <c r="AA114" s="504"/>
      <c r="AB114" s="504" t="str">
        <f>IF(VLOOKUP(Таблица3[[#This Row],[№ акта]],$AJ$1:$BJ$691,23,FALSE)&lt;&gt;0,VLOOKUP(Таблица3[[#This Row],[№ акта]],$AJ$1:$BJ$691,23,FALSE),"-")</f>
        <v>-</v>
      </c>
      <c r="AC11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14" s="506" t="s">
        <v>2940</v>
      </c>
      <c r="AE114" s="505">
        <v>123</v>
      </c>
      <c r="AF114" s="507">
        <v>46183</v>
      </c>
      <c r="AG114" s="505">
        <v>109</v>
      </c>
      <c r="AH114" s="505">
        <f>IFERROR(VLOOKUP(Таблица3[[#This Row],[№ акта]],'Степень зрелости 2026'!$H$12:$I$800,2,FALSE),)</f>
        <v>56</v>
      </c>
      <c r="AJ114" s="508">
        <v>123</v>
      </c>
      <c r="AK114" s="509">
        <v>46183</v>
      </c>
      <c r="AL114" s="508">
        <v>186</v>
      </c>
      <c r="AO114" s="508">
        <v>12930</v>
      </c>
      <c r="AP114" s="508">
        <v>10796.6</v>
      </c>
      <c r="AQ114" s="508" t="s">
        <v>2939</v>
      </c>
      <c r="AR114" s="508" t="s">
        <v>747</v>
      </c>
      <c r="AS114" s="508" t="s">
        <v>3099</v>
      </c>
      <c r="AT114" s="508" t="s">
        <v>329</v>
      </c>
      <c r="AV114" s="508" t="s">
        <v>333</v>
      </c>
      <c r="AX114" s="508" t="s">
        <v>3099</v>
      </c>
      <c r="AY114" s="508" t="s">
        <v>747</v>
      </c>
      <c r="AZ114" s="508">
        <v>1.9</v>
      </c>
      <c r="BA114" s="508" t="s">
        <v>46</v>
      </c>
      <c r="BB114" s="508" t="s">
        <v>19</v>
      </c>
      <c r="BC114" s="508">
        <v>6</v>
      </c>
      <c r="BD114" s="509">
        <v>46182</v>
      </c>
      <c r="BG114" s="508" t="s">
        <v>724</v>
      </c>
      <c r="BH114" s="508" t="s">
        <v>2940</v>
      </c>
      <c r="BI114" s="508">
        <v>109</v>
      </c>
      <c r="BJ114" s="508">
        <v>56</v>
      </c>
    </row>
    <row r="115" spans="1:62" s="508" customFormat="1" ht="14.25" hidden="1" customHeight="1" x14ac:dyDescent="0.2">
      <c r="A115" s="495" t="s">
        <v>102</v>
      </c>
      <c r="B115" s="496"/>
      <c r="C115" s="497">
        <f>Таблица3[[#This Row],[Степень зрелости вспом]]</f>
        <v>53</v>
      </c>
      <c r="D115" s="498">
        <v>187</v>
      </c>
      <c r="E115" s="499"/>
      <c r="F115" s="496"/>
      <c r="G115" s="496">
        <v>4420</v>
      </c>
      <c r="H115" s="500"/>
      <c r="I115" s="496">
        <v>3734.9</v>
      </c>
      <c r="J115" s="495" t="s">
        <v>2939</v>
      </c>
      <c r="K115" s="495" t="s">
        <v>747</v>
      </c>
      <c r="L115" s="495" t="s">
        <v>3099</v>
      </c>
      <c r="M115" s="495" t="s">
        <v>762</v>
      </c>
      <c r="N115" s="495"/>
      <c r="O115" s="495"/>
      <c r="P115" s="495"/>
      <c r="Q115" s="495"/>
      <c r="R115" s="501" t="s">
        <v>763</v>
      </c>
      <c r="S115" s="495"/>
      <c r="T115" s="482" t="str">
        <f>VLOOKUP(Таблица3[[#This Row],[№ акта]],$AJ$1:$BJ$691,15,FALSE)</f>
        <v>А-23</v>
      </c>
      <c r="U115" s="482" t="str">
        <f>VLOOKUP(Таблица3[[#This Row],[№ акта]],$AJ$1:$BJ$691,16,FALSE)</f>
        <v>Увертюра</v>
      </c>
      <c r="V115" s="502">
        <f>VLOOKUP(Таблица3[[#This Row],[№ акта]],$AJ$1:$BJ$691,17,FALSE)</f>
        <v>0.5</v>
      </c>
      <c r="W115" s="502" t="str">
        <f>VLOOKUP(Таблица3[[#This Row],[№ акта]],$AJ$1:$BJ$691,18,FALSE)</f>
        <v>ГРК (богара)</v>
      </c>
      <c r="X115" s="502" t="str">
        <f>VLOOKUP(Таблица3[[#This Row],[№ акта]],$AJ$1:$BJ$691,19,FALSE)</f>
        <v>богара</v>
      </c>
      <c r="Y115" s="503">
        <f>VLOOKUP(Таблица3[[#This Row],[№ акта]],$AJ$1:$BJ$691,20,FALSE)</f>
        <v>6</v>
      </c>
      <c r="Z115" s="504">
        <f>VLOOKUP(Таблица3[[#This Row],[№ акта]],$AJ$1:$BJ$691,21,FALSE)</f>
        <v>46182</v>
      </c>
      <c r="AA115" s="504"/>
      <c r="AB115" s="504" t="str">
        <f>IF(VLOOKUP(Таблица3[[#This Row],[№ акта]],$AJ$1:$BJ$691,23,FALSE)&lt;&gt;0,VLOOKUP(Таблица3[[#This Row],[№ акта]],$AJ$1:$BJ$691,23,FALSE),"-")</f>
        <v>-</v>
      </c>
      <c r="AC11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15" s="506" t="s">
        <v>2940</v>
      </c>
      <c r="AE115" s="505">
        <v>124</v>
      </c>
      <c r="AF115" s="507">
        <v>46183</v>
      </c>
      <c r="AG115" s="505">
        <v>110</v>
      </c>
      <c r="AH115" s="505">
        <f>IFERROR(VLOOKUP(Таблица3[[#This Row],[№ акта]],'Степень зрелости 2026'!$H$12:$I$800,2,FALSE),)</f>
        <v>53</v>
      </c>
      <c r="AJ115" s="508">
        <v>124</v>
      </c>
      <c r="AK115" s="509">
        <v>46183</v>
      </c>
      <c r="AL115" s="508">
        <v>187</v>
      </c>
      <c r="AO115" s="508">
        <v>4420</v>
      </c>
      <c r="AP115" s="508">
        <v>3734.9</v>
      </c>
      <c r="AQ115" s="508" t="s">
        <v>2939</v>
      </c>
      <c r="AR115" s="508" t="s">
        <v>747</v>
      </c>
      <c r="AS115" s="508" t="s">
        <v>3099</v>
      </c>
      <c r="AT115" s="508" t="s">
        <v>762</v>
      </c>
      <c r="AV115" s="508" t="s">
        <v>763</v>
      </c>
      <c r="AX115" s="508" t="s">
        <v>3099</v>
      </c>
      <c r="AY115" s="508" t="s">
        <v>747</v>
      </c>
      <c r="AZ115" s="508">
        <v>0.5</v>
      </c>
      <c r="BA115" s="508" t="s">
        <v>46</v>
      </c>
      <c r="BB115" s="508" t="s">
        <v>19</v>
      </c>
      <c r="BC115" s="508">
        <v>6</v>
      </c>
      <c r="BD115" s="509">
        <v>46182</v>
      </c>
      <c r="BG115" s="508" t="s">
        <v>724</v>
      </c>
      <c r="BH115" s="508" t="s">
        <v>2940</v>
      </c>
      <c r="BI115" s="508">
        <v>110</v>
      </c>
      <c r="BJ115" s="508">
        <v>53</v>
      </c>
    </row>
    <row r="116" spans="1:62" s="508" customFormat="1" ht="14.25" hidden="1" customHeight="1" x14ac:dyDescent="0.2">
      <c r="A116" s="495" t="s">
        <v>102</v>
      </c>
      <c r="B116" s="496"/>
      <c r="C116" s="497">
        <f>Таблица3[[#This Row],[Степень зрелости вспом]]</f>
        <v>55</v>
      </c>
      <c r="D116" s="498">
        <v>189</v>
      </c>
      <c r="E116" s="499"/>
      <c r="F116" s="496"/>
      <c r="G116" s="496">
        <v>13160</v>
      </c>
      <c r="H116" s="500"/>
      <c r="I116" s="496">
        <v>11383.4</v>
      </c>
      <c r="J116" s="495" t="s">
        <v>2939</v>
      </c>
      <c r="K116" s="495" t="s">
        <v>747</v>
      </c>
      <c r="L116" s="495" t="s">
        <v>3099</v>
      </c>
      <c r="M116" s="495" t="s">
        <v>239</v>
      </c>
      <c r="N116" s="495"/>
      <c r="O116" s="495"/>
      <c r="P116" s="495"/>
      <c r="Q116" s="495"/>
      <c r="R116" s="501" t="s">
        <v>243</v>
      </c>
      <c r="S116" s="495"/>
      <c r="T116" s="482" t="str">
        <f>VLOOKUP(Таблица3[[#This Row],[№ акта]],$AJ$1:$BJ$691,15,FALSE)</f>
        <v>А-23</v>
      </c>
      <c r="U116" s="482" t="str">
        <f>VLOOKUP(Таблица3[[#This Row],[№ акта]],$AJ$1:$BJ$691,16,FALSE)</f>
        <v>Увертюра</v>
      </c>
      <c r="V116" s="502">
        <f>VLOOKUP(Таблица3[[#This Row],[№ акта]],$AJ$1:$BJ$691,17,FALSE)</f>
        <v>2.1</v>
      </c>
      <c r="W116" s="502" t="str">
        <f>VLOOKUP(Таблица3[[#This Row],[№ акта]],$AJ$1:$BJ$691,18,FALSE)</f>
        <v>ГРК (богара)</v>
      </c>
      <c r="X116" s="502" t="str">
        <f>VLOOKUP(Таблица3[[#This Row],[№ акта]],$AJ$1:$BJ$691,19,FALSE)</f>
        <v>богара</v>
      </c>
      <c r="Y116" s="503">
        <f>VLOOKUP(Таблица3[[#This Row],[№ акта]],$AJ$1:$BJ$691,20,FALSE)</f>
        <v>7</v>
      </c>
      <c r="Z116" s="504">
        <f>VLOOKUP(Таблица3[[#This Row],[№ акта]],$AJ$1:$BJ$691,21,FALSE)</f>
        <v>46183</v>
      </c>
      <c r="AA116" s="504"/>
      <c r="AB116" s="504" t="str">
        <f>IF(VLOOKUP(Таблица3[[#This Row],[№ акта]],$AJ$1:$BJ$691,23,FALSE)&lt;&gt;0,VLOOKUP(Таблица3[[#This Row],[№ акта]],$AJ$1:$BJ$691,23,FALSE),"-")</f>
        <v>-</v>
      </c>
      <c r="AC11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16" s="506" t="s">
        <v>2940</v>
      </c>
      <c r="AE116" s="505">
        <v>125</v>
      </c>
      <c r="AF116" s="507">
        <v>46183</v>
      </c>
      <c r="AG116" s="505">
        <v>111</v>
      </c>
      <c r="AH116" s="505">
        <f>IFERROR(VLOOKUP(Таблица3[[#This Row],[№ акта]],'Степень зрелости 2026'!$H$12:$I$800,2,FALSE),)</f>
        <v>55</v>
      </c>
      <c r="AJ116" s="508">
        <v>125</v>
      </c>
      <c r="AK116" s="509">
        <v>46183</v>
      </c>
      <c r="AL116" s="508">
        <v>189</v>
      </c>
      <c r="AO116" s="508">
        <v>13160</v>
      </c>
      <c r="AP116" s="508">
        <v>11383.4</v>
      </c>
      <c r="AQ116" s="508" t="s">
        <v>2939</v>
      </c>
      <c r="AR116" s="508" t="s">
        <v>747</v>
      </c>
      <c r="AS116" s="508" t="s">
        <v>3099</v>
      </c>
      <c r="AT116" s="508" t="s">
        <v>239</v>
      </c>
      <c r="AV116" s="508" t="s">
        <v>243</v>
      </c>
      <c r="AX116" s="508" t="s">
        <v>3099</v>
      </c>
      <c r="AY116" s="508" t="s">
        <v>747</v>
      </c>
      <c r="AZ116" s="508">
        <v>2.1</v>
      </c>
      <c r="BA116" s="508" t="s">
        <v>46</v>
      </c>
      <c r="BB116" s="508" t="s">
        <v>19</v>
      </c>
      <c r="BC116" s="508">
        <v>7</v>
      </c>
      <c r="BD116" s="509">
        <v>46183</v>
      </c>
      <c r="BG116" s="508" t="s">
        <v>724</v>
      </c>
      <c r="BH116" s="508" t="s">
        <v>2940</v>
      </c>
      <c r="BI116" s="508">
        <v>111</v>
      </c>
      <c r="BJ116" s="508">
        <v>55</v>
      </c>
    </row>
    <row r="117" spans="1:62" s="508" customFormat="1" ht="14.25" hidden="1" customHeight="1" x14ac:dyDescent="0.2">
      <c r="A117" s="495" t="s">
        <v>102</v>
      </c>
      <c r="B117" s="496"/>
      <c r="C117" s="497">
        <f>Таблица3[[#This Row],[Степень зрелости вспом]]</f>
        <v>57</v>
      </c>
      <c r="D117" s="498">
        <v>190</v>
      </c>
      <c r="E117" s="499"/>
      <c r="F117" s="496"/>
      <c r="G117" s="496">
        <v>12700</v>
      </c>
      <c r="H117" s="500"/>
      <c r="I117" s="496">
        <v>10985.5</v>
      </c>
      <c r="J117" s="495" t="s">
        <v>2939</v>
      </c>
      <c r="K117" s="495" t="s">
        <v>747</v>
      </c>
      <c r="L117" s="495" t="s">
        <v>3099</v>
      </c>
      <c r="M117" s="495" t="s">
        <v>212</v>
      </c>
      <c r="N117" s="495"/>
      <c r="O117" s="495"/>
      <c r="P117" s="495"/>
      <c r="Q117" s="495"/>
      <c r="R117" s="501" t="s">
        <v>2965</v>
      </c>
      <c r="S117" s="495"/>
      <c r="T117" s="482" t="str">
        <f>VLOOKUP(Таблица3[[#This Row],[№ акта]],$AJ$1:$BJ$691,15,FALSE)</f>
        <v>А-23</v>
      </c>
      <c r="U117" s="482" t="str">
        <f>VLOOKUP(Таблица3[[#This Row],[№ акта]],$AJ$1:$BJ$691,16,FALSE)</f>
        <v>Увертюра</v>
      </c>
      <c r="V117" s="502">
        <f>VLOOKUP(Таблица3[[#This Row],[№ акта]],$AJ$1:$BJ$691,17,FALSE)</f>
        <v>2</v>
      </c>
      <c r="W117" s="502" t="str">
        <f>VLOOKUP(Таблица3[[#This Row],[№ акта]],$AJ$1:$BJ$691,18,FALSE)</f>
        <v>ГРК (богара)</v>
      </c>
      <c r="X117" s="502" t="str">
        <f>VLOOKUP(Таблица3[[#This Row],[№ акта]],$AJ$1:$BJ$691,19,FALSE)</f>
        <v>богара</v>
      </c>
      <c r="Y117" s="503">
        <f>VLOOKUP(Таблица3[[#This Row],[№ акта]],$AJ$1:$BJ$691,20,FALSE)</f>
        <v>7</v>
      </c>
      <c r="Z117" s="504">
        <f>VLOOKUP(Таблица3[[#This Row],[№ акта]],$AJ$1:$BJ$691,21,FALSE)</f>
        <v>46183</v>
      </c>
      <c r="AA117" s="504"/>
      <c r="AB117" s="504" t="str">
        <f>IF(VLOOKUP(Таблица3[[#This Row],[№ акта]],$AJ$1:$BJ$691,23,FALSE)&lt;&gt;0,VLOOKUP(Таблица3[[#This Row],[№ акта]],$AJ$1:$BJ$691,23,FALSE),"-")</f>
        <v>-</v>
      </c>
      <c r="AC11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17" s="506" t="s">
        <v>2940</v>
      </c>
      <c r="AE117" s="505">
        <v>126</v>
      </c>
      <c r="AF117" s="507">
        <v>46183</v>
      </c>
      <c r="AG117" s="505">
        <v>112</v>
      </c>
      <c r="AH117" s="505">
        <f>IFERROR(VLOOKUP(Таблица3[[#This Row],[№ акта]],'Степень зрелости 2026'!$H$12:$I$800,2,FALSE),)</f>
        <v>57</v>
      </c>
      <c r="AJ117" s="508">
        <v>126</v>
      </c>
      <c r="AK117" s="509">
        <v>46183</v>
      </c>
      <c r="AL117" s="508">
        <v>190</v>
      </c>
      <c r="AO117" s="508">
        <v>12700</v>
      </c>
      <c r="AP117" s="508">
        <v>10985.5</v>
      </c>
      <c r="AQ117" s="508" t="s">
        <v>2939</v>
      </c>
      <c r="AR117" s="508" t="s">
        <v>747</v>
      </c>
      <c r="AS117" s="508" t="s">
        <v>3099</v>
      </c>
      <c r="AT117" s="508" t="s">
        <v>212</v>
      </c>
      <c r="AV117" s="508" t="s">
        <v>2965</v>
      </c>
      <c r="AX117" s="508" t="s">
        <v>3099</v>
      </c>
      <c r="AY117" s="508" t="s">
        <v>747</v>
      </c>
      <c r="AZ117" s="508">
        <v>2</v>
      </c>
      <c r="BA117" s="508" t="s">
        <v>46</v>
      </c>
      <c r="BB117" s="508" t="s">
        <v>19</v>
      </c>
      <c r="BC117" s="508">
        <v>7</v>
      </c>
      <c r="BD117" s="509">
        <v>46183</v>
      </c>
      <c r="BG117" s="508" t="s">
        <v>724</v>
      </c>
      <c r="BH117" s="508" t="s">
        <v>2940</v>
      </c>
      <c r="BI117" s="508">
        <v>112</v>
      </c>
      <c r="BJ117" s="508">
        <v>57</v>
      </c>
    </row>
    <row r="118" spans="1:62" s="508" customFormat="1" ht="14.25" hidden="1" customHeight="1" x14ac:dyDescent="0.2">
      <c r="A118" s="495" t="s">
        <v>102</v>
      </c>
      <c r="B118" s="496"/>
      <c r="C118" s="497">
        <f>Таблица3[[#This Row],[Степень зрелости вспом]]</f>
        <v>57</v>
      </c>
      <c r="D118" s="498">
        <v>192</v>
      </c>
      <c r="E118" s="499"/>
      <c r="F118" s="496"/>
      <c r="G118" s="496">
        <v>13380</v>
      </c>
      <c r="H118" s="500"/>
      <c r="I118" s="496">
        <v>11439.9</v>
      </c>
      <c r="J118" s="495" t="s">
        <v>2939</v>
      </c>
      <c r="K118" s="495" t="s">
        <v>747</v>
      </c>
      <c r="L118" s="495" t="s">
        <v>3099</v>
      </c>
      <c r="M118" s="495" t="s">
        <v>335</v>
      </c>
      <c r="N118" s="495"/>
      <c r="O118" s="495"/>
      <c r="P118" s="495"/>
      <c r="Q118" s="495"/>
      <c r="R118" s="501" t="s">
        <v>339</v>
      </c>
      <c r="S118" s="495"/>
      <c r="T118" s="482" t="str">
        <f>VLOOKUP(Таблица3[[#This Row],[№ акта]],$AJ$1:$BJ$691,15,FALSE)</f>
        <v>А-23</v>
      </c>
      <c r="U118" s="482" t="str">
        <f>VLOOKUP(Таблица3[[#This Row],[№ акта]],$AJ$1:$BJ$691,16,FALSE)</f>
        <v>Увертюра</v>
      </c>
      <c r="V118" s="502">
        <f>VLOOKUP(Таблица3[[#This Row],[№ акта]],$AJ$1:$BJ$691,17,FALSE)</f>
        <v>2.1</v>
      </c>
      <c r="W118" s="502" t="str">
        <f>VLOOKUP(Таблица3[[#This Row],[№ акта]],$AJ$1:$BJ$691,18,FALSE)</f>
        <v>ГРК (богара)</v>
      </c>
      <c r="X118" s="502" t="str">
        <f>VLOOKUP(Таблица3[[#This Row],[№ акта]],$AJ$1:$BJ$691,19,FALSE)</f>
        <v>богара</v>
      </c>
      <c r="Y118" s="503">
        <f>VLOOKUP(Таблица3[[#This Row],[№ акта]],$AJ$1:$BJ$691,20,FALSE)</f>
        <v>7</v>
      </c>
      <c r="Z118" s="504">
        <f>VLOOKUP(Таблица3[[#This Row],[№ акта]],$AJ$1:$BJ$691,21,FALSE)</f>
        <v>46183</v>
      </c>
      <c r="AA118" s="504"/>
      <c r="AB118" s="504" t="str">
        <f>IF(VLOOKUP(Таблица3[[#This Row],[№ акта]],$AJ$1:$BJ$691,23,FALSE)&lt;&gt;0,VLOOKUP(Таблица3[[#This Row],[№ акта]],$AJ$1:$BJ$691,23,FALSE),"-")</f>
        <v>-</v>
      </c>
      <c r="AC11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18" s="506" t="s">
        <v>2940</v>
      </c>
      <c r="AE118" s="505">
        <v>127</v>
      </c>
      <c r="AF118" s="507">
        <v>46183</v>
      </c>
      <c r="AG118" s="505">
        <v>113</v>
      </c>
      <c r="AH118" s="505">
        <f>IFERROR(VLOOKUP(Таблица3[[#This Row],[№ акта]],'Степень зрелости 2026'!$H$12:$I$800,2,FALSE),)</f>
        <v>57</v>
      </c>
      <c r="AJ118" s="508">
        <v>127</v>
      </c>
      <c r="AK118" s="509">
        <v>46183</v>
      </c>
      <c r="AL118" s="508">
        <v>192</v>
      </c>
      <c r="AO118" s="508">
        <v>13380</v>
      </c>
      <c r="AP118" s="508">
        <v>11439.9</v>
      </c>
      <c r="AQ118" s="508" t="s">
        <v>2939</v>
      </c>
      <c r="AR118" s="508" t="s">
        <v>747</v>
      </c>
      <c r="AS118" s="508" t="s">
        <v>3099</v>
      </c>
      <c r="AT118" s="508" t="s">
        <v>335</v>
      </c>
      <c r="AV118" s="508" t="s">
        <v>339</v>
      </c>
      <c r="AX118" s="508" t="s">
        <v>3099</v>
      </c>
      <c r="AY118" s="508" t="s">
        <v>747</v>
      </c>
      <c r="AZ118" s="508">
        <v>2.1</v>
      </c>
      <c r="BA118" s="508" t="s">
        <v>46</v>
      </c>
      <c r="BB118" s="508" t="s">
        <v>19</v>
      </c>
      <c r="BC118" s="508">
        <v>7</v>
      </c>
      <c r="BD118" s="509">
        <v>46183</v>
      </c>
      <c r="BG118" s="508" t="s">
        <v>724</v>
      </c>
      <c r="BH118" s="508" t="s">
        <v>2940</v>
      </c>
      <c r="BI118" s="508">
        <v>113</v>
      </c>
      <c r="BJ118" s="508">
        <v>57</v>
      </c>
    </row>
    <row r="119" spans="1:62" s="508" customFormat="1" ht="14.25" hidden="1" customHeight="1" x14ac:dyDescent="0.2">
      <c r="A119" s="495" t="s">
        <v>102</v>
      </c>
      <c r="B119" s="496"/>
      <c r="C119" s="497">
        <f>Таблица3[[#This Row],[Степень зрелости вспом]]</f>
        <v>53</v>
      </c>
      <c r="D119" s="498">
        <v>193</v>
      </c>
      <c r="E119" s="499"/>
      <c r="F119" s="496"/>
      <c r="G119" s="496">
        <v>8650</v>
      </c>
      <c r="H119" s="500"/>
      <c r="I119" s="496">
        <v>7612</v>
      </c>
      <c r="J119" s="495" t="s">
        <v>2939</v>
      </c>
      <c r="K119" s="495" t="s">
        <v>747</v>
      </c>
      <c r="L119" s="495" t="s">
        <v>3099</v>
      </c>
      <c r="M119" s="495" t="s">
        <v>127</v>
      </c>
      <c r="N119" s="495"/>
      <c r="O119" s="495"/>
      <c r="P119" s="495"/>
      <c r="Q119" s="495"/>
      <c r="R119" s="501" t="s">
        <v>131</v>
      </c>
      <c r="S119" s="495"/>
      <c r="T119" s="482" t="str">
        <f>VLOOKUP(Таблица3[[#This Row],[№ акта]],$AJ$1:$BJ$691,15,FALSE)</f>
        <v>А-23</v>
      </c>
      <c r="U119" s="482" t="str">
        <f>VLOOKUP(Таблица3[[#This Row],[№ акта]],$AJ$1:$BJ$691,16,FALSE)</f>
        <v>Увертюра</v>
      </c>
      <c r="V119" s="502">
        <f>VLOOKUP(Таблица3[[#This Row],[№ акта]],$AJ$1:$BJ$691,17,FALSE)</f>
        <v>1.1000000000000001</v>
      </c>
      <c r="W119" s="502" t="str">
        <f>VLOOKUP(Таблица3[[#This Row],[№ акта]],$AJ$1:$BJ$691,18,FALSE)</f>
        <v>ГРК (богара)</v>
      </c>
      <c r="X119" s="502" t="str">
        <f>VLOOKUP(Таблица3[[#This Row],[№ акта]],$AJ$1:$BJ$691,19,FALSE)</f>
        <v>богара</v>
      </c>
      <c r="Y119" s="503">
        <f>VLOOKUP(Таблица3[[#This Row],[№ акта]],$AJ$1:$BJ$691,20,FALSE)</f>
        <v>7</v>
      </c>
      <c r="Z119" s="504">
        <f>VLOOKUP(Таблица3[[#This Row],[№ акта]],$AJ$1:$BJ$691,21,FALSE)</f>
        <v>46183</v>
      </c>
      <c r="AA119" s="504"/>
      <c r="AB119" s="504" t="str">
        <f>IF(VLOOKUP(Таблица3[[#This Row],[№ акта]],$AJ$1:$BJ$691,23,FALSE)&lt;&gt;0,VLOOKUP(Таблица3[[#This Row],[№ акта]],$AJ$1:$BJ$691,23,FALSE),"-")</f>
        <v>-</v>
      </c>
      <c r="AC11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19" s="506" t="s">
        <v>2940</v>
      </c>
      <c r="AE119" s="505">
        <v>128</v>
      </c>
      <c r="AF119" s="507">
        <v>46183</v>
      </c>
      <c r="AG119" s="505">
        <v>114</v>
      </c>
      <c r="AH119" s="505">
        <f>IFERROR(VLOOKUP(Таблица3[[#This Row],[№ акта]],'Степень зрелости 2026'!$H$12:$I$800,2,FALSE),)</f>
        <v>53</v>
      </c>
      <c r="AJ119" s="508">
        <v>128</v>
      </c>
      <c r="AK119" s="509">
        <v>46183</v>
      </c>
      <c r="AL119" s="508">
        <v>193</v>
      </c>
      <c r="AO119" s="508">
        <v>8650</v>
      </c>
      <c r="AP119" s="508">
        <v>7612</v>
      </c>
      <c r="AQ119" s="508" t="s">
        <v>2939</v>
      </c>
      <c r="AR119" s="508" t="s">
        <v>747</v>
      </c>
      <c r="AS119" s="508" t="s">
        <v>3099</v>
      </c>
      <c r="AT119" s="508" t="s">
        <v>127</v>
      </c>
      <c r="AV119" s="508" t="s">
        <v>131</v>
      </c>
      <c r="AX119" s="508" t="s">
        <v>3099</v>
      </c>
      <c r="AY119" s="508" t="s">
        <v>747</v>
      </c>
      <c r="AZ119" s="508">
        <v>1.1000000000000001</v>
      </c>
      <c r="BA119" s="508" t="s">
        <v>46</v>
      </c>
      <c r="BB119" s="508" t="s">
        <v>19</v>
      </c>
      <c r="BC119" s="508">
        <v>7</v>
      </c>
      <c r="BD119" s="509">
        <v>46183</v>
      </c>
      <c r="BG119" s="508" t="s">
        <v>724</v>
      </c>
      <c r="BH119" s="508" t="s">
        <v>2940</v>
      </c>
      <c r="BI119" s="508">
        <v>114</v>
      </c>
      <c r="BJ119" s="508">
        <v>53</v>
      </c>
    </row>
    <row r="120" spans="1:62" s="508" customFormat="1" ht="14.25" hidden="1" customHeight="1" x14ac:dyDescent="0.2">
      <c r="A120" s="495" t="s">
        <v>102</v>
      </c>
      <c r="B120" s="496"/>
      <c r="C120" s="497">
        <f>Таблица3[[#This Row],[Степень зрелости вспом]]</f>
        <v>52</v>
      </c>
      <c r="D120" s="498">
        <v>194</v>
      </c>
      <c r="E120" s="499"/>
      <c r="F120" s="496"/>
      <c r="G120" s="496">
        <v>13430</v>
      </c>
      <c r="H120" s="500"/>
      <c r="I120" s="496">
        <v>11111</v>
      </c>
      <c r="J120" s="495" t="s">
        <v>2939</v>
      </c>
      <c r="K120" s="495" t="s">
        <v>524</v>
      </c>
      <c r="L120" s="495" t="s">
        <v>3101</v>
      </c>
      <c r="M120" s="495" t="s">
        <v>305</v>
      </c>
      <c r="N120" s="495"/>
      <c r="O120" s="495"/>
      <c r="P120" s="495"/>
      <c r="Q120" s="495"/>
      <c r="R120" s="501" t="s">
        <v>309</v>
      </c>
      <c r="S120" s="495"/>
      <c r="T120" s="482" t="str">
        <f>VLOOKUP(Таблица3[[#This Row],[№ акта]],$AJ$1:$BJ$691,15,FALSE)</f>
        <v>А-38</v>
      </c>
      <c r="U120" s="482" t="str">
        <f>VLOOKUP(Таблица3[[#This Row],[№ акта]],$AJ$1:$BJ$691,16,FALSE)</f>
        <v>Авола</v>
      </c>
      <c r="V120" s="502">
        <f>VLOOKUP(Таблица3[[#This Row],[№ акта]],$AJ$1:$BJ$691,17,FALSE)</f>
        <v>1.7</v>
      </c>
      <c r="W120" s="502" t="str">
        <f>VLOOKUP(Таблица3[[#This Row],[№ акта]],$AJ$1:$BJ$691,18,FALSE)</f>
        <v>ГРК (богара)</v>
      </c>
      <c r="X120" s="502" t="str">
        <f>VLOOKUP(Таблица3[[#This Row],[№ акта]],$AJ$1:$BJ$691,19,FALSE)</f>
        <v>богара</v>
      </c>
      <c r="Y120" s="503">
        <f>VLOOKUP(Таблица3[[#This Row],[№ акта]],$AJ$1:$BJ$691,20,FALSE)</f>
        <v>7</v>
      </c>
      <c r="Z120" s="504">
        <f>VLOOKUP(Таблица3[[#This Row],[№ акта]],$AJ$1:$BJ$691,21,FALSE)</f>
        <v>46183</v>
      </c>
      <c r="AA120" s="496">
        <f>Таблица3[[#This Row],[Регистратор.Вес нетто]]</f>
        <v>13430</v>
      </c>
      <c r="AB120" s="504" t="str">
        <f>IF(VLOOKUP(Таблица3[[#This Row],[№ акта]],$AJ$1:$BJ$691,23,FALSE)&lt;&gt;0,VLOOKUP(Таблица3[[#This Row],[№ акта]],$AJ$1:$BJ$691,23,FALSE),"-")</f>
        <v>ГРАНД-СТАР ООО</v>
      </c>
      <c r="AC12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120" s="506" t="s">
        <v>2940</v>
      </c>
      <c r="AE120" s="505">
        <v>274</v>
      </c>
      <c r="AF120" s="507">
        <v>46183</v>
      </c>
      <c r="AG120" s="505" t="s">
        <v>3514</v>
      </c>
      <c r="AH120" s="505">
        <f>IFERROR(VLOOKUP(Таблица3[[#This Row],[№ акта]],'Степень зрелости 2026'!$H$12:$I$800,2,FALSE),)</f>
        <v>52</v>
      </c>
      <c r="AJ120" s="508">
        <v>274</v>
      </c>
      <c r="AK120" s="509">
        <v>46183</v>
      </c>
      <c r="AL120" s="508">
        <v>194</v>
      </c>
      <c r="AO120" s="508">
        <v>13430</v>
      </c>
      <c r="AP120" s="508">
        <v>11111</v>
      </c>
      <c r="AQ120" s="508" t="s">
        <v>2939</v>
      </c>
      <c r="AR120" s="508" t="s">
        <v>524</v>
      </c>
      <c r="AS120" s="508" t="s">
        <v>3101</v>
      </c>
      <c r="AT120" s="508" t="s">
        <v>305</v>
      </c>
      <c r="AV120" s="508" t="s">
        <v>309</v>
      </c>
      <c r="AX120" s="508" t="s">
        <v>3101</v>
      </c>
      <c r="AY120" s="508" t="s">
        <v>524</v>
      </c>
      <c r="AZ120" s="508">
        <v>1.7</v>
      </c>
      <c r="BA120" s="508" t="s">
        <v>46</v>
      </c>
      <c r="BB120" s="508" t="s">
        <v>19</v>
      </c>
      <c r="BC120" s="508">
        <v>7</v>
      </c>
      <c r="BD120" s="509">
        <v>46183</v>
      </c>
      <c r="BE120" s="508">
        <v>13430</v>
      </c>
      <c r="BF120" s="508" t="s">
        <v>3206</v>
      </c>
      <c r="BG120" s="508" t="s">
        <v>3557</v>
      </c>
      <c r="BH120" s="508" t="s">
        <v>2940</v>
      </c>
      <c r="BI120" s="508" t="s">
        <v>3514</v>
      </c>
      <c r="BJ120" s="508">
        <v>52</v>
      </c>
    </row>
    <row r="121" spans="1:62" s="508" customFormat="1" ht="14.25" hidden="1" customHeight="1" x14ac:dyDescent="0.2">
      <c r="A121" s="495" t="s">
        <v>102</v>
      </c>
      <c r="B121" s="496"/>
      <c r="C121" s="497">
        <f>Таблица3[[#This Row],[Степень зрелости вспом]]</f>
        <v>50</v>
      </c>
      <c r="D121" s="498">
        <v>195</v>
      </c>
      <c r="E121" s="499"/>
      <c r="F121" s="496"/>
      <c r="G121" s="496">
        <v>12890</v>
      </c>
      <c r="H121" s="500"/>
      <c r="I121" s="496">
        <v>10816</v>
      </c>
      <c r="J121" s="495" t="s">
        <v>2939</v>
      </c>
      <c r="K121" s="495" t="s">
        <v>524</v>
      </c>
      <c r="L121" s="495" t="s">
        <v>3101</v>
      </c>
      <c r="M121" s="495" t="s">
        <v>3204</v>
      </c>
      <c r="N121" s="495"/>
      <c r="O121" s="495"/>
      <c r="P121" s="495"/>
      <c r="Q121" s="495"/>
      <c r="R121" s="501" t="s">
        <v>3303</v>
      </c>
      <c r="S121" s="495"/>
      <c r="T121" s="482" t="str">
        <f>VLOOKUP(Таблица3[[#This Row],[№ акта]],$AJ$1:$BJ$691,15,FALSE)</f>
        <v>А-38</v>
      </c>
      <c r="U121" s="482" t="str">
        <f>VLOOKUP(Таблица3[[#This Row],[№ акта]],$AJ$1:$BJ$691,16,FALSE)</f>
        <v>Авола</v>
      </c>
      <c r="V121" s="502">
        <f>VLOOKUP(Таблица3[[#This Row],[№ акта]],$AJ$1:$BJ$691,17,FALSE)</f>
        <v>1.7</v>
      </c>
      <c r="W121" s="502" t="str">
        <f>VLOOKUP(Таблица3[[#This Row],[№ акта]],$AJ$1:$BJ$691,18,FALSE)</f>
        <v>ГРК (богара)</v>
      </c>
      <c r="X121" s="502" t="str">
        <f>VLOOKUP(Таблица3[[#This Row],[№ акта]],$AJ$1:$BJ$691,19,FALSE)</f>
        <v>богара</v>
      </c>
      <c r="Y121" s="503">
        <f>VLOOKUP(Таблица3[[#This Row],[№ акта]],$AJ$1:$BJ$691,20,FALSE)</f>
        <v>7</v>
      </c>
      <c r="Z121" s="504">
        <f>VLOOKUP(Таблица3[[#This Row],[№ акта]],$AJ$1:$BJ$691,21,FALSE)</f>
        <v>46183</v>
      </c>
      <c r="AA121" s="496">
        <f>Таблица3[[#This Row],[Регистратор.Вес нетто]]</f>
        <v>12890</v>
      </c>
      <c r="AB121" s="504" t="str">
        <f>IF(VLOOKUP(Таблица3[[#This Row],[№ акта]],$AJ$1:$BJ$691,23,FALSE)&lt;&gt;0,VLOOKUP(Таблица3[[#This Row],[№ акта]],$AJ$1:$BJ$691,23,FALSE),"-")</f>
        <v>ГРАНД-СТАР ООО</v>
      </c>
      <c r="AC12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121" s="506" t="s">
        <v>2940</v>
      </c>
      <c r="AE121" s="505">
        <v>276</v>
      </c>
      <c r="AF121" s="507">
        <v>46183</v>
      </c>
      <c r="AG121" s="505" t="s">
        <v>3516</v>
      </c>
      <c r="AH121" s="505">
        <f>IFERROR(VLOOKUP(Таблица3[[#This Row],[№ акта]],'Степень зрелости 2026'!$H$12:$I$800,2,FALSE),)</f>
        <v>50</v>
      </c>
      <c r="AJ121" s="508">
        <v>276</v>
      </c>
      <c r="AK121" s="509">
        <v>46183</v>
      </c>
      <c r="AL121" s="508">
        <v>195</v>
      </c>
      <c r="AO121" s="508">
        <v>12890</v>
      </c>
      <c r="AP121" s="508">
        <v>10816</v>
      </c>
      <c r="AQ121" s="508" t="s">
        <v>2939</v>
      </c>
      <c r="AR121" s="508" t="s">
        <v>524</v>
      </c>
      <c r="AS121" s="508" t="s">
        <v>3101</v>
      </c>
      <c r="AT121" s="508" t="s">
        <v>3204</v>
      </c>
      <c r="AV121" s="508" t="s">
        <v>3303</v>
      </c>
      <c r="AX121" s="508" t="s">
        <v>3101</v>
      </c>
      <c r="AY121" s="508" t="s">
        <v>524</v>
      </c>
      <c r="AZ121" s="508">
        <v>1.7</v>
      </c>
      <c r="BA121" s="508" t="s">
        <v>46</v>
      </c>
      <c r="BB121" s="508" t="s">
        <v>19</v>
      </c>
      <c r="BC121" s="508">
        <v>7</v>
      </c>
      <c r="BD121" s="509">
        <v>46183</v>
      </c>
      <c r="BE121" s="508">
        <v>12890</v>
      </c>
      <c r="BF121" s="508" t="s">
        <v>3206</v>
      </c>
      <c r="BG121" s="508" t="s">
        <v>3557</v>
      </c>
      <c r="BH121" s="508" t="s">
        <v>2940</v>
      </c>
      <c r="BI121" s="508" t="s">
        <v>3516</v>
      </c>
      <c r="BJ121" s="508">
        <v>50</v>
      </c>
    </row>
    <row r="122" spans="1:62" s="508" customFormat="1" ht="14.25" hidden="1" customHeight="1" x14ac:dyDescent="0.2">
      <c r="A122" s="495" t="s">
        <v>102</v>
      </c>
      <c r="B122" s="496"/>
      <c r="C122" s="497">
        <f>Таблица3[[#This Row],[Степень зрелости вспом]]</f>
        <v>63</v>
      </c>
      <c r="D122" s="498">
        <v>196</v>
      </c>
      <c r="E122" s="499"/>
      <c r="F122" s="496"/>
      <c r="G122" s="496">
        <v>4430</v>
      </c>
      <c r="H122" s="500"/>
      <c r="I122" s="496">
        <v>4142</v>
      </c>
      <c r="J122" s="495" t="s">
        <v>2939</v>
      </c>
      <c r="K122" s="495" t="s">
        <v>524</v>
      </c>
      <c r="L122" s="495" t="s">
        <v>3232</v>
      </c>
      <c r="M122" s="495" t="s">
        <v>737</v>
      </c>
      <c r="N122" s="495"/>
      <c r="O122" s="495"/>
      <c r="P122" s="495"/>
      <c r="Q122" s="495"/>
      <c r="R122" s="501" t="s">
        <v>738</v>
      </c>
      <c r="S122" s="495"/>
      <c r="T122" s="482" t="str">
        <f>VLOOKUP(Таблица3[[#This Row],[№ акта]],$AJ$1:$BJ$691,15,FALSE)</f>
        <v>А-112/1</v>
      </c>
      <c r="U122" s="482" t="str">
        <f>VLOOKUP(Таблица3[[#This Row],[№ акта]],$AJ$1:$BJ$691,16,FALSE)</f>
        <v>Авола</v>
      </c>
      <c r="V122" s="502">
        <f>VLOOKUP(Таблица3[[#This Row],[№ акта]],$AJ$1:$BJ$691,17,FALSE)</f>
        <v>1</v>
      </c>
      <c r="W122" s="502" t="str">
        <f>VLOOKUP(Таблица3[[#This Row],[№ акта]],$AJ$1:$BJ$691,18,FALSE)</f>
        <v>ГРК (богара)</v>
      </c>
      <c r="X122" s="502" t="str">
        <f>VLOOKUP(Таблица3[[#This Row],[№ акта]],$AJ$1:$BJ$691,19,FALSE)</f>
        <v>богара</v>
      </c>
      <c r="Y122" s="503">
        <f>VLOOKUP(Таблица3[[#This Row],[№ акта]],$AJ$1:$BJ$691,20,FALSE)</f>
        <v>7</v>
      </c>
      <c r="Z122" s="504">
        <f>VLOOKUP(Таблица3[[#This Row],[№ акта]],$AJ$1:$BJ$691,21,FALSE)</f>
        <v>46183</v>
      </c>
      <c r="AA122" s="496"/>
      <c r="AB122" s="504" t="str">
        <f>IF(VLOOKUP(Таблица3[[#This Row],[№ акта]],$AJ$1:$BJ$691,23,FALSE)&lt;&gt;0,VLOOKUP(Таблица3[[#This Row],[№ акта]],$AJ$1:$BJ$691,23,FALSE),"-")</f>
        <v>-</v>
      </c>
      <c r="AC12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22" s="506" t="s">
        <v>3230</v>
      </c>
      <c r="AE122" s="505">
        <v>129</v>
      </c>
      <c r="AF122" s="507">
        <v>46183</v>
      </c>
      <c r="AG122" s="505">
        <v>115</v>
      </c>
      <c r="AH122" s="505">
        <f>IFERROR(VLOOKUP(Таблица3[[#This Row],[№ акта]],'Степень зрелости 2026'!$H$12:$I$800,2,FALSE),)</f>
        <v>63</v>
      </c>
      <c r="AJ122" s="508">
        <v>129</v>
      </c>
      <c r="AK122" s="509">
        <v>46183</v>
      </c>
      <c r="AL122" s="508">
        <v>196</v>
      </c>
      <c r="AO122" s="508">
        <v>4430</v>
      </c>
      <c r="AP122" s="508">
        <v>4142</v>
      </c>
      <c r="AQ122" s="508" t="s">
        <v>2939</v>
      </c>
      <c r="AR122" s="508" t="s">
        <v>524</v>
      </c>
      <c r="AS122" s="508" t="s">
        <v>3232</v>
      </c>
      <c r="AT122" s="508" t="s">
        <v>737</v>
      </c>
      <c r="AV122" s="508" t="s">
        <v>738</v>
      </c>
      <c r="AX122" s="508" t="s">
        <v>3095</v>
      </c>
      <c r="AY122" s="508" t="s">
        <v>524</v>
      </c>
      <c r="AZ122" s="508">
        <v>1</v>
      </c>
      <c r="BA122" s="508" t="s">
        <v>46</v>
      </c>
      <c r="BB122" s="508" t="s">
        <v>19</v>
      </c>
      <c r="BC122" s="508">
        <v>7</v>
      </c>
      <c r="BD122" s="509">
        <v>46183</v>
      </c>
      <c r="BG122" s="508" t="s">
        <v>724</v>
      </c>
      <c r="BH122" s="508" t="s">
        <v>2940</v>
      </c>
      <c r="BI122" s="508">
        <v>115</v>
      </c>
      <c r="BJ122" s="508">
        <v>63</v>
      </c>
    </row>
    <row r="123" spans="1:62" s="508" customFormat="1" ht="14.25" hidden="1" customHeight="1" x14ac:dyDescent="0.2">
      <c r="A123" s="495" t="s">
        <v>102</v>
      </c>
      <c r="B123" s="496"/>
      <c r="C123" s="497">
        <f>Таблица3[[#This Row],[Степень зрелости вспом]]</f>
        <v>59</v>
      </c>
      <c r="D123" s="498">
        <v>197</v>
      </c>
      <c r="E123" s="499"/>
      <c r="F123" s="496"/>
      <c r="G123" s="496">
        <v>13220</v>
      </c>
      <c r="H123" s="500"/>
      <c r="I123" s="496">
        <v>11964.1</v>
      </c>
      <c r="J123" s="495" t="s">
        <v>2939</v>
      </c>
      <c r="K123" s="495" t="s">
        <v>524</v>
      </c>
      <c r="L123" s="495" t="s">
        <v>3101</v>
      </c>
      <c r="M123" s="495" t="s">
        <v>239</v>
      </c>
      <c r="N123" s="495"/>
      <c r="O123" s="495"/>
      <c r="P123" s="495"/>
      <c r="Q123" s="495"/>
      <c r="R123" s="501" t="s">
        <v>243</v>
      </c>
      <c r="S123" s="495"/>
      <c r="T123" s="482" t="str">
        <f>VLOOKUP(Таблица3[[#This Row],[№ акта]],$AJ$1:$BJ$691,15,FALSE)</f>
        <v>А-38</v>
      </c>
      <c r="U123" s="482" t="str">
        <f>VLOOKUP(Таблица3[[#This Row],[№ акта]],$AJ$1:$BJ$691,16,FALSE)</f>
        <v>Авола</v>
      </c>
      <c r="V123" s="502">
        <f>VLOOKUP(Таблица3[[#This Row],[№ акта]],$AJ$1:$BJ$691,17,FALSE)</f>
        <v>1.7</v>
      </c>
      <c r="W123" s="502" t="str">
        <f>VLOOKUP(Таблица3[[#This Row],[№ акта]],$AJ$1:$BJ$691,18,FALSE)</f>
        <v>ГРК (богара)</v>
      </c>
      <c r="X123" s="502" t="str">
        <f>VLOOKUP(Таблица3[[#This Row],[№ акта]],$AJ$1:$BJ$691,19,FALSE)</f>
        <v>богара</v>
      </c>
      <c r="Y123" s="503">
        <f>VLOOKUP(Таблица3[[#This Row],[№ акта]],$AJ$1:$BJ$691,20,FALSE)</f>
        <v>7</v>
      </c>
      <c r="Z123" s="504">
        <f>VLOOKUP(Таблица3[[#This Row],[№ акта]],$AJ$1:$BJ$691,21,FALSE)</f>
        <v>46183</v>
      </c>
      <c r="AA123" s="504"/>
      <c r="AB123" s="504" t="str">
        <f>IF(VLOOKUP(Таблица3[[#This Row],[№ акта]],$AJ$1:$BJ$691,23,FALSE)&lt;&gt;0,VLOOKUP(Таблица3[[#This Row],[№ акта]],$AJ$1:$BJ$691,23,FALSE),"-")</f>
        <v>-</v>
      </c>
      <c r="AC12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23" s="506" t="s">
        <v>2940</v>
      </c>
      <c r="AE123" s="505">
        <v>130</v>
      </c>
      <c r="AF123" s="507">
        <v>46183</v>
      </c>
      <c r="AG123" s="505">
        <v>116</v>
      </c>
      <c r="AH123" s="505">
        <f>IFERROR(VLOOKUP(Таблица3[[#This Row],[№ акта]],'Степень зрелости 2026'!$H$12:$I$800,2,FALSE),)</f>
        <v>59</v>
      </c>
      <c r="AJ123" s="508">
        <v>130</v>
      </c>
      <c r="AK123" s="509">
        <v>46183</v>
      </c>
      <c r="AL123" s="508">
        <v>197</v>
      </c>
      <c r="AO123" s="508">
        <v>13220</v>
      </c>
      <c r="AP123" s="508">
        <v>11964.1</v>
      </c>
      <c r="AQ123" s="508" t="s">
        <v>2939</v>
      </c>
      <c r="AR123" s="508" t="s">
        <v>524</v>
      </c>
      <c r="AS123" s="508" t="s">
        <v>3101</v>
      </c>
      <c r="AT123" s="508" t="s">
        <v>239</v>
      </c>
      <c r="AV123" s="508" t="s">
        <v>243</v>
      </c>
      <c r="AX123" s="508" t="s">
        <v>3101</v>
      </c>
      <c r="AY123" s="508" t="s">
        <v>524</v>
      </c>
      <c r="AZ123" s="508">
        <v>1.7</v>
      </c>
      <c r="BA123" s="508" t="s">
        <v>46</v>
      </c>
      <c r="BB123" s="508" t="s">
        <v>19</v>
      </c>
      <c r="BC123" s="508">
        <v>7</v>
      </c>
      <c r="BD123" s="509">
        <v>46183</v>
      </c>
      <c r="BG123" s="508" t="s">
        <v>724</v>
      </c>
      <c r="BH123" s="508" t="s">
        <v>2940</v>
      </c>
      <c r="BI123" s="508">
        <v>116</v>
      </c>
      <c r="BJ123" s="508">
        <v>59</v>
      </c>
    </row>
    <row r="124" spans="1:62" s="508" customFormat="1" ht="14.25" hidden="1" customHeight="1" x14ac:dyDescent="0.2">
      <c r="A124" s="495" t="s">
        <v>102</v>
      </c>
      <c r="B124" s="496"/>
      <c r="C124" s="497">
        <f>Таблица3[[#This Row],[Степень зрелости вспом]]</f>
        <v>57</v>
      </c>
      <c r="D124" s="498">
        <v>199</v>
      </c>
      <c r="E124" s="499"/>
      <c r="F124" s="496"/>
      <c r="G124" s="496">
        <v>6800</v>
      </c>
      <c r="H124" s="500"/>
      <c r="I124" s="496">
        <v>5984</v>
      </c>
      <c r="J124" s="495" t="s">
        <v>2939</v>
      </c>
      <c r="K124" s="495" t="s">
        <v>524</v>
      </c>
      <c r="L124" s="495" t="s">
        <v>3094</v>
      </c>
      <c r="M124" s="495" t="s">
        <v>127</v>
      </c>
      <c r="N124" s="495"/>
      <c r="O124" s="495"/>
      <c r="P124" s="495"/>
      <c r="Q124" s="495"/>
      <c r="R124" s="501" t="s">
        <v>131</v>
      </c>
      <c r="S124" s="495"/>
      <c r="T124" s="482" t="str">
        <f>VLOOKUP(Таблица3[[#This Row],[№ акта]],$AJ$1:$BJ$691,15,FALSE)</f>
        <v>А-111/1</v>
      </c>
      <c r="U124" s="482" t="str">
        <f>VLOOKUP(Таблица3[[#This Row],[№ акта]],$AJ$1:$BJ$691,16,FALSE)</f>
        <v>Авола</v>
      </c>
      <c r="V124" s="502">
        <f>VLOOKUP(Таблица3[[#This Row],[№ акта]],$AJ$1:$BJ$691,17,FALSE)</f>
        <v>1.2</v>
      </c>
      <c r="W124" s="502" t="str">
        <f>VLOOKUP(Таблица3[[#This Row],[№ акта]],$AJ$1:$BJ$691,18,FALSE)</f>
        <v>ГРК (богара)</v>
      </c>
      <c r="X124" s="502" t="str">
        <f>VLOOKUP(Таблица3[[#This Row],[№ акта]],$AJ$1:$BJ$691,19,FALSE)</f>
        <v>богара</v>
      </c>
      <c r="Y124" s="503">
        <f>VLOOKUP(Таблица3[[#This Row],[№ акта]],$AJ$1:$BJ$691,20,FALSE)</f>
        <v>7</v>
      </c>
      <c r="Z124" s="504">
        <f>VLOOKUP(Таблица3[[#This Row],[№ акта]],$AJ$1:$BJ$691,21,FALSE)</f>
        <v>46183</v>
      </c>
      <c r="AA124" s="504"/>
      <c r="AB124" s="504" t="str">
        <f>IF(VLOOKUP(Таблица3[[#This Row],[№ акта]],$AJ$1:$BJ$691,23,FALSE)&lt;&gt;0,VLOOKUP(Таблица3[[#This Row],[№ акта]],$AJ$1:$BJ$691,23,FALSE),"-")</f>
        <v>-</v>
      </c>
      <c r="AC12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24" s="506" t="s">
        <v>2940</v>
      </c>
      <c r="AE124" s="505">
        <v>131</v>
      </c>
      <c r="AF124" s="507">
        <v>46183</v>
      </c>
      <c r="AG124" s="505">
        <v>117</v>
      </c>
      <c r="AH124" s="505">
        <f>IFERROR(VLOOKUP(Таблица3[[#This Row],[№ акта]],'Степень зрелости 2026'!$H$12:$I$800,2,FALSE),)</f>
        <v>57</v>
      </c>
      <c r="AJ124" s="508">
        <v>131</v>
      </c>
      <c r="AK124" s="509">
        <v>46183</v>
      </c>
      <c r="AL124" s="508">
        <v>199</v>
      </c>
      <c r="AO124" s="508">
        <v>6800</v>
      </c>
      <c r="AP124" s="508">
        <v>5984</v>
      </c>
      <c r="AQ124" s="508" t="s">
        <v>2939</v>
      </c>
      <c r="AR124" s="508" t="s">
        <v>524</v>
      </c>
      <c r="AS124" s="508" t="s">
        <v>3094</v>
      </c>
      <c r="AT124" s="508" t="s">
        <v>127</v>
      </c>
      <c r="AV124" s="508" t="s">
        <v>131</v>
      </c>
      <c r="AX124" s="508" t="s">
        <v>3094</v>
      </c>
      <c r="AY124" s="508" t="s">
        <v>524</v>
      </c>
      <c r="AZ124" s="508">
        <v>1.2</v>
      </c>
      <c r="BA124" s="508" t="s">
        <v>46</v>
      </c>
      <c r="BB124" s="508" t="s">
        <v>19</v>
      </c>
      <c r="BC124" s="508">
        <v>7</v>
      </c>
      <c r="BD124" s="509">
        <v>46183</v>
      </c>
      <c r="BG124" s="508" t="s">
        <v>724</v>
      </c>
      <c r="BH124" s="508" t="s">
        <v>2940</v>
      </c>
      <c r="BI124" s="508">
        <v>117</v>
      </c>
      <c r="BJ124" s="508">
        <v>57</v>
      </c>
    </row>
    <row r="125" spans="1:62" s="508" customFormat="1" ht="14.25" hidden="1" customHeight="1" x14ac:dyDescent="0.2">
      <c r="A125" s="495" t="s">
        <v>102</v>
      </c>
      <c r="B125" s="496"/>
      <c r="C125" s="497">
        <f>Таблица3[[#This Row],[Степень зрелости вспом]]</f>
        <v>53</v>
      </c>
      <c r="D125" s="498">
        <v>200</v>
      </c>
      <c r="E125" s="499"/>
      <c r="F125" s="496"/>
      <c r="G125" s="496">
        <v>13060</v>
      </c>
      <c r="H125" s="500"/>
      <c r="I125" s="496">
        <v>11230</v>
      </c>
      <c r="J125" s="495" t="s">
        <v>2939</v>
      </c>
      <c r="K125" s="495" t="s">
        <v>524</v>
      </c>
      <c r="L125" s="495" t="s">
        <v>3101</v>
      </c>
      <c r="M125" s="495" t="s">
        <v>329</v>
      </c>
      <c r="N125" s="495"/>
      <c r="O125" s="495"/>
      <c r="P125" s="495"/>
      <c r="Q125" s="495"/>
      <c r="R125" s="501" t="s">
        <v>333</v>
      </c>
      <c r="S125" s="495"/>
      <c r="T125" s="482" t="str">
        <f>VLOOKUP(Таблица3[[#This Row],[№ акта]],$AJ$1:$BJ$691,15,FALSE)</f>
        <v>А-38</v>
      </c>
      <c r="U125" s="482" t="str">
        <f>VLOOKUP(Таблица3[[#This Row],[№ акта]],$AJ$1:$BJ$691,16,FALSE)</f>
        <v>Авола</v>
      </c>
      <c r="V125" s="502">
        <f>VLOOKUP(Таблица3[[#This Row],[№ акта]],$AJ$1:$BJ$691,17,FALSE)</f>
        <v>1.7</v>
      </c>
      <c r="W125" s="502" t="str">
        <f>VLOOKUP(Таблица3[[#This Row],[№ акта]],$AJ$1:$BJ$691,18,FALSE)</f>
        <v>ГРК (богара)</v>
      </c>
      <c r="X125" s="502" t="str">
        <f>VLOOKUP(Таблица3[[#This Row],[№ акта]],$AJ$1:$BJ$691,19,FALSE)</f>
        <v>богара</v>
      </c>
      <c r="Y125" s="503">
        <f>VLOOKUP(Таблица3[[#This Row],[№ акта]],$AJ$1:$BJ$691,20,FALSE)</f>
        <v>7</v>
      </c>
      <c r="Z125" s="504">
        <f>VLOOKUP(Таблица3[[#This Row],[№ акта]],$AJ$1:$BJ$691,21,FALSE)</f>
        <v>46183</v>
      </c>
      <c r="AA125" s="496">
        <f>Таблица3[[#This Row],[Регистратор.Вес нетто]]</f>
        <v>13060</v>
      </c>
      <c r="AB125" s="504" t="str">
        <f>IF(VLOOKUP(Таблица3[[#This Row],[№ акта]],$AJ$1:$BJ$691,23,FALSE)&lt;&gt;0,VLOOKUP(Таблица3[[#This Row],[№ акта]],$AJ$1:$BJ$691,23,FALSE),"-")</f>
        <v>ГРАНД-СТАР ООО</v>
      </c>
      <c r="AC12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25" s="506" t="s">
        <v>2940</v>
      </c>
      <c r="AE125" s="505">
        <v>280</v>
      </c>
      <c r="AF125" s="507">
        <v>46183</v>
      </c>
      <c r="AG125" s="505" t="s">
        <v>3518</v>
      </c>
      <c r="AH125" s="505">
        <f>IFERROR(VLOOKUP(Таблица3[[#This Row],[№ акта]],'Степень зрелости 2026'!$H$12:$I$800,2,FALSE),)</f>
        <v>53</v>
      </c>
      <c r="AJ125" s="508">
        <v>280</v>
      </c>
      <c r="AK125" s="509">
        <v>46183</v>
      </c>
      <c r="AL125" s="508">
        <v>200</v>
      </c>
      <c r="AO125" s="508">
        <v>13060</v>
      </c>
      <c r="AP125" s="508">
        <v>11230</v>
      </c>
      <c r="AQ125" s="508" t="s">
        <v>2939</v>
      </c>
      <c r="AR125" s="508" t="s">
        <v>524</v>
      </c>
      <c r="AS125" s="508" t="s">
        <v>3101</v>
      </c>
      <c r="AT125" s="508" t="s">
        <v>329</v>
      </c>
      <c r="AV125" s="508" t="s">
        <v>333</v>
      </c>
      <c r="AX125" s="508" t="s">
        <v>3101</v>
      </c>
      <c r="AY125" s="508" t="s">
        <v>524</v>
      </c>
      <c r="AZ125" s="508">
        <v>1.7</v>
      </c>
      <c r="BA125" s="508" t="s">
        <v>46</v>
      </c>
      <c r="BB125" s="508" t="s">
        <v>19</v>
      </c>
      <c r="BC125" s="508">
        <v>7</v>
      </c>
      <c r="BD125" s="509">
        <v>46183</v>
      </c>
      <c r="BE125" s="508">
        <v>13060</v>
      </c>
      <c r="BF125" s="508" t="s">
        <v>3206</v>
      </c>
      <c r="BG125" s="508" t="s">
        <v>724</v>
      </c>
      <c r="BH125" s="508" t="s">
        <v>2940</v>
      </c>
      <c r="BI125" s="508" t="s">
        <v>3518</v>
      </c>
      <c r="BJ125" s="508">
        <v>53</v>
      </c>
    </row>
    <row r="126" spans="1:62" s="508" customFormat="1" ht="14.25" hidden="1" customHeight="1" x14ac:dyDescent="0.2">
      <c r="A126" s="495" t="s">
        <v>102</v>
      </c>
      <c r="B126" s="496"/>
      <c r="C126" s="497">
        <f>Таблица3[[#This Row],[Степень зрелости вспом]]</f>
        <v>60</v>
      </c>
      <c r="D126" s="498">
        <v>201</v>
      </c>
      <c r="E126" s="499"/>
      <c r="F126" s="496"/>
      <c r="G126" s="496">
        <v>13210</v>
      </c>
      <c r="H126" s="500"/>
      <c r="I126" s="496">
        <v>11955.1</v>
      </c>
      <c r="J126" s="495" t="s">
        <v>2939</v>
      </c>
      <c r="K126" s="495" t="s">
        <v>524</v>
      </c>
      <c r="L126" s="495" t="s">
        <v>3101</v>
      </c>
      <c r="M126" s="495" t="s">
        <v>212</v>
      </c>
      <c r="N126" s="495"/>
      <c r="O126" s="495"/>
      <c r="P126" s="495"/>
      <c r="Q126" s="495"/>
      <c r="R126" s="501" t="s">
        <v>2965</v>
      </c>
      <c r="S126" s="495"/>
      <c r="T126" s="482" t="str">
        <f>VLOOKUP(Таблица3[[#This Row],[№ акта]],$AJ$1:$BJ$691,15,FALSE)</f>
        <v>А-38</v>
      </c>
      <c r="U126" s="482" t="str">
        <f>VLOOKUP(Таблица3[[#This Row],[№ акта]],$AJ$1:$BJ$691,16,FALSE)</f>
        <v>Авола</v>
      </c>
      <c r="V126" s="502">
        <f>VLOOKUP(Таблица3[[#This Row],[№ акта]],$AJ$1:$BJ$691,17,FALSE)</f>
        <v>1.7</v>
      </c>
      <c r="W126" s="502" t="str">
        <f>VLOOKUP(Таблица3[[#This Row],[№ акта]],$AJ$1:$BJ$691,18,FALSE)</f>
        <v>ГРК (богара)</v>
      </c>
      <c r="X126" s="502" t="str">
        <f>VLOOKUP(Таблица3[[#This Row],[№ акта]],$AJ$1:$BJ$691,19,FALSE)</f>
        <v>богара</v>
      </c>
      <c r="Y126" s="503">
        <f>VLOOKUP(Таблица3[[#This Row],[№ акта]],$AJ$1:$BJ$691,20,FALSE)</f>
        <v>7</v>
      </c>
      <c r="Z126" s="504">
        <f>VLOOKUP(Таблица3[[#This Row],[№ акта]],$AJ$1:$BJ$691,21,FALSE)</f>
        <v>46183</v>
      </c>
      <c r="AA126" s="504"/>
      <c r="AB126" s="504" t="str">
        <f>IF(VLOOKUP(Таблица3[[#This Row],[№ акта]],$AJ$1:$BJ$691,23,FALSE)&lt;&gt;0,VLOOKUP(Таблица3[[#This Row],[№ акта]],$AJ$1:$BJ$691,23,FALSE),"-")</f>
        <v>-</v>
      </c>
      <c r="AC12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26" s="506" t="s">
        <v>2940</v>
      </c>
      <c r="AE126" s="505">
        <v>133</v>
      </c>
      <c r="AF126" s="507">
        <v>46183</v>
      </c>
      <c r="AG126" s="505">
        <v>118</v>
      </c>
      <c r="AH126" s="505">
        <f>IFERROR(VLOOKUP(Таблица3[[#This Row],[№ акта]],'Степень зрелости 2026'!$H$12:$I$800,2,FALSE),)</f>
        <v>60</v>
      </c>
      <c r="AJ126" s="508">
        <v>133</v>
      </c>
      <c r="AK126" s="509">
        <v>46183</v>
      </c>
      <c r="AL126" s="508">
        <v>201</v>
      </c>
      <c r="AO126" s="508">
        <v>13210</v>
      </c>
      <c r="AP126" s="508">
        <v>11955.1</v>
      </c>
      <c r="AQ126" s="508" t="s">
        <v>2939</v>
      </c>
      <c r="AR126" s="508" t="s">
        <v>524</v>
      </c>
      <c r="AS126" s="508" t="s">
        <v>3101</v>
      </c>
      <c r="AT126" s="508" t="s">
        <v>212</v>
      </c>
      <c r="AV126" s="508" t="s">
        <v>2965</v>
      </c>
      <c r="AX126" s="508" t="s">
        <v>3101</v>
      </c>
      <c r="AY126" s="508" t="s">
        <v>524</v>
      </c>
      <c r="AZ126" s="508">
        <v>1.7</v>
      </c>
      <c r="BA126" s="508" t="s">
        <v>46</v>
      </c>
      <c r="BB126" s="508" t="s">
        <v>19</v>
      </c>
      <c r="BC126" s="508">
        <v>7</v>
      </c>
      <c r="BD126" s="509">
        <v>46183</v>
      </c>
      <c r="BG126" s="508" t="s">
        <v>724</v>
      </c>
      <c r="BH126" s="508" t="s">
        <v>2940</v>
      </c>
      <c r="BI126" s="508">
        <v>118</v>
      </c>
      <c r="BJ126" s="508">
        <v>60</v>
      </c>
    </row>
    <row r="127" spans="1:62" s="508" customFormat="1" ht="14.25" hidden="1" customHeight="1" x14ac:dyDescent="0.2">
      <c r="A127" s="495" t="s">
        <v>102</v>
      </c>
      <c r="B127" s="496"/>
      <c r="C127" s="497">
        <f>Таблица3[[#This Row],[Степень зрелости вспом]]</f>
        <v>54</v>
      </c>
      <c r="D127" s="498">
        <v>202</v>
      </c>
      <c r="E127" s="499"/>
      <c r="F127" s="496"/>
      <c r="G127" s="496">
        <v>4620</v>
      </c>
      <c r="H127" s="500"/>
      <c r="I127" s="496">
        <v>4204.2</v>
      </c>
      <c r="J127" s="495" t="s">
        <v>2939</v>
      </c>
      <c r="K127" s="495" t="s">
        <v>524</v>
      </c>
      <c r="L127" s="495" t="s">
        <v>2087</v>
      </c>
      <c r="M127" s="495" t="s">
        <v>737</v>
      </c>
      <c r="N127" s="495"/>
      <c r="O127" s="495"/>
      <c r="P127" s="495"/>
      <c r="Q127" s="495"/>
      <c r="R127" s="501" t="s">
        <v>738</v>
      </c>
      <c r="S127" s="495"/>
      <c r="T127" s="482" t="str">
        <f>VLOOKUP(Таблица3[[#This Row],[№ акта]],$AJ$1:$BJ$691,15,FALSE)</f>
        <v>А-111/1</v>
      </c>
      <c r="U127" s="482" t="str">
        <f>VLOOKUP(Таблица3[[#This Row],[№ акта]],$AJ$1:$BJ$691,16,FALSE)</f>
        <v>Авола</v>
      </c>
      <c r="V127" s="502">
        <f>VLOOKUP(Таблица3[[#This Row],[№ акта]],$AJ$1:$BJ$691,17,FALSE)</f>
        <v>0.8</v>
      </c>
      <c r="W127" s="502" t="str">
        <f>VLOOKUP(Таблица3[[#This Row],[№ акта]],$AJ$1:$BJ$691,18,FALSE)</f>
        <v>ГРК (богара)</v>
      </c>
      <c r="X127" s="502" t="str">
        <f>VLOOKUP(Таблица3[[#This Row],[№ акта]],$AJ$1:$BJ$691,19,FALSE)</f>
        <v>богара</v>
      </c>
      <c r="Y127" s="503">
        <f>VLOOKUP(Таблица3[[#This Row],[№ акта]],$AJ$1:$BJ$691,20,FALSE)</f>
        <v>7</v>
      </c>
      <c r="Z127" s="504">
        <f>VLOOKUP(Таблица3[[#This Row],[№ акта]],$AJ$1:$BJ$691,21,FALSE)</f>
        <v>46183</v>
      </c>
      <c r="AA127" s="504"/>
      <c r="AB127" s="504" t="str">
        <f>IF(VLOOKUP(Таблица3[[#This Row],[№ акта]],$AJ$1:$BJ$691,23,FALSE)&lt;&gt;0,VLOOKUP(Таблица3[[#This Row],[№ акта]],$AJ$1:$BJ$691,23,FALSE),"-")</f>
        <v>-</v>
      </c>
      <c r="AC12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27" s="506" t="s">
        <v>2940</v>
      </c>
      <c r="AE127" s="505">
        <v>132</v>
      </c>
      <c r="AF127" s="507">
        <v>46183</v>
      </c>
      <c r="AG127" s="505">
        <v>119</v>
      </c>
      <c r="AH127" s="505">
        <f>IFERROR(VLOOKUP(Таблица3[[#This Row],[№ акта]],'Степень зрелости 2026'!$H$12:$I$800,2,FALSE),)</f>
        <v>54</v>
      </c>
      <c r="AJ127" s="508">
        <v>132</v>
      </c>
      <c r="AK127" s="509">
        <v>46183</v>
      </c>
      <c r="AL127" s="508">
        <v>202</v>
      </c>
      <c r="AO127" s="508">
        <v>4620</v>
      </c>
      <c r="AP127" s="508">
        <v>4204.2</v>
      </c>
      <c r="AQ127" s="508" t="s">
        <v>2939</v>
      </c>
      <c r="AR127" s="508" t="s">
        <v>524</v>
      </c>
      <c r="AS127" s="508" t="s">
        <v>2087</v>
      </c>
      <c r="AT127" s="508" t="s">
        <v>737</v>
      </c>
      <c r="AV127" s="508" t="s">
        <v>738</v>
      </c>
      <c r="AX127" s="508" t="s">
        <v>3094</v>
      </c>
      <c r="AY127" s="508" t="s">
        <v>524</v>
      </c>
      <c r="AZ127" s="508">
        <v>0.8</v>
      </c>
      <c r="BA127" s="508" t="s">
        <v>46</v>
      </c>
      <c r="BB127" s="508" t="s">
        <v>19</v>
      </c>
      <c r="BC127" s="508">
        <v>7</v>
      </c>
      <c r="BD127" s="509">
        <v>46183</v>
      </c>
      <c r="BG127" s="508" t="s">
        <v>724</v>
      </c>
      <c r="BH127" s="508" t="s">
        <v>2940</v>
      </c>
      <c r="BI127" s="508">
        <v>119</v>
      </c>
      <c r="BJ127" s="508">
        <v>54</v>
      </c>
    </row>
    <row r="128" spans="1:62" s="508" customFormat="1" ht="14.25" hidden="1" customHeight="1" x14ac:dyDescent="0.2">
      <c r="A128" s="495" t="s">
        <v>102</v>
      </c>
      <c r="B128" s="496"/>
      <c r="C128" s="497">
        <f>Таблица3[[#This Row],[Степень зрелости вспом]]</f>
        <v>44</v>
      </c>
      <c r="D128" s="498">
        <v>203</v>
      </c>
      <c r="E128" s="499"/>
      <c r="F128" s="496"/>
      <c r="G128" s="496">
        <v>12830</v>
      </c>
      <c r="H128" s="500"/>
      <c r="I128" s="496">
        <v>11499</v>
      </c>
      <c r="J128" s="495" t="s">
        <v>2939</v>
      </c>
      <c r="K128" s="495" t="s">
        <v>524</v>
      </c>
      <c r="L128" s="495" t="s">
        <v>3101</v>
      </c>
      <c r="M128" s="495" t="s">
        <v>195</v>
      </c>
      <c r="N128" s="495"/>
      <c r="O128" s="495"/>
      <c r="P128" s="495"/>
      <c r="Q128" s="495"/>
      <c r="R128" s="501" t="s">
        <v>199</v>
      </c>
      <c r="S128" s="495"/>
      <c r="T128" s="482" t="str">
        <f>VLOOKUP(Таблица3[[#This Row],[№ акта]],$AJ$1:$BJ$691,15,FALSE)</f>
        <v>А-38</v>
      </c>
      <c r="U128" s="482" t="str">
        <f>VLOOKUP(Таблица3[[#This Row],[№ акта]],$AJ$1:$BJ$691,16,FALSE)</f>
        <v>Авола</v>
      </c>
      <c r="V128" s="502">
        <f>VLOOKUP(Таблица3[[#This Row],[№ акта]],$AJ$1:$BJ$691,17,FALSE)</f>
        <v>1.7</v>
      </c>
      <c r="W128" s="502" t="str">
        <f>VLOOKUP(Таблица3[[#This Row],[№ акта]],$AJ$1:$BJ$691,18,FALSE)</f>
        <v>ГРК (богара)</v>
      </c>
      <c r="X128" s="502" t="str">
        <f>VLOOKUP(Таблица3[[#This Row],[№ акта]],$AJ$1:$BJ$691,19,FALSE)</f>
        <v>богара</v>
      </c>
      <c r="Y128" s="503">
        <f>VLOOKUP(Таблица3[[#This Row],[№ акта]],$AJ$1:$BJ$691,20,FALSE)</f>
        <v>7</v>
      </c>
      <c r="Z128" s="504">
        <f>VLOOKUP(Таблица3[[#This Row],[№ акта]],$AJ$1:$BJ$691,21,FALSE)</f>
        <v>46183</v>
      </c>
      <c r="AA128" s="496">
        <f>Таблица3[[#This Row],[Регистратор.Вес нетто]]</f>
        <v>12830</v>
      </c>
      <c r="AB128" s="504" t="str">
        <f>IF(VLOOKUP(Таблица3[[#This Row],[№ акта]],$AJ$1:$BJ$691,23,FALSE)&lt;&gt;0,VLOOKUP(Таблица3[[#This Row],[№ акта]],$AJ$1:$BJ$691,23,FALSE),"-")</f>
        <v>ГРАНД-СТАР ООО</v>
      </c>
      <c r="AC12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128" s="506" t="s">
        <v>2940</v>
      </c>
      <c r="AE128" s="505">
        <v>281</v>
      </c>
      <c r="AF128" s="507">
        <v>46183</v>
      </c>
      <c r="AG128" s="505" t="s">
        <v>3520</v>
      </c>
      <c r="AH128" s="505">
        <f>IFERROR(VLOOKUP(Таблица3[[#This Row],[№ акта]],'Степень зрелости 2026'!$H$12:$I$800,2,FALSE),)</f>
        <v>44</v>
      </c>
      <c r="AJ128" s="508">
        <v>281</v>
      </c>
      <c r="AK128" s="509">
        <v>46183</v>
      </c>
      <c r="AL128" s="508">
        <v>203</v>
      </c>
      <c r="AO128" s="508">
        <v>12830</v>
      </c>
      <c r="AP128" s="508">
        <v>11499</v>
      </c>
      <c r="AQ128" s="508" t="s">
        <v>2939</v>
      </c>
      <c r="AR128" s="508" t="s">
        <v>524</v>
      </c>
      <c r="AS128" s="508" t="s">
        <v>3101</v>
      </c>
      <c r="AT128" s="508" t="s">
        <v>195</v>
      </c>
      <c r="AV128" s="508" t="s">
        <v>199</v>
      </c>
      <c r="AX128" s="508" t="s">
        <v>3101</v>
      </c>
      <c r="AY128" s="508" t="s">
        <v>524</v>
      </c>
      <c r="AZ128" s="508">
        <v>1.7</v>
      </c>
      <c r="BA128" s="508" t="s">
        <v>46</v>
      </c>
      <c r="BB128" s="508" t="s">
        <v>19</v>
      </c>
      <c r="BC128" s="508">
        <v>7</v>
      </c>
      <c r="BD128" s="509">
        <v>46183</v>
      </c>
      <c r="BE128" s="508">
        <v>12830</v>
      </c>
      <c r="BF128" s="508" t="s">
        <v>3206</v>
      </c>
      <c r="BG128" s="508" t="s">
        <v>3557</v>
      </c>
      <c r="BH128" s="508" t="s">
        <v>2940</v>
      </c>
      <c r="BI128" s="508" t="s">
        <v>3520</v>
      </c>
      <c r="BJ128" s="508">
        <v>44</v>
      </c>
    </row>
    <row r="129" spans="1:62" s="508" customFormat="1" ht="14.25" hidden="1" customHeight="1" x14ac:dyDescent="0.2">
      <c r="A129" s="495" t="s">
        <v>102</v>
      </c>
      <c r="B129" s="496"/>
      <c r="C129" s="497">
        <f>Таблица3[[#This Row],[Степень зрелости вспом]]</f>
        <v>58</v>
      </c>
      <c r="D129" s="498">
        <v>204</v>
      </c>
      <c r="E129" s="499"/>
      <c r="F129" s="496"/>
      <c r="G129" s="496">
        <v>13310</v>
      </c>
      <c r="H129" s="500"/>
      <c r="I129" s="496">
        <v>12378.3</v>
      </c>
      <c r="J129" s="495" t="s">
        <v>2939</v>
      </c>
      <c r="K129" s="495" t="s">
        <v>524</v>
      </c>
      <c r="L129" s="495" t="s">
        <v>3101</v>
      </c>
      <c r="M129" s="495" t="s">
        <v>335</v>
      </c>
      <c r="N129" s="495"/>
      <c r="O129" s="495"/>
      <c r="P129" s="495"/>
      <c r="Q129" s="495"/>
      <c r="R129" s="501" t="s">
        <v>339</v>
      </c>
      <c r="S129" s="495"/>
      <c r="T129" s="482" t="str">
        <f>VLOOKUP(Таблица3[[#This Row],[№ акта]],$AJ$1:$BJ$691,15,FALSE)</f>
        <v>А-38</v>
      </c>
      <c r="U129" s="482" t="str">
        <f>VLOOKUP(Таблица3[[#This Row],[№ акта]],$AJ$1:$BJ$691,16,FALSE)</f>
        <v>Авола</v>
      </c>
      <c r="V129" s="502">
        <f>VLOOKUP(Таблица3[[#This Row],[№ акта]],$AJ$1:$BJ$691,17,FALSE)</f>
        <v>1.7</v>
      </c>
      <c r="W129" s="502" t="str">
        <f>VLOOKUP(Таблица3[[#This Row],[№ акта]],$AJ$1:$BJ$691,18,FALSE)</f>
        <v>ГРК (богара)</v>
      </c>
      <c r="X129" s="502" t="str">
        <f>VLOOKUP(Таблица3[[#This Row],[№ акта]],$AJ$1:$BJ$691,19,FALSE)</f>
        <v>богара</v>
      </c>
      <c r="Y129" s="503">
        <f>VLOOKUP(Таблица3[[#This Row],[№ акта]],$AJ$1:$BJ$691,20,FALSE)</f>
        <v>7</v>
      </c>
      <c r="Z129" s="504">
        <f>VLOOKUP(Таблица3[[#This Row],[№ акта]],$AJ$1:$BJ$691,21,FALSE)</f>
        <v>46183</v>
      </c>
      <c r="AA129" s="504"/>
      <c r="AB129" s="504" t="str">
        <f>IF(VLOOKUP(Таблица3[[#This Row],[№ акта]],$AJ$1:$BJ$691,23,FALSE)&lt;&gt;0,VLOOKUP(Таблица3[[#This Row],[№ акта]],$AJ$1:$BJ$691,23,FALSE),"-")</f>
        <v>-</v>
      </c>
      <c r="AC12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29" s="506" t="s">
        <v>2940</v>
      </c>
      <c r="AE129" s="505">
        <v>134</v>
      </c>
      <c r="AF129" s="507">
        <v>46183</v>
      </c>
      <c r="AG129" s="505">
        <v>120</v>
      </c>
      <c r="AH129" s="505">
        <f>IFERROR(VLOOKUP(Таблица3[[#This Row],[№ акта]],'Степень зрелости 2026'!$H$12:$I$800,2,FALSE),)</f>
        <v>58</v>
      </c>
      <c r="AJ129" s="508">
        <v>134</v>
      </c>
      <c r="AK129" s="509">
        <v>46183</v>
      </c>
      <c r="AL129" s="508">
        <v>204</v>
      </c>
      <c r="AO129" s="508">
        <v>13310</v>
      </c>
      <c r="AP129" s="508">
        <v>12378.3</v>
      </c>
      <c r="AQ129" s="508" t="s">
        <v>2939</v>
      </c>
      <c r="AR129" s="508" t="s">
        <v>524</v>
      </c>
      <c r="AS129" s="508" t="s">
        <v>3101</v>
      </c>
      <c r="AT129" s="508" t="s">
        <v>335</v>
      </c>
      <c r="AV129" s="508" t="s">
        <v>339</v>
      </c>
      <c r="AX129" s="508" t="s">
        <v>3101</v>
      </c>
      <c r="AY129" s="508" t="s">
        <v>524</v>
      </c>
      <c r="AZ129" s="508">
        <v>1.7</v>
      </c>
      <c r="BA129" s="508" t="s">
        <v>46</v>
      </c>
      <c r="BB129" s="508" t="s">
        <v>19</v>
      </c>
      <c r="BC129" s="508">
        <v>7</v>
      </c>
      <c r="BD129" s="509">
        <v>46183</v>
      </c>
      <c r="BG129" s="508" t="s">
        <v>724</v>
      </c>
      <c r="BH129" s="508" t="s">
        <v>2940</v>
      </c>
      <c r="BI129" s="508">
        <v>120</v>
      </c>
      <c r="BJ129" s="508">
        <v>58</v>
      </c>
    </row>
    <row r="130" spans="1:62" s="508" customFormat="1" ht="14.25" hidden="1" customHeight="1" x14ac:dyDescent="0.2">
      <c r="A130" s="495" t="s">
        <v>102</v>
      </c>
      <c r="B130" s="496"/>
      <c r="C130" s="497">
        <f>Таблица3[[#This Row],[Степень зрелости вспом]]</f>
        <v>48</v>
      </c>
      <c r="D130" s="498">
        <v>205</v>
      </c>
      <c r="E130" s="499"/>
      <c r="F130" s="496"/>
      <c r="G130" s="496">
        <v>17430</v>
      </c>
      <c r="H130" s="500"/>
      <c r="I130" s="496">
        <v>16555</v>
      </c>
      <c r="J130" s="495" t="s">
        <v>2939</v>
      </c>
      <c r="K130" s="495" t="s">
        <v>524</v>
      </c>
      <c r="L130" s="495" t="s">
        <v>3101</v>
      </c>
      <c r="M130" s="495" t="s">
        <v>302</v>
      </c>
      <c r="N130" s="495"/>
      <c r="O130" s="495"/>
      <c r="P130" s="495"/>
      <c r="Q130" s="495"/>
      <c r="R130" s="501" t="s">
        <v>3379</v>
      </c>
      <c r="S130" s="495"/>
      <c r="T130" s="482" t="str">
        <f>VLOOKUP(Таблица3[[#This Row],[№ акта]],$AJ$1:$BJ$691,15,FALSE)</f>
        <v>А-38</v>
      </c>
      <c r="U130" s="482" t="str">
        <f>VLOOKUP(Таблица3[[#This Row],[№ акта]],$AJ$1:$BJ$691,16,FALSE)</f>
        <v>Авола</v>
      </c>
      <c r="V130" s="502">
        <f>VLOOKUP(Таблица3[[#This Row],[№ акта]],$AJ$1:$BJ$691,17,FALSE)</f>
        <v>2.2999999999999998</v>
      </c>
      <c r="W130" s="502" t="str">
        <f>VLOOKUP(Таблица3[[#This Row],[№ акта]],$AJ$1:$BJ$691,18,FALSE)</f>
        <v>ГРК (богара)</v>
      </c>
      <c r="X130" s="502" t="str">
        <f>VLOOKUP(Таблица3[[#This Row],[№ акта]],$AJ$1:$BJ$691,19,FALSE)</f>
        <v>богара</v>
      </c>
      <c r="Y130" s="503">
        <f>VLOOKUP(Таблица3[[#This Row],[№ акта]],$AJ$1:$BJ$691,20,FALSE)</f>
        <v>7</v>
      </c>
      <c r="Z130" s="504">
        <f>VLOOKUP(Таблица3[[#This Row],[№ акта]],$AJ$1:$BJ$691,21,FALSE)</f>
        <v>46183</v>
      </c>
      <c r="AA130" s="496">
        <f>Таблица3[[#This Row],[Регистратор.Вес нетто]]</f>
        <v>17430</v>
      </c>
      <c r="AB130" s="504" t="str">
        <f>IF(VLOOKUP(Таблица3[[#This Row],[№ акта]],$AJ$1:$BJ$691,23,FALSE)&lt;&gt;0,VLOOKUP(Таблица3[[#This Row],[№ акта]],$AJ$1:$BJ$691,23,FALSE),"-")</f>
        <v>Пищевик ООО</v>
      </c>
      <c r="AC13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130" s="506" t="s">
        <v>2940</v>
      </c>
      <c r="AE130" s="505">
        <v>287</v>
      </c>
      <c r="AF130" s="507">
        <v>46183</v>
      </c>
      <c r="AG130" s="505" t="s">
        <v>3522</v>
      </c>
      <c r="AH130" s="505">
        <f>IFERROR(VLOOKUP(Таблица3[[#This Row],[№ акта]],'Степень зрелости 2026'!$H$12:$I$800,2,FALSE),)</f>
        <v>48</v>
      </c>
      <c r="AJ130" s="508">
        <v>287</v>
      </c>
      <c r="AK130" s="509">
        <v>46183</v>
      </c>
      <c r="AL130" s="508">
        <v>205</v>
      </c>
      <c r="AO130" s="508">
        <v>17430</v>
      </c>
      <c r="AP130" s="508">
        <v>16555</v>
      </c>
      <c r="AQ130" s="508" t="s">
        <v>2939</v>
      </c>
      <c r="AR130" s="508" t="s">
        <v>524</v>
      </c>
      <c r="AS130" s="508" t="s">
        <v>3101</v>
      </c>
      <c r="AT130" s="508" t="s">
        <v>302</v>
      </c>
      <c r="AV130" s="508" t="s">
        <v>3379</v>
      </c>
      <c r="AX130" s="508" t="s">
        <v>3101</v>
      </c>
      <c r="AY130" s="508" t="s">
        <v>524</v>
      </c>
      <c r="AZ130" s="508">
        <v>2.2999999999999998</v>
      </c>
      <c r="BA130" s="508" t="s">
        <v>46</v>
      </c>
      <c r="BB130" s="508" t="s">
        <v>19</v>
      </c>
      <c r="BC130" s="508">
        <v>7</v>
      </c>
      <c r="BD130" s="509">
        <v>46183</v>
      </c>
      <c r="BE130" s="508">
        <v>17430</v>
      </c>
      <c r="BF130" s="508" t="s">
        <v>3236</v>
      </c>
      <c r="BG130" s="508" t="s">
        <v>3557</v>
      </c>
      <c r="BH130" s="508" t="s">
        <v>2940</v>
      </c>
      <c r="BI130" s="508" t="s">
        <v>3522</v>
      </c>
      <c r="BJ130" s="508">
        <v>48</v>
      </c>
    </row>
    <row r="131" spans="1:62" s="508" customFormat="1" ht="14.25" hidden="1" customHeight="1" x14ac:dyDescent="0.2">
      <c r="A131" s="495" t="s">
        <v>102</v>
      </c>
      <c r="B131" s="496"/>
      <c r="C131" s="497">
        <f>Таблица3[[#This Row],[Степень зрелости вспом]]</f>
        <v>61</v>
      </c>
      <c r="D131" s="498">
        <v>206</v>
      </c>
      <c r="E131" s="499"/>
      <c r="F131" s="496"/>
      <c r="G131" s="496">
        <v>13330</v>
      </c>
      <c r="H131" s="500"/>
      <c r="I131" s="496">
        <v>11730.4</v>
      </c>
      <c r="J131" s="495" t="s">
        <v>2939</v>
      </c>
      <c r="K131" s="495" t="s">
        <v>524</v>
      </c>
      <c r="L131" s="495" t="s">
        <v>3101</v>
      </c>
      <c r="M131" s="495" t="s">
        <v>239</v>
      </c>
      <c r="N131" s="495"/>
      <c r="O131" s="495"/>
      <c r="P131" s="495"/>
      <c r="Q131" s="495"/>
      <c r="R131" s="501" t="s">
        <v>243</v>
      </c>
      <c r="S131" s="495"/>
      <c r="T131" s="482" t="str">
        <f>VLOOKUP(Таблица3[[#This Row],[№ акта]],$AJ$1:$BJ$691,15,FALSE)</f>
        <v>А-38</v>
      </c>
      <c r="U131" s="482" t="str">
        <f>VLOOKUP(Таблица3[[#This Row],[№ акта]],$AJ$1:$BJ$691,16,FALSE)</f>
        <v>Авола</v>
      </c>
      <c r="V131" s="502">
        <f>VLOOKUP(Таблица3[[#This Row],[№ акта]],$AJ$1:$BJ$691,17,FALSE)</f>
        <v>1.7</v>
      </c>
      <c r="W131" s="502" t="str">
        <f>VLOOKUP(Таблица3[[#This Row],[№ акта]],$AJ$1:$BJ$691,18,FALSE)</f>
        <v>ГРК (богара)</v>
      </c>
      <c r="X131" s="502" t="str">
        <f>VLOOKUP(Таблица3[[#This Row],[№ акта]],$AJ$1:$BJ$691,19,FALSE)</f>
        <v>богара</v>
      </c>
      <c r="Y131" s="503">
        <f>VLOOKUP(Таблица3[[#This Row],[№ акта]],$AJ$1:$BJ$691,20,FALSE)</f>
        <v>7</v>
      </c>
      <c r="Z131" s="504">
        <f>VLOOKUP(Таблица3[[#This Row],[№ акта]],$AJ$1:$BJ$691,21,FALSE)</f>
        <v>46183</v>
      </c>
      <c r="AA131" s="504"/>
      <c r="AB131" s="504" t="str">
        <f>IF(VLOOKUP(Таблица3[[#This Row],[№ акта]],$AJ$1:$BJ$691,23,FALSE)&lt;&gt;0,VLOOKUP(Таблица3[[#This Row],[№ акта]],$AJ$1:$BJ$691,23,FALSE),"-")</f>
        <v>-</v>
      </c>
      <c r="AC13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31" s="506" t="s">
        <v>2940</v>
      </c>
      <c r="AE131" s="505">
        <v>135</v>
      </c>
      <c r="AF131" s="507">
        <v>46183</v>
      </c>
      <c r="AG131" s="505">
        <v>121</v>
      </c>
      <c r="AH131" s="505">
        <f>IFERROR(VLOOKUP(Таблица3[[#This Row],[№ акта]],'Степень зрелости 2026'!$H$12:$I$800,2,FALSE),)</f>
        <v>61</v>
      </c>
      <c r="AJ131" s="508">
        <v>135</v>
      </c>
      <c r="AK131" s="509">
        <v>46183</v>
      </c>
      <c r="AL131" s="508">
        <v>206</v>
      </c>
      <c r="AO131" s="508">
        <v>13330</v>
      </c>
      <c r="AP131" s="508">
        <v>11730.4</v>
      </c>
      <c r="AQ131" s="508" t="s">
        <v>2939</v>
      </c>
      <c r="AR131" s="508" t="s">
        <v>524</v>
      </c>
      <c r="AS131" s="508" t="s">
        <v>3101</v>
      </c>
      <c r="AT131" s="508" t="s">
        <v>239</v>
      </c>
      <c r="AV131" s="508" t="s">
        <v>243</v>
      </c>
      <c r="AX131" s="508" t="s">
        <v>3101</v>
      </c>
      <c r="AY131" s="508" t="s">
        <v>524</v>
      </c>
      <c r="AZ131" s="508">
        <v>1.7</v>
      </c>
      <c r="BA131" s="508" t="s">
        <v>46</v>
      </c>
      <c r="BB131" s="508" t="s">
        <v>19</v>
      </c>
      <c r="BC131" s="508">
        <v>7</v>
      </c>
      <c r="BD131" s="509">
        <v>46183</v>
      </c>
      <c r="BG131" s="508" t="s">
        <v>724</v>
      </c>
      <c r="BH131" s="508" t="s">
        <v>2940</v>
      </c>
      <c r="BI131" s="508">
        <v>121</v>
      </c>
      <c r="BJ131" s="508">
        <v>61</v>
      </c>
    </row>
    <row r="132" spans="1:62" s="508" customFormat="1" ht="14.25" hidden="1" customHeight="1" x14ac:dyDescent="0.2">
      <c r="A132" s="495" t="s">
        <v>102</v>
      </c>
      <c r="B132" s="496"/>
      <c r="C132" s="497">
        <f>Таблица3[[#This Row],[Степень зрелости вспом]]</f>
        <v>53</v>
      </c>
      <c r="D132" s="498">
        <v>207</v>
      </c>
      <c r="E132" s="499"/>
      <c r="F132" s="496"/>
      <c r="G132" s="496">
        <v>13060</v>
      </c>
      <c r="H132" s="500"/>
      <c r="I132" s="496">
        <v>11667</v>
      </c>
      <c r="J132" s="495" t="s">
        <v>2939</v>
      </c>
      <c r="K132" s="495" t="s">
        <v>524</v>
      </c>
      <c r="L132" s="495" t="s">
        <v>3238</v>
      </c>
      <c r="M132" s="495" t="s">
        <v>305</v>
      </c>
      <c r="N132" s="495"/>
      <c r="O132" s="495"/>
      <c r="P132" s="495"/>
      <c r="Q132" s="495"/>
      <c r="R132" s="501" t="s">
        <v>309</v>
      </c>
      <c r="S132" s="495"/>
      <c r="T132" s="482" t="str">
        <f>VLOOKUP(Таблица3[[#This Row],[№ акта]],$AJ$1:$BJ$691,15,FALSE)</f>
        <v>А-38</v>
      </c>
      <c r="U132" s="482" t="str">
        <f>VLOOKUP(Таблица3[[#This Row],[№ акта]],$AJ$1:$BJ$691,16,FALSE)</f>
        <v>Авола</v>
      </c>
      <c r="V132" s="502">
        <f>VLOOKUP(Таблица3[[#This Row],[№ акта]],$AJ$1:$BJ$691,17,FALSE)</f>
        <v>1.6</v>
      </c>
      <c r="W132" s="502" t="str">
        <f>VLOOKUP(Таблица3[[#This Row],[№ акта]],$AJ$1:$BJ$691,18,FALSE)</f>
        <v>ГРК (богара)</v>
      </c>
      <c r="X132" s="502" t="str">
        <f>VLOOKUP(Таблица3[[#This Row],[№ акта]],$AJ$1:$BJ$691,19,FALSE)</f>
        <v>богара</v>
      </c>
      <c r="Y132" s="503">
        <f>VLOOKUP(Таблица3[[#This Row],[№ акта]],$AJ$1:$BJ$691,20,FALSE)</f>
        <v>7</v>
      </c>
      <c r="Z132" s="504">
        <f>VLOOKUP(Таблица3[[#This Row],[№ акта]],$AJ$1:$BJ$691,21,FALSE)</f>
        <v>46183</v>
      </c>
      <c r="AA132" s="496">
        <f>Таблица3[[#This Row],[Регистратор.Вес нетто]]</f>
        <v>13060</v>
      </c>
      <c r="AB132" s="504" t="str">
        <f>IF(VLOOKUP(Таблица3[[#This Row],[№ акта]],$AJ$1:$BJ$691,23,FALSE)&lt;&gt;0,VLOOKUP(Таблица3[[#This Row],[№ акта]],$AJ$1:$BJ$691,23,FALSE),"-")</f>
        <v>ГРАНД-СТАР ООО</v>
      </c>
      <c r="AC13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32" s="506" t="s">
        <v>2940</v>
      </c>
      <c r="AE132" s="505">
        <v>282</v>
      </c>
      <c r="AF132" s="507">
        <v>46183</v>
      </c>
      <c r="AG132" s="505" t="s">
        <v>3535</v>
      </c>
      <c r="AH132" s="505">
        <f>IFERROR(VLOOKUP(Таблица3[[#This Row],[№ акта]],'Степень зрелости 2026'!$H$12:$I$800,2,FALSE),)</f>
        <v>53</v>
      </c>
      <c r="AJ132" s="508">
        <v>282</v>
      </c>
      <c r="AK132" s="509">
        <v>46183</v>
      </c>
      <c r="AL132" s="508">
        <v>207</v>
      </c>
      <c r="AO132" s="508">
        <v>13060</v>
      </c>
      <c r="AP132" s="508">
        <v>11667</v>
      </c>
      <c r="AQ132" s="508" t="s">
        <v>2939</v>
      </c>
      <c r="AR132" s="508" t="s">
        <v>524</v>
      </c>
      <c r="AS132" s="508" t="s">
        <v>3238</v>
      </c>
      <c r="AT132" s="508" t="s">
        <v>305</v>
      </c>
      <c r="AV132" s="508" t="s">
        <v>309</v>
      </c>
      <c r="AX132" s="508" t="s">
        <v>3101</v>
      </c>
      <c r="AY132" s="508" t="s">
        <v>524</v>
      </c>
      <c r="AZ132" s="508">
        <v>1.6</v>
      </c>
      <c r="BA132" s="508" t="s">
        <v>46</v>
      </c>
      <c r="BB132" s="508" t="s">
        <v>19</v>
      </c>
      <c r="BC132" s="508">
        <v>7</v>
      </c>
      <c r="BD132" s="509">
        <v>46183</v>
      </c>
      <c r="BE132" s="508">
        <v>13060</v>
      </c>
      <c r="BF132" s="508" t="s">
        <v>3206</v>
      </c>
      <c r="BG132" s="508" t="s">
        <v>724</v>
      </c>
      <c r="BH132" s="508" t="s">
        <v>2940</v>
      </c>
      <c r="BI132" s="508" t="s">
        <v>3535</v>
      </c>
      <c r="BJ132" s="508">
        <v>53</v>
      </c>
    </row>
    <row r="133" spans="1:62" s="508" customFormat="1" ht="14.25" hidden="1" customHeight="1" x14ac:dyDescent="0.2">
      <c r="A133" s="495" t="s">
        <v>102</v>
      </c>
      <c r="B133" s="496"/>
      <c r="C133" s="497">
        <f>Таблица3[[#This Row],[Степень зрелости вспом]]</f>
        <v>55</v>
      </c>
      <c r="D133" s="498">
        <v>208</v>
      </c>
      <c r="E133" s="499"/>
      <c r="F133" s="496"/>
      <c r="G133" s="496">
        <v>13700</v>
      </c>
      <c r="H133" s="500"/>
      <c r="I133" s="496">
        <v>11987.5</v>
      </c>
      <c r="J133" s="495" t="s">
        <v>2939</v>
      </c>
      <c r="K133" s="495" t="s">
        <v>524</v>
      </c>
      <c r="L133" s="495" t="s">
        <v>3101</v>
      </c>
      <c r="M133" s="495" t="s">
        <v>127</v>
      </c>
      <c r="N133" s="495"/>
      <c r="O133" s="495"/>
      <c r="P133" s="495"/>
      <c r="Q133" s="495"/>
      <c r="R133" s="501" t="s">
        <v>131</v>
      </c>
      <c r="S133" s="495"/>
      <c r="T133" s="482" t="str">
        <f>VLOOKUP(Таблица3[[#This Row],[№ акта]],$AJ$1:$BJ$691,15,FALSE)</f>
        <v>А-38</v>
      </c>
      <c r="U133" s="482" t="str">
        <f>VLOOKUP(Таблица3[[#This Row],[№ акта]],$AJ$1:$BJ$691,16,FALSE)</f>
        <v>Авола</v>
      </c>
      <c r="V133" s="502">
        <f>VLOOKUP(Таблица3[[#This Row],[№ акта]],$AJ$1:$BJ$691,17,FALSE)</f>
        <v>1.8</v>
      </c>
      <c r="W133" s="502" t="str">
        <f>VLOOKUP(Таблица3[[#This Row],[№ акта]],$AJ$1:$BJ$691,18,FALSE)</f>
        <v>ГРК (богара)</v>
      </c>
      <c r="X133" s="502" t="str">
        <f>VLOOKUP(Таблица3[[#This Row],[№ акта]],$AJ$1:$BJ$691,19,FALSE)</f>
        <v>богара</v>
      </c>
      <c r="Y133" s="503">
        <f>VLOOKUP(Таблица3[[#This Row],[№ акта]],$AJ$1:$BJ$691,20,FALSE)</f>
        <v>7</v>
      </c>
      <c r="Z133" s="504">
        <f>VLOOKUP(Таблица3[[#This Row],[№ акта]],$AJ$1:$BJ$691,21,FALSE)</f>
        <v>46183</v>
      </c>
      <c r="AA133" s="504"/>
      <c r="AB133" s="504" t="str">
        <f>IF(VLOOKUP(Таблица3[[#This Row],[№ акта]],$AJ$1:$BJ$691,23,FALSE)&lt;&gt;0,VLOOKUP(Таблица3[[#This Row],[№ акта]],$AJ$1:$BJ$691,23,FALSE),"-")</f>
        <v>-</v>
      </c>
      <c r="AC13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33" s="506" t="s">
        <v>2940</v>
      </c>
      <c r="AE133" s="505">
        <v>136</v>
      </c>
      <c r="AF133" s="507">
        <v>46183</v>
      </c>
      <c r="AG133" s="505">
        <v>122</v>
      </c>
      <c r="AH133" s="505">
        <f>IFERROR(VLOOKUP(Таблица3[[#This Row],[№ акта]],'Степень зрелости 2026'!$H$12:$I$800,2,FALSE),)</f>
        <v>55</v>
      </c>
      <c r="AJ133" s="508">
        <v>136</v>
      </c>
      <c r="AK133" s="509">
        <v>46183</v>
      </c>
      <c r="AL133" s="508">
        <v>208</v>
      </c>
      <c r="AO133" s="508">
        <v>13700</v>
      </c>
      <c r="AP133" s="508">
        <v>11987.5</v>
      </c>
      <c r="AQ133" s="508" t="s">
        <v>2939</v>
      </c>
      <c r="AR133" s="508" t="s">
        <v>524</v>
      </c>
      <c r="AS133" s="508" t="s">
        <v>3101</v>
      </c>
      <c r="AT133" s="508" t="s">
        <v>127</v>
      </c>
      <c r="AV133" s="508" t="s">
        <v>131</v>
      </c>
      <c r="AX133" s="508" t="s">
        <v>3101</v>
      </c>
      <c r="AY133" s="508" t="s">
        <v>524</v>
      </c>
      <c r="AZ133" s="508">
        <v>1.8</v>
      </c>
      <c r="BA133" s="508" t="s">
        <v>46</v>
      </c>
      <c r="BB133" s="508" t="s">
        <v>19</v>
      </c>
      <c r="BC133" s="508">
        <v>7</v>
      </c>
      <c r="BD133" s="509">
        <v>46183</v>
      </c>
      <c r="BG133" s="508" t="s">
        <v>724</v>
      </c>
      <c r="BH133" s="508" t="s">
        <v>2940</v>
      </c>
      <c r="BI133" s="508">
        <v>122</v>
      </c>
      <c r="BJ133" s="508">
        <v>55</v>
      </c>
    </row>
    <row r="134" spans="1:62" s="508" customFormat="1" ht="14.25" hidden="1" customHeight="1" x14ac:dyDescent="0.2">
      <c r="A134" s="495" t="s">
        <v>102</v>
      </c>
      <c r="B134" s="496"/>
      <c r="C134" s="497">
        <f>Таблица3[[#This Row],[Степень зрелости вспом]]</f>
        <v>59</v>
      </c>
      <c r="D134" s="498">
        <v>209</v>
      </c>
      <c r="E134" s="499"/>
      <c r="F134" s="496"/>
      <c r="G134" s="496">
        <v>13040</v>
      </c>
      <c r="H134" s="500"/>
      <c r="I134" s="496">
        <v>11670.8</v>
      </c>
      <c r="J134" s="495" t="s">
        <v>2939</v>
      </c>
      <c r="K134" s="495" t="s">
        <v>524</v>
      </c>
      <c r="L134" s="495" t="s">
        <v>3101</v>
      </c>
      <c r="M134" s="495" t="s">
        <v>212</v>
      </c>
      <c r="N134" s="495"/>
      <c r="O134" s="495"/>
      <c r="P134" s="495"/>
      <c r="Q134" s="495"/>
      <c r="R134" s="501" t="s">
        <v>2965</v>
      </c>
      <c r="S134" s="495"/>
      <c r="T134" s="482" t="str">
        <f>VLOOKUP(Таблица3[[#This Row],[№ акта]],$AJ$1:$BJ$691,15,FALSE)</f>
        <v>А-38</v>
      </c>
      <c r="U134" s="482" t="str">
        <f>VLOOKUP(Таблица3[[#This Row],[№ акта]],$AJ$1:$BJ$691,16,FALSE)</f>
        <v>Авола</v>
      </c>
      <c r="V134" s="502">
        <f>VLOOKUP(Таблица3[[#This Row],[№ акта]],$AJ$1:$BJ$691,17,FALSE)</f>
        <v>1.7</v>
      </c>
      <c r="W134" s="502" t="str">
        <f>VLOOKUP(Таблица3[[#This Row],[№ акта]],$AJ$1:$BJ$691,18,FALSE)</f>
        <v>ГРК (богара)</v>
      </c>
      <c r="X134" s="502" t="str">
        <f>VLOOKUP(Таблица3[[#This Row],[№ акта]],$AJ$1:$BJ$691,19,FALSE)</f>
        <v>богара</v>
      </c>
      <c r="Y134" s="503">
        <f>VLOOKUP(Таблица3[[#This Row],[№ акта]],$AJ$1:$BJ$691,20,FALSE)</f>
        <v>7</v>
      </c>
      <c r="Z134" s="504">
        <f>VLOOKUP(Таблица3[[#This Row],[№ акта]],$AJ$1:$BJ$691,21,FALSE)</f>
        <v>46183</v>
      </c>
      <c r="AA134" s="504"/>
      <c r="AB134" s="504" t="str">
        <f>IF(VLOOKUP(Таблица3[[#This Row],[№ акта]],$AJ$1:$BJ$691,23,FALSE)&lt;&gt;0,VLOOKUP(Таблица3[[#This Row],[№ акта]],$AJ$1:$BJ$691,23,FALSE),"-")</f>
        <v>-</v>
      </c>
      <c r="AC13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34" s="506" t="s">
        <v>2940</v>
      </c>
      <c r="AE134" s="505">
        <v>137</v>
      </c>
      <c r="AF134" s="507">
        <v>46183</v>
      </c>
      <c r="AG134" s="505">
        <v>118</v>
      </c>
      <c r="AH134" s="505">
        <f>IFERROR(VLOOKUP(Таблица3[[#This Row],[№ акта]],'Степень зрелости 2026'!$H$12:$I$800,2,FALSE),)</f>
        <v>59</v>
      </c>
      <c r="AJ134" s="508">
        <v>137</v>
      </c>
      <c r="AK134" s="509">
        <v>46183</v>
      </c>
      <c r="AL134" s="508">
        <v>209</v>
      </c>
      <c r="AO134" s="508">
        <v>13040</v>
      </c>
      <c r="AP134" s="508">
        <v>11670.8</v>
      </c>
      <c r="AQ134" s="508" t="s">
        <v>2939</v>
      </c>
      <c r="AR134" s="508" t="s">
        <v>524</v>
      </c>
      <c r="AS134" s="508" t="s">
        <v>3101</v>
      </c>
      <c r="AT134" s="508" t="s">
        <v>212</v>
      </c>
      <c r="AV134" s="508" t="s">
        <v>2965</v>
      </c>
      <c r="AX134" s="508" t="s">
        <v>3101</v>
      </c>
      <c r="AY134" s="508" t="s">
        <v>524</v>
      </c>
      <c r="AZ134" s="508">
        <v>1.7</v>
      </c>
      <c r="BA134" s="508" t="s">
        <v>46</v>
      </c>
      <c r="BB134" s="508" t="s">
        <v>19</v>
      </c>
      <c r="BC134" s="508">
        <v>7</v>
      </c>
      <c r="BD134" s="509">
        <v>46183</v>
      </c>
      <c r="BG134" s="508" t="s">
        <v>724</v>
      </c>
      <c r="BH134" s="508" t="s">
        <v>2940</v>
      </c>
      <c r="BI134" s="508">
        <v>118</v>
      </c>
      <c r="BJ134" s="508">
        <v>59</v>
      </c>
    </row>
    <row r="135" spans="1:62" s="508" customFormat="1" ht="14.25" hidden="1" customHeight="1" x14ac:dyDescent="0.2">
      <c r="A135" s="495" t="s">
        <v>102</v>
      </c>
      <c r="B135" s="496"/>
      <c r="C135" s="497">
        <f>Таблица3[[#This Row],[Степень зрелости вспом]]</f>
        <v>57</v>
      </c>
      <c r="D135" s="498">
        <v>210</v>
      </c>
      <c r="E135" s="499"/>
      <c r="F135" s="496"/>
      <c r="G135" s="496">
        <v>4400</v>
      </c>
      <c r="H135" s="500"/>
      <c r="I135" s="496">
        <v>3894</v>
      </c>
      <c r="J135" s="495" t="s">
        <v>2939</v>
      </c>
      <c r="K135" s="495" t="s">
        <v>524</v>
      </c>
      <c r="L135" s="495" t="s">
        <v>3101</v>
      </c>
      <c r="M135" s="495" t="s">
        <v>737</v>
      </c>
      <c r="N135" s="495"/>
      <c r="O135" s="495"/>
      <c r="P135" s="495"/>
      <c r="Q135" s="495"/>
      <c r="R135" s="501" t="s">
        <v>738</v>
      </c>
      <c r="S135" s="495"/>
      <c r="T135" s="482" t="str">
        <f>VLOOKUP(Таблица3[[#This Row],[№ акта]],$AJ$1:$BJ$691,15,FALSE)</f>
        <v>А-38</v>
      </c>
      <c r="U135" s="482" t="str">
        <f>VLOOKUP(Таблица3[[#This Row],[№ акта]],$AJ$1:$BJ$691,16,FALSE)</f>
        <v>Авола</v>
      </c>
      <c r="V135" s="502">
        <f>VLOOKUP(Таблица3[[#This Row],[№ акта]],$AJ$1:$BJ$691,17,FALSE)</f>
        <v>0.6</v>
      </c>
      <c r="W135" s="502" t="str">
        <f>VLOOKUP(Таблица3[[#This Row],[№ акта]],$AJ$1:$BJ$691,18,FALSE)</f>
        <v>ГРК (богара)</v>
      </c>
      <c r="X135" s="502" t="str">
        <f>VLOOKUP(Таблица3[[#This Row],[№ акта]],$AJ$1:$BJ$691,19,FALSE)</f>
        <v>богара</v>
      </c>
      <c r="Y135" s="503">
        <f>VLOOKUP(Таблица3[[#This Row],[№ акта]],$AJ$1:$BJ$691,20,FALSE)</f>
        <v>7</v>
      </c>
      <c r="Z135" s="504">
        <f>VLOOKUP(Таблица3[[#This Row],[№ акта]],$AJ$1:$BJ$691,21,FALSE)</f>
        <v>46183</v>
      </c>
      <c r="AA135" s="496"/>
      <c r="AB135" s="504" t="str">
        <f>IF(VLOOKUP(Таблица3[[#This Row],[№ акта]],$AJ$1:$BJ$691,23,FALSE)&lt;&gt;0,VLOOKUP(Таблица3[[#This Row],[№ акта]],$AJ$1:$BJ$691,23,FALSE),"-")</f>
        <v>-</v>
      </c>
      <c r="AC13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35" s="506" t="s">
        <v>2940</v>
      </c>
      <c r="AE135" s="505">
        <v>138</v>
      </c>
      <c r="AF135" s="507">
        <v>46183</v>
      </c>
      <c r="AG135" s="505">
        <v>124</v>
      </c>
      <c r="AH135" s="505">
        <f>IFERROR(VLOOKUP(Таблица3[[#This Row],[№ акта]],'Степень зрелости 2026'!$H$12:$I$800,2,FALSE),)</f>
        <v>57</v>
      </c>
      <c r="AJ135" s="508">
        <v>138</v>
      </c>
      <c r="AK135" s="509">
        <v>46183</v>
      </c>
      <c r="AL135" s="508">
        <v>210</v>
      </c>
      <c r="AO135" s="508">
        <v>4400</v>
      </c>
      <c r="AP135" s="508">
        <v>3894</v>
      </c>
      <c r="AQ135" s="508" t="s">
        <v>2939</v>
      </c>
      <c r="AR135" s="508" t="s">
        <v>524</v>
      </c>
      <c r="AS135" s="508" t="s">
        <v>3101</v>
      </c>
      <c r="AT135" s="508" t="s">
        <v>737</v>
      </c>
      <c r="AV135" s="508" t="s">
        <v>738</v>
      </c>
      <c r="AX135" s="508" t="s">
        <v>3101</v>
      </c>
      <c r="AY135" s="508" t="s">
        <v>524</v>
      </c>
      <c r="AZ135" s="508">
        <v>0.6</v>
      </c>
      <c r="BA135" s="508" t="s">
        <v>46</v>
      </c>
      <c r="BB135" s="508" t="s">
        <v>19</v>
      </c>
      <c r="BC135" s="508">
        <v>7</v>
      </c>
      <c r="BD135" s="509">
        <v>46183</v>
      </c>
      <c r="BG135" s="508" t="s">
        <v>724</v>
      </c>
      <c r="BH135" s="508" t="s">
        <v>2940</v>
      </c>
      <c r="BI135" s="508">
        <v>124</v>
      </c>
      <c r="BJ135" s="508">
        <v>57</v>
      </c>
    </row>
    <row r="136" spans="1:62" s="508" customFormat="1" ht="14.25" hidden="1" customHeight="1" x14ac:dyDescent="0.2">
      <c r="A136" s="495" t="s">
        <v>102</v>
      </c>
      <c r="B136" s="496"/>
      <c r="C136" s="497">
        <f>Таблица3[[#This Row],[Степень зрелости вспом]]</f>
        <v>49</v>
      </c>
      <c r="D136" s="498">
        <v>213</v>
      </c>
      <c r="E136" s="499"/>
      <c r="F136" s="496"/>
      <c r="G136" s="496">
        <v>19890</v>
      </c>
      <c r="H136" s="500"/>
      <c r="I136" s="496">
        <v>19213.7</v>
      </c>
      <c r="J136" s="495" t="s">
        <v>2939</v>
      </c>
      <c r="K136" s="495" t="s">
        <v>524</v>
      </c>
      <c r="L136" s="495" t="s">
        <v>3101</v>
      </c>
      <c r="M136" s="495" t="s">
        <v>3233</v>
      </c>
      <c r="N136" s="495"/>
      <c r="O136" s="495"/>
      <c r="P136" s="495"/>
      <c r="Q136" s="495"/>
      <c r="R136" s="501" t="s">
        <v>3380</v>
      </c>
      <c r="S136" s="495"/>
      <c r="T136" s="482" t="str">
        <f>VLOOKUP(Таблица3[[#This Row],[№ акта]],$AJ$1:$BJ$691,15,FALSE)</f>
        <v>А-38</v>
      </c>
      <c r="U136" s="482" t="str">
        <f>VLOOKUP(Таблица3[[#This Row],[№ акта]],$AJ$1:$BJ$691,16,FALSE)</f>
        <v>Авола</v>
      </c>
      <c r="V136" s="502">
        <f>VLOOKUP(Таблица3[[#This Row],[№ акта]],$AJ$1:$BJ$691,17,FALSE)</f>
        <v>2.6</v>
      </c>
      <c r="W136" s="502" t="str">
        <f>VLOOKUP(Таблица3[[#This Row],[№ акта]],$AJ$1:$BJ$691,18,FALSE)</f>
        <v>ГРК (богара)</v>
      </c>
      <c r="X136" s="502" t="str">
        <f>VLOOKUP(Таблица3[[#This Row],[№ акта]],$AJ$1:$BJ$691,19,FALSE)</f>
        <v>богара</v>
      </c>
      <c r="Y136" s="503">
        <f>VLOOKUP(Таблица3[[#This Row],[№ акта]],$AJ$1:$BJ$691,20,FALSE)</f>
        <v>7</v>
      </c>
      <c r="Z136" s="504">
        <f>VLOOKUP(Таблица3[[#This Row],[№ акта]],$AJ$1:$BJ$691,21,FALSE)</f>
        <v>46183</v>
      </c>
      <c r="AA136" s="496">
        <f>Таблица3[[#This Row],[Регистратор.Вес нетто]]</f>
        <v>19890</v>
      </c>
      <c r="AB136" s="504" t="str">
        <f>IF(VLOOKUP(Таблица3[[#This Row],[№ акта]],$AJ$1:$BJ$691,23,FALSE)&lt;&gt;0,VLOOKUP(Таблица3[[#This Row],[№ акта]],$AJ$1:$BJ$691,23,FALSE),"-")</f>
        <v>Пищевик ООО</v>
      </c>
      <c r="AC13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136" s="506" t="s">
        <v>2940</v>
      </c>
      <c r="AE136" s="505">
        <v>288</v>
      </c>
      <c r="AF136" s="507">
        <v>46183</v>
      </c>
      <c r="AG136" s="505" t="s">
        <v>3524</v>
      </c>
      <c r="AH136" s="505">
        <f>IFERROR(VLOOKUP(Таблица3[[#This Row],[№ акта]],'Степень зрелости 2026'!$H$12:$I$800,2,FALSE),)</f>
        <v>49</v>
      </c>
      <c r="AJ136" s="508">
        <v>288</v>
      </c>
      <c r="AK136" s="509">
        <v>46183</v>
      </c>
      <c r="AL136" s="508">
        <v>213</v>
      </c>
      <c r="AO136" s="508">
        <v>19890</v>
      </c>
      <c r="AP136" s="508">
        <v>19214</v>
      </c>
      <c r="AQ136" s="508" t="s">
        <v>2939</v>
      </c>
      <c r="AR136" s="508" t="s">
        <v>524</v>
      </c>
      <c r="AS136" s="508" t="s">
        <v>3101</v>
      </c>
      <c r="AT136" s="508" t="s">
        <v>3233</v>
      </c>
      <c r="AV136" s="508" t="s">
        <v>3380</v>
      </c>
      <c r="AX136" s="508" t="s">
        <v>3101</v>
      </c>
      <c r="AY136" s="508" t="s">
        <v>524</v>
      </c>
      <c r="AZ136" s="508">
        <v>2.6</v>
      </c>
      <c r="BA136" s="508" t="s">
        <v>46</v>
      </c>
      <c r="BB136" s="508" t="s">
        <v>19</v>
      </c>
      <c r="BC136" s="508">
        <v>7</v>
      </c>
      <c r="BD136" s="509">
        <v>46183</v>
      </c>
      <c r="BE136" s="508">
        <v>19890</v>
      </c>
      <c r="BF136" s="508" t="s">
        <v>3236</v>
      </c>
      <c r="BG136" s="508" t="s">
        <v>3557</v>
      </c>
      <c r="BH136" s="508" t="s">
        <v>2940</v>
      </c>
      <c r="BI136" s="508" t="s">
        <v>3524</v>
      </c>
      <c r="BJ136" s="508">
        <v>49</v>
      </c>
    </row>
    <row r="137" spans="1:62" s="508" customFormat="1" ht="14.25" hidden="1" customHeight="1" x14ac:dyDescent="0.2">
      <c r="A137" s="495" t="s">
        <v>102</v>
      </c>
      <c r="B137" s="496"/>
      <c r="C137" s="497">
        <f>Таблица3[[#This Row],[Степень зрелости вспом]]</f>
        <v>59</v>
      </c>
      <c r="D137" s="498">
        <v>214</v>
      </c>
      <c r="E137" s="499"/>
      <c r="F137" s="496"/>
      <c r="G137" s="496">
        <v>17480</v>
      </c>
      <c r="H137" s="500"/>
      <c r="I137" s="496">
        <v>14501</v>
      </c>
      <c r="J137" s="495" t="s">
        <v>2939</v>
      </c>
      <c r="K137" s="495" t="s">
        <v>524</v>
      </c>
      <c r="L137" s="495" t="s">
        <v>3101</v>
      </c>
      <c r="M137" s="495" t="s">
        <v>3234</v>
      </c>
      <c r="N137" s="495"/>
      <c r="O137" s="495"/>
      <c r="P137" s="495"/>
      <c r="Q137" s="495"/>
      <c r="R137" s="501" t="s">
        <v>3381</v>
      </c>
      <c r="S137" s="495"/>
      <c r="T137" s="482" t="str">
        <f>VLOOKUP(Таблица3[[#This Row],[№ акта]],$AJ$1:$BJ$691,15,FALSE)</f>
        <v>А-38</v>
      </c>
      <c r="U137" s="482" t="str">
        <f>VLOOKUP(Таблица3[[#This Row],[№ акта]],$AJ$1:$BJ$691,16,FALSE)</f>
        <v>Авола</v>
      </c>
      <c r="V137" s="502">
        <f>VLOOKUP(Таблица3[[#This Row],[№ акта]],$AJ$1:$BJ$691,17,FALSE)</f>
        <v>2.2999999999999998</v>
      </c>
      <c r="W137" s="502" t="str">
        <f>VLOOKUP(Таблица3[[#This Row],[№ акта]],$AJ$1:$BJ$691,18,FALSE)</f>
        <v>ГРК (богара)</v>
      </c>
      <c r="X137" s="502" t="str">
        <f>VLOOKUP(Таблица3[[#This Row],[№ акта]],$AJ$1:$BJ$691,19,FALSE)</f>
        <v>богара</v>
      </c>
      <c r="Y137" s="503">
        <f>VLOOKUP(Таблица3[[#This Row],[№ акта]],$AJ$1:$BJ$691,20,FALSE)</f>
        <v>7</v>
      </c>
      <c r="Z137" s="504">
        <f>VLOOKUP(Таблица3[[#This Row],[№ акта]],$AJ$1:$BJ$691,21,FALSE)</f>
        <v>46183</v>
      </c>
      <c r="AA137" s="496">
        <f>Таблица3[[#This Row],[Регистратор.Вес нетто]]</f>
        <v>17480</v>
      </c>
      <c r="AB137" s="504" t="str">
        <f>IF(VLOOKUP(Таблица3[[#This Row],[№ акта]],$AJ$1:$BJ$691,23,FALSE)&lt;&gt;0,VLOOKUP(Таблица3[[#This Row],[№ акта]],$AJ$1:$BJ$691,23,FALSE),"-")</f>
        <v>ТПК ЮЖНЫЙ ПРОДУКТ ООО</v>
      </c>
      <c r="AC13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37" s="506" t="s">
        <v>2940</v>
      </c>
      <c r="AE137" s="505">
        <v>305</v>
      </c>
      <c r="AF137" s="507">
        <v>46184</v>
      </c>
      <c r="AG137" s="505" t="s">
        <v>3526</v>
      </c>
      <c r="AH137" s="505">
        <f>IFERROR(VLOOKUP(Таблица3[[#This Row],[№ акта]],'Степень зрелости 2026'!$H$12:$I$800,2,FALSE),)</f>
        <v>59</v>
      </c>
      <c r="AJ137" s="508">
        <v>305</v>
      </c>
      <c r="AK137" s="509">
        <v>46184</v>
      </c>
      <c r="AL137" s="508">
        <v>214</v>
      </c>
      <c r="AO137" s="508">
        <v>17480</v>
      </c>
      <c r="AP137" s="508">
        <v>14501</v>
      </c>
      <c r="AQ137" s="508" t="s">
        <v>2939</v>
      </c>
      <c r="AR137" s="508" t="s">
        <v>524</v>
      </c>
      <c r="AS137" s="508" t="s">
        <v>3101</v>
      </c>
      <c r="AT137" s="508" t="s">
        <v>3234</v>
      </c>
      <c r="AV137" s="508" t="s">
        <v>3381</v>
      </c>
      <c r="AX137" s="508" t="s">
        <v>3101</v>
      </c>
      <c r="AY137" s="508" t="s">
        <v>524</v>
      </c>
      <c r="AZ137" s="508">
        <v>2.2999999999999998</v>
      </c>
      <c r="BA137" s="508" t="s">
        <v>46</v>
      </c>
      <c r="BB137" s="508" t="s">
        <v>19</v>
      </c>
      <c r="BC137" s="508">
        <v>7</v>
      </c>
      <c r="BD137" s="509">
        <v>46183</v>
      </c>
      <c r="BE137" s="508">
        <v>17480</v>
      </c>
      <c r="BF137" s="508" t="s">
        <v>3205</v>
      </c>
      <c r="BG137" s="508" t="s">
        <v>724</v>
      </c>
      <c r="BH137" s="508" t="s">
        <v>2940</v>
      </c>
      <c r="BI137" s="508" t="s">
        <v>3526</v>
      </c>
      <c r="BJ137" s="508">
        <v>59</v>
      </c>
    </row>
    <row r="138" spans="1:62" s="508" customFormat="1" ht="14.25" hidden="1" customHeight="1" x14ac:dyDescent="0.2">
      <c r="A138" s="495" t="s">
        <v>102</v>
      </c>
      <c r="B138" s="496"/>
      <c r="C138" s="497">
        <f>Таблица3[[#This Row],[Степень зрелости вспом]]</f>
        <v>62</v>
      </c>
      <c r="D138" s="498">
        <v>215</v>
      </c>
      <c r="E138" s="499"/>
      <c r="F138" s="496"/>
      <c r="G138" s="496">
        <v>14790</v>
      </c>
      <c r="H138" s="500"/>
      <c r="I138" s="496">
        <v>12734</v>
      </c>
      <c r="J138" s="495" t="s">
        <v>2939</v>
      </c>
      <c r="K138" s="495" t="s">
        <v>524</v>
      </c>
      <c r="L138" s="495" t="s">
        <v>3101</v>
      </c>
      <c r="M138" s="495" t="s">
        <v>3235</v>
      </c>
      <c r="N138" s="495"/>
      <c r="O138" s="495"/>
      <c r="P138" s="495"/>
      <c r="Q138" s="495"/>
      <c r="R138" s="501" t="s">
        <v>3382</v>
      </c>
      <c r="S138" s="495"/>
      <c r="T138" s="482" t="str">
        <f>VLOOKUP(Таблица3[[#This Row],[№ акта]],$AJ$1:$BJ$691,15,FALSE)</f>
        <v>А-38</v>
      </c>
      <c r="U138" s="482" t="str">
        <f>VLOOKUP(Таблица3[[#This Row],[№ акта]],$AJ$1:$BJ$691,16,FALSE)</f>
        <v>Авола</v>
      </c>
      <c r="V138" s="502">
        <f>VLOOKUP(Таблица3[[#This Row],[№ акта]],$AJ$1:$BJ$691,17,FALSE)</f>
        <v>1.9</v>
      </c>
      <c r="W138" s="502" t="str">
        <f>VLOOKUP(Таблица3[[#This Row],[№ акта]],$AJ$1:$BJ$691,18,FALSE)</f>
        <v>ГРК (богара)</v>
      </c>
      <c r="X138" s="502" t="str">
        <f>VLOOKUP(Таблица3[[#This Row],[№ акта]],$AJ$1:$BJ$691,19,FALSE)</f>
        <v>богара</v>
      </c>
      <c r="Y138" s="503">
        <f>VLOOKUP(Таблица3[[#This Row],[№ акта]],$AJ$1:$BJ$691,20,FALSE)</f>
        <v>7</v>
      </c>
      <c r="Z138" s="504">
        <f>VLOOKUP(Таблица3[[#This Row],[№ акта]],$AJ$1:$BJ$691,21,FALSE)</f>
        <v>46183</v>
      </c>
      <c r="AA138" s="496">
        <f>Таблица3[[#This Row],[Регистратор.Вес нетто]]</f>
        <v>14790</v>
      </c>
      <c r="AB138" s="504" t="str">
        <f>IF(VLOOKUP(Таблица3[[#This Row],[№ акта]],$AJ$1:$BJ$691,23,FALSE)&lt;&gt;0,VLOOKUP(Таблица3[[#This Row],[№ акта]],$AJ$1:$BJ$691,23,FALSE),"-")</f>
        <v>ТПК ЮЖНЫЙ ПРОДУКТ ООО</v>
      </c>
      <c r="AC13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38" s="506" t="s">
        <v>2940</v>
      </c>
      <c r="AE138" s="505">
        <v>306</v>
      </c>
      <c r="AF138" s="507">
        <v>46184</v>
      </c>
      <c r="AG138" s="505" t="s">
        <v>3528</v>
      </c>
      <c r="AH138" s="505">
        <f>IFERROR(VLOOKUP(Таблица3[[#This Row],[№ акта]],'Степень зрелости 2026'!$H$12:$I$800,2,FALSE),)</f>
        <v>62</v>
      </c>
      <c r="AJ138" s="508">
        <v>306</v>
      </c>
      <c r="AK138" s="509">
        <v>46184</v>
      </c>
      <c r="AL138" s="508">
        <v>215</v>
      </c>
      <c r="AO138" s="508">
        <v>14790</v>
      </c>
      <c r="AP138" s="508">
        <v>12734</v>
      </c>
      <c r="AQ138" s="508" t="s">
        <v>2939</v>
      </c>
      <c r="AR138" s="508" t="s">
        <v>524</v>
      </c>
      <c r="AS138" s="508" t="s">
        <v>3101</v>
      </c>
      <c r="AT138" s="508" t="s">
        <v>3235</v>
      </c>
      <c r="AV138" s="508" t="s">
        <v>3382</v>
      </c>
      <c r="AX138" s="508" t="s">
        <v>3101</v>
      </c>
      <c r="AY138" s="508" t="s">
        <v>524</v>
      </c>
      <c r="AZ138" s="508">
        <v>1.9</v>
      </c>
      <c r="BA138" s="508" t="s">
        <v>46</v>
      </c>
      <c r="BB138" s="508" t="s">
        <v>19</v>
      </c>
      <c r="BC138" s="508">
        <v>7</v>
      </c>
      <c r="BD138" s="509">
        <v>46183</v>
      </c>
      <c r="BE138" s="508">
        <v>14790</v>
      </c>
      <c r="BF138" s="508" t="s">
        <v>3205</v>
      </c>
      <c r="BG138" s="508" t="s">
        <v>724</v>
      </c>
      <c r="BH138" s="508" t="s">
        <v>2940</v>
      </c>
      <c r="BI138" s="508" t="s">
        <v>3528</v>
      </c>
      <c r="BJ138" s="508">
        <v>62</v>
      </c>
    </row>
    <row r="139" spans="1:62" s="508" customFormat="1" ht="14.25" hidden="1" customHeight="1" x14ac:dyDescent="0.2">
      <c r="A139" s="495" t="s">
        <v>102</v>
      </c>
      <c r="B139" s="496"/>
      <c r="C139" s="497">
        <f>Таблица3[[#This Row],[Степень зрелости вспом]]</f>
        <v>57</v>
      </c>
      <c r="D139" s="498">
        <v>216</v>
      </c>
      <c r="E139" s="499"/>
      <c r="F139" s="496"/>
      <c r="G139" s="496">
        <v>13130</v>
      </c>
      <c r="H139" s="500"/>
      <c r="I139" s="496">
        <v>11357.4</v>
      </c>
      <c r="J139" s="495" t="s">
        <v>2939</v>
      </c>
      <c r="K139" s="495" t="s">
        <v>524</v>
      </c>
      <c r="L139" s="495" t="s">
        <v>3101</v>
      </c>
      <c r="M139" s="495" t="s">
        <v>335</v>
      </c>
      <c r="N139" s="495"/>
      <c r="O139" s="495"/>
      <c r="P139" s="495"/>
      <c r="Q139" s="495"/>
      <c r="R139" s="501" t="s">
        <v>339</v>
      </c>
      <c r="S139" s="495"/>
      <c r="T139" s="482" t="str">
        <f>VLOOKUP(Таблица3[[#This Row],[№ акта]],$AJ$1:$BJ$691,15,FALSE)</f>
        <v>А-38</v>
      </c>
      <c r="U139" s="482" t="str">
        <f>VLOOKUP(Таблица3[[#This Row],[№ акта]],$AJ$1:$BJ$691,16,FALSE)</f>
        <v>Авола</v>
      </c>
      <c r="V139" s="502">
        <f>VLOOKUP(Таблица3[[#This Row],[№ акта]],$AJ$1:$BJ$691,17,FALSE)</f>
        <v>1.7</v>
      </c>
      <c r="W139" s="502" t="str">
        <f>VLOOKUP(Таблица3[[#This Row],[№ акта]],$AJ$1:$BJ$691,18,FALSE)</f>
        <v>ГРК (богара)</v>
      </c>
      <c r="X139" s="502" t="str">
        <f>VLOOKUP(Таблица3[[#This Row],[№ акта]],$AJ$1:$BJ$691,19,FALSE)</f>
        <v>богара</v>
      </c>
      <c r="Y139" s="503">
        <f>VLOOKUP(Таблица3[[#This Row],[№ акта]],$AJ$1:$BJ$691,20,FALSE)</f>
        <v>7</v>
      </c>
      <c r="Z139" s="504">
        <f>VLOOKUP(Таблица3[[#This Row],[№ акта]],$AJ$1:$BJ$691,21,FALSE)</f>
        <v>46183</v>
      </c>
      <c r="AA139" s="504"/>
      <c r="AB139" s="504" t="str">
        <f>IF(VLOOKUP(Таблица3[[#This Row],[№ акта]],$AJ$1:$BJ$691,23,FALSE)&lt;&gt;0,VLOOKUP(Таблица3[[#This Row],[№ акта]],$AJ$1:$BJ$691,23,FALSE),"-")</f>
        <v>-</v>
      </c>
      <c r="AC13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39" s="506" t="s">
        <v>2940</v>
      </c>
      <c r="AE139" s="505">
        <v>139</v>
      </c>
      <c r="AF139" s="507">
        <v>46184</v>
      </c>
      <c r="AG139" s="505">
        <v>120</v>
      </c>
      <c r="AH139" s="505">
        <f>IFERROR(VLOOKUP(Таблица3[[#This Row],[№ акта]],'Степень зрелости 2026'!$H$12:$I$800,2,FALSE),)</f>
        <v>57</v>
      </c>
      <c r="AJ139" s="508">
        <v>139</v>
      </c>
      <c r="AK139" s="509">
        <v>46184</v>
      </c>
      <c r="AL139" s="508">
        <v>216</v>
      </c>
      <c r="AO139" s="508">
        <v>13130</v>
      </c>
      <c r="AP139" s="508">
        <v>11357.4</v>
      </c>
      <c r="AQ139" s="508" t="s">
        <v>2939</v>
      </c>
      <c r="AR139" s="508" t="s">
        <v>524</v>
      </c>
      <c r="AS139" s="508" t="s">
        <v>3101</v>
      </c>
      <c r="AT139" s="508" t="s">
        <v>335</v>
      </c>
      <c r="AV139" s="508" t="s">
        <v>339</v>
      </c>
      <c r="AX139" s="508" t="s">
        <v>3101</v>
      </c>
      <c r="AY139" s="508" t="s">
        <v>524</v>
      </c>
      <c r="AZ139" s="508">
        <v>1.7</v>
      </c>
      <c r="BA139" s="508" t="s">
        <v>46</v>
      </c>
      <c r="BB139" s="508" t="s">
        <v>19</v>
      </c>
      <c r="BC139" s="508">
        <v>7</v>
      </c>
      <c r="BD139" s="509">
        <v>46183</v>
      </c>
      <c r="BG139" s="508" t="s">
        <v>724</v>
      </c>
      <c r="BH139" s="508" t="s">
        <v>2940</v>
      </c>
      <c r="BI139" s="508">
        <v>120</v>
      </c>
      <c r="BJ139" s="508">
        <v>57</v>
      </c>
    </row>
    <row r="140" spans="1:62" s="508" customFormat="1" ht="14.25" hidden="1" customHeight="1" x14ac:dyDescent="0.2">
      <c r="A140" s="495" t="s">
        <v>102</v>
      </c>
      <c r="B140" s="496"/>
      <c r="C140" s="497">
        <f>Таблица3[[#This Row],[Степень зрелости вспом]]</f>
        <v>54</v>
      </c>
      <c r="D140" s="498">
        <v>217</v>
      </c>
      <c r="E140" s="499"/>
      <c r="F140" s="496"/>
      <c r="G140" s="496">
        <v>12910</v>
      </c>
      <c r="H140" s="500"/>
      <c r="I140" s="496">
        <v>11555</v>
      </c>
      <c r="J140" s="495" t="s">
        <v>2939</v>
      </c>
      <c r="K140" s="495" t="s">
        <v>901</v>
      </c>
      <c r="L140" s="495" t="s">
        <v>3248</v>
      </c>
      <c r="M140" s="495" t="s">
        <v>3204</v>
      </c>
      <c r="N140" s="495"/>
      <c r="O140" s="495"/>
      <c r="P140" s="495"/>
      <c r="Q140" s="495"/>
      <c r="R140" s="501" t="s">
        <v>3303</v>
      </c>
      <c r="S140" s="495"/>
      <c r="T140" s="482" t="str">
        <f>VLOOKUP(Таблица3[[#This Row],[№ акта]],$AJ$1:$BJ$691,15,FALSE)</f>
        <v>А-24/1</v>
      </c>
      <c r="U140" s="482" t="str">
        <f>VLOOKUP(Таблица3[[#This Row],[№ акта]],$AJ$1:$BJ$691,16,FALSE)</f>
        <v>Фаворит</v>
      </c>
      <c r="V140" s="502">
        <f>VLOOKUP(Таблица3[[#This Row],[№ акта]],$AJ$1:$BJ$691,17,FALSE)</f>
        <v>1.6</v>
      </c>
      <c r="W140" s="502" t="str">
        <f>VLOOKUP(Таблица3[[#This Row],[№ акта]],$AJ$1:$BJ$691,18,FALSE)</f>
        <v>ГРК (богара)</v>
      </c>
      <c r="X140" s="502" t="str">
        <f>VLOOKUP(Таблица3[[#This Row],[№ акта]],$AJ$1:$BJ$691,19,FALSE)</f>
        <v>богара</v>
      </c>
      <c r="Y140" s="503">
        <f>VLOOKUP(Таблица3[[#This Row],[№ акта]],$AJ$1:$BJ$691,20,FALSE)</f>
        <v>8</v>
      </c>
      <c r="Z140" s="504">
        <f>VLOOKUP(Таблица3[[#This Row],[№ акта]],$AJ$1:$BJ$691,21,FALSE)</f>
        <v>46184</v>
      </c>
      <c r="AA140" s="496">
        <f>Таблица3[[#This Row],[Регистратор.Вес нетто]]</f>
        <v>12910</v>
      </c>
      <c r="AB140" s="504" t="str">
        <f>IF(VLOOKUP(Таблица3[[#This Row],[№ акта]],$AJ$1:$BJ$691,23,FALSE)&lt;&gt;0,VLOOKUP(Таблица3[[#This Row],[№ акта]],$AJ$1:$BJ$691,23,FALSE),"-")</f>
        <v>ГРАНД-СТАР ООО</v>
      </c>
      <c r="AC14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40" s="506" t="s">
        <v>2940</v>
      </c>
      <c r="AE140" s="505">
        <v>284</v>
      </c>
      <c r="AF140" s="507">
        <v>46184</v>
      </c>
      <c r="AG140" s="505" t="s">
        <v>3530</v>
      </c>
      <c r="AH140" s="505">
        <f>IFERROR(VLOOKUP(Таблица3[[#This Row],[№ акта]],'Степень зрелости 2026'!$H$12:$I$800,2,FALSE),)</f>
        <v>54</v>
      </c>
      <c r="AJ140" s="508">
        <v>284</v>
      </c>
      <c r="AK140" s="509">
        <v>46184</v>
      </c>
      <c r="AL140" s="508">
        <v>217</v>
      </c>
      <c r="AO140" s="508">
        <v>12910</v>
      </c>
      <c r="AP140" s="508">
        <v>11555</v>
      </c>
      <c r="AQ140" s="508" t="s">
        <v>2939</v>
      </c>
      <c r="AR140" s="508" t="s">
        <v>901</v>
      </c>
      <c r="AS140" s="508" t="s">
        <v>3248</v>
      </c>
      <c r="AT140" s="508" t="s">
        <v>3204</v>
      </c>
      <c r="AV140" s="508" t="s">
        <v>3303</v>
      </c>
      <c r="AX140" s="508" t="s">
        <v>3100</v>
      </c>
      <c r="AY140" s="508" t="s">
        <v>901</v>
      </c>
      <c r="AZ140" s="508">
        <v>1.6</v>
      </c>
      <c r="BA140" s="508" t="s">
        <v>46</v>
      </c>
      <c r="BB140" s="508" t="s">
        <v>19</v>
      </c>
      <c r="BC140" s="508">
        <v>8</v>
      </c>
      <c r="BD140" s="509">
        <v>46184</v>
      </c>
      <c r="BE140" s="508">
        <v>12910</v>
      </c>
      <c r="BF140" s="508" t="s">
        <v>3206</v>
      </c>
      <c r="BG140" s="508" t="s">
        <v>724</v>
      </c>
      <c r="BH140" s="508" t="s">
        <v>2940</v>
      </c>
      <c r="BI140" s="508" t="s">
        <v>3530</v>
      </c>
      <c r="BJ140" s="508">
        <v>54</v>
      </c>
    </row>
    <row r="141" spans="1:62" s="508" customFormat="1" ht="14.25" hidden="1" customHeight="1" x14ac:dyDescent="0.2">
      <c r="A141" s="495" t="s">
        <v>102</v>
      </c>
      <c r="B141" s="496"/>
      <c r="C141" s="497">
        <f>Таблица3[[#This Row],[Степень зрелости вспом]]</f>
        <v>55</v>
      </c>
      <c r="D141" s="498">
        <v>218</v>
      </c>
      <c r="E141" s="499"/>
      <c r="F141" s="496"/>
      <c r="G141" s="496">
        <v>12970</v>
      </c>
      <c r="H141" s="500"/>
      <c r="I141" s="496">
        <v>11608.1</v>
      </c>
      <c r="J141" s="495" t="s">
        <v>2939</v>
      </c>
      <c r="K141" s="495" t="s">
        <v>524</v>
      </c>
      <c r="L141" s="495" t="s">
        <v>3101</v>
      </c>
      <c r="M141" s="495" t="s">
        <v>239</v>
      </c>
      <c r="N141" s="495"/>
      <c r="O141" s="495"/>
      <c r="P141" s="495"/>
      <c r="Q141" s="495"/>
      <c r="R141" s="501" t="s">
        <v>243</v>
      </c>
      <c r="S141" s="495"/>
      <c r="T141" s="482" t="str">
        <f>VLOOKUP(Таблица3[[#This Row],[№ акта]],$AJ$1:$BJ$691,15,FALSE)</f>
        <v>А-38</v>
      </c>
      <c r="U141" s="482" t="str">
        <f>VLOOKUP(Таблица3[[#This Row],[№ акта]],$AJ$1:$BJ$691,16,FALSE)</f>
        <v>Авола</v>
      </c>
      <c r="V141" s="502">
        <f>VLOOKUP(Таблица3[[#This Row],[№ акта]],$AJ$1:$BJ$691,17,FALSE)</f>
        <v>1.7</v>
      </c>
      <c r="W141" s="502" t="str">
        <f>VLOOKUP(Таблица3[[#This Row],[№ акта]],$AJ$1:$BJ$691,18,FALSE)</f>
        <v>ГРК (богара)</v>
      </c>
      <c r="X141" s="502" t="str">
        <f>VLOOKUP(Таблица3[[#This Row],[№ акта]],$AJ$1:$BJ$691,19,FALSE)</f>
        <v>богара</v>
      </c>
      <c r="Y141" s="503">
        <f>VLOOKUP(Таблица3[[#This Row],[№ акта]],$AJ$1:$BJ$691,20,FALSE)</f>
        <v>7</v>
      </c>
      <c r="Z141" s="504">
        <f>VLOOKUP(Таблица3[[#This Row],[№ акта]],$AJ$1:$BJ$691,21,FALSE)</f>
        <v>46183</v>
      </c>
      <c r="AA141" s="496"/>
      <c r="AB141" s="504" t="str">
        <f>IF(VLOOKUP(Таблица3[[#This Row],[№ акта]],$AJ$1:$BJ$691,23,FALSE)&lt;&gt;0,VLOOKUP(Таблица3[[#This Row],[№ акта]],$AJ$1:$BJ$691,23,FALSE),"-")</f>
        <v>-</v>
      </c>
      <c r="AC14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41" s="506" t="s">
        <v>2940</v>
      </c>
      <c r="AE141" s="505">
        <v>140</v>
      </c>
      <c r="AF141" s="507">
        <v>46184</v>
      </c>
      <c r="AG141" s="505">
        <v>126</v>
      </c>
      <c r="AH141" s="505">
        <f>IFERROR(VLOOKUP(Таблица3[[#This Row],[№ акта]],'Степень зрелости 2026'!$H$12:$I$800,2,FALSE),)</f>
        <v>55</v>
      </c>
      <c r="AJ141" s="508">
        <v>140</v>
      </c>
      <c r="AK141" s="509">
        <v>46184</v>
      </c>
      <c r="AL141" s="508">
        <v>218</v>
      </c>
      <c r="AO141" s="508">
        <v>12970</v>
      </c>
      <c r="AP141" s="508">
        <v>11608.1</v>
      </c>
      <c r="AQ141" s="508" t="s">
        <v>2939</v>
      </c>
      <c r="AR141" s="508" t="s">
        <v>524</v>
      </c>
      <c r="AS141" s="508" t="s">
        <v>3101</v>
      </c>
      <c r="AT141" s="508" t="s">
        <v>239</v>
      </c>
      <c r="AV141" s="508" t="s">
        <v>243</v>
      </c>
      <c r="AX141" s="508" t="s">
        <v>3101</v>
      </c>
      <c r="AY141" s="508" t="s">
        <v>524</v>
      </c>
      <c r="AZ141" s="508">
        <v>1.7</v>
      </c>
      <c r="BA141" s="508" t="s">
        <v>46</v>
      </c>
      <c r="BB141" s="508" t="s">
        <v>19</v>
      </c>
      <c r="BC141" s="508">
        <v>7</v>
      </c>
      <c r="BD141" s="509">
        <v>46183</v>
      </c>
      <c r="BG141" s="508" t="s">
        <v>724</v>
      </c>
      <c r="BH141" s="508" t="s">
        <v>2940</v>
      </c>
      <c r="BI141" s="508">
        <v>126</v>
      </c>
      <c r="BJ141" s="508">
        <v>55</v>
      </c>
    </row>
    <row r="142" spans="1:62" s="508" customFormat="1" ht="14.25" hidden="1" customHeight="1" x14ac:dyDescent="0.2">
      <c r="A142" s="495" t="s">
        <v>102</v>
      </c>
      <c r="B142" s="496"/>
      <c r="C142" s="497">
        <f>Таблица3[[#This Row],[Степень зрелости вспом]]</f>
        <v>57</v>
      </c>
      <c r="D142" s="498">
        <v>220</v>
      </c>
      <c r="E142" s="499"/>
      <c r="F142" s="496"/>
      <c r="G142" s="496">
        <v>13210</v>
      </c>
      <c r="H142" s="500"/>
      <c r="I142" s="496">
        <v>11558.7</v>
      </c>
      <c r="J142" s="495" t="s">
        <v>2939</v>
      </c>
      <c r="K142" s="495" t="s">
        <v>524</v>
      </c>
      <c r="L142" s="495" t="s">
        <v>3101</v>
      </c>
      <c r="M142" s="495" t="s">
        <v>127</v>
      </c>
      <c r="N142" s="495"/>
      <c r="O142" s="495"/>
      <c r="P142" s="495"/>
      <c r="Q142" s="495"/>
      <c r="R142" s="501" t="s">
        <v>131</v>
      </c>
      <c r="S142" s="495"/>
      <c r="T142" s="482" t="str">
        <f>VLOOKUP(Таблица3[[#This Row],[№ акта]],$AJ$1:$BJ$691,15,FALSE)</f>
        <v>А-38</v>
      </c>
      <c r="U142" s="482" t="str">
        <f>VLOOKUP(Таблица3[[#This Row],[№ акта]],$AJ$1:$BJ$691,16,FALSE)</f>
        <v>Авола</v>
      </c>
      <c r="V142" s="502">
        <f>VLOOKUP(Таблица3[[#This Row],[№ акта]],$AJ$1:$BJ$691,17,FALSE)</f>
        <v>1.7</v>
      </c>
      <c r="W142" s="502" t="str">
        <f>VLOOKUP(Таблица3[[#This Row],[№ акта]],$AJ$1:$BJ$691,18,FALSE)</f>
        <v>ГРК (богара)</v>
      </c>
      <c r="X142" s="502" t="str">
        <f>VLOOKUP(Таблица3[[#This Row],[№ акта]],$AJ$1:$BJ$691,19,FALSE)</f>
        <v>богара</v>
      </c>
      <c r="Y142" s="503">
        <f>VLOOKUP(Таблица3[[#This Row],[№ акта]],$AJ$1:$BJ$691,20,FALSE)</f>
        <v>7</v>
      </c>
      <c r="Z142" s="504">
        <f>VLOOKUP(Таблица3[[#This Row],[№ акта]],$AJ$1:$BJ$691,21,FALSE)</f>
        <v>46183</v>
      </c>
      <c r="AA142" s="496"/>
      <c r="AB142" s="504" t="str">
        <f>IF(VLOOKUP(Таблица3[[#This Row],[№ акта]],$AJ$1:$BJ$691,23,FALSE)&lt;&gt;0,VLOOKUP(Таблица3[[#This Row],[№ акта]],$AJ$1:$BJ$691,23,FALSE),"-")</f>
        <v>-</v>
      </c>
      <c r="AC14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42" s="506" t="s">
        <v>2940</v>
      </c>
      <c r="AE142" s="505">
        <v>141</v>
      </c>
      <c r="AF142" s="507">
        <v>46184</v>
      </c>
      <c r="AG142" s="505">
        <v>127</v>
      </c>
      <c r="AH142" s="505">
        <f>IFERROR(VLOOKUP(Таблица3[[#This Row],[№ акта]],'Степень зрелости 2026'!$H$12:$I$800,2,FALSE),)</f>
        <v>57</v>
      </c>
      <c r="AJ142" s="508">
        <v>141</v>
      </c>
      <c r="AK142" s="509">
        <v>46184</v>
      </c>
      <c r="AL142" s="508">
        <v>220</v>
      </c>
      <c r="AO142" s="508">
        <v>13210</v>
      </c>
      <c r="AP142" s="508">
        <v>11558.7</v>
      </c>
      <c r="AQ142" s="508" t="s">
        <v>2939</v>
      </c>
      <c r="AR142" s="508" t="s">
        <v>524</v>
      </c>
      <c r="AS142" s="508" t="s">
        <v>3101</v>
      </c>
      <c r="AT142" s="508" t="s">
        <v>127</v>
      </c>
      <c r="AV142" s="508" t="s">
        <v>131</v>
      </c>
      <c r="AX142" s="508" t="s">
        <v>3101</v>
      </c>
      <c r="AY142" s="508" t="s">
        <v>524</v>
      </c>
      <c r="AZ142" s="508">
        <v>1.7</v>
      </c>
      <c r="BA142" s="508" t="s">
        <v>46</v>
      </c>
      <c r="BB142" s="508" t="s">
        <v>19</v>
      </c>
      <c r="BC142" s="508">
        <v>7</v>
      </c>
      <c r="BD142" s="509">
        <v>46183</v>
      </c>
      <c r="BG142" s="508" t="s">
        <v>724</v>
      </c>
      <c r="BH142" s="508" t="s">
        <v>2940</v>
      </c>
      <c r="BI142" s="508">
        <v>127</v>
      </c>
      <c r="BJ142" s="508">
        <v>57</v>
      </c>
    </row>
    <row r="143" spans="1:62" s="508" customFormat="1" ht="14.25" hidden="1" customHeight="1" x14ac:dyDescent="0.2">
      <c r="A143" s="495" t="s">
        <v>102</v>
      </c>
      <c r="B143" s="496"/>
      <c r="C143" s="497">
        <f>Таблица3[[#This Row],[Степень зрелости вспом]]</f>
        <v>57</v>
      </c>
      <c r="D143" s="498">
        <v>221</v>
      </c>
      <c r="E143" s="499"/>
      <c r="F143" s="496"/>
      <c r="G143" s="496">
        <v>13110</v>
      </c>
      <c r="H143" s="500"/>
      <c r="I143" s="496">
        <v>11602.3</v>
      </c>
      <c r="J143" s="495" t="s">
        <v>2939</v>
      </c>
      <c r="K143" s="495" t="s">
        <v>524</v>
      </c>
      <c r="L143" s="495" t="s">
        <v>3101</v>
      </c>
      <c r="M143" s="495" t="s">
        <v>212</v>
      </c>
      <c r="N143" s="495"/>
      <c r="O143" s="495"/>
      <c r="P143" s="495"/>
      <c r="Q143" s="495"/>
      <c r="R143" s="501" t="s">
        <v>2965</v>
      </c>
      <c r="S143" s="495"/>
      <c r="T143" s="482" t="str">
        <f>VLOOKUP(Таблица3[[#This Row],[№ акта]],$AJ$1:$BJ$691,15,FALSE)</f>
        <v>А-38</v>
      </c>
      <c r="U143" s="482" t="str">
        <f>VLOOKUP(Таблица3[[#This Row],[№ акта]],$AJ$1:$BJ$691,16,FALSE)</f>
        <v>Авола</v>
      </c>
      <c r="V143" s="502">
        <f>VLOOKUP(Таблица3[[#This Row],[№ акта]],$AJ$1:$BJ$691,17,FALSE)</f>
        <v>1.7</v>
      </c>
      <c r="W143" s="502" t="str">
        <f>VLOOKUP(Таблица3[[#This Row],[№ акта]],$AJ$1:$BJ$691,18,FALSE)</f>
        <v>ГРК (богара)</v>
      </c>
      <c r="X143" s="502" t="str">
        <f>VLOOKUP(Таблица3[[#This Row],[№ акта]],$AJ$1:$BJ$691,19,FALSE)</f>
        <v>богара</v>
      </c>
      <c r="Y143" s="503">
        <f>VLOOKUP(Таблица3[[#This Row],[№ акта]],$AJ$1:$BJ$691,20,FALSE)</f>
        <v>7</v>
      </c>
      <c r="Z143" s="504">
        <f>VLOOKUP(Таблица3[[#This Row],[№ акта]],$AJ$1:$BJ$691,21,FALSE)</f>
        <v>46183</v>
      </c>
      <c r="AA143" s="504"/>
      <c r="AB143" s="504" t="str">
        <f>IF(VLOOKUP(Таблица3[[#This Row],[№ акта]],$AJ$1:$BJ$691,23,FALSE)&lt;&gt;0,VLOOKUP(Таблица3[[#This Row],[№ акта]],$AJ$1:$BJ$691,23,FALSE),"-")</f>
        <v>-</v>
      </c>
      <c r="AC14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43" s="506" t="s">
        <v>2940</v>
      </c>
      <c r="AE143" s="505">
        <v>143</v>
      </c>
      <c r="AF143" s="507">
        <v>46184</v>
      </c>
      <c r="AG143" s="505">
        <v>128</v>
      </c>
      <c r="AH143" s="505">
        <f>IFERROR(VLOOKUP(Таблица3[[#This Row],[№ акта]],'Степень зрелости 2026'!$H$12:$I$800,2,FALSE),)</f>
        <v>57</v>
      </c>
      <c r="AJ143" s="508">
        <v>143</v>
      </c>
      <c r="AK143" s="509">
        <v>46184</v>
      </c>
      <c r="AL143" s="508">
        <v>221</v>
      </c>
      <c r="AO143" s="508">
        <v>13110</v>
      </c>
      <c r="AP143" s="508">
        <v>11602.3</v>
      </c>
      <c r="AQ143" s="508" t="s">
        <v>2939</v>
      </c>
      <c r="AR143" s="508" t="s">
        <v>524</v>
      </c>
      <c r="AS143" s="508" t="s">
        <v>3101</v>
      </c>
      <c r="AT143" s="508" t="s">
        <v>212</v>
      </c>
      <c r="AV143" s="508" t="s">
        <v>2965</v>
      </c>
      <c r="AX143" s="508" t="s">
        <v>3101</v>
      </c>
      <c r="AY143" s="508" t="s">
        <v>524</v>
      </c>
      <c r="AZ143" s="508">
        <v>1.7</v>
      </c>
      <c r="BA143" s="508" t="s">
        <v>46</v>
      </c>
      <c r="BB143" s="508" t="s">
        <v>19</v>
      </c>
      <c r="BC143" s="508">
        <v>7</v>
      </c>
      <c r="BD143" s="509">
        <v>46183</v>
      </c>
      <c r="BG143" s="508" t="s">
        <v>724</v>
      </c>
      <c r="BH143" s="508" t="s">
        <v>2940</v>
      </c>
      <c r="BI143" s="508">
        <v>128</v>
      </c>
      <c r="BJ143" s="508">
        <v>57</v>
      </c>
    </row>
    <row r="144" spans="1:62" s="508" customFormat="1" ht="14.25" hidden="1" customHeight="1" x14ac:dyDescent="0.2">
      <c r="A144" s="495" t="s">
        <v>102</v>
      </c>
      <c r="B144" s="496"/>
      <c r="C144" s="497">
        <f>Таблица3[[#This Row],[Степень зрелости вспом]]</f>
        <v>55</v>
      </c>
      <c r="D144" s="498">
        <v>222</v>
      </c>
      <c r="E144" s="499"/>
      <c r="F144" s="496"/>
      <c r="G144" s="496">
        <v>4520</v>
      </c>
      <c r="H144" s="500"/>
      <c r="I144" s="496">
        <v>3932.4</v>
      </c>
      <c r="J144" s="495" t="s">
        <v>2939</v>
      </c>
      <c r="K144" s="495" t="s">
        <v>524</v>
      </c>
      <c r="L144" s="495" t="s">
        <v>3101</v>
      </c>
      <c r="M144" s="495" t="s">
        <v>737</v>
      </c>
      <c r="N144" s="495"/>
      <c r="O144" s="495"/>
      <c r="P144" s="495"/>
      <c r="Q144" s="495"/>
      <c r="R144" s="501" t="s">
        <v>738</v>
      </c>
      <c r="S144" s="495"/>
      <c r="T144" s="482" t="str">
        <f>VLOOKUP(Таблица3[[#This Row],[№ акта]],$AJ$1:$BJ$691,15,FALSE)</f>
        <v>А-38</v>
      </c>
      <c r="U144" s="482" t="str">
        <f>VLOOKUP(Таблица3[[#This Row],[№ акта]],$AJ$1:$BJ$691,16,FALSE)</f>
        <v>Авола</v>
      </c>
      <c r="V144" s="502">
        <f>VLOOKUP(Таблица3[[#This Row],[№ акта]],$AJ$1:$BJ$691,17,FALSE)</f>
        <v>0.6</v>
      </c>
      <c r="W144" s="502" t="str">
        <f>VLOOKUP(Таблица3[[#This Row],[№ акта]],$AJ$1:$BJ$691,18,FALSE)</f>
        <v>ГРК (богара)</v>
      </c>
      <c r="X144" s="502" t="str">
        <f>VLOOKUP(Таблица3[[#This Row],[№ акта]],$AJ$1:$BJ$691,19,FALSE)</f>
        <v>богара</v>
      </c>
      <c r="Y144" s="503">
        <f>VLOOKUP(Таблица3[[#This Row],[№ акта]],$AJ$1:$BJ$691,20,FALSE)</f>
        <v>7</v>
      </c>
      <c r="Z144" s="504">
        <f>VLOOKUP(Таблица3[[#This Row],[№ акта]],$AJ$1:$BJ$691,21,FALSE)</f>
        <v>46183</v>
      </c>
      <c r="AA144" s="504"/>
      <c r="AB144" s="504" t="str">
        <f>IF(VLOOKUP(Таблица3[[#This Row],[№ акта]],$AJ$1:$BJ$691,23,FALSE)&lt;&gt;0,VLOOKUP(Таблица3[[#This Row],[№ акта]],$AJ$1:$BJ$691,23,FALSE),"-")</f>
        <v>-</v>
      </c>
      <c r="AC14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44" s="506" t="s">
        <v>2940</v>
      </c>
      <c r="AE144" s="505">
        <v>142</v>
      </c>
      <c r="AF144" s="507">
        <v>46184</v>
      </c>
      <c r="AG144" s="505">
        <v>129</v>
      </c>
      <c r="AH144" s="505">
        <f>IFERROR(VLOOKUP(Таблица3[[#This Row],[№ акта]],'Степень зрелости 2026'!$H$12:$I$800,2,FALSE),)</f>
        <v>55</v>
      </c>
      <c r="AJ144" s="508">
        <v>142</v>
      </c>
      <c r="AK144" s="509">
        <v>46184</v>
      </c>
      <c r="AL144" s="508">
        <v>222</v>
      </c>
      <c r="AO144" s="508">
        <v>4520</v>
      </c>
      <c r="AP144" s="508">
        <v>3932.4</v>
      </c>
      <c r="AQ144" s="508" t="s">
        <v>2939</v>
      </c>
      <c r="AR144" s="508" t="s">
        <v>524</v>
      </c>
      <c r="AS144" s="508" t="s">
        <v>3101</v>
      </c>
      <c r="AT144" s="508" t="s">
        <v>737</v>
      </c>
      <c r="AV144" s="508" t="s">
        <v>738</v>
      </c>
      <c r="AX144" s="508" t="s">
        <v>3101</v>
      </c>
      <c r="AY144" s="508" t="s">
        <v>524</v>
      </c>
      <c r="AZ144" s="508">
        <v>0.6</v>
      </c>
      <c r="BA144" s="508" t="s">
        <v>46</v>
      </c>
      <c r="BB144" s="508" t="s">
        <v>19</v>
      </c>
      <c r="BC144" s="508">
        <v>7</v>
      </c>
      <c r="BD144" s="509">
        <v>46183</v>
      </c>
      <c r="BG144" s="508" t="s">
        <v>724</v>
      </c>
      <c r="BH144" s="508" t="s">
        <v>2940</v>
      </c>
      <c r="BI144" s="508">
        <v>129</v>
      </c>
      <c r="BJ144" s="508">
        <v>55</v>
      </c>
    </row>
    <row r="145" spans="1:62" s="508" customFormat="1" ht="14.25" hidden="1" customHeight="1" x14ac:dyDescent="0.2">
      <c r="A145" s="495" t="s">
        <v>102</v>
      </c>
      <c r="B145" s="496"/>
      <c r="C145" s="497">
        <f>Таблица3[[#This Row],[Степень зрелости вспом]]</f>
        <v>56</v>
      </c>
      <c r="D145" s="498">
        <v>223</v>
      </c>
      <c r="E145" s="499"/>
      <c r="F145" s="496"/>
      <c r="G145" s="496">
        <v>16700</v>
      </c>
      <c r="H145" s="500"/>
      <c r="I145" s="496">
        <v>14445.5</v>
      </c>
      <c r="J145" s="495" t="s">
        <v>2939</v>
      </c>
      <c r="K145" s="495" t="s">
        <v>524</v>
      </c>
      <c r="L145" s="495" t="s">
        <v>3101</v>
      </c>
      <c r="M145" s="495" t="s">
        <v>335</v>
      </c>
      <c r="N145" s="495"/>
      <c r="O145" s="495"/>
      <c r="P145" s="495"/>
      <c r="Q145" s="495"/>
      <c r="R145" s="501" t="s">
        <v>339</v>
      </c>
      <c r="S145" s="495"/>
      <c r="T145" s="482" t="str">
        <f>VLOOKUP(Таблица3[[#This Row],[№ акта]],$AJ$1:$BJ$691,15,FALSE)</f>
        <v>А-38</v>
      </c>
      <c r="U145" s="482" t="str">
        <f>VLOOKUP(Таблица3[[#This Row],[№ акта]],$AJ$1:$BJ$691,16,FALSE)</f>
        <v>Авола</v>
      </c>
      <c r="V145" s="502">
        <f>VLOOKUP(Таблица3[[#This Row],[№ акта]],$AJ$1:$BJ$691,17,FALSE)</f>
        <v>2.2000000000000002</v>
      </c>
      <c r="W145" s="502" t="str">
        <f>VLOOKUP(Таблица3[[#This Row],[№ акта]],$AJ$1:$BJ$691,18,FALSE)</f>
        <v>ГРК (богара)</v>
      </c>
      <c r="X145" s="502" t="str">
        <f>VLOOKUP(Таблица3[[#This Row],[№ акта]],$AJ$1:$BJ$691,19,FALSE)</f>
        <v>богара</v>
      </c>
      <c r="Y145" s="503">
        <f>VLOOKUP(Таблица3[[#This Row],[№ акта]],$AJ$1:$BJ$691,20,FALSE)</f>
        <v>7</v>
      </c>
      <c r="Z145" s="504">
        <f>VLOOKUP(Таблица3[[#This Row],[№ акта]],$AJ$1:$BJ$691,21,FALSE)</f>
        <v>46183</v>
      </c>
      <c r="AA145" s="504"/>
      <c r="AB145" s="504" t="str">
        <f>IF(VLOOKUP(Таблица3[[#This Row],[№ акта]],$AJ$1:$BJ$691,23,FALSE)&lt;&gt;0,VLOOKUP(Таблица3[[#This Row],[№ акта]],$AJ$1:$BJ$691,23,FALSE),"-")</f>
        <v>-</v>
      </c>
      <c r="AC14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45" s="506" t="s">
        <v>2940</v>
      </c>
      <c r="AE145" s="505">
        <v>144</v>
      </c>
      <c r="AF145" s="507">
        <v>46184</v>
      </c>
      <c r="AG145" s="505">
        <v>130</v>
      </c>
      <c r="AH145" s="505">
        <f>IFERROR(VLOOKUP(Таблица3[[#This Row],[№ акта]],'Степень зрелости 2026'!$H$12:$I$800,2,FALSE),)</f>
        <v>56</v>
      </c>
      <c r="AJ145" s="508">
        <v>144</v>
      </c>
      <c r="AK145" s="509">
        <v>46184</v>
      </c>
      <c r="AL145" s="508">
        <v>223</v>
      </c>
      <c r="AO145" s="508">
        <v>16700</v>
      </c>
      <c r="AP145" s="508">
        <v>14445.5</v>
      </c>
      <c r="AQ145" s="508" t="s">
        <v>2939</v>
      </c>
      <c r="AR145" s="508" t="s">
        <v>524</v>
      </c>
      <c r="AS145" s="508" t="s">
        <v>3101</v>
      </c>
      <c r="AT145" s="508" t="s">
        <v>335</v>
      </c>
      <c r="AV145" s="508" t="s">
        <v>339</v>
      </c>
      <c r="AX145" s="508" t="s">
        <v>3101</v>
      </c>
      <c r="AY145" s="508" t="s">
        <v>524</v>
      </c>
      <c r="AZ145" s="508">
        <v>2.2000000000000002</v>
      </c>
      <c r="BA145" s="508" t="s">
        <v>46</v>
      </c>
      <c r="BB145" s="508" t="s">
        <v>19</v>
      </c>
      <c r="BC145" s="508">
        <v>7</v>
      </c>
      <c r="BD145" s="509">
        <v>46183</v>
      </c>
      <c r="BG145" s="508" t="s">
        <v>724</v>
      </c>
      <c r="BH145" s="508" t="s">
        <v>2940</v>
      </c>
      <c r="BI145" s="508">
        <v>130</v>
      </c>
      <c r="BJ145" s="508">
        <v>56</v>
      </c>
    </row>
    <row r="146" spans="1:62" s="508" customFormat="1" ht="14.25" hidden="1" customHeight="1" x14ac:dyDescent="0.2">
      <c r="A146" s="495" t="s">
        <v>102</v>
      </c>
      <c r="B146" s="496"/>
      <c r="C146" s="497">
        <f>Таблица3[[#This Row],[Степень зрелости вспом]]</f>
        <v>59</v>
      </c>
      <c r="D146" s="498">
        <v>224</v>
      </c>
      <c r="E146" s="499"/>
      <c r="F146" s="496"/>
      <c r="G146" s="496">
        <v>13090</v>
      </c>
      <c r="H146" s="500"/>
      <c r="I146" s="496">
        <v>11911.9</v>
      </c>
      <c r="J146" s="495" t="s">
        <v>2939</v>
      </c>
      <c r="K146" s="495" t="s">
        <v>524</v>
      </c>
      <c r="L146" s="495" t="s">
        <v>3102</v>
      </c>
      <c r="M146" s="495" t="s">
        <v>239</v>
      </c>
      <c r="N146" s="495"/>
      <c r="O146" s="495"/>
      <c r="P146" s="495"/>
      <c r="Q146" s="495"/>
      <c r="R146" s="501" t="s">
        <v>243</v>
      </c>
      <c r="S146" s="495"/>
      <c r="T146" s="482" t="str">
        <f>VLOOKUP(Таблица3[[#This Row],[№ акта]],$AJ$1:$BJ$691,15,FALSE)</f>
        <v>А-5/1</v>
      </c>
      <c r="U146" s="482" t="str">
        <f>VLOOKUP(Таблица3[[#This Row],[№ акта]],$AJ$1:$BJ$691,16,FALSE)</f>
        <v>Авола</v>
      </c>
      <c r="V146" s="502">
        <f>26*Таблица3[[#This Row],[Регистратор.Вес нетто]]/138160</f>
        <v>2.4633757961783438</v>
      </c>
      <c r="W146" s="502" t="str">
        <f>VLOOKUP(Таблица3[[#This Row],[№ акта]],$AJ$1:$BJ$691,18,FALSE)</f>
        <v>ГРК (богара)</v>
      </c>
      <c r="X146" s="502" t="str">
        <f>VLOOKUP(Таблица3[[#This Row],[№ акта]],$AJ$1:$BJ$691,19,FALSE)</f>
        <v>богара</v>
      </c>
      <c r="Y146" s="503">
        <f>VLOOKUP(Таблица3[[#This Row],[№ акта]],$AJ$1:$BJ$691,20,FALSE)</f>
        <v>8</v>
      </c>
      <c r="Z146" s="504">
        <f>VLOOKUP(Таблица3[[#This Row],[№ акта]],$AJ$1:$BJ$691,21,FALSE)</f>
        <v>46184</v>
      </c>
      <c r="AA146" s="504"/>
      <c r="AB146" s="504" t="str">
        <f>IF(VLOOKUP(Таблица3[[#This Row],[№ акта]],$AJ$1:$BJ$691,23,FALSE)&lt;&gt;0,VLOOKUP(Таблица3[[#This Row],[№ акта]],$AJ$1:$BJ$691,23,FALSE),"-")</f>
        <v>-</v>
      </c>
      <c r="AC14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46" s="506" t="s">
        <v>2940</v>
      </c>
      <c r="AE146" s="505">
        <v>145</v>
      </c>
      <c r="AF146" s="507">
        <v>46184</v>
      </c>
      <c r="AG146" s="505">
        <v>131</v>
      </c>
      <c r="AH146" s="505">
        <f>IFERROR(VLOOKUP(Таблица3[[#This Row],[№ акта]],'Степень зрелости 2026'!$H$12:$I$800,2,FALSE),)</f>
        <v>59</v>
      </c>
      <c r="AJ146" s="508">
        <v>145</v>
      </c>
      <c r="AK146" s="509">
        <v>46184</v>
      </c>
      <c r="AL146" s="508">
        <v>224</v>
      </c>
      <c r="AO146" s="508">
        <v>13090</v>
      </c>
      <c r="AP146" s="508">
        <v>11911.9</v>
      </c>
      <c r="AQ146" s="508" t="s">
        <v>2939</v>
      </c>
      <c r="AR146" s="508" t="s">
        <v>524</v>
      </c>
      <c r="AS146" s="508" t="s">
        <v>3102</v>
      </c>
      <c r="AT146" s="508" t="s">
        <v>239</v>
      </c>
      <c r="AV146" s="508" t="s">
        <v>243</v>
      </c>
      <c r="AX146" s="508" t="s">
        <v>3102</v>
      </c>
      <c r="AY146" s="508" t="s">
        <v>524</v>
      </c>
      <c r="AZ146" s="508">
        <v>2.2999999999999998</v>
      </c>
      <c r="BA146" s="508" t="s">
        <v>46</v>
      </c>
      <c r="BB146" s="508" t="s">
        <v>19</v>
      </c>
      <c r="BC146" s="508">
        <v>8</v>
      </c>
      <c r="BD146" s="509">
        <v>46184</v>
      </c>
      <c r="BG146" s="508" t="s">
        <v>724</v>
      </c>
      <c r="BH146" s="508" t="s">
        <v>2940</v>
      </c>
      <c r="BI146" s="508">
        <v>131</v>
      </c>
      <c r="BJ146" s="508">
        <v>59</v>
      </c>
    </row>
    <row r="147" spans="1:62" s="508" customFormat="1" ht="14.25" hidden="1" customHeight="1" x14ac:dyDescent="0.2">
      <c r="A147" s="495" t="s">
        <v>102</v>
      </c>
      <c r="B147" s="496"/>
      <c r="C147" s="497">
        <f>Таблица3[[#This Row],[Степень зрелости вспом]]</f>
        <v>70</v>
      </c>
      <c r="D147" s="498">
        <v>225</v>
      </c>
      <c r="E147" s="499"/>
      <c r="F147" s="496"/>
      <c r="G147" s="496">
        <v>13420</v>
      </c>
      <c r="H147" s="500"/>
      <c r="I147" s="496">
        <v>11980</v>
      </c>
      <c r="J147" s="495" t="s">
        <v>2939</v>
      </c>
      <c r="K147" s="495" t="s">
        <v>524</v>
      </c>
      <c r="L147" s="495" t="s">
        <v>3238</v>
      </c>
      <c r="M147" s="495" t="s">
        <v>3202</v>
      </c>
      <c r="N147" s="495"/>
      <c r="O147" s="495"/>
      <c r="P147" s="495"/>
      <c r="Q147" s="495"/>
      <c r="R147" s="501" t="s">
        <v>3383</v>
      </c>
      <c r="S147" s="495"/>
      <c r="T147" s="482" t="str">
        <f>VLOOKUP(Таблица3[[#This Row],[№ акта]],$AJ$1:$BJ$691,15,FALSE)</f>
        <v>А-5/1</v>
      </c>
      <c r="U147" s="482" t="str">
        <f>VLOOKUP(Таблица3[[#This Row],[№ акта]],$AJ$1:$BJ$691,16,FALSE)</f>
        <v>Авола</v>
      </c>
      <c r="V147" s="502">
        <f>26*Таблица3[[#This Row],[Регистратор.Вес нетто]]/138160</f>
        <v>2.5254777070063694</v>
      </c>
      <c r="W147" s="502" t="str">
        <f>VLOOKUP(Таблица3[[#This Row],[№ акта]],$AJ$1:$BJ$691,18,FALSE)</f>
        <v>ГРК (богара)</v>
      </c>
      <c r="X147" s="502" t="str">
        <f>VLOOKUP(Таблица3[[#This Row],[№ акта]],$AJ$1:$BJ$691,19,FALSE)</f>
        <v>богара</v>
      </c>
      <c r="Y147" s="503">
        <f>VLOOKUP(Таблица3[[#This Row],[№ акта]],$AJ$1:$BJ$691,20,FALSE)</f>
        <v>8</v>
      </c>
      <c r="Z147" s="504">
        <f>VLOOKUP(Таблица3[[#This Row],[№ акта]],$AJ$1:$BJ$691,21,FALSE)</f>
        <v>46184</v>
      </c>
      <c r="AA147" s="496">
        <f>Таблица3[[#This Row],[Регистратор.Вес нетто]]</f>
        <v>13420</v>
      </c>
      <c r="AB147" s="504" t="str">
        <f>IF(VLOOKUP(Таблица3[[#This Row],[№ акта]],$AJ$1:$BJ$691,23,FALSE)&lt;&gt;0,VLOOKUP(Таблица3[[#This Row],[№ акта]],$AJ$1:$BJ$691,23,FALSE),"-")</f>
        <v>ТПК ЮЖНЫЙ ПРОДУКТ ООО</v>
      </c>
      <c r="AC14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147" s="506" t="s">
        <v>3230</v>
      </c>
      <c r="AE147" s="505">
        <v>307</v>
      </c>
      <c r="AF147" s="507">
        <v>46184</v>
      </c>
      <c r="AG147" s="505" t="s">
        <v>3532</v>
      </c>
      <c r="AH147" s="505">
        <f>IFERROR(VLOOKUP(Таблица3[[#This Row],[№ акта]],'Степень зрелости 2026'!$H$12:$I$800,2,FALSE),)</f>
        <v>70</v>
      </c>
      <c r="AJ147" s="508">
        <v>307</v>
      </c>
      <c r="AK147" s="509">
        <v>46184</v>
      </c>
      <c r="AL147" s="508">
        <v>225</v>
      </c>
      <c r="AO147" s="508">
        <v>13420</v>
      </c>
      <c r="AP147" s="508">
        <v>11980</v>
      </c>
      <c r="AQ147" s="508" t="s">
        <v>2939</v>
      </c>
      <c r="AR147" s="508" t="s">
        <v>524</v>
      </c>
      <c r="AS147" s="508" t="s">
        <v>3238</v>
      </c>
      <c r="AT147" s="508" t="s">
        <v>3202</v>
      </c>
      <c r="AV147" s="508" t="s">
        <v>3383</v>
      </c>
      <c r="AX147" s="508" t="s">
        <v>3102</v>
      </c>
      <c r="AY147" s="508" t="s">
        <v>524</v>
      </c>
      <c r="AZ147" s="508">
        <v>2.2999999999999998</v>
      </c>
      <c r="BA147" s="508" t="s">
        <v>46</v>
      </c>
      <c r="BB147" s="508" t="s">
        <v>19</v>
      </c>
      <c r="BC147" s="508">
        <v>8</v>
      </c>
      <c r="BD147" s="509">
        <v>46184</v>
      </c>
      <c r="BE147" s="508">
        <v>13420</v>
      </c>
      <c r="BF147" s="508" t="s">
        <v>3205</v>
      </c>
      <c r="BG147" s="508" t="s">
        <v>420</v>
      </c>
      <c r="BH147" s="508" t="s">
        <v>2940</v>
      </c>
      <c r="BI147" s="508" t="s">
        <v>3532</v>
      </c>
      <c r="BJ147" s="508">
        <v>70</v>
      </c>
    </row>
    <row r="148" spans="1:62" s="508" customFormat="1" ht="14.25" hidden="1" customHeight="1" x14ac:dyDescent="0.2">
      <c r="A148" s="495" t="s">
        <v>102</v>
      </c>
      <c r="B148" s="496"/>
      <c r="C148" s="497">
        <f>Таблица3[[#This Row],[Степень зрелости вспом]]</f>
        <v>59</v>
      </c>
      <c r="D148" s="498">
        <v>228</v>
      </c>
      <c r="E148" s="499"/>
      <c r="F148" s="496"/>
      <c r="G148" s="496">
        <v>13180</v>
      </c>
      <c r="H148" s="500"/>
      <c r="I148" s="496">
        <v>11400.7</v>
      </c>
      <c r="J148" s="495" t="s">
        <v>2939</v>
      </c>
      <c r="K148" s="495" t="s">
        <v>524</v>
      </c>
      <c r="L148" s="495" t="s">
        <v>3102</v>
      </c>
      <c r="M148" s="495" t="s">
        <v>1806</v>
      </c>
      <c r="N148" s="495"/>
      <c r="O148" s="495"/>
      <c r="P148" s="495"/>
      <c r="Q148" s="495"/>
      <c r="R148" s="501" t="s">
        <v>1807</v>
      </c>
      <c r="S148" s="495"/>
      <c r="T148" s="482" t="str">
        <f>VLOOKUP(Таблица3[[#This Row],[№ акта]],$AJ$1:$BJ$691,15,FALSE)</f>
        <v>А-5/1</v>
      </c>
      <c r="U148" s="482" t="str">
        <f>VLOOKUP(Таблица3[[#This Row],[№ акта]],$AJ$1:$BJ$691,16,FALSE)</f>
        <v>Авола</v>
      </c>
      <c r="V148" s="502">
        <f>26*Таблица3[[#This Row],[Регистратор.Вес нетто]]/138160</f>
        <v>2.4803126809496234</v>
      </c>
      <c r="W148" s="502" t="str">
        <f>VLOOKUP(Таблица3[[#This Row],[№ акта]],$AJ$1:$BJ$691,18,FALSE)</f>
        <v>ГРК (богара)</v>
      </c>
      <c r="X148" s="502" t="str">
        <f>VLOOKUP(Таблица3[[#This Row],[№ акта]],$AJ$1:$BJ$691,19,FALSE)</f>
        <v>богара</v>
      </c>
      <c r="Y148" s="503">
        <f>VLOOKUP(Таблица3[[#This Row],[№ акта]],$AJ$1:$BJ$691,20,FALSE)</f>
        <v>8</v>
      </c>
      <c r="Z148" s="504">
        <f>VLOOKUP(Таблица3[[#This Row],[№ акта]],$AJ$1:$BJ$691,21,FALSE)</f>
        <v>46184</v>
      </c>
      <c r="AA148" s="496"/>
      <c r="AB148" s="504" t="str">
        <f>IF(VLOOKUP(Таблица3[[#This Row],[№ акта]],$AJ$1:$BJ$691,23,FALSE)&lt;&gt;0,VLOOKUP(Таблица3[[#This Row],[№ акта]],$AJ$1:$BJ$691,23,FALSE),"-")</f>
        <v>-</v>
      </c>
      <c r="AC14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48" s="506" t="s">
        <v>2940</v>
      </c>
      <c r="AE148" s="505">
        <v>146</v>
      </c>
      <c r="AF148" s="507">
        <v>46184</v>
      </c>
      <c r="AG148" s="505">
        <v>132</v>
      </c>
      <c r="AH148" s="505">
        <f>IFERROR(VLOOKUP(Таблица3[[#This Row],[№ акта]],'Степень зрелости 2026'!$H$12:$I$800,2,FALSE),)</f>
        <v>59</v>
      </c>
      <c r="AJ148" s="508">
        <v>146</v>
      </c>
      <c r="AK148" s="509">
        <v>46184</v>
      </c>
      <c r="AL148" s="508">
        <v>228</v>
      </c>
      <c r="AO148" s="508">
        <v>13180</v>
      </c>
      <c r="AP148" s="508">
        <v>11400.7</v>
      </c>
      <c r="AQ148" s="508" t="s">
        <v>2939</v>
      </c>
      <c r="AR148" s="508" t="s">
        <v>524</v>
      </c>
      <c r="AS148" s="508" t="s">
        <v>3102</v>
      </c>
      <c r="AT148" s="508" t="s">
        <v>1806</v>
      </c>
      <c r="AV148" s="508" t="s">
        <v>1807</v>
      </c>
      <c r="AX148" s="508" t="s">
        <v>3102</v>
      </c>
      <c r="AY148" s="508" t="s">
        <v>524</v>
      </c>
      <c r="AZ148" s="508">
        <v>2.2999999999999998</v>
      </c>
      <c r="BA148" s="508" t="s">
        <v>46</v>
      </c>
      <c r="BB148" s="508" t="s">
        <v>19</v>
      </c>
      <c r="BC148" s="508">
        <v>8</v>
      </c>
      <c r="BD148" s="509">
        <v>46184</v>
      </c>
      <c r="BG148" s="508" t="s">
        <v>724</v>
      </c>
      <c r="BH148" s="508" t="s">
        <v>2940</v>
      </c>
      <c r="BI148" s="508">
        <v>132</v>
      </c>
      <c r="BJ148" s="508">
        <v>59</v>
      </c>
    </row>
    <row r="149" spans="1:62" s="508" customFormat="1" ht="14.25" hidden="1" customHeight="1" x14ac:dyDescent="0.2">
      <c r="A149" s="495" t="s">
        <v>102</v>
      </c>
      <c r="B149" s="496"/>
      <c r="C149" s="497">
        <f>Таблица3[[#This Row],[Степень зрелости вспом]]</f>
        <v>61</v>
      </c>
      <c r="D149" s="498">
        <v>230</v>
      </c>
      <c r="E149" s="499"/>
      <c r="F149" s="496"/>
      <c r="G149" s="496">
        <v>13350</v>
      </c>
      <c r="H149" s="500"/>
      <c r="I149" s="496">
        <v>12282</v>
      </c>
      <c r="J149" s="495" t="s">
        <v>2939</v>
      </c>
      <c r="K149" s="495" t="s">
        <v>524</v>
      </c>
      <c r="L149" s="495" t="s">
        <v>3102</v>
      </c>
      <c r="M149" s="495" t="s">
        <v>2967</v>
      </c>
      <c r="N149" s="495"/>
      <c r="O149" s="495"/>
      <c r="P149" s="495"/>
      <c r="Q149" s="495"/>
      <c r="R149" s="501" t="s">
        <v>1810</v>
      </c>
      <c r="S149" s="495"/>
      <c r="T149" s="482" t="str">
        <f>VLOOKUP(Таблица3[[#This Row],[№ акта]],$AJ$1:$BJ$691,15,FALSE)</f>
        <v>А-5/1</v>
      </c>
      <c r="U149" s="482" t="str">
        <f>VLOOKUP(Таблица3[[#This Row],[№ акта]],$AJ$1:$BJ$691,16,FALSE)</f>
        <v>Авола</v>
      </c>
      <c r="V149" s="502">
        <f>26*Таблица3[[#This Row],[Регистратор.Вес нетто]]/138160</f>
        <v>2.5123045744064854</v>
      </c>
      <c r="W149" s="502" t="str">
        <f>VLOOKUP(Таблица3[[#This Row],[№ акта]],$AJ$1:$BJ$691,18,FALSE)</f>
        <v>ГРК (богара)</v>
      </c>
      <c r="X149" s="502" t="str">
        <f>VLOOKUP(Таблица3[[#This Row],[№ акта]],$AJ$1:$BJ$691,19,FALSE)</f>
        <v>богара</v>
      </c>
      <c r="Y149" s="503">
        <f>VLOOKUP(Таблица3[[#This Row],[№ акта]],$AJ$1:$BJ$691,20,FALSE)</f>
        <v>8</v>
      </c>
      <c r="Z149" s="504">
        <f>VLOOKUP(Таблица3[[#This Row],[№ акта]],$AJ$1:$BJ$691,21,FALSE)</f>
        <v>46184</v>
      </c>
      <c r="AA149" s="504"/>
      <c r="AB149" s="504" t="str">
        <f>IF(VLOOKUP(Таблица3[[#This Row],[№ акта]],$AJ$1:$BJ$691,23,FALSE)&lt;&gt;0,VLOOKUP(Таблица3[[#This Row],[№ акта]],$AJ$1:$BJ$691,23,FALSE),"-")</f>
        <v>-</v>
      </c>
      <c r="AC14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49" s="506" t="s">
        <v>2940</v>
      </c>
      <c r="AE149" s="505">
        <v>147</v>
      </c>
      <c r="AF149" s="507">
        <v>46184</v>
      </c>
      <c r="AG149" s="505">
        <v>133</v>
      </c>
      <c r="AH149" s="505">
        <f>IFERROR(VLOOKUP(Таблица3[[#This Row],[№ акта]],'Степень зрелости 2026'!$H$12:$I$800,2,FALSE),)</f>
        <v>61</v>
      </c>
      <c r="AJ149" s="508">
        <v>147</v>
      </c>
      <c r="AK149" s="509">
        <v>46184</v>
      </c>
      <c r="AL149" s="508">
        <v>230</v>
      </c>
      <c r="AO149" s="508">
        <v>13350</v>
      </c>
      <c r="AP149" s="508">
        <v>12282</v>
      </c>
      <c r="AQ149" s="508" t="s">
        <v>2939</v>
      </c>
      <c r="AR149" s="508" t="s">
        <v>524</v>
      </c>
      <c r="AS149" s="508" t="s">
        <v>3102</v>
      </c>
      <c r="AT149" s="508" t="s">
        <v>2967</v>
      </c>
      <c r="AV149" s="508" t="s">
        <v>1810</v>
      </c>
      <c r="AX149" s="508" t="s">
        <v>3102</v>
      </c>
      <c r="AY149" s="508" t="s">
        <v>524</v>
      </c>
      <c r="AZ149" s="508">
        <v>2.2999999999999998</v>
      </c>
      <c r="BA149" s="508" t="s">
        <v>46</v>
      </c>
      <c r="BB149" s="508" t="s">
        <v>19</v>
      </c>
      <c r="BC149" s="508">
        <v>8</v>
      </c>
      <c r="BD149" s="509">
        <v>46184</v>
      </c>
      <c r="BG149" s="508" t="s">
        <v>724</v>
      </c>
      <c r="BH149" s="508" t="s">
        <v>2940</v>
      </c>
      <c r="BI149" s="508">
        <v>133</v>
      </c>
      <c r="BJ149" s="508">
        <v>61</v>
      </c>
    </row>
    <row r="150" spans="1:62" s="508" customFormat="1" ht="14.25" hidden="1" customHeight="1" x14ac:dyDescent="0.2">
      <c r="A150" s="495" t="s">
        <v>102</v>
      </c>
      <c r="B150" s="496"/>
      <c r="C150" s="497">
        <f>Таблица3[[#This Row],[Степень зрелости вспом]]</f>
        <v>64</v>
      </c>
      <c r="D150" s="498">
        <v>231</v>
      </c>
      <c r="E150" s="499"/>
      <c r="F150" s="496"/>
      <c r="G150" s="496">
        <v>13460</v>
      </c>
      <c r="H150" s="500"/>
      <c r="I150" s="496">
        <v>12114</v>
      </c>
      <c r="J150" s="495" t="s">
        <v>2939</v>
      </c>
      <c r="K150" s="495" t="s">
        <v>524</v>
      </c>
      <c r="L150" s="495" t="s">
        <v>3102</v>
      </c>
      <c r="M150" s="495" t="s">
        <v>347</v>
      </c>
      <c r="N150" s="495"/>
      <c r="O150" s="495"/>
      <c r="P150" s="495"/>
      <c r="Q150" s="495"/>
      <c r="R150" s="501" t="s">
        <v>137</v>
      </c>
      <c r="S150" s="495"/>
      <c r="T150" s="482" t="str">
        <f>VLOOKUP(Таблица3[[#This Row],[№ акта]],$AJ$1:$BJ$691,15,FALSE)</f>
        <v>А-5/1</v>
      </c>
      <c r="U150" s="482" t="str">
        <f>VLOOKUP(Таблица3[[#This Row],[№ акта]],$AJ$1:$BJ$691,16,FALSE)</f>
        <v>Авола</v>
      </c>
      <c r="V150" s="502">
        <f>26*Таблица3[[#This Row],[Регистратор.Вес нетто]]/138160</f>
        <v>2.5330052113491606</v>
      </c>
      <c r="W150" s="502" t="str">
        <f>VLOOKUP(Таблица3[[#This Row],[№ акта]],$AJ$1:$BJ$691,18,FALSE)</f>
        <v>ГРК (богара)</v>
      </c>
      <c r="X150" s="502" t="str">
        <f>VLOOKUP(Таблица3[[#This Row],[№ акта]],$AJ$1:$BJ$691,19,FALSE)</f>
        <v>богара</v>
      </c>
      <c r="Y150" s="503">
        <f>VLOOKUP(Таблица3[[#This Row],[№ акта]],$AJ$1:$BJ$691,20,FALSE)</f>
        <v>8</v>
      </c>
      <c r="Z150" s="504">
        <f>VLOOKUP(Таблица3[[#This Row],[№ акта]],$AJ$1:$BJ$691,21,FALSE)</f>
        <v>46184</v>
      </c>
      <c r="AA150" s="504"/>
      <c r="AB150" s="504" t="str">
        <f>IF(VLOOKUP(Таблица3[[#This Row],[№ акта]],$AJ$1:$BJ$691,23,FALSE)&lt;&gt;0,VLOOKUP(Таблица3[[#This Row],[№ акта]],$AJ$1:$BJ$691,23,FALSE),"-")</f>
        <v>-</v>
      </c>
      <c r="AC15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150" s="506" t="s">
        <v>3230</v>
      </c>
      <c r="AE150" s="505">
        <v>148</v>
      </c>
      <c r="AF150" s="507">
        <v>46184</v>
      </c>
      <c r="AG150" s="505">
        <v>134</v>
      </c>
      <c r="AH150" s="505">
        <f>IFERROR(VLOOKUP(Таблица3[[#This Row],[№ акта]],'Степень зрелости 2026'!$H$12:$I$800,2,FALSE),)</f>
        <v>64</v>
      </c>
      <c r="AJ150" s="508">
        <v>148</v>
      </c>
      <c r="AK150" s="509">
        <v>46184</v>
      </c>
      <c r="AL150" s="508">
        <v>231</v>
      </c>
      <c r="AO150" s="508">
        <v>13460</v>
      </c>
      <c r="AP150" s="508">
        <v>12114</v>
      </c>
      <c r="AQ150" s="508" t="s">
        <v>2939</v>
      </c>
      <c r="AR150" s="508" t="s">
        <v>524</v>
      </c>
      <c r="AS150" s="508" t="s">
        <v>3102</v>
      </c>
      <c r="AT150" s="508" t="s">
        <v>347</v>
      </c>
      <c r="AV150" s="508" t="s">
        <v>137</v>
      </c>
      <c r="AX150" s="508" t="s">
        <v>3102</v>
      </c>
      <c r="AY150" s="508" t="s">
        <v>524</v>
      </c>
      <c r="AZ150" s="508">
        <v>2.2999999999999998</v>
      </c>
      <c r="BA150" s="508" t="s">
        <v>46</v>
      </c>
      <c r="BB150" s="508" t="s">
        <v>19</v>
      </c>
      <c r="BC150" s="508">
        <v>8</v>
      </c>
      <c r="BD150" s="509">
        <v>46184</v>
      </c>
      <c r="BG150" s="508" t="s">
        <v>3559</v>
      </c>
      <c r="BH150" s="508" t="s">
        <v>2940</v>
      </c>
      <c r="BI150" s="508">
        <v>134</v>
      </c>
      <c r="BJ150" s="508">
        <v>64</v>
      </c>
    </row>
    <row r="151" spans="1:62" s="508" customFormat="1" ht="14.25" hidden="1" customHeight="1" x14ac:dyDescent="0.2">
      <c r="A151" s="495" t="s">
        <v>102</v>
      </c>
      <c r="B151" s="496"/>
      <c r="C151" s="497">
        <f>Таблица3[[#This Row],[Степень зрелости вспом]]</f>
        <v>54</v>
      </c>
      <c r="D151" s="498">
        <v>232</v>
      </c>
      <c r="E151" s="499"/>
      <c r="F151" s="496"/>
      <c r="G151" s="496">
        <v>4510</v>
      </c>
      <c r="H151" s="500"/>
      <c r="I151" s="496">
        <v>3991.4</v>
      </c>
      <c r="J151" s="495" t="s">
        <v>2939</v>
      </c>
      <c r="K151" s="495" t="s">
        <v>524</v>
      </c>
      <c r="L151" s="495" t="s">
        <v>3102</v>
      </c>
      <c r="M151" s="495" t="s">
        <v>762</v>
      </c>
      <c r="N151" s="495"/>
      <c r="O151" s="495"/>
      <c r="P151" s="495"/>
      <c r="Q151" s="495"/>
      <c r="R151" s="501" t="s">
        <v>763</v>
      </c>
      <c r="S151" s="495"/>
      <c r="T151" s="482" t="str">
        <f>VLOOKUP(Таблица3[[#This Row],[№ акта]],$AJ$1:$BJ$691,15,FALSE)</f>
        <v>А-5/1</v>
      </c>
      <c r="U151" s="482" t="str">
        <f>VLOOKUP(Таблица3[[#This Row],[№ акта]],$AJ$1:$BJ$691,16,FALSE)</f>
        <v>Авола</v>
      </c>
      <c r="V151" s="502">
        <f>26*Таблица3[[#This Row],[Регистратор.Вес нетто]]/138160</f>
        <v>0.84872611464968151</v>
      </c>
      <c r="W151" s="502" t="str">
        <f>VLOOKUP(Таблица3[[#This Row],[№ акта]],$AJ$1:$BJ$691,18,FALSE)</f>
        <v>ГРК (богара)</v>
      </c>
      <c r="X151" s="502" t="str">
        <f>VLOOKUP(Таблица3[[#This Row],[№ акта]],$AJ$1:$BJ$691,19,FALSE)</f>
        <v>богара</v>
      </c>
      <c r="Y151" s="503">
        <f>VLOOKUP(Таблица3[[#This Row],[№ акта]],$AJ$1:$BJ$691,20,FALSE)</f>
        <v>8</v>
      </c>
      <c r="Z151" s="504">
        <f>VLOOKUP(Таблица3[[#This Row],[№ акта]],$AJ$1:$BJ$691,21,FALSE)</f>
        <v>46184</v>
      </c>
      <c r="AA151" s="504"/>
      <c r="AB151" s="504" t="str">
        <f>IF(VLOOKUP(Таблица3[[#This Row],[№ акта]],$AJ$1:$BJ$691,23,FALSE)&lt;&gt;0,VLOOKUP(Таблица3[[#This Row],[№ акта]],$AJ$1:$BJ$691,23,FALSE),"-")</f>
        <v>-</v>
      </c>
      <c r="AC15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51" s="506" t="s">
        <v>2940</v>
      </c>
      <c r="AE151" s="505">
        <v>149</v>
      </c>
      <c r="AF151" s="507">
        <v>46184</v>
      </c>
      <c r="AG151" s="505">
        <v>135</v>
      </c>
      <c r="AH151" s="505">
        <f>IFERROR(VLOOKUP(Таблица3[[#This Row],[№ акта]],'Степень зрелости 2026'!$H$12:$I$800,2,FALSE),)</f>
        <v>54</v>
      </c>
      <c r="AJ151" s="508">
        <v>149</v>
      </c>
      <c r="AK151" s="509">
        <v>46184</v>
      </c>
      <c r="AL151" s="508">
        <v>232</v>
      </c>
      <c r="AO151" s="508">
        <v>4510</v>
      </c>
      <c r="AP151" s="508">
        <v>3991.4</v>
      </c>
      <c r="AQ151" s="508" t="s">
        <v>2939</v>
      </c>
      <c r="AR151" s="508" t="s">
        <v>524</v>
      </c>
      <c r="AS151" s="508" t="s">
        <v>3102</v>
      </c>
      <c r="AT151" s="508" t="s">
        <v>762</v>
      </c>
      <c r="AV151" s="508" t="s">
        <v>763</v>
      </c>
      <c r="AX151" s="508" t="s">
        <v>3102</v>
      </c>
      <c r="AY151" s="508" t="s">
        <v>524</v>
      </c>
      <c r="AZ151" s="508">
        <v>0.8</v>
      </c>
      <c r="BA151" s="508" t="s">
        <v>46</v>
      </c>
      <c r="BB151" s="508" t="s">
        <v>19</v>
      </c>
      <c r="BC151" s="508">
        <v>8</v>
      </c>
      <c r="BD151" s="509">
        <v>46184</v>
      </c>
      <c r="BG151" s="508" t="s">
        <v>724</v>
      </c>
      <c r="BH151" s="508" t="s">
        <v>2940</v>
      </c>
      <c r="BI151" s="508">
        <v>135</v>
      </c>
      <c r="BJ151" s="508">
        <v>54</v>
      </c>
    </row>
    <row r="152" spans="1:62" s="508" customFormat="1" ht="14.25" hidden="1" customHeight="1" x14ac:dyDescent="0.2">
      <c r="A152" s="495" t="s">
        <v>102</v>
      </c>
      <c r="B152" s="496"/>
      <c r="C152" s="497">
        <f>Таблица3[[#This Row],[Степень зрелости вспом]]</f>
        <v>64</v>
      </c>
      <c r="D152" s="498">
        <v>236</v>
      </c>
      <c r="E152" s="499"/>
      <c r="F152" s="496"/>
      <c r="G152" s="496">
        <v>13440</v>
      </c>
      <c r="H152" s="500"/>
      <c r="I152" s="496">
        <v>12096</v>
      </c>
      <c r="J152" s="495" t="s">
        <v>2939</v>
      </c>
      <c r="K152" s="495" t="s">
        <v>524</v>
      </c>
      <c r="L152" s="495" t="s">
        <v>3238</v>
      </c>
      <c r="M152" s="495" t="s">
        <v>311</v>
      </c>
      <c r="N152" s="495"/>
      <c r="O152" s="495"/>
      <c r="P152" s="495"/>
      <c r="Q152" s="495"/>
      <c r="R152" s="501" t="s">
        <v>315</v>
      </c>
      <c r="S152" s="495"/>
      <c r="T152" s="482" t="str">
        <f>VLOOKUP(Таблица3[[#This Row],[№ акта]],$AJ$1:$BJ$691,15,FALSE)</f>
        <v>А-5/1</v>
      </c>
      <c r="U152" s="482" t="str">
        <f>VLOOKUP(Таблица3[[#This Row],[№ акта]],$AJ$1:$BJ$691,16,FALSE)</f>
        <v>Авола</v>
      </c>
      <c r="V152" s="502">
        <f>26*Таблица3[[#This Row],[Регистратор.Вес нетто]]/138160</f>
        <v>2.529241459177765</v>
      </c>
      <c r="W152" s="502" t="str">
        <f>VLOOKUP(Таблица3[[#This Row],[№ акта]],$AJ$1:$BJ$691,18,FALSE)</f>
        <v>ГРК (богара)</v>
      </c>
      <c r="X152" s="502" t="str">
        <f>VLOOKUP(Таблица3[[#This Row],[№ акта]],$AJ$1:$BJ$691,19,FALSE)</f>
        <v>богара</v>
      </c>
      <c r="Y152" s="503">
        <f>VLOOKUP(Таблица3[[#This Row],[№ акта]],$AJ$1:$BJ$691,20,FALSE)</f>
        <v>8</v>
      </c>
      <c r="Z152" s="504">
        <f>VLOOKUP(Таблица3[[#This Row],[№ акта]],$AJ$1:$BJ$691,21,FALSE)</f>
        <v>46184</v>
      </c>
      <c r="AA152" s="504"/>
      <c r="AB152" s="504" t="str">
        <f>IF(VLOOKUP(Таблица3[[#This Row],[№ акта]],$AJ$1:$BJ$691,23,FALSE)&lt;&gt;0,VLOOKUP(Таблица3[[#This Row],[№ акта]],$AJ$1:$BJ$691,23,FALSE),"-")</f>
        <v>-</v>
      </c>
      <c r="AC15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152" s="506" t="s">
        <v>3230</v>
      </c>
      <c r="AE152" s="505">
        <v>150</v>
      </c>
      <c r="AF152" s="507">
        <v>46184</v>
      </c>
      <c r="AG152" s="505">
        <v>136</v>
      </c>
      <c r="AH152" s="505">
        <f>IFERROR(VLOOKUP(Таблица3[[#This Row],[№ акта]],'Степень зрелости 2026'!$H$12:$I$800,2,FALSE),)</f>
        <v>64</v>
      </c>
      <c r="AJ152" s="508">
        <v>150</v>
      </c>
      <c r="AK152" s="509">
        <v>46184</v>
      </c>
      <c r="AL152" s="508">
        <v>236</v>
      </c>
      <c r="AO152" s="508">
        <v>13440</v>
      </c>
      <c r="AP152" s="508">
        <v>12096</v>
      </c>
      <c r="AQ152" s="508" t="s">
        <v>2939</v>
      </c>
      <c r="AR152" s="508" t="s">
        <v>524</v>
      </c>
      <c r="AS152" s="508" t="s">
        <v>3238</v>
      </c>
      <c r="AT152" s="508" t="s">
        <v>311</v>
      </c>
      <c r="AV152" s="508" t="s">
        <v>315</v>
      </c>
      <c r="AX152" s="508" t="s">
        <v>3102</v>
      </c>
      <c r="AY152" s="508" t="s">
        <v>524</v>
      </c>
      <c r="AZ152" s="508">
        <v>2.2999999999999998</v>
      </c>
      <c r="BA152" s="508" t="s">
        <v>46</v>
      </c>
      <c r="BB152" s="508" t="s">
        <v>19</v>
      </c>
      <c r="BC152" s="508">
        <v>8</v>
      </c>
      <c r="BD152" s="509">
        <v>46184</v>
      </c>
      <c r="BG152" s="508" t="s">
        <v>3559</v>
      </c>
      <c r="BH152" s="508" t="s">
        <v>2940</v>
      </c>
      <c r="BI152" s="508">
        <v>136</v>
      </c>
      <c r="BJ152" s="508">
        <v>64</v>
      </c>
    </row>
    <row r="153" spans="1:62" s="508" customFormat="1" ht="14.25" hidden="1" customHeight="1" x14ac:dyDescent="0.2">
      <c r="A153" s="495" t="s">
        <v>102</v>
      </c>
      <c r="B153" s="496"/>
      <c r="C153" s="497">
        <f>Таблица3[[#This Row],[Степень зрелости вспом]]</f>
        <v>64</v>
      </c>
      <c r="D153" s="498">
        <v>238</v>
      </c>
      <c r="E153" s="499"/>
      <c r="F153" s="496"/>
      <c r="G153" s="496">
        <v>13360</v>
      </c>
      <c r="H153" s="500"/>
      <c r="I153" s="496">
        <v>12024</v>
      </c>
      <c r="J153" s="495" t="s">
        <v>2939</v>
      </c>
      <c r="K153" s="495" t="s">
        <v>524</v>
      </c>
      <c r="L153" s="495" t="s">
        <v>3102</v>
      </c>
      <c r="M153" s="495" t="s">
        <v>1806</v>
      </c>
      <c r="N153" s="495"/>
      <c r="O153" s="495"/>
      <c r="P153" s="495"/>
      <c r="Q153" s="495"/>
      <c r="R153" s="501" t="s">
        <v>1807</v>
      </c>
      <c r="S153" s="495"/>
      <c r="T153" s="482" t="str">
        <f>VLOOKUP(Таблица3[[#This Row],[№ акта]],$AJ$1:$BJ$691,15,FALSE)</f>
        <v>А-5/1</v>
      </c>
      <c r="U153" s="482" t="str">
        <f>VLOOKUP(Таблица3[[#This Row],[№ акта]],$AJ$1:$BJ$691,16,FALSE)</f>
        <v>Авола</v>
      </c>
      <c r="V153" s="502">
        <f>26*Таблица3[[#This Row],[Регистратор.Вес нетто]]/138160</f>
        <v>2.5141864504921831</v>
      </c>
      <c r="W153" s="502" t="str">
        <f>VLOOKUP(Таблица3[[#This Row],[№ акта]],$AJ$1:$BJ$691,18,FALSE)</f>
        <v>ГРК (богара)</v>
      </c>
      <c r="X153" s="502" t="str">
        <f>VLOOKUP(Таблица3[[#This Row],[№ акта]],$AJ$1:$BJ$691,19,FALSE)</f>
        <v>богара</v>
      </c>
      <c r="Y153" s="503">
        <f>VLOOKUP(Таблица3[[#This Row],[№ акта]],$AJ$1:$BJ$691,20,FALSE)</f>
        <v>8</v>
      </c>
      <c r="Z153" s="504">
        <f>VLOOKUP(Таблица3[[#This Row],[№ акта]],$AJ$1:$BJ$691,21,FALSE)</f>
        <v>46184</v>
      </c>
      <c r="AA153" s="496"/>
      <c r="AB153" s="504" t="str">
        <f>IF(VLOOKUP(Таблица3[[#This Row],[№ акта]],$AJ$1:$BJ$691,23,FALSE)&lt;&gt;0,VLOOKUP(Таблица3[[#This Row],[№ акта]],$AJ$1:$BJ$691,23,FALSE),"-")</f>
        <v>-</v>
      </c>
      <c r="AC15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153" s="506" t="s">
        <v>3230</v>
      </c>
      <c r="AE153" s="505">
        <v>151</v>
      </c>
      <c r="AF153" s="507">
        <v>46184</v>
      </c>
      <c r="AG153" s="505">
        <v>137</v>
      </c>
      <c r="AH153" s="505">
        <f>IFERROR(VLOOKUP(Таблица3[[#This Row],[№ акта]],'Степень зрелости 2026'!$H$12:$I$800,2,FALSE),)</f>
        <v>64</v>
      </c>
      <c r="AJ153" s="508">
        <v>151</v>
      </c>
      <c r="AK153" s="509">
        <v>46184</v>
      </c>
      <c r="AL153" s="508">
        <v>238</v>
      </c>
      <c r="AO153" s="508">
        <v>13360</v>
      </c>
      <c r="AP153" s="508">
        <v>12024</v>
      </c>
      <c r="AQ153" s="508" t="s">
        <v>2939</v>
      </c>
      <c r="AR153" s="508" t="s">
        <v>524</v>
      </c>
      <c r="AS153" s="508" t="s">
        <v>3102</v>
      </c>
      <c r="AT153" s="508" t="s">
        <v>1806</v>
      </c>
      <c r="AV153" s="508" t="s">
        <v>1807</v>
      </c>
      <c r="AX153" s="508" t="s">
        <v>3102</v>
      </c>
      <c r="AY153" s="508" t="s">
        <v>524</v>
      </c>
      <c r="AZ153" s="508">
        <v>2.2999999999999998</v>
      </c>
      <c r="BA153" s="508" t="s">
        <v>46</v>
      </c>
      <c r="BB153" s="508" t="s">
        <v>19</v>
      </c>
      <c r="BC153" s="508">
        <v>8</v>
      </c>
      <c r="BD153" s="509">
        <v>46184</v>
      </c>
      <c r="BG153" s="508" t="s">
        <v>3559</v>
      </c>
      <c r="BH153" s="508" t="s">
        <v>2940</v>
      </c>
      <c r="BI153" s="508">
        <v>137</v>
      </c>
      <c r="BJ153" s="508">
        <v>64</v>
      </c>
    </row>
    <row r="154" spans="1:62" s="508" customFormat="1" ht="14.25" hidden="1" customHeight="1" x14ac:dyDescent="0.2">
      <c r="A154" s="495" t="s">
        <v>102</v>
      </c>
      <c r="B154" s="496"/>
      <c r="C154" s="497">
        <f>Таблица3[[#This Row],[Степень зрелости вспом]]</f>
        <v>67</v>
      </c>
      <c r="D154" s="498">
        <v>239</v>
      </c>
      <c r="E154" s="499"/>
      <c r="F154" s="496"/>
      <c r="G154" s="496">
        <v>13250</v>
      </c>
      <c r="H154" s="500"/>
      <c r="I154" s="496">
        <v>11792.5</v>
      </c>
      <c r="J154" s="495" t="s">
        <v>2939</v>
      </c>
      <c r="K154" s="495" t="s">
        <v>524</v>
      </c>
      <c r="L154" s="495" t="s">
        <v>3102</v>
      </c>
      <c r="M154" s="495" t="s">
        <v>2967</v>
      </c>
      <c r="N154" s="495"/>
      <c r="O154" s="495"/>
      <c r="P154" s="495"/>
      <c r="Q154" s="495"/>
      <c r="R154" s="501" t="s">
        <v>1810</v>
      </c>
      <c r="S154" s="495"/>
      <c r="T154" s="482" t="str">
        <f>VLOOKUP(Таблица3[[#This Row],[№ акта]],$AJ$1:$BJ$691,15,FALSE)</f>
        <v>А-5/1</v>
      </c>
      <c r="U154" s="482" t="str">
        <f>VLOOKUP(Таблица3[[#This Row],[№ акта]],$AJ$1:$BJ$691,16,FALSE)</f>
        <v>Авола</v>
      </c>
      <c r="V154" s="502">
        <f>26*Таблица3[[#This Row],[Регистратор.Вес нетто]]/138160</f>
        <v>2.4934858135495079</v>
      </c>
      <c r="W154" s="502" t="str">
        <f>VLOOKUP(Таблица3[[#This Row],[№ акта]],$AJ$1:$BJ$691,18,FALSE)</f>
        <v>ГРК (богара)</v>
      </c>
      <c r="X154" s="502" t="str">
        <f>VLOOKUP(Таблица3[[#This Row],[№ акта]],$AJ$1:$BJ$691,19,FALSE)</f>
        <v>богара</v>
      </c>
      <c r="Y154" s="503">
        <f>VLOOKUP(Таблица3[[#This Row],[№ акта]],$AJ$1:$BJ$691,20,FALSE)</f>
        <v>8</v>
      </c>
      <c r="Z154" s="504">
        <f>VLOOKUP(Таблица3[[#This Row],[№ акта]],$AJ$1:$BJ$691,21,FALSE)</f>
        <v>46184</v>
      </c>
      <c r="AA154" s="504"/>
      <c r="AB154" s="504" t="str">
        <f>IF(VLOOKUP(Таблица3[[#This Row],[№ акта]],$AJ$1:$BJ$691,23,FALSE)&lt;&gt;0,VLOOKUP(Таблица3[[#This Row],[№ акта]],$AJ$1:$BJ$691,23,FALSE),"-")</f>
        <v>-</v>
      </c>
      <c r="AC15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154" s="506" t="s">
        <v>3230</v>
      </c>
      <c r="AE154" s="505">
        <v>152</v>
      </c>
      <c r="AF154" s="507">
        <v>46184</v>
      </c>
      <c r="AG154" s="505">
        <v>138</v>
      </c>
      <c r="AH154" s="505">
        <f>IFERROR(VLOOKUP(Таблица3[[#This Row],[№ акта]],'Степень зрелости 2026'!$H$12:$I$800,2,FALSE),)</f>
        <v>67</v>
      </c>
      <c r="AJ154" s="508">
        <v>152</v>
      </c>
      <c r="AK154" s="509">
        <v>46184</v>
      </c>
      <c r="AL154" s="508">
        <v>239</v>
      </c>
      <c r="AO154" s="508">
        <v>13250</v>
      </c>
      <c r="AP154" s="508">
        <v>11792.5</v>
      </c>
      <c r="AQ154" s="508" t="s">
        <v>2939</v>
      </c>
      <c r="AR154" s="508" t="s">
        <v>524</v>
      </c>
      <c r="AS154" s="508" t="s">
        <v>3102</v>
      </c>
      <c r="AT154" s="508" t="s">
        <v>2967</v>
      </c>
      <c r="AV154" s="508" t="s">
        <v>1810</v>
      </c>
      <c r="AX154" s="508" t="s">
        <v>3102</v>
      </c>
      <c r="AY154" s="508" t="s">
        <v>524</v>
      </c>
      <c r="AZ154" s="508">
        <v>2.2999999999999998</v>
      </c>
      <c r="BA154" s="508" t="s">
        <v>46</v>
      </c>
      <c r="BB154" s="508" t="s">
        <v>19</v>
      </c>
      <c r="BC154" s="508">
        <v>8</v>
      </c>
      <c r="BD154" s="509">
        <v>46184</v>
      </c>
      <c r="BG154" s="508" t="s">
        <v>420</v>
      </c>
      <c r="BH154" s="508" t="s">
        <v>2940</v>
      </c>
      <c r="BI154" s="508">
        <v>138</v>
      </c>
      <c r="BJ154" s="508">
        <v>67</v>
      </c>
    </row>
    <row r="155" spans="1:62" s="508" customFormat="1" ht="14.25" hidden="1" customHeight="1" x14ac:dyDescent="0.2">
      <c r="A155" s="495" t="s">
        <v>102</v>
      </c>
      <c r="B155" s="496"/>
      <c r="C155" s="497">
        <f>Таблица3[[#This Row],[Степень зрелости вспом]]</f>
        <v>67</v>
      </c>
      <c r="D155" s="498">
        <v>240</v>
      </c>
      <c r="E155" s="499"/>
      <c r="F155" s="496"/>
      <c r="G155" s="496">
        <v>13400</v>
      </c>
      <c r="H155" s="500"/>
      <c r="I155" s="496">
        <v>12328</v>
      </c>
      <c r="J155" s="495" t="s">
        <v>2939</v>
      </c>
      <c r="K155" s="495" t="s">
        <v>524</v>
      </c>
      <c r="L155" s="495" t="s">
        <v>3102</v>
      </c>
      <c r="M155" s="495" t="s">
        <v>347</v>
      </c>
      <c r="N155" s="495"/>
      <c r="O155" s="495"/>
      <c r="P155" s="495"/>
      <c r="Q155" s="495"/>
      <c r="R155" s="501" t="s">
        <v>137</v>
      </c>
      <c r="S155" s="495"/>
      <c r="T155" s="482" t="str">
        <f>VLOOKUP(Таблица3[[#This Row],[№ акта]],$AJ$1:$BJ$691,15,FALSE)</f>
        <v>А-5/1</v>
      </c>
      <c r="U155" s="482" t="str">
        <f>VLOOKUP(Таблица3[[#This Row],[№ акта]],$AJ$1:$BJ$691,16,FALSE)</f>
        <v>Авола</v>
      </c>
      <c r="V155" s="502">
        <f>26*Таблица3[[#This Row],[Регистратор.Вес нетто]]/138160</f>
        <v>2.5217139548349738</v>
      </c>
      <c r="W155" s="502" t="str">
        <f>VLOOKUP(Таблица3[[#This Row],[№ акта]],$AJ$1:$BJ$691,18,FALSE)</f>
        <v>ГРК (богара)</v>
      </c>
      <c r="X155" s="502" t="str">
        <f>VLOOKUP(Таблица3[[#This Row],[№ акта]],$AJ$1:$BJ$691,19,FALSE)</f>
        <v>богара</v>
      </c>
      <c r="Y155" s="503">
        <f>VLOOKUP(Таблица3[[#This Row],[№ акта]],$AJ$1:$BJ$691,20,FALSE)</f>
        <v>8</v>
      </c>
      <c r="Z155" s="504">
        <f>VLOOKUP(Таблица3[[#This Row],[№ акта]],$AJ$1:$BJ$691,21,FALSE)</f>
        <v>46184</v>
      </c>
      <c r="AA155" s="504"/>
      <c r="AB155" s="504" t="str">
        <f>IF(VLOOKUP(Таблица3[[#This Row],[№ акта]],$AJ$1:$BJ$691,23,FALSE)&lt;&gt;0,VLOOKUP(Таблица3[[#This Row],[№ акта]],$AJ$1:$BJ$691,23,FALSE),"-")</f>
        <v>-</v>
      </c>
      <c r="AC15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155" s="506" t="s">
        <v>3230</v>
      </c>
      <c r="AE155" s="505">
        <v>153</v>
      </c>
      <c r="AF155" s="507">
        <v>46184</v>
      </c>
      <c r="AG155" s="505">
        <v>139</v>
      </c>
      <c r="AH155" s="505">
        <f>IFERROR(VLOOKUP(Таблица3[[#This Row],[№ акта]],'Степень зрелости 2026'!$H$12:$I$800,2,FALSE),)</f>
        <v>67</v>
      </c>
      <c r="AJ155" s="508">
        <v>153</v>
      </c>
      <c r="AK155" s="509">
        <v>46184</v>
      </c>
      <c r="AL155" s="508">
        <v>240</v>
      </c>
      <c r="AO155" s="508">
        <v>13400</v>
      </c>
      <c r="AP155" s="508">
        <v>12328</v>
      </c>
      <c r="AQ155" s="508" t="s">
        <v>2939</v>
      </c>
      <c r="AR155" s="508" t="s">
        <v>524</v>
      </c>
      <c r="AS155" s="508" t="s">
        <v>3102</v>
      </c>
      <c r="AT155" s="508" t="s">
        <v>347</v>
      </c>
      <c r="AV155" s="508" t="s">
        <v>137</v>
      </c>
      <c r="AX155" s="508" t="s">
        <v>3102</v>
      </c>
      <c r="AY155" s="508" t="s">
        <v>524</v>
      </c>
      <c r="AZ155" s="508">
        <v>2.2999999999999998</v>
      </c>
      <c r="BA155" s="508" t="s">
        <v>46</v>
      </c>
      <c r="BB155" s="508" t="s">
        <v>19</v>
      </c>
      <c r="BC155" s="508">
        <v>8</v>
      </c>
      <c r="BD155" s="509">
        <v>46184</v>
      </c>
      <c r="BG155" s="508" t="s">
        <v>420</v>
      </c>
      <c r="BH155" s="508" t="s">
        <v>2940</v>
      </c>
      <c r="BI155" s="508">
        <v>139</v>
      </c>
      <c r="BJ155" s="508">
        <v>67</v>
      </c>
    </row>
    <row r="156" spans="1:62" s="508" customFormat="1" ht="14.25" hidden="1" customHeight="1" x14ac:dyDescent="0.2">
      <c r="A156" s="495" t="s">
        <v>102</v>
      </c>
      <c r="B156" s="496"/>
      <c r="C156" s="497">
        <f>Таблица3[[#This Row],[Степень зрелости вспом]]</f>
        <v>54</v>
      </c>
      <c r="D156" s="498">
        <v>241</v>
      </c>
      <c r="E156" s="499"/>
      <c r="F156" s="496"/>
      <c r="G156" s="496">
        <v>12850</v>
      </c>
      <c r="H156" s="500"/>
      <c r="I156" s="496">
        <v>11564</v>
      </c>
      <c r="J156" s="495" t="s">
        <v>2939</v>
      </c>
      <c r="K156" s="495" t="s">
        <v>901</v>
      </c>
      <c r="L156" s="495" t="s">
        <v>3248</v>
      </c>
      <c r="M156" s="495" t="s">
        <v>195</v>
      </c>
      <c r="N156" s="495"/>
      <c r="O156" s="495"/>
      <c r="P156" s="495"/>
      <c r="Q156" s="495"/>
      <c r="R156" s="501" t="s">
        <v>199</v>
      </c>
      <c r="S156" s="495"/>
      <c r="T156" s="482" t="str">
        <f>VLOOKUP(Таблица3[[#This Row],[№ акта]],$AJ$1:$BJ$691,15,FALSE)</f>
        <v>А-24/1</v>
      </c>
      <c r="U156" s="482" t="str">
        <f>VLOOKUP(Таблица3[[#This Row],[№ акта]],$AJ$1:$BJ$691,16,FALSE)</f>
        <v>Фаворит</v>
      </c>
      <c r="V156" s="502">
        <f>VLOOKUP(Таблица3[[#This Row],[№ акта]],$AJ$1:$BJ$691,17,FALSE)</f>
        <v>1.6</v>
      </c>
      <c r="W156" s="502" t="str">
        <f>VLOOKUP(Таблица3[[#This Row],[№ акта]],$AJ$1:$BJ$691,18,FALSE)</f>
        <v>ГРК (богара)</v>
      </c>
      <c r="X156" s="502" t="str">
        <f>VLOOKUP(Таблица3[[#This Row],[№ акта]],$AJ$1:$BJ$691,19,FALSE)</f>
        <v>богара</v>
      </c>
      <c r="Y156" s="503">
        <f>VLOOKUP(Таблица3[[#This Row],[№ акта]],$AJ$1:$BJ$691,20,FALSE)</f>
        <v>8</v>
      </c>
      <c r="Z156" s="504">
        <f>VLOOKUP(Таблица3[[#This Row],[№ акта]],$AJ$1:$BJ$691,21,FALSE)</f>
        <v>46184</v>
      </c>
      <c r="AA156" s="496">
        <f>Таблица3[[#This Row],[Регистратор.Вес нетто]]</f>
        <v>12850</v>
      </c>
      <c r="AB156" s="504" t="str">
        <f>IF(VLOOKUP(Таблица3[[#This Row],[№ акта]],$AJ$1:$BJ$691,23,FALSE)&lt;&gt;0,VLOOKUP(Таблица3[[#This Row],[№ акта]],$AJ$1:$BJ$691,23,FALSE),"-")</f>
        <v>ГРАНД-СТАР ООО</v>
      </c>
      <c r="AC15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56" s="506" t="s">
        <v>2940</v>
      </c>
      <c r="AE156" s="505">
        <v>286</v>
      </c>
      <c r="AF156" s="507">
        <v>46184</v>
      </c>
      <c r="AG156" s="505" t="s">
        <v>3534</v>
      </c>
      <c r="AH156" s="505">
        <f>IFERROR(VLOOKUP(Таблица3[[#This Row],[№ акта]],'Степень зрелости 2026'!$H$12:$I$800,2,FALSE),)</f>
        <v>54</v>
      </c>
      <c r="AJ156" s="508">
        <v>286</v>
      </c>
      <c r="AK156" s="509">
        <v>46184</v>
      </c>
      <c r="AL156" s="508">
        <v>241</v>
      </c>
      <c r="AO156" s="508">
        <v>12850</v>
      </c>
      <c r="AP156" s="508">
        <v>11564</v>
      </c>
      <c r="AQ156" s="508" t="s">
        <v>2939</v>
      </c>
      <c r="AR156" s="508" t="s">
        <v>901</v>
      </c>
      <c r="AS156" s="508" t="s">
        <v>3248</v>
      </c>
      <c r="AT156" s="508" t="s">
        <v>195</v>
      </c>
      <c r="AV156" s="508" t="s">
        <v>199</v>
      </c>
      <c r="AX156" s="508" t="s">
        <v>3100</v>
      </c>
      <c r="AY156" s="508" t="s">
        <v>901</v>
      </c>
      <c r="AZ156" s="508">
        <v>1.6</v>
      </c>
      <c r="BA156" s="508" t="s">
        <v>46</v>
      </c>
      <c r="BB156" s="508" t="s">
        <v>19</v>
      </c>
      <c r="BC156" s="508">
        <v>8</v>
      </c>
      <c r="BD156" s="509">
        <v>46184</v>
      </c>
      <c r="BE156" s="508">
        <v>12850</v>
      </c>
      <c r="BF156" s="508" t="s">
        <v>3206</v>
      </c>
      <c r="BG156" s="508" t="s">
        <v>724</v>
      </c>
      <c r="BH156" s="508" t="s">
        <v>2940</v>
      </c>
      <c r="BI156" s="508" t="s">
        <v>3534</v>
      </c>
      <c r="BJ156" s="508">
        <v>54</v>
      </c>
    </row>
    <row r="157" spans="1:62" s="508" customFormat="1" ht="14.25" hidden="1" customHeight="1" x14ac:dyDescent="0.2">
      <c r="A157" s="495" t="s">
        <v>102</v>
      </c>
      <c r="B157" s="496"/>
      <c r="C157" s="497">
        <f>Таблица3[[#This Row],[Степень зрелости вспом]]</f>
        <v>71</v>
      </c>
      <c r="D157" s="498">
        <v>242</v>
      </c>
      <c r="E157" s="499"/>
      <c r="F157" s="496"/>
      <c r="G157" s="496">
        <v>13700</v>
      </c>
      <c r="H157" s="500"/>
      <c r="I157" s="496">
        <v>12467</v>
      </c>
      <c r="J157" s="495" t="s">
        <v>2939</v>
      </c>
      <c r="K157" s="495" t="s">
        <v>524</v>
      </c>
      <c r="L157" s="495" t="s">
        <v>3102</v>
      </c>
      <c r="M157" s="495" t="s">
        <v>311</v>
      </c>
      <c r="N157" s="495"/>
      <c r="O157" s="495"/>
      <c r="P157" s="495"/>
      <c r="Q157" s="495"/>
      <c r="R157" s="501" t="s">
        <v>315</v>
      </c>
      <c r="S157" s="495"/>
      <c r="T157" s="482" t="str">
        <f>VLOOKUP(Таблица3[[#This Row],[№ акта]],$AJ$1:$BJ$691,15,FALSE)</f>
        <v>А-5/1</v>
      </c>
      <c r="U157" s="482" t="str">
        <f>VLOOKUP(Таблица3[[#This Row],[№ акта]],$AJ$1:$BJ$691,16,FALSE)</f>
        <v>Авола</v>
      </c>
      <c r="V157" s="502">
        <f>26*Таблица3[[#This Row],[Регистратор.Вес нетто]]/138160</f>
        <v>2.5781702374059061</v>
      </c>
      <c r="W157" s="502" t="str">
        <f>VLOOKUP(Таблица3[[#This Row],[№ акта]],$AJ$1:$BJ$691,18,FALSE)</f>
        <v>ГРК (богара)</v>
      </c>
      <c r="X157" s="502" t="str">
        <f>VLOOKUP(Таблица3[[#This Row],[№ акта]],$AJ$1:$BJ$691,19,FALSE)</f>
        <v>богара</v>
      </c>
      <c r="Y157" s="503">
        <f>VLOOKUP(Таблица3[[#This Row],[№ акта]],$AJ$1:$BJ$691,20,FALSE)</f>
        <v>8</v>
      </c>
      <c r="Z157" s="504">
        <f>VLOOKUP(Таблица3[[#This Row],[№ акта]],$AJ$1:$BJ$691,21,FALSE)</f>
        <v>46184</v>
      </c>
      <c r="AA157" s="504"/>
      <c r="AB157" s="504" t="str">
        <f>IF(VLOOKUP(Таблица3[[#This Row],[№ акта]],$AJ$1:$BJ$691,23,FALSE)&lt;&gt;0,VLOOKUP(Таблица3[[#This Row],[№ акта]],$AJ$1:$BJ$691,23,FALSE),"-")</f>
        <v>-</v>
      </c>
      <c r="AC15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157" s="506" t="s">
        <v>3230</v>
      </c>
      <c r="AE157" s="505">
        <v>154</v>
      </c>
      <c r="AF157" s="507">
        <v>46184</v>
      </c>
      <c r="AG157" s="505">
        <v>140</v>
      </c>
      <c r="AH157" s="505">
        <f>IFERROR(VLOOKUP(Таблица3[[#This Row],[№ акта]],'Степень зрелости 2026'!$H$12:$I$800,2,FALSE),)</f>
        <v>71</v>
      </c>
      <c r="AJ157" s="508">
        <v>154</v>
      </c>
      <c r="AK157" s="509">
        <v>46184</v>
      </c>
      <c r="AL157" s="508">
        <v>242</v>
      </c>
      <c r="AO157" s="508">
        <v>13700</v>
      </c>
      <c r="AP157" s="508">
        <v>12467</v>
      </c>
      <c r="AQ157" s="508" t="s">
        <v>2939</v>
      </c>
      <c r="AR157" s="508" t="s">
        <v>524</v>
      </c>
      <c r="AS157" s="508" t="s">
        <v>3102</v>
      </c>
      <c r="AT157" s="508" t="s">
        <v>311</v>
      </c>
      <c r="AV157" s="508" t="s">
        <v>315</v>
      </c>
      <c r="AX157" s="508" t="s">
        <v>3102</v>
      </c>
      <c r="AY157" s="508" t="s">
        <v>524</v>
      </c>
      <c r="AZ157" s="508">
        <v>2.5</v>
      </c>
      <c r="BA157" s="508" t="s">
        <v>46</v>
      </c>
      <c r="BB157" s="508" t="s">
        <v>19</v>
      </c>
      <c r="BC157" s="508">
        <v>8</v>
      </c>
      <c r="BD157" s="509">
        <v>46184</v>
      </c>
      <c r="BG157" s="508" t="s">
        <v>420</v>
      </c>
      <c r="BH157" s="508" t="s">
        <v>2940</v>
      </c>
      <c r="BI157" s="508">
        <v>140</v>
      </c>
      <c r="BJ157" s="508">
        <v>71</v>
      </c>
    </row>
    <row r="158" spans="1:62" s="508" customFormat="1" ht="14.25" hidden="1" customHeight="1" x14ac:dyDescent="0.2">
      <c r="A158" s="495" t="s">
        <v>102</v>
      </c>
      <c r="B158" s="496"/>
      <c r="C158" s="497">
        <f>Таблица3[[#This Row],[Степень зрелости вспом]]</f>
        <v>63</v>
      </c>
      <c r="D158" s="498">
        <v>243</v>
      </c>
      <c r="E158" s="499"/>
      <c r="F158" s="496"/>
      <c r="G158" s="496">
        <v>12920</v>
      </c>
      <c r="H158" s="500"/>
      <c r="I158" s="496">
        <v>11628</v>
      </c>
      <c r="J158" s="495" t="s">
        <v>2939</v>
      </c>
      <c r="K158" s="495" t="s">
        <v>901</v>
      </c>
      <c r="L158" s="495" t="s">
        <v>3100</v>
      </c>
      <c r="M158" s="495" t="s">
        <v>1806</v>
      </c>
      <c r="N158" s="495"/>
      <c r="O158" s="495"/>
      <c r="P158" s="495"/>
      <c r="Q158" s="495"/>
      <c r="R158" s="501" t="s">
        <v>1807</v>
      </c>
      <c r="S158" s="495"/>
      <c r="T158" s="482" t="str">
        <f>VLOOKUP(Таблица3[[#This Row],[№ акта]],$AJ$1:$BJ$691,15,FALSE)</f>
        <v>А-24/1</v>
      </c>
      <c r="U158" s="482" t="str">
        <f>VLOOKUP(Таблица3[[#This Row],[№ акта]],$AJ$1:$BJ$691,16,FALSE)</f>
        <v>Фаворит</v>
      </c>
      <c r="V158" s="502">
        <f>VLOOKUP(Таблица3[[#This Row],[№ акта]],$AJ$1:$BJ$691,17,FALSE)</f>
        <v>1.6</v>
      </c>
      <c r="W158" s="502" t="str">
        <f>VLOOKUP(Таблица3[[#This Row],[№ акта]],$AJ$1:$BJ$691,18,FALSE)</f>
        <v>ГРК (богара)</v>
      </c>
      <c r="X158" s="502" t="str">
        <f>VLOOKUP(Таблица3[[#This Row],[№ акта]],$AJ$1:$BJ$691,19,FALSE)</f>
        <v>богара</v>
      </c>
      <c r="Y158" s="503">
        <f>VLOOKUP(Таблица3[[#This Row],[№ акта]],$AJ$1:$BJ$691,20,FALSE)</f>
        <v>8</v>
      </c>
      <c r="Z158" s="504">
        <f>VLOOKUP(Таблица3[[#This Row],[№ акта]],$AJ$1:$BJ$691,21,FALSE)</f>
        <v>46184</v>
      </c>
      <c r="AA158" s="504"/>
      <c r="AB158" s="504" t="str">
        <f>IF(VLOOKUP(Таблица3[[#This Row],[№ акта]],$AJ$1:$BJ$691,23,FALSE)&lt;&gt;0,VLOOKUP(Таблица3[[#This Row],[№ акта]],$AJ$1:$BJ$691,23,FALSE),"-")</f>
        <v>-</v>
      </c>
      <c r="AC15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58" s="506" t="s">
        <v>2940</v>
      </c>
      <c r="AE158" s="505">
        <v>155</v>
      </c>
      <c r="AF158" s="507">
        <v>46184</v>
      </c>
      <c r="AG158" s="505">
        <v>141</v>
      </c>
      <c r="AH158" s="505">
        <f>IFERROR(VLOOKUP(Таблица3[[#This Row],[№ акта]],'Степень зрелости 2026'!$H$12:$I$800,2,FALSE),)</f>
        <v>63</v>
      </c>
      <c r="AJ158" s="508">
        <v>155</v>
      </c>
      <c r="AK158" s="509">
        <v>46184</v>
      </c>
      <c r="AL158" s="508">
        <v>243</v>
      </c>
      <c r="AO158" s="508">
        <v>12920</v>
      </c>
      <c r="AP158" s="508">
        <v>11628</v>
      </c>
      <c r="AQ158" s="508" t="s">
        <v>2939</v>
      </c>
      <c r="AR158" s="508" t="s">
        <v>901</v>
      </c>
      <c r="AS158" s="508" t="s">
        <v>3100</v>
      </c>
      <c r="AT158" s="508" t="s">
        <v>1806</v>
      </c>
      <c r="AV158" s="508" t="s">
        <v>1807</v>
      </c>
      <c r="AX158" s="508" t="s">
        <v>3100</v>
      </c>
      <c r="AY158" s="508" t="s">
        <v>901</v>
      </c>
      <c r="AZ158" s="508">
        <v>1.6</v>
      </c>
      <c r="BA158" s="508" t="s">
        <v>46</v>
      </c>
      <c r="BB158" s="508" t="s">
        <v>19</v>
      </c>
      <c r="BC158" s="508">
        <v>8</v>
      </c>
      <c r="BD158" s="509">
        <v>46184</v>
      </c>
      <c r="BG158" s="508" t="s">
        <v>724</v>
      </c>
      <c r="BH158" s="508" t="s">
        <v>2940</v>
      </c>
      <c r="BI158" s="508">
        <v>141</v>
      </c>
      <c r="BJ158" s="508">
        <v>63</v>
      </c>
    </row>
    <row r="159" spans="1:62" s="508" customFormat="1" ht="14.25" hidden="1" customHeight="1" x14ac:dyDescent="0.2">
      <c r="A159" s="495" t="s">
        <v>102</v>
      </c>
      <c r="B159" s="496"/>
      <c r="C159" s="497">
        <f>Таблица3[[#This Row],[Степень зрелости вспом]]</f>
        <v>64</v>
      </c>
      <c r="D159" s="498">
        <v>245</v>
      </c>
      <c r="E159" s="499"/>
      <c r="F159" s="496"/>
      <c r="G159" s="496">
        <v>12630</v>
      </c>
      <c r="H159" s="500"/>
      <c r="I159" s="496">
        <v>11240.7</v>
      </c>
      <c r="J159" s="495" t="s">
        <v>2939</v>
      </c>
      <c r="K159" s="495" t="s">
        <v>901</v>
      </c>
      <c r="L159" s="495" t="s">
        <v>3248</v>
      </c>
      <c r="M159" s="495" t="s">
        <v>2967</v>
      </c>
      <c r="N159" s="495"/>
      <c r="O159" s="495"/>
      <c r="P159" s="495"/>
      <c r="Q159" s="495"/>
      <c r="R159" s="501" t="s">
        <v>1810</v>
      </c>
      <c r="S159" s="495"/>
      <c r="T159" s="482" t="str">
        <f>VLOOKUP(Таблица3[[#This Row],[№ акта]],$AJ$1:$BJ$691,15,FALSE)</f>
        <v>А-24/1</v>
      </c>
      <c r="U159" s="482" t="str">
        <f>VLOOKUP(Таблица3[[#This Row],[№ акта]],$AJ$1:$BJ$691,16,FALSE)</f>
        <v>Фаворит</v>
      </c>
      <c r="V159" s="502">
        <f>VLOOKUP(Таблица3[[#This Row],[№ акта]],$AJ$1:$BJ$691,17,FALSE)</f>
        <v>1.6</v>
      </c>
      <c r="W159" s="502" t="str">
        <f>VLOOKUP(Таблица3[[#This Row],[№ акта]],$AJ$1:$BJ$691,18,FALSE)</f>
        <v>ГРК (богара)</v>
      </c>
      <c r="X159" s="502" t="str">
        <f>VLOOKUP(Таблица3[[#This Row],[№ акта]],$AJ$1:$BJ$691,19,FALSE)</f>
        <v>богара</v>
      </c>
      <c r="Y159" s="503">
        <f>VLOOKUP(Таблица3[[#This Row],[№ акта]],$AJ$1:$BJ$691,20,FALSE)</f>
        <v>8</v>
      </c>
      <c r="Z159" s="504">
        <f>VLOOKUP(Таблица3[[#This Row],[№ акта]],$AJ$1:$BJ$691,21,FALSE)</f>
        <v>46184</v>
      </c>
      <c r="AA159" s="496"/>
      <c r="AB159" s="504" t="str">
        <f>IF(VLOOKUP(Таблица3[[#This Row],[№ акта]],$AJ$1:$BJ$691,23,FALSE)&lt;&gt;0,VLOOKUP(Таблица3[[#This Row],[№ акта]],$AJ$1:$BJ$691,23,FALSE),"-")</f>
        <v>-</v>
      </c>
      <c r="AC15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159" s="506" t="s">
        <v>2940</v>
      </c>
      <c r="AE159" s="505">
        <v>156</v>
      </c>
      <c r="AF159" s="507">
        <v>46184</v>
      </c>
      <c r="AG159" s="505">
        <v>142</v>
      </c>
      <c r="AH159" s="505">
        <f>IFERROR(VLOOKUP(Таблица3[[#This Row],[№ акта]],'Степень зрелости 2026'!$H$12:$I$800,2,FALSE),)</f>
        <v>64</v>
      </c>
      <c r="AJ159" s="508">
        <v>156</v>
      </c>
      <c r="AK159" s="509">
        <v>46184</v>
      </c>
      <c r="AL159" s="508">
        <v>245</v>
      </c>
      <c r="AO159" s="508">
        <v>12630</v>
      </c>
      <c r="AP159" s="508">
        <v>11240.7</v>
      </c>
      <c r="AQ159" s="508" t="s">
        <v>2939</v>
      </c>
      <c r="AR159" s="508" t="s">
        <v>901</v>
      </c>
      <c r="AS159" s="508" t="s">
        <v>3248</v>
      </c>
      <c r="AT159" s="508" t="s">
        <v>2967</v>
      </c>
      <c r="AV159" s="508" t="s">
        <v>1810</v>
      </c>
      <c r="AX159" s="508" t="s">
        <v>3100</v>
      </c>
      <c r="AY159" s="508" t="s">
        <v>901</v>
      </c>
      <c r="AZ159" s="508">
        <v>1.6</v>
      </c>
      <c r="BA159" s="508" t="s">
        <v>46</v>
      </c>
      <c r="BB159" s="508" t="s">
        <v>19</v>
      </c>
      <c r="BC159" s="508">
        <v>8</v>
      </c>
      <c r="BD159" s="509">
        <v>46184</v>
      </c>
      <c r="BG159" s="508" t="s">
        <v>3559</v>
      </c>
      <c r="BH159" s="508" t="s">
        <v>2940</v>
      </c>
      <c r="BI159" s="508">
        <v>142</v>
      </c>
      <c r="BJ159" s="508">
        <v>64</v>
      </c>
    </row>
    <row r="160" spans="1:62" s="508" customFormat="1" ht="14.25" hidden="1" customHeight="1" x14ac:dyDescent="0.2">
      <c r="A160" s="495" t="s">
        <v>102</v>
      </c>
      <c r="B160" s="496"/>
      <c r="C160" s="497">
        <f>Таблица3[[#This Row],[Степень зрелости вспом]]</f>
        <v>64</v>
      </c>
      <c r="D160" s="498">
        <v>246</v>
      </c>
      <c r="E160" s="499"/>
      <c r="F160" s="496"/>
      <c r="G160" s="496">
        <v>13140</v>
      </c>
      <c r="H160" s="500"/>
      <c r="I160" s="496">
        <v>12088.8</v>
      </c>
      <c r="J160" s="495" t="s">
        <v>2939</v>
      </c>
      <c r="K160" s="495" t="s">
        <v>901</v>
      </c>
      <c r="L160" s="495" t="s">
        <v>3248</v>
      </c>
      <c r="M160" s="495" t="s">
        <v>347</v>
      </c>
      <c r="N160" s="495"/>
      <c r="O160" s="495"/>
      <c r="P160" s="495"/>
      <c r="Q160" s="495"/>
      <c r="R160" s="501" t="s">
        <v>137</v>
      </c>
      <c r="S160" s="495"/>
      <c r="T160" s="482" t="str">
        <f>VLOOKUP(Таблица3[[#This Row],[№ акта]],$AJ$1:$BJ$691,15,FALSE)</f>
        <v>А-24/1</v>
      </c>
      <c r="U160" s="482" t="str">
        <f>VLOOKUP(Таблица3[[#This Row],[№ акта]],$AJ$1:$BJ$691,16,FALSE)</f>
        <v>Фаворит</v>
      </c>
      <c r="V160" s="502">
        <f>VLOOKUP(Таблица3[[#This Row],[№ акта]],$AJ$1:$BJ$691,17,FALSE)</f>
        <v>1.6</v>
      </c>
      <c r="W160" s="502" t="str">
        <f>VLOOKUP(Таблица3[[#This Row],[№ акта]],$AJ$1:$BJ$691,18,FALSE)</f>
        <v>ГРК (богара)</v>
      </c>
      <c r="X160" s="502" t="str">
        <f>VLOOKUP(Таблица3[[#This Row],[№ акта]],$AJ$1:$BJ$691,19,FALSE)</f>
        <v>богара</v>
      </c>
      <c r="Y160" s="503">
        <f>VLOOKUP(Таблица3[[#This Row],[№ акта]],$AJ$1:$BJ$691,20,FALSE)</f>
        <v>8</v>
      </c>
      <c r="Z160" s="504">
        <f>VLOOKUP(Таблица3[[#This Row],[№ акта]],$AJ$1:$BJ$691,21,FALSE)</f>
        <v>46184</v>
      </c>
      <c r="AA160" s="504"/>
      <c r="AB160" s="504" t="str">
        <f>IF(VLOOKUP(Таблица3[[#This Row],[№ акта]],$AJ$1:$BJ$691,23,FALSE)&lt;&gt;0,VLOOKUP(Таблица3[[#This Row],[№ акта]],$AJ$1:$BJ$691,23,FALSE),"-")</f>
        <v>-</v>
      </c>
      <c r="AC16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160" s="506" t="s">
        <v>2940</v>
      </c>
      <c r="AE160" s="505">
        <v>157</v>
      </c>
      <c r="AF160" s="507">
        <v>46184</v>
      </c>
      <c r="AG160" s="505">
        <v>143</v>
      </c>
      <c r="AH160" s="505">
        <f>IFERROR(VLOOKUP(Таблица3[[#This Row],[№ акта]],'Степень зрелости 2026'!$H$12:$I$800,2,FALSE),)</f>
        <v>64</v>
      </c>
      <c r="AJ160" s="508">
        <v>157</v>
      </c>
      <c r="AK160" s="509">
        <v>46184</v>
      </c>
      <c r="AL160" s="508">
        <v>246</v>
      </c>
      <c r="AO160" s="508">
        <v>13140</v>
      </c>
      <c r="AP160" s="508">
        <v>12088.8</v>
      </c>
      <c r="AQ160" s="508" t="s">
        <v>2939</v>
      </c>
      <c r="AR160" s="508" t="s">
        <v>901</v>
      </c>
      <c r="AS160" s="508" t="s">
        <v>3248</v>
      </c>
      <c r="AT160" s="508" t="s">
        <v>347</v>
      </c>
      <c r="AV160" s="508" t="s">
        <v>137</v>
      </c>
      <c r="AX160" s="508" t="s">
        <v>3100</v>
      </c>
      <c r="AY160" s="508" t="s">
        <v>901</v>
      </c>
      <c r="AZ160" s="508">
        <v>1.6</v>
      </c>
      <c r="BA160" s="508" t="s">
        <v>46</v>
      </c>
      <c r="BB160" s="508" t="s">
        <v>19</v>
      </c>
      <c r="BC160" s="508">
        <v>8</v>
      </c>
      <c r="BD160" s="509">
        <v>46184</v>
      </c>
      <c r="BG160" s="508" t="s">
        <v>3559</v>
      </c>
      <c r="BH160" s="508" t="s">
        <v>2940</v>
      </c>
      <c r="BI160" s="508">
        <v>143</v>
      </c>
      <c r="BJ160" s="508">
        <v>64</v>
      </c>
    </row>
    <row r="161" spans="1:62" s="508" customFormat="1" ht="14.25" hidden="1" customHeight="1" x14ac:dyDescent="0.2">
      <c r="A161" s="495" t="s">
        <v>102</v>
      </c>
      <c r="B161" s="496"/>
      <c r="C161" s="497">
        <f>Таблица3[[#This Row],[Степень зрелости вспом]]</f>
        <v>61</v>
      </c>
      <c r="D161" s="498">
        <v>247</v>
      </c>
      <c r="E161" s="499"/>
      <c r="F161" s="496"/>
      <c r="G161" s="496">
        <v>13040</v>
      </c>
      <c r="H161" s="500"/>
      <c r="I161" s="496">
        <v>11801.2</v>
      </c>
      <c r="J161" s="495" t="s">
        <v>2939</v>
      </c>
      <c r="K161" s="495" t="s">
        <v>901</v>
      </c>
      <c r="L161" s="495" t="s">
        <v>3100</v>
      </c>
      <c r="M161" s="495" t="s">
        <v>311</v>
      </c>
      <c r="N161" s="495"/>
      <c r="O161" s="495"/>
      <c r="P161" s="495"/>
      <c r="Q161" s="495"/>
      <c r="R161" s="501" t="s">
        <v>315</v>
      </c>
      <c r="S161" s="495"/>
      <c r="T161" s="482" t="str">
        <f>VLOOKUP(Таблица3[[#This Row],[№ акта]],$AJ$1:$BJ$691,15,FALSE)</f>
        <v>А-24/1</v>
      </c>
      <c r="U161" s="482" t="str">
        <f>VLOOKUP(Таблица3[[#This Row],[№ акта]],$AJ$1:$BJ$691,16,FALSE)</f>
        <v>Фаворит</v>
      </c>
      <c r="V161" s="502">
        <f>VLOOKUP(Таблица3[[#This Row],[№ акта]],$AJ$1:$BJ$691,17,FALSE)</f>
        <v>1.6</v>
      </c>
      <c r="W161" s="502" t="str">
        <f>VLOOKUP(Таблица3[[#This Row],[№ акта]],$AJ$1:$BJ$691,18,FALSE)</f>
        <v>ГРК (богара)</v>
      </c>
      <c r="X161" s="502" t="str">
        <f>VLOOKUP(Таблица3[[#This Row],[№ акта]],$AJ$1:$BJ$691,19,FALSE)</f>
        <v>богара</v>
      </c>
      <c r="Y161" s="503">
        <f>VLOOKUP(Таблица3[[#This Row],[№ акта]],$AJ$1:$BJ$691,20,FALSE)</f>
        <v>8</v>
      </c>
      <c r="Z161" s="504">
        <f>VLOOKUP(Таблица3[[#This Row],[№ акта]],$AJ$1:$BJ$691,21,FALSE)</f>
        <v>46184</v>
      </c>
      <c r="AA161" s="504"/>
      <c r="AB161" s="504" t="str">
        <f>IF(VLOOKUP(Таблица3[[#This Row],[№ акта]],$AJ$1:$BJ$691,23,FALSE)&lt;&gt;0,VLOOKUP(Таблица3[[#This Row],[№ акта]],$AJ$1:$BJ$691,23,FALSE),"-")</f>
        <v>-</v>
      </c>
      <c r="AC16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61" s="506" t="s">
        <v>2940</v>
      </c>
      <c r="AE161" s="505">
        <v>158</v>
      </c>
      <c r="AF161" s="507">
        <v>46184</v>
      </c>
      <c r="AG161" s="505">
        <v>144</v>
      </c>
      <c r="AH161" s="505">
        <f>IFERROR(VLOOKUP(Таблица3[[#This Row],[№ акта]],'Степень зрелости 2026'!$H$12:$I$800,2,FALSE),)</f>
        <v>61</v>
      </c>
      <c r="AJ161" s="508">
        <v>158</v>
      </c>
      <c r="AK161" s="509">
        <v>46184</v>
      </c>
      <c r="AL161" s="508">
        <v>247</v>
      </c>
      <c r="AO161" s="508">
        <v>13040</v>
      </c>
      <c r="AP161" s="508">
        <v>11801.2</v>
      </c>
      <c r="AQ161" s="508" t="s">
        <v>2939</v>
      </c>
      <c r="AR161" s="508" t="s">
        <v>901</v>
      </c>
      <c r="AS161" s="508" t="s">
        <v>3100</v>
      </c>
      <c r="AT161" s="508" t="s">
        <v>311</v>
      </c>
      <c r="AV161" s="508" t="s">
        <v>315</v>
      </c>
      <c r="AX161" s="508" t="s">
        <v>3100</v>
      </c>
      <c r="AY161" s="508" t="s">
        <v>901</v>
      </c>
      <c r="AZ161" s="508">
        <v>1.6</v>
      </c>
      <c r="BA161" s="508" t="s">
        <v>46</v>
      </c>
      <c r="BB161" s="508" t="s">
        <v>19</v>
      </c>
      <c r="BC161" s="508">
        <v>8</v>
      </c>
      <c r="BD161" s="509">
        <v>46184</v>
      </c>
      <c r="BG161" s="508" t="s">
        <v>724</v>
      </c>
      <c r="BH161" s="508" t="s">
        <v>2940</v>
      </c>
      <c r="BI161" s="508">
        <v>144</v>
      </c>
      <c r="BJ161" s="508">
        <v>61</v>
      </c>
    </row>
    <row r="162" spans="1:62" s="508" customFormat="1" ht="14.25" hidden="1" customHeight="1" x14ac:dyDescent="0.2">
      <c r="A162" s="495" t="s">
        <v>102</v>
      </c>
      <c r="B162" s="496"/>
      <c r="C162" s="497">
        <f>Таблица3[[#This Row],[Степень зрелости вспом]]</f>
        <v>59</v>
      </c>
      <c r="D162" s="498">
        <v>248</v>
      </c>
      <c r="E162" s="499"/>
      <c r="F162" s="496"/>
      <c r="G162" s="496">
        <v>4150</v>
      </c>
      <c r="H162" s="500"/>
      <c r="I162" s="496">
        <v>3880.3</v>
      </c>
      <c r="J162" s="495" t="s">
        <v>2939</v>
      </c>
      <c r="K162" s="495" t="s">
        <v>901</v>
      </c>
      <c r="L162" s="495" t="s">
        <v>3100</v>
      </c>
      <c r="M162" s="495" t="s">
        <v>762</v>
      </c>
      <c r="N162" s="495"/>
      <c r="O162" s="495"/>
      <c r="P162" s="495"/>
      <c r="Q162" s="495"/>
      <c r="R162" s="501" t="s">
        <v>763</v>
      </c>
      <c r="S162" s="495"/>
      <c r="T162" s="482" t="str">
        <f>VLOOKUP(Таблица3[[#This Row],[№ акта]],$AJ$1:$BJ$691,15,FALSE)</f>
        <v>А-24/1</v>
      </c>
      <c r="U162" s="482" t="str">
        <f>VLOOKUP(Таблица3[[#This Row],[№ акта]],$AJ$1:$BJ$691,16,FALSE)</f>
        <v>Фаворит</v>
      </c>
      <c r="V162" s="502">
        <f>VLOOKUP(Таблица3[[#This Row],[№ акта]],$AJ$1:$BJ$691,17,FALSE)</f>
        <v>0.5</v>
      </c>
      <c r="W162" s="502" t="str">
        <f>VLOOKUP(Таблица3[[#This Row],[№ акта]],$AJ$1:$BJ$691,18,FALSE)</f>
        <v>ГРК (богара)</v>
      </c>
      <c r="X162" s="502" t="str">
        <f>VLOOKUP(Таблица3[[#This Row],[№ акта]],$AJ$1:$BJ$691,19,FALSE)</f>
        <v>богара</v>
      </c>
      <c r="Y162" s="503">
        <f>VLOOKUP(Таблица3[[#This Row],[№ акта]],$AJ$1:$BJ$691,20,FALSE)</f>
        <v>8</v>
      </c>
      <c r="Z162" s="504">
        <f>VLOOKUP(Таблица3[[#This Row],[№ акта]],$AJ$1:$BJ$691,21,FALSE)</f>
        <v>46184</v>
      </c>
      <c r="AA162" s="504"/>
      <c r="AB162" s="504" t="str">
        <f>IF(VLOOKUP(Таблица3[[#This Row],[№ акта]],$AJ$1:$BJ$691,23,FALSE)&lt;&gt;0,VLOOKUP(Таблица3[[#This Row],[№ акта]],$AJ$1:$BJ$691,23,FALSE),"-")</f>
        <v>-</v>
      </c>
      <c r="AC16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62" s="506" t="s">
        <v>2940</v>
      </c>
      <c r="AE162" s="505">
        <v>159</v>
      </c>
      <c r="AF162" s="507">
        <v>46185</v>
      </c>
      <c r="AG162" s="505">
        <v>145</v>
      </c>
      <c r="AH162" s="505">
        <f>IFERROR(VLOOKUP(Таблица3[[#This Row],[№ акта]],'Степень зрелости 2026'!$H$12:$I$800,2,FALSE),)</f>
        <v>59</v>
      </c>
      <c r="AJ162" s="508">
        <v>159</v>
      </c>
      <c r="AK162" s="509">
        <v>46185</v>
      </c>
      <c r="AL162" s="508">
        <v>248</v>
      </c>
      <c r="AO162" s="508">
        <v>4150</v>
      </c>
      <c r="AP162" s="508">
        <v>3880.3</v>
      </c>
      <c r="AQ162" s="508" t="s">
        <v>2939</v>
      </c>
      <c r="AR162" s="508" t="s">
        <v>901</v>
      </c>
      <c r="AS162" s="508" t="s">
        <v>3100</v>
      </c>
      <c r="AT162" s="508" t="s">
        <v>762</v>
      </c>
      <c r="AV162" s="508" t="s">
        <v>763</v>
      </c>
      <c r="AX162" s="508" t="s">
        <v>3100</v>
      </c>
      <c r="AY162" s="508" t="s">
        <v>901</v>
      </c>
      <c r="AZ162" s="508">
        <v>0.5</v>
      </c>
      <c r="BA162" s="508" t="s">
        <v>46</v>
      </c>
      <c r="BB162" s="508" t="s">
        <v>19</v>
      </c>
      <c r="BC162" s="508">
        <v>8</v>
      </c>
      <c r="BD162" s="509">
        <v>46184</v>
      </c>
      <c r="BG162" s="508" t="s">
        <v>724</v>
      </c>
      <c r="BH162" s="508" t="s">
        <v>2940</v>
      </c>
      <c r="BI162" s="508">
        <v>145</v>
      </c>
      <c r="BJ162" s="508">
        <v>59</v>
      </c>
    </row>
    <row r="163" spans="1:62" s="508" customFormat="1" ht="14.25" hidden="1" customHeight="1" x14ac:dyDescent="0.2">
      <c r="A163" s="495" t="s">
        <v>102</v>
      </c>
      <c r="B163" s="496"/>
      <c r="C163" s="497">
        <f>Таблица3[[#This Row],[Степень зрелости вспом]]</f>
        <v>60</v>
      </c>
      <c r="D163" s="498">
        <v>249</v>
      </c>
      <c r="E163" s="499"/>
      <c r="F163" s="496"/>
      <c r="G163" s="496">
        <v>12830</v>
      </c>
      <c r="H163" s="500"/>
      <c r="I163" s="496">
        <v>11547</v>
      </c>
      <c r="J163" s="495" t="s">
        <v>2939</v>
      </c>
      <c r="K163" s="495" t="s">
        <v>901</v>
      </c>
      <c r="L163" s="495" t="s">
        <v>3248</v>
      </c>
      <c r="M163" s="495" t="s">
        <v>1792</v>
      </c>
      <c r="N163" s="495"/>
      <c r="O163" s="495"/>
      <c r="P163" s="495"/>
      <c r="Q163" s="495"/>
      <c r="R163" s="501" t="s">
        <v>80</v>
      </c>
      <c r="S163" s="495"/>
      <c r="T163" s="482" t="str">
        <f>VLOOKUP(Таблица3[[#This Row],[№ акта]],$AJ$1:$BJ$691,15,FALSE)</f>
        <v>А-24/1</v>
      </c>
      <c r="U163" s="482" t="str">
        <f>VLOOKUP(Таблица3[[#This Row],[№ акта]],$AJ$1:$BJ$691,16,FALSE)</f>
        <v>Фаворит</v>
      </c>
      <c r="V163" s="502">
        <f>VLOOKUP(Таблица3[[#This Row],[№ акта]],$AJ$1:$BJ$691,17,FALSE)</f>
        <v>1.6</v>
      </c>
      <c r="W163" s="502" t="str">
        <f>VLOOKUP(Таблица3[[#This Row],[№ акта]],$AJ$1:$BJ$691,18,FALSE)</f>
        <v>ГРК (богара)</v>
      </c>
      <c r="X163" s="502" t="str">
        <f>VLOOKUP(Таблица3[[#This Row],[№ акта]],$AJ$1:$BJ$691,19,FALSE)</f>
        <v>богара</v>
      </c>
      <c r="Y163" s="503">
        <f>VLOOKUP(Таблица3[[#This Row],[№ акта]],$AJ$1:$BJ$691,20,FALSE)</f>
        <v>8</v>
      </c>
      <c r="Z163" s="504">
        <f>VLOOKUP(Таблица3[[#This Row],[№ акта]],$AJ$1:$BJ$691,21,FALSE)</f>
        <v>46184</v>
      </c>
      <c r="AA163" s="504"/>
      <c r="AB163" s="504" t="str">
        <f>IF(VLOOKUP(Таблица3[[#This Row],[№ акта]],$AJ$1:$BJ$691,23,FALSE)&lt;&gt;0,VLOOKUP(Таблица3[[#This Row],[№ акта]],$AJ$1:$BJ$691,23,FALSE),"-")</f>
        <v>-</v>
      </c>
      <c r="AC16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63" s="506" t="s">
        <v>2940</v>
      </c>
      <c r="AE163" s="505">
        <v>160</v>
      </c>
      <c r="AF163" s="507">
        <v>46185</v>
      </c>
      <c r="AG163" s="505">
        <v>146</v>
      </c>
      <c r="AH163" s="505">
        <f>IFERROR(VLOOKUP(Таблица3[[#This Row],[№ акта]],'Степень зрелости 2026'!$H$12:$I$800,2,FALSE),)</f>
        <v>60</v>
      </c>
      <c r="AJ163" s="508">
        <v>160</v>
      </c>
      <c r="AK163" s="509">
        <v>46185</v>
      </c>
      <c r="AL163" s="508">
        <v>249</v>
      </c>
      <c r="AO163" s="508">
        <v>12830</v>
      </c>
      <c r="AP163" s="508">
        <v>11547</v>
      </c>
      <c r="AQ163" s="508" t="s">
        <v>2939</v>
      </c>
      <c r="AR163" s="508" t="s">
        <v>901</v>
      </c>
      <c r="AS163" s="508" t="s">
        <v>3248</v>
      </c>
      <c r="AT163" s="508" t="s">
        <v>1792</v>
      </c>
      <c r="AV163" s="508" t="s">
        <v>80</v>
      </c>
      <c r="AX163" s="508" t="s">
        <v>3100</v>
      </c>
      <c r="AY163" s="508" t="s">
        <v>901</v>
      </c>
      <c r="AZ163" s="508">
        <v>1.6</v>
      </c>
      <c r="BA163" s="508" t="s">
        <v>46</v>
      </c>
      <c r="BB163" s="508" t="s">
        <v>19</v>
      </c>
      <c r="BC163" s="508">
        <v>8</v>
      </c>
      <c r="BD163" s="509">
        <v>46184</v>
      </c>
      <c r="BG163" s="508" t="s">
        <v>724</v>
      </c>
      <c r="BH163" s="508" t="s">
        <v>2940</v>
      </c>
      <c r="BI163" s="508">
        <v>146</v>
      </c>
      <c r="BJ163" s="508">
        <v>60</v>
      </c>
    </row>
    <row r="164" spans="1:62" s="508" customFormat="1" ht="14.25" hidden="1" customHeight="1" x14ac:dyDescent="0.2">
      <c r="A164" s="495" t="s">
        <v>102</v>
      </c>
      <c r="B164" s="496"/>
      <c r="C164" s="497">
        <f>Таблица3[[#This Row],[Степень зрелости вспом]]</f>
        <v>61</v>
      </c>
      <c r="D164" s="498">
        <v>250</v>
      </c>
      <c r="E164" s="499"/>
      <c r="F164" s="496"/>
      <c r="G164" s="496">
        <v>12830</v>
      </c>
      <c r="H164" s="500"/>
      <c r="I164" s="496">
        <v>11226.2</v>
      </c>
      <c r="J164" s="495" t="s">
        <v>2939</v>
      </c>
      <c r="K164" s="495" t="s">
        <v>901</v>
      </c>
      <c r="L164" s="495" t="s">
        <v>3248</v>
      </c>
      <c r="M164" s="495" t="s">
        <v>1806</v>
      </c>
      <c r="N164" s="495"/>
      <c r="O164" s="495"/>
      <c r="P164" s="495"/>
      <c r="Q164" s="495"/>
      <c r="R164" s="501" t="s">
        <v>1807</v>
      </c>
      <c r="S164" s="495"/>
      <c r="T164" s="482" t="str">
        <f>VLOOKUP(Таблица3[[#This Row],[№ акта]],$AJ$1:$BJ$691,15,FALSE)</f>
        <v>А-24/1</v>
      </c>
      <c r="U164" s="482" t="str">
        <f>VLOOKUP(Таблица3[[#This Row],[№ акта]],$AJ$1:$BJ$691,16,FALSE)</f>
        <v>Фаворит</v>
      </c>
      <c r="V164" s="502">
        <f>VLOOKUP(Таблица3[[#This Row],[№ акта]],$AJ$1:$BJ$691,17,FALSE)</f>
        <v>1.6</v>
      </c>
      <c r="W164" s="502" t="str">
        <f>VLOOKUP(Таблица3[[#This Row],[№ акта]],$AJ$1:$BJ$691,18,FALSE)</f>
        <v>ГРК (богара)</v>
      </c>
      <c r="X164" s="502" t="str">
        <f>VLOOKUP(Таблица3[[#This Row],[№ акта]],$AJ$1:$BJ$691,19,FALSE)</f>
        <v>богара</v>
      </c>
      <c r="Y164" s="503">
        <f>VLOOKUP(Таблица3[[#This Row],[№ акта]],$AJ$1:$BJ$691,20,FALSE)</f>
        <v>8</v>
      </c>
      <c r="Z164" s="504">
        <f>VLOOKUP(Таблица3[[#This Row],[№ акта]],$AJ$1:$BJ$691,21,FALSE)</f>
        <v>46184</v>
      </c>
      <c r="AA164" s="504"/>
      <c r="AB164" s="504" t="str">
        <f>IF(VLOOKUP(Таблица3[[#This Row],[№ акта]],$AJ$1:$BJ$691,23,FALSE)&lt;&gt;0,VLOOKUP(Таблица3[[#This Row],[№ акта]],$AJ$1:$BJ$691,23,FALSE),"-")</f>
        <v>-</v>
      </c>
      <c r="AC16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64" s="506" t="s">
        <v>2940</v>
      </c>
      <c r="AE164" s="505">
        <v>161</v>
      </c>
      <c r="AF164" s="507">
        <v>46185</v>
      </c>
      <c r="AG164" s="505">
        <v>147</v>
      </c>
      <c r="AH164" s="505">
        <f>IFERROR(VLOOKUP(Таблица3[[#This Row],[№ акта]],'Степень зрелости 2026'!$H$12:$I$800,2,FALSE),)</f>
        <v>61</v>
      </c>
      <c r="AJ164" s="508">
        <v>161</v>
      </c>
      <c r="AK164" s="509">
        <v>46185</v>
      </c>
      <c r="AL164" s="508">
        <v>250</v>
      </c>
      <c r="AO164" s="508">
        <v>12830</v>
      </c>
      <c r="AP164" s="508">
        <v>11226.2</v>
      </c>
      <c r="AQ164" s="508" t="s">
        <v>2939</v>
      </c>
      <c r="AR164" s="508" t="s">
        <v>901</v>
      </c>
      <c r="AS164" s="508" t="s">
        <v>3248</v>
      </c>
      <c r="AT164" s="508" t="s">
        <v>1806</v>
      </c>
      <c r="AV164" s="508" t="s">
        <v>1807</v>
      </c>
      <c r="AX164" s="508" t="s">
        <v>3100</v>
      </c>
      <c r="AY164" s="508" t="s">
        <v>901</v>
      </c>
      <c r="AZ164" s="508">
        <v>1.6</v>
      </c>
      <c r="BA164" s="508" t="s">
        <v>46</v>
      </c>
      <c r="BB164" s="508" t="s">
        <v>19</v>
      </c>
      <c r="BC164" s="508">
        <v>8</v>
      </c>
      <c r="BD164" s="509">
        <v>46184</v>
      </c>
      <c r="BG164" s="508" t="s">
        <v>724</v>
      </c>
      <c r="BH164" s="508" t="s">
        <v>2940</v>
      </c>
      <c r="BI164" s="508">
        <v>147</v>
      </c>
      <c r="BJ164" s="508">
        <v>61</v>
      </c>
    </row>
    <row r="165" spans="1:62" s="508" customFormat="1" ht="14.25" hidden="1" customHeight="1" x14ac:dyDescent="0.2">
      <c r="A165" s="495" t="s">
        <v>102</v>
      </c>
      <c r="B165" s="496"/>
      <c r="C165" s="497">
        <f>Таблица3[[#This Row],[Степень зрелости вспом]]</f>
        <v>61</v>
      </c>
      <c r="D165" s="498">
        <v>251</v>
      </c>
      <c r="E165" s="499"/>
      <c r="F165" s="496"/>
      <c r="G165" s="496">
        <v>12860</v>
      </c>
      <c r="H165" s="500"/>
      <c r="I165" s="496">
        <v>11574</v>
      </c>
      <c r="J165" s="495" t="s">
        <v>2939</v>
      </c>
      <c r="K165" s="495" t="s">
        <v>901</v>
      </c>
      <c r="L165" s="495" t="s">
        <v>3248</v>
      </c>
      <c r="M165" s="495" t="s">
        <v>2967</v>
      </c>
      <c r="N165" s="495"/>
      <c r="O165" s="495"/>
      <c r="P165" s="495"/>
      <c r="Q165" s="495"/>
      <c r="R165" s="501" t="s">
        <v>1810</v>
      </c>
      <c r="S165" s="495"/>
      <c r="T165" s="482" t="str">
        <f>VLOOKUP(Таблица3[[#This Row],[№ акта]],$AJ$1:$BJ$691,15,FALSE)</f>
        <v>А-24/1</v>
      </c>
      <c r="U165" s="482" t="str">
        <f>VLOOKUP(Таблица3[[#This Row],[№ акта]],$AJ$1:$BJ$691,16,FALSE)</f>
        <v>Фаворит</v>
      </c>
      <c r="V165" s="502">
        <f>VLOOKUP(Таблица3[[#This Row],[№ акта]],$AJ$1:$BJ$691,17,FALSE)</f>
        <v>1.6</v>
      </c>
      <c r="W165" s="502" t="str">
        <f>VLOOKUP(Таблица3[[#This Row],[№ акта]],$AJ$1:$BJ$691,18,FALSE)</f>
        <v>ГРК (богара)</v>
      </c>
      <c r="X165" s="502" t="str">
        <f>VLOOKUP(Таблица3[[#This Row],[№ акта]],$AJ$1:$BJ$691,19,FALSE)</f>
        <v>богара</v>
      </c>
      <c r="Y165" s="503">
        <f>VLOOKUP(Таблица3[[#This Row],[№ акта]],$AJ$1:$BJ$691,20,FALSE)</f>
        <v>8</v>
      </c>
      <c r="Z165" s="504">
        <f>VLOOKUP(Таблица3[[#This Row],[№ акта]],$AJ$1:$BJ$691,21,FALSE)</f>
        <v>46184</v>
      </c>
      <c r="AA165" s="504"/>
      <c r="AB165" s="504" t="str">
        <f>IF(VLOOKUP(Таблица3[[#This Row],[№ акта]],$AJ$1:$BJ$691,23,FALSE)&lt;&gt;0,VLOOKUP(Таблица3[[#This Row],[№ акта]],$AJ$1:$BJ$691,23,FALSE),"-")</f>
        <v>-</v>
      </c>
      <c r="AC16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65" s="506" t="s">
        <v>2940</v>
      </c>
      <c r="AE165" s="505">
        <v>162</v>
      </c>
      <c r="AF165" s="507">
        <v>46185</v>
      </c>
      <c r="AG165" s="505">
        <v>148</v>
      </c>
      <c r="AH165" s="505">
        <f>IFERROR(VLOOKUP(Таблица3[[#This Row],[№ акта]],'Степень зрелости 2026'!$H$12:$I$800,2,FALSE),)</f>
        <v>61</v>
      </c>
      <c r="AJ165" s="508">
        <v>162</v>
      </c>
      <c r="AK165" s="509">
        <v>46185</v>
      </c>
      <c r="AL165" s="508">
        <v>251</v>
      </c>
      <c r="AO165" s="508">
        <v>12860</v>
      </c>
      <c r="AP165" s="508">
        <v>11574</v>
      </c>
      <c r="AQ165" s="508" t="s">
        <v>2939</v>
      </c>
      <c r="AR165" s="508" t="s">
        <v>901</v>
      </c>
      <c r="AS165" s="508" t="s">
        <v>3248</v>
      </c>
      <c r="AT165" s="508" t="s">
        <v>2967</v>
      </c>
      <c r="AV165" s="508" t="s">
        <v>1810</v>
      </c>
      <c r="AX165" s="508" t="s">
        <v>3100</v>
      </c>
      <c r="AY165" s="508" t="s">
        <v>901</v>
      </c>
      <c r="AZ165" s="508">
        <v>1.6</v>
      </c>
      <c r="BA165" s="508" t="s">
        <v>46</v>
      </c>
      <c r="BB165" s="508" t="s">
        <v>19</v>
      </c>
      <c r="BC165" s="508">
        <v>8</v>
      </c>
      <c r="BD165" s="509">
        <v>46184</v>
      </c>
      <c r="BG165" s="508" t="s">
        <v>724</v>
      </c>
      <c r="BH165" s="508" t="s">
        <v>2940</v>
      </c>
      <c r="BI165" s="508">
        <v>148</v>
      </c>
      <c r="BJ165" s="508">
        <v>61</v>
      </c>
    </row>
    <row r="166" spans="1:62" s="508" customFormat="1" ht="14.25" hidden="1" customHeight="1" x14ac:dyDescent="0.2">
      <c r="A166" s="495" t="s">
        <v>102</v>
      </c>
      <c r="B166" s="496"/>
      <c r="C166" s="497">
        <f>Таблица3[[#This Row],[Степень зрелости вспом]]</f>
        <v>59</v>
      </c>
      <c r="D166" s="498">
        <v>252</v>
      </c>
      <c r="E166" s="499"/>
      <c r="F166" s="496"/>
      <c r="G166" s="496">
        <v>12750</v>
      </c>
      <c r="H166" s="500"/>
      <c r="I166" s="496">
        <v>11921.3</v>
      </c>
      <c r="J166" s="495" t="s">
        <v>2939</v>
      </c>
      <c r="K166" s="495" t="s">
        <v>901</v>
      </c>
      <c r="L166" s="495" t="s">
        <v>3100</v>
      </c>
      <c r="M166" s="495" t="s">
        <v>347</v>
      </c>
      <c r="N166" s="495"/>
      <c r="O166" s="495"/>
      <c r="P166" s="495"/>
      <c r="Q166" s="495"/>
      <c r="R166" s="501" t="s">
        <v>137</v>
      </c>
      <c r="S166" s="495"/>
      <c r="T166" s="482" t="str">
        <f>VLOOKUP(Таблица3[[#This Row],[№ акта]],$AJ$1:$BJ$691,15,FALSE)</f>
        <v>А-24/1</v>
      </c>
      <c r="U166" s="482" t="str">
        <f>VLOOKUP(Таблица3[[#This Row],[№ акта]],$AJ$1:$BJ$691,16,FALSE)</f>
        <v>Фаворит</v>
      </c>
      <c r="V166" s="502">
        <f>VLOOKUP(Таблица3[[#This Row],[№ акта]],$AJ$1:$BJ$691,17,FALSE)</f>
        <v>1.6</v>
      </c>
      <c r="W166" s="502" t="str">
        <f>VLOOKUP(Таблица3[[#This Row],[№ акта]],$AJ$1:$BJ$691,18,FALSE)</f>
        <v>ГРК (богара)</v>
      </c>
      <c r="X166" s="502" t="str">
        <f>VLOOKUP(Таблица3[[#This Row],[№ акта]],$AJ$1:$BJ$691,19,FALSE)</f>
        <v>богара</v>
      </c>
      <c r="Y166" s="503">
        <f>VLOOKUP(Таблица3[[#This Row],[№ акта]],$AJ$1:$BJ$691,20,FALSE)</f>
        <v>8</v>
      </c>
      <c r="Z166" s="504">
        <f>VLOOKUP(Таблица3[[#This Row],[№ акта]],$AJ$1:$BJ$691,21,FALSE)</f>
        <v>46184</v>
      </c>
      <c r="AA166" s="504"/>
      <c r="AB166" s="504" t="str">
        <f>IF(VLOOKUP(Таблица3[[#This Row],[№ акта]],$AJ$1:$BJ$691,23,FALSE)&lt;&gt;0,VLOOKUP(Таблица3[[#This Row],[№ акта]],$AJ$1:$BJ$691,23,FALSE),"-")</f>
        <v>-</v>
      </c>
      <c r="AC16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66" s="506" t="s">
        <v>2940</v>
      </c>
      <c r="AE166" s="505">
        <v>163</v>
      </c>
      <c r="AF166" s="507">
        <v>46185</v>
      </c>
      <c r="AG166" s="505">
        <v>149</v>
      </c>
      <c r="AH166" s="505">
        <f>IFERROR(VLOOKUP(Таблица3[[#This Row],[№ акта]],'Степень зрелости 2026'!$H$12:$I$800,2,FALSE),)</f>
        <v>59</v>
      </c>
      <c r="AJ166" s="508">
        <v>163</v>
      </c>
      <c r="AK166" s="509">
        <v>46185</v>
      </c>
      <c r="AL166" s="508">
        <v>252</v>
      </c>
      <c r="AO166" s="508">
        <v>12750</v>
      </c>
      <c r="AP166" s="508">
        <v>11921.3</v>
      </c>
      <c r="AQ166" s="508" t="s">
        <v>2939</v>
      </c>
      <c r="AR166" s="508" t="s">
        <v>901</v>
      </c>
      <c r="AS166" s="508" t="s">
        <v>3100</v>
      </c>
      <c r="AT166" s="508" t="s">
        <v>347</v>
      </c>
      <c r="AV166" s="508" t="s">
        <v>137</v>
      </c>
      <c r="AX166" s="508" t="s">
        <v>3100</v>
      </c>
      <c r="AY166" s="508" t="s">
        <v>901</v>
      </c>
      <c r="AZ166" s="508">
        <v>1.6</v>
      </c>
      <c r="BA166" s="508" t="s">
        <v>46</v>
      </c>
      <c r="BB166" s="508" t="s">
        <v>19</v>
      </c>
      <c r="BC166" s="508">
        <v>8</v>
      </c>
      <c r="BD166" s="509">
        <v>46184</v>
      </c>
      <c r="BG166" s="508" t="s">
        <v>724</v>
      </c>
      <c r="BH166" s="508" t="s">
        <v>2940</v>
      </c>
      <c r="BI166" s="508">
        <v>149</v>
      </c>
      <c r="BJ166" s="508">
        <v>59</v>
      </c>
    </row>
    <row r="167" spans="1:62" s="508" customFormat="1" ht="14.25" hidden="1" customHeight="1" x14ac:dyDescent="0.2">
      <c r="A167" s="495" t="s">
        <v>102</v>
      </c>
      <c r="B167" s="496"/>
      <c r="C167" s="497">
        <f>Таблица3[[#This Row],[Степень зрелости вспом]]</f>
        <v>58</v>
      </c>
      <c r="D167" s="498">
        <v>253</v>
      </c>
      <c r="E167" s="499"/>
      <c r="F167" s="496"/>
      <c r="G167" s="496">
        <v>13000</v>
      </c>
      <c r="H167" s="500"/>
      <c r="I167" s="496">
        <v>11765</v>
      </c>
      <c r="J167" s="495" t="s">
        <v>2939</v>
      </c>
      <c r="K167" s="495" t="s">
        <v>901</v>
      </c>
      <c r="L167" s="495" t="s">
        <v>3100</v>
      </c>
      <c r="M167" s="495" t="s">
        <v>311</v>
      </c>
      <c r="N167" s="495"/>
      <c r="O167" s="495"/>
      <c r="P167" s="495"/>
      <c r="Q167" s="495"/>
      <c r="R167" s="501" t="s">
        <v>315</v>
      </c>
      <c r="S167" s="495"/>
      <c r="T167" s="482" t="str">
        <f>VLOOKUP(Таблица3[[#This Row],[№ акта]],$AJ$1:$BJ$691,15,FALSE)</f>
        <v>А-24/1</v>
      </c>
      <c r="U167" s="482" t="str">
        <f>VLOOKUP(Таблица3[[#This Row],[№ акта]],$AJ$1:$BJ$691,16,FALSE)</f>
        <v>Фаворит</v>
      </c>
      <c r="V167" s="502">
        <f>VLOOKUP(Таблица3[[#This Row],[№ акта]],$AJ$1:$BJ$691,17,FALSE)</f>
        <v>1.6</v>
      </c>
      <c r="W167" s="502" t="str">
        <f>VLOOKUP(Таблица3[[#This Row],[№ акта]],$AJ$1:$BJ$691,18,FALSE)</f>
        <v>ГРК (богара)</v>
      </c>
      <c r="X167" s="502" t="str">
        <f>VLOOKUP(Таблица3[[#This Row],[№ акта]],$AJ$1:$BJ$691,19,FALSE)</f>
        <v>богара</v>
      </c>
      <c r="Y167" s="503">
        <f>VLOOKUP(Таблица3[[#This Row],[№ акта]],$AJ$1:$BJ$691,20,FALSE)</f>
        <v>8</v>
      </c>
      <c r="Z167" s="504">
        <f>VLOOKUP(Таблица3[[#This Row],[№ акта]],$AJ$1:$BJ$691,21,FALSE)</f>
        <v>46184</v>
      </c>
      <c r="AA167" s="504"/>
      <c r="AB167" s="504" t="str">
        <f>IF(VLOOKUP(Таблица3[[#This Row],[№ акта]],$AJ$1:$BJ$691,23,FALSE)&lt;&gt;0,VLOOKUP(Таблица3[[#This Row],[№ акта]],$AJ$1:$BJ$691,23,FALSE),"-")</f>
        <v>-</v>
      </c>
      <c r="AC16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67" s="506" t="s">
        <v>2940</v>
      </c>
      <c r="AE167" s="505">
        <v>164</v>
      </c>
      <c r="AF167" s="507">
        <v>46185</v>
      </c>
      <c r="AG167" s="505">
        <v>150</v>
      </c>
      <c r="AH167" s="505">
        <f>IFERROR(VLOOKUP(Таблица3[[#This Row],[№ акта]],'Степень зрелости 2026'!$H$12:$I$800,2,FALSE),)</f>
        <v>58</v>
      </c>
      <c r="AJ167" s="508">
        <v>164</v>
      </c>
      <c r="AK167" s="509">
        <v>46185</v>
      </c>
      <c r="AL167" s="508">
        <v>253</v>
      </c>
      <c r="AO167" s="508">
        <v>13000</v>
      </c>
      <c r="AP167" s="508">
        <v>11765</v>
      </c>
      <c r="AQ167" s="508" t="s">
        <v>2939</v>
      </c>
      <c r="AR167" s="508" t="s">
        <v>901</v>
      </c>
      <c r="AS167" s="508" t="s">
        <v>3100</v>
      </c>
      <c r="AT167" s="508" t="s">
        <v>311</v>
      </c>
      <c r="AV167" s="508" t="s">
        <v>315</v>
      </c>
      <c r="AX167" s="508" t="s">
        <v>3100</v>
      </c>
      <c r="AY167" s="508" t="s">
        <v>901</v>
      </c>
      <c r="AZ167" s="508">
        <v>1.6</v>
      </c>
      <c r="BA167" s="508" t="s">
        <v>46</v>
      </c>
      <c r="BB167" s="508" t="s">
        <v>19</v>
      </c>
      <c r="BC167" s="508">
        <v>8</v>
      </c>
      <c r="BD167" s="509">
        <v>46184</v>
      </c>
      <c r="BG167" s="508" t="s">
        <v>724</v>
      </c>
      <c r="BH167" s="508" t="s">
        <v>2940</v>
      </c>
      <c r="BI167" s="508">
        <v>150</v>
      </c>
      <c r="BJ167" s="508">
        <v>58</v>
      </c>
    </row>
    <row r="168" spans="1:62" s="508" customFormat="1" ht="14.25" hidden="1" customHeight="1" x14ac:dyDescent="0.2">
      <c r="A168" s="495" t="s">
        <v>102</v>
      </c>
      <c r="B168" s="496"/>
      <c r="C168" s="497">
        <f>Таблица3[[#This Row],[Степень зрелости вспом]]</f>
        <v>57</v>
      </c>
      <c r="D168" s="498">
        <v>254</v>
      </c>
      <c r="E168" s="499"/>
      <c r="F168" s="496"/>
      <c r="G168" s="496">
        <v>4460</v>
      </c>
      <c r="H168" s="500"/>
      <c r="I168" s="496">
        <v>4125.5</v>
      </c>
      <c r="J168" s="495" t="s">
        <v>2939</v>
      </c>
      <c r="K168" s="495" t="s">
        <v>901</v>
      </c>
      <c r="L168" s="495" t="s">
        <v>3248</v>
      </c>
      <c r="M168" s="495" t="s">
        <v>762</v>
      </c>
      <c r="N168" s="495"/>
      <c r="O168" s="495"/>
      <c r="P168" s="495"/>
      <c r="Q168" s="495"/>
      <c r="R168" s="501" t="s">
        <v>763</v>
      </c>
      <c r="S168" s="495"/>
      <c r="T168" s="482" t="str">
        <f>VLOOKUP(Таблица3[[#This Row],[№ акта]],$AJ$1:$BJ$691,15,FALSE)</f>
        <v>А-24/1</v>
      </c>
      <c r="U168" s="482" t="str">
        <f>VLOOKUP(Таблица3[[#This Row],[№ акта]],$AJ$1:$BJ$691,16,FALSE)</f>
        <v>Фаворит</v>
      </c>
      <c r="V168" s="502">
        <f>VLOOKUP(Таблица3[[#This Row],[№ акта]],$AJ$1:$BJ$691,17,FALSE)</f>
        <v>0.6</v>
      </c>
      <c r="W168" s="502" t="str">
        <f>VLOOKUP(Таблица3[[#This Row],[№ акта]],$AJ$1:$BJ$691,18,FALSE)</f>
        <v>ГРК (богара)</v>
      </c>
      <c r="X168" s="502" t="str">
        <f>VLOOKUP(Таблица3[[#This Row],[№ акта]],$AJ$1:$BJ$691,19,FALSE)</f>
        <v>богара</v>
      </c>
      <c r="Y168" s="503">
        <f>VLOOKUP(Таблица3[[#This Row],[№ акта]],$AJ$1:$BJ$691,20,FALSE)</f>
        <v>8</v>
      </c>
      <c r="Z168" s="504">
        <f>VLOOKUP(Таблица3[[#This Row],[№ акта]],$AJ$1:$BJ$691,21,FALSE)</f>
        <v>46184</v>
      </c>
      <c r="AA168" s="504"/>
      <c r="AB168" s="504" t="str">
        <f>IF(VLOOKUP(Таблица3[[#This Row],[№ акта]],$AJ$1:$BJ$691,23,FALSE)&lt;&gt;0,VLOOKUP(Таблица3[[#This Row],[№ акта]],$AJ$1:$BJ$691,23,FALSE),"-")</f>
        <v>-</v>
      </c>
      <c r="AC16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68" s="506" t="s">
        <v>2940</v>
      </c>
      <c r="AE168" s="505">
        <v>165</v>
      </c>
      <c r="AF168" s="507">
        <v>46185</v>
      </c>
      <c r="AG168" s="505">
        <v>151</v>
      </c>
      <c r="AH168" s="505">
        <f>IFERROR(VLOOKUP(Таблица3[[#This Row],[№ акта]],'Степень зрелости 2026'!$H$12:$I$800,2,FALSE),)</f>
        <v>57</v>
      </c>
      <c r="AJ168" s="508">
        <v>165</v>
      </c>
      <c r="AK168" s="509">
        <v>46185</v>
      </c>
      <c r="AL168" s="508">
        <v>254</v>
      </c>
      <c r="AO168" s="508">
        <v>4460</v>
      </c>
      <c r="AP168" s="508">
        <v>4125.5</v>
      </c>
      <c r="AQ168" s="508" t="s">
        <v>2939</v>
      </c>
      <c r="AR168" s="508" t="s">
        <v>901</v>
      </c>
      <c r="AS168" s="508" t="s">
        <v>3248</v>
      </c>
      <c r="AT168" s="508" t="s">
        <v>762</v>
      </c>
      <c r="AV168" s="508" t="s">
        <v>763</v>
      </c>
      <c r="AX168" s="508" t="s">
        <v>3100</v>
      </c>
      <c r="AY168" s="508" t="s">
        <v>901</v>
      </c>
      <c r="AZ168" s="508">
        <v>0.6</v>
      </c>
      <c r="BA168" s="508" t="s">
        <v>46</v>
      </c>
      <c r="BB168" s="508" t="s">
        <v>19</v>
      </c>
      <c r="BC168" s="508">
        <v>8</v>
      </c>
      <c r="BD168" s="509">
        <v>46184</v>
      </c>
      <c r="BG168" s="508" t="s">
        <v>724</v>
      </c>
      <c r="BH168" s="508" t="s">
        <v>2940</v>
      </c>
      <c r="BI168" s="508">
        <v>151</v>
      </c>
      <c r="BJ168" s="508">
        <v>57</v>
      </c>
    </row>
    <row r="169" spans="1:62" s="508" customFormat="1" ht="14.25" hidden="1" customHeight="1" x14ac:dyDescent="0.2">
      <c r="A169" s="495" t="s">
        <v>102</v>
      </c>
      <c r="B169" s="496"/>
      <c r="C169" s="497">
        <f>Таблица3[[#This Row],[Степень зрелости вспом]]</f>
        <v>59</v>
      </c>
      <c r="D169" s="498">
        <v>255</v>
      </c>
      <c r="E169" s="499"/>
      <c r="F169" s="496"/>
      <c r="G169" s="496">
        <v>13010</v>
      </c>
      <c r="H169" s="500"/>
      <c r="I169" s="496">
        <v>11904.1</v>
      </c>
      <c r="J169" s="495" t="s">
        <v>2939</v>
      </c>
      <c r="K169" s="495" t="s">
        <v>901</v>
      </c>
      <c r="L169" s="495" t="s">
        <v>3248</v>
      </c>
      <c r="M169" s="495" t="s">
        <v>1792</v>
      </c>
      <c r="N169" s="495"/>
      <c r="O169" s="495"/>
      <c r="P169" s="495"/>
      <c r="Q169" s="495"/>
      <c r="R169" s="501" t="s">
        <v>80</v>
      </c>
      <c r="S169" s="495"/>
      <c r="T169" s="482" t="str">
        <f>VLOOKUP(Таблица3[[#This Row],[№ акта]],$AJ$1:$BJ$691,15,FALSE)</f>
        <v>А-24/1</v>
      </c>
      <c r="U169" s="482" t="str">
        <f>VLOOKUP(Таблица3[[#This Row],[№ акта]],$AJ$1:$BJ$691,16,FALSE)</f>
        <v>Фаворит</v>
      </c>
      <c r="V169" s="502">
        <f>VLOOKUP(Таблица3[[#This Row],[№ акта]],$AJ$1:$BJ$691,17,FALSE)</f>
        <v>1.7</v>
      </c>
      <c r="W169" s="502" t="str">
        <f>VLOOKUP(Таблица3[[#This Row],[№ акта]],$AJ$1:$BJ$691,18,FALSE)</f>
        <v>ГРК (богара)</v>
      </c>
      <c r="X169" s="502" t="str">
        <f>VLOOKUP(Таблица3[[#This Row],[№ акта]],$AJ$1:$BJ$691,19,FALSE)</f>
        <v>богара</v>
      </c>
      <c r="Y169" s="503">
        <f>VLOOKUP(Таблица3[[#This Row],[№ акта]],$AJ$1:$BJ$691,20,FALSE)</f>
        <v>8</v>
      </c>
      <c r="Z169" s="504">
        <f>VLOOKUP(Таблица3[[#This Row],[№ акта]],$AJ$1:$BJ$691,21,FALSE)</f>
        <v>46184</v>
      </c>
      <c r="AA169" s="504"/>
      <c r="AB169" s="504" t="str">
        <f>IF(VLOOKUP(Таблица3[[#This Row],[№ акта]],$AJ$1:$BJ$691,23,FALSE)&lt;&gt;0,VLOOKUP(Таблица3[[#This Row],[№ акта]],$AJ$1:$BJ$691,23,FALSE),"-")</f>
        <v>-</v>
      </c>
      <c r="AC16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69" s="506" t="s">
        <v>2940</v>
      </c>
      <c r="AE169" s="505">
        <v>166</v>
      </c>
      <c r="AF169" s="507">
        <v>46185</v>
      </c>
      <c r="AG169" s="505">
        <v>152</v>
      </c>
      <c r="AH169" s="505">
        <f>IFERROR(VLOOKUP(Таблица3[[#This Row],[№ акта]],'Степень зрелости 2026'!$H$12:$I$800,2,FALSE),)</f>
        <v>59</v>
      </c>
      <c r="AJ169" s="508">
        <v>166</v>
      </c>
      <c r="AK169" s="509">
        <v>46185</v>
      </c>
      <c r="AL169" s="508">
        <v>255</v>
      </c>
      <c r="AO169" s="508">
        <v>13010</v>
      </c>
      <c r="AP169" s="508">
        <v>11904.1</v>
      </c>
      <c r="AQ169" s="508" t="s">
        <v>2939</v>
      </c>
      <c r="AR169" s="508" t="s">
        <v>901</v>
      </c>
      <c r="AS169" s="508" t="s">
        <v>3248</v>
      </c>
      <c r="AT169" s="508" t="s">
        <v>1792</v>
      </c>
      <c r="AV169" s="508" t="s">
        <v>80</v>
      </c>
      <c r="AX169" s="508" t="s">
        <v>3100</v>
      </c>
      <c r="AY169" s="508" t="s">
        <v>901</v>
      </c>
      <c r="AZ169" s="508">
        <v>1.7</v>
      </c>
      <c r="BA169" s="508" t="s">
        <v>46</v>
      </c>
      <c r="BB169" s="508" t="s">
        <v>19</v>
      </c>
      <c r="BC169" s="508">
        <v>8</v>
      </c>
      <c r="BD169" s="509">
        <v>46184</v>
      </c>
      <c r="BG169" s="508" t="s">
        <v>724</v>
      </c>
      <c r="BH169" s="508" t="s">
        <v>2940</v>
      </c>
      <c r="BI169" s="508">
        <v>152</v>
      </c>
      <c r="BJ169" s="508">
        <v>59</v>
      </c>
    </row>
    <row r="170" spans="1:62" s="508" customFormat="1" ht="14.25" hidden="1" customHeight="1" x14ac:dyDescent="0.2">
      <c r="A170" s="495" t="s">
        <v>102</v>
      </c>
      <c r="B170" s="496"/>
      <c r="C170" s="497">
        <f>Таблица3[[#This Row],[Степень зрелости вспом]]</f>
        <v>58</v>
      </c>
      <c r="D170" s="498">
        <v>256</v>
      </c>
      <c r="E170" s="499"/>
      <c r="F170" s="496"/>
      <c r="G170" s="496">
        <v>13120</v>
      </c>
      <c r="H170" s="500"/>
      <c r="I170" s="496">
        <v>11676.8</v>
      </c>
      <c r="J170" s="495" t="s">
        <v>2939</v>
      </c>
      <c r="K170" s="495" t="s">
        <v>901</v>
      </c>
      <c r="L170" s="495" t="s">
        <v>3100</v>
      </c>
      <c r="M170" s="495" t="s">
        <v>1312</v>
      </c>
      <c r="N170" s="495"/>
      <c r="O170" s="495"/>
      <c r="P170" s="495"/>
      <c r="Q170" s="495"/>
      <c r="R170" s="501" t="s">
        <v>320</v>
      </c>
      <c r="S170" s="495"/>
      <c r="T170" s="482" t="str">
        <f>VLOOKUP(Таблица3[[#This Row],[№ акта]],$AJ$1:$BJ$691,15,FALSE)</f>
        <v>А-24/1</v>
      </c>
      <c r="U170" s="482" t="str">
        <f>VLOOKUP(Таблица3[[#This Row],[№ акта]],$AJ$1:$BJ$691,16,FALSE)</f>
        <v>Фаворит</v>
      </c>
      <c r="V170" s="502">
        <f>VLOOKUP(Таблица3[[#This Row],[№ акта]],$AJ$1:$BJ$691,17,FALSE)</f>
        <v>2.1</v>
      </c>
      <c r="W170" s="502" t="str">
        <f>VLOOKUP(Таблица3[[#This Row],[№ акта]],$AJ$1:$BJ$691,18,FALSE)</f>
        <v>ГРК (богара)</v>
      </c>
      <c r="X170" s="502" t="str">
        <f>VLOOKUP(Таблица3[[#This Row],[№ акта]],$AJ$1:$BJ$691,19,FALSE)</f>
        <v>богара</v>
      </c>
      <c r="Y170" s="503">
        <f>VLOOKUP(Таблица3[[#This Row],[№ акта]],$AJ$1:$BJ$691,20,FALSE)</f>
        <v>9</v>
      </c>
      <c r="Z170" s="504">
        <f>VLOOKUP(Таблица3[[#This Row],[№ акта]],$AJ$1:$BJ$691,21,FALSE)</f>
        <v>46185</v>
      </c>
      <c r="AA170" s="504"/>
      <c r="AB170" s="504" t="str">
        <f>IF(VLOOKUP(Таблица3[[#This Row],[№ акта]],$AJ$1:$BJ$691,23,FALSE)&lt;&gt;0,VLOOKUP(Таблица3[[#This Row],[№ акта]],$AJ$1:$BJ$691,23,FALSE),"-")</f>
        <v>-</v>
      </c>
      <c r="AC17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70" s="506" t="s">
        <v>2940</v>
      </c>
      <c r="AE170" s="505">
        <v>167</v>
      </c>
      <c r="AF170" s="507">
        <v>46185</v>
      </c>
      <c r="AG170" s="505">
        <v>153</v>
      </c>
      <c r="AH170" s="505">
        <f>IFERROR(VLOOKUP(Таблица3[[#This Row],[№ акта]],'Степень зрелости 2026'!$H$12:$I$800,2,FALSE),)</f>
        <v>58</v>
      </c>
      <c r="AJ170" s="508">
        <v>167</v>
      </c>
      <c r="AK170" s="509">
        <v>46185</v>
      </c>
      <c r="AL170" s="508">
        <v>256</v>
      </c>
      <c r="AO170" s="508">
        <v>13120</v>
      </c>
      <c r="AP170" s="508">
        <v>11676.8</v>
      </c>
      <c r="AQ170" s="508" t="s">
        <v>2939</v>
      </c>
      <c r="AR170" s="508" t="s">
        <v>901</v>
      </c>
      <c r="AS170" s="508" t="s">
        <v>3100</v>
      </c>
      <c r="AT170" s="508" t="s">
        <v>1312</v>
      </c>
      <c r="AV170" s="508" t="s">
        <v>320</v>
      </c>
      <c r="AX170" s="508" t="s">
        <v>3100</v>
      </c>
      <c r="AY170" s="508" t="s">
        <v>901</v>
      </c>
      <c r="AZ170" s="508">
        <v>2.1</v>
      </c>
      <c r="BA170" s="508" t="s">
        <v>46</v>
      </c>
      <c r="BB170" s="508" t="s">
        <v>19</v>
      </c>
      <c r="BC170" s="508">
        <v>9</v>
      </c>
      <c r="BD170" s="509">
        <v>46185</v>
      </c>
      <c r="BG170" s="508" t="s">
        <v>724</v>
      </c>
      <c r="BH170" s="508" t="s">
        <v>2940</v>
      </c>
      <c r="BI170" s="508">
        <v>153</v>
      </c>
      <c r="BJ170" s="508">
        <v>58</v>
      </c>
    </row>
    <row r="171" spans="1:62" s="508" customFormat="1" ht="14.25" hidden="1" customHeight="1" x14ac:dyDescent="0.2">
      <c r="A171" s="495" t="s">
        <v>102</v>
      </c>
      <c r="B171" s="496"/>
      <c r="C171" s="497">
        <f>Таблица3[[#This Row],[Степень зрелости вспом]]</f>
        <v>59</v>
      </c>
      <c r="D171" s="498">
        <v>257</v>
      </c>
      <c r="E171" s="499"/>
      <c r="F171" s="496"/>
      <c r="G171" s="496">
        <v>13180</v>
      </c>
      <c r="H171" s="500"/>
      <c r="I171" s="496">
        <v>12059.7</v>
      </c>
      <c r="J171" s="495" t="s">
        <v>2939</v>
      </c>
      <c r="K171" s="495" t="s">
        <v>901</v>
      </c>
      <c r="L171" s="495" t="s">
        <v>3100</v>
      </c>
      <c r="M171" s="495" t="s">
        <v>894</v>
      </c>
      <c r="N171" s="495"/>
      <c r="O171" s="495"/>
      <c r="P171" s="495"/>
      <c r="Q171" s="495"/>
      <c r="R171" s="501" t="s">
        <v>895</v>
      </c>
      <c r="S171" s="495"/>
      <c r="T171" s="482" t="str">
        <f>VLOOKUP(Таблица3[[#This Row],[№ акта]],$AJ$1:$BJ$691,15,FALSE)</f>
        <v>А-24/1</v>
      </c>
      <c r="U171" s="482" t="str">
        <f>VLOOKUP(Таблица3[[#This Row],[№ акта]],$AJ$1:$BJ$691,16,FALSE)</f>
        <v>Фаворит</v>
      </c>
      <c r="V171" s="502">
        <f>VLOOKUP(Таблица3[[#This Row],[№ акта]],$AJ$1:$BJ$691,17,FALSE)</f>
        <v>2.2000000000000002</v>
      </c>
      <c r="W171" s="502" t="str">
        <f>VLOOKUP(Таблица3[[#This Row],[№ акта]],$AJ$1:$BJ$691,18,FALSE)</f>
        <v>ГРК (богара)</v>
      </c>
      <c r="X171" s="502" t="str">
        <f>VLOOKUP(Таблица3[[#This Row],[№ акта]],$AJ$1:$BJ$691,19,FALSE)</f>
        <v>богара</v>
      </c>
      <c r="Y171" s="503">
        <f>VLOOKUP(Таблица3[[#This Row],[№ акта]],$AJ$1:$BJ$691,20,FALSE)</f>
        <v>9</v>
      </c>
      <c r="Z171" s="504">
        <f>VLOOKUP(Таблица3[[#This Row],[№ акта]],$AJ$1:$BJ$691,21,FALSE)</f>
        <v>46185</v>
      </c>
      <c r="AA171" s="504"/>
      <c r="AB171" s="504" t="str">
        <f>IF(VLOOKUP(Таблица3[[#This Row],[№ акта]],$AJ$1:$BJ$691,23,FALSE)&lt;&gt;0,VLOOKUP(Таблица3[[#This Row],[№ акта]],$AJ$1:$BJ$691,23,FALSE),"-")</f>
        <v>-</v>
      </c>
      <c r="AC17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71" s="506" t="s">
        <v>2940</v>
      </c>
      <c r="AE171" s="505">
        <v>168</v>
      </c>
      <c r="AF171" s="507">
        <v>46185</v>
      </c>
      <c r="AG171" s="505">
        <v>154</v>
      </c>
      <c r="AH171" s="505">
        <f>IFERROR(VLOOKUP(Таблица3[[#This Row],[№ акта]],'Степень зрелости 2026'!$H$12:$I$800,2,FALSE),)</f>
        <v>59</v>
      </c>
      <c r="AJ171" s="508">
        <v>168</v>
      </c>
      <c r="AK171" s="509">
        <v>46185</v>
      </c>
      <c r="AL171" s="508">
        <v>257</v>
      </c>
      <c r="AO171" s="508">
        <v>13180</v>
      </c>
      <c r="AP171" s="508">
        <v>12059.7</v>
      </c>
      <c r="AQ171" s="508" t="s">
        <v>2939</v>
      </c>
      <c r="AR171" s="508" t="s">
        <v>901</v>
      </c>
      <c r="AS171" s="508" t="s">
        <v>3100</v>
      </c>
      <c r="AT171" s="508" t="s">
        <v>894</v>
      </c>
      <c r="AV171" s="508" t="s">
        <v>895</v>
      </c>
      <c r="AX171" s="508" t="s">
        <v>3100</v>
      </c>
      <c r="AY171" s="508" t="s">
        <v>901</v>
      </c>
      <c r="AZ171" s="508">
        <v>2.2000000000000002</v>
      </c>
      <c r="BA171" s="508" t="s">
        <v>46</v>
      </c>
      <c r="BB171" s="508" t="s">
        <v>19</v>
      </c>
      <c r="BC171" s="508">
        <v>9</v>
      </c>
      <c r="BD171" s="509">
        <v>46185</v>
      </c>
      <c r="BG171" s="508" t="s">
        <v>724</v>
      </c>
      <c r="BH171" s="508" t="s">
        <v>2940</v>
      </c>
      <c r="BI171" s="508">
        <v>154</v>
      </c>
      <c r="BJ171" s="508">
        <v>59</v>
      </c>
    </row>
    <row r="172" spans="1:62" s="508" customFormat="1" ht="14.25" hidden="1" customHeight="1" x14ac:dyDescent="0.2">
      <c r="A172" s="495" t="s">
        <v>102</v>
      </c>
      <c r="B172" s="496"/>
      <c r="C172" s="497">
        <f>Таблица3[[#This Row],[Степень зрелости вспом]]</f>
        <v>59</v>
      </c>
      <c r="D172" s="498">
        <v>258</v>
      </c>
      <c r="E172" s="499"/>
      <c r="F172" s="496"/>
      <c r="G172" s="496">
        <v>12820</v>
      </c>
      <c r="H172" s="500"/>
      <c r="I172" s="496">
        <v>11025.2</v>
      </c>
      <c r="J172" s="495" t="s">
        <v>2939</v>
      </c>
      <c r="K172" s="495" t="s">
        <v>901</v>
      </c>
      <c r="L172" s="495" t="s">
        <v>3100</v>
      </c>
      <c r="M172" s="495" t="s">
        <v>121</v>
      </c>
      <c r="N172" s="495"/>
      <c r="O172" s="495"/>
      <c r="P172" s="495"/>
      <c r="Q172" s="495"/>
      <c r="R172" s="501" t="s">
        <v>125</v>
      </c>
      <c r="S172" s="495"/>
      <c r="T172" s="482" t="str">
        <f>VLOOKUP(Таблица3[[#This Row],[№ акта]],$AJ$1:$BJ$691,15,FALSE)</f>
        <v>А-24/1</v>
      </c>
      <c r="U172" s="482" t="str">
        <f>VLOOKUP(Таблица3[[#This Row],[№ акта]],$AJ$1:$BJ$691,16,FALSE)</f>
        <v>Фаворит</v>
      </c>
      <c r="V172" s="502">
        <f>VLOOKUP(Таблица3[[#This Row],[№ акта]],$AJ$1:$BJ$691,17,FALSE)</f>
        <v>2.1</v>
      </c>
      <c r="W172" s="502" t="str">
        <f>VLOOKUP(Таблица3[[#This Row],[№ акта]],$AJ$1:$BJ$691,18,FALSE)</f>
        <v>ГРК (богара)</v>
      </c>
      <c r="X172" s="502" t="str">
        <f>VLOOKUP(Таблица3[[#This Row],[№ акта]],$AJ$1:$BJ$691,19,FALSE)</f>
        <v>богара</v>
      </c>
      <c r="Y172" s="503">
        <f>VLOOKUP(Таблица3[[#This Row],[№ акта]],$AJ$1:$BJ$691,20,FALSE)</f>
        <v>9</v>
      </c>
      <c r="Z172" s="504">
        <f>VLOOKUP(Таблица3[[#This Row],[№ акта]],$AJ$1:$BJ$691,21,FALSE)</f>
        <v>46185</v>
      </c>
      <c r="AA172" s="504"/>
      <c r="AB172" s="504" t="str">
        <f>IF(VLOOKUP(Таблица3[[#This Row],[№ акта]],$AJ$1:$BJ$691,23,FALSE)&lt;&gt;0,VLOOKUP(Таблица3[[#This Row],[№ акта]],$AJ$1:$BJ$691,23,FALSE),"-")</f>
        <v>-</v>
      </c>
      <c r="AC17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72" s="506" t="s">
        <v>2940</v>
      </c>
      <c r="AE172" s="505">
        <v>169</v>
      </c>
      <c r="AF172" s="507">
        <v>46185</v>
      </c>
      <c r="AG172" s="505">
        <v>155</v>
      </c>
      <c r="AH172" s="505">
        <f>IFERROR(VLOOKUP(Таблица3[[#This Row],[№ акта]],'Степень зрелости 2026'!$H$12:$I$800,2,FALSE),)</f>
        <v>59</v>
      </c>
      <c r="AJ172" s="508">
        <v>169</v>
      </c>
      <c r="AK172" s="509">
        <v>46185</v>
      </c>
      <c r="AL172" s="508">
        <v>258</v>
      </c>
      <c r="AO172" s="508">
        <v>12820</v>
      </c>
      <c r="AP172" s="508">
        <v>11025.2</v>
      </c>
      <c r="AQ172" s="508" t="s">
        <v>2939</v>
      </c>
      <c r="AR172" s="508" t="s">
        <v>901</v>
      </c>
      <c r="AS172" s="508" t="s">
        <v>3100</v>
      </c>
      <c r="AT172" s="508" t="s">
        <v>121</v>
      </c>
      <c r="AV172" s="508" t="s">
        <v>125</v>
      </c>
      <c r="AX172" s="508" t="s">
        <v>3100</v>
      </c>
      <c r="AY172" s="508" t="s">
        <v>901</v>
      </c>
      <c r="AZ172" s="508">
        <v>2.1</v>
      </c>
      <c r="BA172" s="508" t="s">
        <v>46</v>
      </c>
      <c r="BB172" s="508" t="s">
        <v>19</v>
      </c>
      <c r="BC172" s="508">
        <v>9</v>
      </c>
      <c r="BD172" s="509">
        <v>46185</v>
      </c>
      <c r="BG172" s="508" t="s">
        <v>724</v>
      </c>
      <c r="BH172" s="508" t="s">
        <v>2940</v>
      </c>
      <c r="BI172" s="508">
        <v>155</v>
      </c>
      <c r="BJ172" s="508">
        <v>59</v>
      </c>
    </row>
    <row r="173" spans="1:62" s="508" customFormat="1" ht="14.25" hidden="1" customHeight="1" x14ac:dyDescent="0.2">
      <c r="A173" s="495" t="s">
        <v>102</v>
      </c>
      <c r="B173" s="496"/>
      <c r="C173" s="497">
        <f>Таблица3[[#This Row],[Степень зрелости вспом]]</f>
        <v>56</v>
      </c>
      <c r="D173" s="498">
        <v>260</v>
      </c>
      <c r="E173" s="499"/>
      <c r="F173" s="496"/>
      <c r="G173" s="496">
        <v>4390</v>
      </c>
      <c r="H173" s="500"/>
      <c r="I173" s="496">
        <v>3687.6</v>
      </c>
      <c r="J173" s="495" t="s">
        <v>2939</v>
      </c>
      <c r="K173" s="495" t="s">
        <v>901</v>
      </c>
      <c r="L173" s="495" t="s">
        <v>3100</v>
      </c>
      <c r="M173" s="495" t="s">
        <v>737</v>
      </c>
      <c r="N173" s="495"/>
      <c r="O173" s="495"/>
      <c r="P173" s="495"/>
      <c r="Q173" s="495"/>
      <c r="R173" s="501" t="s">
        <v>738</v>
      </c>
      <c r="S173" s="495"/>
      <c r="T173" s="482" t="str">
        <f>VLOOKUP(Таблица3[[#This Row],[№ акта]],$AJ$1:$BJ$691,15,FALSE)</f>
        <v>А-24/1</v>
      </c>
      <c r="U173" s="482" t="str">
        <f>VLOOKUP(Таблица3[[#This Row],[№ акта]],$AJ$1:$BJ$691,16,FALSE)</f>
        <v>Фаворит</v>
      </c>
      <c r="V173" s="502">
        <f>VLOOKUP(Таблица3[[#This Row],[№ акта]],$AJ$1:$BJ$691,17,FALSE)</f>
        <v>0.7</v>
      </c>
      <c r="W173" s="502" t="str">
        <f>VLOOKUP(Таблица3[[#This Row],[№ акта]],$AJ$1:$BJ$691,18,FALSE)</f>
        <v>ГРК (богара)</v>
      </c>
      <c r="X173" s="502" t="str">
        <f>VLOOKUP(Таблица3[[#This Row],[№ акта]],$AJ$1:$BJ$691,19,FALSE)</f>
        <v>богара</v>
      </c>
      <c r="Y173" s="503">
        <f>VLOOKUP(Таблица3[[#This Row],[№ акта]],$AJ$1:$BJ$691,20,FALSE)</f>
        <v>9</v>
      </c>
      <c r="Z173" s="504">
        <f>VLOOKUP(Таблица3[[#This Row],[№ акта]],$AJ$1:$BJ$691,21,FALSE)</f>
        <v>46185</v>
      </c>
      <c r="AA173" s="504"/>
      <c r="AB173" s="504" t="str">
        <f>IF(VLOOKUP(Таблица3[[#This Row],[№ акта]],$AJ$1:$BJ$691,23,FALSE)&lt;&gt;0,VLOOKUP(Таблица3[[#This Row],[№ акта]],$AJ$1:$BJ$691,23,FALSE),"-")</f>
        <v>-</v>
      </c>
      <c r="AC17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73" s="506" t="s">
        <v>2940</v>
      </c>
      <c r="AE173" s="505">
        <v>170</v>
      </c>
      <c r="AF173" s="507">
        <v>46185</v>
      </c>
      <c r="AG173" s="505">
        <v>156</v>
      </c>
      <c r="AH173" s="505">
        <f>IFERROR(VLOOKUP(Таблица3[[#This Row],[№ акта]],'Степень зрелости 2026'!$H$12:$I$800,2,FALSE),)</f>
        <v>56</v>
      </c>
      <c r="AJ173" s="508">
        <v>170</v>
      </c>
      <c r="AK173" s="509">
        <v>46185</v>
      </c>
      <c r="AL173" s="508">
        <v>260</v>
      </c>
      <c r="AO173" s="508">
        <v>4390</v>
      </c>
      <c r="AP173" s="508">
        <v>3687.6</v>
      </c>
      <c r="AQ173" s="508" t="s">
        <v>2939</v>
      </c>
      <c r="AR173" s="508" t="s">
        <v>901</v>
      </c>
      <c r="AS173" s="508" t="s">
        <v>3100</v>
      </c>
      <c r="AT173" s="508" t="s">
        <v>737</v>
      </c>
      <c r="AV173" s="508" t="s">
        <v>738</v>
      </c>
      <c r="AX173" s="508" t="s">
        <v>3100</v>
      </c>
      <c r="AY173" s="508" t="s">
        <v>901</v>
      </c>
      <c r="AZ173" s="508">
        <v>0.7</v>
      </c>
      <c r="BA173" s="508" t="s">
        <v>46</v>
      </c>
      <c r="BB173" s="508" t="s">
        <v>19</v>
      </c>
      <c r="BC173" s="508">
        <v>9</v>
      </c>
      <c r="BD173" s="509">
        <v>46185</v>
      </c>
      <c r="BG173" s="508" t="s">
        <v>724</v>
      </c>
      <c r="BH173" s="508" t="s">
        <v>2940</v>
      </c>
      <c r="BI173" s="508">
        <v>156</v>
      </c>
      <c r="BJ173" s="508">
        <v>56</v>
      </c>
    </row>
    <row r="174" spans="1:62" s="508" customFormat="1" ht="14.25" hidden="1" customHeight="1" x14ac:dyDescent="0.2">
      <c r="A174" s="495" t="s">
        <v>102</v>
      </c>
      <c r="B174" s="496"/>
      <c r="C174" s="497">
        <f>Таблица3[[#This Row],[Степень зрелости вспом]]</f>
        <v>58</v>
      </c>
      <c r="D174" s="498">
        <v>261</v>
      </c>
      <c r="E174" s="499"/>
      <c r="F174" s="496"/>
      <c r="G174" s="496">
        <v>12980</v>
      </c>
      <c r="H174" s="500"/>
      <c r="I174" s="496">
        <v>11682</v>
      </c>
      <c r="J174" s="495" t="s">
        <v>2939</v>
      </c>
      <c r="K174" s="495" t="s">
        <v>901</v>
      </c>
      <c r="L174" s="495" t="s">
        <v>3100</v>
      </c>
      <c r="M174" s="495" t="s">
        <v>127</v>
      </c>
      <c r="N174" s="495"/>
      <c r="O174" s="495"/>
      <c r="P174" s="495"/>
      <c r="Q174" s="495"/>
      <c r="R174" s="501" t="s">
        <v>131</v>
      </c>
      <c r="S174" s="495"/>
      <c r="T174" s="482" t="str">
        <f>VLOOKUP(Таблица3[[#This Row],[№ акта]],$AJ$1:$BJ$691,15,FALSE)</f>
        <v>А-24/1</v>
      </c>
      <c r="U174" s="482" t="str">
        <f>VLOOKUP(Таблица3[[#This Row],[№ акта]],$AJ$1:$BJ$691,16,FALSE)</f>
        <v>Фаворит</v>
      </c>
      <c r="V174" s="502">
        <f>VLOOKUP(Таблица3[[#This Row],[№ акта]],$AJ$1:$BJ$691,17,FALSE)</f>
        <v>2.1</v>
      </c>
      <c r="W174" s="502" t="str">
        <f>VLOOKUP(Таблица3[[#This Row],[№ акта]],$AJ$1:$BJ$691,18,FALSE)</f>
        <v>ГРК (богара)</v>
      </c>
      <c r="X174" s="502" t="str">
        <f>VLOOKUP(Таблица3[[#This Row],[№ акта]],$AJ$1:$BJ$691,19,FALSE)</f>
        <v>богара</v>
      </c>
      <c r="Y174" s="503">
        <f>VLOOKUP(Таблица3[[#This Row],[№ акта]],$AJ$1:$BJ$691,20,FALSE)</f>
        <v>9</v>
      </c>
      <c r="Z174" s="504">
        <f>VLOOKUP(Таблица3[[#This Row],[№ акта]],$AJ$1:$BJ$691,21,FALSE)</f>
        <v>46185</v>
      </c>
      <c r="AA174" s="504"/>
      <c r="AB174" s="504" t="str">
        <f>IF(VLOOKUP(Таблица3[[#This Row],[№ акта]],$AJ$1:$BJ$691,23,FALSE)&lt;&gt;0,VLOOKUP(Таблица3[[#This Row],[№ акта]],$AJ$1:$BJ$691,23,FALSE),"-")</f>
        <v>-</v>
      </c>
      <c r="AC17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74" s="506" t="s">
        <v>2940</v>
      </c>
      <c r="AE174" s="505">
        <v>171</v>
      </c>
      <c r="AF174" s="507">
        <v>46185</v>
      </c>
      <c r="AG174" s="505">
        <v>157</v>
      </c>
      <c r="AH174" s="505">
        <f>IFERROR(VLOOKUP(Таблица3[[#This Row],[№ акта]],'Степень зрелости 2026'!$H$12:$I$800,2,FALSE),)</f>
        <v>58</v>
      </c>
      <c r="AJ174" s="508">
        <v>171</v>
      </c>
      <c r="AK174" s="509">
        <v>46185</v>
      </c>
      <c r="AL174" s="508">
        <v>261</v>
      </c>
      <c r="AO174" s="508">
        <v>12980</v>
      </c>
      <c r="AP174" s="508">
        <v>11682</v>
      </c>
      <c r="AQ174" s="508" t="s">
        <v>2939</v>
      </c>
      <c r="AR174" s="508" t="s">
        <v>901</v>
      </c>
      <c r="AS174" s="508" t="s">
        <v>3100</v>
      </c>
      <c r="AT174" s="508" t="s">
        <v>127</v>
      </c>
      <c r="AV174" s="508" t="s">
        <v>131</v>
      </c>
      <c r="AX174" s="508" t="s">
        <v>3100</v>
      </c>
      <c r="AY174" s="508" t="s">
        <v>901</v>
      </c>
      <c r="AZ174" s="508">
        <v>2.1</v>
      </c>
      <c r="BA174" s="508" t="s">
        <v>46</v>
      </c>
      <c r="BB174" s="508" t="s">
        <v>19</v>
      </c>
      <c r="BC174" s="508">
        <v>9</v>
      </c>
      <c r="BD174" s="509">
        <v>46185</v>
      </c>
      <c r="BG174" s="508" t="s">
        <v>724</v>
      </c>
      <c r="BH174" s="508" t="s">
        <v>2940</v>
      </c>
      <c r="BI174" s="508">
        <v>157</v>
      </c>
      <c r="BJ174" s="508">
        <v>58</v>
      </c>
    </row>
    <row r="175" spans="1:62" s="508" customFormat="1" ht="14.25" hidden="1" customHeight="1" x14ac:dyDescent="0.2">
      <c r="A175" s="495" t="s">
        <v>102</v>
      </c>
      <c r="B175" s="496"/>
      <c r="C175" s="497">
        <f>Таблица3[[#This Row],[Степень зрелости вспом]]</f>
        <v>60</v>
      </c>
      <c r="D175" s="498">
        <v>262</v>
      </c>
      <c r="E175" s="499"/>
      <c r="F175" s="496"/>
      <c r="G175" s="496">
        <v>12460</v>
      </c>
      <c r="H175" s="500"/>
      <c r="I175" s="496">
        <v>11338.6</v>
      </c>
      <c r="J175" s="495" t="s">
        <v>2939</v>
      </c>
      <c r="K175" s="495" t="s">
        <v>901</v>
      </c>
      <c r="L175" s="495" t="s">
        <v>3100</v>
      </c>
      <c r="M175" s="495" t="s">
        <v>1312</v>
      </c>
      <c r="N175" s="495"/>
      <c r="O175" s="495"/>
      <c r="P175" s="495"/>
      <c r="Q175" s="495"/>
      <c r="R175" s="501" t="s">
        <v>320</v>
      </c>
      <c r="S175" s="495"/>
      <c r="T175" s="482" t="str">
        <f>VLOOKUP(Таблица3[[#This Row],[№ акта]],$AJ$1:$BJ$691,15,FALSE)</f>
        <v>А-24/1</v>
      </c>
      <c r="U175" s="482" t="str">
        <f>VLOOKUP(Таблица3[[#This Row],[№ акта]],$AJ$1:$BJ$691,16,FALSE)</f>
        <v>Фаворит</v>
      </c>
      <c r="V175" s="502">
        <f>VLOOKUP(Таблица3[[#This Row],[№ акта]],$AJ$1:$BJ$691,17,FALSE)</f>
        <v>2</v>
      </c>
      <c r="W175" s="502" t="str">
        <f>VLOOKUP(Таблица3[[#This Row],[№ акта]],$AJ$1:$BJ$691,18,FALSE)</f>
        <v>ГРК (богара)</v>
      </c>
      <c r="X175" s="502" t="str">
        <f>VLOOKUP(Таблица3[[#This Row],[№ акта]],$AJ$1:$BJ$691,19,FALSE)</f>
        <v>богара</v>
      </c>
      <c r="Y175" s="503">
        <f>VLOOKUP(Таблица3[[#This Row],[№ акта]],$AJ$1:$BJ$691,20,FALSE)</f>
        <v>9</v>
      </c>
      <c r="Z175" s="504">
        <f>VLOOKUP(Таблица3[[#This Row],[№ акта]],$AJ$1:$BJ$691,21,FALSE)</f>
        <v>46185</v>
      </c>
      <c r="AA175" s="504"/>
      <c r="AB175" s="504" t="str">
        <f>IF(VLOOKUP(Таблица3[[#This Row],[№ акта]],$AJ$1:$BJ$691,23,FALSE)&lt;&gt;0,VLOOKUP(Таблица3[[#This Row],[№ акта]],$AJ$1:$BJ$691,23,FALSE),"-")</f>
        <v>-</v>
      </c>
      <c r="AC17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75" s="506" t="s">
        <v>2940</v>
      </c>
      <c r="AE175" s="505">
        <v>172</v>
      </c>
      <c r="AF175" s="507">
        <v>46185</v>
      </c>
      <c r="AG175" s="505">
        <v>158</v>
      </c>
      <c r="AH175" s="505">
        <f>IFERROR(VLOOKUP(Таблица3[[#This Row],[№ акта]],'Степень зрелости 2026'!$H$12:$I$800,2,FALSE),)</f>
        <v>60</v>
      </c>
      <c r="AJ175" s="508">
        <v>172</v>
      </c>
      <c r="AK175" s="509">
        <v>46185</v>
      </c>
      <c r="AL175" s="508">
        <v>262</v>
      </c>
      <c r="AO175" s="508">
        <v>12460</v>
      </c>
      <c r="AP175" s="508">
        <v>11338.6</v>
      </c>
      <c r="AQ175" s="508" t="s">
        <v>2939</v>
      </c>
      <c r="AR175" s="508" t="s">
        <v>901</v>
      </c>
      <c r="AS175" s="508" t="s">
        <v>3100</v>
      </c>
      <c r="AT175" s="508" t="s">
        <v>1312</v>
      </c>
      <c r="AV175" s="508" t="s">
        <v>320</v>
      </c>
      <c r="AX175" s="508" t="s">
        <v>3100</v>
      </c>
      <c r="AY175" s="508" t="s">
        <v>901</v>
      </c>
      <c r="AZ175" s="508">
        <v>2</v>
      </c>
      <c r="BA175" s="508" t="s">
        <v>46</v>
      </c>
      <c r="BB175" s="508" t="s">
        <v>19</v>
      </c>
      <c r="BC175" s="508">
        <v>9</v>
      </c>
      <c r="BD175" s="509">
        <v>46185</v>
      </c>
      <c r="BG175" s="508" t="s">
        <v>724</v>
      </c>
      <c r="BH175" s="508" t="s">
        <v>2940</v>
      </c>
      <c r="BI175" s="508">
        <v>158</v>
      </c>
      <c r="BJ175" s="508">
        <v>60</v>
      </c>
    </row>
    <row r="176" spans="1:62" s="508" customFormat="1" ht="14.25" hidden="1" customHeight="1" x14ac:dyDescent="0.2">
      <c r="A176" s="495" t="s">
        <v>102</v>
      </c>
      <c r="B176" s="496"/>
      <c r="C176" s="497">
        <f>Таблица3[[#This Row],[Степень зрелости вспом]]</f>
        <v>57</v>
      </c>
      <c r="D176" s="498">
        <v>264</v>
      </c>
      <c r="E176" s="499"/>
      <c r="F176" s="496"/>
      <c r="G176" s="496">
        <v>12990</v>
      </c>
      <c r="H176" s="500"/>
      <c r="I176" s="496">
        <v>11397</v>
      </c>
      <c r="J176" s="495" t="s">
        <v>2939</v>
      </c>
      <c r="K176" s="495" t="s">
        <v>901</v>
      </c>
      <c r="L176" s="495" t="s">
        <v>3248</v>
      </c>
      <c r="M176" s="495" t="s">
        <v>305</v>
      </c>
      <c r="N176" s="495"/>
      <c r="O176" s="495"/>
      <c r="P176" s="495"/>
      <c r="Q176" s="495"/>
      <c r="R176" s="501" t="s">
        <v>309</v>
      </c>
      <c r="S176" s="495"/>
      <c r="T176" s="482" t="str">
        <f>VLOOKUP(Таблица3[[#This Row],[№ акта]],$AJ$1:$BJ$691,15,FALSE)</f>
        <v>А-24/1</v>
      </c>
      <c r="U176" s="482" t="str">
        <f>VLOOKUP(Таблица3[[#This Row],[№ акта]],$AJ$1:$BJ$691,16,FALSE)</f>
        <v>Фаворит</v>
      </c>
      <c r="V176" s="502">
        <f>VLOOKUP(Таблица3[[#This Row],[№ акта]],$AJ$1:$BJ$691,17,FALSE)</f>
        <v>1.6</v>
      </c>
      <c r="W176" s="502" t="str">
        <f>VLOOKUP(Таблица3[[#This Row],[№ акта]],$AJ$1:$BJ$691,18,FALSE)</f>
        <v>ГРК (богара)</v>
      </c>
      <c r="X176" s="502" t="str">
        <f>VLOOKUP(Таблица3[[#This Row],[№ акта]],$AJ$1:$BJ$691,19,FALSE)</f>
        <v>богара</v>
      </c>
      <c r="Y176" s="503">
        <f>VLOOKUP(Таблица3[[#This Row],[№ акта]],$AJ$1:$BJ$691,20,FALSE)</f>
        <v>8</v>
      </c>
      <c r="Z176" s="504">
        <f>VLOOKUP(Таблица3[[#This Row],[№ акта]],$AJ$1:$BJ$691,21,FALSE)</f>
        <v>46184</v>
      </c>
      <c r="AA176" s="496">
        <f>Таблица3[[#This Row],[Регистратор.Вес нетто]]</f>
        <v>12990</v>
      </c>
      <c r="AB176" s="504" t="str">
        <f>IF(VLOOKUP(Таблица3[[#This Row],[№ акта]],$AJ$1:$BJ$691,23,FALSE)&lt;&gt;0,VLOOKUP(Таблица3[[#This Row],[№ акта]],$AJ$1:$BJ$691,23,FALSE),"-")</f>
        <v>ГРАНД-СТАР ООО</v>
      </c>
      <c r="AC17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76" s="506" t="s">
        <v>2940</v>
      </c>
      <c r="AE176" s="505">
        <v>314</v>
      </c>
      <c r="AF176" s="507">
        <v>46185</v>
      </c>
      <c r="AG176" s="505" t="s">
        <v>3537</v>
      </c>
      <c r="AH176" s="505">
        <f>IFERROR(VLOOKUP(Таблица3[[#This Row],[№ акта]],'Степень зрелости 2026'!$H$12:$I$800,2,FALSE),)</f>
        <v>57</v>
      </c>
      <c r="AJ176" s="508">
        <v>314</v>
      </c>
      <c r="AK176" s="509">
        <v>46185</v>
      </c>
      <c r="AL176" s="508">
        <v>264</v>
      </c>
      <c r="AO176" s="508">
        <v>12990</v>
      </c>
      <c r="AP176" s="508">
        <v>11397</v>
      </c>
      <c r="AQ176" s="508" t="s">
        <v>2939</v>
      </c>
      <c r="AR176" s="508" t="s">
        <v>901</v>
      </c>
      <c r="AS176" s="508" t="s">
        <v>3248</v>
      </c>
      <c r="AT176" s="508" t="s">
        <v>305</v>
      </c>
      <c r="AV176" s="508" t="s">
        <v>309</v>
      </c>
      <c r="AX176" s="508" t="s">
        <v>3100</v>
      </c>
      <c r="AY176" s="508" t="s">
        <v>901</v>
      </c>
      <c r="AZ176" s="508">
        <v>1.6</v>
      </c>
      <c r="BA176" s="508" t="s">
        <v>46</v>
      </c>
      <c r="BB176" s="508" t="s">
        <v>19</v>
      </c>
      <c r="BC176" s="508">
        <v>8</v>
      </c>
      <c r="BD176" s="509">
        <v>46184</v>
      </c>
      <c r="BE176" s="508">
        <v>12990</v>
      </c>
      <c r="BF176" s="508" t="s">
        <v>3206</v>
      </c>
      <c r="BG176" s="508" t="s">
        <v>724</v>
      </c>
      <c r="BH176" s="508" t="s">
        <v>2940</v>
      </c>
      <c r="BI176" s="508" t="s">
        <v>3537</v>
      </c>
      <c r="BJ176" s="508">
        <v>57</v>
      </c>
    </row>
    <row r="177" spans="1:62" s="508" customFormat="1" ht="14.25" hidden="1" customHeight="1" x14ac:dyDescent="0.2">
      <c r="A177" s="495" t="s">
        <v>102</v>
      </c>
      <c r="B177" s="496"/>
      <c r="C177" s="497">
        <f>Таблица3[[#This Row],[Степень зрелости вспом]]</f>
        <v>64</v>
      </c>
      <c r="D177" s="498">
        <v>265</v>
      </c>
      <c r="E177" s="499"/>
      <c r="F177" s="496"/>
      <c r="G177" s="496">
        <v>12530</v>
      </c>
      <c r="H177" s="500"/>
      <c r="I177" s="496">
        <v>10838.5</v>
      </c>
      <c r="J177" s="495" t="s">
        <v>2939</v>
      </c>
      <c r="K177" s="495" t="s">
        <v>901</v>
      </c>
      <c r="L177" s="495" t="s">
        <v>3100</v>
      </c>
      <c r="M177" s="495" t="s">
        <v>894</v>
      </c>
      <c r="N177" s="495"/>
      <c r="O177" s="495"/>
      <c r="P177" s="495"/>
      <c r="Q177" s="495"/>
      <c r="R177" s="501" t="s">
        <v>895</v>
      </c>
      <c r="S177" s="495"/>
      <c r="T177" s="482" t="str">
        <f>VLOOKUP(Таблица3[[#This Row],[№ акта]],$AJ$1:$BJ$691,15,FALSE)</f>
        <v>А-24/1</v>
      </c>
      <c r="U177" s="482" t="str">
        <f>VLOOKUP(Таблица3[[#This Row],[№ акта]],$AJ$1:$BJ$691,16,FALSE)</f>
        <v>Фаворит</v>
      </c>
      <c r="V177" s="502">
        <f>VLOOKUP(Таблица3[[#This Row],[№ акта]],$AJ$1:$BJ$691,17,FALSE)</f>
        <v>2.1</v>
      </c>
      <c r="W177" s="502" t="str">
        <f>VLOOKUP(Таблица3[[#This Row],[№ акта]],$AJ$1:$BJ$691,18,FALSE)</f>
        <v>ГРК (богара)</v>
      </c>
      <c r="X177" s="502" t="str">
        <f>VLOOKUP(Таблица3[[#This Row],[№ акта]],$AJ$1:$BJ$691,19,FALSE)</f>
        <v>богара</v>
      </c>
      <c r="Y177" s="503">
        <f>VLOOKUP(Таблица3[[#This Row],[№ акта]],$AJ$1:$BJ$691,20,FALSE)</f>
        <v>9</v>
      </c>
      <c r="Z177" s="504">
        <f>VLOOKUP(Таблица3[[#This Row],[№ акта]],$AJ$1:$BJ$691,21,FALSE)</f>
        <v>46185</v>
      </c>
      <c r="AA177" s="504"/>
      <c r="AB177" s="504" t="str">
        <f>IF(VLOOKUP(Таблица3[[#This Row],[№ акта]],$AJ$1:$BJ$691,23,FALSE)&lt;&gt;0,VLOOKUP(Таблица3[[#This Row],[№ акта]],$AJ$1:$BJ$691,23,FALSE),"-")</f>
        <v>-</v>
      </c>
      <c r="AC17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177" s="506" t="s">
        <v>2940</v>
      </c>
      <c r="AE177" s="505">
        <v>173</v>
      </c>
      <c r="AF177" s="507">
        <v>46185</v>
      </c>
      <c r="AG177" s="505">
        <v>159</v>
      </c>
      <c r="AH177" s="505">
        <f>IFERROR(VLOOKUP(Таблица3[[#This Row],[№ акта]],'Степень зрелости 2026'!$H$12:$I$800,2,FALSE),)</f>
        <v>64</v>
      </c>
      <c r="AJ177" s="508">
        <v>173</v>
      </c>
      <c r="AK177" s="509">
        <v>46185</v>
      </c>
      <c r="AL177" s="508">
        <v>265</v>
      </c>
      <c r="AO177" s="508">
        <v>12530</v>
      </c>
      <c r="AP177" s="508">
        <v>10838.5</v>
      </c>
      <c r="AQ177" s="508" t="s">
        <v>2939</v>
      </c>
      <c r="AR177" s="508" t="s">
        <v>901</v>
      </c>
      <c r="AS177" s="508" t="s">
        <v>3100</v>
      </c>
      <c r="AT177" s="508" t="s">
        <v>894</v>
      </c>
      <c r="AV177" s="508" t="s">
        <v>895</v>
      </c>
      <c r="AX177" s="508" t="s">
        <v>3100</v>
      </c>
      <c r="AY177" s="508" t="s">
        <v>901</v>
      </c>
      <c r="AZ177" s="508">
        <v>2.1</v>
      </c>
      <c r="BA177" s="508" t="s">
        <v>46</v>
      </c>
      <c r="BB177" s="508" t="s">
        <v>19</v>
      </c>
      <c r="BC177" s="508">
        <v>9</v>
      </c>
      <c r="BD177" s="509">
        <v>46185</v>
      </c>
      <c r="BG177" s="508" t="s">
        <v>3559</v>
      </c>
      <c r="BH177" s="508" t="s">
        <v>2940</v>
      </c>
      <c r="BI177" s="508">
        <v>159</v>
      </c>
      <c r="BJ177" s="508">
        <v>64</v>
      </c>
    </row>
    <row r="178" spans="1:62" s="508" customFormat="1" ht="14.25" hidden="1" customHeight="1" x14ac:dyDescent="0.2">
      <c r="A178" s="495" t="s">
        <v>102</v>
      </c>
      <c r="B178" s="496"/>
      <c r="C178" s="497">
        <f>Таблица3[[#This Row],[Степень зрелости вспом]]</f>
        <v>59</v>
      </c>
      <c r="D178" s="498">
        <v>266</v>
      </c>
      <c r="E178" s="499"/>
      <c r="F178" s="496"/>
      <c r="G178" s="496">
        <v>12630</v>
      </c>
      <c r="H178" s="500"/>
      <c r="I178" s="496">
        <v>11240.7</v>
      </c>
      <c r="J178" s="495" t="s">
        <v>2939</v>
      </c>
      <c r="K178" s="495" t="s">
        <v>901</v>
      </c>
      <c r="L178" s="495" t="s">
        <v>3100</v>
      </c>
      <c r="M178" s="495" t="s">
        <v>121</v>
      </c>
      <c r="N178" s="495"/>
      <c r="O178" s="495"/>
      <c r="P178" s="495"/>
      <c r="Q178" s="495"/>
      <c r="R178" s="501" t="s">
        <v>125</v>
      </c>
      <c r="S178" s="495"/>
      <c r="T178" s="482" t="str">
        <f>VLOOKUP(Таблица3[[#This Row],[№ акта]],$AJ$1:$BJ$691,15,FALSE)</f>
        <v>А-24/1</v>
      </c>
      <c r="U178" s="482" t="str">
        <f>VLOOKUP(Таблица3[[#This Row],[№ акта]],$AJ$1:$BJ$691,16,FALSE)</f>
        <v>Фаворит</v>
      </c>
      <c r="V178" s="502">
        <f>VLOOKUP(Таблица3[[#This Row],[№ акта]],$AJ$1:$BJ$691,17,FALSE)</f>
        <v>2.1</v>
      </c>
      <c r="W178" s="502" t="str">
        <f>VLOOKUP(Таблица3[[#This Row],[№ акта]],$AJ$1:$BJ$691,18,FALSE)</f>
        <v>ГРК (богара)</v>
      </c>
      <c r="X178" s="502" t="str">
        <f>VLOOKUP(Таблица3[[#This Row],[№ акта]],$AJ$1:$BJ$691,19,FALSE)</f>
        <v>богара</v>
      </c>
      <c r="Y178" s="503">
        <f>VLOOKUP(Таблица3[[#This Row],[№ акта]],$AJ$1:$BJ$691,20,FALSE)</f>
        <v>9</v>
      </c>
      <c r="Z178" s="504">
        <f>VLOOKUP(Таблица3[[#This Row],[№ акта]],$AJ$1:$BJ$691,21,FALSE)</f>
        <v>46185</v>
      </c>
      <c r="AA178" s="504"/>
      <c r="AB178" s="504" t="str">
        <f>IF(VLOOKUP(Таблица3[[#This Row],[№ акта]],$AJ$1:$BJ$691,23,FALSE)&lt;&gt;0,VLOOKUP(Таблица3[[#This Row],[№ акта]],$AJ$1:$BJ$691,23,FALSE),"-")</f>
        <v>-</v>
      </c>
      <c r="AC17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78" s="506" t="s">
        <v>2940</v>
      </c>
      <c r="AE178" s="505">
        <v>174</v>
      </c>
      <c r="AF178" s="507">
        <v>46185</v>
      </c>
      <c r="AG178" s="505">
        <v>160</v>
      </c>
      <c r="AH178" s="505">
        <f>IFERROR(VLOOKUP(Таблица3[[#This Row],[№ акта]],'Степень зрелости 2026'!$H$12:$I$800,2,FALSE),)</f>
        <v>59</v>
      </c>
      <c r="AJ178" s="508">
        <v>174</v>
      </c>
      <c r="AK178" s="509">
        <v>46185</v>
      </c>
      <c r="AL178" s="508">
        <v>266</v>
      </c>
      <c r="AO178" s="508">
        <v>12630</v>
      </c>
      <c r="AP178" s="508">
        <v>11240.7</v>
      </c>
      <c r="AQ178" s="508" t="s">
        <v>2939</v>
      </c>
      <c r="AR178" s="508" t="s">
        <v>901</v>
      </c>
      <c r="AS178" s="508" t="s">
        <v>3100</v>
      </c>
      <c r="AT178" s="508" t="s">
        <v>121</v>
      </c>
      <c r="AV178" s="508" t="s">
        <v>125</v>
      </c>
      <c r="AX178" s="508" t="s">
        <v>3100</v>
      </c>
      <c r="AY178" s="508" t="s">
        <v>901</v>
      </c>
      <c r="AZ178" s="508">
        <v>2.1</v>
      </c>
      <c r="BA178" s="508" t="s">
        <v>46</v>
      </c>
      <c r="BB178" s="508" t="s">
        <v>19</v>
      </c>
      <c r="BC178" s="508">
        <v>9</v>
      </c>
      <c r="BD178" s="509">
        <v>46185</v>
      </c>
      <c r="BG178" s="508" t="s">
        <v>724</v>
      </c>
      <c r="BH178" s="508" t="s">
        <v>2940</v>
      </c>
      <c r="BI178" s="508">
        <v>160</v>
      </c>
      <c r="BJ178" s="508">
        <v>59</v>
      </c>
    </row>
    <row r="179" spans="1:62" s="508" customFormat="1" ht="14.25" hidden="1" customHeight="1" x14ac:dyDescent="0.2">
      <c r="A179" s="495" t="s">
        <v>102</v>
      </c>
      <c r="B179" s="496"/>
      <c r="C179" s="497">
        <f>Таблица3[[#This Row],[Степень зрелости вспом]]</f>
        <v>60</v>
      </c>
      <c r="D179" s="498">
        <v>267</v>
      </c>
      <c r="E179" s="499"/>
      <c r="F179" s="496"/>
      <c r="G179" s="496">
        <v>4150</v>
      </c>
      <c r="H179" s="500"/>
      <c r="I179" s="496">
        <v>3859.5</v>
      </c>
      <c r="J179" s="495" t="s">
        <v>2939</v>
      </c>
      <c r="K179" s="495" t="s">
        <v>901</v>
      </c>
      <c r="L179" s="495" t="s">
        <v>3100</v>
      </c>
      <c r="M179" s="495" t="s">
        <v>737</v>
      </c>
      <c r="N179" s="495"/>
      <c r="O179" s="495"/>
      <c r="P179" s="495"/>
      <c r="Q179" s="495"/>
      <c r="R179" s="501" t="s">
        <v>738</v>
      </c>
      <c r="S179" s="495"/>
      <c r="T179" s="482" t="str">
        <f>VLOOKUP(Таблица3[[#This Row],[№ акта]],$AJ$1:$BJ$691,15,FALSE)</f>
        <v>А-24/1</v>
      </c>
      <c r="U179" s="482" t="str">
        <f>VLOOKUP(Таблица3[[#This Row],[№ акта]],$AJ$1:$BJ$691,16,FALSE)</f>
        <v>Фаворит</v>
      </c>
      <c r="V179" s="502">
        <f>VLOOKUP(Таблица3[[#This Row],[№ акта]],$AJ$1:$BJ$691,17,FALSE)</f>
        <v>0.7</v>
      </c>
      <c r="W179" s="502" t="str">
        <f>VLOOKUP(Таблица3[[#This Row],[№ акта]],$AJ$1:$BJ$691,18,FALSE)</f>
        <v>ГРК (богара)</v>
      </c>
      <c r="X179" s="502" t="str">
        <f>VLOOKUP(Таблица3[[#This Row],[№ акта]],$AJ$1:$BJ$691,19,FALSE)</f>
        <v>богара</v>
      </c>
      <c r="Y179" s="503">
        <f>VLOOKUP(Таблица3[[#This Row],[№ акта]],$AJ$1:$BJ$691,20,FALSE)</f>
        <v>9</v>
      </c>
      <c r="Z179" s="504">
        <f>VLOOKUP(Таблица3[[#This Row],[№ акта]],$AJ$1:$BJ$691,21,FALSE)</f>
        <v>46185</v>
      </c>
      <c r="AA179" s="504"/>
      <c r="AB179" s="504" t="str">
        <f>IF(VLOOKUP(Таблица3[[#This Row],[№ акта]],$AJ$1:$BJ$691,23,FALSE)&lt;&gt;0,VLOOKUP(Таблица3[[#This Row],[№ акта]],$AJ$1:$BJ$691,23,FALSE),"-")</f>
        <v>-</v>
      </c>
      <c r="AC17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79" s="506" t="s">
        <v>2940</v>
      </c>
      <c r="AE179" s="505">
        <v>175</v>
      </c>
      <c r="AF179" s="507">
        <v>46185</v>
      </c>
      <c r="AG179" s="505">
        <v>161</v>
      </c>
      <c r="AH179" s="505">
        <f>IFERROR(VLOOKUP(Таблица3[[#This Row],[№ акта]],'Степень зрелости 2026'!$H$12:$I$800,2,FALSE),)</f>
        <v>60</v>
      </c>
      <c r="AJ179" s="508">
        <v>175</v>
      </c>
      <c r="AK179" s="509">
        <v>46185</v>
      </c>
      <c r="AL179" s="508">
        <v>267</v>
      </c>
      <c r="AO179" s="508">
        <v>4150</v>
      </c>
      <c r="AP179" s="508">
        <v>3859.5</v>
      </c>
      <c r="AQ179" s="508" t="s">
        <v>2939</v>
      </c>
      <c r="AR179" s="508" t="s">
        <v>901</v>
      </c>
      <c r="AS179" s="508" t="s">
        <v>3100</v>
      </c>
      <c r="AT179" s="508" t="s">
        <v>737</v>
      </c>
      <c r="AV179" s="508" t="s">
        <v>738</v>
      </c>
      <c r="AX179" s="508" t="s">
        <v>3100</v>
      </c>
      <c r="AY179" s="508" t="s">
        <v>901</v>
      </c>
      <c r="AZ179" s="508">
        <v>0.7</v>
      </c>
      <c r="BA179" s="508" t="s">
        <v>46</v>
      </c>
      <c r="BB179" s="508" t="s">
        <v>19</v>
      </c>
      <c r="BC179" s="508">
        <v>9</v>
      </c>
      <c r="BD179" s="509">
        <v>46185</v>
      </c>
      <c r="BG179" s="508" t="s">
        <v>724</v>
      </c>
      <c r="BH179" s="508" t="s">
        <v>2940</v>
      </c>
      <c r="BI179" s="508">
        <v>161</v>
      </c>
      <c r="BJ179" s="508">
        <v>60</v>
      </c>
    </row>
    <row r="180" spans="1:62" s="508" customFormat="1" ht="14.25" hidden="1" customHeight="1" x14ac:dyDescent="0.2">
      <c r="A180" s="495" t="s">
        <v>102</v>
      </c>
      <c r="B180" s="496"/>
      <c r="C180" s="497">
        <f>Таблица3[[#This Row],[Степень зрелости вспом]]</f>
        <v>61</v>
      </c>
      <c r="D180" s="498">
        <v>268</v>
      </c>
      <c r="E180" s="499"/>
      <c r="F180" s="496"/>
      <c r="G180" s="496">
        <v>5300</v>
      </c>
      <c r="H180" s="500"/>
      <c r="I180" s="496">
        <v>4929</v>
      </c>
      <c r="J180" s="495" t="s">
        <v>2939</v>
      </c>
      <c r="K180" s="495" t="s">
        <v>901</v>
      </c>
      <c r="L180" s="495" t="s">
        <v>3100</v>
      </c>
      <c r="M180" s="495" t="s">
        <v>127</v>
      </c>
      <c r="N180" s="495"/>
      <c r="O180" s="495"/>
      <c r="P180" s="495"/>
      <c r="Q180" s="495"/>
      <c r="R180" s="501" t="s">
        <v>131</v>
      </c>
      <c r="S180" s="495"/>
      <c r="T180" s="482" t="str">
        <f>VLOOKUP(Таблица3[[#This Row],[№ акта]],$AJ$1:$BJ$691,15,FALSE)</f>
        <v>А-24/1</v>
      </c>
      <c r="U180" s="482" t="str">
        <f>VLOOKUP(Таблица3[[#This Row],[№ акта]],$AJ$1:$BJ$691,16,FALSE)</f>
        <v>Фаворит</v>
      </c>
      <c r="V180" s="502">
        <f>VLOOKUP(Таблица3[[#This Row],[№ акта]],$AJ$1:$BJ$691,17,FALSE)</f>
        <v>0.9</v>
      </c>
      <c r="W180" s="502" t="str">
        <f>VLOOKUP(Таблица3[[#This Row],[№ акта]],$AJ$1:$BJ$691,18,FALSE)</f>
        <v>ГРК (богара)</v>
      </c>
      <c r="X180" s="502" t="str">
        <f>VLOOKUP(Таблица3[[#This Row],[№ акта]],$AJ$1:$BJ$691,19,FALSE)</f>
        <v>богара</v>
      </c>
      <c r="Y180" s="503">
        <f>VLOOKUP(Таблица3[[#This Row],[№ акта]],$AJ$1:$BJ$691,20,FALSE)</f>
        <v>9</v>
      </c>
      <c r="Z180" s="504">
        <f>VLOOKUP(Таблица3[[#This Row],[№ акта]],$AJ$1:$BJ$691,21,FALSE)</f>
        <v>46185</v>
      </c>
      <c r="AA180" s="504"/>
      <c r="AB180" s="504" t="str">
        <f>IF(VLOOKUP(Таблица3[[#This Row],[№ акта]],$AJ$1:$BJ$691,23,FALSE)&lt;&gt;0,VLOOKUP(Таблица3[[#This Row],[№ акта]],$AJ$1:$BJ$691,23,FALSE),"-")</f>
        <v>-</v>
      </c>
      <c r="AC18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80" s="506" t="s">
        <v>2940</v>
      </c>
      <c r="AE180" s="505">
        <v>176</v>
      </c>
      <c r="AF180" s="507">
        <v>46185</v>
      </c>
      <c r="AG180" s="505">
        <v>162</v>
      </c>
      <c r="AH180" s="505">
        <f>IFERROR(VLOOKUP(Таблица3[[#This Row],[№ акта]],'Степень зрелости 2026'!$H$12:$I$800,2,FALSE),)</f>
        <v>61</v>
      </c>
      <c r="AJ180" s="508">
        <v>176</v>
      </c>
      <c r="AK180" s="509">
        <v>46185</v>
      </c>
      <c r="AL180" s="508">
        <v>268</v>
      </c>
      <c r="AO180" s="508">
        <v>5300</v>
      </c>
      <c r="AP180" s="508">
        <v>4929</v>
      </c>
      <c r="AQ180" s="508" t="s">
        <v>2939</v>
      </c>
      <c r="AR180" s="508" t="s">
        <v>901</v>
      </c>
      <c r="AS180" s="508" t="s">
        <v>3100</v>
      </c>
      <c r="AT180" s="508" t="s">
        <v>127</v>
      </c>
      <c r="AV180" s="508" t="s">
        <v>131</v>
      </c>
      <c r="AX180" s="508" t="s">
        <v>3100</v>
      </c>
      <c r="AY180" s="508" t="s">
        <v>901</v>
      </c>
      <c r="AZ180" s="508">
        <v>0.9</v>
      </c>
      <c r="BA180" s="508" t="s">
        <v>46</v>
      </c>
      <c r="BB180" s="508" t="s">
        <v>19</v>
      </c>
      <c r="BC180" s="508">
        <v>9</v>
      </c>
      <c r="BD180" s="509">
        <v>46185</v>
      </c>
      <c r="BG180" s="508" t="s">
        <v>724</v>
      </c>
      <c r="BH180" s="508" t="s">
        <v>2940</v>
      </c>
      <c r="BI180" s="508">
        <v>162</v>
      </c>
      <c r="BJ180" s="508">
        <v>61</v>
      </c>
    </row>
    <row r="181" spans="1:62" s="508" customFormat="1" ht="14.25" hidden="1" customHeight="1" x14ac:dyDescent="0.2">
      <c r="A181" s="495" t="s">
        <v>102</v>
      </c>
      <c r="B181" s="496"/>
      <c r="C181" s="497">
        <f>Таблица3[[#This Row],[Степень зрелости вспом]]</f>
        <v>54</v>
      </c>
      <c r="D181" s="498">
        <v>269</v>
      </c>
      <c r="E181" s="499"/>
      <c r="F181" s="496"/>
      <c r="G181" s="496">
        <v>13440</v>
      </c>
      <c r="H181" s="500"/>
      <c r="I181" s="496">
        <v>11656</v>
      </c>
      <c r="J181" s="495" t="s">
        <v>2939</v>
      </c>
      <c r="K181" s="495" t="s">
        <v>524</v>
      </c>
      <c r="L181" s="495" t="s">
        <v>3103</v>
      </c>
      <c r="M181" s="495" t="s">
        <v>166</v>
      </c>
      <c r="N181" s="495"/>
      <c r="O181" s="495"/>
      <c r="P181" s="495"/>
      <c r="Q181" s="495"/>
      <c r="R181" s="501" t="s">
        <v>170</v>
      </c>
      <c r="S181" s="495"/>
      <c r="T181" s="482" t="str">
        <f>VLOOKUP(Таблица3[[#This Row],[№ акта]],$AJ$1:$BJ$691,15,FALSE)</f>
        <v>А-76/3</v>
      </c>
      <c r="U181" s="482" t="str">
        <f>VLOOKUP(Таблица3[[#This Row],[№ акта]],$AJ$1:$BJ$691,16,FALSE)</f>
        <v>Авола</v>
      </c>
      <c r="V181" s="502">
        <f>VLOOKUP(Таблица3[[#This Row],[№ акта]],$AJ$1:$BJ$691,17,FALSE)</f>
        <v>2</v>
      </c>
      <c r="W181" s="502" t="str">
        <f>VLOOKUP(Таблица3[[#This Row],[№ акта]],$AJ$1:$BJ$691,18,FALSE)</f>
        <v>ГРК (богара)</v>
      </c>
      <c r="X181" s="502" t="str">
        <f>VLOOKUP(Таблица3[[#This Row],[№ акта]],$AJ$1:$BJ$691,19,FALSE)</f>
        <v>богара</v>
      </c>
      <c r="Y181" s="503">
        <f>VLOOKUP(Таблица3[[#This Row],[№ акта]],$AJ$1:$BJ$691,20,FALSE)</f>
        <v>9</v>
      </c>
      <c r="Z181" s="504">
        <f>VLOOKUP(Таблица3[[#This Row],[№ акта]],$AJ$1:$BJ$691,21,FALSE)</f>
        <v>46185</v>
      </c>
      <c r="AA181" s="496">
        <f>Таблица3[[#This Row],[Регистратор.Вес нетто]]</f>
        <v>13440</v>
      </c>
      <c r="AB181" s="504" t="str">
        <f>IF(VLOOKUP(Таблица3[[#This Row],[№ акта]],$AJ$1:$BJ$691,23,FALSE)&lt;&gt;0,VLOOKUP(Таблица3[[#This Row],[№ акта]],$AJ$1:$BJ$691,23,FALSE),"-")</f>
        <v>ГРАНД-СТАР ООО</v>
      </c>
      <c r="AC18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81" s="506" t="s">
        <v>2940</v>
      </c>
      <c r="AE181" s="505">
        <v>315</v>
      </c>
      <c r="AF181" s="507">
        <v>46185</v>
      </c>
      <c r="AG181" s="505" t="s">
        <v>3539</v>
      </c>
      <c r="AH181" s="510">
        <v>54</v>
      </c>
      <c r="AJ181" s="508">
        <v>315</v>
      </c>
      <c r="AK181" s="509">
        <v>46185</v>
      </c>
      <c r="AL181" s="508">
        <v>269</v>
      </c>
      <c r="AO181" s="508">
        <v>13440</v>
      </c>
      <c r="AP181" s="508">
        <v>11656</v>
      </c>
      <c r="AQ181" s="508" t="s">
        <v>2939</v>
      </c>
      <c r="AR181" s="508" t="s">
        <v>524</v>
      </c>
      <c r="AS181" s="508" t="s">
        <v>3103</v>
      </c>
      <c r="AT181" s="508" t="s">
        <v>166</v>
      </c>
      <c r="AV181" s="508" t="s">
        <v>170</v>
      </c>
      <c r="AX181" s="508" t="s">
        <v>3103</v>
      </c>
      <c r="AY181" s="508" t="s">
        <v>524</v>
      </c>
      <c r="AZ181" s="508">
        <v>2</v>
      </c>
      <c r="BA181" s="508" t="s">
        <v>46</v>
      </c>
      <c r="BB181" s="508" t="s">
        <v>19</v>
      </c>
      <c r="BC181" s="508">
        <v>9</v>
      </c>
      <c r="BD181" s="509">
        <v>46185</v>
      </c>
      <c r="BE181" s="508">
        <v>13440</v>
      </c>
      <c r="BF181" s="508" t="s">
        <v>3206</v>
      </c>
      <c r="BG181" s="508" t="s">
        <v>724</v>
      </c>
      <c r="BH181" s="508" t="s">
        <v>2940</v>
      </c>
      <c r="BI181" s="508" t="s">
        <v>3539</v>
      </c>
      <c r="BJ181" s="508">
        <v>54</v>
      </c>
    </row>
    <row r="182" spans="1:62" s="508" customFormat="1" ht="14.25" hidden="1" customHeight="1" x14ac:dyDescent="0.2">
      <c r="A182" s="495" t="s">
        <v>102</v>
      </c>
      <c r="B182" s="496"/>
      <c r="C182" s="497">
        <f>Таблица3[[#This Row],[Степень зрелости вспом]]</f>
        <v>66</v>
      </c>
      <c r="D182" s="498">
        <v>270</v>
      </c>
      <c r="E182" s="499"/>
      <c r="F182" s="496"/>
      <c r="G182" s="496">
        <v>13750</v>
      </c>
      <c r="H182" s="500"/>
      <c r="I182" s="496">
        <v>12100</v>
      </c>
      <c r="J182" s="495" t="s">
        <v>2939</v>
      </c>
      <c r="K182" s="495" t="s">
        <v>524</v>
      </c>
      <c r="L182" s="495" t="s">
        <v>3103</v>
      </c>
      <c r="M182" s="495" t="s">
        <v>1312</v>
      </c>
      <c r="N182" s="495"/>
      <c r="O182" s="495"/>
      <c r="P182" s="495"/>
      <c r="Q182" s="495"/>
      <c r="R182" s="501" t="s">
        <v>320</v>
      </c>
      <c r="S182" s="495"/>
      <c r="T182" s="482" t="str">
        <f>VLOOKUP(Таблица3[[#This Row],[№ акта]],$AJ$1:$BJ$691,15,FALSE)</f>
        <v>А-76/5</v>
      </c>
      <c r="U182" s="482" t="str">
        <f>VLOOKUP(Таблица3[[#This Row],[№ акта]],$AJ$1:$BJ$691,16,FALSE)</f>
        <v>Авола</v>
      </c>
      <c r="V182" s="502">
        <f>VLOOKUP(Таблица3[[#This Row],[№ акта]],$AJ$1:$BJ$691,17,FALSE)</f>
        <v>2.7</v>
      </c>
      <c r="W182" s="502" t="str">
        <f>VLOOKUP(Таблица3[[#This Row],[№ акта]],$AJ$1:$BJ$691,18,FALSE)</f>
        <v>ГРК (богара)</v>
      </c>
      <c r="X182" s="502" t="str">
        <f>VLOOKUP(Таблица3[[#This Row],[№ акта]],$AJ$1:$BJ$691,19,FALSE)</f>
        <v>богара</v>
      </c>
      <c r="Y182" s="503">
        <f>VLOOKUP(Таблица3[[#This Row],[№ акта]],$AJ$1:$BJ$691,20,FALSE)</f>
        <v>9</v>
      </c>
      <c r="Z182" s="504">
        <f>VLOOKUP(Таблица3[[#This Row],[№ акта]],$AJ$1:$BJ$691,21,FALSE)</f>
        <v>46185</v>
      </c>
      <c r="AA182" s="504"/>
      <c r="AB182" s="504" t="str">
        <f>IF(VLOOKUP(Таблица3[[#This Row],[№ акта]],$AJ$1:$BJ$691,23,FALSE)&lt;&gt;0,VLOOKUP(Таблица3[[#This Row],[№ акта]],$AJ$1:$BJ$691,23,FALSE),"-")</f>
        <v>-</v>
      </c>
      <c r="AC18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182" s="506" t="s">
        <v>3230</v>
      </c>
      <c r="AE182" s="505">
        <v>177</v>
      </c>
      <c r="AF182" s="507">
        <v>46185</v>
      </c>
      <c r="AG182" s="505">
        <v>163</v>
      </c>
      <c r="AH182" s="505">
        <f>IFERROR(VLOOKUP(Таблица3[[#This Row],[№ акта]],'Степень зрелости 2026'!$H$12:$I$800,2,FALSE),)</f>
        <v>66</v>
      </c>
      <c r="AJ182" s="508">
        <v>177</v>
      </c>
      <c r="AK182" s="509">
        <v>46185</v>
      </c>
      <c r="AL182" s="508">
        <v>270</v>
      </c>
      <c r="AO182" s="508">
        <v>13750</v>
      </c>
      <c r="AP182" s="508">
        <v>12100</v>
      </c>
      <c r="AQ182" s="508" t="s">
        <v>2939</v>
      </c>
      <c r="AR182" s="508" t="s">
        <v>524</v>
      </c>
      <c r="AS182" s="508" t="s">
        <v>3103</v>
      </c>
      <c r="AT182" s="508" t="s">
        <v>1312</v>
      </c>
      <c r="AV182" s="508" t="s">
        <v>320</v>
      </c>
      <c r="AX182" s="508" t="s">
        <v>3104</v>
      </c>
      <c r="AY182" s="508" t="s">
        <v>524</v>
      </c>
      <c r="AZ182" s="508">
        <v>2.7</v>
      </c>
      <c r="BA182" s="508" t="s">
        <v>46</v>
      </c>
      <c r="BB182" s="508" t="s">
        <v>19</v>
      </c>
      <c r="BC182" s="508">
        <v>9</v>
      </c>
      <c r="BD182" s="509">
        <v>46185</v>
      </c>
      <c r="BG182" s="508" t="s">
        <v>3559</v>
      </c>
      <c r="BH182" s="508" t="s">
        <v>2940</v>
      </c>
      <c r="BI182" s="508">
        <v>163</v>
      </c>
      <c r="BJ182" s="508">
        <v>66</v>
      </c>
    </row>
    <row r="183" spans="1:62" s="508" customFormat="1" ht="14.25" hidden="1" customHeight="1" x14ac:dyDescent="0.2">
      <c r="A183" s="495" t="s">
        <v>102</v>
      </c>
      <c r="B183" s="496"/>
      <c r="C183" s="497">
        <f>Таблица3[[#This Row],[Степень зрелости вспом]]</f>
        <v>68</v>
      </c>
      <c r="D183" s="498">
        <v>271</v>
      </c>
      <c r="E183" s="499"/>
      <c r="F183" s="496"/>
      <c r="G183" s="496">
        <v>13270</v>
      </c>
      <c r="H183" s="500"/>
      <c r="I183" s="496">
        <v>12142.1</v>
      </c>
      <c r="J183" s="495" t="s">
        <v>2939</v>
      </c>
      <c r="K183" s="495" t="s">
        <v>524</v>
      </c>
      <c r="L183" s="495" t="s">
        <v>3103</v>
      </c>
      <c r="M183" s="495" t="s">
        <v>894</v>
      </c>
      <c r="N183" s="495"/>
      <c r="O183" s="495"/>
      <c r="P183" s="495"/>
      <c r="Q183" s="495"/>
      <c r="R183" s="501" t="s">
        <v>895</v>
      </c>
      <c r="S183" s="495"/>
      <c r="T183" s="482" t="str">
        <f>VLOOKUP(Таблица3[[#This Row],[№ акта]],$AJ$1:$BJ$691,15,FALSE)</f>
        <v>А-76/5</v>
      </c>
      <c r="U183" s="482" t="str">
        <f>VLOOKUP(Таблица3[[#This Row],[№ акта]],$AJ$1:$BJ$691,16,FALSE)</f>
        <v>Авола</v>
      </c>
      <c r="V183" s="502">
        <f>VLOOKUP(Таблица3[[#This Row],[№ акта]],$AJ$1:$BJ$691,17,FALSE)</f>
        <v>2.6</v>
      </c>
      <c r="W183" s="502" t="str">
        <f>VLOOKUP(Таблица3[[#This Row],[№ акта]],$AJ$1:$BJ$691,18,FALSE)</f>
        <v>ГРК (богара)</v>
      </c>
      <c r="X183" s="502" t="str">
        <f>VLOOKUP(Таблица3[[#This Row],[№ акта]],$AJ$1:$BJ$691,19,FALSE)</f>
        <v>богара</v>
      </c>
      <c r="Y183" s="503">
        <f>VLOOKUP(Таблица3[[#This Row],[№ акта]],$AJ$1:$BJ$691,20,FALSE)</f>
        <v>9</v>
      </c>
      <c r="Z183" s="504">
        <f>VLOOKUP(Таблица3[[#This Row],[№ акта]],$AJ$1:$BJ$691,21,FALSE)</f>
        <v>46185</v>
      </c>
      <c r="AA183" s="504"/>
      <c r="AB183" s="504" t="str">
        <f>IF(VLOOKUP(Таблица3[[#This Row],[№ акта]],$AJ$1:$BJ$691,23,FALSE)&lt;&gt;0,VLOOKUP(Таблица3[[#This Row],[№ акта]],$AJ$1:$BJ$691,23,FALSE),"-")</f>
        <v>-</v>
      </c>
      <c r="AC18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183" s="506" t="s">
        <v>3230</v>
      </c>
      <c r="AE183" s="505">
        <v>178</v>
      </c>
      <c r="AF183" s="507">
        <v>46185</v>
      </c>
      <c r="AG183" s="505">
        <v>164</v>
      </c>
      <c r="AH183" s="505">
        <f>IFERROR(VLOOKUP(Таблица3[[#This Row],[№ акта]],'Степень зрелости 2026'!$H$12:$I$800,2,FALSE),)</f>
        <v>68</v>
      </c>
      <c r="AJ183" s="508">
        <v>178</v>
      </c>
      <c r="AK183" s="509">
        <v>46185</v>
      </c>
      <c r="AL183" s="508">
        <v>271</v>
      </c>
      <c r="AO183" s="508">
        <v>13270</v>
      </c>
      <c r="AP183" s="508">
        <v>12142.1</v>
      </c>
      <c r="AQ183" s="508" t="s">
        <v>2939</v>
      </c>
      <c r="AR183" s="508" t="s">
        <v>524</v>
      </c>
      <c r="AS183" s="508" t="s">
        <v>3103</v>
      </c>
      <c r="AT183" s="508" t="s">
        <v>894</v>
      </c>
      <c r="AV183" s="508" t="s">
        <v>895</v>
      </c>
      <c r="AX183" s="508" t="s">
        <v>3104</v>
      </c>
      <c r="AY183" s="508" t="s">
        <v>524</v>
      </c>
      <c r="AZ183" s="508">
        <v>2.6</v>
      </c>
      <c r="BA183" s="508" t="s">
        <v>46</v>
      </c>
      <c r="BB183" s="508" t="s">
        <v>19</v>
      </c>
      <c r="BC183" s="508">
        <v>9</v>
      </c>
      <c r="BD183" s="509">
        <v>46185</v>
      </c>
      <c r="BG183" s="508" t="s">
        <v>420</v>
      </c>
      <c r="BH183" s="508" t="s">
        <v>2940</v>
      </c>
      <c r="BI183" s="508">
        <v>164</v>
      </c>
      <c r="BJ183" s="508">
        <v>68</v>
      </c>
    </row>
    <row r="184" spans="1:62" s="508" customFormat="1" ht="14.25" hidden="1" customHeight="1" x14ac:dyDescent="0.2">
      <c r="A184" s="495" t="s">
        <v>102</v>
      </c>
      <c r="B184" s="496"/>
      <c r="C184" s="497">
        <f>Таблица3[[#This Row],[Степень зрелости вспом]]</f>
        <v>69</v>
      </c>
      <c r="D184" s="498">
        <v>272</v>
      </c>
      <c r="E184" s="499"/>
      <c r="F184" s="496"/>
      <c r="G184" s="496">
        <v>13220</v>
      </c>
      <c r="H184" s="500"/>
      <c r="I184" s="496">
        <v>11633.6</v>
      </c>
      <c r="J184" s="495" t="s">
        <v>2939</v>
      </c>
      <c r="K184" s="495" t="s">
        <v>524</v>
      </c>
      <c r="L184" s="495" t="s">
        <v>3103</v>
      </c>
      <c r="M184" s="495" t="s">
        <v>121</v>
      </c>
      <c r="N184" s="495"/>
      <c r="O184" s="495"/>
      <c r="P184" s="495"/>
      <c r="Q184" s="495"/>
      <c r="R184" s="501" t="s">
        <v>125</v>
      </c>
      <c r="S184" s="495"/>
      <c r="T184" s="482" t="str">
        <f>VLOOKUP(Таблица3[[#This Row],[№ акта]],$AJ$1:$BJ$691,15,FALSE)</f>
        <v>А-76/5</v>
      </c>
      <c r="U184" s="482" t="str">
        <f>VLOOKUP(Таблица3[[#This Row],[№ акта]],$AJ$1:$BJ$691,16,FALSE)</f>
        <v>Авола</v>
      </c>
      <c r="V184" s="502">
        <f>VLOOKUP(Таблица3[[#This Row],[№ акта]],$AJ$1:$BJ$691,17,FALSE)</f>
        <v>2.7</v>
      </c>
      <c r="W184" s="502" t="str">
        <f>VLOOKUP(Таблица3[[#This Row],[№ акта]],$AJ$1:$BJ$691,18,FALSE)</f>
        <v>ГРК (богара)</v>
      </c>
      <c r="X184" s="502" t="str">
        <f>VLOOKUP(Таблица3[[#This Row],[№ акта]],$AJ$1:$BJ$691,19,FALSE)</f>
        <v>богара</v>
      </c>
      <c r="Y184" s="503">
        <f>VLOOKUP(Таблица3[[#This Row],[№ акта]],$AJ$1:$BJ$691,20,FALSE)</f>
        <v>9</v>
      </c>
      <c r="Z184" s="504">
        <f>VLOOKUP(Таблица3[[#This Row],[№ акта]],$AJ$1:$BJ$691,21,FALSE)</f>
        <v>46185</v>
      </c>
      <c r="AA184" s="504"/>
      <c r="AB184" s="504" t="str">
        <f>IF(VLOOKUP(Таблица3[[#This Row],[№ акта]],$AJ$1:$BJ$691,23,FALSE)&lt;&gt;0,VLOOKUP(Таблица3[[#This Row],[№ акта]],$AJ$1:$BJ$691,23,FALSE),"-")</f>
        <v>-</v>
      </c>
      <c r="AC18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184" s="506" t="s">
        <v>3230</v>
      </c>
      <c r="AE184" s="505">
        <v>179</v>
      </c>
      <c r="AF184" s="507">
        <v>46185</v>
      </c>
      <c r="AG184" s="505">
        <v>165</v>
      </c>
      <c r="AH184" s="505">
        <f>IFERROR(VLOOKUP(Таблица3[[#This Row],[№ акта]],'Степень зрелости 2026'!$H$12:$I$800,2,FALSE),)</f>
        <v>69</v>
      </c>
      <c r="AJ184" s="508">
        <v>179</v>
      </c>
      <c r="AK184" s="509">
        <v>46185</v>
      </c>
      <c r="AL184" s="508">
        <v>272</v>
      </c>
      <c r="AO184" s="508">
        <v>13220</v>
      </c>
      <c r="AP184" s="508">
        <v>11633.6</v>
      </c>
      <c r="AQ184" s="508" t="s">
        <v>2939</v>
      </c>
      <c r="AR184" s="508" t="s">
        <v>524</v>
      </c>
      <c r="AS184" s="508" t="s">
        <v>3103</v>
      </c>
      <c r="AT184" s="508" t="s">
        <v>121</v>
      </c>
      <c r="AV184" s="508" t="s">
        <v>125</v>
      </c>
      <c r="AX184" s="508" t="s">
        <v>3104</v>
      </c>
      <c r="AY184" s="508" t="s">
        <v>524</v>
      </c>
      <c r="AZ184" s="508">
        <v>2.7</v>
      </c>
      <c r="BA184" s="508" t="s">
        <v>46</v>
      </c>
      <c r="BB184" s="508" t="s">
        <v>19</v>
      </c>
      <c r="BC184" s="508">
        <v>9</v>
      </c>
      <c r="BD184" s="509">
        <v>46185</v>
      </c>
      <c r="BG184" s="508" t="s">
        <v>420</v>
      </c>
      <c r="BH184" s="508" t="s">
        <v>2940</v>
      </c>
      <c r="BI184" s="508">
        <v>165</v>
      </c>
      <c r="BJ184" s="508">
        <v>69</v>
      </c>
    </row>
    <row r="185" spans="1:62" s="508" customFormat="1" ht="14.25" hidden="1" customHeight="1" x14ac:dyDescent="0.2">
      <c r="A185" s="495" t="s">
        <v>102</v>
      </c>
      <c r="B185" s="496"/>
      <c r="C185" s="497">
        <f>Таблица3[[#This Row],[Степень зрелости вспом]]</f>
        <v>66</v>
      </c>
      <c r="D185" s="498">
        <v>273</v>
      </c>
      <c r="E185" s="499"/>
      <c r="F185" s="496"/>
      <c r="G185" s="496">
        <v>12760</v>
      </c>
      <c r="H185" s="500"/>
      <c r="I185" s="496">
        <v>10718.4</v>
      </c>
      <c r="J185" s="495" t="s">
        <v>2939</v>
      </c>
      <c r="K185" s="495" t="s">
        <v>524</v>
      </c>
      <c r="L185" s="495" t="s">
        <v>3103</v>
      </c>
      <c r="M185" s="495" t="s">
        <v>127</v>
      </c>
      <c r="N185" s="495"/>
      <c r="O185" s="495"/>
      <c r="P185" s="495"/>
      <c r="Q185" s="495"/>
      <c r="R185" s="501" t="s">
        <v>131</v>
      </c>
      <c r="S185" s="495"/>
      <c r="T185" s="482" t="str">
        <f>VLOOKUP(Таблица3[[#This Row],[№ акта]],$AJ$1:$BJ$691,15,FALSE)</f>
        <v>А-76/5</v>
      </c>
      <c r="U185" s="482" t="str">
        <f>VLOOKUP(Таблица3[[#This Row],[№ акта]],$AJ$1:$BJ$691,16,FALSE)</f>
        <v>Авола</v>
      </c>
      <c r="V185" s="502">
        <f>VLOOKUP(Таблица3[[#This Row],[№ акта]],$AJ$1:$BJ$691,17,FALSE)</f>
        <v>2.5</v>
      </c>
      <c r="W185" s="502" t="str">
        <f>VLOOKUP(Таблица3[[#This Row],[№ акта]],$AJ$1:$BJ$691,18,FALSE)</f>
        <v>ГРК (богара)</v>
      </c>
      <c r="X185" s="502" t="str">
        <f>VLOOKUP(Таблица3[[#This Row],[№ акта]],$AJ$1:$BJ$691,19,FALSE)</f>
        <v>богара</v>
      </c>
      <c r="Y185" s="503">
        <f>VLOOKUP(Таблица3[[#This Row],[№ акта]],$AJ$1:$BJ$691,20,FALSE)</f>
        <v>9</v>
      </c>
      <c r="Z185" s="504">
        <f>VLOOKUP(Таблица3[[#This Row],[№ акта]],$AJ$1:$BJ$691,21,FALSE)</f>
        <v>46185</v>
      </c>
      <c r="AA185" s="504"/>
      <c r="AB185" s="504" t="str">
        <f>IF(VLOOKUP(Таблица3[[#This Row],[№ акта]],$AJ$1:$BJ$691,23,FALSE)&lt;&gt;0,VLOOKUP(Таблица3[[#This Row],[№ акта]],$AJ$1:$BJ$691,23,FALSE),"-")</f>
        <v>-</v>
      </c>
      <c r="AC18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185" s="506" t="s">
        <v>3230</v>
      </c>
      <c r="AE185" s="505">
        <v>180</v>
      </c>
      <c r="AF185" s="507">
        <v>46185</v>
      </c>
      <c r="AG185" s="505">
        <v>166</v>
      </c>
      <c r="AH185" s="505">
        <f>IFERROR(VLOOKUP(Таблица3[[#This Row],[№ акта]],'Степень зрелости 2026'!$H$12:$I$800,2,FALSE),)</f>
        <v>66</v>
      </c>
      <c r="AJ185" s="508">
        <v>180</v>
      </c>
      <c r="AK185" s="509">
        <v>46185</v>
      </c>
      <c r="AL185" s="508">
        <v>273</v>
      </c>
      <c r="AO185" s="508">
        <v>12760</v>
      </c>
      <c r="AP185" s="508">
        <v>10718.4</v>
      </c>
      <c r="AQ185" s="508" t="s">
        <v>2939</v>
      </c>
      <c r="AR185" s="508" t="s">
        <v>524</v>
      </c>
      <c r="AS185" s="508" t="s">
        <v>3103</v>
      </c>
      <c r="AT185" s="508" t="s">
        <v>127</v>
      </c>
      <c r="AV185" s="508" t="s">
        <v>131</v>
      </c>
      <c r="AX185" s="508" t="s">
        <v>3104</v>
      </c>
      <c r="AY185" s="508" t="s">
        <v>524</v>
      </c>
      <c r="AZ185" s="508">
        <v>2.5</v>
      </c>
      <c r="BA185" s="508" t="s">
        <v>46</v>
      </c>
      <c r="BB185" s="508" t="s">
        <v>19</v>
      </c>
      <c r="BC185" s="508">
        <v>9</v>
      </c>
      <c r="BD185" s="509">
        <v>46185</v>
      </c>
      <c r="BG185" s="508" t="s">
        <v>3559</v>
      </c>
      <c r="BH185" s="508" t="s">
        <v>2940</v>
      </c>
      <c r="BI185" s="508">
        <v>166</v>
      </c>
      <c r="BJ185" s="508">
        <v>66</v>
      </c>
    </row>
    <row r="186" spans="1:62" s="508" customFormat="1" ht="14.25" hidden="1" customHeight="1" x14ac:dyDescent="0.2">
      <c r="A186" s="495" t="s">
        <v>102</v>
      </c>
      <c r="B186" s="496"/>
      <c r="C186" s="497">
        <f>Таблица3[[#This Row],[Степень зрелости вспом]]</f>
        <v>73</v>
      </c>
      <c r="D186" s="498">
        <v>274</v>
      </c>
      <c r="E186" s="499"/>
      <c r="F186" s="496"/>
      <c r="G186" s="496">
        <v>4640</v>
      </c>
      <c r="H186" s="500"/>
      <c r="I186" s="496">
        <v>4176</v>
      </c>
      <c r="J186" s="495" t="s">
        <v>2939</v>
      </c>
      <c r="K186" s="495" t="s">
        <v>524</v>
      </c>
      <c r="L186" s="495" t="s">
        <v>3103</v>
      </c>
      <c r="M186" s="495" t="s">
        <v>737</v>
      </c>
      <c r="N186" s="495"/>
      <c r="O186" s="495"/>
      <c r="P186" s="495"/>
      <c r="Q186" s="495"/>
      <c r="R186" s="501" t="s">
        <v>738</v>
      </c>
      <c r="S186" s="495"/>
      <c r="T186" s="482" t="str">
        <f>VLOOKUP(Таблица3[[#This Row],[№ акта]],$AJ$1:$BJ$691,15,FALSE)</f>
        <v>А-76/5</v>
      </c>
      <c r="U186" s="482" t="str">
        <f>VLOOKUP(Таблица3[[#This Row],[№ акта]],$AJ$1:$BJ$691,16,FALSE)</f>
        <v>Авола</v>
      </c>
      <c r="V186" s="502">
        <f>VLOOKUP(Таблица3[[#This Row],[№ акта]],$AJ$1:$BJ$691,17,FALSE)</f>
        <v>0.9</v>
      </c>
      <c r="W186" s="502" t="str">
        <f>VLOOKUP(Таблица3[[#This Row],[№ акта]],$AJ$1:$BJ$691,18,FALSE)</f>
        <v>ГРК (богара)</v>
      </c>
      <c r="X186" s="502" t="str">
        <f>VLOOKUP(Таблица3[[#This Row],[№ акта]],$AJ$1:$BJ$691,19,FALSE)</f>
        <v>богара</v>
      </c>
      <c r="Y186" s="503">
        <f>VLOOKUP(Таблица3[[#This Row],[№ акта]],$AJ$1:$BJ$691,20,FALSE)</f>
        <v>9</v>
      </c>
      <c r="Z186" s="504">
        <f>VLOOKUP(Таблица3[[#This Row],[№ акта]],$AJ$1:$BJ$691,21,FALSE)</f>
        <v>46185</v>
      </c>
      <c r="AA186" s="504"/>
      <c r="AB186" s="504" t="str">
        <f>IF(VLOOKUP(Таблица3[[#This Row],[№ акта]],$AJ$1:$BJ$691,23,FALSE)&lt;&gt;0,VLOOKUP(Таблица3[[#This Row],[№ акта]],$AJ$1:$BJ$691,23,FALSE),"-")</f>
        <v>-</v>
      </c>
      <c r="AC18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186" s="506" t="s">
        <v>3273</v>
      </c>
      <c r="AE186" s="505">
        <v>181</v>
      </c>
      <c r="AF186" s="507">
        <v>46185</v>
      </c>
      <c r="AG186" s="505">
        <v>167</v>
      </c>
      <c r="AH186" s="505">
        <f>IFERROR(VLOOKUP(Таблица3[[#This Row],[№ акта]],'Степень зрелости 2026'!$H$12:$I$800,2,FALSE),)</f>
        <v>73</v>
      </c>
      <c r="AJ186" s="508">
        <v>181</v>
      </c>
      <c r="AK186" s="509">
        <v>46185</v>
      </c>
      <c r="AL186" s="508">
        <v>274</v>
      </c>
      <c r="AO186" s="508">
        <v>4640</v>
      </c>
      <c r="AP186" s="508">
        <v>4176</v>
      </c>
      <c r="AQ186" s="508" t="s">
        <v>2939</v>
      </c>
      <c r="AR186" s="508" t="s">
        <v>524</v>
      </c>
      <c r="AS186" s="508" t="s">
        <v>3103</v>
      </c>
      <c r="AT186" s="508" t="s">
        <v>737</v>
      </c>
      <c r="AV186" s="508" t="s">
        <v>738</v>
      </c>
      <c r="AX186" s="508" t="s">
        <v>3104</v>
      </c>
      <c r="AY186" s="508" t="s">
        <v>524</v>
      </c>
      <c r="AZ186" s="508">
        <v>0.9</v>
      </c>
      <c r="BA186" s="508" t="s">
        <v>46</v>
      </c>
      <c r="BB186" s="508" t="s">
        <v>19</v>
      </c>
      <c r="BC186" s="508">
        <v>9</v>
      </c>
      <c r="BD186" s="509">
        <v>46185</v>
      </c>
      <c r="BG186" s="508" t="s">
        <v>420</v>
      </c>
      <c r="BH186" s="508" t="s">
        <v>2940</v>
      </c>
      <c r="BI186" s="508">
        <v>167</v>
      </c>
      <c r="BJ186" s="508">
        <v>73</v>
      </c>
    </row>
    <row r="187" spans="1:62" s="508" customFormat="1" ht="14.25" hidden="1" customHeight="1" x14ac:dyDescent="0.2">
      <c r="A187" s="495" t="s">
        <v>102</v>
      </c>
      <c r="B187" s="496"/>
      <c r="C187" s="497">
        <f>Таблица3[[#This Row],[Степень зрелости вспом]]</f>
        <v>65</v>
      </c>
      <c r="D187" s="498">
        <v>275</v>
      </c>
      <c r="E187" s="499"/>
      <c r="F187" s="496"/>
      <c r="G187" s="496">
        <v>13350</v>
      </c>
      <c r="H187" s="500"/>
      <c r="I187" s="496">
        <v>11481</v>
      </c>
      <c r="J187" s="495" t="s">
        <v>2939</v>
      </c>
      <c r="K187" s="495" t="s">
        <v>524</v>
      </c>
      <c r="L187" s="495"/>
      <c r="M187" s="495" t="s">
        <v>1312</v>
      </c>
      <c r="N187" s="495"/>
      <c r="O187" s="495"/>
      <c r="P187" s="495"/>
      <c r="Q187" s="495"/>
      <c r="R187" s="501" t="s">
        <v>320</v>
      </c>
      <c r="S187" s="495"/>
      <c r="T187" s="482" t="str">
        <f>VLOOKUP(Таблица3[[#This Row],[№ акта]],$AJ$1:$BJ$691,15,FALSE)</f>
        <v>А-76/5</v>
      </c>
      <c r="U187" s="482" t="str">
        <f>VLOOKUP(Таблица3[[#This Row],[№ акта]],$AJ$1:$BJ$691,16,FALSE)</f>
        <v>Авола</v>
      </c>
      <c r="V187" s="502">
        <f>VLOOKUP(Таблица3[[#This Row],[№ акта]],$AJ$1:$BJ$691,17,FALSE)</f>
        <v>2.6</v>
      </c>
      <c r="W187" s="502" t="str">
        <f>VLOOKUP(Таблица3[[#This Row],[№ акта]],$AJ$1:$BJ$691,18,FALSE)</f>
        <v>ГРК (богара)</v>
      </c>
      <c r="X187" s="502" t="str">
        <f>VLOOKUP(Таблица3[[#This Row],[№ акта]],$AJ$1:$BJ$691,19,FALSE)</f>
        <v>богара</v>
      </c>
      <c r="Y187" s="503">
        <f>VLOOKUP(Таблица3[[#This Row],[№ акта]],$AJ$1:$BJ$691,20,FALSE)</f>
        <v>9</v>
      </c>
      <c r="Z187" s="504">
        <f>VLOOKUP(Таблица3[[#This Row],[№ акта]],$AJ$1:$BJ$691,21,FALSE)</f>
        <v>46185</v>
      </c>
      <c r="AA187" s="496"/>
      <c r="AB187" s="504" t="str">
        <f>IF(VLOOKUP(Таблица3[[#This Row],[№ акта]],$AJ$1:$BJ$691,23,FALSE)&lt;&gt;0,VLOOKUP(Таблица3[[#This Row],[№ акта]],$AJ$1:$BJ$691,23,FALSE),"-")</f>
        <v>-</v>
      </c>
      <c r="AC18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187" s="506" t="s">
        <v>3230</v>
      </c>
      <c r="AE187" s="505">
        <v>182</v>
      </c>
      <c r="AF187" s="507">
        <v>46185</v>
      </c>
      <c r="AG187" s="505">
        <v>168</v>
      </c>
      <c r="AH187" s="505">
        <f>IFERROR(VLOOKUP(Таблица3[[#This Row],[№ акта]],'Степень зрелости 2026'!$H$12:$I$800,2,FALSE),)</f>
        <v>65</v>
      </c>
      <c r="AJ187" s="508">
        <v>182</v>
      </c>
      <c r="AK187" s="509">
        <v>46185</v>
      </c>
      <c r="AL187" s="508">
        <v>275</v>
      </c>
      <c r="AO187" s="508">
        <v>13350</v>
      </c>
      <c r="AP187" s="508">
        <v>11481</v>
      </c>
      <c r="AQ187" s="508" t="s">
        <v>2939</v>
      </c>
      <c r="AR187" s="508" t="s">
        <v>524</v>
      </c>
      <c r="AT187" s="508" t="s">
        <v>1312</v>
      </c>
      <c r="AV187" s="508" t="s">
        <v>320</v>
      </c>
      <c r="AX187" s="508" t="s">
        <v>3104</v>
      </c>
      <c r="AY187" s="508" t="s">
        <v>524</v>
      </c>
      <c r="AZ187" s="508">
        <v>2.6</v>
      </c>
      <c r="BA187" s="508" t="s">
        <v>46</v>
      </c>
      <c r="BB187" s="508" t="s">
        <v>19</v>
      </c>
      <c r="BC187" s="508">
        <v>9</v>
      </c>
      <c r="BD187" s="509">
        <v>46185</v>
      </c>
      <c r="BG187" s="508" t="s">
        <v>3559</v>
      </c>
      <c r="BH187" s="508" t="s">
        <v>2940</v>
      </c>
      <c r="BI187" s="508">
        <v>168</v>
      </c>
      <c r="BJ187" s="508">
        <v>65</v>
      </c>
    </row>
    <row r="188" spans="1:62" s="508" customFormat="1" ht="14.25" hidden="1" customHeight="1" x14ac:dyDescent="0.2">
      <c r="A188" s="495" t="s">
        <v>102</v>
      </c>
      <c r="B188" s="496"/>
      <c r="C188" s="497">
        <f>Таблица3[[#This Row],[Степень зрелости вспом]]</f>
        <v>65</v>
      </c>
      <c r="D188" s="498">
        <v>276</v>
      </c>
      <c r="E188" s="499"/>
      <c r="F188" s="496"/>
      <c r="G188" s="496">
        <v>13220</v>
      </c>
      <c r="H188" s="500"/>
      <c r="I188" s="496">
        <v>11435.3</v>
      </c>
      <c r="J188" s="495" t="s">
        <v>2939</v>
      </c>
      <c r="K188" s="495" t="s">
        <v>524</v>
      </c>
      <c r="L188" s="495" t="s">
        <v>3103</v>
      </c>
      <c r="M188" s="495" t="s">
        <v>894</v>
      </c>
      <c r="N188" s="495"/>
      <c r="O188" s="495"/>
      <c r="P188" s="495"/>
      <c r="Q188" s="495"/>
      <c r="R188" s="501" t="s">
        <v>895</v>
      </c>
      <c r="S188" s="495"/>
      <c r="T188" s="482" t="str">
        <f>VLOOKUP(Таблица3[[#This Row],[№ акта]],$AJ$1:$BJ$691,15,FALSE)</f>
        <v>А-76/3</v>
      </c>
      <c r="U188" s="482" t="str">
        <f>VLOOKUP(Таблица3[[#This Row],[№ акта]],$AJ$1:$BJ$691,16,FALSE)</f>
        <v>Авола</v>
      </c>
      <c r="V188" s="502">
        <f>VLOOKUP(Таблица3[[#This Row],[№ акта]],$AJ$1:$BJ$691,17,FALSE)</f>
        <v>2</v>
      </c>
      <c r="W188" s="502" t="str">
        <f>VLOOKUP(Таблица3[[#This Row],[№ акта]],$AJ$1:$BJ$691,18,FALSE)</f>
        <v>ГРК (богара)</v>
      </c>
      <c r="X188" s="502" t="str">
        <f>VLOOKUP(Таблица3[[#This Row],[№ акта]],$AJ$1:$BJ$691,19,FALSE)</f>
        <v>богара</v>
      </c>
      <c r="Y188" s="503">
        <f>VLOOKUP(Таблица3[[#This Row],[№ акта]],$AJ$1:$BJ$691,20,FALSE)</f>
        <v>9</v>
      </c>
      <c r="Z188" s="504">
        <f>VLOOKUP(Таблица3[[#This Row],[№ акта]],$AJ$1:$BJ$691,21,FALSE)</f>
        <v>46185</v>
      </c>
      <c r="AA188" s="504"/>
      <c r="AB188" s="504" t="str">
        <f>IF(VLOOKUP(Таблица3[[#This Row],[№ акта]],$AJ$1:$BJ$691,23,FALSE)&lt;&gt;0,VLOOKUP(Таблица3[[#This Row],[№ акта]],$AJ$1:$BJ$691,23,FALSE),"-")</f>
        <v>-</v>
      </c>
      <c r="AC18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188" s="506" t="s">
        <v>3230</v>
      </c>
      <c r="AE188" s="505">
        <v>183</v>
      </c>
      <c r="AF188" s="507">
        <v>46185</v>
      </c>
      <c r="AG188" s="505">
        <v>169</v>
      </c>
      <c r="AH188" s="505">
        <f>IFERROR(VLOOKUP(Таблица3[[#This Row],[№ акта]],'Степень зрелости 2026'!$H$12:$I$800,2,FALSE),)</f>
        <v>65</v>
      </c>
      <c r="AJ188" s="508">
        <v>183</v>
      </c>
      <c r="AK188" s="509">
        <v>46185</v>
      </c>
      <c r="AL188" s="508">
        <v>276</v>
      </c>
      <c r="AO188" s="508">
        <v>13220</v>
      </c>
      <c r="AP188" s="508">
        <v>11435.3</v>
      </c>
      <c r="AQ188" s="508" t="s">
        <v>2939</v>
      </c>
      <c r="AR188" s="508" t="s">
        <v>524</v>
      </c>
      <c r="AS188" s="508" t="s">
        <v>3103</v>
      </c>
      <c r="AT188" s="508" t="s">
        <v>894</v>
      </c>
      <c r="AV188" s="508" t="s">
        <v>895</v>
      </c>
      <c r="AX188" s="508" t="s">
        <v>3103</v>
      </c>
      <c r="AY188" s="508" t="s">
        <v>524</v>
      </c>
      <c r="AZ188" s="508">
        <v>2</v>
      </c>
      <c r="BA188" s="508" t="s">
        <v>46</v>
      </c>
      <c r="BB188" s="508" t="s">
        <v>19</v>
      </c>
      <c r="BC188" s="508">
        <v>9</v>
      </c>
      <c r="BD188" s="509">
        <v>46185</v>
      </c>
      <c r="BG188" s="508" t="s">
        <v>3559</v>
      </c>
      <c r="BH188" s="508" t="s">
        <v>2940</v>
      </c>
      <c r="BI188" s="508">
        <v>169</v>
      </c>
      <c r="BJ188" s="508">
        <v>65</v>
      </c>
    </row>
    <row r="189" spans="1:62" s="508" customFormat="1" ht="14.25" hidden="1" customHeight="1" x14ac:dyDescent="0.2">
      <c r="A189" s="495" t="s">
        <v>102</v>
      </c>
      <c r="B189" s="496"/>
      <c r="C189" s="497">
        <f>Таблица3[[#This Row],[Степень зрелости вспом]]</f>
        <v>69</v>
      </c>
      <c r="D189" s="498">
        <v>277</v>
      </c>
      <c r="E189" s="499"/>
      <c r="F189" s="496"/>
      <c r="G189" s="496">
        <v>17450</v>
      </c>
      <c r="H189" s="500"/>
      <c r="I189" s="496">
        <v>14772</v>
      </c>
      <c r="J189" s="495" t="s">
        <v>2939</v>
      </c>
      <c r="K189" s="495" t="s">
        <v>524</v>
      </c>
      <c r="L189" s="495" t="s">
        <v>3103</v>
      </c>
      <c r="M189" s="495" t="s">
        <v>3234</v>
      </c>
      <c r="N189" s="495"/>
      <c r="O189" s="495"/>
      <c r="P189" s="495"/>
      <c r="Q189" s="495"/>
      <c r="R189" s="501" t="s">
        <v>3381</v>
      </c>
      <c r="S189" s="495"/>
      <c r="T189" s="482" t="str">
        <f>VLOOKUP(Таблица3[[#This Row],[№ акта]],$AJ$1:$BJ$691,15,FALSE)</f>
        <v>А-76/3</v>
      </c>
      <c r="U189" s="482" t="str">
        <f>VLOOKUP(Таблица3[[#This Row],[№ акта]],$AJ$1:$BJ$691,16,FALSE)</f>
        <v>Авола</v>
      </c>
      <c r="V189" s="502">
        <f>VLOOKUP(Таблица3[[#This Row],[№ акта]],$AJ$1:$BJ$691,17,FALSE)</f>
        <v>2.6</v>
      </c>
      <c r="W189" s="502" t="str">
        <f>VLOOKUP(Таблица3[[#This Row],[№ акта]],$AJ$1:$BJ$691,18,FALSE)</f>
        <v>ГРК (богара)</v>
      </c>
      <c r="X189" s="502" t="str">
        <f>VLOOKUP(Таблица3[[#This Row],[№ акта]],$AJ$1:$BJ$691,19,FALSE)</f>
        <v>богара</v>
      </c>
      <c r="Y189" s="503">
        <f>VLOOKUP(Таблица3[[#This Row],[№ акта]],$AJ$1:$BJ$691,20,FALSE)</f>
        <v>9</v>
      </c>
      <c r="Z189" s="504">
        <f>VLOOKUP(Таблица3[[#This Row],[№ акта]],$AJ$1:$BJ$691,21,FALSE)</f>
        <v>46185</v>
      </c>
      <c r="AA189" s="496">
        <f>Таблица3[[#This Row],[Регистратор.Вес нетто]]</f>
        <v>17450</v>
      </c>
      <c r="AB189" s="504" t="str">
        <f>IF(VLOOKUP(Таблица3[[#This Row],[№ акта]],$AJ$1:$BJ$691,23,FALSE)&lt;&gt;0,VLOOKUP(Таблица3[[#This Row],[№ акта]],$AJ$1:$BJ$691,23,FALSE),"-")</f>
        <v>ТПК ЮЖНЫЙ ПРОДУКТ ООО</v>
      </c>
      <c r="AC18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189" s="506" t="s">
        <v>3230</v>
      </c>
      <c r="AE189" s="505">
        <v>310</v>
      </c>
      <c r="AF189" s="507">
        <v>46186</v>
      </c>
      <c r="AG189" s="505" t="s">
        <v>3541</v>
      </c>
      <c r="AH189" s="510">
        <v>69</v>
      </c>
      <c r="AJ189" s="508">
        <v>310</v>
      </c>
      <c r="AK189" s="509">
        <v>46186</v>
      </c>
      <c r="AL189" s="508">
        <v>277</v>
      </c>
      <c r="AO189" s="508">
        <v>17450</v>
      </c>
      <c r="AP189" s="508">
        <v>14772</v>
      </c>
      <c r="AQ189" s="508" t="s">
        <v>2939</v>
      </c>
      <c r="AR189" s="508" t="s">
        <v>524</v>
      </c>
      <c r="AS189" s="508" t="s">
        <v>3103</v>
      </c>
      <c r="AT189" s="508" t="s">
        <v>3234</v>
      </c>
      <c r="AV189" s="508" t="s">
        <v>3381</v>
      </c>
      <c r="AX189" s="508" t="s">
        <v>3103</v>
      </c>
      <c r="AY189" s="508" t="s">
        <v>524</v>
      </c>
      <c r="AZ189" s="508">
        <v>2.6</v>
      </c>
      <c r="BA189" s="508" t="s">
        <v>46</v>
      </c>
      <c r="BB189" s="508" t="s">
        <v>19</v>
      </c>
      <c r="BC189" s="508">
        <v>9</v>
      </c>
      <c r="BD189" s="509">
        <v>46185</v>
      </c>
      <c r="BE189" s="508">
        <v>17450</v>
      </c>
      <c r="BF189" s="508" t="s">
        <v>3205</v>
      </c>
      <c r="BG189" s="508" t="s">
        <v>420</v>
      </c>
      <c r="BH189" s="508" t="s">
        <v>2940</v>
      </c>
      <c r="BI189" s="508" t="s">
        <v>3541</v>
      </c>
      <c r="BJ189" s="508">
        <v>69</v>
      </c>
    </row>
    <row r="190" spans="1:62" s="508" customFormat="1" ht="14.25" hidden="1" customHeight="1" x14ac:dyDescent="0.2">
      <c r="A190" s="495" t="s">
        <v>102</v>
      </c>
      <c r="B190" s="496"/>
      <c r="C190" s="497">
        <f>Таблица3[[#This Row],[Степень зрелости вспом]]</f>
        <v>64</v>
      </c>
      <c r="D190" s="498">
        <v>278</v>
      </c>
      <c r="E190" s="499"/>
      <c r="F190" s="496"/>
      <c r="G190" s="496">
        <v>12990</v>
      </c>
      <c r="H190" s="500"/>
      <c r="I190" s="496">
        <v>11171.4</v>
      </c>
      <c r="J190" s="495" t="s">
        <v>2939</v>
      </c>
      <c r="K190" s="495" t="s">
        <v>524</v>
      </c>
      <c r="L190" s="495"/>
      <c r="M190" s="495" t="s">
        <v>121</v>
      </c>
      <c r="N190" s="495"/>
      <c r="O190" s="495"/>
      <c r="P190" s="495"/>
      <c r="Q190" s="495"/>
      <c r="R190" s="501" t="s">
        <v>125</v>
      </c>
      <c r="S190" s="495"/>
      <c r="T190" s="482" t="str">
        <f>VLOOKUP(Таблица3[[#This Row],[№ акта]],$AJ$1:$BJ$691,15,FALSE)</f>
        <v>А-76/3</v>
      </c>
      <c r="U190" s="482" t="str">
        <f>VLOOKUP(Таблица3[[#This Row],[№ акта]],$AJ$1:$BJ$691,16,FALSE)</f>
        <v>Авола</v>
      </c>
      <c r="V190" s="502">
        <f>VLOOKUP(Таблица3[[#This Row],[№ акта]],$AJ$1:$BJ$691,17,FALSE)</f>
        <v>1.9</v>
      </c>
      <c r="W190" s="502" t="str">
        <f>VLOOKUP(Таблица3[[#This Row],[№ акта]],$AJ$1:$BJ$691,18,FALSE)</f>
        <v>ГРК (богара)</v>
      </c>
      <c r="X190" s="502" t="str">
        <f>VLOOKUP(Таблица3[[#This Row],[№ акта]],$AJ$1:$BJ$691,19,FALSE)</f>
        <v>богара</v>
      </c>
      <c r="Y190" s="503">
        <f>VLOOKUP(Таблица3[[#This Row],[№ акта]],$AJ$1:$BJ$691,20,FALSE)</f>
        <v>9</v>
      </c>
      <c r="Z190" s="504">
        <f>VLOOKUP(Таблица3[[#This Row],[№ акта]],$AJ$1:$BJ$691,21,FALSE)</f>
        <v>46185</v>
      </c>
      <c r="AA190" s="504"/>
      <c r="AB190" s="504" t="str">
        <f>IF(VLOOKUP(Таблица3[[#This Row],[№ акта]],$AJ$1:$BJ$691,23,FALSE)&lt;&gt;0,VLOOKUP(Таблица3[[#This Row],[№ акта]],$AJ$1:$BJ$691,23,FALSE),"-")</f>
        <v>-</v>
      </c>
      <c r="AC19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190" s="506" t="s">
        <v>3230</v>
      </c>
      <c r="AE190" s="505">
        <v>184</v>
      </c>
      <c r="AF190" s="507">
        <v>46186</v>
      </c>
      <c r="AG190" s="505">
        <v>170</v>
      </c>
      <c r="AH190" s="505">
        <f>IFERROR(VLOOKUP(Таблица3[[#This Row],[№ акта]],'Степень зрелости 2026'!$H$12:$I$800,2,FALSE),)</f>
        <v>64</v>
      </c>
      <c r="AJ190" s="508">
        <v>184</v>
      </c>
      <c r="AK190" s="509">
        <v>46186</v>
      </c>
      <c r="AL190" s="508">
        <v>278</v>
      </c>
      <c r="AO190" s="508">
        <v>12990</v>
      </c>
      <c r="AP190" s="508">
        <v>11171.4</v>
      </c>
      <c r="AQ190" s="508" t="s">
        <v>2939</v>
      </c>
      <c r="AR190" s="508" t="s">
        <v>524</v>
      </c>
      <c r="AT190" s="508" t="s">
        <v>121</v>
      </c>
      <c r="AV190" s="508" t="s">
        <v>125</v>
      </c>
      <c r="AX190" s="508" t="s">
        <v>3103</v>
      </c>
      <c r="AY190" s="508" t="s">
        <v>524</v>
      </c>
      <c r="AZ190" s="508">
        <v>1.9</v>
      </c>
      <c r="BA190" s="508" t="s">
        <v>46</v>
      </c>
      <c r="BB190" s="508" t="s">
        <v>19</v>
      </c>
      <c r="BC190" s="508">
        <v>9</v>
      </c>
      <c r="BD190" s="509">
        <v>46185</v>
      </c>
      <c r="BG190" s="508" t="s">
        <v>3559</v>
      </c>
      <c r="BH190" s="508" t="s">
        <v>2940</v>
      </c>
      <c r="BI190" s="508">
        <v>170</v>
      </c>
      <c r="BJ190" s="508">
        <v>64</v>
      </c>
    </row>
    <row r="191" spans="1:62" s="508" customFormat="1" ht="14.25" hidden="1" customHeight="1" x14ac:dyDescent="0.2">
      <c r="A191" s="495" t="s">
        <v>102</v>
      </c>
      <c r="B191" s="496"/>
      <c r="C191" s="497">
        <f>Таблица3[[#This Row],[Степень зрелости вспом]]</f>
        <v>65</v>
      </c>
      <c r="D191" s="498">
        <v>279</v>
      </c>
      <c r="E191" s="499"/>
      <c r="F191" s="496"/>
      <c r="G191" s="496">
        <v>4410</v>
      </c>
      <c r="H191" s="500"/>
      <c r="I191" s="496">
        <v>3991</v>
      </c>
      <c r="J191" s="495" t="s">
        <v>2939</v>
      </c>
      <c r="K191" s="495" t="s">
        <v>524</v>
      </c>
      <c r="L191" s="495"/>
      <c r="M191" s="495" t="s">
        <v>737</v>
      </c>
      <c r="N191" s="495"/>
      <c r="O191" s="495"/>
      <c r="P191" s="495"/>
      <c r="Q191" s="495"/>
      <c r="R191" s="501" t="s">
        <v>738</v>
      </c>
      <c r="S191" s="495"/>
      <c r="T191" s="482" t="str">
        <f>VLOOKUP(Таблица3[[#This Row],[№ акта]],$AJ$1:$BJ$691,15,FALSE)</f>
        <v>А-76/3</v>
      </c>
      <c r="U191" s="482" t="str">
        <f>VLOOKUP(Таблица3[[#This Row],[№ акта]],$AJ$1:$BJ$691,16,FALSE)</f>
        <v>Авола</v>
      </c>
      <c r="V191" s="502">
        <f>VLOOKUP(Таблица3[[#This Row],[№ акта]],$AJ$1:$BJ$691,17,FALSE)</f>
        <v>0.6</v>
      </c>
      <c r="W191" s="502" t="str">
        <f>VLOOKUP(Таблица3[[#This Row],[№ акта]],$AJ$1:$BJ$691,18,FALSE)</f>
        <v>ГРК (богара)</v>
      </c>
      <c r="X191" s="502" t="str">
        <f>VLOOKUP(Таблица3[[#This Row],[№ акта]],$AJ$1:$BJ$691,19,FALSE)</f>
        <v>богара</v>
      </c>
      <c r="Y191" s="503">
        <f>VLOOKUP(Таблица3[[#This Row],[№ акта]],$AJ$1:$BJ$691,20,FALSE)</f>
        <v>9</v>
      </c>
      <c r="Z191" s="504">
        <f>VLOOKUP(Таблица3[[#This Row],[№ акта]],$AJ$1:$BJ$691,21,FALSE)</f>
        <v>46185</v>
      </c>
      <c r="AA191" s="504"/>
      <c r="AB191" s="504" t="str">
        <f>IF(VLOOKUP(Таблица3[[#This Row],[№ акта]],$AJ$1:$BJ$691,23,FALSE)&lt;&gt;0,VLOOKUP(Таблица3[[#This Row],[№ акта]],$AJ$1:$BJ$691,23,FALSE),"-")</f>
        <v>-</v>
      </c>
      <c r="AC19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191" s="506" t="s">
        <v>3230</v>
      </c>
      <c r="AE191" s="505">
        <v>185</v>
      </c>
      <c r="AF191" s="507">
        <v>46186</v>
      </c>
      <c r="AG191" s="505">
        <v>171</v>
      </c>
      <c r="AH191" s="505">
        <f>IFERROR(VLOOKUP(Таблица3[[#This Row],[№ акта]],'Степень зрелости 2026'!$H$12:$I$800,2,FALSE),)</f>
        <v>65</v>
      </c>
      <c r="AJ191" s="508">
        <v>185</v>
      </c>
      <c r="AK191" s="509">
        <v>46186</v>
      </c>
      <c r="AL191" s="508">
        <v>279</v>
      </c>
      <c r="AO191" s="508">
        <v>4410</v>
      </c>
      <c r="AP191" s="508">
        <v>3991</v>
      </c>
      <c r="AQ191" s="508" t="s">
        <v>2939</v>
      </c>
      <c r="AR191" s="508" t="s">
        <v>524</v>
      </c>
      <c r="AT191" s="508" t="s">
        <v>737</v>
      </c>
      <c r="AV191" s="508" t="s">
        <v>738</v>
      </c>
      <c r="AX191" s="508" t="s">
        <v>3103</v>
      </c>
      <c r="AY191" s="508" t="s">
        <v>524</v>
      </c>
      <c r="AZ191" s="508">
        <v>0.6</v>
      </c>
      <c r="BA191" s="508" t="s">
        <v>46</v>
      </c>
      <c r="BB191" s="508" t="s">
        <v>19</v>
      </c>
      <c r="BC191" s="508">
        <v>9</v>
      </c>
      <c r="BD191" s="509">
        <v>46185</v>
      </c>
      <c r="BG191" s="508" t="s">
        <v>3559</v>
      </c>
      <c r="BH191" s="508" t="s">
        <v>2940</v>
      </c>
      <c r="BI191" s="508">
        <v>171</v>
      </c>
      <c r="BJ191" s="508">
        <v>65</v>
      </c>
    </row>
    <row r="192" spans="1:62" s="508" customFormat="1" ht="14.25" hidden="1" customHeight="1" x14ac:dyDescent="0.2">
      <c r="A192" s="495" t="s">
        <v>102</v>
      </c>
      <c r="B192" s="496"/>
      <c r="C192" s="497">
        <f>Таблица3[[#This Row],[Степень зрелости вспом]]</f>
        <v>65</v>
      </c>
      <c r="D192" s="498">
        <v>280</v>
      </c>
      <c r="E192" s="499"/>
      <c r="F192" s="496"/>
      <c r="G192" s="496">
        <v>13150</v>
      </c>
      <c r="H192" s="500"/>
      <c r="I192" s="496">
        <v>11243.3</v>
      </c>
      <c r="J192" s="495" t="s">
        <v>2939</v>
      </c>
      <c r="K192" s="495" t="s">
        <v>524</v>
      </c>
      <c r="L192" s="495" t="s">
        <v>3103</v>
      </c>
      <c r="M192" s="495" t="s">
        <v>127</v>
      </c>
      <c r="N192" s="495"/>
      <c r="O192" s="495"/>
      <c r="P192" s="495"/>
      <c r="Q192" s="495"/>
      <c r="R192" s="501" t="s">
        <v>131</v>
      </c>
      <c r="S192" s="495"/>
      <c r="T192" s="482" t="str">
        <f>VLOOKUP(Таблица3[[#This Row],[№ акта]],$AJ$1:$BJ$691,15,FALSE)</f>
        <v>А-76/3</v>
      </c>
      <c r="U192" s="482" t="str">
        <f>VLOOKUP(Таблица3[[#This Row],[№ акта]],$AJ$1:$BJ$691,16,FALSE)</f>
        <v>Авола</v>
      </c>
      <c r="V192" s="502">
        <f>VLOOKUP(Таблица3[[#This Row],[№ акта]],$AJ$1:$BJ$691,17,FALSE)</f>
        <v>1.9</v>
      </c>
      <c r="W192" s="502" t="str">
        <f>VLOOKUP(Таблица3[[#This Row],[№ акта]],$AJ$1:$BJ$691,18,FALSE)</f>
        <v>ГРК (богара)</v>
      </c>
      <c r="X192" s="502" t="str">
        <f>VLOOKUP(Таблица3[[#This Row],[№ акта]],$AJ$1:$BJ$691,19,FALSE)</f>
        <v>богара</v>
      </c>
      <c r="Y192" s="503">
        <f>VLOOKUP(Таблица3[[#This Row],[№ акта]],$AJ$1:$BJ$691,20,FALSE)</f>
        <v>9</v>
      </c>
      <c r="Z192" s="504">
        <f>VLOOKUP(Таблица3[[#This Row],[№ акта]],$AJ$1:$BJ$691,21,FALSE)</f>
        <v>46185</v>
      </c>
      <c r="AA192" s="504"/>
      <c r="AB192" s="504" t="str">
        <f>IF(VLOOKUP(Таблица3[[#This Row],[№ акта]],$AJ$1:$BJ$691,23,FALSE)&lt;&gt;0,VLOOKUP(Таблица3[[#This Row],[№ акта]],$AJ$1:$BJ$691,23,FALSE),"-")</f>
        <v>-</v>
      </c>
      <c r="AC19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192" s="506" t="s">
        <v>3230</v>
      </c>
      <c r="AE192" s="505">
        <v>186</v>
      </c>
      <c r="AF192" s="507">
        <v>46186</v>
      </c>
      <c r="AG192" s="505">
        <v>172</v>
      </c>
      <c r="AH192" s="505">
        <f>IFERROR(VLOOKUP(Таблица3[[#This Row],[№ акта]],'Степень зрелости 2026'!$H$12:$I$800,2,FALSE),)</f>
        <v>65</v>
      </c>
      <c r="AJ192" s="508">
        <v>186</v>
      </c>
      <c r="AK192" s="509">
        <v>46186</v>
      </c>
      <c r="AL192" s="508">
        <v>280</v>
      </c>
      <c r="AO192" s="508">
        <v>13150</v>
      </c>
      <c r="AP192" s="508">
        <v>11243.3</v>
      </c>
      <c r="AQ192" s="508" t="s">
        <v>2939</v>
      </c>
      <c r="AR192" s="508" t="s">
        <v>524</v>
      </c>
      <c r="AS192" s="508" t="s">
        <v>3103</v>
      </c>
      <c r="AT192" s="508" t="s">
        <v>127</v>
      </c>
      <c r="AV192" s="508" t="s">
        <v>131</v>
      </c>
      <c r="AX192" s="508" t="s">
        <v>3103</v>
      </c>
      <c r="AY192" s="508" t="s">
        <v>524</v>
      </c>
      <c r="AZ192" s="508">
        <v>1.9</v>
      </c>
      <c r="BA192" s="508" t="s">
        <v>46</v>
      </c>
      <c r="BB192" s="508" t="s">
        <v>19</v>
      </c>
      <c r="BC192" s="508">
        <v>9</v>
      </c>
      <c r="BD192" s="509">
        <v>46185</v>
      </c>
      <c r="BG192" s="508" t="s">
        <v>3559</v>
      </c>
      <c r="BH192" s="508" t="s">
        <v>2940</v>
      </c>
      <c r="BI192" s="508">
        <v>172</v>
      </c>
      <c r="BJ192" s="508">
        <v>65</v>
      </c>
    </row>
    <row r="193" spans="1:62" s="508" customFormat="1" ht="14.25" hidden="1" customHeight="1" x14ac:dyDescent="0.2">
      <c r="A193" s="495" t="s">
        <v>102</v>
      </c>
      <c r="B193" s="496"/>
      <c r="C193" s="497">
        <f>Таблица3[[#This Row],[Степень зрелости вспом]]</f>
        <v>63</v>
      </c>
      <c r="D193" s="498">
        <v>281</v>
      </c>
      <c r="E193" s="499"/>
      <c r="F193" s="496"/>
      <c r="G193" s="496">
        <v>13300</v>
      </c>
      <c r="H193" s="500"/>
      <c r="I193" s="496">
        <v>11770.5</v>
      </c>
      <c r="J193" s="495" t="s">
        <v>2939</v>
      </c>
      <c r="K193" s="495" t="s">
        <v>524</v>
      </c>
      <c r="L193" s="495" t="s">
        <v>3103</v>
      </c>
      <c r="M193" s="495" t="s">
        <v>1312</v>
      </c>
      <c r="N193" s="495"/>
      <c r="O193" s="495"/>
      <c r="P193" s="495"/>
      <c r="Q193" s="495"/>
      <c r="R193" s="501" t="s">
        <v>320</v>
      </c>
      <c r="S193" s="495"/>
      <c r="T193" s="482" t="str">
        <f>VLOOKUP(Таблица3[[#This Row],[№ акта]],$AJ$1:$BJ$691,15,FALSE)</f>
        <v>А-76/3</v>
      </c>
      <c r="U193" s="482" t="str">
        <f>VLOOKUP(Таблица3[[#This Row],[№ акта]],$AJ$1:$BJ$691,16,FALSE)</f>
        <v>Авола</v>
      </c>
      <c r="V193" s="502">
        <f>VLOOKUP(Таблица3[[#This Row],[№ акта]],$AJ$1:$BJ$691,17,FALSE)</f>
        <v>2</v>
      </c>
      <c r="W193" s="502" t="str">
        <f>VLOOKUP(Таблица3[[#This Row],[№ акта]],$AJ$1:$BJ$691,18,FALSE)</f>
        <v>ГРК (богара)</v>
      </c>
      <c r="X193" s="502" t="str">
        <f>VLOOKUP(Таблица3[[#This Row],[№ акта]],$AJ$1:$BJ$691,19,FALSE)</f>
        <v>богара</v>
      </c>
      <c r="Y193" s="503">
        <f>VLOOKUP(Таблица3[[#This Row],[№ акта]],$AJ$1:$BJ$691,20,FALSE)</f>
        <v>9</v>
      </c>
      <c r="Z193" s="504">
        <f>VLOOKUP(Таблица3[[#This Row],[№ акта]],$AJ$1:$BJ$691,21,FALSE)</f>
        <v>46185</v>
      </c>
      <c r="AA193" s="504"/>
      <c r="AB193" s="504" t="str">
        <f>IF(VLOOKUP(Таблица3[[#This Row],[№ акта]],$AJ$1:$BJ$691,23,FALSE)&lt;&gt;0,VLOOKUP(Таблица3[[#This Row],[№ акта]],$AJ$1:$BJ$691,23,FALSE),"-")</f>
        <v>-</v>
      </c>
      <c r="AC19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93" s="506" t="s">
        <v>3230</v>
      </c>
      <c r="AE193" s="505">
        <v>187</v>
      </c>
      <c r="AF193" s="507">
        <v>46186</v>
      </c>
      <c r="AG193" s="505">
        <v>173</v>
      </c>
      <c r="AH193" s="505">
        <f>IFERROR(VLOOKUP(Таблица3[[#This Row],[№ акта]],'Степень зрелости 2026'!$H$12:$I$800,2,FALSE),)</f>
        <v>63</v>
      </c>
      <c r="AJ193" s="508">
        <v>187</v>
      </c>
      <c r="AK193" s="509">
        <v>46186</v>
      </c>
      <c r="AL193" s="508">
        <v>281</v>
      </c>
      <c r="AO193" s="508">
        <v>13300</v>
      </c>
      <c r="AP193" s="508">
        <v>11770.5</v>
      </c>
      <c r="AQ193" s="508" t="s">
        <v>2939</v>
      </c>
      <c r="AR193" s="508" t="s">
        <v>524</v>
      </c>
      <c r="AS193" s="508" t="s">
        <v>3103</v>
      </c>
      <c r="AT193" s="508" t="s">
        <v>1312</v>
      </c>
      <c r="AV193" s="508" t="s">
        <v>320</v>
      </c>
      <c r="AX193" s="508" t="s">
        <v>3103</v>
      </c>
      <c r="AY193" s="508" t="s">
        <v>524</v>
      </c>
      <c r="AZ193" s="508">
        <v>2</v>
      </c>
      <c r="BA193" s="508" t="s">
        <v>46</v>
      </c>
      <c r="BB193" s="508" t="s">
        <v>19</v>
      </c>
      <c r="BC193" s="508">
        <v>9</v>
      </c>
      <c r="BD193" s="509">
        <v>46185</v>
      </c>
      <c r="BG193" s="508" t="s">
        <v>724</v>
      </c>
      <c r="BH193" s="508" t="s">
        <v>2940</v>
      </c>
      <c r="BI193" s="508">
        <v>173</v>
      </c>
      <c r="BJ193" s="508">
        <v>63</v>
      </c>
    </row>
    <row r="194" spans="1:62" s="508" customFormat="1" ht="14.25" hidden="1" customHeight="1" x14ac:dyDescent="0.2">
      <c r="A194" s="495" t="s">
        <v>102</v>
      </c>
      <c r="B194" s="496"/>
      <c r="C194" s="497">
        <f>Таблица3[[#This Row],[Степень зрелости вспом]]</f>
        <v>68</v>
      </c>
      <c r="D194" s="498">
        <v>282</v>
      </c>
      <c r="E194" s="499"/>
      <c r="F194" s="496"/>
      <c r="G194" s="496">
        <v>13360</v>
      </c>
      <c r="H194" s="500"/>
      <c r="I194" s="496">
        <v>11556.4</v>
      </c>
      <c r="J194" s="495" t="s">
        <v>2939</v>
      </c>
      <c r="K194" s="495" t="s">
        <v>524</v>
      </c>
      <c r="L194" s="495" t="s">
        <v>3103</v>
      </c>
      <c r="M194" s="495" t="s">
        <v>894</v>
      </c>
      <c r="N194" s="495"/>
      <c r="O194" s="495"/>
      <c r="P194" s="495"/>
      <c r="Q194" s="495"/>
      <c r="R194" s="501" t="s">
        <v>895</v>
      </c>
      <c r="S194" s="495"/>
      <c r="T194" s="482" t="str">
        <f>VLOOKUP(Таблица3[[#This Row],[№ акта]],$AJ$1:$BJ$691,15,FALSE)</f>
        <v>А-76/3</v>
      </c>
      <c r="U194" s="482" t="str">
        <f>VLOOKUP(Таблица3[[#This Row],[№ акта]],$AJ$1:$BJ$691,16,FALSE)</f>
        <v>Авола</v>
      </c>
      <c r="V194" s="502">
        <f>VLOOKUP(Таблица3[[#This Row],[№ акта]],$AJ$1:$BJ$691,17,FALSE)</f>
        <v>2</v>
      </c>
      <c r="W194" s="502" t="str">
        <f>VLOOKUP(Таблица3[[#This Row],[№ акта]],$AJ$1:$BJ$691,18,FALSE)</f>
        <v>ГРК (богара)</v>
      </c>
      <c r="X194" s="502" t="str">
        <f>VLOOKUP(Таблица3[[#This Row],[№ акта]],$AJ$1:$BJ$691,19,FALSE)</f>
        <v>богара</v>
      </c>
      <c r="Y194" s="503">
        <f>VLOOKUP(Таблица3[[#This Row],[№ акта]],$AJ$1:$BJ$691,20,FALSE)</f>
        <v>9</v>
      </c>
      <c r="Z194" s="504">
        <f>VLOOKUP(Таблица3[[#This Row],[№ акта]],$AJ$1:$BJ$691,21,FALSE)</f>
        <v>46185</v>
      </c>
      <c r="AA194" s="504"/>
      <c r="AB194" s="504" t="str">
        <f>IF(VLOOKUP(Таблица3[[#This Row],[№ акта]],$AJ$1:$BJ$691,23,FALSE)&lt;&gt;0,VLOOKUP(Таблица3[[#This Row],[№ акта]],$AJ$1:$BJ$691,23,FALSE),"-")</f>
        <v>-</v>
      </c>
      <c r="AC19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194" s="506" t="s">
        <v>3230</v>
      </c>
      <c r="AE194" s="505">
        <v>188</v>
      </c>
      <c r="AF194" s="507">
        <v>46186</v>
      </c>
      <c r="AG194" s="505">
        <v>174</v>
      </c>
      <c r="AH194" s="505">
        <f>IFERROR(VLOOKUP(Таблица3[[#This Row],[№ акта]],'Степень зрелости 2026'!$H$12:$I$800,2,FALSE),)</f>
        <v>68</v>
      </c>
      <c r="AJ194" s="508">
        <v>188</v>
      </c>
      <c r="AK194" s="509">
        <v>46186</v>
      </c>
      <c r="AL194" s="508">
        <v>282</v>
      </c>
      <c r="AO194" s="508">
        <v>13360</v>
      </c>
      <c r="AP194" s="508">
        <v>11556.4</v>
      </c>
      <c r="AQ194" s="508" t="s">
        <v>2939</v>
      </c>
      <c r="AR194" s="508" t="s">
        <v>524</v>
      </c>
      <c r="AS194" s="508" t="s">
        <v>3103</v>
      </c>
      <c r="AT194" s="508" t="s">
        <v>894</v>
      </c>
      <c r="AV194" s="508" t="s">
        <v>895</v>
      </c>
      <c r="AX194" s="508" t="s">
        <v>3103</v>
      </c>
      <c r="AY194" s="508" t="s">
        <v>524</v>
      </c>
      <c r="AZ194" s="508">
        <v>2</v>
      </c>
      <c r="BA194" s="508" t="s">
        <v>46</v>
      </c>
      <c r="BB194" s="508" t="s">
        <v>19</v>
      </c>
      <c r="BC194" s="508">
        <v>9</v>
      </c>
      <c r="BD194" s="509">
        <v>46185</v>
      </c>
      <c r="BG194" s="508" t="s">
        <v>420</v>
      </c>
      <c r="BH194" s="508" t="s">
        <v>2940</v>
      </c>
      <c r="BI194" s="508">
        <v>174</v>
      </c>
      <c r="BJ194" s="508">
        <v>68</v>
      </c>
    </row>
    <row r="195" spans="1:62" s="508" customFormat="1" ht="14.25" hidden="1" customHeight="1" x14ac:dyDescent="0.2">
      <c r="A195" s="495" t="s">
        <v>102</v>
      </c>
      <c r="B195" s="496"/>
      <c r="C195" s="497">
        <f>Таблица3[[#This Row],[Степень зрелости вспом]]</f>
        <v>57</v>
      </c>
      <c r="D195" s="498">
        <v>284</v>
      </c>
      <c r="E195" s="499"/>
      <c r="F195" s="496"/>
      <c r="G195" s="496">
        <v>13090</v>
      </c>
      <c r="H195" s="500"/>
      <c r="I195" s="496">
        <v>11192</v>
      </c>
      <c r="J195" s="495" t="s">
        <v>2939</v>
      </c>
      <c r="K195" s="495" t="s">
        <v>524</v>
      </c>
      <c r="L195" s="495" t="s">
        <v>3103</v>
      </c>
      <c r="M195" s="495" t="s">
        <v>3195</v>
      </c>
      <c r="N195" s="495"/>
      <c r="O195" s="495"/>
      <c r="P195" s="495"/>
      <c r="Q195" s="495"/>
      <c r="R195" s="501" t="s">
        <v>3196</v>
      </c>
      <c r="S195" s="495"/>
      <c r="T195" s="482" t="str">
        <f>VLOOKUP(Таблица3[[#This Row],[№ акта]],$AJ$1:$BJ$691,15,FALSE)</f>
        <v>А-76/3</v>
      </c>
      <c r="U195" s="482" t="str">
        <f>VLOOKUP(Таблица3[[#This Row],[№ акта]],$AJ$1:$BJ$691,16,FALSE)</f>
        <v>Авола</v>
      </c>
      <c r="V195" s="502">
        <f>VLOOKUP(Таблица3[[#This Row],[№ акта]],$AJ$1:$BJ$691,17,FALSE)</f>
        <v>1.7</v>
      </c>
      <c r="W195" s="502" t="str">
        <f>VLOOKUP(Таблица3[[#This Row],[№ акта]],$AJ$1:$BJ$691,18,FALSE)</f>
        <v>ГРК (богара)</v>
      </c>
      <c r="X195" s="502" t="str">
        <f>VLOOKUP(Таблица3[[#This Row],[№ акта]],$AJ$1:$BJ$691,19,FALSE)</f>
        <v>богара</v>
      </c>
      <c r="Y195" s="503">
        <f>VLOOKUP(Таблица3[[#This Row],[№ акта]],$AJ$1:$BJ$691,20,FALSE)</f>
        <v>10</v>
      </c>
      <c r="Z195" s="504">
        <f>VLOOKUP(Таблица3[[#This Row],[№ акта]],$AJ$1:$BJ$691,21,FALSE)</f>
        <v>46186</v>
      </c>
      <c r="AA195" s="504"/>
      <c r="AB195" s="504" t="str">
        <f>IF(VLOOKUP(Таблица3[[#This Row],[№ акта]],$AJ$1:$BJ$691,23,FALSE)&lt;&gt;0,VLOOKUP(Таблица3[[#This Row],[№ акта]],$AJ$1:$BJ$691,23,FALSE),"-")</f>
        <v>-</v>
      </c>
      <c r="AC19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95" s="506" t="s">
        <v>2940</v>
      </c>
      <c r="AE195" s="505">
        <v>189</v>
      </c>
      <c r="AF195" s="507">
        <v>46186</v>
      </c>
      <c r="AG195" s="505">
        <v>175</v>
      </c>
      <c r="AH195" s="505">
        <f>IFERROR(VLOOKUP(Таблица3[[#This Row],[№ акта]],'Степень зрелости 2026'!$H$12:$I$800,2,FALSE),)</f>
        <v>57</v>
      </c>
      <c r="AJ195" s="508">
        <v>189</v>
      </c>
      <c r="AK195" s="509">
        <v>46186</v>
      </c>
      <c r="AL195" s="508">
        <v>284</v>
      </c>
      <c r="AO195" s="508">
        <v>13090</v>
      </c>
      <c r="AP195" s="508">
        <v>11192</v>
      </c>
      <c r="AQ195" s="508" t="s">
        <v>2939</v>
      </c>
      <c r="AR195" s="508" t="s">
        <v>524</v>
      </c>
      <c r="AS195" s="508" t="s">
        <v>3103</v>
      </c>
      <c r="AT195" s="508" t="s">
        <v>3195</v>
      </c>
      <c r="AV195" s="508" t="s">
        <v>3196</v>
      </c>
      <c r="AX195" s="508" t="s">
        <v>3103</v>
      </c>
      <c r="AY195" s="508" t="s">
        <v>524</v>
      </c>
      <c r="AZ195" s="508">
        <v>1.7</v>
      </c>
      <c r="BA195" s="508" t="s">
        <v>46</v>
      </c>
      <c r="BB195" s="508" t="s">
        <v>19</v>
      </c>
      <c r="BC195" s="508">
        <v>10</v>
      </c>
      <c r="BD195" s="509">
        <v>46186</v>
      </c>
      <c r="BG195" s="508" t="s">
        <v>724</v>
      </c>
      <c r="BH195" s="508" t="s">
        <v>2940</v>
      </c>
      <c r="BI195" s="508">
        <v>175</v>
      </c>
      <c r="BJ195" s="508">
        <v>57</v>
      </c>
    </row>
    <row r="196" spans="1:62" s="508" customFormat="1" ht="14.25" hidden="1" customHeight="1" x14ac:dyDescent="0.2">
      <c r="A196" s="495" t="s">
        <v>102</v>
      </c>
      <c r="B196" s="496"/>
      <c r="C196" s="497">
        <f>Таблица3[[#This Row],[Степень зрелости вспом]]</f>
        <v>55</v>
      </c>
      <c r="D196" s="498">
        <v>285</v>
      </c>
      <c r="E196" s="499"/>
      <c r="F196" s="496"/>
      <c r="G196" s="496">
        <v>17660</v>
      </c>
      <c r="H196" s="500"/>
      <c r="I196" s="496">
        <v>16777</v>
      </c>
      <c r="J196" s="495" t="s">
        <v>2939</v>
      </c>
      <c r="K196" s="495" t="s">
        <v>524</v>
      </c>
      <c r="L196" s="495" t="s">
        <v>3103</v>
      </c>
      <c r="M196" s="495" t="s">
        <v>3329</v>
      </c>
      <c r="N196" s="495"/>
      <c r="O196" s="495"/>
      <c r="P196" s="495"/>
      <c r="Q196" s="495"/>
      <c r="R196" s="501" t="s">
        <v>3384</v>
      </c>
      <c r="S196" s="495"/>
      <c r="T196" s="482" t="str">
        <f>VLOOKUP(Таблица3[[#This Row],[№ акта]],$AJ$1:$BJ$691,15,FALSE)</f>
        <v>А-76/3</v>
      </c>
      <c r="U196" s="482" t="str">
        <f>VLOOKUP(Таблица3[[#This Row],[№ акта]],$AJ$1:$BJ$691,16,FALSE)</f>
        <v>Авола</v>
      </c>
      <c r="V196" s="502">
        <f>VLOOKUP(Таблица3[[#This Row],[№ акта]],$AJ$1:$BJ$691,17,FALSE)</f>
        <v>2.2000000000000002</v>
      </c>
      <c r="W196" s="502" t="str">
        <f>VLOOKUP(Таблица3[[#This Row],[№ акта]],$AJ$1:$BJ$691,18,FALSE)</f>
        <v>ГРК (богара)</v>
      </c>
      <c r="X196" s="502" t="str">
        <f>VLOOKUP(Таблица3[[#This Row],[№ акта]],$AJ$1:$BJ$691,19,FALSE)</f>
        <v>богара</v>
      </c>
      <c r="Y196" s="503">
        <f>VLOOKUP(Таблица3[[#This Row],[№ акта]],$AJ$1:$BJ$691,20,FALSE)</f>
        <v>10</v>
      </c>
      <c r="Z196" s="504">
        <f>VLOOKUP(Таблица3[[#This Row],[№ акта]],$AJ$1:$BJ$691,21,FALSE)</f>
        <v>46186</v>
      </c>
      <c r="AA196" s="496">
        <f>Таблица3[[#This Row],[Регистратор.Вес нетто]]</f>
        <v>17660</v>
      </c>
      <c r="AB196" s="504" t="str">
        <f>IF(VLOOKUP(Таблица3[[#This Row],[№ акта]],$AJ$1:$BJ$691,23,FALSE)&lt;&gt;0,VLOOKUP(Таблица3[[#This Row],[№ акта]],$AJ$1:$BJ$691,23,FALSE),"-")</f>
        <v>Славянский консервный комбинат</v>
      </c>
      <c r="AC19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96" s="506" t="s">
        <v>2940</v>
      </c>
      <c r="AE196" s="505">
        <v>340</v>
      </c>
      <c r="AF196" s="507">
        <v>46186</v>
      </c>
      <c r="AG196" s="505" t="s">
        <v>3543</v>
      </c>
      <c r="AH196" s="505">
        <f>IFERROR(VLOOKUP(Таблица3[[#This Row],[№ акта]],'Степень зрелости 2026'!$H$12:$I$800,2,FALSE),)</f>
        <v>55</v>
      </c>
      <c r="AJ196" s="508">
        <v>340</v>
      </c>
      <c r="AK196" s="509">
        <v>46186</v>
      </c>
      <c r="AL196" s="508">
        <v>285</v>
      </c>
      <c r="AO196" s="508">
        <v>17660</v>
      </c>
      <c r="AP196" s="508">
        <v>16777</v>
      </c>
      <c r="AQ196" s="508" t="s">
        <v>2939</v>
      </c>
      <c r="AR196" s="508" t="s">
        <v>524</v>
      </c>
      <c r="AS196" s="508" t="s">
        <v>3103</v>
      </c>
      <c r="AT196" s="508" t="s">
        <v>3329</v>
      </c>
      <c r="AV196" s="508" t="s">
        <v>3384</v>
      </c>
      <c r="AX196" s="508" t="s">
        <v>3103</v>
      </c>
      <c r="AY196" s="508" t="s">
        <v>524</v>
      </c>
      <c r="AZ196" s="508">
        <v>2.2000000000000002</v>
      </c>
      <c r="BA196" s="508" t="s">
        <v>46</v>
      </c>
      <c r="BB196" s="508" t="s">
        <v>19</v>
      </c>
      <c r="BC196" s="508">
        <v>10</v>
      </c>
      <c r="BD196" s="509">
        <v>46186</v>
      </c>
      <c r="BE196" s="508">
        <v>17660</v>
      </c>
      <c r="BF196" s="508" t="s">
        <v>3328</v>
      </c>
      <c r="BG196" s="508" t="s">
        <v>724</v>
      </c>
      <c r="BH196" s="508" t="s">
        <v>2940</v>
      </c>
      <c r="BI196" s="508" t="s">
        <v>3543</v>
      </c>
      <c r="BJ196" s="508">
        <v>55</v>
      </c>
    </row>
    <row r="197" spans="1:62" s="508" customFormat="1" ht="14.25" hidden="1" customHeight="1" x14ac:dyDescent="0.2">
      <c r="A197" s="495" t="s">
        <v>102</v>
      </c>
      <c r="B197" s="496"/>
      <c r="C197" s="497">
        <f>Таблица3[[#This Row],[Степень зрелости вспом]]</f>
        <v>58</v>
      </c>
      <c r="D197" s="498">
        <v>287</v>
      </c>
      <c r="E197" s="499"/>
      <c r="F197" s="496"/>
      <c r="G197" s="496">
        <v>13190</v>
      </c>
      <c r="H197" s="500"/>
      <c r="I197" s="496">
        <v>10881.8</v>
      </c>
      <c r="J197" s="495" t="s">
        <v>2939</v>
      </c>
      <c r="K197" s="495" t="s">
        <v>524</v>
      </c>
      <c r="L197" s="495" t="s">
        <v>3103</v>
      </c>
      <c r="M197" s="495" t="s">
        <v>239</v>
      </c>
      <c r="N197" s="495"/>
      <c r="O197" s="495"/>
      <c r="P197" s="495"/>
      <c r="Q197" s="495"/>
      <c r="R197" s="501" t="s">
        <v>243</v>
      </c>
      <c r="S197" s="495"/>
      <c r="T197" s="482" t="str">
        <f>VLOOKUP(Таблица3[[#This Row],[№ акта]],$AJ$1:$BJ$691,15,FALSE)</f>
        <v>А-76/3</v>
      </c>
      <c r="U197" s="482" t="str">
        <f>VLOOKUP(Таблица3[[#This Row],[№ акта]],$AJ$1:$BJ$691,16,FALSE)</f>
        <v>Авола</v>
      </c>
      <c r="V197" s="502">
        <f>VLOOKUP(Таблица3[[#This Row],[№ акта]],$AJ$1:$BJ$691,17,FALSE)</f>
        <v>1.6</v>
      </c>
      <c r="W197" s="502" t="str">
        <f>VLOOKUP(Таблица3[[#This Row],[№ акта]],$AJ$1:$BJ$691,18,FALSE)</f>
        <v>ГРК (богара)</v>
      </c>
      <c r="X197" s="502" t="str">
        <f>VLOOKUP(Таблица3[[#This Row],[№ акта]],$AJ$1:$BJ$691,19,FALSE)</f>
        <v>богара</v>
      </c>
      <c r="Y197" s="503">
        <f>VLOOKUP(Таблица3[[#This Row],[№ акта]],$AJ$1:$BJ$691,20,FALSE)</f>
        <v>10</v>
      </c>
      <c r="Z197" s="504">
        <f>VLOOKUP(Таблица3[[#This Row],[№ акта]],$AJ$1:$BJ$691,21,FALSE)</f>
        <v>46186</v>
      </c>
      <c r="AA197" s="496"/>
      <c r="AB197" s="504" t="str">
        <f>IF(VLOOKUP(Таблица3[[#This Row],[№ акта]],$AJ$1:$BJ$691,23,FALSE)&lt;&gt;0,VLOOKUP(Таблица3[[#This Row],[№ акта]],$AJ$1:$BJ$691,23,FALSE),"-")</f>
        <v>-</v>
      </c>
      <c r="AC19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97" s="506" t="s">
        <v>2940</v>
      </c>
      <c r="AE197" s="505">
        <v>190</v>
      </c>
      <c r="AF197" s="507">
        <v>46186</v>
      </c>
      <c r="AG197" s="505">
        <v>176</v>
      </c>
      <c r="AH197" s="505">
        <f>IFERROR(VLOOKUP(Таблица3[[#This Row],[№ акта]],'Степень зрелости 2026'!$H$12:$I$800,2,FALSE),)</f>
        <v>58</v>
      </c>
      <c r="AJ197" s="508">
        <v>190</v>
      </c>
      <c r="AK197" s="509">
        <v>46186</v>
      </c>
      <c r="AL197" s="508">
        <v>287</v>
      </c>
      <c r="AO197" s="508">
        <v>13190</v>
      </c>
      <c r="AP197" s="508">
        <v>10881.8</v>
      </c>
      <c r="AQ197" s="508" t="s">
        <v>2939</v>
      </c>
      <c r="AR197" s="508" t="s">
        <v>524</v>
      </c>
      <c r="AS197" s="508" t="s">
        <v>3103</v>
      </c>
      <c r="AT197" s="508" t="s">
        <v>239</v>
      </c>
      <c r="AV197" s="508" t="s">
        <v>243</v>
      </c>
      <c r="AX197" s="508" t="s">
        <v>3103</v>
      </c>
      <c r="AY197" s="508" t="s">
        <v>524</v>
      </c>
      <c r="AZ197" s="508">
        <v>1.6</v>
      </c>
      <c r="BA197" s="508" t="s">
        <v>46</v>
      </c>
      <c r="BB197" s="508" t="s">
        <v>19</v>
      </c>
      <c r="BC197" s="508">
        <v>10</v>
      </c>
      <c r="BD197" s="509">
        <v>46186</v>
      </c>
      <c r="BG197" s="508" t="s">
        <v>724</v>
      </c>
      <c r="BH197" s="508" t="s">
        <v>2940</v>
      </c>
      <c r="BI197" s="508">
        <v>176</v>
      </c>
      <c r="BJ197" s="508">
        <v>58</v>
      </c>
    </row>
    <row r="198" spans="1:62" s="508" customFormat="1" ht="14.25" hidden="1" customHeight="1" x14ac:dyDescent="0.2">
      <c r="A198" s="495" t="s">
        <v>102</v>
      </c>
      <c r="B198" s="496"/>
      <c r="C198" s="497">
        <f>Таблица3[[#This Row],[Степень зрелости вспом]]</f>
        <v>59</v>
      </c>
      <c r="D198" s="498">
        <v>288</v>
      </c>
      <c r="E198" s="499"/>
      <c r="F198" s="496"/>
      <c r="G198" s="496">
        <v>13240</v>
      </c>
      <c r="H198" s="500"/>
      <c r="I198" s="496">
        <v>11717.4</v>
      </c>
      <c r="J198" s="495" t="s">
        <v>2939</v>
      </c>
      <c r="K198" s="495" t="s">
        <v>524</v>
      </c>
      <c r="L198" s="495" t="s">
        <v>3103</v>
      </c>
      <c r="M198" s="495" t="s">
        <v>212</v>
      </c>
      <c r="N198" s="495"/>
      <c r="O198" s="495"/>
      <c r="P198" s="495"/>
      <c r="Q198" s="495"/>
      <c r="R198" s="501" t="s">
        <v>2965</v>
      </c>
      <c r="S198" s="495"/>
      <c r="T198" s="482" t="str">
        <f>VLOOKUP(Таблица3[[#This Row],[№ акта]],$AJ$1:$BJ$691,15,FALSE)</f>
        <v>А-76/3</v>
      </c>
      <c r="U198" s="482" t="str">
        <f>VLOOKUP(Таблица3[[#This Row],[№ акта]],$AJ$1:$BJ$691,16,FALSE)</f>
        <v>Авола</v>
      </c>
      <c r="V198" s="502">
        <f>VLOOKUP(Таблица3[[#This Row],[№ акта]],$AJ$1:$BJ$691,17,FALSE)</f>
        <v>1.6</v>
      </c>
      <c r="W198" s="502" t="str">
        <f>VLOOKUP(Таблица3[[#This Row],[№ акта]],$AJ$1:$BJ$691,18,FALSE)</f>
        <v>ГРК (богара)</v>
      </c>
      <c r="X198" s="502" t="str">
        <f>VLOOKUP(Таблица3[[#This Row],[№ акта]],$AJ$1:$BJ$691,19,FALSE)</f>
        <v>богара</v>
      </c>
      <c r="Y198" s="503">
        <f>VLOOKUP(Таблица3[[#This Row],[№ акта]],$AJ$1:$BJ$691,20,FALSE)</f>
        <v>10</v>
      </c>
      <c r="Z198" s="504">
        <f>VLOOKUP(Таблица3[[#This Row],[№ акта]],$AJ$1:$BJ$691,21,FALSE)</f>
        <v>46186</v>
      </c>
      <c r="AA198" s="504"/>
      <c r="AB198" s="504" t="str">
        <f>IF(VLOOKUP(Таблица3[[#This Row],[№ акта]],$AJ$1:$BJ$691,23,FALSE)&lt;&gt;0,VLOOKUP(Таблица3[[#This Row],[№ акта]],$AJ$1:$BJ$691,23,FALSE),"-")</f>
        <v>-</v>
      </c>
      <c r="AC19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98" s="506" t="s">
        <v>2940</v>
      </c>
      <c r="AE198" s="505">
        <v>192</v>
      </c>
      <c r="AF198" s="507">
        <v>46186</v>
      </c>
      <c r="AG198" s="505">
        <v>177</v>
      </c>
      <c r="AH198" s="505">
        <f>IFERROR(VLOOKUP(Таблица3[[#This Row],[№ акта]],'Степень зрелости 2026'!$H$12:$I$800,2,FALSE),)</f>
        <v>59</v>
      </c>
      <c r="AJ198" s="508">
        <v>192</v>
      </c>
      <c r="AK198" s="509">
        <v>46186</v>
      </c>
      <c r="AL198" s="508">
        <v>288</v>
      </c>
      <c r="AO198" s="508">
        <v>13240</v>
      </c>
      <c r="AP198" s="508">
        <v>11717.4</v>
      </c>
      <c r="AQ198" s="508" t="s">
        <v>2939</v>
      </c>
      <c r="AR198" s="508" t="s">
        <v>524</v>
      </c>
      <c r="AS198" s="508" t="s">
        <v>3103</v>
      </c>
      <c r="AT198" s="508" t="s">
        <v>212</v>
      </c>
      <c r="AV198" s="508" t="s">
        <v>2965</v>
      </c>
      <c r="AX198" s="508" t="s">
        <v>3103</v>
      </c>
      <c r="AY198" s="508" t="s">
        <v>524</v>
      </c>
      <c r="AZ198" s="508">
        <v>1.6</v>
      </c>
      <c r="BA198" s="508" t="s">
        <v>46</v>
      </c>
      <c r="BB198" s="508" t="s">
        <v>19</v>
      </c>
      <c r="BC198" s="508">
        <v>10</v>
      </c>
      <c r="BD198" s="509">
        <v>46186</v>
      </c>
      <c r="BG198" s="508" t="s">
        <v>724</v>
      </c>
      <c r="BH198" s="508" t="s">
        <v>2940</v>
      </c>
      <c r="BI198" s="508">
        <v>177</v>
      </c>
      <c r="BJ198" s="508">
        <v>59</v>
      </c>
    </row>
    <row r="199" spans="1:62" s="508" customFormat="1" ht="14.25" hidden="1" customHeight="1" x14ac:dyDescent="0.2">
      <c r="A199" s="495" t="s">
        <v>102</v>
      </c>
      <c r="B199" s="496"/>
      <c r="C199" s="497">
        <f>Таблица3[[#This Row],[Степень зрелости вспом]]</f>
        <v>55</v>
      </c>
      <c r="D199" s="498">
        <v>289</v>
      </c>
      <c r="E199" s="499"/>
      <c r="F199" s="496"/>
      <c r="G199" s="496">
        <v>6690</v>
      </c>
      <c r="H199" s="500"/>
      <c r="I199" s="496">
        <v>5920.6</v>
      </c>
      <c r="J199" s="495" t="s">
        <v>2939</v>
      </c>
      <c r="K199" s="495" t="s">
        <v>524</v>
      </c>
      <c r="L199" s="495" t="s">
        <v>3103</v>
      </c>
      <c r="M199" s="495" t="s">
        <v>1792</v>
      </c>
      <c r="N199" s="495"/>
      <c r="O199" s="495"/>
      <c r="P199" s="495"/>
      <c r="Q199" s="495"/>
      <c r="R199" s="501" t="s">
        <v>80</v>
      </c>
      <c r="S199" s="495"/>
      <c r="T199" s="482" t="str">
        <f>VLOOKUP(Таблица3[[#This Row],[№ акта]],$AJ$1:$BJ$691,15,FALSE)</f>
        <v>А-76/3</v>
      </c>
      <c r="U199" s="482" t="str">
        <f>VLOOKUP(Таблица3[[#This Row],[№ акта]],$AJ$1:$BJ$691,16,FALSE)</f>
        <v>Авола</v>
      </c>
      <c r="V199" s="502">
        <f>VLOOKUP(Таблица3[[#This Row],[№ акта]],$AJ$1:$BJ$691,17,FALSE)</f>
        <v>0.8</v>
      </c>
      <c r="W199" s="502" t="str">
        <f>VLOOKUP(Таблица3[[#This Row],[№ акта]],$AJ$1:$BJ$691,18,FALSE)</f>
        <v>ГРК (богара)</v>
      </c>
      <c r="X199" s="502" t="str">
        <f>VLOOKUP(Таблица3[[#This Row],[№ акта]],$AJ$1:$BJ$691,19,FALSE)</f>
        <v>богара</v>
      </c>
      <c r="Y199" s="503">
        <f>VLOOKUP(Таблица3[[#This Row],[№ акта]],$AJ$1:$BJ$691,20,FALSE)</f>
        <v>10</v>
      </c>
      <c r="Z199" s="504">
        <f>VLOOKUP(Таблица3[[#This Row],[№ акта]],$AJ$1:$BJ$691,21,FALSE)</f>
        <v>46186</v>
      </c>
      <c r="AA199" s="504"/>
      <c r="AB199" s="504" t="str">
        <f>IF(VLOOKUP(Таблица3[[#This Row],[№ акта]],$AJ$1:$BJ$691,23,FALSE)&lt;&gt;0,VLOOKUP(Таблица3[[#This Row],[№ акта]],$AJ$1:$BJ$691,23,FALSE),"-")</f>
        <v>-</v>
      </c>
      <c r="AC19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199" s="506" t="s">
        <v>2940</v>
      </c>
      <c r="AE199" s="505">
        <v>191</v>
      </c>
      <c r="AF199" s="507">
        <v>46186</v>
      </c>
      <c r="AG199" s="505">
        <v>178</v>
      </c>
      <c r="AH199" s="505">
        <f>IFERROR(VLOOKUP(Таблица3[[#This Row],[№ акта]],'Степень зрелости 2026'!$H$12:$I$800,2,FALSE),)</f>
        <v>55</v>
      </c>
      <c r="AJ199" s="508">
        <v>191</v>
      </c>
      <c r="AK199" s="509">
        <v>46186</v>
      </c>
      <c r="AL199" s="508">
        <v>289</v>
      </c>
      <c r="AO199" s="508">
        <v>6690</v>
      </c>
      <c r="AP199" s="508">
        <v>5920.6</v>
      </c>
      <c r="AQ199" s="508" t="s">
        <v>2939</v>
      </c>
      <c r="AR199" s="508" t="s">
        <v>524</v>
      </c>
      <c r="AS199" s="508" t="s">
        <v>3103</v>
      </c>
      <c r="AT199" s="508" t="s">
        <v>1792</v>
      </c>
      <c r="AV199" s="508" t="s">
        <v>80</v>
      </c>
      <c r="AX199" s="508" t="s">
        <v>3103</v>
      </c>
      <c r="AY199" s="508" t="s">
        <v>524</v>
      </c>
      <c r="AZ199" s="508">
        <v>0.8</v>
      </c>
      <c r="BA199" s="508" t="s">
        <v>46</v>
      </c>
      <c r="BB199" s="508" t="s">
        <v>19</v>
      </c>
      <c r="BC199" s="508">
        <v>10</v>
      </c>
      <c r="BD199" s="509">
        <v>46186</v>
      </c>
      <c r="BG199" s="508" t="s">
        <v>724</v>
      </c>
      <c r="BH199" s="508" t="s">
        <v>2940</v>
      </c>
      <c r="BI199" s="508">
        <v>178</v>
      </c>
      <c r="BJ199" s="508">
        <v>55</v>
      </c>
    </row>
    <row r="200" spans="1:62" s="508" customFormat="1" ht="14.25" hidden="1" customHeight="1" x14ac:dyDescent="0.2">
      <c r="A200" s="495" t="s">
        <v>102</v>
      </c>
      <c r="B200" s="496"/>
      <c r="C200" s="497">
        <f>Таблица3[[#This Row],[Степень зрелости вспом]]</f>
        <v>60</v>
      </c>
      <c r="D200" s="498">
        <v>291</v>
      </c>
      <c r="E200" s="499"/>
      <c r="F200" s="496"/>
      <c r="G200" s="496">
        <v>4470</v>
      </c>
      <c r="H200" s="500"/>
      <c r="I200" s="496">
        <v>3777.2</v>
      </c>
      <c r="J200" s="495" t="s">
        <v>2939</v>
      </c>
      <c r="K200" s="495" t="s">
        <v>524</v>
      </c>
      <c r="L200" s="495" t="s">
        <v>3103</v>
      </c>
      <c r="M200" s="495" t="s">
        <v>762</v>
      </c>
      <c r="N200" s="495"/>
      <c r="O200" s="495"/>
      <c r="P200" s="495"/>
      <c r="Q200" s="495"/>
      <c r="R200" s="501" t="s">
        <v>763</v>
      </c>
      <c r="S200" s="495"/>
      <c r="T200" s="482" t="str">
        <f>VLOOKUP(Таблица3[[#This Row],[№ акта]],$AJ$1:$BJ$691,15,FALSE)</f>
        <v>А-76/3</v>
      </c>
      <c r="U200" s="482" t="str">
        <f>VLOOKUP(Таблица3[[#This Row],[№ акта]],$AJ$1:$BJ$691,16,FALSE)</f>
        <v>Авола</v>
      </c>
      <c r="V200" s="502">
        <f>VLOOKUP(Таблица3[[#This Row],[№ акта]],$AJ$1:$BJ$691,17,FALSE)</f>
        <v>0.6</v>
      </c>
      <c r="W200" s="502" t="str">
        <f>VLOOKUP(Таблица3[[#This Row],[№ акта]],$AJ$1:$BJ$691,18,FALSE)</f>
        <v>ГРК (богара)</v>
      </c>
      <c r="X200" s="502" t="str">
        <f>VLOOKUP(Таблица3[[#This Row],[№ акта]],$AJ$1:$BJ$691,19,FALSE)</f>
        <v>богара</v>
      </c>
      <c r="Y200" s="503">
        <f>VLOOKUP(Таблица3[[#This Row],[№ акта]],$AJ$1:$BJ$691,20,FALSE)</f>
        <v>10</v>
      </c>
      <c r="Z200" s="504">
        <f>VLOOKUP(Таблица3[[#This Row],[№ акта]],$AJ$1:$BJ$691,21,FALSE)</f>
        <v>46186</v>
      </c>
      <c r="AA200" s="504"/>
      <c r="AB200" s="504" t="str">
        <f>IF(VLOOKUP(Таблица3[[#This Row],[№ акта]],$AJ$1:$BJ$691,23,FALSE)&lt;&gt;0,VLOOKUP(Таблица3[[#This Row],[№ акта]],$AJ$1:$BJ$691,23,FALSE),"-")</f>
        <v>-</v>
      </c>
      <c r="AC20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00" s="506" t="s">
        <v>2940</v>
      </c>
      <c r="AE200" s="505">
        <v>193</v>
      </c>
      <c r="AF200" s="507">
        <v>46186</v>
      </c>
      <c r="AG200" s="505">
        <v>179</v>
      </c>
      <c r="AH200" s="505">
        <f>IFERROR(VLOOKUP(Таблица3[[#This Row],[№ акта]],'Степень зрелости 2026'!$H$12:$I$800,2,FALSE),)</f>
        <v>60</v>
      </c>
      <c r="AJ200" s="508">
        <v>193</v>
      </c>
      <c r="AK200" s="509">
        <v>46186</v>
      </c>
      <c r="AL200" s="508">
        <v>291</v>
      </c>
      <c r="AO200" s="508">
        <v>4470</v>
      </c>
      <c r="AP200" s="508">
        <v>3777.2</v>
      </c>
      <c r="AQ200" s="508" t="s">
        <v>2939</v>
      </c>
      <c r="AR200" s="508" t="s">
        <v>524</v>
      </c>
      <c r="AS200" s="508" t="s">
        <v>3103</v>
      </c>
      <c r="AT200" s="508" t="s">
        <v>762</v>
      </c>
      <c r="AV200" s="508" t="s">
        <v>763</v>
      </c>
      <c r="AX200" s="508" t="s">
        <v>3103</v>
      </c>
      <c r="AY200" s="508" t="s">
        <v>524</v>
      </c>
      <c r="AZ200" s="508">
        <v>0.6</v>
      </c>
      <c r="BA200" s="508" t="s">
        <v>46</v>
      </c>
      <c r="BB200" s="508" t="s">
        <v>19</v>
      </c>
      <c r="BC200" s="508">
        <v>10</v>
      </c>
      <c r="BD200" s="509">
        <v>46186</v>
      </c>
      <c r="BG200" s="508" t="s">
        <v>724</v>
      </c>
      <c r="BH200" s="508" t="s">
        <v>2940</v>
      </c>
      <c r="BI200" s="508">
        <v>179</v>
      </c>
      <c r="BJ200" s="508">
        <v>60</v>
      </c>
    </row>
    <row r="201" spans="1:62" s="508" customFormat="1" ht="14.25" hidden="1" customHeight="1" x14ac:dyDescent="0.2">
      <c r="A201" s="495" t="s">
        <v>102</v>
      </c>
      <c r="B201" s="496"/>
      <c r="C201" s="497">
        <f>Таблица3[[#This Row],[Степень зрелости вспом]]</f>
        <v>57</v>
      </c>
      <c r="D201" s="498">
        <v>292</v>
      </c>
      <c r="E201" s="499"/>
      <c r="F201" s="496"/>
      <c r="G201" s="496">
        <v>19880</v>
      </c>
      <c r="H201" s="500"/>
      <c r="I201" s="496">
        <v>18688</v>
      </c>
      <c r="J201" s="495" t="s">
        <v>2939</v>
      </c>
      <c r="K201" s="495" t="s">
        <v>524</v>
      </c>
      <c r="L201" s="495" t="s">
        <v>3103</v>
      </c>
      <c r="M201" s="495" t="s">
        <v>3330</v>
      </c>
      <c r="N201" s="495"/>
      <c r="O201" s="495"/>
      <c r="P201" s="495"/>
      <c r="Q201" s="495"/>
      <c r="R201" s="501" t="s">
        <v>3546</v>
      </c>
      <c r="S201" s="495"/>
      <c r="T201" s="482" t="str">
        <f>VLOOKUP(Таблица3[[#This Row],[№ акта]],$AJ$1:$BJ$691,15,FALSE)</f>
        <v>А-76/3</v>
      </c>
      <c r="U201" s="482" t="str">
        <f>VLOOKUP(Таблица3[[#This Row],[№ акта]],$AJ$1:$BJ$691,16,FALSE)</f>
        <v>Авола</v>
      </c>
      <c r="V201" s="502">
        <f>VLOOKUP(Таблица3[[#This Row],[№ акта]],$AJ$1:$BJ$691,17,FALSE)</f>
        <v>2.5</v>
      </c>
      <c r="W201" s="502" t="str">
        <f>VLOOKUP(Таблица3[[#This Row],[№ акта]],$AJ$1:$BJ$691,18,FALSE)</f>
        <v>ГРК (богара)</v>
      </c>
      <c r="X201" s="502" t="str">
        <f>VLOOKUP(Таблица3[[#This Row],[№ акта]],$AJ$1:$BJ$691,19,FALSE)</f>
        <v>богара</v>
      </c>
      <c r="Y201" s="503">
        <f>VLOOKUP(Таблица3[[#This Row],[№ акта]],$AJ$1:$BJ$691,20,FALSE)</f>
        <v>10</v>
      </c>
      <c r="Z201" s="504">
        <f>VLOOKUP(Таблица3[[#This Row],[№ акта]],$AJ$1:$BJ$691,21,FALSE)</f>
        <v>46186</v>
      </c>
      <c r="AA201" s="496">
        <f>Таблица3[[#This Row],[Регистратор.Вес нетто]]</f>
        <v>19880</v>
      </c>
      <c r="AB201" s="504" t="str">
        <f>IF(VLOOKUP(Таблица3[[#This Row],[№ акта]],$AJ$1:$BJ$691,23,FALSE)&lt;&gt;0,VLOOKUP(Таблица3[[#This Row],[№ акта]],$AJ$1:$BJ$691,23,FALSE),"-")</f>
        <v>Славянский консервный комбинат</v>
      </c>
      <c r="AC20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01" s="506" t="s">
        <v>2940</v>
      </c>
      <c r="AE201" s="505">
        <v>341</v>
      </c>
      <c r="AF201" s="507">
        <v>46186</v>
      </c>
      <c r="AG201" s="505" t="s">
        <v>3545</v>
      </c>
      <c r="AH201" s="505">
        <f>IFERROR(VLOOKUP(Таблица3[[#This Row],[№ акта]],'Степень зрелости 2026'!$H$12:$I$800,2,FALSE),)</f>
        <v>57</v>
      </c>
      <c r="AJ201" s="508">
        <v>341</v>
      </c>
      <c r="AK201" s="509">
        <v>46186</v>
      </c>
      <c r="AL201" s="508">
        <v>292</v>
      </c>
      <c r="AO201" s="508">
        <v>19880</v>
      </c>
      <c r="AP201" s="508">
        <v>18688</v>
      </c>
      <c r="AQ201" s="508" t="s">
        <v>2939</v>
      </c>
      <c r="AR201" s="508" t="s">
        <v>524</v>
      </c>
      <c r="AS201" s="508" t="s">
        <v>3103</v>
      </c>
      <c r="AT201" s="508" t="s">
        <v>3330</v>
      </c>
      <c r="AV201" s="508" t="s">
        <v>3546</v>
      </c>
      <c r="AX201" s="508" t="s">
        <v>3103</v>
      </c>
      <c r="AY201" s="508" t="s">
        <v>524</v>
      </c>
      <c r="AZ201" s="508">
        <v>2.5</v>
      </c>
      <c r="BA201" s="508" t="s">
        <v>46</v>
      </c>
      <c r="BB201" s="508" t="s">
        <v>19</v>
      </c>
      <c r="BC201" s="508">
        <v>10</v>
      </c>
      <c r="BD201" s="509">
        <v>46186</v>
      </c>
      <c r="BE201" s="508">
        <v>19880</v>
      </c>
      <c r="BF201" s="508" t="s">
        <v>3328</v>
      </c>
      <c r="BG201" s="508" t="s">
        <v>724</v>
      </c>
      <c r="BH201" s="508" t="s">
        <v>2940</v>
      </c>
      <c r="BI201" s="508" t="s">
        <v>3545</v>
      </c>
      <c r="BJ201" s="508">
        <v>57</v>
      </c>
    </row>
    <row r="202" spans="1:62" s="508" customFormat="1" ht="14.25" hidden="1" customHeight="1" x14ac:dyDescent="0.2">
      <c r="A202" s="495" t="s">
        <v>102</v>
      </c>
      <c r="B202" s="496"/>
      <c r="C202" s="497">
        <f>Таблица3[[#This Row],[Степень зрелости вспом]]</f>
        <v>65</v>
      </c>
      <c r="D202" s="498">
        <v>294</v>
      </c>
      <c r="E202" s="499"/>
      <c r="F202" s="496"/>
      <c r="G202" s="496">
        <v>13410</v>
      </c>
      <c r="H202" s="500"/>
      <c r="I202" s="496">
        <v>11733.8</v>
      </c>
      <c r="J202" s="495" t="s">
        <v>2939</v>
      </c>
      <c r="K202" s="495" t="s">
        <v>524</v>
      </c>
      <c r="L202" s="495" t="s">
        <v>3103</v>
      </c>
      <c r="M202" s="495" t="s">
        <v>239</v>
      </c>
      <c r="N202" s="495"/>
      <c r="O202" s="495"/>
      <c r="P202" s="495"/>
      <c r="Q202" s="495"/>
      <c r="R202" s="501" t="s">
        <v>243</v>
      </c>
      <c r="S202" s="495"/>
      <c r="T202" s="482" t="str">
        <f>VLOOKUP(Таблица3[[#This Row],[№ акта]],$AJ$1:$BJ$691,15,FALSE)</f>
        <v>А-76/3</v>
      </c>
      <c r="U202" s="482" t="str">
        <f>VLOOKUP(Таблица3[[#This Row],[№ акта]],$AJ$1:$BJ$691,16,FALSE)</f>
        <v>Авола</v>
      </c>
      <c r="V202" s="502">
        <f>VLOOKUP(Таблица3[[#This Row],[№ акта]],$AJ$1:$BJ$691,17,FALSE)</f>
        <v>1.7</v>
      </c>
      <c r="W202" s="502" t="str">
        <f>VLOOKUP(Таблица3[[#This Row],[№ акта]],$AJ$1:$BJ$691,18,FALSE)</f>
        <v>ГРК (богара)</v>
      </c>
      <c r="X202" s="502" t="str">
        <f>VLOOKUP(Таблица3[[#This Row],[№ акта]],$AJ$1:$BJ$691,19,FALSE)</f>
        <v>богара</v>
      </c>
      <c r="Y202" s="503">
        <f>VLOOKUP(Таблица3[[#This Row],[№ акта]],$AJ$1:$BJ$691,20,FALSE)</f>
        <v>10</v>
      </c>
      <c r="Z202" s="504">
        <f>VLOOKUP(Таблица3[[#This Row],[№ акта]],$AJ$1:$BJ$691,21,FALSE)</f>
        <v>46186</v>
      </c>
      <c r="AA202" s="504"/>
      <c r="AB202" s="504" t="str">
        <f>IF(VLOOKUP(Таблица3[[#This Row],[№ акта]],$AJ$1:$BJ$691,23,FALSE)&lt;&gt;0,VLOOKUP(Таблица3[[#This Row],[№ акта]],$AJ$1:$BJ$691,23,FALSE),"-")</f>
        <v>-</v>
      </c>
      <c r="AC20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02" s="506" t="s">
        <v>2940</v>
      </c>
      <c r="AE202" s="505">
        <v>194</v>
      </c>
      <c r="AF202" s="507">
        <v>46186</v>
      </c>
      <c r="AG202" s="505">
        <v>180</v>
      </c>
      <c r="AH202" s="505">
        <f>IFERROR(VLOOKUP(Таблица3[[#This Row],[№ акта]],'Степень зрелости 2026'!$H$12:$I$800,2,FALSE),)</f>
        <v>65</v>
      </c>
      <c r="AJ202" s="508">
        <v>194</v>
      </c>
      <c r="AK202" s="509">
        <v>46186</v>
      </c>
      <c r="AL202" s="508">
        <v>294</v>
      </c>
      <c r="AO202" s="508">
        <v>13410</v>
      </c>
      <c r="AP202" s="508">
        <v>11733.8</v>
      </c>
      <c r="AQ202" s="508" t="s">
        <v>2939</v>
      </c>
      <c r="AR202" s="508" t="s">
        <v>524</v>
      </c>
      <c r="AS202" s="508" t="s">
        <v>3103</v>
      </c>
      <c r="AT202" s="508" t="s">
        <v>239</v>
      </c>
      <c r="AV202" s="508" t="s">
        <v>243</v>
      </c>
      <c r="AX202" s="508" t="s">
        <v>3103</v>
      </c>
      <c r="AY202" s="508" t="s">
        <v>524</v>
      </c>
      <c r="AZ202" s="508">
        <v>1.7</v>
      </c>
      <c r="BA202" s="508" t="s">
        <v>46</v>
      </c>
      <c r="BB202" s="508" t="s">
        <v>19</v>
      </c>
      <c r="BC202" s="508">
        <v>10</v>
      </c>
      <c r="BD202" s="509">
        <v>46186</v>
      </c>
      <c r="BG202" s="508" t="s">
        <v>3559</v>
      </c>
      <c r="BH202" s="508" t="s">
        <v>2940</v>
      </c>
      <c r="BI202" s="508">
        <v>180</v>
      </c>
      <c r="BJ202" s="508">
        <v>65</v>
      </c>
    </row>
    <row r="203" spans="1:62" s="508" customFormat="1" ht="14.25" hidden="1" customHeight="1" x14ac:dyDescent="0.2">
      <c r="A203" s="495" t="s">
        <v>102</v>
      </c>
      <c r="B203" s="496"/>
      <c r="C203" s="497">
        <f>Таблица3[[#This Row],[Степень зрелости вспом]]</f>
        <v>66</v>
      </c>
      <c r="D203" s="498">
        <v>296</v>
      </c>
      <c r="E203" s="499"/>
      <c r="F203" s="496"/>
      <c r="G203" s="496">
        <v>13270</v>
      </c>
      <c r="H203" s="500"/>
      <c r="I203" s="496">
        <v>12009.4</v>
      </c>
      <c r="J203" s="495" t="s">
        <v>2939</v>
      </c>
      <c r="K203" s="495" t="s">
        <v>524</v>
      </c>
      <c r="L203" s="495" t="s">
        <v>3103</v>
      </c>
      <c r="M203" s="495" t="s">
        <v>3195</v>
      </c>
      <c r="N203" s="495"/>
      <c r="O203" s="495"/>
      <c r="P203" s="495"/>
      <c r="Q203" s="495"/>
      <c r="R203" s="501" t="s">
        <v>3196</v>
      </c>
      <c r="S203" s="495"/>
      <c r="T203" s="482" t="str">
        <f>VLOOKUP(Таблица3[[#This Row],[№ акта]],$AJ$1:$BJ$691,15,FALSE)</f>
        <v>А-76/3</v>
      </c>
      <c r="U203" s="482" t="str">
        <f>VLOOKUP(Таблица3[[#This Row],[№ акта]],$AJ$1:$BJ$691,16,FALSE)</f>
        <v>Авола</v>
      </c>
      <c r="V203" s="502">
        <f>VLOOKUP(Таблица3[[#This Row],[№ акта]],$AJ$1:$BJ$691,17,FALSE)</f>
        <v>1.6</v>
      </c>
      <c r="W203" s="502" t="str">
        <f>VLOOKUP(Таблица3[[#This Row],[№ акта]],$AJ$1:$BJ$691,18,FALSE)</f>
        <v>ГРК (богара)</v>
      </c>
      <c r="X203" s="502" t="str">
        <f>VLOOKUP(Таблица3[[#This Row],[№ акта]],$AJ$1:$BJ$691,19,FALSE)</f>
        <v>богара</v>
      </c>
      <c r="Y203" s="503">
        <f>VLOOKUP(Таблица3[[#This Row],[№ акта]],$AJ$1:$BJ$691,20,FALSE)</f>
        <v>10</v>
      </c>
      <c r="Z203" s="504">
        <f>VLOOKUP(Таблица3[[#This Row],[№ акта]],$AJ$1:$BJ$691,21,FALSE)</f>
        <v>46186</v>
      </c>
      <c r="AA203" s="496"/>
      <c r="AB203" s="504" t="str">
        <f>IF(VLOOKUP(Таблица3[[#This Row],[№ акта]],$AJ$1:$BJ$691,23,FALSE)&lt;&gt;0,VLOOKUP(Таблица3[[#This Row],[№ акта]],$AJ$1:$BJ$691,23,FALSE),"-")</f>
        <v>-</v>
      </c>
      <c r="AC20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03" s="506" t="s">
        <v>2940</v>
      </c>
      <c r="AE203" s="505">
        <v>195</v>
      </c>
      <c r="AF203" s="507">
        <v>46186</v>
      </c>
      <c r="AG203" s="505">
        <v>181</v>
      </c>
      <c r="AH203" s="505">
        <f>IFERROR(VLOOKUP(Таблица3[[#This Row],[№ акта]],'Степень зрелости 2026'!$H$12:$I$800,2,FALSE),)</f>
        <v>66</v>
      </c>
      <c r="AJ203" s="508">
        <v>195</v>
      </c>
      <c r="AK203" s="509">
        <v>46186</v>
      </c>
      <c r="AL203" s="508">
        <v>296</v>
      </c>
      <c r="AO203" s="508">
        <v>13270</v>
      </c>
      <c r="AP203" s="508">
        <v>12009.4</v>
      </c>
      <c r="AQ203" s="508" t="s">
        <v>2939</v>
      </c>
      <c r="AR203" s="508" t="s">
        <v>524</v>
      </c>
      <c r="AS203" s="508" t="s">
        <v>3103</v>
      </c>
      <c r="AT203" s="508" t="s">
        <v>3195</v>
      </c>
      <c r="AV203" s="508" t="s">
        <v>3196</v>
      </c>
      <c r="AX203" s="508" t="s">
        <v>3103</v>
      </c>
      <c r="AY203" s="508" t="s">
        <v>524</v>
      </c>
      <c r="AZ203" s="508">
        <v>1.6</v>
      </c>
      <c r="BA203" s="508" t="s">
        <v>46</v>
      </c>
      <c r="BB203" s="508" t="s">
        <v>19</v>
      </c>
      <c r="BC203" s="508">
        <v>10</v>
      </c>
      <c r="BD203" s="509">
        <v>46186</v>
      </c>
      <c r="BG203" s="508" t="s">
        <v>3559</v>
      </c>
      <c r="BH203" s="508" t="s">
        <v>2940</v>
      </c>
      <c r="BI203" s="508">
        <v>181</v>
      </c>
      <c r="BJ203" s="508">
        <v>66</v>
      </c>
    </row>
    <row r="204" spans="1:62" s="508" customFormat="1" ht="14.25" hidden="1" customHeight="1" x14ac:dyDescent="0.2">
      <c r="A204" s="495" t="s">
        <v>102</v>
      </c>
      <c r="B204" s="496"/>
      <c r="C204" s="497">
        <f>Таблица3[[#This Row],[Степень зрелости вспом]]</f>
        <v>57</v>
      </c>
      <c r="D204" s="498">
        <v>297</v>
      </c>
      <c r="E204" s="499"/>
      <c r="F204" s="496"/>
      <c r="G204" s="496">
        <v>13000</v>
      </c>
      <c r="H204" s="500"/>
      <c r="I204" s="496">
        <v>10985</v>
      </c>
      <c r="J204" s="495" t="s">
        <v>2939</v>
      </c>
      <c r="K204" s="495" t="s">
        <v>524</v>
      </c>
      <c r="L204" s="495" t="s">
        <v>3103</v>
      </c>
      <c r="M204" s="495" t="s">
        <v>1792</v>
      </c>
      <c r="N204" s="495"/>
      <c r="O204" s="495"/>
      <c r="P204" s="495"/>
      <c r="Q204" s="495"/>
      <c r="R204" s="501" t="s">
        <v>80</v>
      </c>
      <c r="S204" s="495"/>
      <c r="T204" s="482" t="str">
        <f>VLOOKUP(Таблица3[[#This Row],[№ акта]],$AJ$1:$BJ$691,15,FALSE)</f>
        <v>А-76/3</v>
      </c>
      <c r="U204" s="482" t="str">
        <f>VLOOKUP(Таблица3[[#This Row],[№ акта]],$AJ$1:$BJ$691,16,FALSE)</f>
        <v>Авола</v>
      </c>
      <c r="V204" s="502">
        <f>VLOOKUP(Таблица3[[#This Row],[№ акта]],$AJ$1:$BJ$691,17,FALSE)</f>
        <v>1.6</v>
      </c>
      <c r="W204" s="502" t="str">
        <f>VLOOKUP(Таблица3[[#This Row],[№ акта]],$AJ$1:$BJ$691,18,FALSE)</f>
        <v>ГРК (богара)</v>
      </c>
      <c r="X204" s="502" t="str">
        <f>VLOOKUP(Таблица3[[#This Row],[№ акта]],$AJ$1:$BJ$691,19,FALSE)</f>
        <v>богара</v>
      </c>
      <c r="Y204" s="503">
        <f>VLOOKUP(Таблица3[[#This Row],[№ акта]],$AJ$1:$BJ$691,20,FALSE)</f>
        <v>10</v>
      </c>
      <c r="Z204" s="504">
        <f>VLOOKUP(Таблица3[[#This Row],[№ акта]],$AJ$1:$BJ$691,21,FALSE)</f>
        <v>46186</v>
      </c>
      <c r="AA204" s="504"/>
      <c r="AB204" s="504" t="str">
        <f>IF(VLOOKUP(Таблица3[[#This Row],[№ акта]],$AJ$1:$BJ$691,23,FALSE)&lt;&gt;0,VLOOKUP(Таблица3[[#This Row],[№ акта]],$AJ$1:$BJ$691,23,FALSE),"-")</f>
        <v>-</v>
      </c>
      <c r="AC20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04" s="506" t="s">
        <v>2940</v>
      </c>
      <c r="AE204" s="505">
        <v>196</v>
      </c>
      <c r="AF204" s="507">
        <v>46186</v>
      </c>
      <c r="AG204" s="505">
        <v>182</v>
      </c>
      <c r="AH204" s="505">
        <f>IFERROR(VLOOKUP(Таблица3[[#This Row],[№ акта]],'Степень зрелости 2026'!$H$12:$I$800,2,FALSE),)</f>
        <v>57</v>
      </c>
      <c r="AJ204" s="508">
        <v>196</v>
      </c>
      <c r="AK204" s="509">
        <v>46186</v>
      </c>
      <c r="AL204" s="508">
        <v>297</v>
      </c>
      <c r="AO204" s="508">
        <v>13000</v>
      </c>
      <c r="AP204" s="508">
        <v>10985</v>
      </c>
      <c r="AQ204" s="508" t="s">
        <v>2939</v>
      </c>
      <c r="AR204" s="508" t="s">
        <v>524</v>
      </c>
      <c r="AS204" s="508" t="s">
        <v>3103</v>
      </c>
      <c r="AT204" s="508" t="s">
        <v>1792</v>
      </c>
      <c r="AV204" s="508" t="s">
        <v>80</v>
      </c>
      <c r="AX204" s="508" t="s">
        <v>3103</v>
      </c>
      <c r="AY204" s="508" t="s">
        <v>524</v>
      </c>
      <c r="AZ204" s="508">
        <v>1.6</v>
      </c>
      <c r="BA204" s="508" t="s">
        <v>46</v>
      </c>
      <c r="BB204" s="508" t="s">
        <v>19</v>
      </c>
      <c r="BC204" s="508">
        <v>10</v>
      </c>
      <c r="BD204" s="509">
        <v>46186</v>
      </c>
      <c r="BG204" s="508" t="s">
        <v>724</v>
      </c>
      <c r="BH204" s="508" t="s">
        <v>2940</v>
      </c>
      <c r="BI204" s="508">
        <v>182</v>
      </c>
      <c r="BJ204" s="508">
        <v>57</v>
      </c>
    </row>
    <row r="205" spans="1:62" s="508" customFormat="1" ht="14.25" hidden="1" customHeight="1" x14ac:dyDescent="0.2">
      <c r="A205" s="495" t="s">
        <v>102</v>
      </c>
      <c r="B205" s="496"/>
      <c r="C205" s="497">
        <f>Таблица3[[#This Row],[Степень зрелости вспом]]</f>
        <v>58</v>
      </c>
      <c r="D205" s="498">
        <v>298</v>
      </c>
      <c r="E205" s="499"/>
      <c r="F205" s="496"/>
      <c r="G205" s="496">
        <v>17550</v>
      </c>
      <c r="H205" s="500"/>
      <c r="I205" s="496">
        <v>16409</v>
      </c>
      <c r="J205" s="495" t="s">
        <v>2939</v>
      </c>
      <c r="K205" s="495" t="s">
        <v>524</v>
      </c>
      <c r="L205" s="495" t="s">
        <v>3103</v>
      </c>
      <c r="M205" s="495" t="s">
        <v>3331</v>
      </c>
      <c r="N205" s="495"/>
      <c r="O205" s="495"/>
      <c r="P205" s="495"/>
      <c r="Q205" s="495"/>
      <c r="R205" s="501" t="s">
        <v>3549</v>
      </c>
      <c r="S205" s="495"/>
      <c r="T205" s="482" t="str">
        <f>VLOOKUP(Таблица3[[#This Row],[№ акта]],$AJ$1:$BJ$691,15,FALSE)</f>
        <v>А-76/3</v>
      </c>
      <c r="U205" s="482" t="str">
        <f>VLOOKUP(Таблица3[[#This Row],[№ акта]],$AJ$1:$BJ$691,16,FALSE)</f>
        <v>Авола</v>
      </c>
      <c r="V205" s="502">
        <f>VLOOKUP(Таблица3[[#This Row],[№ акта]],$AJ$1:$BJ$691,17,FALSE)</f>
        <v>2.2000000000000002</v>
      </c>
      <c r="W205" s="502" t="str">
        <f>VLOOKUP(Таблица3[[#This Row],[№ акта]],$AJ$1:$BJ$691,18,FALSE)</f>
        <v>ГРК (богара)</v>
      </c>
      <c r="X205" s="502" t="str">
        <f>VLOOKUP(Таблица3[[#This Row],[№ акта]],$AJ$1:$BJ$691,19,FALSE)</f>
        <v>богара</v>
      </c>
      <c r="Y205" s="503">
        <f>VLOOKUP(Таблица3[[#This Row],[№ акта]],$AJ$1:$BJ$691,20,FALSE)</f>
        <v>10</v>
      </c>
      <c r="Z205" s="504">
        <f>VLOOKUP(Таблица3[[#This Row],[№ акта]],$AJ$1:$BJ$691,21,FALSE)</f>
        <v>46186</v>
      </c>
      <c r="AA205" s="496">
        <f>Таблица3[[#This Row],[Регистратор.Вес нетто]]</f>
        <v>17550</v>
      </c>
      <c r="AB205" s="504" t="str">
        <f>IF(VLOOKUP(Таблица3[[#This Row],[№ акта]],$AJ$1:$BJ$691,23,FALSE)&lt;&gt;0,VLOOKUP(Таблица3[[#This Row],[№ акта]],$AJ$1:$BJ$691,23,FALSE),"-")</f>
        <v>Славянский консервный комбинат</v>
      </c>
      <c r="AC20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05" s="506" t="s">
        <v>2940</v>
      </c>
      <c r="AE205" s="505">
        <v>342</v>
      </c>
      <c r="AF205" s="507">
        <v>46186</v>
      </c>
      <c r="AG205" s="505" t="s">
        <v>3548</v>
      </c>
      <c r="AH205" s="505">
        <f>IFERROR(VLOOKUP(Таблица3[[#This Row],[№ акта]],'Степень зрелости 2026'!$H$12:$I$800,2,FALSE),)</f>
        <v>58</v>
      </c>
      <c r="AJ205" s="508">
        <v>342</v>
      </c>
      <c r="AK205" s="509">
        <v>46186</v>
      </c>
      <c r="AL205" s="508">
        <v>298</v>
      </c>
      <c r="AO205" s="508">
        <v>17550</v>
      </c>
      <c r="AP205" s="508">
        <v>16409</v>
      </c>
      <c r="AQ205" s="508" t="s">
        <v>2939</v>
      </c>
      <c r="AR205" s="508" t="s">
        <v>524</v>
      </c>
      <c r="AS205" s="508" t="s">
        <v>3103</v>
      </c>
      <c r="AT205" s="508" t="s">
        <v>3331</v>
      </c>
      <c r="AV205" s="508" t="s">
        <v>3549</v>
      </c>
      <c r="AX205" s="508" t="s">
        <v>3103</v>
      </c>
      <c r="AY205" s="508" t="s">
        <v>524</v>
      </c>
      <c r="AZ205" s="508">
        <v>2.2000000000000002</v>
      </c>
      <c r="BA205" s="508" t="s">
        <v>46</v>
      </c>
      <c r="BB205" s="508" t="s">
        <v>19</v>
      </c>
      <c r="BC205" s="508">
        <v>10</v>
      </c>
      <c r="BD205" s="509">
        <v>46186</v>
      </c>
      <c r="BE205" s="508">
        <v>17550</v>
      </c>
      <c r="BF205" s="508" t="s">
        <v>3328</v>
      </c>
      <c r="BG205" s="508" t="s">
        <v>724</v>
      </c>
      <c r="BH205" s="508" t="s">
        <v>2940</v>
      </c>
      <c r="BI205" s="508" t="s">
        <v>3548</v>
      </c>
      <c r="BJ205" s="508">
        <v>58</v>
      </c>
    </row>
    <row r="206" spans="1:62" s="508" customFormat="1" ht="14.25" hidden="1" customHeight="1" x14ac:dyDescent="0.2">
      <c r="A206" s="495" t="s">
        <v>102</v>
      </c>
      <c r="B206" s="496"/>
      <c r="C206" s="497">
        <f>Таблица3[[#This Row],[Степень зрелости вспом]]</f>
        <v>58</v>
      </c>
      <c r="D206" s="498">
        <v>299</v>
      </c>
      <c r="E206" s="499"/>
      <c r="F206" s="496"/>
      <c r="G206" s="496">
        <v>13140</v>
      </c>
      <c r="H206" s="500"/>
      <c r="I206" s="496">
        <v>10709.1</v>
      </c>
      <c r="J206" s="495" t="s">
        <v>2939</v>
      </c>
      <c r="K206" s="495" t="s">
        <v>524</v>
      </c>
      <c r="L206" s="495" t="s">
        <v>3103</v>
      </c>
      <c r="M206" s="495" t="s">
        <v>212</v>
      </c>
      <c r="N206" s="495"/>
      <c r="O206" s="495"/>
      <c r="P206" s="495"/>
      <c r="Q206" s="495"/>
      <c r="R206" s="501" t="s">
        <v>2965</v>
      </c>
      <c r="S206" s="495"/>
      <c r="T206" s="482" t="str">
        <f>VLOOKUP(Таблица3[[#This Row],[№ акта]],$AJ$1:$BJ$691,15,FALSE)</f>
        <v>А-76/3</v>
      </c>
      <c r="U206" s="482" t="str">
        <f>VLOOKUP(Таблица3[[#This Row],[№ акта]],$AJ$1:$BJ$691,16,FALSE)</f>
        <v>Авола</v>
      </c>
      <c r="V206" s="502">
        <f>VLOOKUP(Таблица3[[#This Row],[№ акта]],$AJ$1:$BJ$691,17,FALSE)</f>
        <v>1.6</v>
      </c>
      <c r="W206" s="502" t="str">
        <f>VLOOKUP(Таблица3[[#This Row],[№ акта]],$AJ$1:$BJ$691,18,FALSE)</f>
        <v>ГРК (богара)</v>
      </c>
      <c r="X206" s="502" t="str">
        <f>VLOOKUP(Таблица3[[#This Row],[№ акта]],$AJ$1:$BJ$691,19,FALSE)</f>
        <v>богара</v>
      </c>
      <c r="Y206" s="503">
        <f>VLOOKUP(Таблица3[[#This Row],[№ акта]],$AJ$1:$BJ$691,20,FALSE)</f>
        <v>10</v>
      </c>
      <c r="Z206" s="504">
        <f>VLOOKUP(Таблица3[[#This Row],[№ акта]],$AJ$1:$BJ$691,21,FALSE)</f>
        <v>46186</v>
      </c>
      <c r="AA206" s="504"/>
      <c r="AB206" s="504" t="str">
        <f>IF(VLOOKUP(Таблица3[[#This Row],[№ акта]],$AJ$1:$BJ$691,23,FALSE)&lt;&gt;0,VLOOKUP(Таблица3[[#This Row],[№ акта]],$AJ$1:$BJ$691,23,FALSE),"-")</f>
        <v>-</v>
      </c>
      <c r="AC20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06" s="506" t="s">
        <v>2940</v>
      </c>
      <c r="AE206" s="505">
        <v>197</v>
      </c>
      <c r="AF206" s="507">
        <v>46186</v>
      </c>
      <c r="AG206" s="505">
        <v>183</v>
      </c>
      <c r="AH206" s="505">
        <f>IFERROR(VLOOKUP(Таблица3[[#This Row],[№ акта]],'Степень зрелости 2026'!$H$12:$I$800,2,FALSE),)</f>
        <v>58</v>
      </c>
      <c r="AJ206" s="508">
        <v>197</v>
      </c>
      <c r="AK206" s="509">
        <v>46186</v>
      </c>
      <c r="AL206" s="508">
        <v>299</v>
      </c>
      <c r="AO206" s="508">
        <v>13140</v>
      </c>
      <c r="AP206" s="508">
        <v>10709.1</v>
      </c>
      <c r="AQ206" s="508" t="s">
        <v>2939</v>
      </c>
      <c r="AR206" s="508" t="s">
        <v>524</v>
      </c>
      <c r="AS206" s="508" t="s">
        <v>3103</v>
      </c>
      <c r="AT206" s="508" t="s">
        <v>212</v>
      </c>
      <c r="AV206" s="508" t="s">
        <v>2965</v>
      </c>
      <c r="AX206" s="508" t="s">
        <v>3103</v>
      </c>
      <c r="AY206" s="508" t="s">
        <v>524</v>
      </c>
      <c r="AZ206" s="508">
        <v>1.6</v>
      </c>
      <c r="BA206" s="508" t="s">
        <v>46</v>
      </c>
      <c r="BB206" s="508" t="s">
        <v>19</v>
      </c>
      <c r="BC206" s="508">
        <v>10</v>
      </c>
      <c r="BD206" s="509">
        <v>46186</v>
      </c>
      <c r="BG206" s="508" t="s">
        <v>724</v>
      </c>
      <c r="BH206" s="508" t="s">
        <v>2940</v>
      </c>
      <c r="BI206" s="508">
        <v>183</v>
      </c>
      <c r="BJ206" s="508">
        <v>58</v>
      </c>
    </row>
    <row r="207" spans="1:62" s="508" customFormat="1" ht="14.25" hidden="1" customHeight="1" x14ac:dyDescent="0.2">
      <c r="A207" s="495" t="s">
        <v>102</v>
      </c>
      <c r="B207" s="496"/>
      <c r="C207" s="497">
        <f>Таблица3[[#This Row],[Степень зрелости вспом]]</f>
        <v>60</v>
      </c>
      <c r="D207" s="498">
        <v>300</v>
      </c>
      <c r="E207" s="499"/>
      <c r="F207" s="496"/>
      <c r="G207" s="496">
        <v>4200</v>
      </c>
      <c r="H207" s="500"/>
      <c r="I207" s="496">
        <v>3675</v>
      </c>
      <c r="J207" s="495" t="s">
        <v>2939</v>
      </c>
      <c r="K207" s="495" t="s">
        <v>524</v>
      </c>
      <c r="L207" s="495" t="s">
        <v>3103</v>
      </c>
      <c r="M207" s="495" t="s">
        <v>762</v>
      </c>
      <c r="N207" s="495"/>
      <c r="O207" s="495"/>
      <c r="P207" s="495"/>
      <c r="Q207" s="495"/>
      <c r="R207" s="501" t="s">
        <v>763</v>
      </c>
      <c r="S207" s="495"/>
      <c r="T207" s="482" t="str">
        <f>VLOOKUP(Таблица3[[#This Row],[№ акта]],$AJ$1:$BJ$691,15,FALSE)</f>
        <v>А-76/3</v>
      </c>
      <c r="U207" s="482" t="str">
        <f>VLOOKUP(Таблица3[[#This Row],[№ акта]],$AJ$1:$BJ$691,16,FALSE)</f>
        <v>Авола</v>
      </c>
      <c r="V207" s="502">
        <f>VLOOKUP(Таблица3[[#This Row],[№ акта]],$AJ$1:$BJ$691,17,FALSE)</f>
        <v>0.5</v>
      </c>
      <c r="W207" s="502" t="str">
        <f>VLOOKUP(Таблица3[[#This Row],[№ акта]],$AJ$1:$BJ$691,18,FALSE)</f>
        <v>ГРК (богара)</v>
      </c>
      <c r="X207" s="502" t="str">
        <f>VLOOKUP(Таблица3[[#This Row],[№ акта]],$AJ$1:$BJ$691,19,FALSE)</f>
        <v>богара</v>
      </c>
      <c r="Y207" s="503">
        <f>VLOOKUP(Таблица3[[#This Row],[№ акта]],$AJ$1:$BJ$691,20,FALSE)</f>
        <v>10</v>
      </c>
      <c r="Z207" s="504">
        <f>VLOOKUP(Таблица3[[#This Row],[№ акта]],$AJ$1:$BJ$691,21,FALSE)</f>
        <v>46186</v>
      </c>
      <c r="AA207" s="504"/>
      <c r="AB207" s="504" t="str">
        <f>IF(VLOOKUP(Таблица3[[#This Row],[№ акта]],$AJ$1:$BJ$691,23,FALSE)&lt;&gt;0,VLOOKUP(Таблица3[[#This Row],[№ акта]],$AJ$1:$BJ$691,23,FALSE),"-")</f>
        <v>-</v>
      </c>
      <c r="AC20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07" s="506" t="s">
        <v>2940</v>
      </c>
      <c r="AE207" s="505">
        <v>198</v>
      </c>
      <c r="AF207" s="507">
        <v>46186</v>
      </c>
      <c r="AG207" s="505">
        <v>184</v>
      </c>
      <c r="AH207" s="505">
        <f>IFERROR(VLOOKUP(Таблица3[[#This Row],[№ акта]],'Степень зрелости 2026'!$H$12:$I$800,2,FALSE),)</f>
        <v>60</v>
      </c>
      <c r="AJ207" s="508">
        <v>198</v>
      </c>
      <c r="AK207" s="509">
        <v>46186</v>
      </c>
      <c r="AL207" s="508">
        <v>300</v>
      </c>
      <c r="AO207" s="508">
        <v>4200</v>
      </c>
      <c r="AP207" s="508">
        <v>3675</v>
      </c>
      <c r="AQ207" s="508" t="s">
        <v>2939</v>
      </c>
      <c r="AR207" s="508" t="s">
        <v>524</v>
      </c>
      <c r="AS207" s="508" t="s">
        <v>3103</v>
      </c>
      <c r="AT207" s="508" t="s">
        <v>762</v>
      </c>
      <c r="AV207" s="508" t="s">
        <v>763</v>
      </c>
      <c r="AX207" s="508" t="s">
        <v>3103</v>
      </c>
      <c r="AY207" s="508" t="s">
        <v>524</v>
      </c>
      <c r="AZ207" s="508">
        <v>0.5</v>
      </c>
      <c r="BA207" s="508" t="s">
        <v>46</v>
      </c>
      <c r="BB207" s="508" t="s">
        <v>19</v>
      </c>
      <c r="BC207" s="508">
        <v>10</v>
      </c>
      <c r="BD207" s="509">
        <v>46186</v>
      </c>
      <c r="BG207" s="508" t="s">
        <v>724</v>
      </c>
      <c r="BH207" s="508" t="s">
        <v>2940</v>
      </c>
      <c r="BI207" s="508">
        <v>184</v>
      </c>
      <c r="BJ207" s="508">
        <v>60</v>
      </c>
    </row>
    <row r="208" spans="1:62" s="508" customFormat="1" ht="14.25" hidden="1" customHeight="1" x14ac:dyDescent="0.2">
      <c r="A208" s="495" t="s">
        <v>102</v>
      </c>
      <c r="B208" s="496"/>
      <c r="C208" s="497">
        <f>Таблица3[[#This Row],[Степень зрелости вспом]]</f>
        <v>65</v>
      </c>
      <c r="D208" s="498">
        <v>301</v>
      </c>
      <c r="E208" s="499"/>
      <c r="F208" s="496"/>
      <c r="G208" s="496">
        <v>12940</v>
      </c>
      <c r="H208" s="500"/>
      <c r="I208" s="496">
        <v>12098.9</v>
      </c>
      <c r="J208" s="495" t="s">
        <v>2939</v>
      </c>
      <c r="K208" s="495" t="s">
        <v>524</v>
      </c>
      <c r="L208" s="495" t="s">
        <v>3103</v>
      </c>
      <c r="M208" s="495" t="s">
        <v>3195</v>
      </c>
      <c r="N208" s="495"/>
      <c r="O208" s="495"/>
      <c r="P208" s="495"/>
      <c r="Q208" s="495"/>
      <c r="R208" s="501" t="s">
        <v>3196</v>
      </c>
      <c r="S208" s="495"/>
      <c r="T208" s="482" t="str">
        <f>VLOOKUP(Таблица3[[#This Row],[№ акта]],$AJ$1:$BJ$691,15,FALSE)</f>
        <v>А-76/3</v>
      </c>
      <c r="U208" s="482" t="str">
        <f>VLOOKUP(Таблица3[[#This Row],[№ акта]],$AJ$1:$BJ$691,16,FALSE)</f>
        <v>Авола</v>
      </c>
      <c r="V208" s="502">
        <f>VLOOKUP(Таблица3[[#This Row],[№ акта]],$AJ$1:$BJ$691,17,FALSE)</f>
        <v>1.6</v>
      </c>
      <c r="W208" s="502" t="str">
        <f>VLOOKUP(Таблица3[[#This Row],[№ акта]],$AJ$1:$BJ$691,18,FALSE)</f>
        <v>ГРК (богара)</v>
      </c>
      <c r="X208" s="502" t="str">
        <f>VLOOKUP(Таблица3[[#This Row],[№ акта]],$AJ$1:$BJ$691,19,FALSE)</f>
        <v>богара</v>
      </c>
      <c r="Y208" s="503">
        <f>VLOOKUP(Таблица3[[#This Row],[№ акта]],$AJ$1:$BJ$691,20,FALSE)</f>
        <v>10</v>
      </c>
      <c r="Z208" s="504">
        <f>VLOOKUP(Таблица3[[#This Row],[№ акта]],$AJ$1:$BJ$691,21,FALSE)</f>
        <v>46186</v>
      </c>
      <c r="AA208" s="504"/>
      <c r="AB208" s="504" t="str">
        <f>IF(VLOOKUP(Таблица3[[#This Row],[№ акта]],$AJ$1:$BJ$691,23,FALSE)&lt;&gt;0,VLOOKUP(Таблица3[[#This Row],[№ акта]],$AJ$1:$BJ$691,23,FALSE),"-")</f>
        <v>-</v>
      </c>
      <c r="AC20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08" s="506" t="s">
        <v>3230</v>
      </c>
      <c r="AE208" s="505">
        <v>199</v>
      </c>
      <c r="AF208" s="507">
        <v>46186</v>
      </c>
      <c r="AG208" s="505">
        <v>185</v>
      </c>
      <c r="AH208" s="505">
        <f>IFERROR(VLOOKUP(Таблица3[[#This Row],[№ акта]],'Степень зрелости 2026'!$H$12:$I$800,2,FALSE),)</f>
        <v>65</v>
      </c>
      <c r="AJ208" s="508">
        <v>199</v>
      </c>
      <c r="AK208" s="509">
        <v>46186</v>
      </c>
      <c r="AL208" s="508">
        <v>301</v>
      </c>
      <c r="AO208" s="508">
        <v>12940</v>
      </c>
      <c r="AP208" s="508">
        <v>12098.9</v>
      </c>
      <c r="AQ208" s="508" t="s">
        <v>2939</v>
      </c>
      <c r="AR208" s="508" t="s">
        <v>524</v>
      </c>
      <c r="AS208" s="508" t="s">
        <v>3103</v>
      </c>
      <c r="AT208" s="508" t="s">
        <v>3195</v>
      </c>
      <c r="AV208" s="508" t="s">
        <v>3196</v>
      </c>
      <c r="AX208" s="508" t="s">
        <v>3103</v>
      </c>
      <c r="AY208" s="508" t="s">
        <v>524</v>
      </c>
      <c r="AZ208" s="508">
        <v>1.6</v>
      </c>
      <c r="BA208" s="508" t="s">
        <v>46</v>
      </c>
      <c r="BB208" s="508" t="s">
        <v>19</v>
      </c>
      <c r="BC208" s="508">
        <v>10</v>
      </c>
      <c r="BD208" s="509">
        <v>46186</v>
      </c>
      <c r="BG208" s="508" t="s">
        <v>3559</v>
      </c>
      <c r="BH208" s="508" t="s">
        <v>2940</v>
      </c>
      <c r="BI208" s="508">
        <v>185</v>
      </c>
      <c r="BJ208" s="508">
        <v>65</v>
      </c>
    </row>
    <row r="209" spans="1:62" s="508" customFormat="1" ht="14.25" hidden="1" customHeight="1" x14ac:dyDescent="0.2">
      <c r="A209" s="495" t="s">
        <v>102</v>
      </c>
      <c r="B209" s="496"/>
      <c r="C209" s="497">
        <f>Таблица3[[#This Row],[Степень зрелости вспом]]</f>
        <v>70</v>
      </c>
      <c r="D209" s="498">
        <v>302</v>
      </c>
      <c r="E209" s="499"/>
      <c r="F209" s="496"/>
      <c r="G209" s="496">
        <v>12780</v>
      </c>
      <c r="H209" s="500"/>
      <c r="I209" s="496">
        <v>11821.5</v>
      </c>
      <c r="J209" s="495" t="s">
        <v>2939</v>
      </c>
      <c r="K209" s="495" t="s">
        <v>524</v>
      </c>
      <c r="L209" s="495" t="s">
        <v>3103</v>
      </c>
      <c r="M209" s="495" t="s">
        <v>239</v>
      </c>
      <c r="N209" s="495"/>
      <c r="O209" s="495"/>
      <c r="P209" s="495"/>
      <c r="Q209" s="495"/>
      <c r="R209" s="501" t="s">
        <v>243</v>
      </c>
      <c r="S209" s="495"/>
      <c r="T209" s="482" t="str">
        <f>VLOOKUP(Таблица3[[#This Row],[№ акта]],$AJ$1:$BJ$691,15,FALSE)</f>
        <v>А-76/3</v>
      </c>
      <c r="U209" s="482" t="str">
        <f>VLOOKUP(Таблица3[[#This Row],[№ акта]],$AJ$1:$BJ$691,16,FALSE)</f>
        <v>Авола</v>
      </c>
      <c r="V209" s="502">
        <f>VLOOKUP(Таблица3[[#This Row],[№ акта]],$AJ$1:$BJ$691,17,FALSE)</f>
        <v>1.6</v>
      </c>
      <c r="W209" s="502" t="str">
        <f>VLOOKUP(Таблица3[[#This Row],[№ акта]],$AJ$1:$BJ$691,18,FALSE)</f>
        <v>ГРК (богара)</v>
      </c>
      <c r="X209" s="502" t="str">
        <f>VLOOKUP(Таблица3[[#This Row],[№ акта]],$AJ$1:$BJ$691,19,FALSE)</f>
        <v>богара</v>
      </c>
      <c r="Y209" s="503">
        <f>VLOOKUP(Таблица3[[#This Row],[№ акта]],$AJ$1:$BJ$691,20,FALSE)</f>
        <v>10</v>
      </c>
      <c r="Z209" s="504">
        <f>VLOOKUP(Таблица3[[#This Row],[№ акта]],$AJ$1:$BJ$691,21,FALSE)</f>
        <v>46186</v>
      </c>
      <c r="AA209" s="496"/>
      <c r="AB209" s="504" t="str">
        <f>IF(VLOOKUP(Таблица3[[#This Row],[№ акта]],$AJ$1:$BJ$691,23,FALSE)&lt;&gt;0,VLOOKUP(Таблица3[[#This Row],[№ акта]],$AJ$1:$BJ$691,23,FALSE),"-")</f>
        <v>-</v>
      </c>
      <c r="AC20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209" s="506" t="s">
        <v>3230</v>
      </c>
      <c r="AE209" s="505">
        <v>200</v>
      </c>
      <c r="AF209" s="507">
        <v>46186</v>
      </c>
      <c r="AG209" s="505">
        <v>186</v>
      </c>
      <c r="AH209" s="505">
        <f>IFERROR(VLOOKUP(Таблица3[[#This Row],[№ акта]],'Степень зрелости 2026'!$H$12:$I$800,2,FALSE),)</f>
        <v>70</v>
      </c>
      <c r="AJ209" s="508">
        <v>200</v>
      </c>
      <c r="AK209" s="509">
        <v>46186</v>
      </c>
      <c r="AL209" s="508">
        <v>302</v>
      </c>
      <c r="AO209" s="508">
        <v>12780</v>
      </c>
      <c r="AP209" s="508">
        <v>11821.5</v>
      </c>
      <c r="AQ209" s="508" t="s">
        <v>2939</v>
      </c>
      <c r="AR209" s="508" t="s">
        <v>524</v>
      </c>
      <c r="AS209" s="508" t="s">
        <v>3103</v>
      </c>
      <c r="AT209" s="508" t="s">
        <v>239</v>
      </c>
      <c r="AV209" s="508" t="s">
        <v>243</v>
      </c>
      <c r="AX209" s="508" t="s">
        <v>3103</v>
      </c>
      <c r="AY209" s="508" t="s">
        <v>524</v>
      </c>
      <c r="AZ209" s="508">
        <v>1.6</v>
      </c>
      <c r="BA209" s="508" t="s">
        <v>46</v>
      </c>
      <c r="BB209" s="508" t="s">
        <v>19</v>
      </c>
      <c r="BC209" s="508">
        <v>10</v>
      </c>
      <c r="BD209" s="509">
        <v>46186</v>
      </c>
      <c r="BG209" s="508" t="s">
        <v>420</v>
      </c>
      <c r="BH209" s="508" t="s">
        <v>2940</v>
      </c>
      <c r="BI209" s="508">
        <v>186</v>
      </c>
      <c r="BJ209" s="508">
        <v>70</v>
      </c>
    </row>
    <row r="210" spans="1:62" s="508" customFormat="1" ht="14.25" hidden="1" customHeight="1" x14ac:dyDescent="0.2">
      <c r="A210" s="495" t="s">
        <v>102</v>
      </c>
      <c r="B210" s="496"/>
      <c r="C210" s="497">
        <f>Таблица3[[#This Row],[Степень зрелости вспом]]</f>
        <v>65</v>
      </c>
      <c r="D210" s="498">
        <v>303</v>
      </c>
      <c r="E210" s="499"/>
      <c r="F210" s="496"/>
      <c r="G210" s="496">
        <v>12660</v>
      </c>
      <c r="H210" s="500"/>
      <c r="I210" s="496">
        <v>11710.5</v>
      </c>
      <c r="J210" s="495" t="s">
        <v>2939</v>
      </c>
      <c r="K210" s="495" t="s">
        <v>524</v>
      </c>
      <c r="L210" s="495" t="s">
        <v>3103</v>
      </c>
      <c r="M210" s="495" t="s">
        <v>1792</v>
      </c>
      <c r="N210" s="495"/>
      <c r="O210" s="495"/>
      <c r="P210" s="495"/>
      <c r="Q210" s="495"/>
      <c r="R210" s="501" t="s">
        <v>80</v>
      </c>
      <c r="S210" s="495"/>
      <c r="T210" s="482" t="str">
        <f>VLOOKUP(Таблица3[[#This Row],[№ акта]],$AJ$1:$BJ$691,15,FALSE)</f>
        <v>А-76/3</v>
      </c>
      <c r="U210" s="482" t="str">
        <f>VLOOKUP(Таблица3[[#This Row],[№ акта]],$AJ$1:$BJ$691,16,FALSE)</f>
        <v>Авола</v>
      </c>
      <c r="V210" s="502">
        <f>VLOOKUP(Таблица3[[#This Row],[№ акта]],$AJ$1:$BJ$691,17,FALSE)</f>
        <v>1.6</v>
      </c>
      <c r="W210" s="502" t="str">
        <f>VLOOKUP(Таблица3[[#This Row],[№ акта]],$AJ$1:$BJ$691,18,FALSE)</f>
        <v>ГРК (богара)</v>
      </c>
      <c r="X210" s="502" t="str">
        <f>VLOOKUP(Таблица3[[#This Row],[№ акта]],$AJ$1:$BJ$691,19,FALSE)</f>
        <v>богара</v>
      </c>
      <c r="Y210" s="503">
        <f>VLOOKUP(Таблица3[[#This Row],[№ акта]],$AJ$1:$BJ$691,20,FALSE)</f>
        <v>10</v>
      </c>
      <c r="Z210" s="504">
        <f>VLOOKUP(Таблица3[[#This Row],[№ акта]],$AJ$1:$BJ$691,21,FALSE)</f>
        <v>46186</v>
      </c>
      <c r="AA210" s="504"/>
      <c r="AB210" s="504" t="str">
        <f>IF(VLOOKUP(Таблица3[[#This Row],[№ акта]],$AJ$1:$BJ$691,23,FALSE)&lt;&gt;0,VLOOKUP(Таблица3[[#This Row],[№ акта]],$AJ$1:$BJ$691,23,FALSE),"-")</f>
        <v>-</v>
      </c>
      <c r="AC21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10" s="506" t="s">
        <v>3230</v>
      </c>
      <c r="AE210" s="505">
        <v>203</v>
      </c>
      <c r="AF210" s="507">
        <v>46186</v>
      </c>
      <c r="AG210" s="505">
        <v>187</v>
      </c>
      <c r="AH210" s="505">
        <f>IFERROR(VLOOKUP(Таблица3[[#This Row],[№ акта]],'Степень зрелости 2026'!$H$12:$I$800,2,FALSE),)</f>
        <v>65</v>
      </c>
      <c r="AJ210" s="508">
        <v>203</v>
      </c>
      <c r="AK210" s="509">
        <v>46186</v>
      </c>
      <c r="AL210" s="508">
        <v>303</v>
      </c>
      <c r="AO210" s="508">
        <v>12660</v>
      </c>
      <c r="AP210" s="508">
        <v>11710.5</v>
      </c>
      <c r="AQ210" s="508" t="s">
        <v>2939</v>
      </c>
      <c r="AR210" s="508" t="s">
        <v>524</v>
      </c>
      <c r="AS210" s="508" t="s">
        <v>3103</v>
      </c>
      <c r="AT210" s="508" t="s">
        <v>1792</v>
      </c>
      <c r="AV210" s="508" t="s">
        <v>80</v>
      </c>
      <c r="AX210" s="508" t="s">
        <v>3103</v>
      </c>
      <c r="AY210" s="508" t="s">
        <v>524</v>
      </c>
      <c r="AZ210" s="508">
        <v>1.6</v>
      </c>
      <c r="BA210" s="508" t="s">
        <v>46</v>
      </c>
      <c r="BB210" s="508" t="s">
        <v>19</v>
      </c>
      <c r="BC210" s="508">
        <v>10</v>
      </c>
      <c r="BD210" s="509">
        <v>46186</v>
      </c>
      <c r="BG210" s="508" t="s">
        <v>3559</v>
      </c>
      <c r="BH210" s="508" t="s">
        <v>2940</v>
      </c>
      <c r="BI210" s="508">
        <v>187</v>
      </c>
      <c r="BJ210" s="508">
        <v>65</v>
      </c>
    </row>
    <row r="211" spans="1:62" s="508" customFormat="1" ht="14.25" hidden="1" customHeight="1" x14ac:dyDescent="0.2">
      <c r="A211" s="495" t="s">
        <v>102</v>
      </c>
      <c r="B211" s="496"/>
      <c r="C211" s="497">
        <f>Таблица3[[#This Row],[Степень зрелости вспом]]</f>
        <v>64</v>
      </c>
      <c r="D211" s="498">
        <v>304</v>
      </c>
      <c r="E211" s="499"/>
      <c r="F211" s="496"/>
      <c r="G211" s="496">
        <v>2160</v>
      </c>
      <c r="H211" s="500"/>
      <c r="I211" s="496">
        <v>1998</v>
      </c>
      <c r="J211" s="495" t="s">
        <v>2939</v>
      </c>
      <c r="K211" s="495" t="s">
        <v>524</v>
      </c>
      <c r="L211" s="495" t="s">
        <v>3103</v>
      </c>
      <c r="M211" s="495" t="s">
        <v>762</v>
      </c>
      <c r="N211" s="495"/>
      <c r="O211" s="495"/>
      <c r="P211" s="495"/>
      <c r="Q211" s="495"/>
      <c r="R211" s="501" t="s">
        <v>763</v>
      </c>
      <c r="S211" s="495"/>
      <c r="T211" s="482" t="str">
        <f>VLOOKUP(Таблица3[[#This Row],[№ акта]],$AJ$1:$BJ$691,15,FALSE)</f>
        <v>А-76/3</v>
      </c>
      <c r="U211" s="482" t="str">
        <f>VLOOKUP(Таблица3[[#This Row],[№ акта]],$AJ$1:$BJ$691,16,FALSE)</f>
        <v>Авола</v>
      </c>
      <c r="V211" s="502">
        <f>VLOOKUP(Таблица3[[#This Row],[№ акта]],$AJ$1:$BJ$691,17,FALSE)</f>
        <v>0.3</v>
      </c>
      <c r="W211" s="502" t="str">
        <f>VLOOKUP(Таблица3[[#This Row],[№ акта]],$AJ$1:$BJ$691,18,FALSE)</f>
        <v>ГРК (богара)</v>
      </c>
      <c r="X211" s="502" t="str">
        <f>VLOOKUP(Таблица3[[#This Row],[№ акта]],$AJ$1:$BJ$691,19,FALSE)</f>
        <v>богара</v>
      </c>
      <c r="Y211" s="503">
        <f>VLOOKUP(Таблица3[[#This Row],[№ акта]],$AJ$1:$BJ$691,20,FALSE)</f>
        <v>10</v>
      </c>
      <c r="Z211" s="504">
        <f>VLOOKUP(Таблица3[[#This Row],[№ акта]],$AJ$1:$BJ$691,21,FALSE)</f>
        <v>46186</v>
      </c>
      <c r="AA211" s="504"/>
      <c r="AB211" s="504" t="str">
        <f>IF(VLOOKUP(Таблица3[[#This Row],[№ акта]],$AJ$1:$BJ$691,23,FALSE)&lt;&gt;0,VLOOKUP(Таблица3[[#This Row],[№ акта]],$AJ$1:$BJ$691,23,FALSE),"-")</f>
        <v>-</v>
      </c>
      <c r="AC21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11" s="506" t="s">
        <v>3230</v>
      </c>
      <c r="AE211" s="505">
        <v>201</v>
      </c>
      <c r="AF211" s="507">
        <v>46186</v>
      </c>
      <c r="AG211" s="505">
        <v>188</v>
      </c>
      <c r="AH211" s="505">
        <f>IFERROR(VLOOKUP(Таблица3[[#This Row],[№ акта]],'Степень зрелости 2026'!$H$12:$I$800,2,FALSE),)</f>
        <v>64</v>
      </c>
      <c r="AJ211" s="508">
        <v>201</v>
      </c>
      <c r="AK211" s="509">
        <v>46186</v>
      </c>
      <c r="AL211" s="508">
        <v>304</v>
      </c>
      <c r="AO211" s="508">
        <v>2160</v>
      </c>
      <c r="AP211" s="508">
        <v>1998</v>
      </c>
      <c r="AQ211" s="508" t="s">
        <v>2939</v>
      </c>
      <c r="AR211" s="508" t="s">
        <v>524</v>
      </c>
      <c r="AS211" s="508" t="s">
        <v>3103</v>
      </c>
      <c r="AT211" s="508" t="s">
        <v>762</v>
      </c>
      <c r="AV211" s="508" t="s">
        <v>763</v>
      </c>
      <c r="AX211" s="508" t="s">
        <v>3103</v>
      </c>
      <c r="AY211" s="508" t="s">
        <v>524</v>
      </c>
      <c r="AZ211" s="508">
        <v>0.3</v>
      </c>
      <c r="BA211" s="508" t="s">
        <v>46</v>
      </c>
      <c r="BB211" s="508" t="s">
        <v>19</v>
      </c>
      <c r="BC211" s="508">
        <v>10</v>
      </c>
      <c r="BD211" s="509">
        <v>46186</v>
      </c>
      <c r="BG211" s="508" t="s">
        <v>3559</v>
      </c>
      <c r="BH211" s="508" t="s">
        <v>2940</v>
      </c>
      <c r="BI211" s="508">
        <v>188</v>
      </c>
      <c r="BJ211" s="508">
        <v>64</v>
      </c>
    </row>
    <row r="212" spans="1:62" s="508" customFormat="1" ht="14.25" hidden="1" customHeight="1" x14ac:dyDescent="0.2">
      <c r="A212" s="495" t="s">
        <v>102</v>
      </c>
      <c r="B212" s="496"/>
      <c r="C212" s="497">
        <f>Таблица3[[#This Row],[Степень зрелости вспом]]</f>
        <v>66</v>
      </c>
      <c r="D212" s="498">
        <v>306</v>
      </c>
      <c r="E212" s="499"/>
      <c r="F212" s="496"/>
      <c r="G212" s="496">
        <v>6790</v>
      </c>
      <c r="H212" s="500"/>
      <c r="I212" s="496">
        <v>6348.7</v>
      </c>
      <c r="J212" s="495" t="s">
        <v>2939</v>
      </c>
      <c r="K212" s="495" t="s">
        <v>524</v>
      </c>
      <c r="L212" s="495" t="s">
        <v>3103</v>
      </c>
      <c r="M212" s="495" t="s">
        <v>212</v>
      </c>
      <c r="N212" s="495"/>
      <c r="O212" s="495"/>
      <c r="P212" s="495"/>
      <c r="Q212" s="495"/>
      <c r="R212" s="501" t="s">
        <v>2965</v>
      </c>
      <c r="S212" s="495"/>
      <c r="T212" s="482" t="str">
        <f>VLOOKUP(Таблица3[[#This Row],[№ акта]],$AJ$1:$BJ$691,15,FALSE)</f>
        <v>А-76/3</v>
      </c>
      <c r="U212" s="482" t="str">
        <f>VLOOKUP(Таблица3[[#This Row],[№ акта]],$AJ$1:$BJ$691,16,FALSE)</f>
        <v>Авола</v>
      </c>
      <c r="V212" s="502">
        <f>VLOOKUP(Таблица3[[#This Row],[№ акта]],$AJ$1:$BJ$691,17,FALSE)</f>
        <v>0.7</v>
      </c>
      <c r="W212" s="502" t="str">
        <f>VLOOKUP(Таблица3[[#This Row],[№ акта]],$AJ$1:$BJ$691,18,FALSE)</f>
        <v>ГРК (богара)</v>
      </c>
      <c r="X212" s="502" t="str">
        <f>VLOOKUP(Таблица3[[#This Row],[№ акта]],$AJ$1:$BJ$691,19,FALSE)</f>
        <v>богара</v>
      </c>
      <c r="Y212" s="503">
        <f>VLOOKUP(Таблица3[[#This Row],[№ акта]],$AJ$1:$BJ$691,20,FALSE)</f>
        <v>10</v>
      </c>
      <c r="Z212" s="504">
        <f>VLOOKUP(Таблица3[[#This Row],[№ акта]],$AJ$1:$BJ$691,21,FALSE)</f>
        <v>46186</v>
      </c>
      <c r="AA212" s="504"/>
      <c r="AB212" s="504" t="str">
        <f>IF(VLOOKUP(Таблица3[[#This Row],[№ акта]],$AJ$1:$BJ$691,23,FALSE)&lt;&gt;0,VLOOKUP(Таблица3[[#This Row],[№ акта]],$AJ$1:$BJ$691,23,FALSE),"-")</f>
        <v>-</v>
      </c>
      <c r="AC21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12" s="506" t="s">
        <v>3230</v>
      </c>
      <c r="AE212" s="505">
        <v>202</v>
      </c>
      <c r="AF212" s="507">
        <v>46186</v>
      </c>
      <c r="AG212" s="505">
        <v>189</v>
      </c>
      <c r="AH212" s="505">
        <f>IFERROR(VLOOKUP(Таблица3[[#This Row],[№ акта]],'Степень зрелости 2026'!$H$12:$I$800,2,FALSE),)</f>
        <v>66</v>
      </c>
      <c r="AJ212" s="508">
        <v>202</v>
      </c>
      <c r="AK212" s="509">
        <v>46186</v>
      </c>
      <c r="AL212" s="508">
        <v>306</v>
      </c>
      <c r="AO212" s="508">
        <v>6790</v>
      </c>
      <c r="AP212" s="508">
        <v>6348.7</v>
      </c>
      <c r="AQ212" s="508" t="s">
        <v>2939</v>
      </c>
      <c r="AR212" s="508" t="s">
        <v>524</v>
      </c>
      <c r="AS212" s="508" t="s">
        <v>3103</v>
      </c>
      <c r="AT212" s="508" t="s">
        <v>212</v>
      </c>
      <c r="AV212" s="508" t="s">
        <v>2965</v>
      </c>
      <c r="AX212" s="508" t="s">
        <v>3103</v>
      </c>
      <c r="AY212" s="508" t="s">
        <v>524</v>
      </c>
      <c r="AZ212" s="508">
        <v>0.7</v>
      </c>
      <c r="BA212" s="508" t="s">
        <v>46</v>
      </c>
      <c r="BB212" s="508" t="s">
        <v>19</v>
      </c>
      <c r="BC212" s="508">
        <v>10</v>
      </c>
      <c r="BD212" s="509">
        <v>46186</v>
      </c>
      <c r="BG212" s="508" t="s">
        <v>3559</v>
      </c>
      <c r="BH212" s="508" t="s">
        <v>2940</v>
      </c>
      <c r="BI212" s="508">
        <v>189</v>
      </c>
      <c r="BJ212" s="508">
        <v>66</v>
      </c>
    </row>
    <row r="213" spans="1:62" s="508" customFormat="1" ht="14.25" hidden="1" customHeight="1" x14ac:dyDescent="0.2">
      <c r="A213" s="495" t="s">
        <v>102</v>
      </c>
      <c r="B213" s="496"/>
      <c r="C213" s="497">
        <f>Таблица3[[#This Row],[Степень зрелости вспом]]</f>
        <v>68</v>
      </c>
      <c r="D213" s="498">
        <v>307</v>
      </c>
      <c r="E213" s="499"/>
      <c r="F213" s="496"/>
      <c r="G213" s="496">
        <v>8700</v>
      </c>
      <c r="H213" s="500"/>
      <c r="I213" s="496">
        <v>8091</v>
      </c>
      <c r="J213" s="495" t="s">
        <v>2939</v>
      </c>
      <c r="K213" s="495" t="s">
        <v>524</v>
      </c>
      <c r="L213" s="495" t="s">
        <v>3105</v>
      </c>
      <c r="M213" s="495" t="s">
        <v>305</v>
      </c>
      <c r="N213" s="495"/>
      <c r="O213" s="495"/>
      <c r="P213" s="495"/>
      <c r="Q213" s="495"/>
      <c r="R213" s="501" t="s">
        <v>309</v>
      </c>
      <c r="S213" s="495"/>
      <c r="T213" s="482" t="str">
        <f>VLOOKUP(Таблица3[[#This Row],[№ акта]],$AJ$1:$BJ$691,15,FALSE)</f>
        <v>А-105/1</v>
      </c>
      <c r="U213" s="482" t="str">
        <f>VLOOKUP(Таблица3[[#This Row],[№ акта]],$AJ$1:$BJ$691,16,FALSE)</f>
        <v>Авола</v>
      </c>
      <c r="V213" s="502">
        <f>VLOOKUP(Таблица3[[#This Row],[№ акта]],$AJ$1:$BJ$691,17,FALSE)</f>
        <v>1.1000000000000001</v>
      </c>
      <c r="W213" s="502" t="str">
        <f>VLOOKUP(Таблица3[[#This Row],[№ акта]],$AJ$1:$BJ$691,18,FALSE)</f>
        <v>ГРК (богара)</v>
      </c>
      <c r="X213" s="502" t="str">
        <f>VLOOKUP(Таблица3[[#This Row],[№ акта]],$AJ$1:$BJ$691,19,FALSE)</f>
        <v>богара</v>
      </c>
      <c r="Y213" s="503">
        <f>VLOOKUP(Таблица3[[#This Row],[№ акта]],$AJ$1:$BJ$691,20,FALSE)</f>
        <v>11</v>
      </c>
      <c r="Z213" s="504">
        <f>VLOOKUP(Таблица3[[#This Row],[№ акта]],$AJ$1:$BJ$691,21,FALSE)</f>
        <v>46187</v>
      </c>
      <c r="AA213" s="504"/>
      <c r="AB213" s="504" t="str">
        <f>IF(VLOOKUP(Таблица3[[#This Row],[№ акта]],$AJ$1:$BJ$691,23,FALSE)&lt;&gt;0,VLOOKUP(Таблица3[[#This Row],[№ акта]],$AJ$1:$BJ$691,23,FALSE),"-")</f>
        <v>-</v>
      </c>
      <c r="AC21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213" s="506" t="s">
        <v>3230</v>
      </c>
      <c r="AE213" s="505">
        <v>204</v>
      </c>
      <c r="AF213" s="507">
        <v>46187</v>
      </c>
      <c r="AG213" s="505">
        <v>190</v>
      </c>
      <c r="AH213" s="505">
        <f>IFERROR(VLOOKUP(Таблица3[[#This Row],[№ акта]],'Степень зрелости 2026'!$H$12:$I$800,2,FALSE),)</f>
        <v>68</v>
      </c>
      <c r="AJ213" s="508">
        <v>204</v>
      </c>
      <c r="AK213" s="509">
        <v>46187</v>
      </c>
      <c r="AL213" s="508">
        <v>307</v>
      </c>
      <c r="AO213" s="508">
        <v>8700</v>
      </c>
      <c r="AP213" s="508">
        <v>8091</v>
      </c>
      <c r="AQ213" s="508" t="s">
        <v>2939</v>
      </c>
      <c r="AR213" s="508" t="s">
        <v>524</v>
      </c>
      <c r="AS213" s="508" t="s">
        <v>3105</v>
      </c>
      <c r="AT213" s="508" t="s">
        <v>305</v>
      </c>
      <c r="AV213" s="508" t="s">
        <v>309</v>
      </c>
      <c r="AX213" s="508" t="s">
        <v>3093</v>
      </c>
      <c r="AY213" s="508" t="s">
        <v>524</v>
      </c>
      <c r="AZ213" s="508">
        <v>1.1000000000000001</v>
      </c>
      <c r="BA213" s="508" t="s">
        <v>46</v>
      </c>
      <c r="BB213" s="508" t="s">
        <v>19</v>
      </c>
      <c r="BC213" s="508">
        <v>11</v>
      </c>
      <c r="BD213" s="509">
        <v>46187</v>
      </c>
      <c r="BG213" s="508" t="s">
        <v>420</v>
      </c>
      <c r="BH213" s="508" t="s">
        <v>2940</v>
      </c>
      <c r="BI213" s="508">
        <v>190</v>
      </c>
      <c r="BJ213" s="508">
        <v>68</v>
      </c>
    </row>
    <row r="214" spans="1:62" s="508" customFormat="1" ht="14.25" hidden="1" customHeight="1" x14ac:dyDescent="0.2">
      <c r="A214" s="495" t="s">
        <v>102</v>
      </c>
      <c r="B214" s="496"/>
      <c r="C214" s="497">
        <f>Таблица3[[#This Row],[Степень зрелости вспом]]</f>
        <v>57</v>
      </c>
      <c r="D214" s="498">
        <v>309</v>
      </c>
      <c r="E214" s="499"/>
      <c r="F214" s="496"/>
      <c r="G214" s="496">
        <v>13510</v>
      </c>
      <c r="H214" s="500"/>
      <c r="I214" s="496">
        <v>10537.8</v>
      </c>
      <c r="J214" s="495" t="s">
        <v>2939</v>
      </c>
      <c r="K214" s="495" t="s">
        <v>524</v>
      </c>
      <c r="L214" s="495" t="s">
        <v>3093</v>
      </c>
      <c r="M214" s="495" t="s">
        <v>3204</v>
      </c>
      <c r="N214" s="495"/>
      <c r="O214" s="495"/>
      <c r="P214" s="495"/>
      <c r="Q214" s="495"/>
      <c r="R214" s="501" t="s">
        <v>3303</v>
      </c>
      <c r="S214" s="495"/>
      <c r="T214" s="482" t="str">
        <f>VLOOKUP(Таблица3[[#This Row],[№ акта]],$AJ$1:$BJ$691,15,FALSE)</f>
        <v>А-105/1</v>
      </c>
      <c r="U214" s="482" t="str">
        <f>VLOOKUP(Таблица3[[#This Row],[№ акта]],$AJ$1:$BJ$691,16,FALSE)</f>
        <v>Авола</v>
      </c>
      <c r="V214" s="502">
        <f>VLOOKUP(Таблица3[[#This Row],[№ акта]],$AJ$1:$BJ$691,17,FALSE)</f>
        <v>1.8</v>
      </c>
      <c r="W214" s="502" t="str">
        <f>VLOOKUP(Таблица3[[#This Row],[№ акта]],$AJ$1:$BJ$691,18,FALSE)</f>
        <v>ГРК (богара)</v>
      </c>
      <c r="X214" s="502" t="str">
        <f>VLOOKUP(Таблица3[[#This Row],[№ акта]],$AJ$1:$BJ$691,19,FALSE)</f>
        <v>богара</v>
      </c>
      <c r="Y214" s="503">
        <f>VLOOKUP(Таблица3[[#This Row],[№ акта]],$AJ$1:$BJ$691,20,FALSE)</f>
        <v>11</v>
      </c>
      <c r="Z214" s="504">
        <f>VLOOKUP(Таблица3[[#This Row],[№ акта]],$AJ$1:$BJ$691,21,FALSE)</f>
        <v>46187</v>
      </c>
      <c r="AA214" s="504"/>
      <c r="AB214" s="504" t="str">
        <f>IF(VLOOKUP(Таблица3[[#This Row],[№ акта]],$AJ$1:$BJ$691,23,FALSE)&lt;&gt;0,VLOOKUP(Таблица3[[#This Row],[№ акта]],$AJ$1:$BJ$691,23,FALSE),"-")</f>
        <v>-</v>
      </c>
      <c r="AC21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14" s="506" t="s">
        <v>2940</v>
      </c>
      <c r="AE214" s="505">
        <v>205</v>
      </c>
      <c r="AF214" s="507">
        <v>46187</v>
      </c>
      <c r="AG214" s="505">
        <v>191</v>
      </c>
      <c r="AH214" s="505">
        <f>IFERROR(VLOOKUP(Таблица3[[#This Row],[№ акта]],'Степень зрелости 2026'!$H$12:$I$800,2,FALSE),)</f>
        <v>57</v>
      </c>
      <c r="AJ214" s="508">
        <v>205</v>
      </c>
      <c r="AK214" s="509">
        <v>46187</v>
      </c>
      <c r="AL214" s="508">
        <v>309</v>
      </c>
      <c r="AO214" s="508">
        <v>13510</v>
      </c>
      <c r="AP214" s="508">
        <v>10537.8</v>
      </c>
      <c r="AQ214" s="508" t="s">
        <v>2939</v>
      </c>
      <c r="AR214" s="508" t="s">
        <v>524</v>
      </c>
      <c r="AS214" s="508" t="s">
        <v>3093</v>
      </c>
      <c r="AT214" s="508" t="s">
        <v>3204</v>
      </c>
      <c r="AV214" s="508" t="s">
        <v>3303</v>
      </c>
      <c r="AX214" s="508" t="s">
        <v>3093</v>
      </c>
      <c r="AY214" s="508" t="s">
        <v>524</v>
      </c>
      <c r="AZ214" s="508">
        <v>1.8</v>
      </c>
      <c r="BA214" s="508" t="s">
        <v>46</v>
      </c>
      <c r="BB214" s="508" t="s">
        <v>19</v>
      </c>
      <c r="BC214" s="508">
        <v>11</v>
      </c>
      <c r="BD214" s="509">
        <v>46187</v>
      </c>
      <c r="BG214" s="508" t="s">
        <v>724</v>
      </c>
      <c r="BH214" s="508" t="s">
        <v>2940</v>
      </c>
      <c r="BI214" s="508">
        <v>191</v>
      </c>
      <c r="BJ214" s="508">
        <v>57</v>
      </c>
    </row>
    <row r="215" spans="1:62" s="508" customFormat="1" ht="14.25" hidden="1" customHeight="1" x14ac:dyDescent="0.2">
      <c r="A215" s="495" t="s">
        <v>102</v>
      </c>
      <c r="B215" s="496"/>
      <c r="C215" s="497">
        <f>Таблица3[[#This Row],[Степень зрелости вспом]]</f>
        <v>57</v>
      </c>
      <c r="D215" s="498">
        <v>310</v>
      </c>
      <c r="E215" s="499"/>
      <c r="F215" s="496"/>
      <c r="G215" s="496">
        <v>13000</v>
      </c>
      <c r="H215" s="500"/>
      <c r="I215" s="496">
        <v>10270</v>
      </c>
      <c r="J215" s="495" t="s">
        <v>2939</v>
      </c>
      <c r="K215" s="495" t="s">
        <v>524</v>
      </c>
      <c r="L215" s="495" t="s">
        <v>3093</v>
      </c>
      <c r="M215" s="495" t="s">
        <v>311</v>
      </c>
      <c r="N215" s="495"/>
      <c r="O215" s="495"/>
      <c r="P215" s="495"/>
      <c r="Q215" s="495"/>
      <c r="R215" s="501" t="s">
        <v>315</v>
      </c>
      <c r="S215" s="495"/>
      <c r="T215" s="482" t="str">
        <f>VLOOKUP(Таблица3[[#This Row],[№ акта]],$AJ$1:$BJ$691,15,FALSE)</f>
        <v>А-105/1</v>
      </c>
      <c r="U215" s="482" t="str">
        <f>VLOOKUP(Таблица3[[#This Row],[№ акта]],$AJ$1:$BJ$691,16,FALSE)</f>
        <v>Авола</v>
      </c>
      <c r="V215" s="502">
        <f>VLOOKUP(Таблица3[[#This Row],[№ акта]],$AJ$1:$BJ$691,17,FALSE)</f>
        <v>1.7</v>
      </c>
      <c r="W215" s="502" t="str">
        <f>VLOOKUP(Таблица3[[#This Row],[№ акта]],$AJ$1:$BJ$691,18,FALSE)</f>
        <v>ГРК (богара)</v>
      </c>
      <c r="X215" s="502" t="str">
        <f>VLOOKUP(Таблица3[[#This Row],[№ акта]],$AJ$1:$BJ$691,19,FALSE)</f>
        <v>богара</v>
      </c>
      <c r="Y215" s="503">
        <f>VLOOKUP(Таблица3[[#This Row],[№ акта]],$AJ$1:$BJ$691,20,FALSE)</f>
        <v>11</v>
      </c>
      <c r="Z215" s="504">
        <f>VLOOKUP(Таблица3[[#This Row],[№ акта]],$AJ$1:$BJ$691,21,FALSE)</f>
        <v>46187</v>
      </c>
      <c r="AA215" s="504"/>
      <c r="AB215" s="504" t="str">
        <f>IF(VLOOKUP(Таблица3[[#This Row],[№ акта]],$AJ$1:$BJ$691,23,FALSE)&lt;&gt;0,VLOOKUP(Таблица3[[#This Row],[№ акта]],$AJ$1:$BJ$691,23,FALSE),"-")</f>
        <v>-</v>
      </c>
      <c r="AC21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15" s="506" t="s">
        <v>2940</v>
      </c>
      <c r="AE215" s="505">
        <v>206</v>
      </c>
      <c r="AF215" s="507">
        <v>46187</v>
      </c>
      <c r="AG215" s="505">
        <v>192</v>
      </c>
      <c r="AH215" s="505">
        <f>IFERROR(VLOOKUP(Таблица3[[#This Row],[№ акта]],'Степень зрелости 2026'!$H$12:$I$800,2,FALSE),)</f>
        <v>57</v>
      </c>
      <c r="AJ215" s="508">
        <v>206</v>
      </c>
      <c r="AK215" s="509">
        <v>46187</v>
      </c>
      <c r="AL215" s="508">
        <v>310</v>
      </c>
      <c r="AO215" s="508">
        <v>13000</v>
      </c>
      <c r="AP215" s="508">
        <v>10270</v>
      </c>
      <c r="AQ215" s="508" t="s">
        <v>2939</v>
      </c>
      <c r="AR215" s="508" t="s">
        <v>524</v>
      </c>
      <c r="AS215" s="508" t="s">
        <v>3093</v>
      </c>
      <c r="AT215" s="508" t="s">
        <v>311</v>
      </c>
      <c r="AV215" s="508" t="s">
        <v>315</v>
      </c>
      <c r="AX215" s="508" t="s">
        <v>3093</v>
      </c>
      <c r="AY215" s="508" t="s">
        <v>524</v>
      </c>
      <c r="AZ215" s="508">
        <v>1.7</v>
      </c>
      <c r="BA215" s="508" t="s">
        <v>46</v>
      </c>
      <c r="BB215" s="508" t="s">
        <v>19</v>
      </c>
      <c r="BC215" s="508">
        <v>11</v>
      </c>
      <c r="BD215" s="509">
        <v>46187</v>
      </c>
      <c r="BG215" s="508" t="s">
        <v>724</v>
      </c>
      <c r="BH215" s="508" t="s">
        <v>2940</v>
      </c>
      <c r="BI215" s="508">
        <v>192</v>
      </c>
      <c r="BJ215" s="508">
        <v>57</v>
      </c>
    </row>
    <row r="216" spans="1:62" s="508" customFormat="1" ht="14.25" hidden="1" customHeight="1" x14ac:dyDescent="0.2">
      <c r="A216" s="495" t="s">
        <v>102</v>
      </c>
      <c r="B216" s="496"/>
      <c r="C216" s="497">
        <f>Таблица3[[#This Row],[Степень зрелости вспом]]</f>
        <v>55</v>
      </c>
      <c r="D216" s="498">
        <v>311</v>
      </c>
      <c r="E216" s="499"/>
      <c r="F216" s="496"/>
      <c r="G216" s="496">
        <v>13470</v>
      </c>
      <c r="H216" s="500"/>
      <c r="I216" s="496">
        <v>11382.1</v>
      </c>
      <c r="J216" s="495" t="s">
        <v>2939</v>
      </c>
      <c r="K216" s="495" t="s">
        <v>524</v>
      </c>
      <c r="L216" s="495" t="s">
        <v>3300</v>
      </c>
      <c r="M216" s="495" t="s">
        <v>166</v>
      </c>
      <c r="N216" s="495"/>
      <c r="O216" s="495"/>
      <c r="P216" s="495"/>
      <c r="Q216" s="495"/>
      <c r="R216" s="501" t="s">
        <v>170</v>
      </c>
      <c r="S216" s="495"/>
      <c r="T216" s="482" t="str">
        <f>VLOOKUP(Таблица3[[#This Row],[№ акта]],$AJ$1:$BJ$691,15,FALSE)</f>
        <v>А-105/1</v>
      </c>
      <c r="U216" s="482" t="str">
        <f>VLOOKUP(Таблица3[[#This Row],[№ акта]],$AJ$1:$BJ$691,16,FALSE)</f>
        <v>Авола</v>
      </c>
      <c r="V216" s="502">
        <f>VLOOKUP(Таблица3[[#This Row],[№ акта]],$AJ$1:$BJ$691,17,FALSE)</f>
        <v>1.8</v>
      </c>
      <c r="W216" s="502" t="str">
        <f>VLOOKUP(Таблица3[[#This Row],[№ акта]],$AJ$1:$BJ$691,18,FALSE)</f>
        <v>ГРК (богара)</v>
      </c>
      <c r="X216" s="502" t="str">
        <f>VLOOKUP(Таблица3[[#This Row],[№ акта]],$AJ$1:$BJ$691,19,FALSE)</f>
        <v>богара</v>
      </c>
      <c r="Y216" s="503">
        <f>VLOOKUP(Таблица3[[#This Row],[№ акта]],$AJ$1:$BJ$691,20,FALSE)</f>
        <v>11</v>
      </c>
      <c r="Z216" s="504">
        <f>VLOOKUP(Таблица3[[#This Row],[№ акта]],$AJ$1:$BJ$691,21,FALSE)</f>
        <v>46187</v>
      </c>
      <c r="AA216" s="504"/>
      <c r="AB216" s="504" t="str">
        <f>IF(VLOOKUP(Таблица3[[#This Row],[№ акта]],$AJ$1:$BJ$691,23,FALSE)&lt;&gt;0,VLOOKUP(Таблица3[[#This Row],[№ акта]],$AJ$1:$BJ$691,23,FALSE),"-")</f>
        <v>-</v>
      </c>
      <c r="AC21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16" s="506" t="s">
        <v>2940</v>
      </c>
      <c r="AE216" s="505">
        <v>208</v>
      </c>
      <c r="AF216" s="507">
        <v>46187</v>
      </c>
      <c r="AG216" s="505">
        <v>193</v>
      </c>
      <c r="AH216" s="505">
        <f>IFERROR(VLOOKUP(Таблица3[[#This Row],[№ акта]],'Степень зрелости 2026'!$H$12:$I$800,2,FALSE),)</f>
        <v>55</v>
      </c>
      <c r="AJ216" s="508">
        <v>208</v>
      </c>
      <c r="AK216" s="509">
        <v>46187</v>
      </c>
      <c r="AL216" s="508">
        <v>311</v>
      </c>
      <c r="AO216" s="508">
        <v>13470</v>
      </c>
      <c r="AP216" s="508">
        <v>11382.1</v>
      </c>
      <c r="AQ216" s="508" t="s">
        <v>2939</v>
      </c>
      <c r="AR216" s="508" t="s">
        <v>524</v>
      </c>
      <c r="AS216" s="508" t="s">
        <v>3300</v>
      </c>
      <c r="AT216" s="508" t="s">
        <v>166</v>
      </c>
      <c r="AV216" s="508" t="s">
        <v>170</v>
      </c>
      <c r="AX216" s="508" t="s">
        <v>3093</v>
      </c>
      <c r="AY216" s="508" t="s">
        <v>524</v>
      </c>
      <c r="AZ216" s="508">
        <v>1.8</v>
      </c>
      <c r="BA216" s="508" t="s">
        <v>46</v>
      </c>
      <c r="BB216" s="508" t="s">
        <v>19</v>
      </c>
      <c r="BC216" s="508">
        <v>11</v>
      </c>
      <c r="BD216" s="509">
        <v>46187</v>
      </c>
      <c r="BG216" s="508" t="s">
        <v>724</v>
      </c>
      <c r="BH216" s="508" t="s">
        <v>2940</v>
      </c>
      <c r="BI216" s="508">
        <v>193</v>
      </c>
      <c r="BJ216" s="508">
        <v>55</v>
      </c>
    </row>
    <row r="217" spans="1:62" s="508" customFormat="1" ht="14.25" hidden="1" customHeight="1" x14ac:dyDescent="0.2">
      <c r="A217" s="495" t="s">
        <v>102</v>
      </c>
      <c r="B217" s="496"/>
      <c r="C217" s="497">
        <f>Таблица3[[#This Row],[Степень зрелости вспом]]</f>
        <v>56</v>
      </c>
      <c r="D217" s="498">
        <v>312</v>
      </c>
      <c r="E217" s="499"/>
      <c r="F217" s="496"/>
      <c r="G217" s="496">
        <v>4520</v>
      </c>
      <c r="H217" s="500"/>
      <c r="I217" s="496">
        <v>3593.4</v>
      </c>
      <c r="J217" s="495" t="s">
        <v>2939</v>
      </c>
      <c r="K217" s="495" t="s">
        <v>524</v>
      </c>
      <c r="L217" s="495" t="s">
        <v>3300</v>
      </c>
      <c r="M217" s="495" t="s">
        <v>737</v>
      </c>
      <c r="N217" s="495"/>
      <c r="O217" s="495"/>
      <c r="P217" s="495"/>
      <c r="Q217" s="495"/>
      <c r="R217" s="501" t="s">
        <v>738</v>
      </c>
      <c r="S217" s="495"/>
      <c r="T217" s="482" t="str">
        <f>VLOOKUP(Таблица3[[#This Row],[№ акта]],$AJ$1:$BJ$691,15,FALSE)</f>
        <v>А-105/1</v>
      </c>
      <c r="U217" s="482" t="str">
        <f>VLOOKUP(Таблица3[[#This Row],[№ акта]],$AJ$1:$BJ$691,16,FALSE)</f>
        <v>Авола</v>
      </c>
      <c r="V217" s="502">
        <f>VLOOKUP(Таблица3[[#This Row],[№ акта]],$AJ$1:$BJ$691,17,FALSE)</f>
        <v>0.6</v>
      </c>
      <c r="W217" s="502" t="str">
        <f>VLOOKUP(Таблица3[[#This Row],[№ акта]],$AJ$1:$BJ$691,18,FALSE)</f>
        <v>ГРК (богара)</v>
      </c>
      <c r="X217" s="502" t="str">
        <f>VLOOKUP(Таблица3[[#This Row],[№ акта]],$AJ$1:$BJ$691,19,FALSE)</f>
        <v>богара</v>
      </c>
      <c r="Y217" s="503">
        <f>VLOOKUP(Таблица3[[#This Row],[№ акта]],$AJ$1:$BJ$691,20,FALSE)</f>
        <v>11</v>
      </c>
      <c r="Z217" s="504">
        <f>VLOOKUP(Таблица3[[#This Row],[№ акта]],$AJ$1:$BJ$691,21,FALSE)</f>
        <v>46187</v>
      </c>
      <c r="AA217" s="504"/>
      <c r="AB217" s="504" t="str">
        <f>IF(VLOOKUP(Таблица3[[#This Row],[№ акта]],$AJ$1:$BJ$691,23,FALSE)&lt;&gt;0,VLOOKUP(Таблица3[[#This Row],[№ акта]],$AJ$1:$BJ$691,23,FALSE),"-")</f>
        <v>-</v>
      </c>
      <c r="AC21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17" s="506" t="s">
        <v>2940</v>
      </c>
      <c r="AE217" s="505">
        <v>207</v>
      </c>
      <c r="AF217" s="507">
        <v>46187</v>
      </c>
      <c r="AG217" s="505">
        <v>194</v>
      </c>
      <c r="AH217" s="505">
        <f>IFERROR(VLOOKUP(Таблица3[[#This Row],[№ акта]],'Степень зрелости 2026'!$H$12:$I$800,2,FALSE),)</f>
        <v>56</v>
      </c>
      <c r="AJ217" s="508">
        <v>207</v>
      </c>
      <c r="AK217" s="509">
        <v>46187</v>
      </c>
      <c r="AL217" s="508">
        <v>312</v>
      </c>
      <c r="AO217" s="508">
        <v>4520</v>
      </c>
      <c r="AP217" s="508">
        <v>3593.4</v>
      </c>
      <c r="AQ217" s="508" t="s">
        <v>2939</v>
      </c>
      <c r="AR217" s="508" t="s">
        <v>524</v>
      </c>
      <c r="AS217" s="508" t="s">
        <v>3300</v>
      </c>
      <c r="AT217" s="508" t="s">
        <v>737</v>
      </c>
      <c r="AV217" s="508" t="s">
        <v>738</v>
      </c>
      <c r="AX217" s="508" t="s">
        <v>3093</v>
      </c>
      <c r="AY217" s="508" t="s">
        <v>524</v>
      </c>
      <c r="AZ217" s="508">
        <v>0.6</v>
      </c>
      <c r="BA217" s="508" t="s">
        <v>46</v>
      </c>
      <c r="BB217" s="508" t="s">
        <v>19</v>
      </c>
      <c r="BC217" s="508">
        <v>11</v>
      </c>
      <c r="BD217" s="509">
        <v>46187</v>
      </c>
      <c r="BG217" s="508" t="s">
        <v>724</v>
      </c>
      <c r="BH217" s="508" t="s">
        <v>2940</v>
      </c>
      <c r="BI217" s="508">
        <v>194</v>
      </c>
      <c r="BJ217" s="508">
        <v>56</v>
      </c>
    </row>
    <row r="218" spans="1:62" s="508" customFormat="1" ht="14.25" hidden="1" customHeight="1" x14ac:dyDescent="0.2">
      <c r="A218" s="495" t="s">
        <v>102</v>
      </c>
      <c r="B218" s="496"/>
      <c r="C218" s="497">
        <f>Таблица3[[#This Row],[Степень зрелости вспом]]</f>
        <v>54</v>
      </c>
      <c r="D218" s="498">
        <v>313</v>
      </c>
      <c r="E218" s="499"/>
      <c r="F218" s="496"/>
      <c r="G218" s="496">
        <v>15620</v>
      </c>
      <c r="H218" s="500"/>
      <c r="I218" s="496">
        <v>13198.9</v>
      </c>
      <c r="J218" s="495" t="s">
        <v>2939</v>
      </c>
      <c r="K218" s="495" t="s">
        <v>524</v>
      </c>
      <c r="L218" s="495" t="s">
        <v>3093</v>
      </c>
      <c r="M218" s="495" t="s">
        <v>305</v>
      </c>
      <c r="N218" s="495"/>
      <c r="O218" s="495"/>
      <c r="P218" s="495"/>
      <c r="Q218" s="495"/>
      <c r="R218" s="501" t="s">
        <v>309</v>
      </c>
      <c r="S218" s="495"/>
      <c r="T218" s="482" t="str">
        <f>VLOOKUP(Таблица3[[#This Row],[№ акта]],$AJ$1:$BJ$691,15,FALSE)</f>
        <v>А-105/1</v>
      </c>
      <c r="U218" s="482" t="str">
        <f>VLOOKUP(Таблица3[[#This Row],[№ акта]],$AJ$1:$BJ$691,16,FALSE)</f>
        <v>Авола</v>
      </c>
      <c r="V218" s="502">
        <f>VLOOKUP(Таблица3[[#This Row],[№ акта]],$AJ$1:$BJ$691,17,FALSE)</f>
        <v>2</v>
      </c>
      <c r="W218" s="502" t="str">
        <f>VLOOKUP(Таблица3[[#This Row],[№ акта]],$AJ$1:$BJ$691,18,FALSE)</f>
        <v>ГРК (богара)</v>
      </c>
      <c r="X218" s="502" t="str">
        <f>VLOOKUP(Таблица3[[#This Row],[№ акта]],$AJ$1:$BJ$691,19,FALSE)</f>
        <v>богара</v>
      </c>
      <c r="Y218" s="503">
        <f>VLOOKUP(Таблица3[[#This Row],[№ акта]],$AJ$1:$BJ$691,20,FALSE)</f>
        <v>11</v>
      </c>
      <c r="Z218" s="504">
        <f>VLOOKUP(Таблица3[[#This Row],[№ акта]],$AJ$1:$BJ$691,21,FALSE)</f>
        <v>46187</v>
      </c>
      <c r="AA218" s="504"/>
      <c r="AB218" s="504" t="str">
        <f>IF(VLOOKUP(Таблица3[[#This Row],[№ акта]],$AJ$1:$BJ$691,23,FALSE)&lt;&gt;0,VLOOKUP(Таблица3[[#This Row],[№ акта]],$AJ$1:$BJ$691,23,FALSE),"-")</f>
        <v>-</v>
      </c>
      <c r="AC21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18" s="506" t="s">
        <v>2940</v>
      </c>
      <c r="AE218" s="505">
        <v>209</v>
      </c>
      <c r="AF218" s="507">
        <v>46187</v>
      </c>
      <c r="AG218" s="505">
        <v>195</v>
      </c>
      <c r="AH218" s="505">
        <f>IFERROR(VLOOKUP(Таблица3[[#This Row],[№ акта]],'Степень зрелости 2026'!$H$12:$I$800,2,FALSE),)</f>
        <v>54</v>
      </c>
      <c r="AJ218" s="508">
        <v>209</v>
      </c>
      <c r="AK218" s="509">
        <v>46187</v>
      </c>
      <c r="AL218" s="508">
        <v>313</v>
      </c>
      <c r="AO218" s="508">
        <v>15620</v>
      </c>
      <c r="AP218" s="508">
        <v>13198.9</v>
      </c>
      <c r="AQ218" s="508" t="s">
        <v>2939</v>
      </c>
      <c r="AR218" s="508" t="s">
        <v>524</v>
      </c>
      <c r="AS218" s="508" t="s">
        <v>3093</v>
      </c>
      <c r="AT218" s="508" t="s">
        <v>305</v>
      </c>
      <c r="AV218" s="508" t="s">
        <v>309</v>
      </c>
      <c r="AX218" s="508" t="s">
        <v>3093</v>
      </c>
      <c r="AY218" s="508" t="s">
        <v>524</v>
      </c>
      <c r="AZ218" s="508">
        <v>2</v>
      </c>
      <c r="BA218" s="508" t="s">
        <v>46</v>
      </c>
      <c r="BB218" s="508" t="s">
        <v>19</v>
      </c>
      <c r="BC218" s="508">
        <v>11</v>
      </c>
      <c r="BD218" s="509">
        <v>46187</v>
      </c>
      <c r="BG218" s="508" t="s">
        <v>724</v>
      </c>
      <c r="BH218" s="508" t="s">
        <v>2940</v>
      </c>
      <c r="BI218" s="508">
        <v>195</v>
      </c>
      <c r="BJ218" s="508">
        <v>54</v>
      </c>
    </row>
    <row r="219" spans="1:62" s="508" customFormat="1" ht="14.25" hidden="1" customHeight="1" x14ac:dyDescent="0.2">
      <c r="A219" s="495" t="s">
        <v>102</v>
      </c>
      <c r="B219" s="496"/>
      <c r="C219" s="497">
        <f>Таблица3[[#This Row],[Степень зрелости вспом]]</f>
        <v>64</v>
      </c>
      <c r="D219" s="498">
        <v>314</v>
      </c>
      <c r="E219" s="499"/>
      <c r="F219" s="496"/>
      <c r="G219" s="496">
        <v>12900</v>
      </c>
      <c r="H219" s="500"/>
      <c r="I219" s="496">
        <v>11158.5</v>
      </c>
      <c r="J219" s="495" t="s">
        <v>2939</v>
      </c>
      <c r="K219" s="495" t="s">
        <v>524</v>
      </c>
      <c r="L219" s="495" t="s">
        <v>3105</v>
      </c>
      <c r="M219" s="495" t="s">
        <v>3204</v>
      </c>
      <c r="N219" s="495"/>
      <c r="O219" s="495"/>
      <c r="P219" s="495"/>
      <c r="Q219" s="495"/>
      <c r="R219" s="501" t="s">
        <v>3303</v>
      </c>
      <c r="S219" s="495"/>
      <c r="T219" s="482" t="str">
        <f>VLOOKUP(Таблица3[[#This Row],[№ акта]],$AJ$1:$BJ$691,15,FALSE)</f>
        <v>А-83/2</v>
      </c>
      <c r="U219" s="482" t="str">
        <f>VLOOKUP(Таблица3[[#This Row],[№ акта]],$AJ$1:$BJ$691,16,FALSE)</f>
        <v>Авола</v>
      </c>
      <c r="V219" s="502">
        <f>VLOOKUP(Таблица3[[#This Row],[№ акта]],$AJ$1:$BJ$691,17,FALSE)</f>
        <v>2.1</v>
      </c>
      <c r="W219" s="502" t="str">
        <f>VLOOKUP(Таблица3[[#This Row],[№ акта]],$AJ$1:$BJ$691,18,FALSE)</f>
        <v>ГРК (богара)</v>
      </c>
      <c r="X219" s="502" t="str">
        <f>VLOOKUP(Таблица3[[#This Row],[№ акта]],$AJ$1:$BJ$691,19,FALSE)</f>
        <v>богара</v>
      </c>
      <c r="Y219" s="503">
        <f>VLOOKUP(Таблица3[[#This Row],[№ акта]],$AJ$1:$BJ$691,20,FALSE)</f>
        <v>11</v>
      </c>
      <c r="Z219" s="504">
        <f>VLOOKUP(Таблица3[[#This Row],[№ акта]],$AJ$1:$BJ$691,21,FALSE)</f>
        <v>46187</v>
      </c>
      <c r="AA219" s="504"/>
      <c r="AB219" s="504" t="str">
        <f>IF(VLOOKUP(Таблица3[[#This Row],[№ акта]],$AJ$1:$BJ$691,23,FALSE)&lt;&gt;0,VLOOKUP(Таблица3[[#This Row],[№ акта]],$AJ$1:$BJ$691,23,FALSE),"-")</f>
        <v>-</v>
      </c>
      <c r="AC21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19" s="506" t="s">
        <v>3230</v>
      </c>
      <c r="AE219" s="505">
        <v>210</v>
      </c>
      <c r="AF219" s="507">
        <v>46187</v>
      </c>
      <c r="AG219" s="505">
        <v>196</v>
      </c>
      <c r="AH219" s="505">
        <f>IFERROR(VLOOKUP(Таблица3[[#This Row],[№ акта]],'Степень зрелости 2026'!$H$12:$I$800,2,FALSE),)</f>
        <v>64</v>
      </c>
      <c r="AJ219" s="508">
        <v>210</v>
      </c>
      <c r="AK219" s="509">
        <v>46187</v>
      </c>
      <c r="AL219" s="508">
        <v>314</v>
      </c>
      <c r="AO219" s="508">
        <v>12900</v>
      </c>
      <c r="AP219" s="508">
        <v>11158.5</v>
      </c>
      <c r="AQ219" s="508" t="s">
        <v>2939</v>
      </c>
      <c r="AR219" s="508" t="s">
        <v>524</v>
      </c>
      <c r="AS219" s="508" t="s">
        <v>3105</v>
      </c>
      <c r="AT219" s="508" t="s">
        <v>3204</v>
      </c>
      <c r="AV219" s="508" t="s">
        <v>3303</v>
      </c>
      <c r="AX219" s="508" t="s">
        <v>3106</v>
      </c>
      <c r="AY219" s="508" t="s">
        <v>524</v>
      </c>
      <c r="AZ219" s="508">
        <v>2.1</v>
      </c>
      <c r="BA219" s="508" t="s">
        <v>46</v>
      </c>
      <c r="BB219" s="508" t="s">
        <v>19</v>
      </c>
      <c r="BC219" s="508">
        <v>11</v>
      </c>
      <c r="BD219" s="509">
        <v>46187</v>
      </c>
      <c r="BG219" s="508" t="s">
        <v>3559</v>
      </c>
      <c r="BH219" s="508" t="s">
        <v>2940</v>
      </c>
      <c r="BI219" s="508">
        <v>196</v>
      </c>
      <c r="BJ219" s="508">
        <v>64</v>
      </c>
    </row>
    <row r="220" spans="1:62" s="508" customFormat="1" ht="14.25" hidden="1" customHeight="1" x14ac:dyDescent="0.2">
      <c r="A220" s="495" t="s">
        <v>102</v>
      </c>
      <c r="B220" s="496"/>
      <c r="C220" s="497">
        <f>Таблица3[[#This Row],[Степень зрелости вспом]]</f>
        <v>60</v>
      </c>
      <c r="D220" s="498">
        <v>315</v>
      </c>
      <c r="E220" s="499"/>
      <c r="F220" s="496"/>
      <c r="G220" s="496">
        <v>2210</v>
      </c>
      <c r="H220" s="500"/>
      <c r="I220" s="496">
        <v>1856.4</v>
      </c>
      <c r="J220" s="495" t="s">
        <v>2939</v>
      </c>
      <c r="K220" s="495" t="s">
        <v>524</v>
      </c>
      <c r="L220" s="495" t="s">
        <v>3105</v>
      </c>
      <c r="M220" s="495" t="s">
        <v>737</v>
      </c>
      <c r="N220" s="495"/>
      <c r="O220" s="495"/>
      <c r="P220" s="495"/>
      <c r="Q220" s="495"/>
      <c r="R220" s="501" t="s">
        <v>738</v>
      </c>
      <c r="S220" s="495"/>
      <c r="T220" s="482" t="str">
        <f>VLOOKUP(Таблица3[[#This Row],[№ акта]],$AJ$1:$BJ$691,15,FALSE)</f>
        <v>А-83/2</v>
      </c>
      <c r="U220" s="482" t="str">
        <f>VLOOKUP(Таблица3[[#This Row],[№ акта]],$AJ$1:$BJ$691,16,FALSE)</f>
        <v>Авола</v>
      </c>
      <c r="V220" s="502">
        <f>VLOOKUP(Таблица3[[#This Row],[№ акта]],$AJ$1:$BJ$691,17,FALSE)</f>
        <v>0.4</v>
      </c>
      <c r="W220" s="502" t="str">
        <f>VLOOKUP(Таблица3[[#This Row],[№ акта]],$AJ$1:$BJ$691,18,FALSE)</f>
        <v>ГРК (богара)</v>
      </c>
      <c r="X220" s="502" t="str">
        <f>VLOOKUP(Таблица3[[#This Row],[№ акта]],$AJ$1:$BJ$691,19,FALSE)</f>
        <v>богара</v>
      </c>
      <c r="Y220" s="503">
        <f>VLOOKUP(Таблица3[[#This Row],[№ акта]],$AJ$1:$BJ$691,20,FALSE)</f>
        <v>11</v>
      </c>
      <c r="Z220" s="504">
        <f>VLOOKUP(Таблица3[[#This Row],[№ акта]],$AJ$1:$BJ$691,21,FALSE)</f>
        <v>46187</v>
      </c>
      <c r="AA220" s="504"/>
      <c r="AB220" s="504" t="str">
        <f>IF(VLOOKUP(Таблица3[[#This Row],[№ акта]],$AJ$1:$BJ$691,23,FALSE)&lt;&gt;0,VLOOKUP(Таблица3[[#This Row],[№ акта]],$AJ$1:$BJ$691,23,FALSE),"-")</f>
        <v>-</v>
      </c>
      <c r="AC22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20" s="506" t="s">
        <v>2940</v>
      </c>
      <c r="AE220" s="505">
        <v>211</v>
      </c>
      <c r="AF220" s="507">
        <v>46187</v>
      </c>
      <c r="AG220" s="505">
        <v>197</v>
      </c>
      <c r="AH220" s="505">
        <f>IFERROR(VLOOKUP(Таблица3[[#This Row],[№ акта]],'Степень зрелости 2026'!$H$12:$I$800,2,FALSE),)</f>
        <v>60</v>
      </c>
      <c r="AJ220" s="508">
        <v>211</v>
      </c>
      <c r="AK220" s="509">
        <v>46187</v>
      </c>
      <c r="AL220" s="508">
        <v>315</v>
      </c>
      <c r="AO220" s="508">
        <v>2210</v>
      </c>
      <c r="AP220" s="508">
        <v>1856.4</v>
      </c>
      <c r="AQ220" s="508" t="s">
        <v>2939</v>
      </c>
      <c r="AR220" s="508" t="s">
        <v>524</v>
      </c>
      <c r="AS220" s="508" t="s">
        <v>3105</v>
      </c>
      <c r="AT220" s="508" t="s">
        <v>737</v>
      </c>
      <c r="AV220" s="508" t="s">
        <v>738</v>
      </c>
      <c r="AX220" s="508" t="s">
        <v>3106</v>
      </c>
      <c r="AY220" s="508" t="s">
        <v>524</v>
      </c>
      <c r="AZ220" s="508">
        <v>0.4</v>
      </c>
      <c r="BA220" s="508" t="s">
        <v>46</v>
      </c>
      <c r="BB220" s="508" t="s">
        <v>19</v>
      </c>
      <c r="BC220" s="508">
        <v>11</v>
      </c>
      <c r="BD220" s="509">
        <v>46187</v>
      </c>
      <c r="BG220" s="508" t="s">
        <v>724</v>
      </c>
      <c r="BH220" s="508" t="s">
        <v>2940</v>
      </c>
      <c r="BI220" s="508">
        <v>197</v>
      </c>
      <c r="BJ220" s="508">
        <v>60</v>
      </c>
    </row>
    <row r="221" spans="1:62" s="508" customFormat="1" ht="14.25" hidden="1" customHeight="1" x14ac:dyDescent="0.2">
      <c r="A221" s="495" t="s">
        <v>102</v>
      </c>
      <c r="B221" s="496"/>
      <c r="C221" s="497">
        <f>Таблица3[[#This Row],[Степень зрелости вспом]]</f>
        <v>63</v>
      </c>
      <c r="D221" s="498">
        <v>316</v>
      </c>
      <c r="E221" s="499"/>
      <c r="F221" s="496"/>
      <c r="G221" s="496">
        <v>14440</v>
      </c>
      <c r="H221" s="500"/>
      <c r="I221" s="496">
        <v>12562.8</v>
      </c>
      <c r="J221" s="495" t="s">
        <v>2939</v>
      </c>
      <c r="K221" s="495" t="s">
        <v>524</v>
      </c>
      <c r="L221" s="495" t="s">
        <v>3105</v>
      </c>
      <c r="M221" s="495" t="s">
        <v>311</v>
      </c>
      <c r="N221" s="495"/>
      <c r="O221" s="495"/>
      <c r="P221" s="495"/>
      <c r="Q221" s="495"/>
      <c r="R221" s="501" t="s">
        <v>315</v>
      </c>
      <c r="S221" s="495"/>
      <c r="T221" s="482" t="str">
        <f>VLOOKUP(Таблица3[[#This Row],[№ акта]],$AJ$1:$BJ$691,15,FALSE)</f>
        <v>А-83/2</v>
      </c>
      <c r="U221" s="482" t="str">
        <f>VLOOKUP(Таблица3[[#This Row],[№ акта]],$AJ$1:$BJ$691,16,FALSE)</f>
        <v>Авола</v>
      </c>
      <c r="V221" s="502">
        <f>VLOOKUP(Таблица3[[#This Row],[№ акта]],$AJ$1:$BJ$691,17,FALSE)</f>
        <v>2.4</v>
      </c>
      <c r="W221" s="502" t="str">
        <f>VLOOKUP(Таблица3[[#This Row],[№ акта]],$AJ$1:$BJ$691,18,FALSE)</f>
        <v>ГРК (богара)</v>
      </c>
      <c r="X221" s="502" t="str">
        <f>VLOOKUP(Таблица3[[#This Row],[№ акта]],$AJ$1:$BJ$691,19,FALSE)</f>
        <v>богара</v>
      </c>
      <c r="Y221" s="503">
        <f>VLOOKUP(Таблица3[[#This Row],[№ акта]],$AJ$1:$BJ$691,20,FALSE)</f>
        <v>11</v>
      </c>
      <c r="Z221" s="504">
        <f>VLOOKUP(Таблица3[[#This Row],[№ акта]],$AJ$1:$BJ$691,21,FALSE)</f>
        <v>46187</v>
      </c>
      <c r="AA221" s="504"/>
      <c r="AB221" s="504" t="str">
        <f>IF(VLOOKUP(Таблица3[[#This Row],[№ акта]],$AJ$1:$BJ$691,23,FALSE)&lt;&gt;0,VLOOKUP(Таблица3[[#This Row],[№ акта]],$AJ$1:$BJ$691,23,FALSE),"-")</f>
        <v>-</v>
      </c>
      <c r="AC22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21" s="506" t="s">
        <v>2940</v>
      </c>
      <c r="AE221" s="505">
        <v>212</v>
      </c>
      <c r="AF221" s="507">
        <v>46187</v>
      </c>
      <c r="AG221" s="505">
        <v>198</v>
      </c>
      <c r="AH221" s="505">
        <f>IFERROR(VLOOKUP(Таблица3[[#This Row],[№ акта]],'Степень зрелости 2026'!$H$12:$I$800,2,FALSE),)</f>
        <v>63</v>
      </c>
      <c r="AJ221" s="508">
        <v>212</v>
      </c>
      <c r="AK221" s="509">
        <v>46187</v>
      </c>
      <c r="AL221" s="508">
        <v>316</v>
      </c>
      <c r="AO221" s="508">
        <v>14440</v>
      </c>
      <c r="AP221" s="508">
        <v>12562.8</v>
      </c>
      <c r="AQ221" s="508" t="s">
        <v>2939</v>
      </c>
      <c r="AR221" s="508" t="s">
        <v>524</v>
      </c>
      <c r="AS221" s="508" t="s">
        <v>3105</v>
      </c>
      <c r="AT221" s="508" t="s">
        <v>311</v>
      </c>
      <c r="AV221" s="508" t="s">
        <v>315</v>
      </c>
      <c r="AX221" s="508" t="s">
        <v>3106</v>
      </c>
      <c r="AY221" s="508" t="s">
        <v>524</v>
      </c>
      <c r="AZ221" s="508">
        <v>2.4</v>
      </c>
      <c r="BA221" s="508" t="s">
        <v>46</v>
      </c>
      <c r="BB221" s="508" t="s">
        <v>19</v>
      </c>
      <c r="BC221" s="508">
        <v>11</v>
      </c>
      <c r="BD221" s="509">
        <v>46187</v>
      </c>
      <c r="BG221" s="508" t="s">
        <v>724</v>
      </c>
      <c r="BH221" s="508" t="s">
        <v>2940</v>
      </c>
      <c r="BI221" s="508">
        <v>198</v>
      </c>
      <c r="BJ221" s="508">
        <v>63</v>
      </c>
    </row>
    <row r="222" spans="1:62" s="508" customFormat="1" ht="14.25" hidden="1" customHeight="1" x14ac:dyDescent="0.2">
      <c r="A222" s="495" t="s">
        <v>102</v>
      </c>
      <c r="B222" s="496"/>
      <c r="C222" s="497">
        <f>Таблица3[[#This Row],[Степень зрелости вспом]]</f>
        <v>64</v>
      </c>
      <c r="D222" s="498">
        <v>317</v>
      </c>
      <c r="E222" s="499"/>
      <c r="F222" s="496"/>
      <c r="G222" s="496">
        <v>14290</v>
      </c>
      <c r="H222" s="500"/>
      <c r="I222" s="496">
        <v>12718.1</v>
      </c>
      <c r="J222" s="495" t="s">
        <v>2939</v>
      </c>
      <c r="K222" s="495" t="s">
        <v>524</v>
      </c>
      <c r="L222" s="495" t="s">
        <v>3105</v>
      </c>
      <c r="M222" s="495" t="s">
        <v>166</v>
      </c>
      <c r="N222" s="495"/>
      <c r="O222" s="495"/>
      <c r="P222" s="495"/>
      <c r="Q222" s="495"/>
      <c r="R222" s="501" t="s">
        <v>170</v>
      </c>
      <c r="S222" s="495"/>
      <c r="T222" s="482" t="str">
        <f>VLOOKUP(Таблица3[[#This Row],[№ акта]],$AJ$1:$BJ$691,15,FALSE)</f>
        <v>А-83/2</v>
      </c>
      <c r="U222" s="482" t="str">
        <f>VLOOKUP(Таблица3[[#This Row],[№ акта]],$AJ$1:$BJ$691,16,FALSE)</f>
        <v>Авола</v>
      </c>
      <c r="V222" s="502">
        <f>VLOOKUP(Таблица3[[#This Row],[№ акта]],$AJ$1:$BJ$691,17,FALSE)</f>
        <v>2.2999999999999998</v>
      </c>
      <c r="W222" s="502" t="str">
        <f>VLOOKUP(Таблица3[[#This Row],[№ акта]],$AJ$1:$BJ$691,18,FALSE)</f>
        <v>ГРК (богара)</v>
      </c>
      <c r="X222" s="502" t="str">
        <f>VLOOKUP(Таблица3[[#This Row],[№ акта]],$AJ$1:$BJ$691,19,FALSE)</f>
        <v>богара</v>
      </c>
      <c r="Y222" s="503">
        <f>VLOOKUP(Таблица3[[#This Row],[№ акта]],$AJ$1:$BJ$691,20,FALSE)</f>
        <v>11</v>
      </c>
      <c r="Z222" s="504">
        <f>VLOOKUP(Таблица3[[#This Row],[№ акта]],$AJ$1:$BJ$691,21,FALSE)</f>
        <v>46187</v>
      </c>
      <c r="AA222" s="504"/>
      <c r="AB222" s="504" t="str">
        <f>IF(VLOOKUP(Таблица3[[#This Row],[№ акта]],$AJ$1:$BJ$691,23,FALSE)&lt;&gt;0,VLOOKUP(Таблица3[[#This Row],[№ акта]],$AJ$1:$BJ$691,23,FALSE),"-")</f>
        <v>-</v>
      </c>
      <c r="AC22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22" s="506" t="s">
        <v>2940</v>
      </c>
      <c r="AE222" s="505">
        <v>213</v>
      </c>
      <c r="AF222" s="507">
        <v>46187</v>
      </c>
      <c r="AG222" s="505">
        <v>199</v>
      </c>
      <c r="AH222" s="505">
        <f>IFERROR(VLOOKUP(Таблица3[[#This Row],[№ акта]],'Степень зрелости 2026'!$H$12:$I$800,2,FALSE),)</f>
        <v>64</v>
      </c>
      <c r="AJ222" s="508">
        <v>213</v>
      </c>
      <c r="AK222" s="509">
        <v>46187</v>
      </c>
      <c r="AL222" s="508">
        <v>317</v>
      </c>
      <c r="AO222" s="508">
        <v>14290</v>
      </c>
      <c r="AP222" s="508">
        <v>12718.1</v>
      </c>
      <c r="AQ222" s="508" t="s">
        <v>2939</v>
      </c>
      <c r="AR222" s="508" t="s">
        <v>524</v>
      </c>
      <c r="AS222" s="508" t="s">
        <v>3105</v>
      </c>
      <c r="AT222" s="508" t="s">
        <v>166</v>
      </c>
      <c r="AV222" s="508" t="s">
        <v>170</v>
      </c>
      <c r="AX222" s="508" t="s">
        <v>3106</v>
      </c>
      <c r="AY222" s="508" t="s">
        <v>524</v>
      </c>
      <c r="AZ222" s="508">
        <v>2.2999999999999998</v>
      </c>
      <c r="BA222" s="508" t="s">
        <v>46</v>
      </c>
      <c r="BB222" s="508" t="s">
        <v>19</v>
      </c>
      <c r="BC222" s="508">
        <v>11</v>
      </c>
      <c r="BD222" s="509">
        <v>46187</v>
      </c>
      <c r="BG222" s="508" t="s">
        <v>3559</v>
      </c>
      <c r="BH222" s="508" t="s">
        <v>2940</v>
      </c>
      <c r="BI222" s="508">
        <v>199</v>
      </c>
      <c r="BJ222" s="508">
        <v>64</v>
      </c>
    </row>
    <row r="223" spans="1:62" s="508" customFormat="1" ht="14.25" hidden="1" customHeight="1" x14ac:dyDescent="0.2">
      <c r="A223" s="495" t="s">
        <v>102</v>
      </c>
      <c r="B223" s="496"/>
      <c r="C223" s="497">
        <f>Таблица3[[#This Row],[Степень зрелости вспом]]</f>
        <v>66</v>
      </c>
      <c r="D223" s="498">
        <v>318</v>
      </c>
      <c r="E223" s="499"/>
      <c r="F223" s="496"/>
      <c r="G223" s="496">
        <v>8620</v>
      </c>
      <c r="H223" s="500"/>
      <c r="I223" s="496">
        <v>7585.6</v>
      </c>
      <c r="J223" s="495" t="s">
        <v>2939</v>
      </c>
      <c r="K223" s="495" t="s">
        <v>524</v>
      </c>
      <c r="L223" s="495" t="s">
        <v>3105</v>
      </c>
      <c r="M223" s="495" t="s">
        <v>305</v>
      </c>
      <c r="N223" s="495"/>
      <c r="O223" s="495"/>
      <c r="P223" s="495"/>
      <c r="Q223" s="495"/>
      <c r="R223" s="501" t="s">
        <v>309</v>
      </c>
      <c r="S223" s="495"/>
      <c r="T223" s="482" t="str">
        <f>VLOOKUP(Таблица3[[#This Row],[№ акта]],$AJ$1:$BJ$691,15,FALSE)</f>
        <v>А-83/2</v>
      </c>
      <c r="U223" s="482" t="str">
        <f>VLOOKUP(Таблица3[[#This Row],[№ акта]],$AJ$1:$BJ$691,16,FALSE)</f>
        <v>Авола</v>
      </c>
      <c r="V223" s="502">
        <f>VLOOKUP(Таблица3[[#This Row],[№ акта]],$AJ$1:$BJ$691,17,FALSE)</f>
        <v>1.4</v>
      </c>
      <c r="W223" s="502" t="str">
        <f>VLOOKUP(Таблица3[[#This Row],[№ акта]],$AJ$1:$BJ$691,18,FALSE)</f>
        <v>ГРК (богара)</v>
      </c>
      <c r="X223" s="502" t="str">
        <f>VLOOKUP(Таблица3[[#This Row],[№ акта]],$AJ$1:$BJ$691,19,FALSE)</f>
        <v>богара</v>
      </c>
      <c r="Y223" s="503">
        <f>VLOOKUP(Таблица3[[#This Row],[№ акта]],$AJ$1:$BJ$691,20,FALSE)</f>
        <v>11</v>
      </c>
      <c r="Z223" s="504">
        <f>VLOOKUP(Таблица3[[#This Row],[№ акта]],$AJ$1:$BJ$691,21,FALSE)</f>
        <v>46187</v>
      </c>
      <c r="AA223" s="504"/>
      <c r="AB223" s="504" t="str">
        <f>IF(VLOOKUP(Таблица3[[#This Row],[№ акта]],$AJ$1:$BJ$691,23,FALSE)&lt;&gt;0,VLOOKUP(Таблица3[[#This Row],[№ акта]],$AJ$1:$BJ$691,23,FALSE),"-")</f>
        <v>-</v>
      </c>
      <c r="AC22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23" s="506" t="s">
        <v>2940</v>
      </c>
      <c r="AE223" s="505">
        <v>214</v>
      </c>
      <c r="AF223" s="507">
        <v>46187</v>
      </c>
      <c r="AG223" s="505">
        <v>200</v>
      </c>
      <c r="AH223" s="505">
        <f>IFERROR(VLOOKUP(Таблица3[[#This Row],[№ акта]],'Степень зрелости 2026'!$H$12:$I$800,2,FALSE),)</f>
        <v>66</v>
      </c>
      <c r="AJ223" s="508">
        <v>214</v>
      </c>
      <c r="AK223" s="509">
        <v>46187</v>
      </c>
      <c r="AL223" s="508">
        <v>318</v>
      </c>
      <c r="AO223" s="508">
        <v>8620</v>
      </c>
      <c r="AP223" s="508">
        <v>7585.6</v>
      </c>
      <c r="AQ223" s="508" t="s">
        <v>2939</v>
      </c>
      <c r="AR223" s="508" t="s">
        <v>524</v>
      </c>
      <c r="AS223" s="508" t="s">
        <v>3105</v>
      </c>
      <c r="AT223" s="508" t="s">
        <v>305</v>
      </c>
      <c r="AV223" s="508" t="s">
        <v>309</v>
      </c>
      <c r="AX223" s="508" t="s">
        <v>3106</v>
      </c>
      <c r="AY223" s="508" t="s">
        <v>524</v>
      </c>
      <c r="AZ223" s="508">
        <v>1.4</v>
      </c>
      <c r="BA223" s="508" t="s">
        <v>46</v>
      </c>
      <c r="BB223" s="508" t="s">
        <v>19</v>
      </c>
      <c r="BC223" s="508">
        <v>11</v>
      </c>
      <c r="BD223" s="509">
        <v>46187</v>
      </c>
      <c r="BG223" s="508" t="s">
        <v>3559</v>
      </c>
      <c r="BH223" s="508" t="s">
        <v>2940</v>
      </c>
      <c r="BI223" s="508">
        <v>200</v>
      </c>
      <c r="BJ223" s="508">
        <v>66</v>
      </c>
    </row>
    <row r="224" spans="1:62" s="508" customFormat="1" ht="14.25" hidden="1" customHeight="1" x14ac:dyDescent="0.2">
      <c r="A224" s="495" t="s">
        <v>102</v>
      </c>
      <c r="B224" s="496"/>
      <c r="C224" s="497">
        <f>Таблица3[[#This Row],[Степень зрелости вспом]]</f>
        <v>69</v>
      </c>
      <c r="D224" s="498">
        <v>319</v>
      </c>
      <c r="E224" s="499"/>
      <c r="F224" s="496"/>
      <c r="G224" s="496">
        <v>8990</v>
      </c>
      <c r="H224" s="500"/>
      <c r="I224" s="496">
        <v>8001.1</v>
      </c>
      <c r="J224" s="495" t="s">
        <v>2939</v>
      </c>
      <c r="K224" s="495" t="s">
        <v>524</v>
      </c>
      <c r="L224" s="495" t="s">
        <v>3105</v>
      </c>
      <c r="M224" s="495" t="s">
        <v>3204</v>
      </c>
      <c r="N224" s="495"/>
      <c r="O224" s="495"/>
      <c r="P224" s="495"/>
      <c r="Q224" s="495"/>
      <c r="R224" s="501" t="s">
        <v>3303</v>
      </c>
      <c r="S224" s="495"/>
      <c r="T224" s="482" t="str">
        <f>VLOOKUP(Таблица3[[#This Row],[№ акта]],$AJ$1:$BJ$691,15,FALSE)</f>
        <v>А-83/2</v>
      </c>
      <c r="U224" s="482" t="str">
        <f>VLOOKUP(Таблица3[[#This Row],[№ акта]],$AJ$1:$BJ$691,16,FALSE)</f>
        <v>Авола</v>
      </c>
      <c r="V224" s="502">
        <f>VLOOKUP(Таблица3[[#This Row],[№ акта]],$AJ$1:$BJ$691,17,FALSE)</f>
        <v>1.5</v>
      </c>
      <c r="W224" s="502" t="str">
        <f>VLOOKUP(Таблица3[[#This Row],[№ акта]],$AJ$1:$BJ$691,18,FALSE)</f>
        <v>ГРК (богара)</v>
      </c>
      <c r="X224" s="502" t="str">
        <f>VLOOKUP(Таблица3[[#This Row],[№ акта]],$AJ$1:$BJ$691,19,FALSE)</f>
        <v>богара</v>
      </c>
      <c r="Y224" s="503">
        <f>VLOOKUP(Таблица3[[#This Row],[№ акта]],$AJ$1:$BJ$691,20,FALSE)</f>
        <v>11</v>
      </c>
      <c r="Z224" s="504">
        <f>VLOOKUP(Таблица3[[#This Row],[№ акта]],$AJ$1:$BJ$691,21,FALSE)</f>
        <v>46187</v>
      </c>
      <c r="AA224" s="504"/>
      <c r="AB224" s="504" t="str">
        <f>IF(VLOOKUP(Таблица3[[#This Row],[№ акта]],$AJ$1:$BJ$691,23,FALSE)&lt;&gt;0,VLOOKUP(Таблица3[[#This Row],[№ акта]],$AJ$1:$BJ$691,23,FALSE),"-")</f>
        <v>-</v>
      </c>
      <c r="AC22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224" s="506" t="s">
        <v>3230</v>
      </c>
      <c r="AE224" s="505">
        <v>215</v>
      </c>
      <c r="AF224" s="507">
        <v>46187</v>
      </c>
      <c r="AG224" s="505">
        <v>201</v>
      </c>
      <c r="AH224" s="505">
        <f>IFERROR(VLOOKUP(Таблица3[[#This Row],[№ акта]],'Степень зрелости 2026'!$H$12:$I$800,2,FALSE),)</f>
        <v>69</v>
      </c>
      <c r="AJ224" s="508">
        <v>215</v>
      </c>
      <c r="AK224" s="509">
        <v>46187</v>
      </c>
      <c r="AL224" s="508">
        <v>319</v>
      </c>
      <c r="AO224" s="508">
        <v>8990</v>
      </c>
      <c r="AP224" s="508">
        <v>8001.1</v>
      </c>
      <c r="AQ224" s="508" t="s">
        <v>2939</v>
      </c>
      <c r="AR224" s="508" t="s">
        <v>524</v>
      </c>
      <c r="AS224" s="508" t="s">
        <v>3105</v>
      </c>
      <c r="AT224" s="508" t="s">
        <v>3204</v>
      </c>
      <c r="AV224" s="508" t="s">
        <v>3303</v>
      </c>
      <c r="AX224" s="508" t="s">
        <v>3106</v>
      </c>
      <c r="AY224" s="508" t="s">
        <v>524</v>
      </c>
      <c r="AZ224" s="508">
        <v>1.5</v>
      </c>
      <c r="BA224" s="508" t="s">
        <v>46</v>
      </c>
      <c r="BB224" s="508" t="s">
        <v>19</v>
      </c>
      <c r="BC224" s="508">
        <v>11</v>
      </c>
      <c r="BD224" s="509">
        <v>46187</v>
      </c>
      <c r="BG224" s="508" t="s">
        <v>420</v>
      </c>
      <c r="BH224" s="508" t="s">
        <v>2940</v>
      </c>
      <c r="BI224" s="508">
        <v>201</v>
      </c>
      <c r="BJ224" s="508">
        <v>69</v>
      </c>
    </row>
    <row r="225" spans="1:62" s="508" customFormat="1" ht="14.25" hidden="1" customHeight="1" x14ac:dyDescent="0.2">
      <c r="A225" s="495" t="s">
        <v>102</v>
      </c>
      <c r="B225" s="496"/>
      <c r="C225" s="497">
        <f>Таблица3[[#This Row],[Степень зрелости вспом]]</f>
        <v>57</v>
      </c>
      <c r="D225" s="498">
        <v>320</v>
      </c>
      <c r="E225" s="499"/>
      <c r="F225" s="496"/>
      <c r="G225" s="496">
        <v>13110</v>
      </c>
      <c r="H225" s="500"/>
      <c r="I225" s="496">
        <v>10946.9</v>
      </c>
      <c r="J225" s="495" t="s">
        <v>2939</v>
      </c>
      <c r="K225" s="495" t="s">
        <v>524</v>
      </c>
      <c r="L225" s="495" t="s">
        <v>3105</v>
      </c>
      <c r="M225" s="495" t="s">
        <v>311</v>
      </c>
      <c r="N225" s="495"/>
      <c r="O225" s="495"/>
      <c r="P225" s="495"/>
      <c r="Q225" s="495"/>
      <c r="R225" s="501" t="s">
        <v>315</v>
      </c>
      <c r="S225" s="495"/>
      <c r="T225" s="482" t="str">
        <f>VLOOKUP(Таблица3[[#This Row],[№ акта]],$AJ$1:$BJ$691,15,FALSE)</f>
        <v>А-83/2</v>
      </c>
      <c r="U225" s="482" t="str">
        <f>VLOOKUP(Таблица3[[#This Row],[№ акта]],$AJ$1:$BJ$691,16,FALSE)</f>
        <v>Авола</v>
      </c>
      <c r="V225" s="502">
        <f>VLOOKUP(Таблица3[[#This Row],[№ акта]],$AJ$1:$BJ$691,17,FALSE)</f>
        <v>2.1</v>
      </c>
      <c r="W225" s="502" t="str">
        <f>VLOOKUP(Таблица3[[#This Row],[№ акта]],$AJ$1:$BJ$691,18,FALSE)</f>
        <v>ГРК (богара)</v>
      </c>
      <c r="X225" s="502" t="str">
        <f>VLOOKUP(Таблица3[[#This Row],[№ акта]],$AJ$1:$BJ$691,19,FALSE)</f>
        <v>богара</v>
      </c>
      <c r="Y225" s="503">
        <f>VLOOKUP(Таблица3[[#This Row],[№ акта]],$AJ$1:$BJ$691,20,FALSE)</f>
        <v>11</v>
      </c>
      <c r="Z225" s="504">
        <f>VLOOKUP(Таблица3[[#This Row],[№ акта]],$AJ$1:$BJ$691,21,FALSE)</f>
        <v>46187</v>
      </c>
      <c r="AA225" s="504"/>
      <c r="AB225" s="504" t="str">
        <f>IF(VLOOKUP(Таблица3[[#This Row],[№ акта]],$AJ$1:$BJ$691,23,FALSE)&lt;&gt;0,VLOOKUP(Таблица3[[#This Row],[№ акта]],$AJ$1:$BJ$691,23,FALSE),"-")</f>
        <v>-</v>
      </c>
      <c r="AC22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25" s="506" t="s">
        <v>2940</v>
      </c>
      <c r="AE225" s="505">
        <v>216</v>
      </c>
      <c r="AF225" s="507">
        <v>46187</v>
      </c>
      <c r="AG225" s="505">
        <v>202</v>
      </c>
      <c r="AH225" s="505">
        <f>IFERROR(VLOOKUP(Таблица3[[#This Row],[№ акта]],'Степень зрелости 2026'!$H$12:$I$800,2,FALSE),)</f>
        <v>57</v>
      </c>
      <c r="AJ225" s="508">
        <v>216</v>
      </c>
      <c r="AK225" s="509">
        <v>46187</v>
      </c>
      <c r="AL225" s="508">
        <v>320</v>
      </c>
      <c r="AO225" s="508">
        <v>13110</v>
      </c>
      <c r="AP225" s="508">
        <v>10946.9</v>
      </c>
      <c r="AQ225" s="508" t="s">
        <v>2939</v>
      </c>
      <c r="AR225" s="508" t="s">
        <v>524</v>
      </c>
      <c r="AS225" s="508" t="s">
        <v>3105</v>
      </c>
      <c r="AT225" s="508" t="s">
        <v>311</v>
      </c>
      <c r="AV225" s="508" t="s">
        <v>315</v>
      </c>
      <c r="AX225" s="508" t="s">
        <v>3106</v>
      </c>
      <c r="AY225" s="508" t="s">
        <v>524</v>
      </c>
      <c r="AZ225" s="508">
        <v>2.1</v>
      </c>
      <c r="BA225" s="508" t="s">
        <v>46</v>
      </c>
      <c r="BB225" s="508" t="s">
        <v>19</v>
      </c>
      <c r="BC225" s="508">
        <v>11</v>
      </c>
      <c r="BD225" s="509">
        <v>46187</v>
      </c>
      <c r="BG225" s="508" t="s">
        <v>724</v>
      </c>
      <c r="BH225" s="508" t="s">
        <v>2940</v>
      </c>
      <c r="BI225" s="508">
        <v>202</v>
      </c>
      <c r="BJ225" s="508">
        <v>57</v>
      </c>
    </row>
    <row r="226" spans="1:62" s="508" customFormat="1" ht="14.25" hidden="1" customHeight="1" x14ac:dyDescent="0.2">
      <c r="A226" s="495" t="s">
        <v>102</v>
      </c>
      <c r="B226" s="496"/>
      <c r="C226" s="497">
        <f>Таблица3[[#This Row],[Степень зрелости вспом]]</f>
        <v>59</v>
      </c>
      <c r="D226" s="498">
        <v>321</v>
      </c>
      <c r="E226" s="499"/>
      <c r="F226" s="496"/>
      <c r="G226" s="496">
        <v>13130</v>
      </c>
      <c r="H226" s="500"/>
      <c r="I226" s="496">
        <v>10635.3</v>
      </c>
      <c r="J226" s="495" t="s">
        <v>2939</v>
      </c>
      <c r="K226" s="495" t="s">
        <v>524</v>
      </c>
      <c r="L226" s="495" t="s">
        <v>3105</v>
      </c>
      <c r="M226" s="495" t="s">
        <v>166</v>
      </c>
      <c r="N226" s="495"/>
      <c r="O226" s="495"/>
      <c r="P226" s="495"/>
      <c r="Q226" s="495"/>
      <c r="R226" s="501" t="s">
        <v>170</v>
      </c>
      <c r="S226" s="495"/>
      <c r="T226" s="482" t="str">
        <f>VLOOKUP(Таблица3[[#This Row],[№ акта]],$AJ$1:$BJ$691,15,FALSE)</f>
        <v>А-83/2</v>
      </c>
      <c r="U226" s="482" t="str">
        <f>VLOOKUP(Таблица3[[#This Row],[№ акта]],$AJ$1:$BJ$691,16,FALSE)</f>
        <v>Авола</v>
      </c>
      <c r="V226" s="502">
        <f>VLOOKUP(Таблица3[[#This Row],[№ акта]],$AJ$1:$BJ$691,17,FALSE)</f>
        <v>2.1</v>
      </c>
      <c r="W226" s="502" t="str">
        <f>VLOOKUP(Таблица3[[#This Row],[№ акта]],$AJ$1:$BJ$691,18,FALSE)</f>
        <v>ГРК (богара)</v>
      </c>
      <c r="X226" s="502" t="str">
        <f>VLOOKUP(Таблица3[[#This Row],[№ акта]],$AJ$1:$BJ$691,19,FALSE)</f>
        <v>богара</v>
      </c>
      <c r="Y226" s="503">
        <f>VLOOKUP(Таблица3[[#This Row],[№ акта]],$AJ$1:$BJ$691,20,FALSE)</f>
        <v>11</v>
      </c>
      <c r="Z226" s="504">
        <f>VLOOKUP(Таблица3[[#This Row],[№ акта]],$AJ$1:$BJ$691,21,FALSE)</f>
        <v>46187</v>
      </c>
      <c r="AA226" s="504"/>
      <c r="AB226" s="504" t="str">
        <f>IF(VLOOKUP(Таблица3[[#This Row],[№ акта]],$AJ$1:$BJ$691,23,FALSE)&lt;&gt;0,VLOOKUP(Таблица3[[#This Row],[№ акта]],$AJ$1:$BJ$691,23,FALSE),"-")</f>
        <v>-</v>
      </c>
      <c r="AC22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26" s="506" t="s">
        <v>2940</v>
      </c>
      <c r="AE226" s="505">
        <v>217</v>
      </c>
      <c r="AF226" s="507">
        <v>46187</v>
      </c>
      <c r="AG226" s="505">
        <v>203</v>
      </c>
      <c r="AH226" s="505">
        <f>IFERROR(VLOOKUP(Таблица3[[#This Row],[№ акта]],'Степень зрелости 2026'!$H$12:$I$800,2,FALSE),)</f>
        <v>59</v>
      </c>
      <c r="AJ226" s="508">
        <v>217</v>
      </c>
      <c r="AK226" s="509">
        <v>46187</v>
      </c>
      <c r="AL226" s="508">
        <v>321</v>
      </c>
      <c r="AO226" s="508">
        <v>13130</v>
      </c>
      <c r="AP226" s="508">
        <v>10635.3</v>
      </c>
      <c r="AQ226" s="508" t="s">
        <v>2939</v>
      </c>
      <c r="AR226" s="508" t="s">
        <v>524</v>
      </c>
      <c r="AS226" s="508" t="s">
        <v>3105</v>
      </c>
      <c r="AT226" s="508" t="s">
        <v>166</v>
      </c>
      <c r="AV226" s="508" t="s">
        <v>170</v>
      </c>
      <c r="AX226" s="508" t="s">
        <v>3106</v>
      </c>
      <c r="AY226" s="508" t="s">
        <v>524</v>
      </c>
      <c r="AZ226" s="508">
        <v>2.1</v>
      </c>
      <c r="BA226" s="508" t="s">
        <v>46</v>
      </c>
      <c r="BB226" s="508" t="s">
        <v>19</v>
      </c>
      <c r="BC226" s="508">
        <v>11</v>
      </c>
      <c r="BD226" s="509">
        <v>46187</v>
      </c>
      <c r="BG226" s="508" t="s">
        <v>724</v>
      </c>
      <c r="BH226" s="508" t="s">
        <v>2940</v>
      </c>
      <c r="BI226" s="508">
        <v>203</v>
      </c>
      <c r="BJ226" s="508">
        <v>59</v>
      </c>
    </row>
    <row r="227" spans="1:62" s="508" customFormat="1" ht="14.25" hidden="1" customHeight="1" x14ac:dyDescent="0.2">
      <c r="A227" s="495" t="s">
        <v>102</v>
      </c>
      <c r="B227" s="496"/>
      <c r="C227" s="497">
        <f>Таблица3[[#This Row],[Степень зрелости вспом]]</f>
        <v>62</v>
      </c>
      <c r="D227" s="498">
        <v>322</v>
      </c>
      <c r="E227" s="499"/>
      <c r="F227" s="496"/>
      <c r="G227" s="496">
        <v>12750</v>
      </c>
      <c r="H227" s="500"/>
      <c r="I227" s="496">
        <v>10965</v>
      </c>
      <c r="J227" s="495" t="s">
        <v>2939</v>
      </c>
      <c r="K227" s="495" t="s">
        <v>524</v>
      </c>
      <c r="L227" s="495" t="s">
        <v>3105</v>
      </c>
      <c r="M227" s="495" t="s">
        <v>305</v>
      </c>
      <c r="N227" s="495"/>
      <c r="O227" s="495"/>
      <c r="P227" s="495"/>
      <c r="Q227" s="495"/>
      <c r="R227" s="501" t="s">
        <v>309</v>
      </c>
      <c r="S227" s="495"/>
      <c r="T227" s="482" t="str">
        <f>VLOOKUP(Таблица3[[#This Row],[№ акта]],$AJ$1:$BJ$691,15,FALSE)</f>
        <v>А-83/2</v>
      </c>
      <c r="U227" s="482" t="str">
        <f>VLOOKUP(Таблица3[[#This Row],[№ акта]],$AJ$1:$BJ$691,16,FALSE)</f>
        <v>Авола</v>
      </c>
      <c r="V227" s="502">
        <f>VLOOKUP(Таблица3[[#This Row],[№ акта]],$AJ$1:$BJ$691,17,FALSE)</f>
        <v>2.1</v>
      </c>
      <c r="W227" s="502" t="str">
        <f>VLOOKUP(Таблица3[[#This Row],[№ акта]],$AJ$1:$BJ$691,18,FALSE)</f>
        <v>ГРК (богара)</v>
      </c>
      <c r="X227" s="502" t="str">
        <f>VLOOKUP(Таблица3[[#This Row],[№ акта]],$AJ$1:$BJ$691,19,FALSE)</f>
        <v>богара</v>
      </c>
      <c r="Y227" s="503">
        <f>VLOOKUP(Таблица3[[#This Row],[№ акта]],$AJ$1:$BJ$691,20,FALSE)</f>
        <v>11</v>
      </c>
      <c r="Z227" s="504">
        <f>VLOOKUP(Таблица3[[#This Row],[№ акта]],$AJ$1:$BJ$691,21,FALSE)</f>
        <v>46187</v>
      </c>
      <c r="AA227" s="504"/>
      <c r="AB227" s="504" t="str">
        <f>IF(VLOOKUP(Таблица3[[#This Row],[№ акта]],$AJ$1:$BJ$691,23,FALSE)&lt;&gt;0,VLOOKUP(Таблица3[[#This Row],[№ акта]],$AJ$1:$BJ$691,23,FALSE),"-")</f>
        <v>-</v>
      </c>
      <c r="AC22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27" s="506" t="s">
        <v>2940</v>
      </c>
      <c r="AE227" s="505">
        <v>218</v>
      </c>
      <c r="AF227" s="507">
        <v>46187</v>
      </c>
      <c r="AG227" s="505">
        <v>204</v>
      </c>
      <c r="AH227" s="505">
        <f>IFERROR(VLOOKUP(Таблица3[[#This Row],[№ акта]],'Степень зрелости 2026'!$H$12:$I$800,2,FALSE),)</f>
        <v>62</v>
      </c>
      <c r="AJ227" s="508">
        <v>218</v>
      </c>
      <c r="AK227" s="509">
        <v>46187</v>
      </c>
      <c r="AL227" s="508">
        <v>322</v>
      </c>
      <c r="AO227" s="508">
        <v>12750</v>
      </c>
      <c r="AP227" s="508">
        <v>10965</v>
      </c>
      <c r="AQ227" s="508" t="s">
        <v>2939</v>
      </c>
      <c r="AR227" s="508" t="s">
        <v>524</v>
      </c>
      <c r="AS227" s="508" t="s">
        <v>3105</v>
      </c>
      <c r="AT227" s="508" t="s">
        <v>305</v>
      </c>
      <c r="AV227" s="508" t="s">
        <v>309</v>
      </c>
      <c r="AX227" s="508" t="s">
        <v>3106</v>
      </c>
      <c r="AY227" s="508" t="s">
        <v>524</v>
      </c>
      <c r="AZ227" s="508">
        <v>2.1</v>
      </c>
      <c r="BA227" s="508" t="s">
        <v>46</v>
      </c>
      <c r="BB227" s="508" t="s">
        <v>19</v>
      </c>
      <c r="BC227" s="508">
        <v>11</v>
      </c>
      <c r="BD227" s="509">
        <v>46187</v>
      </c>
      <c r="BG227" s="508" t="s">
        <v>724</v>
      </c>
      <c r="BH227" s="508" t="s">
        <v>2940</v>
      </c>
      <c r="BI227" s="508">
        <v>204</v>
      </c>
      <c r="BJ227" s="508">
        <v>62</v>
      </c>
    </row>
    <row r="228" spans="1:62" s="508" customFormat="1" ht="14.25" hidden="1" customHeight="1" x14ac:dyDescent="0.2">
      <c r="A228" s="495" t="s">
        <v>102</v>
      </c>
      <c r="B228" s="496"/>
      <c r="C228" s="497">
        <f>Таблица3[[#This Row],[Степень зрелости вспом]]</f>
        <v>62</v>
      </c>
      <c r="D228" s="498">
        <v>323</v>
      </c>
      <c r="E228" s="499"/>
      <c r="F228" s="496"/>
      <c r="G228" s="496">
        <v>12750</v>
      </c>
      <c r="H228" s="500"/>
      <c r="I228" s="496">
        <v>11092.5</v>
      </c>
      <c r="J228" s="495" t="s">
        <v>2939</v>
      </c>
      <c r="K228" s="495" t="s">
        <v>524</v>
      </c>
      <c r="L228" s="495" t="s">
        <v>3317</v>
      </c>
      <c r="M228" s="495" t="s">
        <v>3204</v>
      </c>
      <c r="N228" s="495"/>
      <c r="O228" s="495"/>
      <c r="P228" s="495"/>
      <c r="Q228" s="495"/>
      <c r="R228" s="501" t="s">
        <v>3303</v>
      </c>
      <c r="S228" s="495"/>
      <c r="T228" s="482" t="str">
        <f>VLOOKUP(Таблица3[[#This Row],[№ акта]],$AJ$1:$BJ$691,15,FALSE)</f>
        <v>А-83/2</v>
      </c>
      <c r="U228" s="482" t="str">
        <f>VLOOKUP(Таблица3[[#This Row],[№ акта]],$AJ$1:$BJ$691,16,FALSE)</f>
        <v>Авола</v>
      </c>
      <c r="V228" s="502">
        <f>VLOOKUP(Таблица3[[#This Row],[№ акта]],$AJ$1:$BJ$691,17,FALSE)</f>
        <v>2.1</v>
      </c>
      <c r="W228" s="502" t="str">
        <f>VLOOKUP(Таблица3[[#This Row],[№ акта]],$AJ$1:$BJ$691,18,FALSE)</f>
        <v>ГРК (богара)</v>
      </c>
      <c r="X228" s="502" t="str">
        <f>VLOOKUP(Таблица3[[#This Row],[№ акта]],$AJ$1:$BJ$691,19,FALSE)</f>
        <v>богара</v>
      </c>
      <c r="Y228" s="503">
        <f>VLOOKUP(Таблица3[[#This Row],[№ акта]],$AJ$1:$BJ$691,20,FALSE)</f>
        <v>11</v>
      </c>
      <c r="Z228" s="504">
        <f>VLOOKUP(Таблица3[[#This Row],[№ акта]],$AJ$1:$BJ$691,21,FALSE)</f>
        <v>46187</v>
      </c>
      <c r="AA228" s="504"/>
      <c r="AB228" s="504" t="str">
        <f>IF(VLOOKUP(Таблица3[[#This Row],[№ акта]],$AJ$1:$BJ$691,23,FALSE)&lt;&gt;0,VLOOKUP(Таблица3[[#This Row],[№ акта]],$AJ$1:$BJ$691,23,FALSE),"-")</f>
        <v>-</v>
      </c>
      <c r="AC22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28" s="506" t="s">
        <v>2940</v>
      </c>
      <c r="AE228" s="505">
        <v>219</v>
      </c>
      <c r="AF228" s="507">
        <v>46187</v>
      </c>
      <c r="AG228" s="505">
        <v>205</v>
      </c>
      <c r="AH228" s="505">
        <f>IFERROR(VLOOKUP(Таблица3[[#This Row],[№ акта]],'Степень зрелости 2026'!$H$12:$I$800,2,FALSE),)</f>
        <v>62</v>
      </c>
      <c r="AJ228" s="508">
        <v>219</v>
      </c>
      <c r="AK228" s="509">
        <v>46187</v>
      </c>
      <c r="AL228" s="508">
        <v>323</v>
      </c>
      <c r="AO228" s="508">
        <v>12750</v>
      </c>
      <c r="AP228" s="508">
        <v>11092.5</v>
      </c>
      <c r="AQ228" s="508" t="s">
        <v>2939</v>
      </c>
      <c r="AR228" s="508" t="s">
        <v>524</v>
      </c>
      <c r="AS228" s="508" t="s">
        <v>3317</v>
      </c>
      <c r="AT228" s="508" t="s">
        <v>3204</v>
      </c>
      <c r="AV228" s="508" t="s">
        <v>3303</v>
      </c>
      <c r="AX228" s="508" t="s">
        <v>3106</v>
      </c>
      <c r="AY228" s="508" t="s">
        <v>524</v>
      </c>
      <c r="AZ228" s="508">
        <v>2.1</v>
      </c>
      <c r="BA228" s="508" t="s">
        <v>46</v>
      </c>
      <c r="BB228" s="508" t="s">
        <v>19</v>
      </c>
      <c r="BC228" s="508">
        <v>11</v>
      </c>
      <c r="BD228" s="509">
        <v>46187</v>
      </c>
      <c r="BG228" s="508" t="s">
        <v>724</v>
      </c>
      <c r="BH228" s="508" t="s">
        <v>2940</v>
      </c>
      <c r="BI228" s="508">
        <v>205</v>
      </c>
      <c r="BJ228" s="508">
        <v>62</v>
      </c>
    </row>
    <row r="229" spans="1:62" s="508" customFormat="1" ht="14.25" hidden="1" customHeight="1" x14ac:dyDescent="0.2">
      <c r="A229" s="495" t="s">
        <v>102</v>
      </c>
      <c r="B229" s="496"/>
      <c r="C229" s="497">
        <f>Таблица3[[#This Row],[Степень зрелости вспом]]</f>
        <v>63</v>
      </c>
      <c r="D229" s="498">
        <v>324</v>
      </c>
      <c r="E229" s="499"/>
      <c r="F229" s="496"/>
      <c r="G229" s="496">
        <v>12440</v>
      </c>
      <c r="H229" s="500"/>
      <c r="I229" s="496">
        <v>10574</v>
      </c>
      <c r="J229" s="495" t="s">
        <v>2939</v>
      </c>
      <c r="K229" s="495" t="s">
        <v>524</v>
      </c>
      <c r="L229" s="495" t="s">
        <v>3105</v>
      </c>
      <c r="M229" s="495" t="s">
        <v>311</v>
      </c>
      <c r="N229" s="495"/>
      <c r="O229" s="495"/>
      <c r="P229" s="495"/>
      <c r="Q229" s="495"/>
      <c r="R229" s="501" t="s">
        <v>315</v>
      </c>
      <c r="S229" s="495"/>
      <c r="T229" s="482" t="str">
        <f>VLOOKUP(Таблица3[[#This Row],[№ акта]],$AJ$1:$BJ$691,15,FALSE)</f>
        <v>А-83/2</v>
      </c>
      <c r="U229" s="482" t="str">
        <f>VLOOKUP(Таблица3[[#This Row],[№ акта]],$AJ$1:$BJ$691,16,FALSE)</f>
        <v>Авола</v>
      </c>
      <c r="V229" s="502">
        <f>VLOOKUP(Таблица3[[#This Row],[№ акта]],$AJ$1:$BJ$691,17,FALSE)</f>
        <v>2</v>
      </c>
      <c r="W229" s="502" t="str">
        <f>VLOOKUP(Таблица3[[#This Row],[№ акта]],$AJ$1:$BJ$691,18,FALSE)</f>
        <v>ГРК (богара)</v>
      </c>
      <c r="X229" s="502" t="str">
        <f>VLOOKUP(Таблица3[[#This Row],[№ акта]],$AJ$1:$BJ$691,19,FALSE)</f>
        <v>богара</v>
      </c>
      <c r="Y229" s="503">
        <f>VLOOKUP(Таблица3[[#This Row],[№ акта]],$AJ$1:$BJ$691,20,FALSE)</f>
        <v>11</v>
      </c>
      <c r="Z229" s="504">
        <f>VLOOKUP(Таблица3[[#This Row],[№ акта]],$AJ$1:$BJ$691,21,FALSE)</f>
        <v>46187</v>
      </c>
      <c r="AA229" s="504"/>
      <c r="AB229" s="504" t="str">
        <f>IF(VLOOKUP(Таблица3[[#This Row],[№ акта]],$AJ$1:$BJ$691,23,FALSE)&lt;&gt;0,VLOOKUP(Таблица3[[#This Row],[№ акта]],$AJ$1:$BJ$691,23,FALSE),"-")</f>
        <v>-</v>
      </c>
      <c r="AC22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29" s="506" t="s">
        <v>2940</v>
      </c>
      <c r="AE229" s="505">
        <v>220</v>
      </c>
      <c r="AF229" s="507">
        <v>46187</v>
      </c>
      <c r="AG229" s="505">
        <v>206</v>
      </c>
      <c r="AH229" s="505">
        <f>IFERROR(VLOOKUP(Таблица3[[#This Row],[№ акта]],'Степень зрелости 2026'!$H$12:$I$800,2,FALSE),)</f>
        <v>63</v>
      </c>
      <c r="AJ229" s="508">
        <v>220</v>
      </c>
      <c r="AK229" s="509">
        <v>46187</v>
      </c>
      <c r="AL229" s="508">
        <v>324</v>
      </c>
      <c r="AO229" s="508">
        <v>12440</v>
      </c>
      <c r="AP229" s="508">
        <v>10574</v>
      </c>
      <c r="AQ229" s="508" t="s">
        <v>2939</v>
      </c>
      <c r="AR229" s="508" t="s">
        <v>524</v>
      </c>
      <c r="AS229" s="508" t="s">
        <v>3105</v>
      </c>
      <c r="AT229" s="508" t="s">
        <v>311</v>
      </c>
      <c r="AV229" s="508" t="s">
        <v>315</v>
      </c>
      <c r="AX229" s="508" t="s">
        <v>3106</v>
      </c>
      <c r="AY229" s="508" t="s">
        <v>524</v>
      </c>
      <c r="AZ229" s="508">
        <v>2</v>
      </c>
      <c r="BA229" s="508" t="s">
        <v>46</v>
      </c>
      <c r="BB229" s="508" t="s">
        <v>19</v>
      </c>
      <c r="BC229" s="508">
        <v>11</v>
      </c>
      <c r="BD229" s="509">
        <v>46187</v>
      </c>
      <c r="BG229" s="508" t="s">
        <v>724</v>
      </c>
      <c r="BH229" s="508" t="s">
        <v>2940</v>
      </c>
      <c r="BI229" s="508">
        <v>206</v>
      </c>
      <c r="BJ229" s="508">
        <v>63</v>
      </c>
    </row>
    <row r="230" spans="1:62" s="508" customFormat="1" ht="14.25" hidden="1" customHeight="1" x14ac:dyDescent="0.2">
      <c r="A230" s="495" t="s">
        <v>102</v>
      </c>
      <c r="B230" s="496"/>
      <c r="C230" s="497">
        <f>Таблица3[[#This Row],[Степень зрелости вспом]]</f>
        <v>67</v>
      </c>
      <c r="D230" s="498">
        <v>325</v>
      </c>
      <c r="E230" s="499"/>
      <c r="F230" s="496"/>
      <c r="G230" s="496">
        <v>12820</v>
      </c>
      <c r="H230" s="500"/>
      <c r="I230" s="496">
        <v>10704.7</v>
      </c>
      <c r="J230" s="495" t="s">
        <v>2939</v>
      </c>
      <c r="K230" s="495" t="s">
        <v>524</v>
      </c>
      <c r="L230" s="495" t="s">
        <v>3317</v>
      </c>
      <c r="M230" s="495" t="s">
        <v>166</v>
      </c>
      <c r="N230" s="495"/>
      <c r="O230" s="495"/>
      <c r="P230" s="495"/>
      <c r="Q230" s="495"/>
      <c r="R230" s="501" t="s">
        <v>170</v>
      </c>
      <c r="S230" s="495"/>
      <c r="T230" s="482" t="str">
        <f>VLOOKUP(Таблица3[[#This Row],[№ акта]],$AJ$1:$BJ$691,15,FALSE)</f>
        <v>А-83/2</v>
      </c>
      <c r="U230" s="482" t="str">
        <f>VLOOKUP(Таблица3[[#This Row],[№ акта]],$AJ$1:$BJ$691,16,FALSE)</f>
        <v>Авола</v>
      </c>
      <c r="V230" s="502">
        <f>VLOOKUP(Таблица3[[#This Row],[№ акта]],$AJ$1:$BJ$691,17,FALSE)</f>
        <v>2.1</v>
      </c>
      <c r="W230" s="502" t="str">
        <f>VLOOKUP(Таблица3[[#This Row],[№ акта]],$AJ$1:$BJ$691,18,FALSE)</f>
        <v>ГРК (богара)</v>
      </c>
      <c r="X230" s="502" t="str">
        <f>VLOOKUP(Таблица3[[#This Row],[№ акта]],$AJ$1:$BJ$691,19,FALSE)</f>
        <v>богара</v>
      </c>
      <c r="Y230" s="503">
        <f>VLOOKUP(Таблица3[[#This Row],[№ акта]],$AJ$1:$BJ$691,20,FALSE)</f>
        <v>11</v>
      </c>
      <c r="Z230" s="504">
        <f>VLOOKUP(Таблица3[[#This Row],[№ акта]],$AJ$1:$BJ$691,21,FALSE)</f>
        <v>46187</v>
      </c>
      <c r="AA230" s="504"/>
      <c r="AB230" s="504" t="str">
        <f>IF(VLOOKUP(Таблица3[[#This Row],[№ акта]],$AJ$1:$BJ$691,23,FALSE)&lt;&gt;0,VLOOKUP(Таблица3[[#This Row],[№ акта]],$AJ$1:$BJ$691,23,FALSE),"-")</f>
        <v>-</v>
      </c>
      <c r="AC23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230" s="506" t="s">
        <v>3230</v>
      </c>
      <c r="AE230" s="505">
        <v>221</v>
      </c>
      <c r="AF230" s="507">
        <v>46187</v>
      </c>
      <c r="AG230" s="505">
        <v>207</v>
      </c>
      <c r="AH230" s="505">
        <f>IFERROR(VLOOKUP(Таблица3[[#This Row],[№ акта]],'Степень зрелости 2026'!$H$12:$I$800,2,FALSE),)</f>
        <v>67</v>
      </c>
      <c r="AJ230" s="508">
        <v>221</v>
      </c>
      <c r="AK230" s="509">
        <v>46187</v>
      </c>
      <c r="AL230" s="508">
        <v>325</v>
      </c>
      <c r="AO230" s="508">
        <v>12820</v>
      </c>
      <c r="AP230" s="508">
        <v>10704.7</v>
      </c>
      <c r="AQ230" s="508" t="s">
        <v>2939</v>
      </c>
      <c r="AR230" s="508" t="s">
        <v>524</v>
      </c>
      <c r="AS230" s="508" t="s">
        <v>3317</v>
      </c>
      <c r="AT230" s="508" t="s">
        <v>166</v>
      </c>
      <c r="AV230" s="508" t="s">
        <v>170</v>
      </c>
      <c r="AX230" s="508" t="s">
        <v>3106</v>
      </c>
      <c r="AY230" s="508" t="s">
        <v>524</v>
      </c>
      <c r="AZ230" s="508">
        <v>2.1</v>
      </c>
      <c r="BA230" s="508" t="s">
        <v>46</v>
      </c>
      <c r="BB230" s="508" t="s">
        <v>19</v>
      </c>
      <c r="BC230" s="508">
        <v>11</v>
      </c>
      <c r="BD230" s="509">
        <v>46187</v>
      </c>
      <c r="BG230" s="508" t="s">
        <v>420</v>
      </c>
      <c r="BH230" s="508" t="s">
        <v>2940</v>
      </c>
      <c r="BI230" s="508">
        <v>207</v>
      </c>
      <c r="BJ230" s="508">
        <v>67</v>
      </c>
    </row>
    <row r="231" spans="1:62" s="508" customFormat="1" ht="14.25" hidden="1" customHeight="1" x14ac:dyDescent="0.2">
      <c r="A231" s="495" t="s">
        <v>102</v>
      </c>
      <c r="B231" s="496"/>
      <c r="C231" s="497">
        <f>Таблица3[[#This Row],[Степень зрелости вспом]]</f>
        <v>65</v>
      </c>
      <c r="D231" s="498">
        <v>326</v>
      </c>
      <c r="E231" s="499"/>
      <c r="F231" s="496"/>
      <c r="G231" s="496">
        <v>12280</v>
      </c>
      <c r="H231" s="500"/>
      <c r="I231" s="496">
        <v>10990.6</v>
      </c>
      <c r="J231" s="495" t="s">
        <v>2939</v>
      </c>
      <c r="K231" s="495" t="s">
        <v>524</v>
      </c>
      <c r="L231" s="495" t="s">
        <v>3317</v>
      </c>
      <c r="M231" s="495" t="s">
        <v>305</v>
      </c>
      <c r="N231" s="495"/>
      <c r="O231" s="495"/>
      <c r="P231" s="495"/>
      <c r="Q231" s="495"/>
      <c r="R231" s="501" t="s">
        <v>309</v>
      </c>
      <c r="S231" s="495"/>
      <c r="T231" s="482" t="str">
        <f>VLOOKUP(Таблица3[[#This Row],[№ акта]],$AJ$1:$BJ$691,15,FALSE)</f>
        <v>А-83/2</v>
      </c>
      <c r="U231" s="482" t="str">
        <f>VLOOKUP(Таблица3[[#This Row],[№ акта]],$AJ$1:$BJ$691,16,FALSE)</f>
        <v>Авола</v>
      </c>
      <c r="V231" s="502">
        <f>VLOOKUP(Таблица3[[#This Row],[№ акта]],$AJ$1:$BJ$691,17,FALSE)</f>
        <v>2</v>
      </c>
      <c r="W231" s="502" t="str">
        <f>VLOOKUP(Таблица3[[#This Row],[№ акта]],$AJ$1:$BJ$691,18,FALSE)</f>
        <v>ГРК (богара)</v>
      </c>
      <c r="X231" s="502" t="str">
        <f>VLOOKUP(Таблица3[[#This Row],[№ акта]],$AJ$1:$BJ$691,19,FALSE)</f>
        <v>богара</v>
      </c>
      <c r="Y231" s="503">
        <f>VLOOKUP(Таблица3[[#This Row],[№ акта]],$AJ$1:$BJ$691,20,FALSE)</f>
        <v>11</v>
      </c>
      <c r="Z231" s="504">
        <f>VLOOKUP(Таблица3[[#This Row],[№ акта]],$AJ$1:$BJ$691,21,FALSE)</f>
        <v>46187</v>
      </c>
      <c r="AA231" s="504"/>
      <c r="AB231" s="504" t="str">
        <f>IF(VLOOKUP(Таблица3[[#This Row],[№ акта]],$AJ$1:$BJ$691,23,FALSE)&lt;&gt;0,VLOOKUP(Таблица3[[#This Row],[№ акта]],$AJ$1:$BJ$691,23,FALSE),"-")</f>
        <v>-</v>
      </c>
      <c r="AC23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31" s="506" t="s">
        <v>2940</v>
      </c>
      <c r="AE231" s="505">
        <v>222</v>
      </c>
      <c r="AF231" s="507">
        <v>46188</v>
      </c>
      <c r="AG231" s="505">
        <v>208</v>
      </c>
      <c r="AH231" s="505">
        <f>IFERROR(VLOOKUP(Таблица3[[#This Row],[№ акта]],'Степень зрелости 2026'!$H$12:$I$800,2,FALSE),)</f>
        <v>65</v>
      </c>
      <c r="AJ231" s="508">
        <v>222</v>
      </c>
      <c r="AK231" s="509">
        <v>46188</v>
      </c>
      <c r="AL231" s="508">
        <v>326</v>
      </c>
      <c r="AO231" s="508">
        <v>12280</v>
      </c>
      <c r="AP231" s="508">
        <v>10990.6</v>
      </c>
      <c r="AQ231" s="508" t="s">
        <v>2939</v>
      </c>
      <c r="AR231" s="508" t="s">
        <v>524</v>
      </c>
      <c r="AS231" s="508" t="s">
        <v>3317</v>
      </c>
      <c r="AT231" s="508" t="s">
        <v>305</v>
      </c>
      <c r="AV231" s="508" t="s">
        <v>309</v>
      </c>
      <c r="AX231" s="508" t="s">
        <v>3106</v>
      </c>
      <c r="AY231" s="508" t="s">
        <v>524</v>
      </c>
      <c r="AZ231" s="508">
        <v>2</v>
      </c>
      <c r="BA231" s="508" t="s">
        <v>46</v>
      </c>
      <c r="BB231" s="508" t="s">
        <v>19</v>
      </c>
      <c r="BC231" s="508">
        <v>11</v>
      </c>
      <c r="BD231" s="509">
        <v>46187</v>
      </c>
      <c r="BG231" s="508" t="s">
        <v>3559</v>
      </c>
      <c r="BH231" s="508" t="s">
        <v>2940</v>
      </c>
      <c r="BI231" s="508">
        <v>208</v>
      </c>
      <c r="BJ231" s="508">
        <v>65</v>
      </c>
    </row>
    <row r="232" spans="1:62" s="508" customFormat="1" ht="14.25" hidden="1" customHeight="1" x14ac:dyDescent="0.2">
      <c r="A232" s="495" t="s">
        <v>102</v>
      </c>
      <c r="B232" s="496"/>
      <c r="C232" s="497">
        <f>Таблица3[[#This Row],[Степень зрелости вспом]]</f>
        <v>67</v>
      </c>
      <c r="D232" s="498">
        <v>327</v>
      </c>
      <c r="E232" s="499"/>
      <c r="F232" s="496"/>
      <c r="G232" s="496">
        <v>12820</v>
      </c>
      <c r="H232" s="500"/>
      <c r="I232" s="496">
        <v>10448.299999999999</v>
      </c>
      <c r="J232" s="495" t="s">
        <v>2939</v>
      </c>
      <c r="K232" s="495" t="s">
        <v>524</v>
      </c>
      <c r="L232" s="495" t="s">
        <v>3105</v>
      </c>
      <c r="M232" s="495" t="s">
        <v>3204</v>
      </c>
      <c r="N232" s="495"/>
      <c r="O232" s="495"/>
      <c r="P232" s="495"/>
      <c r="Q232" s="495"/>
      <c r="R232" s="501" t="s">
        <v>3303</v>
      </c>
      <c r="S232" s="495"/>
      <c r="T232" s="482" t="str">
        <f>VLOOKUP(Таблица3[[#This Row],[№ акта]],$AJ$1:$BJ$691,15,FALSE)</f>
        <v>А-83/2</v>
      </c>
      <c r="U232" s="482" t="str">
        <f>VLOOKUP(Таблица3[[#This Row],[№ акта]],$AJ$1:$BJ$691,16,FALSE)</f>
        <v>Авола</v>
      </c>
      <c r="V232" s="502">
        <f>VLOOKUP(Таблица3[[#This Row],[№ акта]],$AJ$1:$BJ$691,17,FALSE)</f>
        <v>2.1</v>
      </c>
      <c r="W232" s="502" t="str">
        <f>VLOOKUP(Таблица3[[#This Row],[№ акта]],$AJ$1:$BJ$691,18,FALSE)</f>
        <v>ГРК (богара)</v>
      </c>
      <c r="X232" s="502" t="str">
        <f>VLOOKUP(Таблица3[[#This Row],[№ акта]],$AJ$1:$BJ$691,19,FALSE)</f>
        <v>богара</v>
      </c>
      <c r="Y232" s="503">
        <f>VLOOKUP(Таблица3[[#This Row],[№ акта]],$AJ$1:$BJ$691,20,FALSE)</f>
        <v>11</v>
      </c>
      <c r="Z232" s="504">
        <f>VLOOKUP(Таблица3[[#This Row],[№ акта]],$AJ$1:$BJ$691,21,FALSE)</f>
        <v>46187</v>
      </c>
      <c r="AA232" s="504"/>
      <c r="AB232" s="504" t="str">
        <f>IF(VLOOKUP(Таблица3[[#This Row],[№ акта]],$AJ$1:$BJ$691,23,FALSE)&lt;&gt;0,VLOOKUP(Таблица3[[#This Row],[№ акта]],$AJ$1:$BJ$691,23,FALSE),"-")</f>
        <v>-</v>
      </c>
      <c r="AC23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232" s="506" t="s">
        <v>3230</v>
      </c>
      <c r="AE232" s="505">
        <v>223</v>
      </c>
      <c r="AF232" s="507">
        <v>46188</v>
      </c>
      <c r="AG232" s="505">
        <v>209</v>
      </c>
      <c r="AH232" s="505">
        <f>IFERROR(VLOOKUP(Таблица3[[#This Row],[№ акта]],'Степень зрелости 2026'!$H$12:$I$800,2,FALSE),)</f>
        <v>67</v>
      </c>
      <c r="AJ232" s="508">
        <v>223</v>
      </c>
      <c r="AK232" s="509">
        <v>46188</v>
      </c>
      <c r="AL232" s="508">
        <v>327</v>
      </c>
      <c r="AO232" s="508">
        <v>12820</v>
      </c>
      <c r="AP232" s="508">
        <v>10448.299999999999</v>
      </c>
      <c r="AQ232" s="508" t="s">
        <v>2939</v>
      </c>
      <c r="AR232" s="508" t="s">
        <v>524</v>
      </c>
      <c r="AS232" s="508" t="s">
        <v>3105</v>
      </c>
      <c r="AT232" s="508" t="s">
        <v>3204</v>
      </c>
      <c r="AV232" s="508" t="s">
        <v>3303</v>
      </c>
      <c r="AX232" s="508" t="s">
        <v>3106</v>
      </c>
      <c r="AY232" s="508" t="s">
        <v>524</v>
      </c>
      <c r="AZ232" s="508">
        <v>2.1</v>
      </c>
      <c r="BA232" s="508" t="s">
        <v>46</v>
      </c>
      <c r="BB232" s="508" t="s">
        <v>19</v>
      </c>
      <c r="BC232" s="508">
        <v>11</v>
      </c>
      <c r="BD232" s="509">
        <v>46187</v>
      </c>
      <c r="BG232" s="508" t="s">
        <v>420</v>
      </c>
      <c r="BH232" s="508" t="s">
        <v>2940</v>
      </c>
      <c r="BI232" s="508">
        <v>209</v>
      </c>
      <c r="BJ232" s="508">
        <v>67</v>
      </c>
    </row>
    <row r="233" spans="1:62" s="508" customFormat="1" ht="14.25" hidden="1" customHeight="1" x14ac:dyDescent="0.2">
      <c r="A233" s="495" t="s">
        <v>102</v>
      </c>
      <c r="B233" s="496"/>
      <c r="C233" s="497">
        <f>Таблица3[[#This Row],[Степень зрелости вспом]]</f>
        <v>65</v>
      </c>
      <c r="D233" s="498">
        <v>328</v>
      </c>
      <c r="E233" s="499"/>
      <c r="F233" s="496"/>
      <c r="G233" s="496">
        <v>13070</v>
      </c>
      <c r="H233" s="500"/>
      <c r="I233" s="496">
        <v>11305.6</v>
      </c>
      <c r="J233" s="495" t="s">
        <v>2939</v>
      </c>
      <c r="K233" s="495" t="s">
        <v>524</v>
      </c>
      <c r="L233" s="495" t="s">
        <v>3105</v>
      </c>
      <c r="M233" s="495" t="s">
        <v>311</v>
      </c>
      <c r="N233" s="495"/>
      <c r="O233" s="495"/>
      <c r="P233" s="495"/>
      <c r="Q233" s="495"/>
      <c r="R233" s="501" t="s">
        <v>315</v>
      </c>
      <c r="S233" s="495"/>
      <c r="T233" s="482" t="str">
        <f>VLOOKUP(Таблица3[[#This Row],[№ акта]],$AJ$1:$BJ$691,15,FALSE)</f>
        <v>А-83/2</v>
      </c>
      <c r="U233" s="482" t="str">
        <f>VLOOKUP(Таблица3[[#This Row],[№ акта]],$AJ$1:$BJ$691,16,FALSE)</f>
        <v>Авола</v>
      </c>
      <c r="V233" s="502">
        <f>VLOOKUP(Таблица3[[#This Row],[№ акта]],$AJ$1:$BJ$691,17,FALSE)</f>
        <v>2.1</v>
      </c>
      <c r="W233" s="502" t="str">
        <f>VLOOKUP(Таблица3[[#This Row],[№ акта]],$AJ$1:$BJ$691,18,FALSE)</f>
        <v>ГРК (богара)</v>
      </c>
      <c r="X233" s="502" t="str">
        <f>VLOOKUP(Таблица3[[#This Row],[№ акта]],$AJ$1:$BJ$691,19,FALSE)</f>
        <v>богара</v>
      </c>
      <c r="Y233" s="503">
        <f>VLOOKUP(Таблица3[[#This Row],[№ акта]],$AJ$1:$BJ$691,20,FALSE)</f>
        <v>11</v>
      </c>
      <c r="Z233" s="504">
        <f>VLOOKUP(Таблица3[[#This Row],[№ акта]],$AJ$1:$BJ$691,21,FALSE)</f>
        <v>46187</v>
      </c>
      <c r="AA233" s="504"/>
      <c r="AB233" s="504" t="str">
        <f>IF(VLOOKUP(Таблица3[[#This Row],[№ акта]],$AJ$1:$BJ$691,23,FALSE)&lt;&gt;0,VLOOKUP(Таблица3[[#This Row],[№ акта]],$AJ$1:$BJ$691,23,FALSE),"-")</f>
        <v>-</v>
      </c>
      <c r="AC23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33" s="506" t="s">
        <v>3230</v>
      </c>
      <c r="AE233" s="505">
        <v>224</v>
      </c>
      <c r="AF233" s="507">
        <v>46188</v>
      </c>
      <c r="AG233" s="505">
        <v>210</v>
      </c>
      <c r="AH233" s="505">
        <f>IFERROR(VLOOKUP(Таблица3[[#This Row],[№ акта]],'Степень зрелости 2026'!$H$12:$I$800,2,FALSE),)</f>
        <v>65</v>
      </c>
      <c r="AJ233" s="508">
        <v>224</v>
      </c>
      <c r="AK233" s="509">
        <v>46188</v>
      </c>
      <c r="AL233" s="508">
        <v>328</v>
      </c>
      <c r="AO233" s="508">
        <v>13070</v>
      </c>
      <c r="AP233" s="508">
        <v>11305.6</v>
      </c>
      <c r="AQ233" s="508" t="s">
        <v>2939</v>
      </c>
      <c r="AR233" s="508" t="s">
        <v>524</v>
      </c>
      <c r="AS233" s="508" t="s">
        <v>3105</v>
      </c>
      <c r="AT233" s="508" t="s">
        <v>311</v>
      </c>
      <c r="AV233" s="508" t="s">
        <v>315</v>
      </c>
      <c r="AX233" s="508" t="s">
        <v>3106</v>
      </c>
      <c r="AY233" s="508" t="s">
        <v>524</v>
      </c>
      <c r="AZ233" s="508">
        <v>2.1</v>
      </c>
      <c r="BA233" s="508" t="s">
        <v>46</v>
      </c>
      <c r="BB233" s="508" t="s">
        <v>19</v>
      </c>
      <c r="BC233" s="508">
        <v>11</v>
      </c>
      <c r="BD233" s="509">
        <v>46187</v>
      </c>
      <c r="BG233" s="508" t="s">
        <v>3559</v>
      </c>
      <c r="BH233" s="508" t="s">
        <v>2940</v>
      </c>
      <c r="BI233" s="508">
        <v>210</v>
      </c>
      <c r="BJ233" s="508">
        <v>65</v>
      </c>
    </row>
    <row r="234" spans="1:62" s="508" customFormat="1" ht="14.25" hidden="1" customHeight="1" x14ac:dyDescent="0.2">
      <c r="A234" s="495" t="s">
        <v>102</v>
      </c>
      <c r="B234" s="496"/>
      <c r="C234" s="497">
        <f>Таблица3[[#This Row],[Степень зрелости вспом]]</f>
        <v>63</v>
      </c>
      <c r="D234" s="498">
        <v>329</v>
      </c>
      <c r="E234" s="499"/>
      <c r="F234" s="496"/>
      <c r="G234" s="496">
        <v>12580</v>
      </c>
      <c r="H234" s="500"/>
      <c r="I234" s="496">
        <v>10378.5</v>
      </c>
      <c r="J234" s="495" t="s">
        <v>2939</v>
      </c>
      <c r="K234" s="495" t="s">
        <v>524</v>
      </c>
      <c r="L234" s="495" t="s">
        <v>3105</v>
      </c>
      <c r="M234" s="495" t="s">
        <v>166</v>
      </c>
      <c r="N234" s="495"/>
      <c r="O234" s="495"/>
      <c r="P234" s="495"/>
      <c r="Q234" s="495"/>
      <c r="R234" s="501" t="s">
        <v>170</v>
      </c>
      <c r="S234" s="495"/>
      <c r="T234" s="482" t="str">
        <f>VLOOKUP(Таблица3[[#This Row],[№ акта]],$AJ$1:$BJ$691,15,FALSE)</f>
        <v>А-83/2</v>
      </c>
      <c r="U234" s="482" t="str">
        <f>VLOOKUP(Таблица3[[#This Row],[№ акта]],$AJ$1:$BJ$691,16,FALSE)</f>
        <v>Авола</v>
      </c>
      <c r="V234" s="502">
        <f>VLOOKUP(Таблица3[[#This Row],[№ акта]],$AJ$1:$BJ$691,17,FALSE)</f>
        <v>2</v>
      </c>
      <c r="W234" s="502" t="str">
        <f>VLOOKUP(Таблица3[[#This Row],[№ акта]],$AJ$1:$BJ$691,18,FALSE)</f>
        <v>ГРК (богара)</v>
      </c>
      <c r="X234" s="502" t="str">
        <f>VLOOKUP(Таблица3[[#This Row],[№ акта]],$AJ$1:$BJ$691,19,FALSE)</f>
        <v>богара</v>
      </c>
      <c r="Y234" s="503">
        <f>VLOOKUP(Таблица3[[#This Row],[№ акта]],$AJ$1:$BJ$691,20,FALSE)</f>
        <v>11</v>
      </c>
      <c r="Z234" s="504">
        <f>VLOOKUP(Таблица3[[#This Row],[№ акта]],$AJ$1:$BJ$691,21,FALSE)</f>
        <v>46187</v>
      </c>
      <c r="AA234" s="504"/>
      <c r="AB234" s="504" t="str">
        <f>IF(VLOOKUP(Таблица3[[#This Row],[№ акта]],$AJ$1:$BJ$691,23,FALSE)&lt;&gt;0,VLOOKUP(Таблица3[[#This Row],[№ акта]],$AJ$1:$BJ$691,23,FALSE),"-")</f>
        <v>-</v>
      </c>
      <c r="AC23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34" s="506" t="s">
        <v>3230</v>
      </c>
      <c r="AE234" s="505">
        <v>225</v>
      </c>
      <c r="AF234" s="507">
        <v>46188</v>
      </c>
      <c r="AG234" s="505">
        <v>211</v>
      </c>
      <c r="AH234" s="505">
        <f>IFERROR(VLOOKUP(Таблица3[[#This Row],[№ акта]],'Степень зрелости 2026'!$H$12:$I$800,2,FALSE),)</f>
        <v>63</v>
      </c>
      <c r="AJ234" s="508">
        <v>225</v>
      </c>
      <c r="AK234" s="509">
        <v>46188</v>
      </c>
      <c r="AL234" s="508">
        <v>329</v>
      </c>
      <c r="AO234" s="508">
        <v>12580</v>
      </c>
      <c r="AP234" s="508">
        <v>10378.5</v>
      </c>
      <c r="AQ234" s="508" t="s">
        <v>2939</v>
      </c>
      <c r="AR234" s="508" t="s">
        <v>524</v>
      </c>
      <c r="AS234" s="508" t="s">
        <v>3105</v>
      </c>
      <c r="AT234" s="508" t="s">
        <v>166</v>
      </c>
      <c r="AV234" s="508" t="s">
        <v>170</v>
      </c>
      <c r="AX234" s="508" t="s">
        <v>3106</v>
      </c>
      <c r="AY234" s="508" t="s">
        <v>524</v>
      </c>
      <c r="AZ234" s="508">
        <v>2</v>
      </c>
      <c r="BA234" s="508" t="s">
        <v>46</v>
      </c>
      <c r="BB234" s="508" t="s">
        <v>19</v>
      </c>
      <c r="BC234" s="508">
        <v>11</v>
      </c>
      <c r="BD234" s="509">
        <v>46187</v>
      </c>
      <c r="BG234" s="508" t="s">
        <v>724</v>
      </c>
      <c r="BH234" s="508" t="s">
        <v>2940</v>
      </c>
      <c r="BI234" s="508">
        <v>211</v>
      </c>
      <c r="BJ234" s="508">
        <v>63</v>
      </c>
    </row>
    <row r="235" spans="1:62" s="508" customFormat="1" ht="14.25" hidden="1" customHeight="1" x14ac:dyDescent="0.2">
      <c r="A235" s="495" t="s">
        <v>102</v>
      </c>
      <c r="B235" s="496"/>
      <c r="C235" s="497">
        <f>Таблица3[[#This Row],[Степень зрелости вспом]]</f>
        <v>68</v>
      </c>
      <c r="D235" s="498">
        <v>330</v>
      </c>
      <c r="E235" s="499"/>
      <c r="F235" s="496"/>
      <c r="G235" s="496">
        <v>12910</v>
      </c>
      <c r="H235" s="500"/>
      <c r="I235" s="496">
        <v>11038</v>
      </c>
      <c r="J235" s="495" t="s">
        <v>2939</v>
      </c>
      <c r="K235" s="495" t="s">
        <v>524</v>
      </c>
      <c r="L235" s="495" t="s">
        <v>3317</v>
      </c>
      <c r="M235" s="495" t="s">
        <v>305</v>
      </c>
      <c r="N235" s="495"/>
      <c r="O235" s="495"/>
      <c r="P235" s="495"/>
      <c r="Q235" s="495"/>
      <c r="R235" s="501" t="s">
        <v>309</v>
      </c>
      <c r="S235" s="495"/>
      <c r="T235" s="482" t="str">
        <f>VLOOKUP(Таблица3[[#This Row],[№ акта]],$AJ$1:$BJ$691,15,FALSE)</f>
        <v>А-83/2</v>
      </c>
      <c r="U235" s="482" t="str">
        <f>VLOOKUP(Таблица3[[#This Row],[№ акта]],$AJ$1:$BJ$691,16,FALSE)</f>
        <v>Авола</v>
      </c>
      <c r="V235" s="502">
        <f>VLOOKUP(Таблица3[[#This Row],[№ акта]],$AJ$1:$BJ$691,17,FALSE)</f>
        <v>2.1</v>
      </c>
      <c r="W235" s="502" t="str">
        <f>VLOOKUP(Таблица3[[#This Row],[№ акта]],$AJ$1:$BJ$691,18,FALSE)</f>
        <v>ГРК (богара)</v>
      </c>
      <c r="X235" s="502" t="str">
        <f>VLOOKUP(Таблица3[[#This Row],[№ акта]],$AJ$1:$BJ$691,19,FALSE)</f>
        <v>богара</v>
      </c>
      <c r="Y235" s="503">
        <f>VLOOKUP(Таблица3[[#This Row],[№ акта]],$AJ$1:$BJ$691,20,FALSE)</f>
        <v>11</v>
      </c>
      <c r="Z235" s="504">
        <f>VLOOKUP(Таблица3[[#This Row],[№ акта]],$AJ$1:$BJ$691,21,FALSE)</f>
        <v>46187</v>
      </c>
      <c r="AA235" s="504"/>
      <c r="AB235" s="504" t="str">
        <f>IF(VLOOKUP(Таблица3[[#This Row],[№ акта]],$AJ$1:$BJ$691,23,FALSE)&lt;&gt;0,VLOOKUP(Таблица3[[#This Row],[№ акта]],$AJ$1:$BJ$691,23,FALSE),"-")</f>
        <v>-</v>
      </c>
      <c r="AC23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235" s="506" t="s">
        <v>3230</v>
      </c>
      <c r="AE235" s="505">
        <v>226</v>
      </c>
      <c r="AF235" s="507">
        <v>46188</v>
      </c>
      <c r="AG235" s="505">
        <v>212</v>
      </c>
      <c r="AH235" s="505">
        <f>IFERROR(VLOOKUP(Таблица3[[#This Row],[№ акта]],'Степень зрелости 2026'!$H$12:$I$800,2,FALSE),)</f>
        <v>68</v>
      </c>
      <c r="AJ235" s="508">
        <v>226</v>
      </c>
      <c r="AK235" s="509">
        <v>46188</v>
      </c>
      <c r="AL235" s="508">
        <v>330</v>
      </c>
      <c r="AO235" s="508">
        <v>12910</v>
      </c>
      <c r="AP235" s="508">
        <v>11038</v>
      </c>
      <c r="AQ235" s="508" t="s">
        <v>2939</v>
      </c>
      <c r="AR235" s="508" t="s">
        <v>524</v>
      </c>
      <c r="AS235" s="508" t="s">
        <v>3317</v>
      </c>
      <c r="AT235" s="508" t="s">
        <v>305</v>
      </c>
      <c r="AV235" s="508" t="s">
        <v>309</v>
      </c>
      <c r="AX235" s="508" t="s">
        <v>3106</v>
      </c>
      <c r="AY235" s="508" t="s">
        <v>524</v>
      </c>
      <c r="AZ235" s="508">
        <v>2.1</v>
      </c>
      <c r="BA235" s="508" t="s">
        <v>46</v>
      </c>
      <c r="BB235" s="508" t="s">
        <v>19</v>
      </c>
      <c r="BC235" s="508">
        <v>11</v>
      </c>
      <c r="BD235" s="509">
        <v>46187</v>
      </c>
      <c r="BG235" s="508" t="s">
        <v>420</v>
      </c>
      <c r="BH235" s="508" t="s">
        <v>2940</v>
      </c>
      <c r="BI235" s="508">
        <v>212</v>
      </c>
      <c r="BJ235" s="508">
        <v>68</v>
      </c>
    </row>
    <row r="236" spans="1:62" s="508" customFormat="1" ht="14.25" hidden="1" customHeight="1" x14ac:dyDescent="0.2">
      <c r="A236" s="495"/>
      <c r="B236" s="496"/>
      <c r="C236" s="497">
        <f>Таблица3[[#This Row],[Степень зрелости вспом]]</f>
        <v>66</v>
      </c>
      <c r="D236" s="498">
        <v>331</v>
      </c>
      <c r="E236" s="499"/>
      <c r="F236" s="496"/>
      <c r="G236" s="496">
        <v>12840</v>
      </c>
      <c r="H236" s="500"/>
      <c r="I236" s="496">
        <v>10464.6</v>
      </c>
      <c r="J236" s="495" t="s">
        <v>2939</v>
      </c>
      <c r="K236" s="495" t="s">
        <v>524</v>
      </c>
      <c r="L236" s="495" t="s">
        <v>3105</v>
      </c>
      <c r="M236" s="495" t="s">
        <v>3204</v>
      </c>
      <c r="N236" s="495"/>
      <c r="O236" s="495"/>
      <c r="P236" s="495"/>
      <c r="Q236" s="495"/>
      <c r="R236" s="501" t="s">
        <v>3303</v>
      </c>
      <c r="S236" s="495"/>
      <c r="T236" s="482" t="str">
        <f>VLOOKUP(Таблица3[[#This Row],[№ акта]],$AJ$1:$BJ$691,15,FALSE)</f>
        <v>А-83/2</v>
      </c>
      <c r="U236" s="482" t="str">
        <f>VLOOKUP(Таблица3[[#This Row],[№ акта]],$AJ$1:$BJ$691,16,FALSE)</f>
        <v>Авола</v>
      </c>
      <c r="V236" s="502">
        <f>VLOOKUP(Таблица3[[#This Row],[№ акта]],$AJ$1:$BJ$691,17,FALSE)</f>
        <v>2.1</v>
      </c>
      <c r="W236" s="502" t="str">
        <f>VLOOKUP(Таблица3[[#This Row],[№ акта]],$AJ$1:$BJ$691,18,FALSE)</f>
        <v>ГРК (богара)</v>
      </c>
      <c r="X236" s="502" t="str">
        <f>VLOOKUP(Таблица3[[#This Row],[№ акта]],$AJ$1:$BJ$691,19,FALSE)</f>
        <v>богара</v>
      </c>
      <c r="Y236" s="503">
        <f>VLOOKUP(Таблица3[[#This Row],[№ акта]],$AJ$1:$BJ$691,20,FALSE)</f>
        <v>11</v>
      </c>
      <c r="Z236" s="504">
        <f>VLOOKUP(Таблица3[[#This Row],[№ акта]],$AJ$1:$BJ$691,21,FALSE)</f>
        <v>46187</v>
      </c>
      <c r="AA236" s="504"/>
      <c r="AB236" s="504" t="str">
        <f>IF(VLOOKUP(Таблица3[[#This Row],[№ акта]],$AJ$1:$BJ$691,23,FALSE)&lt;&gt;0,VLOOKUP(Таблица3[[#This Row],[№ акта]],$AJ$1:$BJ$691,23,FALSE),"-")</f>
        <v>-</v>
      </c>
      <c r="AC23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36" s="506" t="s">
        <v>3230</v>
      </c>
      <c r="AE236" s="505">
        <v>227</v>
      </c>
      <c r="AF236" s="507">
        <v>46188</v>
      </c>
      <c r="AG236" s="505">
        <v>213</v>
      </c>
      <c r="AH236" s="505">
        <f>IFERROR(VLOOKUP(Таблица3[[#This Row],[№ акта]],'Степень зрелости 2026'!$H$12:$I$800,2,FALSE),)</f>
        <v>66</v>
      </c>
      <c r="AJ236" s="508">
        <v>227</v>
      </c>
      <c r="AK236" s="509">
        <v>46188</v>
      </c>
      <c r="AL236" s="508">
        <v>331</v>
      </c>
      <c r="AO236" s="508">
        <v>12840</v>
      </c>
      <c r="AP236" s="508">
        <v>10464.6</v>
      </c>
      <c r="AQ236" s="508" t="s">
        <v>2939</v>
      </c>
      <c r="AR236" s="508" t="s">
        <v>524</v>
      </c>
      <c r="AS236" s="508" t="s">
        <v>3105</v>
      </c>
      <c r="AT236" s="508" t="s">
        <v>3204</v>
      </c>
      <c r="AV236" s="508" t="s">
        <v>3303</v>
      </c>
      <c r="AX236" s="508" t="s">
        <v>3106</v>
      </c>
      <c r="AY236" s="508" t="s">
        <v>524</v>
      </c>
      <c r="AZ236" s="508">
        <v>2.1</v>
      </c>
      <c r="BA236" s="508" t="s">
        <v>46</v>
      </c>
      <c r="BB236" s="508" t="s">
        <v>19</v>
      </c>
      <c r="BC236" s="508">
        <v>11</v>
      </c>
      <c r="BD236" s="509">
        <v>46187</v>
      </c>
      <c r="BG236" s="508" t="s">
        <v>3559</v>
      </c>
      <c r="BH236" s="508" t="s">
        <v>2940</v>
      </c>
      <c r="BI236" s="508">
        <v>213</v>
      </c>
      <c r="BJ236" s="508">
        <v>66</v>
      </c>
    </row>
    <row r="237" spans="1:62" s="508" customFormat="1" ht="14.25" hidden="1" customHeight="1" x14ac:dyDescent="0.2">
      <c r="A237" s="495"/>
      <c r="B237" s="496"/>
      <c r="C237" s="497">
        <f>Таблица3[[#This Row],[Степень зрелости вспом]]</f>
        <v>62</v>
      </c>
      <c r="D237" s="498">
        <v>336</v>
      </c>
      <c r="E237" s="499"/>
      <c r="F237" s="496"/>
      <c r="G237" s="496">
        <v>12900</v>
      </c>
      <c r="H237" s="500"/>
      <c r="I237" s="496">
        <v>10642.5</v>
      </c>
      <c r="J237" s="495" t="s">
        <v>2939</v>
      </c>
      <c r="K237" s="495" t="s">
        <v>524</v>
      </c>
      <c r="L237" s="495" t="s">
        <v>3317</v>
      </c>
      <c r="M237" s="495" t="s">
        <v>239</v>
      </c>
      <c r="N237" s="495"/>
      <c r="O237" s="495"/>
      <c r="P237" s="495"/>
      <c r="Q237" s="495"/>
      <c r="R237" s="501" t="s">
        <v>243</v>
      </c>
      <c r="S237" s="495"/>
      <c r="T237" s="482" t="str">
        <f>VLOOKUP(Таблица3[[#This Row],[№ акта]],$AJ$1:$BJ$691,15,FALSE)</f>
        <v>А-83/2</v>
      </c>
      <c r="U237" s="482" t="str">
        <f>VLOOKUP(Таблица3[[#This Row],[№ акта]],$AJ$1:$BJ$691,16,FALSE)</f>
        <v>Авола</v>
      </c>
      <c r="V237" s="502">
        <f>VLOOKUP(Таблица3[[#This Row],[№ акта]],$AJ$1:$BJ$691,17,FALSE)</f>
        <v>3.1</v>
      </c>
      <c r="W237" s="502" t="str">
        <f>VLOOKUP(Таблица3[[#This Row],[№ акта]],$AJ$1:$BJ$691,18,FALSE)</f>
        <v>ГРК (богара)</v>
      </c>
      <c r="X237" s="502" t="str">
        <f>VLOOKUP(Таблица3[[#This Row],[№ акта]],$AJ$1:$BJ$691,19,FALSE)</f>
        <v>богара</v>
      </c>
      <c r="Y237" s="503">
        <f>VLOOKUP(Таблица3[[#This Row],[№ акта]],$AJ$1:$BJ$691,20,FALSE)</f>
        <v>12</v>
      </c>
      <c r="Z237" s="504">
        <f>VLOOKUP(Таблица3[[#This Row],[№ акта]],$AJ$1:$BJ$691,21,FALSE)</f>
        <v>46188</v>
      </c>
      <c r="AA237" s="504"/>
      <c r="AB237" s="504" t="str">
        <f>IF(VLOOKUP(Таблица3[[#This Row],[№ акта]],$AJ$1:$BJ$691,23,FALSE)&lt;&gt;0,VLOOKUP(Таблица3[[#This Row],[№ акта]],$AJ$1:$BJ$691,23,FALSE),"-")</f>
        <v>-</v>
      </c>
      <c r="AC23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37" s="506" t="s">
        <v>2940</v>
      </c>
      <c r="AE237" s="505">
        <v>229</v>
      </c>
      <c r="AF237" s="507">
        <v>46188</v>
      </c>
      <c r="AG237" s="505">
        <v>214</v>
      </c>
      <c r="AH237" s="505">
        <f>IFERROR(VLOOKUP(Таблица3[[#This Row],[№ акта]],'Степень зрелости 2026'!$H$12:$I$800,2,FALSE),)</f>
        <v>62</v>
      </c>
      <c r="AJ237" s="508">
        <v>229</v>
      </c>
      <c r="AK237" s="509">
        <v>46188</v>
      </c>
      <c r="AL237" s="508">
        <v>336</v>
      </c>
      <c r="AO237" s="508">
        <v>12900</v>
      </c>
      <c r="AP237" s="508">
        <v>10642.5</v>
      </c>
      <c r="AQ237" s="508" t="s">
        <v>2939</v>
      </c>
      <c r="AR237" s="508" t="s">
        <v>524</v>
      </c>
      <c r="AS237" s="508" t="s">
        <v>3317</v>
      </c>
      <c r="AT237" s="508" t="s">
        <v>239</v>
      </c>
      <c r="AV237" s="508" t="s">
        <v>243</v>
      </c>
      <c r="AX237" s="508" t="s">
        <v>3106</v>
      </c>
      <c r="AY237" s="508" t="s">
        <v>524</v>
      </c>
      <c r="AZ237" s="508">
        <v>3.1</v>
      </c>
      <c r="BA237" s="508" t="s">
        <v>46</v>
      </c>
      <c r="BB237" s="508" t="s">
        <v>19</v>
      </c>
      <c r="BC237" s="508">
        <v>12</v>
      </c>
      <c r="BD237" s="509">
        <v>46188</v>
      </c>
      <c r="BG237" s="508" t="s">
        <v>724</v>
      </c>
      <c r="BH237" s="508" t="s">
        <v>2940</v>
      </c>
      <c r="BI237" s="508">
        <v>214</v>
      </c>
      <c r="BJ237" s="508">
        <v>62</v>
      </c>
    </row>
    <row r="238" spans="1:62" s="508" customFormat="1" ht="14.25" hidden="1" customHeight="1" x14ac:dyDescent="0.2">
      <c r="A238" s="495" t="s">
        <v>102</v>
      </c>
      <c r="B238" s="496"/>
      <c r="C238" s="497">
        <f>Таблица3[[#This Row],[Степень зрелости вспом]]</f>
        <v>62</v>
      </c>
      <c r="D238" s="498">
        <v>338</v>
      </c>
      <c r="E238" s="499"/>
      <c r="F238" s="496"/>
      <c r="G238" s="496">
        <v>13350</v>
      </c>
      <c r="H238" s="500"/>
      <c r="I238" s="496">
        <v>10880.3</v>
      </c>
      <c r="J238" s="495" t="s">
        <v>2939</v>
      </c>
      <c r="K238" s="495" t="s">
        <v>524</v>
      </c>
      <c r="L238" s="495" t="s">
        <v>3105</v>
      </c>
      <c r="M238" s="495" t="s">
        <v>335</v>
      </c>
      <c r="N238" s="495"/>
      <c r="O238" s="495"/>
      <c r="P238" s="495"/>
      <c r="Q238" s="495"/>
      <c r="R238" s="501" t="s">
        <v>339</v>
      </c>
      <c r="S238" s="495"/>
      <c r="T238" s="482" t="str">
        <f>VLOOKUP(Таблица3[[#This Row],[№ акта]],$AJ$1:$BJ$691,15,FALSE)</f>
        <v>А-83/2</v>
      </c>
      <c r="U238" s="482" t="str">
        <f>VLOOKUP(Таблица3[[#This Row],[№ акта]],$AJ$1:$BJ$691,16,FALSE)</f>
        <v>Авола</v>
      </c>
      <c r="V238" s="502">
        <f>VLOOKUP(Таблица3[[#This Row],[№ акта]],$AJ$1:$BJ$691,17,FALSE)</f>
        <v>3.2</v>
      </c>
      <c r="W238" s="502" t="str">
        <f>VLOOKUP(Таблица3[[#This Row],[№ акта]],$AJ$1:$BJ$691,18,FALSE)</f>
        <v>ГРК (богара)</v>
      </c>
      <c r="X238" s="502" t="str">
        <f>VLOOKUP(Таблица3[[#This Row],[№ акта]],$AJ$1:$BJ$691,19,FALSE)</f>
        <v>богара</v>
      </c>
      <c r="Y238" s="503">
        <f>VLOOKUP(Таблица3[[#This Row],[№ акта]],$AJ$1:$BJ$691,20,FALSE)</f>
        <v>12</v>
      </c>
      <c r="Z238" s="504">
        <f>VLOOKUP(Таблица3[[#This Row],[№ акта]],$AJ$1:$BJ$691,21,FALSE)</f>
        <v>46188</v>
      </c>
      <c r="AA238" s="504"/>
      <c r="AB238" s="504" t="str">
        <f>IF(VLOOKUP(Таблица3[[#This Row],[№ акта]],$AJ$1:$BJ$691,23,FALSE)&lt;&gt;0,VLOOKUP(Таблица3[[#This Row],[№ акта]],$AJ$1:$BJ$691,23,FALSE),"-")</f>
        <v>-</v>
      </c>
      <c r="AC23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38" s="506" t="s">
        <v>2940</v>
      </c>
      <c r="AE238" s="505">
        <v>230</v>
      </c>
      <c r="AF238" s="507">
        <v>46188</v>
      </c>
      <c r="AG238" s="505">
        <v>215</v>
      </c>
      <c r="AH238" s="505">
        <f>IFERROR(VLOOKUP(Таблица3[[#This Row],[№ акта]],'Степень зрелости 2026'!$H$12:$I$800,2,FALSE),)</f>
        <v>62</v>
      </c>
      <c r="AJ238" s="508">
        <v>230</v>
      </c>
      <c r="AK238" s="509">
        <v>46188</v>
      </c>
      <c r="AL238" s="508">
        <v>338</v>
      </c>
      <c r="AO238" s="508">
        <v>13350</v>
      </c>
      <c r="AP238" s="508">
        <v>10880.3</v>
      </c>
      <c r="AQ238" s="508" t="s">
        <v>2939</v>
      </c>
      <c r="AR238" s="508" t="s">
        <v>524</v>
      </c>
      <c r="AS238" s="508" t="s">
        <v>3105</v>
      </c>
      <c r="AT238" s="508" t="s">
        <v>335</v>
      </c>
      <c r="AV238" s="508" t="s">
        <v>339</v>
      </c>
      <c r="AX238" s="508" t="s">
        <v>3106</v>
      </c>
      <c r="AY238" s="508" t="s">
        <v>524</v>
      </c>
      <c r="AZ238" s="508">
        <v>3.2</v>
      </c>
      <c r="BA238" s="508" t="s">
        <v>46</v>
      </c>
      <c r="BB238" s="508" t="s">
        <v>19</v>
      </c>
      <c r="BC238" s="508">
        <v>12</v>
      </c>
      <c r="BD238" s="509">
        <v>46188</v>
      </c>
      <c r="BG238" s="508" t="s">
        <v>724</v>
      </c>
      <c r="BH238" s="508" t="s">
        <v>2940</v>
      </c>
      <c r="BI238" s="508">
        <v>215</v>
      </c>
      <c r="BJ238" s="508">
        <v>62</v>
      </c>
    </row>
    <row r="239" spans="1:62" s="508" customFormat="1" ht="14.25" hidden="1" customHeight="1" x14ac:dyDescent="0.2">
      <c r="A239" s="495" t="s">
        <v>102</v>
      </c>
      <c r="B239" s="496"/>
      <c r="C239" s="497">
        <f>Таблица3[[#This Row],[Степень зрелости вспом]]</f>
        <v>58</v>
      </c>
      <c r="D239" s="498">
        <v>339</v>
      </c>
      <c r="E239" s="499"/>
      <c r="F239" s="496"/>
      <c r="G239" s="496">
        <v>13220</v>
      </c>
      <c r="H239" s="500"/>
      <c r="I239" s="496">
        <v>10840.4</v>
      </c>
      <c r="J239" s="495" t="s">
        <v>2939</v>
      </c>
      <c r="K239" s="495" t="s">
        <v>524</v>
      </c>
      <c r="L239" s="495" t="s">
        <v>3105</v>
      </c>
      <c r="M239" s="495" t="s">
        <v>212</v>
      </c>
      <c r="N239" s="495"/>
      <c r="O239" s="495"/>
      <c r="P239" s="495"/>
      <c r="Q239" s="495"/>
      <c r="R239" s="501" t="s">
        <v>2965</v>
      </c>
      <c r="S239" s="495"/>
      <c r="T239" s="482" t="str">
        <f>VLOOKUP(Таблица3[[#This Row],[№ акта]],$AJ$1:$BJ$691,15,FALSE)</f>
        <v>А-83/2</v>
      </c>
      <c r="U239" s="482" t="str">
        <f>VLOOKUP(Таблица3[[#This Row],[№ акта]],$AJ$1:$BJ$691,16,FALSE)</f>
        <v>Авола</v>
      </c>
      <c r="V239" s="502">
        <f>VLOOKUP(Таблица3[[#This Row],[№ акта]],$AJ$1:$BJ$691,17,FALSE)</f>
        <v>3.2</v>
      </c>
      <c r="W239" s="502" t="str">
        <f>VLOOKUP(Таблица3[[#This Row],[№ акта]],$AJ$1:$BJ$691,18,FALSE)</f>
        <v>ГРК (богара)</v>
      </c>
      <c r="X239" s="502" t="str">
        <f>VLOOKUP(Таблица3[[#This Row],[№ акта]],$AJ$1:$BJ$691,19,FALSE)</f>
        <v>богара</v>
      </c>
      <c r="Y239" s="503">
        <f>VLOOKUP(Таблица3[[#This Row],[№ акта]],$AJ$1:$BJ$691,20,FALSE)</f>
        <v>12</v>
      </c>
      <c r="Z239" s="504">
        <f>VLOOKUP(Таблица3[[#This Row],[№ акта]],$AJ$1:$BJ$691,21,FALSE)</f>
        <v>46188</v>
      </c>
      <c r="AA239" s="504"/>
      <c r="AB239" s="504" t="str">
        <f>IF(VLOOKUP(Таблица3[[#This Row],[№ акта]],$AJ$1:$BJ$691,23,FALSE)&lt;&gt;0,VLOOKUP(Таблица3[[#This Row],[№ акта]],$AJ$1:$BJ$691,23,FALSE),"-")</f>
        <v>-</v>
      </c>
      <c r="AC23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39" s="506" t="s">
        <v>2940</v>
      </c>
      <c r="AE239" s="505">
        <v>231</v>
      </c>
      <c r="AF239" s="507">
        <v>46188</v>
      </c>
      <c r="AG239" s="505">
        <v>216</v>
      </c>
      <c r="AH239" s="505">
        <f>IFERROR(VLOOKUP(Таблица3[[#This Row],[№ акта]],'Степень зрелости 2026'!$H$12:$I$800,2,FALSE),)</f>
        <v>58</v>
      </c>
      <c r="AJ239" s="508">
        <v>231</v>
      </c>
      <c r="AK239" s="509">
        <v>46188</v>
      </c>
      <c r="AL239" s="508">
        <v>339</v>
      </c>
      <c r="AO239" s="508">
        <v>13220</v>
      </c>
      <c r="AP239" s="508">
        <v>10840.4</v>
      </c>
      <c r="AQ239" s="508" t="s">
        <v>2939</v>
      </c>
      <c r="AR239" s="508" t="s">
        <v>524</v>
      </c>
      <c r="AS239" s="508" t="s">
        <v>3105</v>
      </c>
      <c r="AT239" s="508" t="s">
        <v>212</v>
      </c>
      <c r="AV239" s="508" t="s">
        <v>2965</v>
      </c>
      <c r="AX239" s="508" t="s">
        <v>3106</v>
      </c>
      <c r="AY239" s="508" t="s">
        <v>524</v>
      </c>
      <c r="AZ239" s="508">
        <v>3.2</v>
      </c>
      <c r="BA239" s="508" t="s">
        <v>46</v>
      </c>
      <c r="BB239" s="508" t="s">
        <v>19</v>
      </c>
      <c r="BC239" s="508">
        <v>12</v>
      </c>
      <c r="BD239" s="509">
        <v>46188</v>
      </c>
      <c r="BG239" s="508" t="s">
        <v>724</v>
      </c>
      <c r="BH239" s="508" t="s">
        <v>2940</v>
      </c>
      <c r="BI239" s="508">
        <v>216</v>
      </c>
      <c r="BJ239" s="508">
        <v>58</v>
      </c>
    </row>
    <row r="240" spans="1:62" s="508" customFormat="1" ht="14.25" hidden="1" customHeight="1" x14ac:dyDescent="0.2">
      <c r="A240" s="495" t="s">
        <v>102</v>
      </c>
      <c r="B240" s="496"/>
      <c r="C240" s="497">
        <f>Таблица3[[#This Row],[Степень зрелости вспом]]</f>
        <v>66</v>
      </c>
      <c r="D240" s="498">
        <v>340</v>
      </c>
      <c r="E240" s="499"/>
      <c r="F240" s="496"/>
      <c r="G240" s="496">
        <v>13280</v>
      </c>
      <c r="H240" s="500"/>
      <c r="I240" s="496">
        <v>11620</v>
      </c>
      <c r="J240" s="495" t="s">
        <v>2939</v>
      </c>
      <c r="K240" s="495" t="s">
        <v>524</v>
      </c>
      <c r="L240" s="495" t="s">
        <v>3105</v>
      </c>
      <c r="M240" s="495" t="s">
        <v>1792</v>
      </c>
      <c r="N240" s="495"/>
      <c r="O240" s="495"/>
      <c r="P240" s="495"/>
      <c r="Q240" s="495"/>
      <c r="R240" s="501" t="s">
        <v>80</v>
      </c>
      <c r="S240" s="495"/>
      <c r="T240" s="482" t="str">
        <f>VLOOKUP(Таблица3[[#This Row],[№ акта]],$AJ$1:$BJ$691,15,FALSE)</f>
        <v>А-83/2</v>
      </c>
      <c r="U240" s="482" t="str">
        <f>VLOOKUP(Таблица3[[#This Row],[№ акта]],$AJ$1:$BJ$691,16,FALSE)</f>
        <v>Авола</v>
      </c>
      <c r="V240" s="502">
        <f>VLOOKUP(Таблица3[[#This Row],[№ акта]],$AJ$1:$BJ$691,17,FALSE)</f>
        <v>3.2</v>
      </c>
      <c r="W240" s="502" t="str">
        <f>VLOOKUP(Таблица3[[#This Row],[№ акта]],$AJ$1:$BJ$691,18,FALSE)</f>
        <v>ГРК (богара)</v>
      </c>
      <c r="X240" s="502" t="str">
        <f>VLOOKUP(Таблица3[[#This Row],[№ акта]],$AJ$1:$BJ$691,19,FALSE)</f>
        <v>богара</v>
      </c>
      <c r="Y240" s="503">
        <f>VLOOKUP(Таблица3[[#This Row],[№ акта]],$AJ$1:$BJ$691,20,FALSE)</f>
        <v>12</v>
      </c>
      <c r="Z240" s="504">
        <f>VLOOKUP(Таблица3[[#This Row],[№ акта]],$AJ$1:$BJ$691,21,FALSE)</f>
        <v>46188</v>
      </c>
      <c r="AA240" s="504"/>
      <c r="AB240" s="504" t="str">
        <f>IF(VLOOKUP(Таблица3[[#This Row],[№ акта]],$AJ$1:$BJ$691,23,FALSE)&lt;&gt;0,VLOOKUP(Таблица3[[#This Row],[№ акта]],$AJ$1:$BJ$691,23,FALSE),"-")</f>
        <v>-</v>
      </c>
      <c r="AC24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40" s="506" t="s">
        <v>3230</v>
      </c>
      <c r="AE240" s="505">
        <v>232</v>
      </c>
      <c r="AF240" s="507">
        <v>46188</v>
      </c>
      <c r="AG240" s="505">
        <v>217</v>
      </c>
      <c r="AH240" s="505">
        <f>IFERROR(VLOOKUP(Таблица3[[#This Row],[№ акта]],'Степень зрелости 2026'!$H$12:$I$800,2,FALSE),)</f>
        <v>66</v>
      </c>
      <c r="AJ240" s="508">
        <v>232</v>
      </c>
      <c r="AK240" s="509">
        <v>46188</v>
      </c>
      <c r="AL240" s="508">
        <v>340</v>
      </c>
      <c r="AO240" s="508">
        <v>13280</v>
      </c>
      <c r="AP240" s="508">
        <v>11620</v>
      </c>
      <c r="AQ240" s="508" t="s">
        <v>2939</v>
      </c>
      <c r="AR240" s="508" t="s">
        <v>524</v>
      </c>
      <c r="AS240" s="508" t="s">
        <v>3105</v>
      </c>
      <c r="AT240" s="508" t="s">
        <v>1792</v>
      </c>
      <c r="AV240" s="508" t="s">
        <v>80</v>
      </c>
      <c r="AX240" s="508" t="s">
        <v>3106</v>
      </c>
      <c r="AY240" s="508" t="s">
        <v>524</v>
      </c>
      <c r="AZ240" s="508">
        <v>3.2</v>
      </c>
      <c r="BA240" s="508" t="s">
        <v>46</v>
      </c>
      <c r="BB240" s="508" t="s">
        <v>19</v>
      </c>
      <c r="BC240" s="508">
        <v>12</v>
      </c>
      <c r="BD240" s="509">
        <v>46188</v>
      </c>
      <c r="BG240" s="508" t="s">
        <v>3559</v>
      </c>
      <c r="BH240" s="508" t="s">
        <v>2940</v>
      </c>
      <c r="BI240" s="508">
        <v>217</v>
      </c>
      <c r="BJ240" s="508">
        <v>66</v>
      </c>
    </row>
    <row r="241" spans="1:62" s="508" customFormat="1" ht="14.25" hidden="1" customHeight="1" x14ac:dyDescent="0.2">
      <c r="A241" s="495" t="s">
        <v>102</v>
      </c>
      <c r="B241" s="496"/>
      <c r="C241" s="497">
        <f>Таблица3[[#This Row],[Степень зрелости вспом]]</f>
        <v>67</v>
      </c>
      <c r="D241" s="498">
        <v>341</v>
      </c>
      <c r="E241" s="499"/>
      <c r="F241" s="496"/>
      <c r="G241" s="496">
        <v>4450</v>
      </c>
      <c r="H241" s="500"/>
      <c r="I241" s="496">
        <v>3982.8</v>
      </c>
      <c r="J241" s="495" t="s">
        <v>2939</v>
      </c>
      <c r="K241" s="495" t="s">
        <v>524</v>
      </c>
      <c r="L241" s="495" t="s">
        <v>3105</v>
      </c>
      <c r="M241" s="495" t="s">
        <v>762</v>
      </c>
      <c r="N241" s="495"/>
      <c r="O241" s="495"/>
      <c r="P241" s="495"/>
      <c r="Q241" s="495"/>
      <c r="R241" s="501" t="s">
        <v>763</v>
      </c>
      <c r="S241" s="495"/>
      <c r="T241" s="482" t="str">
        <f>VLOOKUP(Таблица3[[#This Row],[№ акта]],$AJ$1:$BJ$691,15,FALSE)</f>
        <v>А-83/2</v>
      </c>
      <c r="U241" s="482" t="str">
        <f>VLOOKUP(Таблица3[[#This Row],[№ акта]],$AJ$1:$BJ$691,16,FALSE)</f>
        <v>Авола</v>
      </c>
      <c r="V241" s="502">
        <f>VLOOKUP(Таблица3[[#This Row],[№ акта]],$AJ$1:$BJ$691,17,FALSE)</f>
        <v>1.1000000000000001</v>
      </c>
      <c r="W241" s="502" t="str">
        <f>VLOOKUP(Таблица3[[#This Row],[№ акта]],$AJ$1:$BJ$691,18,FALSE)</f>
        <v>ГРК (богара)</v>
      </c>
      <c r="X241" s="502" t="str">
        <f>VLOOKUP(Таблица3[[#This Row],[№ акта]],$AJ$1:$BJ$691,19,FALSE)</f>
        <v>богара</v>
      </c>
      <c r="Y241" s="503">
        <f>VLOOKUP(Таблица3[[#This Row],[№ акта]],$AJ$1:$BJ$691,20,FALSE)</f>
        <v>12</v>
      </c>
      <c r="Z241" s="504">
        <f>VLOOKUP(Таблица3[[#This Row],[№ акта]],$AJ$1:$BJ$691,21,FALSE)</f>
        <v>46188</v>
      </c>
      <c r="AA241" s="504"/>
      <c r="AB241" s="504" t="str">
        <f>IF(VLOOKUP(Таблица3[[#This Row],[№ акта]],$AJ$1:$BJ$691,23,FALSE)&lt;&gt;0,VLOOKUP(Таблица3[[#This Row],[№ акта]],$AJ$1:$BJ$691,23,FALSE),"-")</f>
        <v>-</v>
      </c>
      <c r="AC24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241" s="506" t="s">
        <v>3230</v>
      </c>
      <c r="AE241" s="505">
        <v>233</v>
      </c>
      <c r="AF241" s="507">
        <v>46188</v>
      </c>
      <c r="AG241" s="505">
        <v>218</v>
      </c>
      <c r="AH241" s="505">
        <f>IFERROR(VLOOKUP(Таблица3[[#This Row],[№ акта]],'Степень зрелости 2026'!$H$12:$I$800,2,FALSE),)</f>
        <v>67</v>
      </c>
      <c r="AJ241" s="508">
        <v>233</v>
      </c>
      <c r="AK241" s="509">
        <v>46188</v>
      </c>
      <c r="AL241" s="508">
        <v>341</v>
      </c>
      <c r="AO241" s="508">
        <v>4450</v>
      </c>
      <c r="AP241" s="508">
        <v>3982.8</v>
      </c>
      <c r="AQ241" s="508" t="s">
        <v>2939</v>
      </c>
      <c r="AR241" s="508" t="s">
        <v>524</v>
      </c>
      <c r="AS241" s="508" t="s">
        <v>3105</v>
      </c>
      <c r="AT241" s="508" t="s">
        <v>762</v>
      </c>
      <c r="AV241" s="508" t="s">
        <v>763</v>
      </c>
      <c r="AX241" s="508" t="s">
        <v>3106</v>
      </c>
      <c r="AY241" s="508" t="s">
        <v>524</v>
      </c>
      <c r="AZ241" s="508">
        <v>1.1000000000000001</v>
      </c>
      <c r="BA241" s="508" t="s">
        <v>46</v>
      </c>
      <c r="BB241" s="508" t="s">
        <v>19</v>
      </c>
      <c r="BC241" s="508">
        <v>12</v>
      </c>
      <c r="BD241" s="509">
        <v>46188</v>
      </c>
      <c r="BG241" s="508" t="s">
        <v>420</v>
      </c>
      <c r="BH241" s="508" t="s">
        <v>2940</v>
      </c>
      <c r="BI241" s="508">
        <v>218</v>
      </c>
      <c r="BJ241" s="508">
        <v>67</v>
      </c>
    </row>
    <row r="242" spans="1:62" s="508" customFormat="1" ht="14.25" hidden="1" customHeight="1" x14ac:dyDescent="0.2">
      <c r="A242" s="495" t="s">
        <v>102</v>
      </c>
      <c r="B242" s="496"/>
      <c r="C242" s="497">
        <f>Таблица3[[#This Row],[Степень зрелости вспом]]</f>
        <v>69</v>
      </c>
      <c r="D242" s="498">
        <v>342</v>
      </c>
      <c r="E242" s="499"/>
      <c r="F242" s="496"/>
      <c r="G242" s="496">
        <v>13650</v>
      </c>
      <c r="H242" s="500"/>
      <c r="I242" s="496">
        <v>11875.5</v>
      </c>
      <c r="J242" s="495" t="s">
        <v>2939</v>
      </c>
      <c r="K242" s="495" t="s">
        <v>524</v>
      </c>
      <c r="L242" s="495" t="s">
        <v>3105</v>
      </c>
      <c r="M242" s="495" t="s">
        <v>239</v>
      </c>
      <c r="N242" s="495"/>
      <c r="O242" s="495"/>
      <c r="P242" s="495"/>
      <c r="Q242" s="495"/>
      <c r="R242" s="501" t="s">
        <v>243</v>
      </c>
      <c r="S242" s="495"/>
      <c r="T242" s="482" t="str">
        <f>VLOOKUP(Таблица3[[#This Row],[№ акта]],$AJ$1:$BJ$691,15,FALSE)</f>
        <v>А-83/2</v>
      </c>
      <c r="U242" s="482" t="str">
        <f>VLOOKUP(Таблица3[[#This Row],[№ акта]],$AJ$1:$BJ$691,16,FALSE)</f>
        <v>Авола</v>
      </c>
      <c r="V242" s="502">
        <f>VLOOKUP(Таблица3[[#This Row],[№ акта]],$AJ$1:$BJ$691,17,FALSE)</f>
        <v>3.2</v>
      </c>
      <c r="W242" s="502" t="str">
        <f>VLOOKUP(Таблица3[[#This Row],[№ акта]],$AJ$1:$BJ$691,18,FALSE)</f>
        <v>ГРК (богара)</v>
      </c>
      <c r="X242" s="502" t="str">
        <f>VLOOKUP(Таблица3[[#This Row],[№ акта]],$AJ$1:$BJ$691,19,FALSE)</f>
        <v>богара</v>
      </c>
      <c r="Y242" s="503">
        <f>VLOOKUP(Таблица3[[#This Row],[№ акта]],$AJ$1:$BJ$691,20,FALSE)</f>
        <v>12</v>
      </c>
      <c r="Z242" s="504">
        <f>VLOOKUP(Таблица3[[#This Row],[№ акта]],$AJ$1:$BJ$691,21,FALSE)</f>
        <v>46188</v>
      </c>
      <c r="AA242" s="504"/>
      <c r="AB242" s="504" t="str">
        <f>IF(VLOOKUP(Таблица3[[#This Row],[№ акта]],$AJ$1:$BJ$691,23,FALSE)&lt;&gt;0,VLOOKUP(Таблица3[[#This Row],[№ акта]],$AJ$1:$BJ$691,23,FALSE),"-")</f>
        <v>-</v>
      </c>
      <c r="AC24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242" s="506" t="s">
        <v>3230</v>
      </c>
      <c r="AE242" s="505">
        <v>234</v>
      </c>
      <c r="AF242" s="507">
        <v>46188</v>
      </c>
      <c r="AG242" s="505">
        <v>219</v>
      </c>
      <c r="AH242" s="505">
        <f>IFERROR(VLOOKUP(Таблица3[[#This Row],[№ акта]],'Степень зрелости 2026'!$H$12:$I$800,2,FALSE),)</f>
        <v>69</v>
      </c>
      <c r="AJ242" s="508">
        <v>234</v>
      </c>
      <c r="AK242" s="509">
        <v>46188</v>
      </c>
      <c r="AL242" s="508">
        <v>342</v>
      </c>
      <c r="AO242" s="508">
        <v>13650</v>
      </c>
      <c r="AP242" s="508">
        <v>11875.5</v>
      </c>
      <c r="AQ242" s="508" t="s">
        <v>2939</v>
      </c>
      <c r="AR242" s="508" t="s">
        <v>524</v>
      </c>
      <c r="AS242" s="508" t="s">
        <v>3105</v>
      </c>
      <c r="AT242" s="508" t="s">
        <v>239</v>
      </c>
      <c r="AV242" s="508" t="s">
        <v>243</v>
      </c>
      <c r="AX242" s="508" t="s">
        <v>3106</v>
      </c>
      <c r="AY242" s="508" t="s">
        <v>524</v>
      </c>
      <c r="AZ242" s="508">
        <v>3.2</v>
      </c>
      <c r="BA242" s="508" t="s">
        <v>46</v>
      </c>
      <c r="BB242" s="508" t="s">
        <v>19</v>
      </c>
      <c r="BC242" s="508">
        <v>12</v>
      </c>
      <c r="BD242" s="509">
        <v>46188</v>
      </c>
      <c r="BG242" s="508" t="s">
        <v>420</v>
      </c>
      <c r="BH242" s="508" t="s">
        <v>2940</v>
      </c>
      <c r="BI242" s="508">
        <v>219</v>
      </c>
      <c r="BJ242" s="508">
        <v>69</v>
      </c>
    </row>
    <row r="243" spans="1:62" s="508" customFormat="1" ht="14.25" hidden="1" customHeight="1" x14ac:dyDescent="0.2">
      <c r="A243" s="495" t="s">
        <v>102</v>
      </c>
      <c r="B243" s="496"/>
      <c r="C243" s="497">
        <f>Таблица3[[#This Row],[Степень зрелости вспом]]</f>
        <v>56</v>
      </c>
      <c r="D243" s="498">
        <v>344</v>
      </c>
      <c r="E243" s="499"/>
      <c r="F243" s="496"/>
      <c r="G243" s="496">
        <v>13410</v>
      </c>
      <c r="H243" s="500"/>
      <c r="I243" s="496">
        <v>11197.3</v>
      </c>
      <c r="J243" s="495" t="s">
        <v>2939</v>
      </c>
      <c r="K243" s="495" t="s">
        <v>524</v>
      </c>
      <c r="L243" s="495" t="s">
        <v>3300</v>
      </c>
      <c r="M243" s="495" t="s">
        <v>335</v>
      </c>
      <c r="N243" s="495"/>
      <c r="O243" s="495"/>
      <c r="P243" s="495"/>
      <c r="Q243" s="495"/>
      <c r="R243" s="501" t="s">
        <v>339</v>
      </c>
      <c r="S243" s="495"/>
      <c r="T243" s="482" t="str">
        <f>VLOOKUP(Таблица3[[#This Row],[№ акта]],$AJ$1:$BJ$691,15,FALSE)</f>
        <v>А-105/1</v>
      </c>
      <c r="U243" s="482" t="str">
        <f>VLOOKUP(Таблица3[[#This Row],[№ акта]],$AJ$1:$BJ$691,16,FALSE)</f>
        <v>Авола</v>
      </c>
      <c r="V243" s="502">
        <f>VLOOKUP(Таблица3[[#This Row],[№ акта]],$AJ$1:$BJ$691,17,FALSE)</f>
        <v>3</v>
      </c>
      <c r="W243" s="502" t="str">
        <f>VLOOKUP(Таблица3[[#This Row],[№ акта]],$AJ$1:$BJ$691,18,FALSE)</f>
        <v>ГРК (богара)</v>
      </c>
      <c r="X243" s="502" t="str">
        <f>VLOOKUP(Таблица3[[#This Row],[№ акта]],$AJ$1:$BJ$691,19,FALSE)</f>
        <v>богара</v>
      </c>
      <c r="Y243" s="503">
        <f>VLOOKUP(Таблица3[[#This Row],[№ акта]],$AJ$1:$BJ$691,20,FALSE)</f>
        <v>12</v>
      </c>
      <c r="Z243" s="504">
        <f>VLOOKUP(Таблица3[[#This Row],[№ акта]],$AJ$1:$BJ$691,21,FALSE)</f>
        <v>46188</v>
      </c>
      <c r="AA243" s="504"/>
      <c r="AB243" s="504" t="str">
        <f>IF(VLOOKUP(Таблица3[[#This Row],[№ акта]],$AJ$1:$BJ$691,23,FALSE)&lt;&gt;0,VLOOKUP(Таблица3[[#This Row],[№ акта]],$AJ$1:$BJ$691,23,FALSE),"-")</f>
        <v>-</v>
      </c>
      <c r="AC24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43" s="506" t="s">
        <v>2940</v>
      </c>
      <c r="AE243" s="505">
        <v>278</v>
      </c>
      <c r="AF243" s="507">
        <v>46188</v>
      </c>
      <c r="AG243" s="505">
        <v>220</v>
      </c>
      <c r="AH243" s="505">
        <f>IFERROR(VLOOKUP(Таблица3[[#This Row],[№ акта]],'Степень зрелости 2026'!$H$12:$I$800,2,FALSE),)</f>
        <v>56</v>
      </c>
      <c r="AJ243" s="508">
        <v>278</v>
      </c>
      <c r="AK243" s="509">
        <v>46188</v>
      </c>
      <c r="AL243" s="508">
        <v>344</v>
      </c>
      <c r="AO243" s="508">
        <v>13410</v>
      </c>
      <c r="AP243" s="508">
        <v>11197.3</v>
      </c>
      <c r="AQ243" s="508" t="s">
        <v>2939</v>
      </c>
      <c r="AR243" s="508" t="s">
        <v>524</v>
      </c>
      <c r="AS243" s="508" t="s">
        <v>3300</v>
      </c>
      <c r="AT243" s="508" t="s">
        <v>335</v>
      </c>
      <c r="AV243" s="508" t="s">
        <v>339</v>
      </c>
      <c r="AX243" s="508" t="s">
        <v>3093</v>
      </c>
      <c r="AY243" s="508" t="s">
        <v>524</v>
      </c>
      <c r="AZ243" s="508">
        <v>3</v>
      </c>
      <c r="BA243" s="508" t="s">
        <v>46</v>
      </c>
      <c r="BB243" s="508" t="s">
        <v>19</v>
      </c>
      <c r="BC243" s="508">
        <v>12</v>
      </c>
      <c r="BD243" s="509">
        <v>46188</v>
      </c>
      <c r="BG243" s="508" t="s">
        <v>724</v>
      </c>
      <c r="BH243" s="508" t="s">
        <v>2940</v>
      </c>
      <c r="BI243" s="508">
        <v>220</v>
      </c>
      <c r="BJ243" s="508">
        <v>56</v>
      </c>
    </row>
    <row r="244" spans="1:62" s="508" customFormat="1" ht="14.25" hidden="1" customHeight="1" x14ac:dyDescent="0.2">
      <c r="A244" s="495" t="s">
        <v>102</v>
      </c>
      <c r="B244" s="496"/>
      <c r="C244" s="497">
        <f>Таблица3[[#This Row],[Степень зрелости вспом]]</f>
        <v>62</v>
      </c>
      <c r="D244" s="498">
        <v>345</v>
      </c>
      <c r="E244" s="499"/>
      <c r="F244" s="496"/>
      <c r="G244" s="496">
        <v>13300</v>
      </c>
      <c r="H244" s="500"/>
      <c r="I244" s="496">
        <v>11903.5</v>
      </c>
      <c r="J244" s="495" t="s">
        <v>2939</v>
      </c>
      <c r="K244" s="495" t="s">
        <v>524</v>
      </c>
      <c r="L244" s="495" t="s">
        <v>3300</v>
      </c>
      <c r="M244" s="495" t="s">
        <v>212</v>
      </c>
      <c r="N244" s="495"/>
      <c r="O244" s="495"/>
      <c r="P244" s="495"/>
      <c r="Q244" s="495"/>
      <c r="R244" s="501" t="s">
        <v>2965</v>
      </c>
      <c r="S244" s="495"/>
      <c r="T244" s="482" t="str">
        <f>VLOOKUP(Таблица3[[#This Row],[№ акта]],$AJ$1:$BJ$691,15,FALSE)</f>
        <v>А-105/1</v>
      </c>
      <c r="U244" s="482" t="str">
        <f>VLOOKUP(Таблица3[[#This Row],[№ акта]],$AJ$1:$BJ$691,16,FALSE)</f>
        <v>Авола</v>
      </c>
      <c r="V244" s="502">
        <f>VLOOKUP(Таблица3[[#This Row],[№ акта]],$AJ$1:$BJ$691,17,FALSE)</f>
        <v>3</v>
      </c>
      <c r="W244" s="502" t="str">
        <f>VLOOKUP(Таблица3[[#This Row],[№ акта]],$AJ$1:$BJ$691,18,FALSE)</f>
        <v>ГРК (богара)</v>
      </c>
      <c r="X244" s="502" t="str">
        <f>VLOOKUP(Таблица3[[#This Row],[№ акта]],$AJ$1:$BJ$691,19,FALSE)</f>
        <v>богара</v>
      </c>
      <c r="Y244" s="503">
        <f>VLOOKUP(Таблица3[[#This Row],[№ акта]],$AJ$1:$BJ$691,20,FALSE)</f>
        <v>12</v>
      </c>
      <c r="Z244" s="504">
        <f>VLOOKUP(Таблица3[[#This Row],[№ акта]],$AJ$1:$BJ$691,21,FALSE)</f>
        <v>46188</v>
      </c>
      <c r="AA244" s="504"/>
      <c r="AB244" s="504" t="str">
        <f>IF(VLOOKUP(Таблица3[[#This Row],[№ акта]],$AJ$1:$BJ$691,23,FALSE)&lt;&gt;0,VLOOKUP(Таблица3[[#This Row],[№ акта]],$AJ$1:$BJ$691,23,FALSE),"-")</f>
        <v>-</v>
      </c>
      <c r="AC24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44" s="506" t="s">
        <v>2940</v>
      </c>
      <c r="AE244" s="505">
        <v>235</v>
      </c>
      <c r="AF244" s="507">
        <v>46188</v>
      </c>
      <c r="AG244" s="505">
        <v>221</v>
      </c>
      <c r="AH244" s="505">
        <f>IFERROR(VLOOKUP(Таблица3[[#This Row],[№ акта]],'Степень зрелости 2026'!$H$12:$I$800,2,FALSE),)</f>
        <v>62</v>
      </c>
      <c r="AJ244" s="508">
        <v>235</v>
      </c>
      <c r="AK244" s="509">
        <v>46188</v>
      </c>
      <c r="AL244" s="508">
        <v>345</v>
      </c>
      <c r="AO244" s="508">
        <v>13300</v>
      </c>
      <c r="AP244" s="508">
        <v>11903.5</v>
      </c>
      <c r="AQ244" s="508" t="s">
        <v>2939</v>
      </c>
      <c r="AR244" s="508" t="s">
        <v>524</v>
      </c>
      <c r="AS244" s="508" t="s">
        <v>3300</v>
      </c>
      <c r="AT244" s="508" t="s">
        <v>212</v>
      </c>
      <c r="AV244" s="508" t="s">
        <v>2965</v>
      </c>
      <c r="AX244" s="508" t="s">
        <v>3093</v>
      </c>
      <c r="AY244" s="508" t="s">
        <v>524</v>
      </c>
      <c r="AZ244" s="508">
        <v>3</v>
      </c>
      <c r="BA244" s="508" t="s">
        <v>46</v>
      </c>
      <c r="BB244" s="508" t="s">
        <v>19</v>
      </c>
      <c r="BC244" s="508">
        <v>12</v>
      </c>
      <c r="BD244" s="509">
        <v>46188</v>
      </c>
      <c r="BG244" s="508" t="s">
        <v>724</v>
      </c>
      <c r="BH244" s="508" t="s">
        <v>2940</v>
      </c>
      <c r="BI244" s="508">
        <v>221</v>
      </c>
      <c r="BJ244" s="508">
        <v>62</v>
      </c>
    </row>
    <row r="245" spans="1:62" s="508" customFormat="1" ht="14.25" hidden="1" customHeight="1" x14ac:dyDescent="0.2">
      <c r="A245" s="495" t="s">
        <v>102</v>
      </c>
      <c r="B245" s="496"/>
      <c r="C245" s="497">
        <f>Таблица3[[#This Row],[Степень зрелости вспом]]</f>
        <v>59</v>
      </c>
      <c r="D245" s="498">
        <v>347</v>
      </c>
      <c r="E245" s="499"/>
      <c r="F245" s="496"/>
      <c r="G245" s="496">
        <v>13120</v>
      </c>
      <c r="H245" s="500"/>
      <c r="I245" s="496">
        <v>10496</v>
      </c>
      <c r="J245" s="495" t="s">
        <v>2939</v>
      </c>
      <c r="K245" s="495" t="s">
        <v>524</v>
      </c>
      <c r="L245" s="495" t="s">
        <v>3093</v>
      </c>
      <c r="M245" s="495" t="s">
        <v>1792</v>
      </c>
      <c r="N245" s="495"/>
      <c r="O245" s="495"/>
      <c r="P245" s="495"/>
      <c r="Q245" s="495"/>
      <c r="R245" s="501" t="s">
        <v>80</v>
      </c>
      <c r="S245" s="495"/>
      <c r="T245" s="482" t="str">
        <f>VLOOKUP(Таблица3[[#This Row],[№ акта]],$AJ$1:$BJ$691,15,FALSE)</f>
        <v>А-105/1</v>
      </c>
      <c r="U245" s="482" t="str">
        <f>VLOOKUP(Таблица3[[#This Row],[№ акта]],$AJ$1:$BJ$691,16,FALSE)</f>
        <v>Авола</v>
      </c>
      <c r="V245" s="502">
        <f>VLOOKUP(Таблица3[[#This Row],[№ акта]],$AJ$1:$BJ$691,17,FALSE)</f>
        <v>2.9</v>
      </c>
      <c r="W245" s="502" t="str">
        <f>VLOOKUP(Таблица3[[#This Row],[№ акта]],$AJ$1:$BJ$691,18,FALSE)</f>
        <v>ГРК (богара)</v>
      </c>
      <c r="X245" s="502" t="str">
        <f>VLOOKUP(Таблица3[[#This Row],[№ акта]],$AJ$1:$BJ$691,19,FALSE)</f>
        <v>богара</v>
      </c>
      <c r="Y245" s="503">
        <f>VLOOKUP(Таблица3[[#This Row],[№ акта]],$AJ$1:$BJ$691,20,FALSE)</f>
        <v>12</v>
      </c>
      <c r="Z245" s="504">
        <f>VLOOKUP(Таблица3[[#This Row],[№ акта]],$AJ$1:$BJ$691,21,FALSE)</f>
        <v>46188</v>
      </c>
      <c r="AA245" s="504"/>
      <c r="AB245" s="504" t="str">
        <f>IF(VLOOKUP(Таблица3[[#This Row],[№ акта]],$AJ$1:$BJ$691,23,FALSE)&lt;&gt;0,VLOOKUP(Таблица3[[#This Row],[№ акта]],$AJ$1:$BJ$691,23,FALSE),"-")</f>
        <v>-</v>
      </c>
      <c r="AC24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45" s="506" t="s">
        <v>2940</v>
      </c>
      <c r="AE245" s="505">
        <v>236</v>
      </c>
      <c r="AF245" s="507">
        <v>46188</v>
      </c>
      <c r="AG245" s="505">
        <v>222</v>
      </c>
      <c r="AH245" s="505">
        <f>IFERROR(VLOOKUP(Таблица3[[#This Row],[№ акта]],'Степень зрелости 2026'!$H$12:$I$800,2,FALSE),)</f>
        <v>59</v>
      </c>
      <c r="AJ245" s="508">
        <v>236</v>
      </c>
      <c r="AK245" s="509">
        <v>46188</v>
      </c>
      <c r="AL245" s="508">
        <v>347</v>
      </c>
      <c r="AO245" s="508">
        <v>13120</v>
      </c>
      <c r="AP245" s="508">
        <v>10496</v>
      </c>
      <c r="AQ245" s="508" t="s">
        <v>2939</v>
      </c>
      <c r="AR245" s="508" t="s">
        <v>524</v>
      </c>
      <c r="AS245" s="508" t="s">
        <v>3093</v>
      </c>
      <c r="AT245" s="508" t="s">
        <v>1792</v>
      </c>
      <c r="AV245" s="508" t="s">
        <v>80</v>
      </c>
      <c r="AX245" s="508" t="s">
        <v>3093</v>
      </c>
      <c r="AY245" s="508" t="s">
        <v>524</v>
      </c>
      <c r="AZ245" s="508">
        <v>2.9</v>
      </c>
      <c r="BA245" s="508" t="s">
        <v>46</v>
      </c>
      <c r="BB245" s="508" t="s">
        <v>19</v>
      </c>
      <c r="BC245" s="508">
        <v>12</v>
      </c>
      <c r="BD245" s="509">
        <v>46188</v>
      </c>
      <c r="BG245" s="508" t="s">
        <v>724</v>
      </c>
      <c r="BH245" s="508" t="s">
        <v>2940</v>
      </c>
      <c r="BI245" s="508">
        <v>222</v>
      </c>
      <c r="BJ245" s="508">
        <v>59</v>
      </c>
    </row>
    <row r="246" spans="1:62" s="508" customFormat="1" ht="14.25" hidden="1" customHeight="1" x14ac:dyDescent="0.2">
      <c r="A246" s="495" t="s">
        <v>102</v>
      </c>
      <c r="B246" s="496"/>
      <c r="C246" s="497">
        <f>Таблица3[[#This Row],[Степень зрелости вспом]]</f>
        <v>64</v>
      </c>
      <c r="D246" s="498">
        <v>348</v>
      </c>
      <c r="E246" s="499"/>
      <c r="F246" s="496"/>
      <c r="G246" s="496">
        <v>4430</v>
      </c>
      <c r="H246" s="500"/>
      <c r="I246" s="496">
        <v>3964.9</v>
      </c>
      <c r="J246" s="495" t="s">
        <v>2939</v>
      </c>
      <c r="K246" s="495" t="s">
        <v>524</v>
      </c>
      <c r="L246" s="495" t="s">
        <v>3093</v>
      </c>
      <c r="M246" s="495" t="s">
        <v>762</v>
      </c>
      <c r="N246" s="495"/>
      <c r="O246" s="495"/>
      <c r="P246" s="495"/>
      <c r="Q246" s="495"/>
      <c r="R246" s="501" t="s">
        <v>763</v>
      </c>
      <c r="S246" s="495"/>
      <c r="T246" s="482" t="str">
        <f>VLOOKUP(Таблица3[[#This Row],[№ акта]],$AJ$1:$BJ$691,15,FALSE)</f>
        <v>А-105/1</v>
      </c>
      <c r="U246" s="482" t="str">
        <f>VLOOKUP(Таблица3[[#This Row],[№ акта]],$AJ$1:$BJ$691,16,FALSE)</f>
        <v>Авола</v>
      </c>
      <c r="V246" s="502">
        <f>VLOOKUP(Таблица3[[#This Row],[№ акта]],$AJ$1:$BJ$691,17,FALSE)</f>
        <v>1</v>
      </c>
      <c r="W246" s="502" t="str">
        <f>VLOOKUP(Таблица3[[#This Row],[№ акта]],$AJ$1:$BJ$691,18,FALSE)</f>
        <v>ГРК (богара)</v>
      </c>
      <c r="X246" s="502" t="str">
        <f>VLOOKUP(Таблица3[[#This Row],[№ акта]],$AJ$1:$BJ$691,19,FALSE)</f>
        <v>богара</v>
      </c>
      <c r="Y246" s="503">
        <f>VLOOKUP(Таблица3[[#This Row],[№ акта]],$AJ$1:$BJ$691,20,FALSE)</f>
        <v>12</v>
      </c>
      <c r="Z246" s="504">
        <f>VLOOKUP(Таблица3[[#This Row],[№ акта]],$AJ$1:$BJ$691,21,FALSE)</f>
        <v>46188</v>
      </c>
      <c r="AA246" s="504"/>
      <c r="AB246" s="504" t="str">
        <f>IF(VLOOKUP(Таблица3[[#This Row],[№ акта]],$AJ$1:$BJ$691,23,FALSE)&lt;&gt;0,VLOOKUP(Таблица3[[#This Row],[№ акта]],$AJ$1:$BJ$691,23,FALSE),"-")</f>
        <v>-</v>
      </c>
      <c r="AC24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46" s="506" t="s">
        <v>3230</v>
      </c>
      <c r="AE246" s="505">
        <v>237</v>
      </c>
      <c r="AF246" s="507">
        <v>46188</v>
      </c>
      <c r="AG246" s="505">
        <v>223</v>
      </c>
      <c r="AH246" s="505">
        <f>IFERROR(VLOOKUP(Таблица3[[#This Row],[№ акта]],'Степень зрелости 2026'!$H$12:$I$800,2,FALSE),)</f>
        <v>64</v>
      </c>
      <c r="AJ246" s="508">
        <v>237</v>
      </c>
      <c r="AK246" s="509">
        <v>46188</v>
      </c>
      <c r="AL246" s="508">
        <v>348</v>
      </c>
      <c r="AO246" s="508">
        <v>4430</v>
      </c>
      <c r="AP246" s="508">
        <v>3964.9</v>
      </c>
      <c r="AQ246" s="508" t="s">
        <v>2939</v>
      </c>
      <c r="AR246" s="508" t="s">
        <v>524</v>
      </c>
      <c r="AS246" s="508" t="s">
        <v>3093</v>
      </c>
      <c r="AT246" s="508" t="s">
        <v>762</v>
      </c>
      <c r="AV246" s="508" t="s">
        <v>763</v>
      </c>
      <c r="AX246" s="508" t="s">
        <v>3093</v>
      </c>
      <c r="AY246" s="508" t="s">
        <v>524</v>
      </c>
      <c r="AZ246" s="508">
        <v>1</v>
      </c>
      <c r="BA246" s="508" t="s">
        <v>46</v>
      </c>
      <c r="BB246" s="508" t="s">
        <v>19</v>
      </c>
      <c r="BC246" s="508">
        <v>12</v>
      </c>
      <c r="BD246" s="509">
        <v>46188</v>
      </c>
      <c r="BG246" s="508" t="s">
        <v>3559</v>
      </c>
      <c r="BH246" s="508" t="s">
        <v>2940</v>
      </c>
      <c r="BI246" s="508">
        <v>223</v>
      </c>
      <c r="BJ246" s="508">
        <v>64</v>
      </c>
    </row>
    <row r="247" spans="1:62" s="508" customFormat="1" ht="14.25" hidden="1" customHeight="1" x14ac:dyDescent="0.2">
      <c r="A247" s="495" t="s">
        <v>102</v>
      </c>
      <c r="B247" s="496"/>
      <c r="C247" s="497">
        <f>Таблица3[[#This Row],[Степень зрелости вспом]]</f>
        <v>63</v>
      </c>
      <c r="D247" s="498">
        <v>349</v>
      </c>
      <c r="E247" s="499"/>
      <c r="F247" s="496"/>
      <c r="G247" s="496">
        <v>13420</v>
      </c>
      <c r="H247" s="500"/>
      <c r="I247" s="496">
        <v>11809.6</v>
      </c>
      <c r="J247" s="495" t="s">
        <v>2939</v>
      </c>
      <c r="K247" s="495" t="s">
        <v>524</v>
      </c>
      <c r="L247" s="495" t="s">
        <v>3093</v>
      </c>
      <c r="M247" s="495" t="s">
        <v>239</v>
      </c>
      <c r="N247" s="495"/>
      <c r="O247" s="495"/>
      <c r="P247" s="495"/>
      <c r="Q247" s="495"/>
      <c r="R247" s="501" t="s">
        <v>243</v>
      </c>
      <c r="S247" s="495"/>
      <c r="T247" s="482" t="str">
        <f>VLOOKUP(Таблица3[[#This Row],[№ акта]],$AJ$1:$BJ$691,15,FALSE)</f>
        <v>А-105/1</v>
      </c>
      <c r="U247" s="482" t="str">
        <f>VLOOKUP(Таблица3[[#This Row],[№ акта]],$AJ$1:$BJ$691,16,FALSE)</f>
        <v>Авола</v>
      </c>
      <c r="V247" s="502">
        <f>VLOOKUP(Таблица3[[#This Row],[№ акта]],$AJ$1:$BJ$691,17,FALSE)</f>
        <v>3</v>
      </c>
      <c r="W247" s="502" t="str">
        <f>VLOOKUP(Таблица3[[#This Row],[№ акта]],$AJ$1:$BJ$691,18,FALSE)</f>
        <v>ГРК (богара)</v>
      </c>
      <c r="X247" s="502" t="str">
        <f>VLOOKUP(Таблица3[[#This Row],[№ акта]],$AJ$1:$BJ$691,19,FALSE)</f>
        <v>богара</v>
      </c>
      <c r="Y247" s="503">
        <f>VLOOKUP(Таблица3[[#This Row],[№ акта]],$AJ$1:$BJ$691,20,FALSE)</f>
        <v>12</v>
      </c>
      <c r="Z247" s="504">
        <f>VLOOKUP(Таблица3[[#This Row],[№ акта]],$AJ$1:$BJ$691,21,FALSE)</f>
        <v>46188</v>
      </c>
      <c r="AA247" s="504"/>
      <c r="AB247" s="504" t="str">
        <f>IF(VLOOKUP(Таблица3[[#This Row],[№ акта]],$AJ$1:$BJ$691,23,FALSE)&lt;&gt;0,VLOOKUP(Таблица3[[#This Row],[№ акта]],$AJ$1:$BJ$691,23,FALSE),"-")</f>
        <v>-</v>
      </c>
      <c r="AC24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47" s="506" t="s">
        <v>2940</v>
      </c>
      <c r="AE247" s="505">
        <v>238</v>
      </c>
      <c r="AF247" s="507">
        <v>46188</v>
      </c>
      <c r="AG247" s="505">
        <v>224</v>
      </c>
      <c r="AH247" s="505">
        <f>IFERROR(VLOOKUP(Таблица3[[#This Row],[№ акта]],'Степень зрелости 2026'!$H$12:$I$800,2,FALSE),)</f>
        <v>63</v>
      </c>
      <c r="AJ247" s="508">
        <v>238</v>
      </c>
      <c r="AK247" s="509">
        <v>46188</v>
      </c>
      <c r="AL247" s="508">
        <v>349</v>
      </c>
      <c r="AO247" s="508">
        <v>13420</v>
      </c>
      <c r="AP247" s="508">
        <v>11809.6</v>
      </c>
      <c r="AQ247" s="508" t="s">
        <v>2939</v>
      </c>
      <c r="AR247" s="508" t="s">
        <v>524</v>
      </c>
      <c r="AS247" s="508" t="s">
        <v>3093</v>
      </c>
      <c r="AT247" s="508" t="s">
        <v>239</v>
      </c>
      <c r="AV247" s="508" t="s">
        <v>243</v>
      </c>
      <c r="AX247" s="508" t="s">
        <v>3093</v>
      </c>
      <c r="AY247" s="508" t="s">
        <v>524</v>
      </c>
      <c r="AZ247" s="508">
        <v>3</v>
      </c>
      <c r="BA247" s="508" t="s">
        <v>46</v>
      </c>
      <c r="BB247" s="508" t="s">
        <v>19</v>
      </c>
      <c r="BC247" s="508">
        <v>12</v>
      </c>
      <c r="BD247" s="509">
        <v>46188</v>
      </c>
      <c r="BG247" s="508" t="s">
        <v>724</v>
      </c>
      <c r="BH247" s="508" t="s">
        <v>2940</v>
      </c>
      <c r="BI247" s="508">
        <v>224</v>
      </c>
      <c r="BJ247" s="508">
        <v>63</v>
      </c>
    </row>
    <row r="248" spans="1:62" s="508" customFormat="1" ht="14.25" hidden="1" customHeight="1" x14ac:dyDescent="0.2">
      <c r="A248" s="495" t="s">
        <v>102</v>
      </c>
      <c r="B248" s="496"/>
      <c r="C248" s="497">
        <f>Таблица3[[#This Row],[Степень зрелости вспом]]</f>
        <v>65</v>
      </c>
      <c r="D248" s="498">
        <v>350</v>
      </c>
      <c r="E248" s="499"/>
      <c r="F248" s="496"/>
      <c r="G248" s="496">
        <v>13190</v>
      </c>
      <c r="H248" s="500"/>
      <c r="I248" s="496">
        <v>11673.2</v>
      </c>
      <c r="J248" s="495" t="s">
        <v>2939</v>
      </c>
      <c r="K248" s="495" t="s">
        <v>524</v>
      </c>
      <c r="L248" s="495" t="s">
        <v>3093</v>
      </c>
      <c r="M248" s="495" t="s">
        <v>335</v>
      </c>
      <c r="N248" s="495"/>
      <c r="O248" s="495"/>
      <c r="P248" s="495"/>
      <c r="Q248" s="495"/>
      <c r="R248" s="501" t="s">
        <v>339</v>
      </c>
      <c r="S248" s="495"/>
      <c r="T248" s="482" t="str">
        <f>VLOOKUP(Таблица3[[#This Row],[№ акта]],$AJ$1:$BJ$691,15,FALSE)</f>
        <v>А-105/1</v>
      </c>
      <c r="U248" s="482" t="str">
        <f>VLOOKUP(Таблица3[[#This Row],[№ акта]],$AJ$1:$BJ$691,16,FALSE)</f>
        <v>Авола</v>
      </c>
      <c r="V248" s="502">
        <f>VLOOKUP(Таблица3[[#This Row],[№ акта]],$AJ$1:$BJ$691,17,FALSE)</f>
        <v>2.9</v>
      </c>
      <c r="W248" s="502" t="str">
        <f>VLOOKUP(Таблица3[[#This Row],[№ акта]],$AJ$1:$BJ$691,18,FALSE)</f>
        <v>ГРК (богара)</v>
      </c>
      <c r="X248" s="502" t="str">
        <f>VLOOKUP(Таблица3[[#This Row],[№ акта]],$AJ$1:$BJ$691,19,FALSE)</f>
        <v>богара</v>
      </c>
      <c r="Y248" s="503">
        <f>VLOOKUP(Таблица3[[#This Row],[№ акта]],$AJ$1:$BJ$691,20,FALSE)</f>
        <v>12</v>
      </c>
      <c r="Z248" s="504">
        <f>VLOOKUP(Таблица3[[#This Row],[№ акта]],$AJ$1:$BJ$691,21,FALSE)</f>
        <v>46188</v>
      </c>
      <c r="AA248" s="504"/>
      <c r="AB248" s="504" t="str">
        <f>IF(VLOOKUP(Таблица3[[#This Row],[№ акта]],$AJ$1:$BJ$691,23,FALSE)&lt;&gt;0,VLOOKUP(Таблица3[[#This Row],[№ акта]],$AJ$1:$BJ$691,23,FALSE),"-")</f>
        <v>-</v>
      </c>
      <c r="AC24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48" s="506" t="s">
        <v>3230</v>
      </c>
      <c r="AE248" s="505">
        <v>239</v>
      </c>
      <c r="AF248" s="507">
        <v>46188</v>
      </c>
      <c r="AG248" s="505">
        <v>225</v>
      </c>
      <c r="AH248" s="505">
        <f>IFERROR(VLOOKUP(Таблица3[[#This Row],[№ акта]],'Степень зрелости 2026'!$H$12:$I$800,2,FALSE),)</f>
        <v>65</v>
      </c>
      <c r="AJ248" s="508">
        <v>239</v>
      </c>
      <c r="AK248" s="509">
        <v>46188</v>
      </c>
      <c r="AL248" s="508">
        <v>350</v>
      </c>
      <c r="AO248" s="508">
        <v>13190</v>
      </c>
      <c r="AP248" s="508">
        <v>11673.2</v>
      </c>
      <c r="AQ248" s="508" t="s">
        <v>2939</v>
      </c>
      <c r="AR248" s="508" t="s">
        <v>524</v>
      </c>
      <c r="AS248" s="508" t="s">
        <v>3093</v>
      </c>
      <c r="AT248" s="508" t="s">
        <v>335</v>
      </c>
      <c r="AV248" s="508" t="s">
        <v>339</v>
      </c>
      <c r="AX248" s="508" t="s">
        <v>3093</v>
      </c>
      <c r="AY248" s="508" t="s">
        <v>524</v>
      </c>
      <c r="AZ248" s="508">
        <v>2.9</v>
      </c>
      <c r="BA248" s="508" t="s">
        <v>46</v>
      </c>
      <c r="BB248" s="508" t="s">
        <v>19</v>
      </c>
      <c r="BC248" s="508">
        <v>12</v>
      </c>
      <c r="BD248" s="509">
        <v>46188</v>
      </c>
      <c r="BG248" s="508" t="s">
        <v>3559</v>
      </c>
      <c r="BH248" s="508" t="s">
        <v>2940</v>
      </c>
      <c r="BI248" s="508">
        <v>225</v>
      </c>
      <c r="BJ248" s="508">
        <v>65</v>
      </c>
    </row>
    <row r="249" spans="1:62" s="508" customFormat="1" ht="14.25" hidden="1" customHeight="1" x14ac:dyDescent="0.2">
      <c r="A249" s="495" t="s">
        <v>102</v>
      </c>
      <c r="B249" s="496"/>
      <c r="C249" s="497">
        <f>Таблица3[[#This Row],[Степень зрелости вспом]]</f>
        <v>63</v>
      </c>
      <c r="D249" s="498">
        <v>351</v>
      </c>
      <c r="E249" s="499"/>
      <c r="F249" s="496"/>
      <c r="G249" s="496">
        <v>13330</v>
      </c>
      <c r="H249" s="500"/>
      <c r="I249" s="496">
        <v>11463.8</v>
      </c>
      <c r="J249" s="495" t="s">
        <v>2939</v>
      </c>
      <c r="K249" s="495" t="s">
        <v>524</v>
      </c>
      <c r="L249" s="495" t="s">
        <v>3093</v>
      </c>
      <c r="M249" s="495" t="s">
        <v>212</v>
      </c>
      <c r="N249" s="495"/>
      <c r="O249" s="495"/>
      <c r="P249" s="495"/>
      <c r="Q249" s="495"/>
      <c r="R249" s="501" t="s">
        <v>2965</v>
      </c>
      <c r="S249" s="495"/>
      <c r="T249" s="482" t="str">
        <f>VLOOKUP(Таблица3[[#This Row],[№ акта]],$AJ$1:$BJ$691,15,FALSE)</f>
        <v>А-105/1</v>
      </c>
      <c r="U249" s="482" t="str">
        <f>VLOOKUP(Таблица3[[#This Row],[№ акта]],$AJ$1:$BJ$691,16,FALSE)</f>
        <v>Авола</v>
      </c>
      <c r="V249" s="502">
        <f>VLOOKUP(Таблица3[[#This Row],[№ акта]],$AJ$1:$BJ$691,17,FALSE)</f>
        <v>3</v>
      </c>
      <c r="W249" s="502" t="str">
        <f>VLOOKUP(Таблица3[[#This Row],[№ акта]],$AJ$1:$BJ$691,18,FALSE)</f>
        <v>ГРК (богара)</v>
      </c>
      <c r="X249" s="502" t="str">
        <f>VLOOKUP(Таблица3[[#This Row],[№ акта]],$AJ$1:$BJ$691,19,FALSE)</f>
        <v>богара</v>
      </c>
      <c r="Y249" s="503">
        <f>VLOOKUP(Таблица3[[#This Row],[№ акта]],$AJ$1:$BJ$691,20,FALSE)</f>
        <v>12</v>
      </c>
      <c r="Z249" s="504">
        <f>VLOOKUP(Таблица3[[#This Row],[№ акта]],$AJ$1:$BJ$691,21,FALSE)</f>
        <v>46188</v>
      </c>
      <c r="AA249" s="504"/>
      <c r="AB249" s="504" t="str">
        <f>IF(VLOOKUP(Таблица3[[#This Row],[№ акта]],$AJ$1:$BJ$691,23,FALSE)&lt;&gt;0,VLOOKUP(Таблица3[[#This Row],[№ акта]],$AJ$1:$BJ$691,23,FALSE),"-")</f>
        <v>-</v>
      </c>
      <c r="AC24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49" s="506" t="s">
        <v>3230</v>
      </c>
      <c r="AE249" s="505">
        <v>240</v>
      </c>
      <c r="AF249" s="507">
        <v>46188</v>
      </c>
      <c r="AG249" s="505">
        <v>226</v>
      </c>
      <c r="AH249" s="505">
        <f>IFERROR(VLOOKUP(Таблица3[[#This Row],[№ акта]],'Степень зрелости 2026'!$H$12:$I$800,2,FALSE),)</f>
        <v>63</v>
      </c>
      <c r="AJ249" s="508">
        <v>240</v>
      </c>
      <c r="AK249" s="509">
        <v>46188</v>
      </c>
      <c r="AL249" s="508">
        <v>351</v>
      </c>
      <c r="AO249" s="508">
        <v>13330</v>
      </c>
      <c r="AP249" s="508">
        <v>11463.8</v>
      </c>
      <c r="AQ249" s="508" t="s">
        <v>2939</v>
      </c>
      <c r="AR249" s="508" t="s">
        <v>524</v>
      </c>
      <c r="AS249" s="508" t="s">
        <v>3093</v>
      </c>
      <c r="AT249" s="508" t="s">
        <v>212</v>
      </c>
      <c r="AV249" s="508" t="s">
        <v>2965</v>
      </c>
      <c r="AX249" s="508" t="s">
        <v>3093</v>
      </c>
      <c r="AY249" s="508" t="s">
        <v>524</v>
      </c>
      <c r="AZ249" s="508">
        <v>3</v>
      </c>
      <c r="BA249" s="508" t="s">
        <v>46</v>
      </c>
      <c r="BB249" s="508" t="s">
        <v>19</v>
      </c>
      <c r="BC249" s="508">
        <v>12</v>
      </c>
      <c r="BD249" s="509">
        <v>46188</v>
      </c>
      <c r="BG249" s="508" t="s">
        <v>724</v>
      </c>
      <c r="BH249" s="508" t="s">
        <v>2940</v>
      </c>
      <c r="BI249" s="508">
        <v>226</v>
      </c>
      <c r="BJ249" s="508">
        <v>63</v>
      </c>
    </row>
    <row r="250" spans="1:62" s="508" customFormat="1" ht="14.25" hidden="1" customHeight="1" x14ac:dyDescent="0.2">
      <c r="A250" s="495" t="s">
        <v>102</v>
      </c>
      <c r="B250" s="496"/>
      <c r="C250" s="497">
        <f>Таблица3[[#This Row],[Степень зрелости вспом]]</f>
        <v>59</v>
      </c>
      <c r="D250" s="498">
        <v>352</v>
      </c>
      <c r="E250" s="499"/>
      <c r="F250" s="496"/>
      <c r="G250" s="496">
        <v>13160</v>
      </c>
      <c r="H250" s="500"/>
      <c r="I250" s="496">
        <v>11712.4</v>
      </c>
      <c r="J250" s="495" t="s">
        <v>2939</v>
      </c>
      <c r="K250" s="495" t="s">
        <v>524</v>
      </c>
      <c r="L250" s="495" t="s">
        <v>3093</v>
      </c>
      <c r="M250" s="495" t="s">
        <v>1792</v>
      </c>
      <c r="N250" s="495"/>
      <c r="O250" s="495"/>
      <c r="P250" s="495"/>
      <c r="Q250" s="495"/>
      <c r="R250" s="501" t="s">
        <v>80</v>
      </c>
      <c r="S250" s="495"/>
      <c r="T250" s="482" t="str">
        <f>VLOOKUP(Таблица3[[#This Row],[№ акта]],$AJ$1:$BJ$691,15,FALSE)</f>
        <v>А-105/1</v>
      </c>
      <c r="U250" s="482" t="str">
        <f>VLOOKUP(Таблица3[[#This Row],[№ акта]],$AJ$1:$BJ$691,16,FALSE)</f>
        <v>Авола</v>
      </c>
      <c r="V250" s="502">
        <f>VLOOKUP(Таблица3[[#This Row],[№ акта]],$AJ$1:$BJ$691,17,FALSE)</f>
        <v>2.9</v>
      </c>
      <c r="W250" s="502" t="str">
        <f>VLOOKUP(Таблица3[[#This Row],[№ акта]],$AJ$1:$BJ$691,18,FALSE)</f>
        <v>ГРК (богара)</v>
      </c>
      <c r="X250" s="502" t="str">
        <f>VLOOKUP(Таблица3[[#This Row],[№ акта]],$AJ$1:$BJ$691,19,FALSE)</f>
        <v>богара</v>
      </c>
      <c r="Y250" s="503">
        <f>VLOOKUP(Таблица3[[#This Row],[№ акта]],$AJ$1:$BJ$691,20,FALSE)</f>
        <v>12</v>
      </c>
      <c r="Z250" s="504">
        <f>VLOOKUP(Таблица3[[#This Row],[№ акта]],$AJ$1:$BJ$691,21,FALSE)</f>
        <v>46188</v>
      </c>
      <c r="AA250" s="504"/>
      <c r="AB250" s="504" t="str">
        <f>IF(VLOOKUP(Таблица3[[#This Row],[№ акта]],$AJ$1:$BJ$691,23,FALSE)&lt;&gt;0,VLOOKUP(Таблица3[[#This Row],[№ акта]],$AJ$1:$BJ$691,23,FALSE),"-")</f>
        <v>-</v>
      </c>
      <c r="AC25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50" s="506" t="s">
        <v>2940</v>
      </c>
      <c r="AE250" s="505">
        <v>241</v>
      </c>
      <c r="AF250" s="507">
        <v>46188</v>
      </c>
      <c r="AG250" s="505">
        <v>227</v>
      </c>
      <c r="AH250" s="505">
        <f>IFERROR(VLOOKUP(Таблица3[[#This Row],[№ акта]],'Степень зрелости 2026'!$H$12:$I$800,2,FALSE),)</f>
        <v>59</v>
      </c>
      <c r="AJ250" s="508">
        <v>241</v>
      </c>
      <c r="AK250" s="509">
        <v>46188</v>
      </c>
      <c r="AL250" s="508">
        <v>352</v>
      </c>
      <c r="AO250" s="508">
        <v>13160</v>
      </c>
      <c r="AP250" s="508">
        <v>11712.4</v>
      </c>
      <c r="AQ250" s="508" t="s">
        <v>2939</v>
      </c>
      <c r="AR250" s="508" t="s">
        <v>524</v>
      </c>
      <c r="AS250" s="508" t="s">
        <v>3093</v>
      </c>
      <c r="AT250" s="508" t="s">
        <v>1792</v>
      </c>
      <c r="AV250" s="508" t="s">
        <v>80</v>
      </c>
      <c r="AX250" s="508" t="s">
        <v>3093</v>
      </c>
      <c r="AY250" s="508" t="s">
        <v>524</v>
      </c>
      <c r="AZ250" s="508">
        <v>2.9</v>
      </c>
      <c r="BA250" s="508" t="s">
        <v>46</v>
      </c>
      <c r="BB250" s="508" t="s">
        <v>19</v>
      </c>
      <c r="BC250" s="508">
        <v>12</v>
      </c>
      <c r="BD250" s="509">
        <v>46188</v>
      </c>
      <c r="BG250" s="508" t="s">
        <v>724</v>
      </c>
      <c r="BH250" s="508" t="s">
        <v>2940</v>
      </c>
      <c r="BI250" s="508">
        <v>227</v>
      </c>
      <c r="BJ250" s="508">
        <v>59</v>
      </c>
    </row>
    <row r="251" spans="1:62" s="508" customFormat="1" ht="14.25" hidden="1" customHeight="1" x14ac:dyDescent="0.2">
      <c r="A251" s="495" t="s">
        <v>102</v>
      </c>
      <c r="B251" s="496"/>
      <c r="C251" s="497">
        <f>Таблица3[[#This Row],[Степень зрелости вспом]]</f>
        <v>65</v>
      </c>
      <c r="D251" s="498">
        <v>353</v>
      </c>
      <c r="E251" s="499"/>
      <c r="F251" s="496"/>
      <c r="G251" s="496">
        <v>4340</v>
      </c>
      <c r="H251" s="500"/>
      <c r="I251" s="496">
        <v>3797.5</v>
      </c>
      <c r="J251" s="495" t="s">
        <v>2939</v>
      </c>
      <c r="K251" s="495" t="s">
        <v>524</v>
      </c>
      <c r="L251" s="495" t="s">
        <v>3093</v>
      </c>
      <c r="M251" s="495" t="s">
        <v>762</v>
      </c>
      <c r="N251" s="495"/>
      <c r="O251" s="495"/>
      <c r="P251" s="495"/>
      <c r="Q251" s="495"/>
      <c r="R251" s="501" t="s">
        <v>763</v>
      </c>
      <c r="S251" s="495"/>
      <c r="T251" s="482" t="str">
        <f>VLOOKUP(Таблица3[[#This Row],[№ акта]],$AJ$1:$BJ$691,15,FALSE)</f>
        <v>А-105/1</v>
      </c>
      <c r="U251" s="482" t="str">
        <f>VLOOKUP(Таблица3[[#This Row],[№ акта]],$AJ$1:$BJ$691,16,FALSE)</f>
        <v>Авола</v>
      </c>
      <c r="V251" s="502">
        <f>VLOOKUP(Таблица3[[#This Row],[№ акта]],$AJ$1:$BJ$691,17,FALSE)</f>
        <v>1</v>
      </c>
      <c r="W251" s="502" t="str">
        <f>VLOOKUP(Таблица3[[#This Row],[№ акта]],$AJ$1:$BJ$691,18,FALSE)</f>
        <v>ГРК (богара)</v>
      </c>
      <c r="X251" s="502" t="str">
        <f>VLOOKUP(Таблица3[[#This Row],[№ акта]],$AJ$1:$BJ$691,19,FALSE)</f>
        <v>богара</v>
      </c>
      <c r="Y251" s="503">
        <f>VLOOKUP(Таблица3[[#This Row],[№ акта]],$AJ$1:$BJ$691,20,FALSE)</f>
        <v>12</v>
      </c>
      <c r="Z251" s="504">
        <f>VLOOKUP(Таблица3[[#This Row],[№ акта]],$AJ$1:$BJ$691,21,FALSE)</f>
        <v>46188</v>
      </c>
      <c r="AA251" s="504"/>
      <c r="AB251" s="504" t="str">
        <f>IF(VLOOKUP(Таблица3[[#This Row],[№ акта]],$AJ$1:$BJ$691,23,FALSE)&lt;&gt;0,VLOOKUP(Таблица3[[#This Row],[№ акта]],$AJ$1:$BJ$691,23,FALSE),"-")</f>
        <v>-</v>
      </c>
      <c r="AC25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51" s="506" t="s">
        <v>3230</v>
      </c>
      <c r="AE251" s="505">
        <v>242</v>
      </c>
      <c r="AF251" s="507">
        <v>46188</v>
      </c>
      <c r="AG251" s="505">
        <v>228</v>
      </c>
      <c r="AH251" s="505">
        <f>IFERROR(VLOOKUP(Таблица3[[#This Row],[№ акта]],'Степень зрелости 2026'!$H$12:$I$800,2,FALSE),)</f>
        <v>65</v>
      </c>
      <c r="AJ251" s="508">
        <v>242</v>
      </c>
      <c r="AK251" s="509">
        <v>46188</v>
      </c>
      <c r="AL251" s="508">
        <v>353</v>
      </c>
      <c r="AO251" s="508">
        <v>4340</v>
      </c>
      <c r="AP251" s="508">
        <v>3797.5</v>
      </c>
      <c r="AQ251" s="508" t="s">
        <v>2939</v>
      </c>
      <c r="AR251" s="508" t="s">
        <v>524</v>
      </c>
      <c r="AS251" s="508" t="s">
        <v>3093</v>
      </c>
      <c r="AT251" s="508" t="s">
        <v>762</v>
      </c>
      <c r="AV251" s="508" t="s">
        <v>763</v>
      </c>
      <c r="AX251" s="508" t="s">
        <v>3093</v>
      </c>
      <c r="AY251" s="508" t="s">
        <v>524</v>
      </c>
      <c r="AZ251" s="508">
        <v>1</v>
      </c>
      <c r="BA251" s="508" t="s">
        <v>46</v>
      </c>
      <c r="BB251" s="508" t="s">
        <v>19</v>
      </c>
      <c r="BC251" s="508">
        <v>12</v>
      </c>
      <c r="BD251" s="509">
        <v>46188</v>
      </c>
      <c r="BG251" s="508" t="s">
        <v>3559</v>
      </c>
      <c r="BH251" s="508" t="s">
        <v>2940</v>
      </c>
      <c r="BI251" s="508">
        <v>228</v>
      </c>
      <c r="BJ251" s="508">
        <v>65</v>
      </c>
    </row>
    <row r="252" spans="1:62" s="508" customFormat="1" ht="14.25" hidden="1" customHeight="1" x14ac:dyDescent="0.2">
      <c r="A252" s="495" t="s">
        <v>102</v>
      </c>
      <c r="B252" s="496"/>
      <c r="C252" s="497">
        <f>Таблица3[[#This Row],[Степень зрелости вспом]]</f>
        <v>62</v>
      </c>
      <c r="D252" s="498">
        <v>354</v>
      </c>
      <c r="E252" s="499"/>
      <c r="F252" s="496"/>
      <c r="G252" s="496">
        <v>13300</v>
      </c>
      <c r="H252" s="500"/>
      <c r="I252" s="496">
        <v>11970</v>
      </c>
      <c r="J252" s="495" t="s">
        <v>2939</v>
      </c>
      <c r="K252" s="495" t="s">
        <v>524</v>
      </c>
      <c r="L252" s="495" t="s">
        <v>3093</v>
      </c>
      <c r="M252" s="495" t="s">
        <v>239</v>
      </c>
      <c r="N252" s="495"/>
      <c r="O252" s="495"/>
      <c r="P252" s="495"/>
      <c r="Q252" s="495"/>
      <c r="R252" s="501" t="s">
        <v>243</v>
      </c>
      <c r="S252" s="495"/>
      <c r="T252" s="482" t="str">
        <f>VLOOKUP(Таблица3[[#This Row],[№ акта]],$AJ$1:$BJ$691,15,FALSE)</f>
        <v>А-105/1</v>
      </c>
      <c r="U252" s="482" t="str">
        <f>VLOOKUP(Таблица3[[#This Row],[№ акта]],$AJ$1:$BJ$691,16,FALSE)</f>
        <v>Авола</v>
      </c>
      <c r="V252" s="502">
        <f>VLOOKUP(Таблица3[[#This Row],[№ акта]],$AJ$1:$BJ$691,17,FALSE)</f>
        <v>3</v>
      </c>
      <c r="W252" s="502" t="str">
        <f>VLOOKUP(Таблица3[[#This Row],[№ акта]],$AJ$1:$BJ$691,18,FALSE)</f>
        <v>ГРК (богара)</v>
      </c>
      <c r="X252" s="502" t="str">
        <f>VLOOKUP(Таблица3[[#This Row],[№ акта]],$AJ$1:$BJ$691,19,FALSE)</f>
        <v>богара</v>
      </c>
      <c r="Y252" s="503">
        <f>VLOOKUP(Таблица3[[#This Row],[№ акта]],$AJ$1:$BJ$691,20,FALSE)</f>
        <v>12</v>
      </c>
      <c r="Z252" s="504">
        <f>VLOOKUP(Таблица3[[#This Row],[№ акта]],$AJ$1:$BJ$691,21,FALSE)</f>
        <v>46188</v>
      </c>
      <c r="AA252" s="504"/>
      <c r="AB252" s="504" t="str">
        <f>IF(VLOOKUP(Таблица3[[#This Row],[№ акта]],$AJ$1:$BJ$691,23,FALSE)&lt;&gt;0,VLOOKUP(Таблица3[[#This Row],[№ акта]],$AJ$1:$BJ$691,23,FALSE),"-")</f>
        <v>-</v>
      </c>
      <c r="AC25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52" s="506" t="s">
        <v>2940</v>
      </c>
      <c r="AE252" s="505">
        <v>243</v>
      </c>
      <c r="AF252" s="507">
        <v>46188</v>
      </c>
      <c r="AG252" s="505">
        <v>229</v>
      </c>
      <c r="AH252" s="505">
        <f>IFERROR(VLOOKUP(Таблица3[[#This Row],[№ акта]],'Степень зрелости 2026'!$H$12:$I$800,2,FALSE),)</f>
        <v>62</v>
      </c>
      <c r="AJ252" s="508">
        <v>243</v>
      </c>
      <c r="AK252" s="509">
        <v>46188</v>
      </c>
      <c r="AL252" s="508">
        <v>354</v>
      </c>
      <c r="AO252" s="508">
        <v>13300</v>
      </c>
      <c r="AP252" s="508">
        <v>11970</v>
      </c>
      <c r="AQ252" s="508" t="s">
        <v>2939</v>
      </c>
      <c r="AR252" s="508" t="s">
        <v>524</v>
      </c>
      <c r="AS252" s="508" t="s">
        <v>3093</v>
      </c>
      <c r="AT252" s="508" t="s">
        <v>239</v>
      </c>
      <c r="AV252" s="508" t="s">
        <v>243</v>
      </c>
      <c r="AX252" s="508" t="s">
        <v>3093</v>
      </c>
      <c r="AY252" s="508" t="s">
        <v>524</v>
      </c>
      <c r="AZ252" s="508">
        <v>3</v>
      </c>
      <c r="BA252" s="508" t="s">
        <v>46</v>
      </c>
      <c r="BB252" s="508" t="s">
        <v>19</v>
      </c>
      <c r="BC252" s="508">
        <v>12</v>
      </c>
      <c r="BD252" s="509">
        <v>46188</v>
      </c>
      <c r="BG252" s="508" t="s">
        <v>724</v>
      </c>
      <c r="BH252" s="508" t="s">
        <v>2940</v>
      </c>
      <c r="BI252" s="508">
        <v>229</v>
      </c>
      <c r="BJ252" s="508">
        <v>62</v>
      </c>
    </row>
    <row r="253" spans="1:62" s="508" customFormat="1" ht="14.25" hidden="1" customHeight="1" x14ac:dyDescent="0.2">
      <c r="A253" s="495" t="s">
        <v>102</v>
      </c>
      <c r="B253" s="496"/>
      <c r="C253" s="497">
        <f>Таблица3[[#This Row],[Степень зрелости вспом]]</f>
        <v>60</v>
      </c>
      <c r="D253" s="498">
        <v>355</v>
      </c>
      <c r="E253" s="499"/>
      <c r="F253" s="496"/>
      <c r="G253" s="496">
        <v>13180</v>
      </c>
      <c r="H253" s="500"/>
      <c r="I253" s="496">
        <v>11862</v>
      </c>
      <c r="J253" s="495" t="s">
        <v>2939</v>
      </c>
      <c r="K253" s="495" t="s">
        <v>524</v>
      </c>
      <c r="L253" s="495" t="s">
        <v>3093</v>
      </c>
      <c r="M253" s="495" t="s">
        <v>335</v>
      </c>
      <c r="N253" s="495"/>
      <c r="O253" s="495"/>
      <c r="P253" s="495"/>
      <c r="Q253" s="495"/>
      <c r="R253" s="501" t="s">
        <v>339</v>
      </c>
      <c r="S253" s="495"/>
      <c r="T253" s="482" t="str">
        <f>VLOOKUP(Таблица3[[#This Row],[№ акта]],$AJ$1:$BJ$691,15,FALSE)</f>
        <v>А-105/1</v>
      </c>
      <c r="U253" s="482" t="str">
        <f>VLOOKUP(Таблица3[[#This Row],[№ акта]],$AJ$1:$BJ$691,16,FALSE)</f>
        <v>Авола</v>
      </c>
      <c r="V253" s="502">
        <f>VLOOKUP(Таблица3[[#This Row],[№ акта]],$AJ$1:$BJ$691,17,FALSE)</f>
        <v>2.9</v>
      </c>
      <c r="W253" s="502" t="str">
        <f>VLOOKUP(Таблица3[[#This Row],[№ акта]],$AJ$1:$BJ$691,18,FALSE)</f>
        <v>ГРК (богара)</v>
      </c>
      <c r="X253" s="502" t="str">
        <f>VLOOKUP(Таблица3[[#This Row],[№ акта]],$AJ$1:$BJ$691,19,FALSE)</f>
        <v>богара</v>
      </c>
      <c r="Y253" s="503">
        <f>VLOOKUP(Таблица3[[#This Row],[№ акта]],$AJ$1:$BJ$691,20,FALSE)</f>
        <v>12</v>
      </c>
      <c r="Z253" s="504">
        <f>VLOOKUP(Таблица3[[#This Row],[№ акта]],$AJ$1:$BJ$691,21,FALSE)</f>
        <v>46188</v>
      </c>
      <c r="AA253" s="504"/>
      <c r="AB253" s="504" t="str">
        <f>IF(VLOOKUP(Таблица3[[#This Row],[№ акта]],$AJ$1:$BJ$691,23,FALSE)&lt;&gt;0,VLOOKUP(Таблица3[[#This Row],[№ акта]],$AJ$1:$BJ$691,23,FALSE),"-")</f>
        <v>-</v>
      </c>
      <c r="AC25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53" s="506" t="s">
        <v>2940</v>
      </c>
      <c r="AE253" s="505">
        <v>244</v>
      </c>
      <c r="AF253" s="507">
        <v>46189</v>
      </c>
      <c r="AG253" s="505">
        <v>230</v>
      </c>
      <c r="AH253" s="505">
        <f>IFERROR(VLOOKUP(Таблица3[[#This Row],[№ акта]],'Степень зрелости 2026'!$H$12:$I$800,2,FALSE),)</f>
        <v>60</v>
      </c>
      <c r="AJ253" s="508">
        <v>244</v>
      </c>
      <c r="AK253" s="509">
        <v>46189</v>
      </c>
      <c r="AL253" s="508">
        <v>355</v>
      </c>
      <c r="AO253" s="508">
        <v>13180</v>
      </c>
      <c r="AP253" s="508">
        <v>11862</v>
      </c>
      <c r="AQ253" s="508" t="s">
        <v>2939</v>
      </c>
      <c r="AR253" s="508" t="s">
        <v>524</v>
      </c>
      <c r="AS253" s="508" t="s">
        <v>3093</v>
      </c>
      <c r="AT253" s="508" t="s">
        <v>335</v>
      </c>
      <c r="AV253" s="508" t="s">
        <v>339</v>
      </c>
      <c r="AX253" s="508" t="s">
        <v>3093</v>
      </c>
      <c r="AY253" s="508" t="s">
        <v>524</v>
      </c>
      <c r="AZ253" s="508">
        <v>2.9</v>
      </c>
      <c r="BA253" s="508" t="s">
        <v>46</v>
      </c>
      <c r="BB253" s="508" t="s">
        <v>19</v>
      </c>
      <c r="BC253" s="508">
        <v>12</v>
      </c>
      <c r="BD253" s="509">
        <v>46188</v>
      </c>
      <c r="BG253" s="508" t="s">
        <v>724</v>
      </c>
      <c r="BH253" s="508" t="s">
        <v>2940</v>
      </c>
      <c r="BI253" s="508">
        <v>230</v>
      </c>
      <c r="BJ253" s="508">
        <v>60</v>
      </c>
    </row>
    <row r="254" spans="1:62" s="508" customFormat="1" ht="14.25" hidden="1" customHeight="1" x14ac:dyDescent="0.2">
      <c r="A254" s="495" t="s">
        <v>102</v>
      </c>
      <c r="B254" s="496"/>
      <c r="C254" s="497">
        <f>Таблица3[[#This Row],[Степень зрелости вспом]]</f>
        <v>56</v>
      </c>
      <c r="D254" s="498">
        <v>356</v>
      </c>
      <c r="E254" s="499"/>
      <c r="F254" s="496"/>
      <c r="G254" s="496">
        <v>13350</v>
      </c>
      <c r="H254" s="500"/>
      <c r="I254" s="496">
        <v>11080.5</v>
      </c>
      <c r="J254" s="495" t="s">
        <v>2939</v>
      </c>
      <c r="K254" s="495" t="s">
        <v>524</v>
      </c>
      <c r="L254" s="495" t="s">
        <v>3093</v>
      </c>
      <c r="M254" s="495" t="s">
        <v>212</v>
      </c>
      <c r="N254" s="495"/>
      <c r="O254" s="495"/>
      <c r="P254" s="495"/>
      <c r="Q254" s="495"/>
      <c r="R254" s="501" t="s">
        <v>2965</v>
      </c>
      <c r="S254" s="495"/>
      <c r="T254" s="482" t="str">
        <f>VLOOKUP(Таблица3[[#This Row],[№ акта]],$AJ$1:$BJ$691,15,FALSE)</f>
        <v>А-105/1</v>
      </c>
      <c r="U254" s="482" t="str">
        <f>VLOOKUP(Таблица3[[#This Row],[№ акта]],$AJ$1:$BJ$691,16,FALSE)</f>
        <v>Авола</v>
      </c>
      <c r="V254" s="502">
        <f>VLOOKUP(Таблица3[[#This Row],[№ акта]],$AJ$1:$BJ$691,17,FALSE)</f>
        <v>3</v>
      </c>
      <c r="W254" s="502" t="str">
        <f>VLOOKUP(Таблица3[[#This Row],[№ акта]],$AJ$1:$BJ$691,18,FALSE)</f>
        <v>ГРК (богара)</v>
      </c>
      <c r="X254" s="502" t="str">
        <f>VLOOKUP(Таблица3[[#This Row],[№ акта]],$AJ$1:$BJ$691,19,FALSE)</f>
        <v>богара</v>
      </c>
      <c r="Y254" s="503">
        <f>VLOOKUP(Таблица3[[#This Row],[№ акта]],$AJ$1:$BJ$691,20,FALSE)</f>
        <v>12</v>
      </c>
      <c r="Z254" s="504">
        <f>VLOOKUP(Таблица3[[#This Row],[№ акта]],$AJ$1:$BJ$691,21,FALSE)</f>
        <v>46188</v>
      </c>
      <c r="AA254" s="504"/>
      <c r="AB254" s="504" t="str">
        <f>IF(VLOOKUP(Таблица3[[#This Row],[№ акта]],$AJ$1:$BJ$691,23,FALSE)&lt;&gt;0,VLOOKUP(Таблица3[[#This Row],[№ акта]],$AJ$1:$BJ$691,23,FALSE),"-")</f>
        <v>-</v>
      </c>
      <c r="AC25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54" s="506" t="s">
        <v>2940</v>
      </c>
      <c r="AE254" s="505">
        <v>245</v>
      </c>
      <c r="AF254" s="507">
        <v>46189</v>
      </c>
      <c r="AG254" s="505">
        <v>231</v>
      </c>
      <c r="AH254" s="505">
        <f>IFERROR(VLOOKUP(Таблица3[[#This Row],[№ акта]],'Степень зрелости 2026'!$H$12:$I$800,2,FALSE),)</f>
        <v>56</v>
      </c>
      <c r="AJ254" s="508">
        <v>245</v>
      </c>
      <c r="AK254" s="509">
        <v>46189</v>
      </c>
      <c r="AL254" s="508">
        <v>356</v>
      </c>
      <c r="AO254" s="508">
        <v>13350</v>
      </c>
      <c r="AP254" s="508">
        <v>11080.5</v>
      </c>
      <c r="AQ254" s="508" t="s">
        <v>2939</v>
      </c>
      <c r="AR254" s="508" t="s">
        <v>524</v>
      </c>
      <c r="AS254" s="508" t="s">
        <v>3093</v>
      </c>
      <c r="AT254" s="508" t="s">
        <v>212</v>
      </c>
      <c r="AV254" s="508" t="s">
        <v>2965</v>
      </c>
      <c r="AX254" s="508" t="s">
        <v>3093</v>
      </c>
      <c r="AY254" s="508" t="s">
        <v>524</v>
      </c>
      <c r="AZ254" s="508">
        <v>3</v>
      </c>
      <c r="BA254" s="508" t="s">
        <v>46</v>
      </c>
      <c r="BB254" s="508" t="s">
        <v>19</v>
      </c>
      <c r="BC254" s="508">
        <v>12</v>
      </c>
      <c r="BD254" s="509">
        <v>46188</v>
      </c>
      <c r="BG254" s="508" t="s">
        <v>724</v>
      </c>
      <c r="BH254" s="508" t="s">
        <v>2940</v>
      </c>
      <c r="BI254" s="508">
        <v>231</v>
      </c>
      <c r="BJ254" s="508">
        <v>56</v>
      </c>
    </row>
    <row r="255" spans="1:62" s="508" customFormat="1" ht="14.25" hidden="1" customHeight="1" x14ac:dyDescent="0.2">
      <c r="A255" s="495" t="s">
        <v>102</v>
      </c>
      <c r="B255" s="496"/>
      <c r="C255" s="497">
        <f>Таблица3[[#This Row],[Степень зрелости вспом]]</f>
        <v>61</v>
      </c>
      <c r="D255" s="498">
        <v>357</v>
      </c>
      <c r="E255" s="499"/>
      <c r="F255" s="496"/>
      <c r="G255" s="496">
        <v>13360</v>
      </c>
      <c r="H255" s="500"/>
      <c r="I255" s="496">
        <v>11088.8</v>
      </c>
      <c r="J255" s="495" t="s">
        <v>2939</v>
      </c>
      <c r="K255" s="495" t="s">
        <v>524</v>
      </c>
      <c r="L255" s="495" t="s">
        <v>3093</v>
      </c>
      <c r="M255" s="495" t="s">
        <v>1792</v>
      </c>
      <c r="N255" s="495"/>
      <c r="O255" s="495"/>
      <c r="P255" s="495"/>
      <c r="Q255" s="495"/>
      <c r="R255" s="501" t="s">
        <v>80</v>
      </c>
      <c r="S255" s="495"/>
      <c r="T255" s="482" t="str">
        <f>VLOOKUP(Таблица3[[#This Row],[№ акта]],$AJ$1:$BJ$691,15,FALSE)</f>
        <v>А-105/1</v>
      </c>
      <c r="U255" s="482" t="str">
        <f>VLOOKUP(Таблица3[[#This Row],[№ акта]],$AJ$1:$BJ$691,16,FALSE)</f>
        <v>Авола</v>
      </c>
      <c r="V255" s="502">
        <f>VLOOKUP(Таблица3[[#This Row],[№ акта]],$AJ$1:$BJ$691,17,FALSE)</f>
        <v>3</v>
      </c>
      <c r="W255" s="502" t="str">
        <f>VLOOKUP(Таблица3[[#This Row],[№ акта]],$AJ$1:$BJ$691,18,FALSE)</f>
        <v>ГРК (богара)</v>
      </c>
      <c r="X255" s="502" t="str">
        <f>VLOOKUP(Таблица3[[#This Row],[№ акта]],$AJ$1:$BJ$691,19,FALSE)</f>
        <v>богара</v>
      </c>
      <c r="Y255" s="503">
        <f>VLOOKUP(Таблица3[[#This Row],[№ акта]],$AJ$1:$BJ$691,20,FALSE)</f>
        <v>12</v>
      </c>
      <c r="Z255" s="504">
        <f>VLOOKUP(Таблица3[[#This Row],[№ акта]],$AJ$1:$BJ$691,21,FALSE)</f>
        <v>46188</v>
      </c>
      <c r="AA255" s="504"/>
      <c r="AB255" s="504" t="str">
        <f>IF(VLOOKUP(Таблица3[[#This Row],[№ акта]],$AJ$1:$BJ$691,23,FALSE)&lt;&gt;0,VLOOKUP(Таблица3[[#This Row],[№ акта]],$AJ$1:$BJ$691,23,FALSE),"-")</f>
        <v>-</v>
      </c>
      <c r="AC25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55" s="506" t="s">
        <v>2940</v>
      </c>
      <c r="AE255" s="505">
        <v>246</v>
      </c>
      <c r="AF255" s="507">
        <v>46189</v>
      </c>
      <c r="AG255" s="505">
        <v>232</v>
      </c>
      <c r="AH255" s="505">
        <f>IFERROR(VLOOKUP(Таблица3[[#This Row],[№ акта]],'Степень зрелости 2026'!$H$12:$I$800,2,FALSE),)</f>
        <v>61</v>
      </c>
      <c r="AJ255" s="508">
        <v>246</v>
      </c>
      <c r="AK255" s="509">
        <v>46189</v>
      </c>
      <c r="AL255" s="508">
        <v>357</v>
      </c>
      <c r="AO255" s="508">
        <v>13360</v>
      </c>
      <c r="AP255" s="508">
        <v>11088.8</v>
      </c>
      <c r="AQ255" s="508" t="s">
        <v>2939</v>
      </c>
      <c r="AR255" s="508" t="s">
        <v>524</v>
      </c>
      <c r="AS255" s="508" t="s">
        <v>3093</v>
      </c>
      <c r="AT255" s="508" t="s">
        <v>1792</v>
      </c>
      <c r="AV255" s="508" t="s">
        <v>80</v>
      </c>
      <c r="AX255" s="508" t="s">
        <v>3093</v>
      </c>
      <c r="AY255" s="508" t="s">
        <v>524</v>
      </c>
      <c r="AZ255" s="508">
        <v>3</v>
      </c>
      <c r="BA255" s="508" t="s">
        <v>46</v>
      </c>
      <c r="BB255" s="508" t="s">
        <v>19</v>
      </c>
      <c r="BC255" s="508">
        <v>12</v>
      </c>
      <c r="BD255" s="509">
        <v>46188</v>
      </c>
      <c r="BG255" s="508" t="s">
        <v>724</v>
      </c>
      <c r="BH255" s="508" t="s">
        <v>2940</v>
      </c>
      <c r="BI255" s="508">
        <v>232</v>
      </c>
      <c r="BJ255" s="508">
        <v>61</v>
      </c>
    </row>
    <row r="256" spans="1:62" s="508" customFormat="1" ht="14.25" hidden="1" customHeight="1" x14ac:dyDescent="0.2">
      <c r="A256" s="495" t="s">
        <v>102</v>
      </c>
      <c r="B256" s="496"/>
      <c r="C256" s="497">
        <f>Таблица3[[#This Row],[Степень зрелости вспом]]</f>
        <v>60</v>
      </c>
      <c r="D256" s="498">
        <v>358</v>
      </c>
      <c r="E256" s="499"/>
      <c r="F256" s="496"/>
      <c r="G256" s="496">
        <v>4340</v>
      </c>
      <c r="H256" s="500"/>
      <c r="I256" s="496">
        <v>3906</v>
      </c>
      <c r="J256" s="495" t="s">
        <v>2939</v>
      </c>
      <c r="K256" s="495" t="s">
        <v>524</v>
      </c>
      <c r="L256" s="495" t="s">
        <v>3093</v>
      </c>
      <c r="M256" s="495" t="s">
        <v>762</v>
      </c>
      <c r="N256" s="495"/>
      <c r="O256" s="495"/>
      <c r="P256" s="495"/>
      <c r="Q256" s="495"/>
      <c r="R256" s="501" t="s">
        <v>763</v>
      </c>
      <c r="S256" s="495"/>
      <c r="T256" s="482" t="str">
        <f>VLOOKUP(Таблица3[[#This Row],[№ акта]],$AJ$1:$BJ$691,15,FALSE)</f>
        <v>А-105/1</v>
      </c>
      <c r="U256" s="482" t="str">
        <f>VLOOKUP(Таблица3[[#This Row],[№ акта]],$AJ$1:$BJ$691,16,FALSE)</f>
        <v>Авола</v>
      </c>
      <c r="V256" s="502">
        <f>VLOOKUP(Таблица3[[#This Row],[№ акта]],$AJ$1:$BJ$691,17,FALSE)</f>
        <v>1</v>
      </c>
      <c r="W256" s="502" t="str">
        <f>VLOOKUP(Таблица3[[#This Row],[№ акта]],$AJ$1:$BJ$691,18,FALSE)</f>
        <v>ГРК (богара)</v>
      </c>
      <c r="X256" s="502" t="str">
        <f>VLOOKUP(Таблица3[[#This Row],[№ акта]],$AJ$1:$BJ$691,19,FALSE)</f>
        <v>богара</v>
      </c>
      <c r="Y256" s="503">
        <f>VLOOKUP(Таблица3[[#This Row],[№ акта]],$AJ$1:$BJ$691,20,FALSE)</f>
        <v>12</v>
      </c>
      <c r="Z256" s="504">
        <f>VLOOKUP(Таблица3[[#This Row],[№ акта]],$AJ$1:$BJ$691,21,FALSE)</f>
        <v>46188</v>
      </c>
      <c r="AA256" s="504"/>
      <c r="AB256" s="504" t="str">
        <f>IF(VLOOKUP(Таблица3[[#This Row],[№ акта]],$AJ$1:$BJ$691,23,FALSE)&lt;&gt;0,VLOOKUP(Таблица3[[#This Row],[№ акта]],$AJ$1:$BJ$691,23,FALSE),"-")</f>
        <v>-</v>
      </c>
      <c r="AC25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56" s="506" t="s">
        <v>2940</v>
      </c>
      <c r="AE256" s="505">
        <v>247</v>
      </c>
      <c r="AF256" s="507">
        <v>46189</v>
      </c>
      <c r="AG256" s="505">
        <v>233</v>
      </c>
      <c r="AH256" s="505">
        <f>IFERROR(VLOOKUP(Таблица3[[#This Row],[№ акта]],'Степень зрелости 2026'!$H$12:$I$800,2,FALSE),)</f>
        <v>60</v>
      </c>
      <c r="AJ256" s="508">
        <v>247</v>
      </c>
      <c r="AK256" s="509">
        <v>46189</v>
      </c>
      <c r="AL256" s="508">
        <v>358</v>
      </c>
      <c r="AO256" s="508">
        <v>4340</v>
      </c>
      <c r="AP256" s="508">
        <v>3906</v>
      </c>
      <c r="AQ256" s="508" t="s">
        <v>2939</v>
      </c>
      <c r="AR256" s="508" t="s">
        <v>524</v>
      </c>
      <c r="AS256" s="508" t="s">
        <v>3093</v>
      </c>
      <c r="AT256" s="508" t="s">
        <v>762</v>
      </c>
      <c r="AV256" s="508" t="s">
        <v>763</v>
      </c>
      <c r="AX256" s="508" t="s">
        <v>3093</v>
      </c>
      <c r="AY256" s="508" t="s">
        <v>524</v>
      </c>
      <c r="AZ256" s="508">
        <v>1</v>
      </c>
      <c r="BA256" s="508" t="s">
        <v>46</v>
      </c>
      <c r="BB256" s="508" t="s">
        <v>19</v>
      </c>
      <c r="BC256" s="508">
        <v>12</v>
      </c>
      <c r="BD256" s="509">
        <v>46188</v>
      </c>
      <c r="BG256" s="508" t="s">
        <v>724</v>
      </c>
      <c r="BH256" s="508" t="s">
        <v>2940</v>
      </c>
      <c r="BI256" s="508">
        <v>233</v>
      </c>
      <c r="BJ256" s="508">
        <v>60</v>
      </c>
    </row>
    <row r="257" spans="1:62" s="508" customFormat="1" ht="14.25" hidden="1" customHeight="1" x14ac:dyDescent="0.2">
      <c r="A257" s="495" t="s">
        <v>102</v>
      </c>
      <c r="B257" s="496"/>
      <c r="C257" s="497">
        <f>Таблица3[[#This Row],[Степень зрелости вспом]]</f>
        <v>60</v>
      </c>
      <c r="D257" s="498">
        <v>359</v>
      </c>
      <c r="E257" s="499"/>
      <c r="F257" s="496"/>
      <c r="G257" s="496">
        <v>13460</v>
      </c>
      <c r="H257" s="500"/>
      <c r="I257" s="496">
        <v>11642.9</v>
      </c>
      <c r="J257" s="495" t="s">
        <v>2939</v>
      </c>
      <c r="K257" s="495" t="s">
        <v>524</v>
      </c>
      <c r="L257" s="495" t="s">
        <v>3300</v>
      </c>
      <c r="M257" s="495" t="s">
        <v>239</v>
      </c>
      <c r="N257" s="495"/>
      <c r="O257" s="495"/>
      <c r="P257" s="495"/>
      <c r="Q257" s="495"/>
      <c r="R257" s="501" t="s">
        <v>243</v>
      </c>
      <c r="S257" s="495"/>
      <c r="T257" s="482" t="str">
        <f>VLOOKUP(Таблица3[[#This Row],[№ акта]],$AJ$1:$BJ$691,15,FALSE)</f>
        <v>А-105/1</v>
      </c>
      <c r="U257" s="482" t="str">
        <f>VLOOKUP(Таблица3[[#This Row],[№ акта]],$AJ$1:$BJ$691,16,FALSE)</f>
        <v>Авола</v>
      </c>
      <c r="V257" s="502">
        <f>VLOOKUP(Таблица3[[#This Row],[№ акта]],$AJ$1:$BJ$691,17,FALSE)</f>
        <v>3</v>
      </c>
      <c r="W257" s="502" t="str">
        <f>VLOOKUP(Таблица3[[#This Row],[№ акта]],$AJ$1:$BJ$691,18,FALSE)</f>
        <v>ГРК (богара)</v>
      </c>
      <c r="X257" s="502" t="str">
        <f>VLOOKUP(Таблица3[[#This Row],[№ акта]],$AJ$1:$BJ$691,19,FALSE)</f>
        <v>богара</v>
      </c>
      <c r="Y257" s="503">
        <f>VLOOKUP(Таблица3[[#This Row],[№ акта]],$AJ$1:$BJ$691,20,FALSE)</f>
        <v>12</v>
      </c>
      <c r="Z257" s="504">
        <f>VLOOKUP(Таблица3[[#This Row],[№ акта]],$AJ$1:$BJ$691,21,FALSE)</f>
        <v>46188</v>
      </c>
      <c r="AA257" s="504"/>
      <c r="AB257" s="504" t="str">
        <f>IF(VLOOKUP(Таблица3[[#This Row],[№ акта]],$AJ$1:$BJ$691,23,FALSE)&lt;&gt;0,VLOOKUP(Таблица3[[#This Row],[№ акта]],$AJ$1:$BJ$691,23,FALSE),"-")</f>
        <v>-</v>
      </c>
      <c r="AC25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57" s="506" t="s">
        <v>2940</v>
      </c>
      <c r="AE257" s="505">
        <v>248</v>
      </c>
      <c r="AF257" s="507">
        <v>46189</v>
      </c>
      <c r="AG257" s="505">
        <v>234</v>
      </c>
      <c r="AH257" s="505">
        <f>IFERROR(VLOOKUP(Таблица3[[#This Row],[№ акта]],'Степень зрелости 2026'!$H$12:$I$800,2,FALSE),)</f>
        <v>60</v>
      </c>
      <c r="AJ257" s="508">
        <v>248</v>
      </c>
      <c r="AK257" s="509">
        <v>46189</v>
      </c>
      <c r="AL257" s="508">
        <v>359</v>
      </c>
      <c r="AO257" s="508">
        <v>13460</v>
      </c>
      <c r="AP257" s="508">
        <v>11642.9</v>
      </c>
      <c r="AQ257" s="508" t="s">
        <v>2939</v>
      </c>
      <c r="AR257" s="508" t="s">
        <v>524</v>
      </c>
      <c r="AS257" s="508" t="s">
        <v>3300</v>
      </c>
      <c r="AT257" s="508" t="s">
        <v>239</v>
      </c>
      <c r="AV257" s="508" t="s">
        <v>243</v>
      </c>
      <c r="AX257" s="508" t="s">
        <v>3093</v>
      </c>
      <c r="AY257" s="508" t="s">
        <v>524</v>
      </c>
      <c r="AZ257" s="508">
        <v>3</v>
      </c>
      <c r="BA257" s="508" t="s">
        <v>46</v>
      </c>
      <c r="BB257" s="508" t="s">
        <v>19</v>
      </c>
      <c r="BC257" s="508">
        <v>12</v>
      </c>
      <c r="BD257" s="509">
        <v>46188</v>
      </c>
      <c r="BG257" s="508" t="s">
        <v>724</v>
      </c>
      <c r="BH257" s="508" t="s">
        <v>2940</v>
      </c>
      <c r="BI257" s="508">
        <v>234</v>
      </c>
      <c r="BJ257" s="508">
        <v>60</v>
      </c>
    </row>
    <row r="258" spans="1:62" s="508" customFormat="1" ht="14.25" hidden="1" customHeight="1" x14ac:dyDescent="0.2">
      <c r="A258" s="495" t="s">
        <v>102</v>
      </c>
      <c r="B258" s="496"/>
      <c r="C258" s="497">
        <f>Таблица3[[#This Row],[Степень зрелости вспом]]</f>
        <v>60</v>
      </c>
      <c r="D258" s="498">
        <v>360</v>
      </c>
      <c r="E258" s="499"/>
      <c r="F258" s="496"/>
      <c r="G258" s="496">
        <v>13050</v>
      </c>
      <c r="H258" s="500"/>
      <c r="I258" s="496">
        <v>11614.5</v>
      </c>
      <c r="J258" s="495" t="s">
        <v>2939</v>
      </c>
      <c r="K258" s="495" t="s">
        <v>524</v>
      </c>
      <c r="L258" s="495" t="s">
        <v>3093</v>
      </c>
      <c r="M258" s="495" t="s">
        <v>335</v>
      </c>
      <c r="N258" s="495"/>
      <c r="O258" s="495"/>
      <c r="P258" s="495"/>
      <c r="Q258" s="495"/>
      <c r="R258" s="501" t="s">
        <v>339</v>
      </c>
      <c r="S258" s="495"/>
      <c r="T258" s="482" t="str">
        <f>VLOOKUP(Таблица3[[#This Row],[№ акта]],$AJ$1:$BJ$691,15,FALSE)</f>
        <v>А-105/1</v>
      </c>
      <c r="U258" s="482" t="str">
        <f>VLOOKUP(Таблица3[[#This Row],[№ акта]],$AJ$1:$BJ$691,16,FALSE)</f>
        <v>Авола</v>
      </c>
      <c r="V258" s="502">
        <f>VLOOKUP(Таблица3[[#This Row],[№ акта]],$AJ$1:$BJ$691,17,FALSE)</f>
        <v>2.9</v>
      </c>
      <c r="W258" s="502" t="str">
        <f>VLOOKUP(Таблица3[[#This Row],[№ акта]],$AJ$1:$BJ$691,18,FALSE)</f>
        <v>ГРК (богара)</v>
      </c>
      <c r="X258" s="502" t="str">
        <f>VLOOKUP(Таблица3[[#This Row],[№ акта]],$AJ$1:$BJ$691,19,FALSE)</f>
        <v>богара</v>
      </c>
      <c r="Y258" s="503">
        <f>VLOOKUP(Таблица3[[#This Row],[№ акта]],$AJ$1:$BJ$691,20,FALSE)</f>
        <v>12</v>
      </c>
      <c r="Z258" s="504">
        <f>VLOOKUP(Таблица3[[#This Row],[№ акта]],$AJ$1:$BJ$691,21,FALSE)</f>
        <v>46188</v>
      </c>
      <c r="AA258" s="504"/>
      <c r="AB258" s="504" t="str">
        <f>IF(VLOOKUP(Таблица3[[#This Row],[№ акта]],$AJ$1:$BJ$691,23,FALSE)&lt;&gt;0,VLOOKUP(Таблица3[[#This Row],[№ акта]],$AJ$1:$BJ$691,23,FALSE),"-")</f>
        <v>-</v>
      </c>
      <c r="AC25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58" s="506" t="s">
        <v>2940</v>
      </c>
      <c r="AE258" s="505">
        <v>249</v>
      </c>
      <c r="AF258" s="507">
        <v>46189</v>
      </c>
      <c r="AG258" s="505">
        <v>235</v>
      </c>
      <c r="AH258" s="505">
        <f>IFERROR(VLOOKUP(Таблица3[[#This Row],[№ акта]],'Степень зрелости 2026'!$H$12:$I$800,2,FALSE),)</f>
        <v>60</v>
      </c>
      <c r="AJ258" s="508">
        <v>249</v>
      </c>
      <c r="AK258" s="509">
        <v>46189</v>
      </c>
      <c r="AL258" s="508">
        <v>360</v>
      </c>
      <c r="AO258" s="508">
        <v>13050</v>
      </c>
      <c r="AP258" s="508">
        <v>11614.5</v>
      </c>
      <c r="AQ258" s="508" t="s">
        <v>2939</v>
      </c>
      <c r="AR258" s="508" t="s">
        <v>524</v>
      </c>
      <c r="AS258" s="508" t="s">
        <v>3093</v>
      </c>
      <c r="AT258" s="508" t="s">
        <v>335</v>
      </c>
      <c r="AV258" s="508" t="s">
        <v>339</v>
      </c>
      <c r="AX258" s="508" t="s">
        <v>3093</v>
      </c>
      <c r="AY258" s="508" t="s">
        <v>524</v>
      </c>
      <c r="AZ258" s="508">
        <v>2.9</v>
      </c>
      <c r="BA258" s="508" t="s">
        <v>46</v>
      </c>
      <c r="BB258" s="508" t="s">
        <v>19</v>
      </c>
      <c r="BC258" s="508">
        <v>12</v>
      </c>
      <c r="BD258" s="509">
        <v>46188</v>
      </c>
      <c r="BG258" s="508" t="s">
        <v>724</v>
      </c>
      <c r="BH258" s="508" t="s">
        <v>2940</v>
      </c>
      <c r="BI258" s="508">
        <v>235</v>
      </c>
      <c r="BJ258" s="508">
        <v>60</v>
      </c>
    </row>
    <row r="259" spans="1:62" s="508" customFormat="1" ht="14.25" hidden="1" customHeight="1" x14ac:dyDescent="0.2">
      <c r="A259" s="495" t="s">
        <v>102</v>
      </c>
      <c r="B259" s="496"/>
      <c r="C259" s="497">
        <f>Таблица3[[#This Row],[Степень зрелости вспом]]</f>
        <v>63</v>
      </c>
      <c r="D259" s="498">
        <v>361</v>
      </c>
      <c r="E259" s="499"/>
      <c r="F259" s="496"/>
      <c r="G259" s="496">
        <v>18130</v>
      </c>
      <c r="H259" s="500"/>
      <c r="I259" s="496">
        <v>16589</v>
      </c>
      <c r="J259" s="495" t="s">
        <v>2939</v>
      </c>
      <c r="K259" s="495" t="s">
        <v>524</v>
      </c>
      <c r="L259" s="495" t="s">
        <v>3093</v>
      </c>
      <c r="M259" s="495" t="s">
        <v>212</v>
      </c>
      <c r="N259" s="495"/>
      <c r="O259" s="495"/>
      <c r="P259" s="495"/>
      <c r="Q259" s="495"/>
      <c r="R259" s="501" t="s">
        <v>2965</v>
      </c>
      <c r="S259" s="495"/>
      <c r="T259" s="482" t="str">
        <f>VLOOKUP(Таблица3[[#This Row],[№ акта]],$AJ$1:$BJ$691,15,FALSE)</f>
        <v>А-105/1</v>
      </c>
      <c r="U259" s="482" t="str">
        <f>VLOOKUP(Таблица3[[#This Row],[№ акта]],$AJ$1:$BJ$691,16,FALSE)</f>
        <v>Авола</v>
      </c>
      <c r="V259" s="502">
        <f>VLOOKUP(Таблица3[[#This Row],[№ акта]],$AJ$1:$BJ$691,17,FALSE)</f>
        <v>4</v>
      </c>
      <c r="W259" s="502" t="str">
        <f>VLOOKUP(Таблица3[[#This Row],[№ акта]],$AJ$1:$BJ$691,18,FALSE)</f>
        <v>ГРК (богара)</v>
      </c>
      <c r="X259" s="502" t="str">
        <f>VLOOKUP(Таблица3[[#This Row],[№ акта]],$AJ$1:$BJ$691,19,FALSE)</f>
        <v>богара</v>
      </c>
      <c r="Y259" s="503">
        <f>VLOOKUP(Таблица3[[#This Row],[№ акта]],$AJ$1:$BJ$691,20,FALSE)</f>
        <v>12</v>
      </c>
      <c r="Z259" s="504">
        <f>VLOOKUP(Таблица3[[#This Row],[№ акта]],$AJ$1:$BJ$691,21,FALSE)</f>
        <v>46188</v>
      </c>
      <c r="AA259" s="504"/>
      <c r="AB259" s="504" t="str">
        <f>IF(VLOOKUP(Таблица3[[#This Row],[№ акта]],$AJ$1:$BJ$691,23,FALSE)&lt;&gt;0,VLOOKUP(Таблица3[[#This Row],[№ акта]],$AJ$1:$BJ$691,23,FALSE),"-")</f>
        <v>-</v>
      </c>
      <c r="AC25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59" s="506" t="s">
        <v>2940</v>
      </c>
      <c r="AE259" s="505">
        <v>250</v>
      </c>
      <c r="AF259" s="507">
        <v>46189</v>
      </c>
      <c r="AG259" s="505">
        <v>236</v>
      </c>
      <c r="AH259" s="505">
        <f>IFERROR(VLOOKUP(Таблица3[[#This Row],[№ акта]],'Степень зрелости 2026'!$H$12:$I$800,2,FALSE),)</f>
        <v>63</v>
      </c>
      <c r="AJ259" s="508">
        <v>250</v>
      </c>
      <c r="AK259" s="509">
        <v>46189</v>
      </c>
      <c r="AL259" s="508">
        <v>361</v>
      </c>
      <c r="AO259" s="508">
        <v>18130</v>
      </c>
      <c r="AP259" s="508">
        <v>17974</v>
      </c>
      <c r="AQ259" s="508" t="s">
        <v>2939</v>
      </c>
      <c r="AR259" s="508" t="s">
        <v>524</v>
      </c>
      <c r="AS259" s="508" t="s">
        <v>3093</v>
      </c>
      <c r="AT259" s="508" t="s">
        <v>212</v>
      </c>
      <c r="AV259" s="508" t="s">
        <v>2965</v>
      </c>
      <c r="AX259" s="508" t="s">
        <v>3093</v>
      </c>
      <c r="AY259" s="508" t="s">
        <v>524</v>
      </c>
      <c r="AZ259" s="508">
        <v>4</v>
      </c>
      <c r="BA259" s="508" t="s">
        <v>46</v>
      </c>
      <c r="BB259" s="508" t="s">
        <v>19</v>
      </c>
      <c r="BC259" s="508">
        <v>12</v>
      </c>
      <c r="BD259" s="509">
        <v>46188</v>
      </c>
      <c r="BG259" s="508" t="s">
        <v>724</v>
      </c>
      <c r="BH259" s="508" t="s">
        <v>2940</v>
      </c>
      <c r="BI259" s="508">
        <v>236</v>
      </c>
      <c r="BJ259" s="508">
        <v>63</v>
      </c>
    </row>
    <row r="260" spans="1:62" s="508" customFormat="1" ht="14.25" hidden="1" customHeight="1" x14ac:dyDescent="0.2">
      <c r="A260" s="495" t="s">
        <v>102</v>
      </c>
      <c r="B260" s="496"/>
      <c r="C260" s="497">
        <f>Таблица3[[#This Row],[Степень зрелости вспом]]</f>
        <v>62</v>
      </c>
      <c r="D260" s="498">
        <v>362</v>
      </c>
      <c r="E260" s="499"/>
      <c r="F260" s="496"/>
      <c r="G260" s="496">
        <v>13350</v>
      </c>
      <c r="H260" s="500"/>
      <c r="I260" s="496">
        <v>12015</v>
      </c>
      <c r="J260" s="495" t="s">
        <v>2939</v>
      </c>
      <c r="K260" s="495" t="s">
        <v>901</v>
      </c>
      <c r="L260" s="495" t="s">
        <v>3106</v>
      </c>
      <c r="M260" s="495" t="s">
        <v>347</v>
      </c>
      <c r="N260" s="495"/>
      <c r="O260" s="495"/>
      <c r="P260" s="495"/>
      <c r="Q260" s="495"/>
      <c r="R260" s="501" t="s">
        <v>137</v>
      </c>
      <c r="S260" s="495"/>
      <c r="T260" s="482" t="str">
        <f>VLOOKUP(Таблица3[[#This Row],[№ акта]],$AJ$1:$BJ$691,15,FALSE)</f>
        <v>А-83/2</v>
      </c>
      <c r="U260" s="482" t="str">
        <f>VLOOKUP(Таблица3[[#This Row],[№ акта]],$AJ$1:$BJ$691,16,FALSE)</f>
        <v>Фаворит</v>
      </c>
      <c r="V260" s="502">
        <f>VLOOKUP(Таблица3[[#This Row],[№ акта]],$AJ$1:$BJ$691,17,FALSE)</f>
        <v>2.4</v>
      </c>
      <c r="W260" s="502" t="str">
        <f>VLOOKUP(Таблица3[[#This Row],[№ акта]],$AJ$1:$BJ$691,18,FALSE)</f>
        <v>ГРК (богара)</v>
      </c>
      <c r="X260" s="502" t="str">
        <f>VLOOKUP(Таблица3[[#This Row],[№ акта]],$AJ$1:$BJ$691,19,FALSE)</f>
        <v>богара</v>
      </c>
      <c r="Y260" s="503">
        <f>VLOOKUP(Таблица3[[#This Row],[№ акта]],$AJ$1:$BJ$691,20,FALSE)</f>
        <v>13</v>
      </c>
      <c r="Z260" s="504">
        <f>VLOOKUP(Таблица3[[#This Row],[№ акта]],$AJ$1:$BJ$691,21,FALSE)</f>
        <v>46189</v>
      </c>
      <c r="AA260" s="504"/>
      <c r="AB260" s="504" t="str">
        <f>IF(VLOOKUP(Таблица3[[#This Row],[№ акта]],$AJ$1:$BJ$691,23,FALSE)&lt;&gt;0,VLOOKUP(Таблица3[[#This Row],[№ акта]],$AJ$1:$BJ$691,23,FALSE),"-")</f>
        <v>-</v>
      </c>
      <c r="AC26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60" s="506" t="s">
        <v>2940</v>
      </c>
      <c r="AE260" s="505">
        <v>251</v>
      </c>
      <c r="AF260" s="507">
        <v>46189</v>
      </c>
      <c r="AG260" s="505">
        <v>237</v>
      </c>
      <c r="AH260" s="505">
        <f>IFERROR(VLOOKUP(Таблица3[[#This Row],[№ акта]],'Степень зрелости 2026'!$H$12:$I$800,2,FALSE),)</f>
        <v>62</v>
      </c>
      <c r="AJ260" s="508">
        <v>251</v>
      </c>
      <c r="AK260" s="509">
        <v>46189</v>
      </c>
      <c r="AL260" s="508">
        <v>362</v>
      </c>
      <c r="AO260" s="508">
        <v>13350</v>
      </c>
      <c r="AP260" s="508">
        <v>12015</v>
      </c>
      <c r="AQ260" s="508" t="s">
        <v>2939</v>
      </c>
      <c r="AR260" s="508" t="s">
        <v>901</v>
      </c>
      <c r="AS260" s="508" t="s">
        <v>3106</v>
      </c>
      <c r="AT260" s="508" t="s">
        <v>347</v>
      </c>
      <c r="AV260" s="508" t="s">
        <v>137</v>
      </c>
      <c r="AX260" s="508" t="s">
        <v>3106</v>
      </c>
      <c r="AY260" s="508" t="s">
        <v>901</v>
      </c>
      <c r="AZ260" s="508">
        <v>2.4</v>
      </c>
      <c r="BA260" s="508" t="s">
        <v>46</v>
      </c>
      <c r="BB260" s="508" t="s">
        <v>19</v>
      </c>
      <c r="BC260" s="508">
        <v>13</v>
      </c>
      <c r="BD260" s="509">
        <v>46189</v>
      </c>
      <c r="BG260" s="508" t="s">
        <v>724</v>
      </c>
      <c r="BH260" s="508" t="s">
        <v>2940</v>
      </c>
      <c r="BI260" s="508">
        <v>237</v>
      </c>
      <c r="BJ260" s="508">
        <v>62</v>
      </c>
    </row>
    <row r="261" spans="1:62" s="508" customFormat="1" ht="14.25" hidden="1" customHeight="1" x14ac:dyDescent="0.2">
      <c r="A261" s="495" t="s">
        <v>102</v>
      </c>
      <c r="B261" s="496"/>
      <c r="C261" s="497">
        <f>Таблица3[[#This Row],[Степень зрелости вспом]]</f>
        <v>57</v>
      </c>
      <c r="D261" s="498">
        <v>364</v>
      </c>
      <c r="E261" s="499"/>
      <c r="F261" s="496"/>
      <c r="G261" s="496">
        <v>4260</v>
      </c>
      <c r="H261" s="500"/>
      <c r="I261" s="496">
        <v>3706.2</v>
      </c>
      <c r="J261" s="495" t="s">
        <v>2939</v>
      </c>
      <c r="K261" s="495" t="s">
        <v>901</v>
      </c>
      <c r="L261" s="495" t="s">
        <v>3105</v>
      </c>
      <c r="M261" s="495" t="s">
        <v>737</v>
      </c>
      <c r="N261" s="495"/>
      <c r="O261" s="495"/>
      <c r="P261" s="495"/>
      <c r="Q261" s="495"/>
      <c r="R261" s="501" t="s">
        <v>738</v>
      </c>
      <c r="S261" s="495"/>
      <c r="T261" s="482" t="str">
        <f>VLOOKUP(Таблица3[[#This Row],[№ акта]],$AJ$1:$BJ$691,15,FALSE)</f>
        <v>А-83/1</v>
      </c>
      <c r="U261" s="482" t="str">
        <f>VLOOKUP(Таблица3[[#This Row],[№ акта]],$AJ$1:$BJ$691,16,FALSE)</f>
        <v>Фаворит</v>
      </c>
      <c r="V261" s="502">
        <f>VLOOKUP(Таблица3[[#This Row],[№ акта]],$AJ$1:$BJ$691,17,FALSE)</f>
        <v>0.5</v>
      </c>
      <c r="W261" s="502" t="str">
        <f>VLOOKUP(Таблица3[[#This Row],[№ акта]],$AJ$1:$BJ$691,18,FALSE)</f>
        <v>ГРК (богара)</v>
      </c>
      <c r="X261" s="502" t="str">
        <f>VLOOKUP(Таблица3[[#This Row],[№ акта]],$AJ$1:$BJ$691,19,FALSE)</f>
        <v>богара</v>
      </c>
      <c r="Y261" s="503">
        <f>VLOOKUP(Таблица3[[#This Row],[№ акта]],$AJ$1:$BJ$691,20,FALSE)</f>
        <v>13</v>
      </c>
      <c r="Z261" s="504">
        <f>VLOOKUP(Таблица3[[#This Row],[№ акта]],$AJ$1:$BJ$691,21,FALSE)</f>
        <v>46189</v>
      </c>
      <c r="AA261" s="504"/>
      <c r="AB261" s="504" t="str">
        <f>IF(VLOOKUP(Таблица3[[#This Row],[№ акта]],$AJ$1:$BJ$691,23,FALSE)&lt;&gt;0,VLOOKUP(Таблица3[[#This Row],[№ акта]],$AJ$1:$BJ$691,23,FALSE),"-")</f>
        <v>-</v>
      </c>
      <c r="AC26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61" s="506" t="s">
        <v>2940</v>
      </c>
      <c r="AE261" s="505">
        <v>252</v>
      </c>
      <c r="AF261" s="507">
        <v>46189</v>
      </c>
      <c r="AG261" s="505">
        <v>238</v>
      </c>
      <c r="AH261" s="505">
        <f>IFERROR(VLOOKUP(Таблица3[[#This Row],[№ акта]],'Степень зрелости 2026'!$H$12:$I$800,2,FALSE),)</f>
        <v>57</v>
      </c>
      <c r="AJ261" s="508">
        <v>252</v>
      </c>
      <c r="AK261" s="509">
        <v>46189</v>
      </c>
      <c r="AL261" s="508">
        <v>364</v>
      </c>
      <c r="AO261" s="508">
        <v>4260</v>
      </c>
      <c r="AP261" s="508">
        <v>3706.2</v>
      </c>
      <c r="AQ261" s="508" t="s">
        <v>2939</v>
      </c>
      <c r="AR261" s="508" t="s">
        <v>901</v>
      </c>
      <c r="AS261" s="508" t="s">
        <v>3105</v>
      </c>
      <c r="AT261" s="508" t="s">
        <v>737</v>
      </c>
      <c r="AV261" s="508" t="s">
        <v>738</v>
      </c>
      <c r="AX261" s="508" t="s">
        <v>3105</v>
      </c>
      <c r="AY261" s="508" t="s">
        <v>901</v>
      </c>
      <c r="AZ261" s="508">
        <v>0.5</v>
      </c>
      <c r="BA261" s="508" t="s">
        <v>46</v>
      </c>
      <c r="BB261" s="508" t="s">
        <v>19</v>
      </c>
      <c r="BC261" s="508">
        <v>13</v>
      </c>
      <c r="BD261" s="509">
        <v>46189</v>
      </c>
      <c r="BG261" s="508" t="s">
        <v>724</v>
      </c>
      <c r="BH261" s="508" t="s">
        <v>2940</v>
      </c>
      <c r="BI261" s="508">
        <v>238</v>
      </c>
      <c r="BJ261" s="508">
        <v>57</v>
      </c>
    </row>
    <row r="262" spans="1:62" s="508" customFormat="1" ht="14.25" hidden="1" customHeight="1" x14ac:dyDescent="0.2">
      <c r="A262" s="495" t="s">
        <v>102</v>
      </c>
      <c r="B262" s="496"/>
      <c r="C262" s="497">
        <f>Таблица3[[#This Row],[Степень зрелости вспом]]</f>
        <v>57</v>
      </c>
      <c r="D262" s="498">
        <v>365</v>
      </c>
      <c r="E262" s="499"/>
      <c r="F262" s="496"/>
      <c r="G262" s="496">
        <v>13990</v>
      </c>
      <c r="H262" s="500"/>
      <c r="I262" s="496">
        <v>12311.2</v>
      </c>
      <c r="J262" s="495" t="s">
        <v>2939</v>
      </c>
      <c r="K262" s="495" t="s">
        <v>901</v>
      </c>
      <c r="L262" s="495" t="s">
        <v>3106</v>
      </c>
      <c r="M262" s="495" t="s">
        <v>1806</v>
      </c>
      <c r="N262" s="495"/>
      <c r="O262" s="495"/>
      <c r="P262" s="495"/>
      <c r="Q262" s="495"/>
      <c r="R262" s="501" t="s">
        <v>1807</v>
      </c>
      <c r="S262" s="495"/>
      <c r="T262" s="482" t="str">
        <f>VLOOKUP(Таблица3[[#This Row],[№ акта]],$AJ$1:$BJ$691,15,FALSE)</f>
        <v>А-83/2</v>
      </c>
      <c r="U262" s="482" t="str">
        <f>VLOOKUP(Таблица3[[#This Row],[№ акта]],$AJ$1:$BJ$691,16,FALSE)</f>
        <v>Фаворит</v>
      </c>
      <c r="V262" s="502">
        <f>VLOOKUP(Таблица3[[#This Row],[№ акта]],$AJ$1:$BJ$691,17,FALSE)</f>
        <v>2.6</v>
      </c>
      <c r="W262" s="502" t="str">
        <f>VLOOKUP(Таблица3[[#This Row],[№ акта]],$AJ$1:$BJ$691,18,FALSE)</f>
        <v>ГРК (богара)</v>
      </c>
      <c r="X262" s="502" t="str">
        <f>VLOOKUP(Таблица3[[#This Row],[№ акта]],$AJ$1:$BJ$691,19,FALSE)</f>
        <v>богара</v>
      </c>
      <c r="Y262" s="503">
        <f>VLOOKUP(Таблица3[[#This Row],[№ акта]],$AJ$1:$BJ$691,20,FALSE)</f>
        <v>13</v>
      </c>
      <c r="Z262" s="504">
        <f>VLOOKUP(Таблица3[[#This Row],[№ акта]],$AJ$1:$BJ$691,21,FALSE)</f>
        <v>46189</v>
      </c>
      <c r="AA262" s="504"/>
      <c r="AB262" s="504" t="str">
        <f>IF(VLOOKUP(Таблица3[[#This Row],[№ акта]],$AJ$1:$BJ$691,23,FALSE)&lt;&gt;0,VLOOKUP(Таблица3[[#This Row],[№ акта]],$AJ$1:$BJ$691,23,FALSE),"-")</f>
        <v>-</v>
      </c>
      <c r="AC26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62" s="506" t="s">
        <v>2940</v>
      </c>
      <c r="AE262" s="505">
        <v>253</v>
      </c>
      <c r="AF262" s="507">
        <v>46189</v>
      </c>
      <c r="AG262" s="505">
        <v>239</v>
      </c>
      <c r="AH262" s="505">
        <f>IFERROR(VLOOKUP(Таблица3[[#This Row],[№ акта]],'Степень зрелости 2026'!$H$12:$I$800,2,FALSE),)</f>
        <v>57</v>
      </c>
      <c r="AJ262" s="508">
        <v>253</v>
      </c>
      <c r="AK262" s="509">
        <v>46189</v>
      </c>
      <c r="AL262" s="508">
        <v>365</v>
      </c>
      <c r="AO262" s="508">
        <v>13990</v>
      </c>
      <c r="AP262" s="508">
        <v>12311.2</v>
      </c>
      <c r="AQ262" s="508" t="s">
        <v>2939</v>
      </c>
      <c r="AR262" s="508" t="s">
        <v>901</v>
      </c>
      <c r="AS262" s="508" t="s">
        <v>3106</v>
      </c>
      <c r="AT262" s="508" t="s">
        <v>1806</v>
      </c>
      <c r="AV262" s="508" t="s">
        <v>1807</v>
      </c>
      <c r="AX262" s="508" t="s">
        <v>3106</v>
      </c>
      <c r="AY262" s="508" t="s">
        <v>901</v>
      </c>
      <c r="AZ262" s="508">
        <v>2.6</v>
      </c>
      <c r="BA262" s="508" t="s">
        <v>46</v>
      </c>
      <c r="BB262" s="508" t="s">
        <v>19</v>
      </c>
      <c r="BC262" s="508">
        <v>13</v>
      </c>
      <c r="BD262" s="509">
        <v>46189</v>
      </c>
      <c r="BG262" s="508" t="s">
        <v>724</v>
      </c>
      <c r="BH262" s="508" t="s">
        <v>2940</v>
      </c>
      <c r="BI262" s="508">
        <v>239</v>
      </c>
      <c r="BJ262" s="508">
        <v>57</v>
      </c>
    </row>
    <row r="263" spans="1:62" s="508" customFormat="1" ht="14.25" hidden="1" customHeight="1" x14ac:dyDescent="0.2">
      <c r="A263" s="495" t="s">
        <v>102</v>
      </c>
      <c r="B263" s="496"/>
      <c r="C263" s="497">
        <f>Таблица3[[#This Row],[Степень зрелости вспом]]</f>
        <v>61</v>
      </c>
      <c r="D263" s="498">
        <v>366</v>
      </c>
      <c r="E263" s="499"/>
      <c r="F263" s="496"/>
      <c r="G263" s="496">
        <v>12240</v>
      </c>
      <c r="H263" s="500"/>
      <c r="I263" s="496">
        <v>10281.6</v>
      </c>
      <c r="J263" s="495" t="s">
        <v>3375</v>
      </c>
      <c r="K263" s="495" t="s">
        <v>909</v>
      </c>
      <c r="L263" s="495" t="s">
        <v>3963</v>
      </c>
      <c r="M263" s="495" t="s">
        <v>311</v>
      </c>
      <c r="N263" s="495"/>
      <c r="O263" s="495"/>
      <c r="P263" s="495"/>
      <c r="Q263" s="495"/>
      <c r="R263" s="501" t="s">
        <v>315</v>
      </c>
      <c r="S263" s="495"/>
      <c r="T263" s="482" t="str">
        <f>VLOOKUP(Таблица3[[#This Row],[№ акта]],$AJ$1:$BJ$691,15,FALSE)</f>
        <v>А-54/4</v>
      </c>
      <c r="U263" s="482" t="str">
        <f>VLOOKUP(Таблица3[[#This Row],[№ акта]],$AJ$1:$BJ$691,16,FALSE)</f>
        <v>Тристар</v>
      </c>
      <c r="V263" s="502">
        <f>VLOOKUP(Таблица3[[#This Row],[№ акта]],$AJ$1:$BJ$691,17,FALSE)</f>
        <v>4</v>
      </c>
      <c r="W263" s="502" t="str">
        <f>VLOOKUP(Таблица3[[#This Row],[№ акта]],$AJ$1:$BJ$691,18,FALSE)</f>
        <v>ГРК (полив)</v>
      </c>
      <c r="X263" s="502" t="str">
        <f>VLOOKUP(Таблица3[[#This Row],[№ акта]],$AJ$1:$BJ$691,19,FALSE)</f>
        <v>полив</v>
      </c>
      <c r="Y263" s="503">
        <f>VLOOKUP(Таблица3[[#This Row],[№ акта]],$AJ$1:$BJ$691,20,FALSE)</f>
        <v>13</v>
      </c>
      <c r="Z263" s="504">
        <f>VLOOKUP(Таблица3[[#This Row],[№ акта]],$AJ$1:$BJ$691,21,FALSE)</f>
        <v>46189</v>
      </c>
      <c r="AA263" s="504"/>
      <c r="AB263" s="504" t="str">
        <f>IF(VLOOKUP(Таблица3[[#This Row],[№ акта]],$AJ$1:$BJ$691,23,FALSE)&lt;&gt;0,VLOOKUP(Таблица3[[#This Row],[№ акта]],$AJ$1:$BJ$691,23,FALSE),"-")</f>
        <v>-</v>
      </c>
      <c r="AC26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63" s="506" t="s">
        <v>2940</v>
      </c>
      <c r="AE263" s="505">
        <v>254</v>
      </c>
      <c r="AF263" s="507">
        <v>46189</v>
      </c>
      <c r="AG263" s="505">
        <v>240</v>
      </c>
      <c r="AH263" s="505">
        <f>IFERROR(VLOOKUP(Таблица3[[#This Row],[№ акта]],'Степень зрелости 2026'!$H$12:$I$800,2,FALSE),)</f>
        <v>61</v>
      </c>
      <c r="AJ263" s="508">
        <v>254</v>
      </c>
      <c r="AK263" s="509">
        <v>46189</v>
      </c>
      <c r="AL263" s="508">
        <v>366</v>
      </c>
      <c r="AO263" s="508">
        <v>12240</v>
      </c>
      <c r="AP263" s="508">
        <v>10281.6</v>
      </c>
      <c r="AQ263" s="508" t="s">
        <v>3375</v>
      </c>
      <c r="AR263" s="508" t="s">
        <v>909</v>
      </c>
      <c r="AS263" s="508" t="s">
        <v>864</v>
      </c>
      <c r="AT263" s="508" t="s">
        <v>311</v>
      </c>
      <c r="AV263" s="508" t="s">
        <v>315</v>
      </c>
      <c r="AX263" s="508" t="s">
        <v>2884</v>
      </c>
      <c r="AY263" s="508" t="s">
        <v>909</v>
      </c>
      <c r="AZ263" s="508">
        <v>4</v>
      </c>
      <c r="BA263" s="508" t="s">
        <v>2932</v>
      </c>
      <c r="BB263" s="508" t="s">
        <v>178</v>
      </c>
      <c r="BC263" s="508">
        <v>13</v>
      </c>
      <c r="BD263" s="509">
        <v>46189</v>
      </c>
      <c r="BG263" s="508" t="s">
        <v>724</v>
      </c>
      <c r="BH263" s="508" t="s">
        <v>2940</v>
      </c>
      <c r="BI263" s="508">
        <v>240</v>
      </c>
      <c r="BJ263" s="508">
        <v>61</v>
      </c>
    </row>
    <row r="264" spans="1:62" s="508" customFormat="1" ht="14.25" hidden="1" customHeight="1" x14ac:dyDescent="0.2">
      <c r="A264" s="495" t="s">
        <v>102</v>
      </c>
      <c r="B264" s="496"/>
      <c r="C264" s="497">
        <f>Таблица3[[#This Row],[Степень зрелости вспом]]</f>
        <v>58</v>
      </c>
      <c r="D264" s="498">
        <v>367</v>
      </c>
      <c r="E264" s="499"/>
      <c r="F264" s="496"/>
      <c r="G264" s="496">
        <v>12810</v>
      </c>
      <c r="H264" s="500"/>
      <c r="I264" s="496">
        <v>11144.7</v>
      </c>
      <c r="J264" s="495" t="s">
        <v>2939</v>
      </c>
      <c r="K264" s="495" t="s">
        <v>901</v>
      </c>
      <c r="L264" s="495" t="s">
        <v>3106</v>
      </c>
      <c r="M264" s="495" t="s">
        <v>347</v>
      </c>
      <c r="N264" s="495"/>
      <c r="O264" s="495"/>
      <c r="P264" s="495"/>
      <c r="Q264" s="495"/>
      <c r="R264" s="501" t="s">
        <v>137</v>
      </c>
      <c r="S264" s="495"/>
      <c r="T264" s="482" t="str">
        <f>VLOOKUP(Таблица3[[#This Row],[№ акта]],$AJ$1:$BJ$691,15,FALSE)</f>
        <v>А-83/1</v>
      </c>
      <c r="U264" s="482" t="str">
        <f>VLOOKUP(Таблица3[[#This Row],[№ акта]],$AJ$1:$BJ$691,16,FALSE)</f>
        <v>Фаворит</v>
      </c>
      <c r="V264" s="502">
        <f>VLOOKUP(Таблица3[[#This Row],[№ акта]],$AJ$1:$BJ$691,17,FALSE)</f>
        <v>1.6</v>
      </c>
      <c r="W264" s="502" t="str">
        <f>VLOOKUP(Таблица3[[#This Row],[№ акта]],$AJ$1:$BJ$691,18,FALSE)</f>
        <v>ГРК (богара)</v>
      </c>
      <c r="X264" s="502" t="str">
        <f>VLOOKUP(Таблица3[[#This Row],[№ акта]],$AJ$1:$BJ$691,19,FALSE)</f>
        <v>богара</v>
      </c>
      <c r="Y264" s="503">
        <f>VLOOKUP(Таблица3[[#This Row],[№ акта]],$AJ$1:$BJ$691,20,FALSE)</f>
        <v>13</v>
      </c>
      <c r="Z264" s="504">
        <f>VLOOKUP(Таблица3[[#This Row],[№ акта]],$AJ$1:$BJ$691,21,FALSE)</f>
        <v>46189</v>
      </c>
      <c r="AA264" s="504"/>
      <c r="AB264" s="504" t="str">
        <f>IF(VLOOKUP(Таблица3[[#This Row],[№ акта]],$AJ$1:$BJ$691,23,FALSE)&lt;&gt;0,VLOOKUP(Таблица3[[#This Row],[№ акта]],$AJ$1:$BJ$691,23,FALSE),"-")</f>
        <v>-</v>
      </c>
      <c r="AC26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64" s="506" t="s">
        <v>2940</v>
      </c>
      <c r="AE264" s="505">
        <v>255</v>
      </c>
      <c r="AF264" s="507">
        <v>46189</v>
      </c>
      <c r="AG264" s="505">
        <v>241</v>
      </c>
      <c r="AH264" s="505">
        <f>IFERROR(VLOOKUP(Таблица3[[#This Row],[№ акта]],'Степень зрелости 2026'!$H$12:$I$800,2,FALSE),)</f>
        <v>58</v>
      </c>
      <c r="AJ264" s="508">
        <v>255</v>
      </c>
      <c r="AK264" s="509">
        <v>46189</v>
      </c>
      <c r="AL264" s="508">
        <v>367</v>
      </c>
      <c r="AO264" s="508">
        <v>12810</v>
      </c>
      <c r="AP264" s="508">
        <v>11144.7</v>
      </c>
      <c r="AQ264" s="508" t="s">
        <v>2939</v>
      </c>
      <c r="AR264" s="508" t="s">
        <v>901</v>
      </c>
      <c r="AS264" s="508" t="s">
        <v>3106</v>
      </c>
      <c r="AT264" s="508" t="s">
        <v>347</v>
      </c>
      <c r="AV264" s="508" t="s">
        <v>137</v>
      </c>
      <c r="AX264" s="508" t="s">
        <v>3105</v>
      </c>
      <c r="AY264" s="508" t="s">
        <v>901</v>
      </c>
      <c r="AZ264" s="508">
        <v>1.6</v>
      </c>
      <c r="BA264" s="508" t="s">
        <v>46</v>
      </c>
      <c r="BB264" s="508" t="s">
        <v>19</v>
      </c>
      <c r="BC264" s="508">
        <v>13</v>
      </c>
      <c r="BD264" s="509">
        <v>46189</v>
      </c>
      <c r="BG264" s="508" t="s">
        <v>724</v>
      </c>
      <c r="BH264" s="508" t="s">
        <v>2940</v>
      </c>
      <c r="BI264" s="508">
        <v>241</v>
      </c>
      <c r="BJ264" s="508">
        <v>58</v>
      </c>
    </row>
    <row r="265" spans="1:62" s="508" customFormat="1" ht="14.25" hidden="1" customHeight="1" x14ac:dyDescent="0.2">
      <c r="A265" s="495" t="s">
        <v>102</v>
      </c>
      <c r="B265" s="496"/>
      <c r="C265" s="497">
        <f>Таблица3[[#This Row],[Степень зрелости вспом]]</f>
        <v>60</v>
      </c>
      <c r="D265" s="498">
        <v>368</v>
      </c>
      <c r="E265" s="499"/>
      <c r="F265" s="496"/>
      <c r="G265" s="496">
        <v>4210</v>
      </c>
      <c r="H265" s="500"/>
      <c r="I265" s="496">
        <v>3810.1</v>
      </c>
      <c r="J265" s="495" t="s">
        <v>2939</v>
      </c>
      <c r="K265" s="495" t="s">
        <v>909</v>
      </c>
      <c r="L265" s="495" t="s">
        <v>3095</v>
      </c>
      <c r="M265" s="495" t="s">
        <v>737</v>
      </c>
      <c r="N265" s="495"/>
      <c r="O265" s="495"/>
      <c r="P265" s="495"/>
      <c r="Q265" s="495"/>
      <c r="R265" s="501" t="s">
        <v>738</v>
      </c>
      <c r="S265" s="495"/>
      <c r="T265" s="482" t="str">
        <f>VLOOKUP(Таблица3[[#This Row],[№ акта]],$AJ$1:$BJ$691,15,FALSE)</f>
        <v>А-112/1</v>
      </c>
      <c r="U265" s="482" t="str">
        <f>VLOOKUP(Таблица3[[#This Row],[№ акта]],$AJ$1:$BJ$691,16,FALSE)</f>
        <v>Тристар</v>
      </c>
      <c r="V265" s="502">
        <f>VLOOKUP(Таблица3[[#This Row],[№ акта]],$AJ$1:$BJ$691,17,FALSE)</f>
        <v>1</v>
      </c>
      <c r="W265" s="502" t="str">
        <f>VLOOKUP(Таблица3[[#This Row],[№ акта]],$AJ$1:$BJ$691,18,FALSE)</f>
        <v>ГРК (богара)</v>
      </c>
      <c r="X265" s="502" t="str">
        <f>VLOOKUP(Таблица3[[#This Row],[№ акта]],$AJ$1:$BJ$691,19,FALSE)</f>
        <v>богара</v>
      </c>
      <c r="Y265" s="503">
        <f>VLOOKUP(Таблица3[[#This Row],[№ акта]],$AJ$1:$BJ$691,20,FALSE)</f>
        <v>13</v>
      </c>
      <c r="Z265" s="504">
        <f>VLOOKUP(Таблица3[[#This Row],[№ акта]],$AJ$1:$BJ$691,21,FALSE)</f>
        <v>46189</v>
      </c>
      <c r="AA265" s="504"/>
      <c r="AB265" s="504" t="str">
        <f>IF(VLOOKUP(Таблица3[[#This Row],[№ акта]],$AJ$1:$BJ$691,23,FALSE)&lt;&gt;0,VLOOKUP(Таблица3[[#This Row],[№ акта]],$AJ$1:$BJ$691,23,FALSE),"-")</f>
        <v>-</v>
      </c>
      <c r="AC26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65" s="506" t="s">
        <v>2940</v>
      </c>
      <c r="AE265" s="505">
        <v>256</v>
      </c>
      <c r="AF265" s="507">
        <v>46189</v>
      </c>
      <c r="AG265" s="505">
        <v>242</v>
      </c>
      <c r="AH265" s="505">
        <f>IFERROR(VLOOKUP(Таблица3[[#This Row],[№ акта]],'Степень зрелости 2026'!$H$12:$I$800,2,FALSE),)</f>
        <v>60</v>
      </c>
      <c r="AJ265" s="508">
        <v>256</v>
      </c>
      <c r="AK265" s="509">
        <v>46189</v>
      </c>
      <c r="AL265" s="508">
        <v>368</v>
      </c>
      <c r="AO265" s="508">
        <v>4210</v>
      </c>
      <c r="AP265" s="508">
        <v>3810.1</v>
      </c>
      <c r="AQ265" s="508" t="s">
        <v>2939</v>
      </c>
      <c r="AR265" s="508" t="s">
        <v>909</v>
      </c>
      <c r="AS265" s="508" t="s">
        <v>3095</v>
      </c>
      <c r="AT265" s="508" t="s">
        <v>737</v>
      </c>
      <c r="AV265" s="508" t="s">
        <v>738</v>
      </c>
      <c r="AX265" s="508" t="s">
        <v>3095</v>
      </c>
      <c r="AY265" s="508" t="s">
        <v>909</v>
      </c>
      <c r="AZ265" s="508">
        <v>1</v>
      </c>
      <c r="BA265" s="508" t="s">
        <v>46</v>
      </c>
      <c r="BB265" s="508" t="s">
        <v>19</v>
      </c>
      <c r="BC265" s="508">
        <v>13</v>
      </c>
      <c r="BD265" s="509">
        <v>46189</v>
      </c>
      <c r="BG265" s="508" t="s">
        <v>724</v>
      </c>
      <c r="BH265" s="508" t="s">
        <v>2940</v>
      </c>
      <c r="BI265" s="508">
        <v>242</v>
      </c>
      <c r="BJ265" s="508">
        <v>60</v>
      </c>
    </row>
    <row r="266" spans="1:62" s="508" customFormat="1" ht="14.25" hidden="1" customHeight="1" x14ac:dyDescent="0.2">
      <c r="A266" s="495" t="s">
        <v>102</v>
      </c>
      <c r="B266" s="496"/>
      <c r="C266" s="497">
        <f>Таблица3[[#This Row],[Степень зрелости вспом]]</f>
        <v>55</v>
      </c>
      <c r="D266" s="498">
        <v>369</v>
      </c>
      <c r="E266" s="499"/>
      <c r="F266" s="496"/>
      <c r="G266" s="496">
        <v>6580</v>
      </c>
      <c r="H266" s="500"/>
      <c r="I266" s="496">
        <v>5823.3</v>
      </c>
      <c r="J266" s="495" t="s">
        <v>2939</v>
      </c>
      <c r="K266" s="495" t="s">
        <v>909</v>
      </c>
      <c r="L266" s="495" t="s">
        <v>3232</v>
      </c>
      <c r="M266" s="495" t="s">
        <v>1806</v>
      </c>
      <c r="N266" s="495"/>
      <c r="O266" s="495"/>
      <c r="P266" s="495"/>
      <c r="Q266" s="495"/>
      <c r="R266" s="501" t="s">
        <v>1807</v>
      </c>
      <c r="S266" s="495"/>
      <c r="T266" s="482" t="str">
        <f>VLOOKUP(Таблица3[[#This Row],[№ акта]],$AJ$1:$BJ$691,15,FALSE)</f>
        <v>А-112/1</v>
      </c>
      <c r="U266" s="482" t="str">
        <f>VLOOKUP(Таблица3[[#This Row],[№ акта]],$AJ$1:$BJ$691,16,FALSE)</f>
        <v>Тристар</v>
      </c>
      <c r="V266" s="502">
        <f>VLOOKUP(Таблица3[[#This Row],[№ акта]],$AJ$1:$BJ$691,17,FALSE)</f>
        <v>1.6</v>
      </c>
      <c r="W266" s="502" t="str">
        <f>VLOOKUP(Таблица3[[#This Row],[№ акта]],$AJ$1:$BJ$691,18,FALSE)</f>
        <v>ГРК (богара)</v>
      </c>
      <c r="X266" s="502" t="str">
        <f>VLOOKUP(Таблица3[[#This Row],[№ акта]],$AJ$1:$BJ$691,19,FALSE)</f>
        <v>богара</v>
      </c>
      <c r="Y266" s="503">
        <f>VLOOKUP(Таблица3[[#This Row],[№ акта]],$AJ$1:$BJ$691,20,FALSE)</f>
        <v>13</v>
      </c>
      <c r="Z266" s="504">
        <f>VLOOKUP(Таблица3[[#This Row],[№ акта]],$AJ$1:$BJ$691,21,FALSE)</f>
        <v>46189</v>
      </c>
      <c r="AA266" s="504"/>
      <c r="AB266" s="504" t="str">
        <f>IF(VLOOKUP(Таблица3[[#This Row],[№ акта]],$AJ$1:$BJ$691,23,FALSE)&lt;&gt;0,VLOOKUP(Таблица3[[#This Row],[№ акта]],$AJ$1:$BJ$691,23,FALSE),"-")</f>
        <v>-</v>
      </c>
      <c r="AC26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66" s="506" t="s">
        <v>2940</v>
      </c>
      <c r="AE266" s="505">
        <v>257</v>
      </c>
      <c r="AF266" s="507">
        <v>46189</v>
      </c>
      <c r="AG266" s="505">
        <v>243</v>
      </c>
      <c r="AH266" s="505">
        <f>IFERROR(VLOOKUP(Таблица3[[#This Row],[№ акта]],'Степень зрелости 2026'!$H$12:$I$800,2,FALSE),)</f>
        <v>55</v>
      </c>
      <c r="AJ266" s="508">
        <v>257</v>
      </c>
      <c r="AK266" s="509">
        <v>46189</v>
      </c>
      <c r="AL266" s="508">
        <v>369</v>
      </c>
      <c r="AO266" s="508">
        <v>6580</v>
      </c>
      <c r="AP266" s="508">
        <v>5823.3</v>
      </c>
      <c r="AQ266" s="508" t="s">
        <v>2939</v>
      </c>
      <c r="AR266" s="508" t="s">
        <v>909</v>
      </c>
      <c r="AS266" s="508" t="s">
        <v>3232</v>
      </c>
      <c r="AT266" s="508" t="s">
        <v>1806</v>
      </c>
      <c r="AV266" s="508" t="s">
        <v>1807</v>
      </c>
      <c r="AX266" s="508" t="s">
        <v>3095</v>
      </c>
      <c r="AY266" s="508" t="s">
        <v>909</v>
      </c>
      <c r="AZ266" s="508">
        <v>1.6</v>
      </c>
      <c r="BA266" s="508" t="s">
        <v>46</v>
      </c>
      <c r="BB266" s="508" t="s">
        <v>19</v>
      </c>
      <c r="BC266" s="508">
        <v>13</v>
      </c>
      <c r="BD266" s="509">
        <v>46189</v>
      </c>
      <c r="BG266" s="508" t="s">
        <v>724</v>
      </c>
      <c r="BH266" s="508" t="s">
        <v>2940</v>
      </c>
      <c r="BI266" s="508">
        <v>243</v>
      </c>
      <c r="BJ266" s="508">
        <v>55</v>
      </c>
    </row>
    <row r="267" spans="1:62" s="508" customFormat="1" ht="14.25" hidden="1" customHeight="1" x14ac:dyDescent="0.2">
      <c r="A267" s="495" t="s">
        <v>102</v>
      </c>
      <c r="B267" s="496"/>
      <c r="C267" s="497">
        <f>Таблица3[[#This Row],[Степень зрелости вспом]]</f>
        <v>59</v>
      </c>
      <c r="D267" s="498">
        <v>371</v>
      </c>
      <c r="E267" s="499"/>
      <c r="F267" s="496"/>
      <c r="G267" s="496">
        <v>13020</v>
      </c>
      <c r="H267" s="500"/>
      <c r="I267" s="496">
        <v>11132.1</v>
      </c>
      <c r="J267" s="495" t="s">
        <v>2939</v>
      </c>
      <c r="K267" s="495" t="s">
        <v>909</v>
      </c>
      <c r="L267" s="495" t="s">
        <v>3095</v>
      </c>
      <c r="M267" s="495" t="s">
        <v>127</v>
      </c>
      <c r="N267" s="495"/>
      <c r="O267" s="495"/>
      <c r="P267" s="495"/>
      <c r="Q267" s="495"/>
      <c r="R267" s="501" t="s">
        <v>131</v>
      </c>
      <c r="S267" s="495"/>
      <c r="T267" s="482" t="str">
        <f>VLOOKUP(Таблица3[[#This Row],[№ акта]],$AJ$1:$BJ$691,15,FALSE)</f>
        <v>А-112/1</v>
      </c>
      <c r="U267" s="482" t="str">
        <f>VLOOKUP(Таблица3[[#This Row],[№ акта]],$AJ$1:$BJ$691,16,FALSE)</f>
        <v>Тристар</v>
      </c>
      <c r="V267" s="502">
        <f>VLOOKUP(Таблица3[[#This Row],[№ акта]],$AJ$1:$BJ$691,17,FALSE)</f>
        <v>3.1</v>
      </c>
      <c r="W267" s="502" t="str">
        <f>VLOOKUP(Таблица3[[#This Row],[№ акта]],$AJ$1:$BJ$691,18,FALSE)</f>
        <v>ГРК (богара)</v>
      </c>
      <c r="X267" s="502" t="str">
        <f>VLOOKUP(Таблица3[[#This Row],[№ акта]],$AJ$1:$BJ$691,19,FALSE)</f>
        <v>богара</v>
      </c>
      <c r="Y267" s="503">
        <f>VLOOKUP(Таблица3[[#This Row],[№ акта]],$AJ$1:$BJ$691,20,FALSE)</f>
        <v>13</v>
      </c>
      <c r="Z267" s="504">
        <f>VLOOKUP(Таблица3[[#This Row],[№ акта]],$AJ$1:$BJ$691,21,FALSE)</f>
        <v>46189</v>
      </c>
      <c r="AA267" s="504"/>
      <c r="AB267" s="504" t="str">
        <f>IF(VLOOKUP(Таблица3[[#This Row],[№ акта]],$AJ$1:$BJ$691,23,FALSE)&lt;&gt;0,VLOOKUP(Таблица3[[#This Row],[№ акта]],$AJ$1:$BJ$691,23,FALSE),"-")</f>
        <v>-</v>
      </c>
      <c r="AC26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67" s="506" t="s">
        <v>2940</v>
      </c>
      <c r="AE267" s="505">
        <v>258</v>
      </c>
      <c r="AF267" s="507">
        <v>46189</v>
      </c>
      <c r="AG267" s="505">
        <v>245</v>
      </c>
      <c r="AH267" s="505">
        <f>IFERROR(VLOOKUP(Таблица3[[#This Row],[№ акта]],'Степень зрелости 2026'!$H$12:$I$800,2,FALSE),)</f>
        <v>59</v>
      </c>
      <c r="AJ267" s="508">
        <v>258</v>
      </c>
      <c r="AK267" s="509">
        <v>46189</v>
      </c>
      <c r="AL267" s="508">
        <v>371</v>
      </c>
      <c r="AO267" s="508">
        <v>13020</v>
      </c>
      <c r="AP267" s="508">
        <v>11132.1</v>
      </c>
      <c r="AQ267" s="508" t="s">
        <v>2939</v>
      </c>
      <c r="AR267" s="508" t="s">
        <v>909</v>
      </c>
      <c r="AS267" s="508" t="s">
        <v>3095</v>
      </c>
      <c r="AT267" s="508" t="s">
        <v>127</v>
      </c>
      <c r="AV267" s="508" t="s">
        <v>131</v>
      </c>
      <c r="AX267" s="508" t="s">
        <v>3095</v>
      </c>
      <c r="AY267" s="508" t="s">
        <v>909</v>
      </c>
      <c r="AZ267" s="508">
        <v>3.1</v>
      </c>
      <c r="BA267" s="508" t="s">
        <v>46</v>
      </c>
      <c r="BB267" s="508" t="s">
        <v>19</v>
      </c>
      <c r="BC267" s="508">
        <v>13</v>
      </c>
      <c r="BD267" s="509">
        <v>46189</v>
      </c>
      <c r="BG267" s="508" t="s">
        <v>724</v>
      </c>
      <c r="BH267" s="508" t="s">
        <v>2940</v>
      </c>
      <c r="BI267" s="508">
        <v>245</v>
      </c>
      <c r="BJ267" s="508">
        <v>59</v>
      </c>
    </row>
    <row r="268" spans="1:62" s="508" customFormat="1" ht="14.25" hidden="1" customHeight="1" x14ac:dyDescent="0.2">
      <c r="A268" s="495" t="s">
        <v>102</v>
      </c>
      <c r="B268" s="496"/>
      <c r="C268" s="497">
        <f>Таблица3[[#This Row],[Степень зрелости вспом]]</f>
        <v>58</v>
      </c>
      <c r="D268" s="498">
        <v>372</v>
      </c>
      <c r="E268" s="499"/>
      <c r="F268" s="496"/>
      <c r="G268" s="496">
        <v>6350</v>
      </c>
      <c r="H268" s="500"/>
      <c r="I268" s="496">
        <v>5334</v>
      </c>
      <c r="J268" s="495" t="s">
        <v>2939</v>
      </c>
      <c r="K268" s="495" t="s">
        <v>901</v>
      </c>
      <c r="L268" s="495" t="s">
        <v>3105</v>
      </c>
      <c r="M268" s="495" t="s">
        <v>1806</v>
      </c>
      <c r="N268" s="495"/>
      <c r="O268" s="495"/>
      <c r="P268" s="495"/>
      <c r="Q268" s="495"/>
      <c r="R268" s="501" t="s">
        <v>1807</v>
      </c>
      <c r="S268" s="495"/>
      <c r="T268" s="482" t="str">
        <f>VLOOKUP(Таблица3[[#This Row],[№ акта]],$AJ$1:$BJ$691,15,FALSE)</f>
        <v>А-83/1</v>
      </c>
      <c r="U268" s="482" t="str">
        <f>VLOOKUP(Таблица3[[#This Row],[№ акта]],$AJ$1:$BJ$691,16,FALSE)</f>
        <v>Фаворит</v>
      </c>
      <c r="V268" s="502">
        <f>VLOOKUP(Таблица3[[#This Row],[№ акта]],$AJ$1:$BJ$691,17,FALSE)</f>
        <v>0.9</v>
      </c>
      <c r="W268" s="502" t="str">
        <f>VLOOKUP(Таблица3[[#This Row],[№ акта]],$AJ$1:$BJ$691,18,FALSE)</f>
        <v>ГРК (богара)</v>
      </c>
      <c r="X268" s="502" t="str">
        <f>VLOOKUP(Таблица3[[#This Row],[№ акта]],$AJ$1:$BJ$691,19,FALSE)</f>
        <v>богара</v>
      </c>
      <c r="Y268" s="503">
        <f>VLOOKUP(Таблица3[[#This Row],[№ акта]],$AJ$1:$BJ$691,20,FALSE)</f>
        <v>13</v>
      </c>
      <c r="Z268" s="504">
        <f>VLOOKUP(Таблица3[[#This Row],[№ акта]],$AJ$1:$BJ$691,21,FALSE)</f>
        <v>46189</v>
      </c>
      <c r="AA268" s="504"/>
      <c r="AB268" s="504" t="str">
        <f>IF(VLOOKUP(Таблица3[[#This Row],[№ акта]],$AJ$1:$BJ$691,23,FALSE)&lt;&gt;0,VLOOKUP(Таблица3[[#This Row],[№ акта]],$AJ$1:$BJ$691,23,FALSE),"-")</f>
        <v>-</v>
      </c>
      <c r="AC26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68" s="506" t="s">
        <v>2940</v>
      </c>
      <c r="AE268" s="505">
        <v>279</v>
      </c>
      <c r="AF268" s="507">
        <v>46189</v>
      </c>
      <c r="AG268" s="505">
        <v>244</v>
      </c>
      <c r="AH268" s="505">
        <f>IFERROR(VLOOKUP(Таблица3[[#This Row],[№ акта]],'Степень зрелости 2026'!$H$12:$I$800,2,FALSE),)</f>
        <v>58</v>
      </c>
      <c r="AJ268" s="508">
        <v>279</v>
      </c>
      <c r="AK268" s="509">
        <v>46189</v>
      </c>
      <c r="AL268" s="508">
        <v>372</v>
      </c>
      <c r="AO268" s="508">
        <v>6350</v>
      </c>
      <c r="AP268" s="508">
        <v>5334</v>
      </c>
      <c r="AQ268" s="508" t="s">
        <v>2939</v>
      </c>
      <c r="AR268" s="508" t="s">
        <v>901</v>
      </c>
      <c r="AS268" s="508" t="s">
        <v>3105</v>
      </c>
      <c r="AT268" s="508" t="s">
        <v>1806</v>
      </c>
      <c r="AV268" s="508" t="s">
        <v>1807</v>
      </c>
      <c r="AX268" s="508" t="s">
        <v>3105</v>
      </c>
      <c r="AY268" s="508" t="s">
        <v>901</v>
      </c>
      <c r="AZ268" s="508">
        <v>0.9</v>
      </c>
      <c r="BA268" s="508" t="s">
        <v>46</v>
      </c>
      <c r="BB268" s="508" t="s">
        <v>19</v>
      </c>
      <c r="BC268" s="508">
        <v>13</v>
      </c>
      <c r="BD268" s="509">
        <v>46189</v>
      </c>
      <c r="BG268" s="508" t="s">
        <v>724</v>
      </c>
      <c r="BH268" s="508" t="s">
        <v>2940</v>
      </c>
      <c r="BI268" s="508">
        <v>244</v>
      </c>
      <c r="BJ268" s="508">
        <v>58</v>
      </c>
    </row>
    <row r="269" spans="1:62" s="508" customFormat="1" ht="14.25" hidden="1" customHeight="1" x14ac:dyDescent="0.2">
      <c r="A269" s="495" t="s">
        <v>102</v>
      </c>
      <c r="B269" s="496"/>
      <c r="C269" s="497">
        <f>Таблица3[[#This Row],[Степень зрелости вспом]]</f>
        <v>56</v>
      </c>
      <c r="D269" s="498">
        <v>373</v>
      </c>
      <c r="E269" s="499"/>
      <c r="F269" s="496"/>
      <c r="G269" s="496">
        <v>13260</v>
      </c>
      <c r="H269" s="500"/>
      <c r="I269" s="496">
        <v>12132.9</v>
      </c>
      <c r="J269" s="495" t="s">
        <v>2939</v>
      </c>
      <c r="K269" s="495" t="s">
        <v>909</v>
      </c>
      <c r="L269" s="495" t="s">
        <v>3095</v>
      </c>
      <c r="M269" s="495" t="s">
        <v>311</v>
      </c>
      <c r="N269" s="495"/>
      <c r="O269" s="495"/>
      <c r="P269" s="495"/>
      <c r="Q269" s="495"/>
      <c r="R269" s="501" t="s">
        <v>315</v>
      </c>
      <c r="S269" s="495"/>
      <c r="T269" s="482" t="str">
        <f>VLOOKUP(Таблица3[[#This Row],[№ акта]],$AJ$1:$BJ$691,15,FALSE)</f>
        <v>А-112/1</v>
      </c>
      <c r="U269" s="482" t="str">
        <f>VLOOKUP(Таблица3[[#This Row],[№ акта]],$AJ$1:$BJ$691,16,FALSE)</f>
        <v>Тристар</v>
      </c>
      <c r="V269" s="502">
        <f>VLOOKUP(Таблица3[[#This Row],[№ акта]],$AJ$1:$BJ$691,17,FALSE)</f>
        <v>3.2</v>
      </c>
      <c r="W269" s="502" t="str">
        <f>VLOOKUP(Таблица3[[#This Row],[№ акта]],$AJ$1:$BJ$691,18,FALSE)</f>
        <v>ГРК (богара)</v>
      </c>
      <c r="X269" s="502" t="str">
        <f>VLOOKUP(Таблица3[[#This Row],[№ акта]],$AJ$1:$BJ$691,19,FALSE)</f>
        <v>богара</v>
      </c>
      <c r="Y269" s="503">
        <f>VLOOKUP(Таблица3[[#This Row],[№ акта]],$AJ$1:$BJ$691,20,FALSE)</f>
        <v>13</v>
      </c>
      <c r="Z269" s="504">
        <f>VLOOKUP(Таблица3[[#This Row],[№ акта]],$AJ$1:$BJ$691,21,FALSE)</f>
        <v>46189</v>
      </c>
      <c r="AA269" s="504"/>
      <c r="AB269" s="504" t="str">
        <f>IF(VLOOKUP(Таблица3[[#This Row],[№ акта]],$AJ$1:$BJ$691,23,FALSE)&lt;&gt;0,VLOOKUP(Таблица3[[#This Row],[№ акта]],$AJ$1:$BJ$691,23,FALSE),"-")</f>
        <v>-</v>
      </c>
      <c r="AC26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69" s="506" t="s">
        <v>2940</v>
      </c>
      <c r="AE269" s="505">
        <v>259</v>
      </c>
      <c r="AF269" s="507">
        <v>46189</v>
      </c>
      <c r="AG269" s="505">
        <v>246</v>
      </c>
      <c r="AH269" s="505">
        <f>IFERROR(VLOOKUP(Таблица3[[#This Row],[№ акта]],'Степень зрелости 2026'!$H$12:$I$800,2,FALSE),)</f>
        <v>56</v>
      </c>
      <c r="AJ269" s="508">
        <v>259</v>
      </c>
      <c r="AK269" s="509">
        <v>46189</v>
      </c>
      <c r="AL269" s="508">
        <v>373</v>
      </c>
      <c r="AO269" s="508">
        <v>13260</v>
      </c>
      <c r="AP269" s="508">
        <v>12132.9</v>
      </c>
      <c r="AQ269" s="508" t="s">
        <v>2939</v>
      </c>
      <c r="AR269" s="508" t="s">
        <v>909</v>
      </c>
      <c r="AS269" s="508" t="s">
        <v>3095</v>
      </c>
      <c r="AT269" s="508" t="s">
        <v>311</v>
      </c>
      <c r="AV269" s="508" t="s">
        <v>315</v>
      </c>
      <c r="AX269" s="508" t="s">
        <v>3095</v>
      </c>
      <c r="AY269" s="508" t="s">
        <v>909</v>
      </c>
      <c r="AZ269" s="508">
        <v>3.2</v>
      </c>
      <c r="BA269" s="508" t="s">
        <v>46</v>
      </c>
      <c r="BB269" s="508" t="s">
        <v>19</v>
      </c>
      <c r="BC269" s="508">
        <v>13</v>
      </c>
      <c r="BD269" s="509">
        <v>46189</v>
      </c>
      <c r="BG269" s="508" t="s">
        <v>724</v>
      </c>
      <c r="BH269" s="508" t="s">
        <v>2940</v>
      </c>
      <c r="BI269" s="508">
        <v>246</v>
      </c>
      <c r="BJ269" s="508">
        <v>56</v>
      </c>
    </row>
    <row r="270" spans="1:62" s="508" customFormat="1" ht="14.25" hidden="1" customHeight="1" x14ac:dyDescent="0.2">
      <c r="A270" s="495" t="s">
        <v>102</v>
      </c>
      <c r="B270" s="496"/>
      <c r="C270" s="497">
        <f>Таблица3[[#This Row],[Степень зрелости вспом]]</f>
        <v>60</v>
      </c>
      <c r="D270" s="498">
        <v>375</v>
      </c>
      <c r="E270" s="499"/>
      <c r="F270" s="496"/>
      <c r="G270" s="496">
        <v>13070</v>
      </c>
      <c r="H270" s="500"/>
      <c r="I270" s="496">
        <v>11697.6</v>
      </c>
      <c r="J270" s="495" t="s">
        <v>2939</v>
      </c>
      <c r="K270" s="495" t="s">
        <v>909</v>
      </c>
      <c r="L270" s="495" t="s">
        <v>3232</v>
      </c>
      <c r="M270" s="495" t="s">
        <v>347</v>
      </c>
      <c r="N270" s="495"/>
      <c r="O270" s="495"/>
      <c r="P270" s="495"/>
      <c r="Q270" s="495"/>
      <c r="R270" s="501" t="s">
        <v>137</v>
      </c>
      <c r="S270" s="495"/>
      <c r="T270" s="482" t="str">
        <f>VLOOKUP(Таблица3[[#This Row],[№ акта]],$AJ$1:$BJ$691,15,FALSE)</f>
        <v>А-112/1</v>
      </c>
      <c r="U270" s="482" t="str">
        <f>VLOOKUP(Таблица3[[#This Row],[№ акта]],$AJ$1:$BJ$691,16,FALSE)</f>
        <v>Тристар</v>
      </c>
      <c r="V270" s="502">
        <f>VLOOKUP(Таблица3[[#This Row],[№ акта]],$AJ$1:$BJ$691,17,FALSE)</f>
        <v>3.2</v>
      </c>
      <c r="W270" s="502" t="str">
        <f>VLOOKUP(Таблица3[[#This Row],[№ акта]],$AJ$1:$BJ$691,18,FALSE)</f>
        <v>ГРК (богара)</v>
      </c>
      <c r="X270" s="502" t="str">
        <f>VLOOKUP(Таблица3[[#This Row],[№ акта]],$AJ$1:$BJ$691,19,FALSE)</f>
        <v>богара</v>
      </c>
      <c r="Y270" s="503">
        <f>VLOOKUP(Таблица3[[#This Row],[№ акта]],$AJ$1:$BJ$691,20,FALSE)</f>
        <v>13</v>
      </c>
      <c r="Z270" s="504">
        <f>VLOOKUP(Таблица3[[#This Row],[№ акта]],$AJ$1:$BJ$691,21,FALSE)</f>
        <v>46189</v>
      </c>
      <c r="AA270" s="504"/>
      <c r="AB270" s="504" t="str">
        <f>IF(VLOOKUP(Таблица3[[#This Row],[№ акта]],$AJ$1:$BJ$691,23,FALSE)&lt;&gt;0,VLOOKUP(Таблица3[[#This Row],[№ акта]],$AJ$1:$BJ$691,23,FALSE),"-")</f>
        <v>-</v>
      </c>
      <c r="AC27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70" s="506" t="s">
        <v>2940</v>
      </c>
      <c r="AE270" s="505">
        <v>260</v>
      </c>
      <c r="AF270" s="507">
        <v>46189</v>
      </c>
      <c r="AG270" s="505">
        <v>247</v>
      </c>
      <c r="AH270" s="505">
        <f>IFERROR(VLOOKUP(Таблица3[[#This Row],[№ акта]],'Степень зрелости 2026'!$H$12:$I$800,2,FALSE),)</f>
        <v>60</v>
      </c>
      <c r="AJ270" s="508">
        <v>260</v>
      </c>
      <c r="AK270" s="509">
        <v>46189</v>
      </c>
      <c r="AL270" s="508">
        <v>375</v>
      </c>
      <c r="AO270" s="508">
        <v>13070</v>
      </c>
      <c r="AP270" s="508">
        <v>11697.6</v>
      </c>
      <c r="AQ270" s="508" t="s">
        <v>2939</v>
      </c>
      <c r="AR270" s="508" t="s">
        <v>909</v>
      </c>
      <c r="AS270" s="508" t="s">
        <v>3232</v>
      </c>
      <c r="AT270" s="508" t="s">
        <v>347</v>
      </c>
      <c r="AV270" s="508" t="s">
        <v>137</v>
      </c>
      <c r="AX270" s="508" t="s">
        <v>3095</v>
      </c>
      <c r="AY270" s="508" t="s">
        <v>909</v>
      </c>
      <c r="AZ270" s="508">
        <v>3.2</v>
      </c>
      <c r="BA270" s="508" t="s">
        <v>46</v>
      </c>
      <c r="BB270" s="508" t="s">
        <v>19</v>
      </c>
      <c r="BC270" s="508">
        <v>13</v>
      </c>
      <c r="BD270" s="509">
        <v>46189</v>
      </c>
      <c r="BG270" s="508" t="s">
        <v>724</v>
      </c>
      <c r="BH270" s="508" t="s">
        <v>2940</v>
      </c>
      <c r="BI270" s="508">
        <v>247</v>
      </c>
      <c r="BJ270" s="508">
        <v>60</v>
      </c>
    </row>
    <row r="271" spans="1:62" s="508" customFormat="1" ht="14.25" hidden="1" customHeight="1" x14ac:dyDescent="0.2">
      <c r="A271" s="495" t="s">
        <v>102</v>
      </c>
      <c r="B271" s="496"/>
      <c r="C271" s="497">
        <f>Таблица3[[#This Row],[Степень зрелости вспом]]</f>
        <v>59</v>
      </c>
      <c r="D271" s="498">
        <v>376</v>
      </c>
      <c r="E271" s="499"/>
      <c r="F271" s="496"/>
      <c r="G271" s="496">
        <v>13290</v>
      </c>
      <c r="H271" s="500"/>
      <c r="I271" s="496">
        <v>11628.7</v>
      </c>
      <c r="J271" s="495" t="s">
        <v>2939</v>
      </c>
      <c r="K271" s="495" t="s">
        <v>909</v>
      </c>
      <c r="L271" s="495" t="s">
        <v>3232</v>
      </c>
      <c r="M271" s="495" t="s">
        <v>1806</v>
      </c>
      <c r="N271" s="495"/>
      <c r="O271" s="495"/>
      <c r="P271" s="495"/>
      <c r="Q271" s="495"/>
      <c r="R271" s="501" t="s">
        <v>1807</v>
      </c>
      <c r="S271" s="495"/>
      <c r="T271" s="482" t="str">
        <f>VLOOKUP(Таблица3[[#This Row],[№ акта]],$AJ$1:$BJ$691,15,FALSE)</f>
        <v>А-112/1</v>
      </c>
      <c r="U271" s="482" t="str">
        <f>VLOOKUP(Таблица3[[#This Row],[№ акта]],$AJ$1:$BJ$691,16,FALSE)</f>
        <v>Тристар</v>
      </c>
      <c r="V271" s="502">
        <f>VLOOKUP(Таблица3[[#This Row],[№ акта]],$AJ$1:$BJ$691,17,FALSE)</f>
        <v>3.2</v>
      </c>
      <c r="W271" s="502" t="str">
        <f>VLOOKUP(Таблица3[[#This Row],[№ акта]],$AJ$1:$BJ$691,18,FALSE)</f>
        <v>ГРК (богара)</v>
      </c>
      <c r="X271" s="502" t="str">
        <f>VLOOKUP(Таблица3[[#This Row],[№ акта]],$AJ$1:$BJ$691,19,FALSE)</f>
        <v>богара</v>
      </c>
      <c r="Y271" s="503">
        <f>VLOOKUP(Таблица3[[#This Row],[№ акта]],$AJ$1:$BJ$691,20,FALSE)</f>
        <v>13</v>
      </c>
      <c r="Z271" s="504">
        <f>VLOOKUP(Таблица3[[#This Row],[№ акта]],$AJ$1:$BJ$691,21,FALSE)</f>
        <v>46189</v>
      </c>
      <c r="AA271" s="504"/>
      <c r="AB271" s="504" t="str">
        <f>IF(VLOOKUP(Таблица3[[#This Row],[№ акта]],$AJ$1:$BJ$691,23,FALSE)&lt;&gt;0,VLOOKUP(Таблица3[[#This Row],[№ акта]],$AJ$1:$BJ$691,23,FALSE),"-")</f>
        <v>-</v>
      </c>
      <c r="AC27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71" s="506" t="s">
        <v>2940</v>
      </c>
      <c r="AE271" s="505">
        <v>261</v>
      </c>
      <c r="AF271" s="507">
        <v>46189</v>
      </c>
      <c r="AG271" s="505">
        <v>248</v>
      </c>
      <c r="AH271" s="505">
        <f>IFERROR(VLOOKUP(Таблица3[[#This Row],[№ акта]],'Степень зрелости 2026'!$H$12:$I$800,2,FALSE),)</f>
        <v>59</v>
      </c>
      <c r="AJ271" s="508">
        <v>261</v>
      </c>
      <c r="AK271" s="509">
        <v>46189</v>
      </c>
      <c r="AL271" s="508">
        <v>376</v>
      </c>
      <c r="AO271" s="508">
        <v>13290</v>
      </c>
      <c r="AP271" s="508">
        <v>11628.7</v>
      </c>
      <c r="AQ271" s="508" t="s">
        <v>2939</v>
      </c>
      <c r="AR271" s="508" t="s">
        <v>909</v>
      </c>
      <c r="AS271" s="508" t="s">
        <v>3232</v>
      </c>
      <c r="AT271" s="508" t="s">
        <v>1806</v>
      </c>
      <c r="AV271" s="508" t="s">
        <v>1807</v>
      </c>
      <c r="AX271" s="508" t="s">
        <v>3095</v>
      </c>
      <c r="AY271" s="508" t="s">
        <v>909</v>
      </c>
      <c r="AZ271" s="508">
        <v>3.2</v>
      </c>
      <c r="BA271" s="508" t="s">
        <v>46</v>
      </c>
      <c r="BB271" s="508" t="s">
        <v>19</v>
      </c>
      <c r="BC271" s="508">
        <v>13</v>
      </c>
      <c r="BD271" s="509">
        <v>46189</v>
      </c>
      <c r="BG271" s="508" t="s">
        <v>724</v>
      </c>
      <c r="BH271" s="508" t="s">
        <v>2940</v>
      </c>
      <c r="BI271" s="508">
        <v>248</v>
      </c>
      <c r="BJ271" s="508">
        <v>59</v>
      </c>
    </row>
    <row r="272" spans="1:62" s="508" customFormat="1" ht="14.25" hidden="1" customHeight="1" x14ac:dyDescent="0.2">
      <c r="A272" s="495" t="s">
        <v>102</v>
      </c>
      <c r="B272" s="496"/>
      <c r="C272" s="497">
        <f>Таблица3[[#This Row],[Степень зрелости вспом]]</f>
        <v>65</v>
      </c>
      <c r="D272" s="498">
        <v>377</v>
      </c>
      <c r="E272" s="499"/>
      <c r="F272" s="496"/>
      <c r="G272" s="496">
        <v>13160</v>
      </c>
      <c r="H272" s="500"/>
      <c r="I272" s="496">
        <v>11515</v>
      </c>
      <c r="J272" s="495" t="s">
        <v>2939</v>
      </c>
      <c r="K272" s="495" t="s">
        <v>909</v>
      </c>
      <c r="L272" s="495" t="s">
        <v>3232</v>
      </c>
      <c r="M272" s="495" t="s">
        <v>127</v>
      </c>
      <c r="N272" s="495"/>
      <c r="O272" s="495"/>
      <c r="P272" s="495"/>
      <c r="Q272" s="495"/>
      <c r="R272" s="501" t="s">
        <v>131</v>
      </c>
      <c r="S272" s="495"/>
      <c r="T272" s="482" t="str">
        <f>VLOOKUP(Таблица3[[#This Row],[№ акта]],$AJ$1:$BJ$691,15,FALSE)</f>
        <v>А-112/1</v>
      </c>
      <c r="U272" s="482" t="str">
        <f>VLOOKUP(Таблица3[[#This Row],[№ акта]],$AJ$1:$BJ$691,16,FALSE)</f>
        <v>Тристар</v>
      </c>
      <c r="V272" s="502">
        <f>VLOOKUP(Таблица3[[#This Row],[№ акта]],$AJ$1:$BJ$691,17,FALSE)</f>
        <v>3.2</v>
      </c>
      <c r="W272" s="502" t="str">
        <f>VLOOKUP(Таблица3[[#This Row],[№ акта]],$AJ$1:$BJ$691,18,FALSE)</f>
        <v>ГРК (богара)</v>
      </c>
      <c r="X272" s="502" t="str">
        <f>VLOOKUP(Таблица3[[#This Row],[№ акта]],$AJ$1:$BJ$691,19,FALSE)</f>
        <v>богара</v>
      </c>
      <c r="Y272" s="503">
        <f>VLOOKUP(Таблица3[[#This Row],[№ акта]],$AJ$1:$BJ$691,20,FALSE)</f>
        <v>13</v>
      </c>
      <c r="Z272" s="504">
        <f>VLOOKUP(Таблица3[[#This Row],[№ акта]],$AJ$1:$BJ$691,21,FALSE)</f>
        <v>46189</v>
      </c>
      <c r="AA272" s="504"/>
      <c r="AB272" s="504" t="str">
        <f>IF(VLOOKUP(Таблица3[[#This Row],[№ акта]],$AJ$1:$BJ$691,23,FALSE)&lt;&gt;0,VLOOKUP(Таблица3[[#This Row],[№ акта]],$AJ$1:$BJ$691,23,FALSE),"-")</f>
        <v>-</v>
      </c>
      <c r="AC27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72" s="506" t="s">
        <v>3230</v>
      </c>
      <c r="AE272" s="505">
        <v>263</v>
      </c>
      <c r="AF272" s="507">
        <v>46189</v>
      </c>
      <c r="AG272" s="505">
        <v>249</v>
      </c>
      <c r="AH272" s="505">
        <f>IFERROR(VLOOKUP(Таблица3[[#This Row],[№ акта]],'Степень зрелости 2026'!$H$12:$I$800,2,FALSE),)</f>
        <v>65</v>
      </c>
      <c r="AJ272" s="508">
        <v>263</v>
      </c>
      <c r="AK272" s="509">
        <v>46189</v>
      </c>
      <c r="AL272" s="508">
        <v>377</v>
      </c>
      <c r="AO272" s="508">
        <v>13160</v>
      </c>
      <c r="AP272" s="508">
        <v>11515</v>
      </c>
      <c r="AQ272" s="508" t="s">
        <v>2939</v>
      </c>
      <c r="AR272" s="508" t="s">
        <v>909</v>
      </c>
      <c r="AS272" s="508" t="s">
        <v>3232</v>
      </c>
      <c r="AT272" s="508" t="s">
        <v>127</v>
      </c>
      <c r="AV272" s="508" t="s">
        <v>131</v>
      </c>
      <c r="AX272" s="508" t="s">
        <v>3095</v>
      </c>
      <c r="AY272" s="508" t="s">
        <v>909</v>
      </c>
      <c r="AZ272" s="508">
        <v>3.2</v>
      </c>
      <c r="BA272" s="508" t="s">
        <v>46</v>
      </c>
      <c r="BB272" s="508" t="s">
        <v>19</v>
      </c>
      <c r="BC272" s="508">
        <v>13</v>
      </c>
      <c r="BD272" s="509">
        <v>46189</v>
      </c>
      <c r="BG272" s="508" t="s">
        <v>3559</v>
      </c>
      <c r="BH272" s="508" t="s">
        <v>2940</v>
      </c>
      <c r="BI272" s="508">
        <v>249</v>
      </c>
      <c r="BJ272" s="508">
        <v>65</v>
      </c>
    </row>
    <row r="273" spans="1:62" s="508" customFormat="1" ht="14.25" hidden="1" customHeight="1" x14ac:dyDescent="0.2">
      <c r="A273" s="495" t="s">
        <v>102</v>
      </c>
      <c r="B273" s="496"/>
      <c r="C273" s="497">
        <f>Таблица3[[#This Row],[Степень зрелости вспом]]</f>
        <v>65</v>
      </c>
      <c r="D273" s="498">
        <v>378</v>
      </c>
      <c r="E273" s="499"/>
      <c r="F273" s="496"/>
      <c r="G273" s="496">
        <v>4350</v>
      </c>
      <c r="H273" s="500"/>
      <c r="I273" s="496">
        <v>3980.2</v>
      </c>
      <c r="J273" s="495" t="s">
        <v>2939</v>
      </c>
      <c r="K273" s="495" t="s">
        <v>909</v>
      </c>
      <c r="L273" s="495" t="s">
        <v>3232</v>
      </c>
      <c r="M273" s="495" t="s">
        <v>737</v>
      </c>
      <c r="N273" s="495"/>
      <c r="O273" s="495"/>
      <c r="P273" s="495"/>
      <c r="Q273" s="495"/>
      <c r="R273" s="501" t="s">
        <v>738</v>
      </c>
      <c r="S273" s="495"/>
      <c r="T273" s="482" t="str">
        <f>VLOOKUP(Таблица3[[#This Row],[№ акта]],$AJ$1:$BJ$691,15,FALSE)</f>
        <v>А-112/1</v>
      </c>
      <c r="U273" s="482" t="str">
        <f>VLOOKUP(Таблица3[[#This Row],[№ акта]],$AJ$1:$BJ$691,16,FALSE)</f>
        <v>Тристар</v>
      </c>
      <c r="V273" s="502">
        <f>VLOOKUP(Таблица3[[#This Row],[№ акта]],$AJ$1:$BJ$691,17,FALSE)</f>
        <v>1.1000000000000001</v>
      </c>
      <c r="W273" s="502" t="str">
        <f>VLOOKUP(Таблица3[[#This Row],[№ акта]],$AJ$1:$BJ$691,18,FALSE)</f>
        <v>ГРК (богара)</v>
      </c>
      <c r="X273" s="502" t="str">
        <f>VLOOKUP(Таблица3[[#This Row],[№ акта]],$AJ$1:$BJ$691,19,FALSE)</f>
        <v>богара</v>
      </c>
      <c r="Y273" s="503">
        <f>VLOOKUP(Таблица3[[#This Row],[№ акта]],$AJ$1:$BJ$691,20,FALSE)</f>
        <v>13</v>
      </c>
      <c r="Z273" s="504">
        <f>VLOOKUP(Таблица3[[#This Row],[№ акта]],$AJ$1:$BJ$691,21,FALSE)</f>
        <v>46189</v>
      </c>
      <c r="AA273" s="504"/>
      <c r="AB273" s="504" t="str">
        <f>IF(VLOOKUP(Таблица3[[#This Row],[№ акта]],$AJ$1:$BJ$691,23,FALSE)&lt;&gt;0,VLOOKUP(Таблица3[[#This Row],[№ акта]],$AJ$1:$BJ$691,23,FALSE),"-")</f>
        <v>-</v>
      </c>
      <c r="AC27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73" s="506" t="s">
        <v>3230</v>
      </c>
      <c r="AE273" s="505">
        <v>262</v>
      </c>
      <c r="AF273" s="507">
        <v>46189</v>
      </c>
      <c r="AG273" s="505">
        <v>242</v>
      </c>
      <c r="AH273" s="505">
        <f>IFERROR(VLOOKUP(Таблица3[[#This Row],[№ акта]],'Степень зрелости 2026'!$H$12:$I$800,2,FALSE),)</f>
        <v>65</v>
      </c>
      <c r="AJ273" s="508">
        <v>262</v>
      </c>
      <c r="AK273" s="509">
        <v>46189</v>
      </c>
      <c r="AL273" s="508">
        <v>378</v>
      </c>
      <c r="AO273" s="508">
        <v>4350</v>
      </c>
      <c r="AP273" s="508">
        <v>3980.2</v>
      </c>
      <c r="AQ273" s="508" t="s">
        <v>2939</v>
      </c>
      <c r="AR273" s="508" t="s">
        <v>909</v>
      </c>
      <c r="AS273" s="508" t="s">
        <v>3232</v>
      </c>
      <c r="AT273" s="508" t="s">
        <v>737</v>
      </c>
      <c r="AV273" s="508" t="s">
        <v>738</v>
      </c>
      <c r="AX273" s="508" t="s">
        <v>3095</v>
      </c>
      <c r="AY273" s="508" t="s">
        <v>909</v>
      </c>
      <c r="AZ273" s="508">
        <v>1.1000000000000001</v>
      </c>
      <c r="BA273" s="508" t="s">
        <v>46</v>
      </c>
      <c r="BB273" s="508" t="s">
        <v>19</v>
      </c>
      <c r="BC273" s="508">
        <v>13</v>
      </c>
      <c r="BD273" s="509">
        <v>46189</v>
      </c>
      <c r="BG273" s="508" t="s">
        <v>3559</v>
      </c>
      <c r="BH273" s="508" t="s">
        <v>2940</v>
      </c>
      <c r="BI273" s="508">
        <v>242</v>
      </c>
      <c r="BJ273" s="508">
        <v>65</v>
      </c>
    </row>
    <row r="274" spans="1:62" s="508" customFormat="1" ht="14.25" hidden="1" customHeight="1" x14ac:dyDescent="0.2">
      <c r="A274" s="495" t="s">
        <v>102</v>
      </c>
      <c r="B274" s="496"/>
      <c r="C274" s="497">
        <f>Таблица3[[#This Row],[Степень зрелости вспом]]</f>
        <v>66</v>
      </c>
      <c r="D274" s="498">
        <v>379</v>
      </c>
      <c r="E274" s="499"/>
      <c r="F274" s="496"/>
      <c r="G274" s="496">
        <v>12560</v>
      </c>
      <c r="H274" s="500"/>
      <c r="I274" s="496">
        <v>11429.6</v>
      </c>
      <c r="J274" s="495" t="s">
        <v>2939</v>
      </c>
      <c r="K274" s="495" t="s">
        <v>909</v>
      </c>
      <c r="L274" s="495" t="s">
        <v>3232</v>
      </c>
      <c r="M274" s="495" t="s">
        <v>311</v>
      </c>
      <c r="N274" s="495"/>
      <c r="O274" s="495"/>
      <c r="P274" s="495"/>
      <c r="Q274" s="495"/>
      <c r="R274" s="501" t="s">
        <v>315</v>
      </c>
      <c r="S274" s="495"/>
      <c r="T274" s="482" t="str">
        <f>VLOOKUP(Таблица3[[#This Row],[№ акта]],$AJ$1:$BJ$691,15,FALSE)</f>
        <v>А-112/1</v>
      </c>
      <c r="U274" s="482" t="str">
        <f>VLOOKUP(Таблица3[[#This Row],[№ акта]],$AJ$1:$BJ$691,16,FALSE)</f>
        <v>Тристар</v>
      </c>
      <c r="V274" s="502">
        <f>VLOOKUP(Таблица3[[#This Row],[№ акта]],$AJ$1:$BJ$691,17,FALSE)</f>
        <v>3</v>
      </c>
      <c r="W274" s="502" t="str">
        <f>VLOOKUP(Таблица3[[#This Row],[№ акта]],$AJ$1:$BJ$691,18,FALSE)</f>
        <v>ГРК (богара)</v>
      </c>
      <c r="X274" s="502" t="str">
        <f>VLOOKUP(Таблица3[[#This Row],[№ акта]],$AJ$1:$BJ$691,19,FALSE)</f>
        <v>богара</v>
      </c>
      <c r="Y274" s="503">
        <f>VLOOKUP(Таблица3[[#This Row],[№ акта]],$AJ$1:$BJ$691,20,FALSE)</f>
        <v>13</v>
      </c>
      <c r="Z274" s="504">
        <f>VLOOKUP(Таблица3[[#This Row],[№ акта]],$AJ$1:$BJ$691,21,FALSE)</f>
        <v>46189</v>
      </c>
      <c r="AA274" s="504"/>
      <c r="AB274" s="504" t="str">
        <f>IF(VLOOKUP(Таблица3[[#This Row],[№ акта]],$AJ$1:$BJ$691,23,FALSE)&lt;&gt;0,VLOOKUP(Таблица3[[#This Row],[№ акта]],$AJ$1:$BJ$691,23,FALSE),"-")</f>
        <v>-</v>
      </c>
      <c r="AC27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74" s="506" t="s">
        <v>3230</v>
      </c>
      <c r="AE274" s="505">
        <v>264</v>
      </c>
      <c r="AF274" s="507">
        <v>46189</v>
      </c>
      <c r="AG274" s="505">
        <v>251</v>
      </c>
      <c r="AH274" s="505">
        <f>IFERROR(VLOOKUP(Таблица3[[#This Row],[№ акта]],'Степень зрелости 2026'!$H$12:$I$800,2,FALSE),)</f>
        <v>66</v>
      </c>
      <c r="AJ274" s="508">
        <v>264</v>
      </c>
      <c r="AK274" s="509">
        <v>46189</v>
      </c>
      <c r="AL274" s="508">
        <v>379</v>
      </c>
      <c r="AO274" s="508">
        <v>12560</v>
      </c>
      <c r="AP274" s="508">
        <v>11429.6</v>
      </c>
      <c r="AQ274" s="508" t="s">
        <v>2939</v>
      </c>
      <c r="AR274" s="508" t="s">
        <v>909</v>
      </c>
      <c r="AS274" s="508" t="s">
        <v>3232</v>
      </c>
      <c r="AT274" s="508" t="s">
        <v>311</v>
      </c>
      <c r="AV274" s="508" t="s">
        <v>315</v>
      </c>
      <c r="AX274" s="508" t="s">
        <v>3095</v>
      </c>
      <c r="AY274" s="508" t="s">
        <v>909</v>
      </c>
      <c r="AZ274" s="508">
        <v>3</v>
      </c>
      <c r="BA274" s="508" t="s">
        <v>46</v>
      </c>
      <c r="BB274" s="508" t="s">
        <v>19</v>
      </c>
      <c r="BC274" s="508">
        <v>13</v>
      </c>
      <c r="BD274" s="509">
        <v>46189</v>
      </c>
      <c r="BG274" s="508" t="s">
        <v>3559</v>
      </c>
      <c r="BH274" s="508" t="s">
        <v>2940</v>
      </c>
      <c r="BI274" s="508">
        <v>251</v>
      </c>
      <c r="BJ274" s="508">
        <v>66</v>
      </c>
    </row>
    <row r="275" spans="1:62" s="508" customFormat="1" ht="14.25" hidden="1" customHeight="1" x14ac:dyDescent="0.2">
      <c r="A275" s="495" t="s">
        <v>102</v>
      </c>
      <c r="B275" s="496"/>
      <c r="C275" s="497">
        <f>Таблица3[[#This Row],[Степень зрелости вспом]]</f>
        <v>66</v>
      </c>
      <c r="D275" s="498">
        <v>380</v>
      </c>
      <c r="E275" s="499"/>
      <c r="F275" s="496"/>
      <c r="G275" s="496">
        <v>4880</v>
      </c>
      <c r="H275" s="500"/>
      <c r="I275" s="496">
        <v>4465.2</v>
      </c>
      <c r="J275" s="495" t="s">
        <v>2939</v>
      </c>
      <c r="K275" s="495" t="s">
        <v>909</v>
      </c>
      <c r="L275" s="495" t="s">
        <v>3232</v>
      </c>
      <c r="M275" s="495" t="s">
        <v>737</v>
      </c>
      <c r="N275" s="495"/>
      <c r="O275" s="495"/>
      <c r="P275" s="495"/>
      <c r="Q275" s="495"/>
      <c r="R275" s="501" t="s">
        <v>738</v>
      </c>
      <c r="S275" s="495"/>
      <c r="T275" s="482" t="str">
        <f>VLOOKUP(Таблица3[[#This Row],[№ акта]],$AJ$1:$BJ$691,15,FALSE)</f>
        <v>А-112/1</v>
      </c>
      <c r="U275" s="482" t="str">
        <f>VLOOKUP(Таблица3[[#This Row],[№ акта]],$AJ$1:$BJ$691,16,FALSE)</f>
        <v>Тристар</v>
      </c>
      <c r="V275" s="502">
        <f>VLOOKUP(Таблица3[[#This Row],[№ акта]],$AJ$1:$BJ$691,17,FALSE)</f>
        <v>1.2</v>
      </c>
      <c r="W275" s="502" t="str">
        <f>VLOOKUP(Таблица3[[#This Row],[№ акта]],$AJ$1:$BJ$691,18,FALSE)</f>
        <v>ГРК (богара)</v>
      </c>
      <c r="X275" s="502" t="str">
        <f>VLOOKUP(Таблица3[[#This Row],[№ акта]],$AJ$1:$BJ$691,19,FALSE)</f>
        <v>богара</v>
      </c>
      <c r="Y275" s="503">
        <f>VLOOKUP(Таблица3[[#This Row],[№ акта]],$AJ$1:$BJ$691,20,FALSE)</f>
        <v>13</v>
      </c>
      <c r="Z275" s="504">
        <f>VLOOKUP(Таблица3[[#This Row],[№ акта]],$AJ$1:$BJ$691,21,FALSE)</f>
        <v>46189</v>
      </c>
      <c r="AA275" s="504"/>
      <c r="AB275" s="504" t="str">
        <f>IF(VLOOKUP(Таблица3[[#This Row],[№ акта]],$AJ$1:$BJ$691,23,FALSE)&lt;&gt;0,VLOOKUP(Таблица3[[#This Row],[№ акта]],$AJ$1:$BJ$691,23,FALSE),"-")</f>
        <v>-</v>
      </c>
      <c r="AC27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75" s="506" t="s">
        <v>3230</v>
      </c>
      <c r="AE275" s="505">
        <v>265</v>
      </c>
      <c r="AF275" s="507">
        <v>46189</v>
      </c>
      <c r="AG275" s="505">
        <v>252</v>
      </c>
      <c r="AH275" s="505">
        <f>IFERROR(VLOOKUP(Таблица3[[#This Row],[№ акта]],'Степень зрелости 2026'!$H$12:$I$800,2,FALSE),)</f>
        <v>66</v>
      </c>
      <c r="AJ275" s="508">
        <v>265</v>
      </c>
      <c r="AK275" s="509">
        <v>46189</v>
      </c>
      <c r="AL275" s="508">
        <v>380</v>
      </c>
      <c r="AO275" s="508">
        <v>4880</v>
      </c>
      <c r="AP275" s="508">
        <v>4465.2</v>
      </c>
      <c r="AQ275" s="508" t="s">
        <v>2939</v>
      </c>
      <c r="AR275" s="508" t="s">
        <v>909</v>
      </c>
      <c r="AS275" s="508" t="s">
        <v>3232</v>
      </c>
      <c r="AT275" s="508" t="s">
        <v>737</v>
      </c>
      <c r="AV275" s="508" t="s">
        <v>738</v>
      </c>
      <c r="AX275" s="508" t="s">
        <v>3095</v>
      </c>
      <c r="AY275" s="508" t="s">
        <v>909</v>
      </c>
      <c r="AZ275" s="508">
        <v>1.2</v>
      </c>
      <c r="BA275" s="508" t="s">
        <v>46</v>
      </c>
      <c r="BB275" s="508" t="s">
        <v>19</v>
      </c>
      <c r="BC275" s="508">
        <v>13</v>
      </c>
      <c r="BD275" s="509">
        <v>46189</v>
      </c>
      <c r="BG275" s="508" t="s">
        <v>3559</v>
      </c>
      <c r="BH275" s="508" t="s">
        <v>2940</v>
      </c>
      <c r="BI275" s="508">
        <v>252</v>
      </c>
      <c r="BJ275" s="508">
        <v>66</v>
      </c>
    </row>
    <row r="276" spans="1:62" s="508" customFormat="1" ht="14.25" hidden="1" customHeight="1" x14ac:dyDescent="0.2">
      <c r="A276" s="495" t="s">
        <v>102</v>
      </c>
      <c r="B276" s="496"/>
      <c r="C276" s="497">
        <f>Таблица3[[#This Row],[Степень зрелости вспом]]</f>
        <v>63</v>
      </c>
      <c r="D276" s="498">
        <v>381</v>
      </c>
      <c r="E276" s="499"/>
      <c r="F276" s="496"/>
      <c r="G276" s="496">
        <v>12680</v>
      </c>
      <c r="H276" s="500"/>
      <c r="I276" s="496">
        <v>11602.2</v>
      </c>
      <c r="J276" s="495" t="s">
        <v>2939</v>
      </c>
      <c r="K276" s="495" t="s">
        <v>909</v>
      </c>
      <c r="L276" s="495" t="s">
        <v>3232</v>
      </c>
      <c r="M276" s="495" t="s">
        <v>347</v>
      </c>
      <c r="N276" s="495"/>
      <c r="O276" s="495"/>
      <c r="P276" s="495"/>
      <c r="Q276" s="495"/>
      <c r="R276" s="501" t="s">
        <v>137</v>
      </c>
      <c r="S276" s="495"/>
      <c r="T276" s="482" t="str">
        <f>VLOOKUP(Таблица3[[#This Row],[№ акта]],$AJ$1:$BJ$691,15,FALSE)</f>
        <v>А-112/1</v>
      </c>
      <c r="U276" s="482" t="str">
        <f>VLOOKUP(Таблица3[[#This Row],[№ акта]],$AJ$1:$BJ$691,16,FALSE)</f>
        <v>Тристар</v>
      </c>
      <c r="V276" s="502">
        <f>VLOOKUP(Таблица3[[#This Row],[№ акта]],$AJ$1:$BJ$691,17,FALSE)</f>
        <v>3.1</v>
      </c>
      <c r="W276" s="502" t="str">
        <f>VLOOKUP(Таблица3[[#This Row],[№ акта]],$AJ$1:$BJ$691,18,FALSE)</f>
        <v>ГРК (богара)</v>
      </c>
      <c r="X276" s="502" t="str">
        <f>VLOOKUP(Таблица3[[#This Row],[№ акта]],$AJ$1:$BJ$691,19,FALSE)</f>
        <v>богара</v>
      </c>
      <c r="Y276" s="503">
        <f>VLOOKUP(Таблица3[[#This Row],[№ акта]],$AJ$1:$BJ$691,20,FALSE)</f>
        <v>13</v>
      </c>
      <c r="Z276" s="504">
        <f>VLOOKUP(Таблица3[[#This Row],[№ акта]],$AJ$1:$BJ$691,21,FALSE)</f>
        <v>46189</v>
      </c>
      <c r="AA276" s="504"/>
      <c r="AB276" s="504" t="str">
        <f>IF(VLOOKUP(Таблица3[[#This Row],[№ акта]],$AJ$1:$BJ$691,23,FALSE)&lt;&gt;0,VLOOKUP(Таблица3[[#This Row],[№ акта]],$AJ$1:$BJ$691,23,FALSE),"-")</f>
        <v>-</v>
      </c>
      <c r="AC27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76" s="506" t="s">
        <v>3230</v>
      </c>
      <c r="AE276" s="505">
        <v>266</v>
      </c>
      <c r="AF276" s="507">
        <v>46190</v>
      </c>
      <c r="AG276" s="505">
        <v>253</v>
      </c>
      <c r="AH276" s="505">
        <f>IFERROR(VLOOKUP(Таблица3[[#This Row],[№ акта]],'Степень зрелости 2026'!$H$12:$I$800,2,FALSE),)</f>
        <v>63</v>
      </c>
      <c r="AJ276" s="508">
        <v>266</v>
      </c>
      <c r="AK276" s="509">
        <v>46190</v>
      </c>
      <c r="AL276" s="508">
        <v>381</v>
      </c>
      <c r="AO276" s="508">
        <v>12680</v>
      </c>
      <c r="AP276" s="508">
        <v>11602.2</v>
      </c>
      <c r="AQ276" s="508" t="s">
        <v>2939</v>
      </c>
      <c r="AR276" s="508" t="s">
        <v>909</v>
      </c>
      <c r="AS276" s="508" t="s">
        <v>3232</v>
      </c>
      <c r="AT276" s="508" t="s">
        <v>347</v>
      </c>
      <c r="AV276" s="508" t="s">
        <v>137</v>
      </c>
      <c r="AX276" s="508" t="s">
        <v>3095</v>
      </c>
      <c r="AY276" s="508" t="s">
        <v>909</v>
      </c>
      <c r="AZ276" s="508">
        <v>3.1</v>
      </c>
      <c r="BA276" s="508" t="s">
        <v>46</v>
      </c>
      <c r="BB276" s="508" t="s">
        <v>19</v>
      </c>
      <c r="BC276" s="508">
        <v>13</v>
      </c>
      <c r="BD276" s="509">
        <v>46189</v>
      </c>
      <c r="BG276" s="508" t="s">
        <v>724</v>
      </c>
      <c r="BH276" s="508" t="s">
        <v>2940</v>
      </c>
      <c r="BI276" s="508">
        <v>253</v>
      </c>
      <c r="BJ276" s="508">
        <v>63</v>
      </c>
    </row>
    <row r="277" spans="1:62" s="508" customFormat="1" ht="14.25" hidden="1" customHeight="1" x14ac:dyDescent="0.2">
      <c r="A277" s="495" t="s">
        <v>102</v>
      </c>
      <c r="B277" s="496"/>
      <c r="C277" s="497">
        <f>Таблица3[[#This Row],[Степень зрелости вспом]]</f>
        <v>67</v>
      </c>
      <c r="D277" s="498">
        <v>382</v>
      </c>
      <c r="E277" s="499"/>
      <c r="F277" s="496"/>
      <c r="G277" s="496">
        <v>12400</v>
      </c>
      <c r="H277" s="500"/>
      <c r="I277" s="496">
        <v>11470</v>
      </c>
      <c r="J277" s="495" t="s">
        <v>2939</v>
      </c>
      <c r="K277" s="495" t="s">
        <v>909</v>
      </c>
      <c r="L277" s="495" t="s">
        <v>3095</v>
      </c>
      <c r="M277" s="495" t="s">
        <v>1806</v>
      </c>
      <c r="N277" s="495"/>
      <c r="O277" s="495"/>
      <c r="P277" s="495"/>
      <c r="Q277" s="495"/>
      <c r="R277" s="501" t="s">
        <v>1807</v>
      </c>
      <c r="S277" s="495"/>
      <c r="T277" s="482" t="str">
        <f>VLOOKUP(Таблица3[[#This Row],[№ акта]],$AJ$1:$BJ$691,15,FALSE)</f>
        <v>А-112/1</v>
      </c>
      <c r="U277" s="482" t="str">
        <f>VLOOKUP(Таблица3[[#This Row],[№ акта]],$AJ$1:$BJ$691,16,FALSE)</f>
        <v>Тристар</v>
      </c>
      <c r="V277" s="502">
        <f>VLOOKUP(Таблица3[[#This Row],[№ акта]],$AJ$1:$BJ$691,17,FALSE)</f>
        <v>3</v>
      </c>
      <c r="W277" s="502" t="str">
        <f>VLOOKUP(Таблица3[[#This Row],[№ акта]],$AJ$1:$BJ$691,18,FALSE)</f>
        <v>ГРК (богара)</v>
      </c>
      <c r="X277" s="502" t="str">
        <f>VLOOKUP(Таблица3[[#This Row],[№ акта]],$AJ$1:$BJ$691,19,FALSE)</f>
        <v>богара</v>
      </c>
      <c r="Y277" s="503">
        <f>VLOOKUP(Таблица3[[#This Row],[№ акта]],$AJ$1:$BJ$691,20,FALSE)</f>
        <v>13</v>
      </c>
      <c r="Z277" s="504">
        <f>VLOOKUP(Таблица3[[#This Row],[№ акта]],$AJ$1:$BJ$691,21,FALSE)</f>
        <v>46189</v>
      </c>
      <c r="AA277" s="504"/>
      <c r="AB277" s="504" t="str">
        <f>IF(VLOOKUP(Таблица3[[#This Row],[№ акта]],$AJ$1:$BJ$691,23,FALSE)&lt;&gt;0,VLOOKUP(Таблица3[[#This Row],[№ акта]],$AJ$1:$BJ$691,23,FALSE),"-")</f>
        <v>-</v>
      </c>
      <c r="AC27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277" s="506" t="s">
        <v>3230</v>
      </c>
      <c r="AE277" s="505">
        <v>267</v>
      </c>
      <c r="AF277" s="507">
        <v>46190</v>
      </c>
      <c r="AG277" s="505">
        <v>254</v>
      </c>
      <c r="AH277" s="505">
        <f>IFERROR(VLOOKUP(Таблица3[[#This Row],[№ акта]],'Степень зрелости 2026'!$H$12:$I$800,2,FALSE),)</f>
        <v>67</v>
      </c>
      <c r="AJ277" s="508">
        <v>267</v>
      </c>
      <c r="AK277" s="509">
        <v>46190</v>
      </c>
      <c r="AL277" s="508">
        <v>382</v>
      </c>
      <c r="AO277" s="508">
        <v>12400</v>
      </c>
      <c r="AP277" s="508">
        <v>11470</v>
      </c>
      <c r="AQ277" s="508" t="s">
        <v>2939</v>
      </c>
      <c r="AR277" s="508" t="s">
        <v>909</v>
      </c>
      <c r="AS277" s="508" t="s">
        <v>3095</v>
      </c>
      <c r="AT277" s="508" t="s">
        <v>1806</v>
      </c>
      <c r="AV277" s="508" t="s">
        <v>1807</v>
      </c>
      <c r="AX277" s="508" t="s">
        <v>3095</v>
      </c>
      <c r="AY277" s="508" t="s">
        <v>909</v>
      </c>
      <c r="AZ277" s="508">
        <v>3</v>
      </c>
      <c r="BA277" s="508" t="s">
        <v>46</v>
      </c>
      <c r="BB277" s="508" t="s">
        <v>19</v>
      </c>
      <c r="BC277" s="508">
        <v>13</v>
      </c>
      <c r="BD277" s="509">
        <v>46189</v>
      </c>
      <c r="BG277" s="508" t="s">
        <v>420</v>
      </c>
      <c r="BH277" s="508" t="s">
        <v>2940</v>
      </c>
      <c r="BI277" s="508">
        <v>254</v>
      </c>
      <c r="BJ277" s="508">
        <v>67</v>
      </c>
    </row>
    <row r="278" spans="1:62" s="508" customFormat="1" ht="14.25" hidden="1" customHeight="1" x14ac:dyDescent="0.2">
      <c r="A278" s="495" t="s">
        <v>102</v>
      </c>
      <c r="B278" s="496"/>
      <c r="C278" s="497">
        <f>Таблица3[[#This Row],[Степень зрелости вспом]]</f>
        <v>67</v>
      </c>
      <c r="D278" s="498">
        <v>383</v>
      </c>
      <c r="E278" s="499"/>
      <c r="F278" s="496"/>
      <c r="G278" s="496">
        <v>12760</v>
      </c>
      <c r="H278" s="500"/>
      <c r="I278" s="496">
        <v>11547.8</v>
      </c>
      <c r="J278" s="495" t="s">
        <v>2939</v>
      </c>
      <c r="K278" s="495" t="s">
        <v>909</v>
      </c>
      <c r="L278" s="495" t="s">
        <v>3095</v>
      </c>
      <c r="M278" s="495" t="s">
        <v>127</v>
      </c>
      <c r="N278" s="495"/>
      <c r="O278" s="495"/>
      <c r="P278" s="495"/>
      <c r="Q278" s="495"/>
      <c r="R278" s="501" t="s">
        <v>131</v>
      </c>
      <c r="S278" s="495"/>
      <c r="T278" s="482" t="str">
        <f>VLOOKUP(Таблица3[[#This Row],[№ акта]],$AJ$1:$BJ$691,15,FALSE)</f>
        <v>А-112/1</v>
      </c>
      <c r="U278" s="482" t="str">
        <f>VLOOKUP(Таблица3[[#This Row],[№ акта]],$AJ$1:$BJ$691,16,FALSE)</f>
        <v>Тристар</v>
      </c>
      <c r="V278" s="502">
        <f>VLOOKUP(Таблица3[[#This Row],[№ акта]],$AJ$1:$BJ$691,17,FALSE)</f>
        <v>3.1</v>
      </c>
      <c r="W278" s="502" t="str">
        <f>VLOOKUP(Таблица3[[#This Row],[№ акта]],$AJ$1:$BJ$691,18,FALSE)</f>
        <v>ГРК (богара)</v>
      </c>
      <c r="X278" s="502" t="str">
        <f>VLOOKUP(Таблица3[[#This Row],[№ акта]],$AJ$1:$BJ$691,19,FALSE)</f>
        <v>богара</v>
      </c>
      <c r="Y278" s="503">
        <f>VLOOKUP(Таблица3[[#This Row],[№ акта]],$AJ$1:$BJ$691,20,FALSE)</f>
        <v>13</v>
      </c>
      <c r="Z278" s="504">
        <f>VLOOKUP(Таблица3[[#This Row],[№ акта]],$AJ$1:$BJ$691,21,FALSE)</f>
        <v>46189</v>
      </c>
      <c r="AA278" s="504"/>
      <c r="AB278" s="504" t="str">
        <f>IF(VLOOKUP(Таблица3[[#This Row],[№ акта]],$AJ$1:$BJ$691,23,FALSE)&lt;&gt;0,VLOOKUP(Таблица3[[#This Row],[№ акта]],$AJ$1:$BJ$691,23,FALSE),"-")</f>
        <v>-</v>
      </c>
      <c r="AC27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278" s="506" t="s">
        <v>3230</v>
      </c>
      <c r="AE278" s="505">
        <v>268</v>
      </c>
      <c r="AF278" s="507">
        <v>46190</v>
      </c>
      <c r="AG278" s="505">
        <v>255</v>
      </c>
      <c r="AH278" s="505">
        <f>IFERROR(VLOOKUP(Таблица3[[#This Row],[№ акта]],'Степень зрелости 2026'!$H$12:$I$800,2,FALSE),)</f>
        <v>67</v>
      </c>
      <c r="AJ278" s="508">
        <v>268</v>
      </c>
      <c r="AK278" s="509">
        <v>46190</v>
      </c>
      <c r="AL278" s="508">
        <v>383</v>
      </c>
      <c r="AO278" s="508">
        <v>12760</v>
      </c>
      <c r="AP278" s="508">
        <v>11547.8</v>
      </c>
      <c r="AQ278" s="508" t="s">
        <v>2939</v>
      </c>
      <c r="AR278" s="508" t="s">
        <v>909</v>
      </c>
      <c r="AS278" s="508" t="s">
        <v>3095</v>
      </c>
      <c r="AT278" s="508" t="s">
        <v>127</v>
      </c>
      <c r="AV278" s="508" t="s">
        <v>131</v>
      </c>
      <c r="AX278" s="508" t="s">
        <v>3095</v>
      </c>
      <c r="AY278" s="508" t="s">
        <v>909</v>
      </c>
      <c r="AZ278" s="508">
        <v>3.1</v>
      </c>
      <c r="BA278" s="508" t="s">
        <v>46</v>
      </c>
      <c r="BB278" s="508" t="s">
        <v>19</v>
      </c>
      <c r="BC278" s="508">
        <v>13</v>
      </c>
      <c r="BD278" s="509">
        <v>46189</v>
      </c>
      <c r="BG278" s="508" t="s">
        <v>420</v>
      </c>
      <c r="BH278" s="508" t="s">
        <v>2940</v>
      </c>
      <c r="BI278" s="508">
        <v>255</v>
      </c>
      <c r="BJ278" s="508">
        <v>67</v>
      </c>
    </row>
    <row r="279" spans="1:62" s="508" customFormat="1" ht="14.25" hidden="1" customHeight="1" x14ac:dyDescent="0.2">
      <c r="A279" s="495" t="s">
        <v>102</v>
      </c>
      <c r="B279" s="496"/>
      <c r="C279" s="497">
        <f>Таблица3[[#This Row],[Степень зрелости вспом]]</f>
        <v>66</v>
      </c>
      <c r="D279" s="498">
        <v>384</v>
      </c>
      <c r="E279" s="499"/>
      <c r="F279" s="496"/>
      <c r="G279" s="496">
        <v>12600</v>
      </c>
      <c r="H279" s="500"/>
      <c r="I279" s="496">
        <v>11403</v>
      </c>
      <c r="J279" s="495" t="s">
        <v>2939</v>
      </c>
      <c r="K279" s="495" t="s">
        <v>909</v>
      </c>
      <c r="L279" s="495" t="s">
        <v>3095</v>
      </c>
      <c r="M279" s="495" t="s">
        <v>311</v>
      </c>
      <c r="N279" s="495"/>
      <c r="O279" s="495"/>
      <c r="P279" s="495"/>
      <c r="Q279" s="495"/>
      <c r="R279" s="501" t="s">
        <v>315</v>
      </c>
      <c r="S279" s="495"/>
      <c r="T279" s="482" t="str">
        <f>VLOOKUP(Таблица3[[#This Row],[№ акта]],$AJ$1:$BJ$691,15,FALSE)</f>
        <v>А-112/1</v>
      </c>
      <c r="U279" s="482" t="str">
        <f>VLOOKUP(Таблица3[[#This Row],[№ акта]],$AJ$1:$BJ$691,16,FALSE)</f>
        <v>Тристар</v>
      </c>
      <c r="V279" s="502">
        <f>VLOOKUP(Таблица3[[#This Row],[№ акта]],$AJ$1:$BJ$691,17,FALSE)</f>
        <v>3</v>
      </c>
      <c r="W279" s="502" t="str">
        <f>VLOOKUP(Таблица3[[#This Row],[№ акта]],$AJ$1:$BJ$691,18,FALSE)</f>
        <v>ГРК (богара)</v>
      </c>
      <c r="X279" s="502" t="str">
        <f>VLOOKUP(Таблица3[[#This Row],[№ акта]],$AJ$1:$BJ$691,19,FALSE)</f>
        <v>богара</v>
      </c>
      <c r="Y279" s="503">
        <f>VLOOKUP(Таблица3[[#This Row],[№ акта]],$AJ$1:$BJ$691,20,FALSE)</f>
        <v>13</v>
      </c>
      <c r="Z279" s="504">
        <f>VLOOKUP(Таблица3[[#This Row],[№ акта]],$AJ$1:$BJ$691,21,FALSE)</f>
        <v>46189</v>
      </c>
      <c r="AA279" s="504"/>
      <c r="AB279" s="504" t="str">
        <f>IF(VLOOKUP(Таблица3[[#This Row],[№ акта]],$AJ$1:$BJ$691,23,FALSE)&lt;&gt;0,VLOOKUP(Таблица3[[#This Row],[№ акта]],$AJ$1:$BJ$691,23,FALSE),"-")</f>
        <v>-</v>
      </c>
      <c r="AC27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79" s="506" t="s">
        <v>3230</v>
      </c>
      <c r="AE279" s="505">
        <v>269</v>
      </c>
      <c r="AF279" s="507">
        <v>46190</v>
      </c>
      <c r="AG279" s="505">
        <v>256</v>
      </c>
      <c r="AH279" s="505">
        <f>IFERROR(VLOOKUP(Таблица3[[#This Row],[№ акта]],'Степень зрелости 2026'!$H$12:$I$800,2,FALSE),)</f>
        <v>66</v>
      </c>
      <c r="AJ279" s="508">
        <v>269</v>
      </c>
      <c r="AK279" s="509">
        <v>46190</v>
      </c>
      <c r="AL279" s="508">
        <v>384</v>
      </c>
      <c r="AO279" s="508">
        <v>12600</v>
      </c>
      <c r="AP279" s="508">
        <v>11403</v>
      </c>
      <c r="AQ279" s="508" t="s">
        <v>2939</v>
      </c>
      <c r="AR279" s="508" t="s">
        <v>909</v>
      </c>
      <c r="AS279" s="508" t="s">
        <v>3095</v>
      </c>
      <c r="AT279" s="508" t="s">
        <v>311</v>
      </c>
      <c r="AV279" s="508" t="s">
        <v>315</v>
      </c>
      <c r="AX279" s="508" t="s">
        <v>3095</v>
      </c>
      <c r="AY279" s="508" t="s">
        <v>909</v>
      </c>
      <c r="AZ279" s="508">
        <v>3</v>
      </c>
      <c r="BA279" s="508" t="s">
        <v>46</v>
      </c>
      <c r="BB279" s="508" t="s">
        <v>19</v>
      </c>
      <c r="BC279" s="508">
        <v>13</v>
      </c>
      <c r="BD279" s="509">
        <v>46189</v>
      </c>
      <c r="BG279" s="508" t="s">
        <v>3559</v>
      </c>
      <c r="BH279" s="508" t="s">
        <v>2940</v>
      </c>
      <c r="BI279" s="508">
        <v>256</v>
      </c>
      <c r="BJ279" s="508">
        <v>66</v>
      </c>
    </row>
    <row r="280" spans="1:62" s="508" customFormat="1" ht="14.25" hidden="1" customHeight="1" x14ac:dyDescent="0.2">
      <c r="A280" s="495" t="s">
        <v>102</v>
      </c>
      <c r="B280" s="496"/>
      <c r="C280" s="497">
        <f>Таблица3[[#This Row],[Степень зрелости вспом]]</f>
        <v>67</v>
      </c>
      <c r="D280" s="498">
        <v>385</v>
      </c>
      <c r="E280" s="499"/>
      <c r="F280" s="496"/>
      <c r="G280" s="496">
        <v>12620</v>
      </c>
      <c r="H280" s="500"/>
      <c r="I280" s="496">
        <v>11799.7</v>
      </c>
      <c r="J280" s="495" t="s">
        <v>2939</v>
      </c>
      <c r="K280" s="495" t="s">
        <v>909</v>
      </c>
      <c r="L280" s="495" t="s">
        <v>3095</v>
      </c>
      <c r="M280" s="495" t="s">
        <v>347</v>
      </c>
      <c r="N280" s="495"/>
      <c r="O280" s="495"/>
      <c r="P280" s="495"/>
      <c r="Q280" s="495"/>
      <c r="R280" s="501" t="s">
        <v>137</v>
      </c>
      <c r="S280" s="495"/>
      <c r="T280" s="482" t="str">
        <f>VLOOKUP(Таблица3[[#This Row],[№ акта]],$AJ$1:$BJ$691,15,FALSE)</f>
        <v>А-112/1</v>
      </c>
      <c r="U280" s="482" t="str">
        <f>VLOOKUP(Таблица3[[#This Row],[№ акта]],$AJ$1:$BJ$691,16,FALSE)</f>
        <v>Тристар</v>
      </c>
      <c r="V280" s="502">
        <f>VLOOKUP(Таблица3[[#This Row],[№ акта]],$AJ$1:$BJ$691,17,FALSE)</f>
        <v>3</v>
      </c>
      <c r="W280" s="502" t="str">
        <f>VLOOKUP(Таблица3[[#This Row],[№ акта]],$AJ$1:$BJ$691,18,FALSE)</f>
        <v>ГРК (богара)</v>
      </c>
      <c r="X280" s="502" t="str">
        <f>VLOOKUP(Таблица3[[#This Row],[№ акта]],$AJ$1:$BJ$691,19,FALSE)</f>
        <v>богара</v>
      </c>
      <c r="Y280" s="503">
        <f>VLOOKUP(Таблица3[[#This Row],[№ акта]],$AJ$1:$BJ$691,20,FALSE)</f>
        <v>13</v>
      </c>
      <c r="Z280" s="504">
        <f>VLOOKUP(Таблица3[[#This Row],[№ акта]],$AJ$1:$BJ$691,21,FALSE)</f>
        <v>46189</v>
      </c>
      <c r="AA280" s="504"/>
      <c r="AB280" s="504" t="str">
        <f>IF(VLOOKUP(Таблица3[[#This Row],[№ акта]],$AJ$1:$BJ$691,23,FALSE)&lt;&gt;0,VLOOKUP(Таблица3[[#This Row],[№ акта]],$AJ$1:$BJ$691,23,FALSE),"-")</f>
        <v>-</v>
      </c>
      <c r="AC28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280" s="506" t="s">
        <v>3230</v>
      </c>
      <c r="AE280" s="505">
        <v>273</v>
      </c>
      <c r="AF280" s="507">
        <v>46190</v>
      </c>
      <c r="AG280" s="505">
        <v>257</v>
      </c>
      <c r="AH280" s="505">
        <f>IFERROR(VLOOKUP(Таблица3[[#This Row],[№ акта]],'Степень зрелости 2026'!$H$12:$I$800,2,FALSE),)</f>
        <v>67</v>
      </c>
      <c r="AJ280" s="508">
        <v>273</v>
      </c>
      <c r="AK280" s="509">
        <v>46190</v>
      </c>
      <c r="AL280" s="508">
        <v>385</v>
      </c>
      <c r="AO280" s="508">
        <v>12620</v>
      </c>
      <c r="AP280" s="508">
        <v>11799.7</v>
      </c>
      <c r="AQ280" s="508" t="s">
        <v>2939</v>
      </c>
      <c r="AR280" s="508" t="s">
        <v>909</v>
      </c>
      <c r="AS280" s="508" t="s">
        <v>3095</v>
      </c>
      <c r="AT280" s="508" t="s">
        <v>347</v>
      </c>
      <c r="AV280" s="508" t="s">
        <v>137</v>
      </c>
      <c r="AX280" s="508" t="s">
        <v>3095</v>
      </c>
      <c r="AY280" s="508" t="s">
        <v>909</v>
      </c>
      <c r="AZ280" s="508">
        <v>3</v>
      </c>
      <c r="BA280" s="508" t="s">
        <v>46</v>
      </c>
      <c r="BB280" s="508" t="s">
        <v>19</v>
      </c>
      <c r="BC280" s="508">
        <v>13</v>
      </c>
      <c r="BD280" s="509">
        <v>46189</v>
      </c>
      <c r="BG280" s="508" t="s">
        <v>420</v>
      </c>
      <c r="BH280" s="508" t="s">
        <v>2940</v>
      </c>
      <c r="BI280" s="508">
        <v>257</v>
      </c>
      <c r="BJ280" s="508">
        <v>67</v>
      </c>
    </row>
    <row r="281" spans="1:62" s="508" customFormat="1" ht="14.25" hidden="1" customHeight="1" x14ac:dyDescent="0.2">
      <c r="A281" s="495" t="s">
        <v>102</v>
      </c>
      <c r="B281" s="496"/>
      <c r="C281" s="497">
        <f>Таблица3[[#This Row],[Степень зрелости вспом]]</f>
        <v>68</v>
      </c>
      <c r="D281" s="498">
        <v>387</v>
      </c>
      <c r="E281" s="499"/>
      <c r="F281" s="496"/>
      <c r="G281" s="496">
        <v>12650</v>
      </c>
      <c r="H281" s="500"/>
      <c r="I281" s="496">
        <v>11574.8</v>
      </c>
      <c r="J281" s="495" t="s">
        <v>2939</v>
      </c>
      <c r="K281" s="495" t="s">
        <v>909</v>
      </c>
      <c r="L281" s="495" t="s">
        <v>3095</v>
      </c>
      <c r="M281" s="495" t="s">
        <v>121</v>
      </c>
      <c r="N281" s="495"/>
      <c r="O281" s="495"/>
      <c r="P281" s="495"/>
      <c r="Q281" s="495"/>
      <c r="R281" s="501" t="s">
        <v>125</v>
      </c>
      <c r="S281" s="495"/>
      <c r="T281" s="482" t="str">
        <f>VLOOKUP(Таблица3[[#This Row],[№ акта]],$AJ$1:$BJ$691,15,FALSE)</f>
        <v>А-112/2</v>
      </c>
      <c r="U281" s="482" t="str">
        <f>VLOOKUP(Таблица3[[#This Row],[№ акта]],$AJ$1:$BJ$691,16,FALSE)</f>
        <v>Тристар</v>
      </c>
      <c r="V281" s="502">
        <f>VLOOKUP(Таблица3[[#This Row],[№ акта]],$AJ$1:$BJ$691,17,FALSE)</f>
        <v>1.9</v>
      </c>
      <c r="W281" s="502" t="str">
        <f>VLOOKUP(Таблица3[[#This Row],[№ акта]],$AJ$1:$BJ$691,18,FALSE)</f>
        <v>ГРК (полив)</v>
      </c>
      <c r="X281" s="502" t="str">
        <f>VLOOKUP(Таблица3[[#This Row],[№ акта]],$AJ$1:$BJ$691,19,FALSE)</f>
        <v>полив</v>
      </c>
      <c r="Y281" s="503">
        <f>VLOOKUP(Таблица3[[#This Row],[№ акта]],$AJ$1:$BJ$691,20,FALSE)</f>
        <v>14</v>
      </c>
      <c r="Z281" s="504">
        <f>VLOOKUP(Таблица3[[#This Row],[№ акта]],$AJ$1:$BJ$691,21,FALSE)</f>
        <v>46190</v>
      </c>
      <c r="AA281" s="504"/>
      <c r="AB281" s="504" t="str">
        <f>IF(VLOOKUP(Таблица3[[#This Row],[№ акта]],$AJ$1:$BJ$691,23,FALSE)&lt;&gt;0,VLOOKUP(Таблица3[[#This Row],[№ акта]],$AJ$1:$BJ$691,23,FALSE),"-")</f>
        <v>-</v>
      </c>
      <c r="AC28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281" s="506" t="s">
        <v>3230</v>
      </c>
      <c r="AE281" s="505">
        <v>275</v>
      </c>
      <c r="AF281" s="507">
        <v>46190</v>
      </c>
      <c r="AG281" s="505">
        <v>258</v>
      </c>
      <c r="AH281" s="505">
        <f>IFERROR(VLOOKUP(Таблица3[[#This Row],[№ акта]],'Степень зрелости 2026'!$H$12:$I$800,2,FALSE),)</f>
        <v>68</v>
      </c>
      <c r="AJ281" s="508">
        <v>275</v>
      </c>
      <c r="AK281" s="509">
        <v>46190</v>
      </c>
      <c r="AL281" s="508">
        <v>387</v>
      </c>
      <c r="AO281" s="508">
        <v>12650</v>
      </c>
      <c r="AP281" s="508">
        <v>11574.8</v>
      </c>
      <c r="AQ281" s="508" t="s">
        <v>2939</v>
      </c>
      <c r="AR281" s="508" t="s">
        <v>909</v>
      </c>
      <c r="AS281" s="508" t="s">
        <v>3095</v>
      </c>
      <c r="AT281" s="508" t="s">
        <v>121</v>
      </c>
      <c r="AV281" s="508" t="s">
        <v>125</v>
      </c>
      <c r="AX281" s="508" t="s">
        <v>3109</v>
      </c>
      <c r="AY281" s="508" t="s">
        <v>909</v>
      </c>
      <c r="AZ281" s="508">
        <v>1.9</v>
      </c>
      <c r="BA281" s="508" t="s">
        <v>2932</v>
      </c>
      <c r="BB281" s="508" t="s">
        <v>178</v>
      </c>
      <c r="BC281" s="508">
        <v>14</v>
      </c>
      <c r="BD281" s="509">
        <v>46190</v>
      </c>
      <c r="BG281" s="508" t="s">
        <v>420</v>
      </c>
      <c r="BH281" s="508" t="s">
        <v>2940</v>
      </c>
      <c r="BI281" s="508">
        <v>258</v>
      </c>
      <c r="BJ281" s="508">
        <v>68</v>
      </c>
    </row>
    <row r="282" spans="1:62" s="508" customFormat="1" ht="14.25" hidden="1" customHeight="1" x14ac:dyDescent="0.2">
      <c r="A282" s="495" t="s">
        <v>102</v>
      </c>
      <c r="B282" s="496"/>
      <c r="C282" s="497">
        <f>Таблица3[[#This Row],[Степень зрелости вспом]]</f>
        <v>68</v>
      </c>
      <c r="D282" s="498">
        <v>388</v>
      </c>
      <c r="E282" s="499"/>
      <c r="F282" s="496"/>
      <c r="G282" s="496">
        <v>12610</v>
      </c>
      <c r="H282" s="500"/>
      <c r="I282" s="496">
        <v>11664.3</v>
      </c>
      <c r="J282" s="495" t="s">
        <v>2939</v>
      </c>
      <c r="K282" s="495" t="s">
        <v>909</v>
      </c>
      <c r="L282" s="495" t="s">
        <v>3095</v>
      </c>
      <c r="M282" s="495" t="s">
        <v>894</v>
      </c>
      <c r="N282" s="495"/>
      <c r="O282" s="495"/>
      <c r="P282" s="495"/>
      <c r="Q282" s="495"/>
      <c r="R282" s="501" t="s">
        <v>895</v>
      </c>
      <c r="S282" s="495"/>
      <c r="T282" s="482" t="str">
        <f>VLOOKUP(Таблица3[[#This Row],[№ акта]],$AJ$1:$BJ$691,15,FALSE)</f>
        <v>А-112/2</v>
      </c>
      <c r="U282" s="482" t="str">
        <f>VLOOKUP(Таблица3[[#This Row],[№ акта]],$AJ$1:$BJ$691,16,FALSE)</f>
        <v>Тристар</v>
      </c>
      <c r="V282" s="502">
        <f>VLOOKUP(Таблица3[[#This Row],[№ акта]],$AJ$1:$BJ$691,17,FALSE)</f>
        <v>1.9</v>
      </c>
      <c r="W282" s="502" t="str">
        <f>VLOOKUP(Таблица3[[#This Row],[№ акта]],$AJ$1:$BJ$691,18,FALSE)</f>
        <v>ГРК (полив)</v>
      </c>
      <c r="X282" s="502" t="str">
        <f>VLOOKUP(Таблица3[[#This Row],[№ акта]],$AJ$1:$BJ$691,19,FALSE)</f>
        <v>полив</v>
      </c>
      <c r="Y282" s="503">
        <f>VLOOKUP(Таблица3[[#This Row],[№ акта]],$AJ$1:$BJ$691,20,FALSE)</f>
        <v>14</v>
      </c>
      <c r="Z282" s="504">
        <f>VLOOKUP(Таблица3[[#This Row],[№ акта]],$AJ$1:$BJ$691,21,FALSE)</f>
        <v>46190</v>
      </c>
      <c r="AA282" s="504"/>
      <c r="AB282" s="504" t="str">
        <f>IF(VLOOKUP(Таблица3[[#This Row],[№ акта]],$AJ$1:$BJ$691,23,FALSE)&lt;&gt;0,VLOOKUP(Таблица3[[#This Row],[№ акта]],$AJ$1:$BJ$691,23,FALSE),"-")</f>
        <v>-</v>
      </c>
      <c r="AC28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282" s="506" t="s">
        <v>3230</v>
      </c>
      <c r="AE282" s="505">
        <v>277</v>
      </c>
      <c r="AF282" s="507">
        <v>46190</v>
      </c>
      <c r="AG282" s="505">
        <v>259</v>
      </c>
      <c r="AH282" s="505">
        <f>IFERROR(VLOOKUP(Таблица3[[#This Row],[№ акта]],'Степень зрелости 2026'!$H$12:$I$800,2,FALSE),)</f>
        <v>68</v>
      </c>
      <c r="AJ282" s="508">
        <v>277</v>
      </c>
      <c r="AK282" s="509">
        <v>46190</v>
      </c>
      <c r="AL282" s="508">
        <v>388</v>
      </c>
      <c r="AO282" s="508">
        <v>12610</v>
      </c>
      <c r="AP282" s="508">
        <v>11664.3</v>
      </c>
      <c r="AQ282" s="508" t="s">
        <v>2939</v>
      </c>
      <c r="AR282" s="508" t="s">
        <v>909</v>
      </c>
      <c r="AS282" s="508" t="s">
        <v>3095</v>
      </c>
      <c r="AT282" s="508" t="s">
        <v>894</v>
      </c>
      <c r="AV282" s="508" t="s">
        <v>895</v>
      </c>
      <c r="AX282" s="508" t="s">
        <v>3109</v>
      </c>
      <c r="AY282" s="508" t="s">
        <v>909</v>
      </c>
      <c r="AZ282" s="508">
        <v>1.9</v>
      </c>
      <c r="BA282" s="508" t="s">
        <v>2932</v>
      </c>
      <c r="BB282" s="508" t="s">
        <v>178</v>
      </c>
      <c r="BC282" s="508">
        <v>14</v>
      </c>
      <c r="BD282" s="509">
        <v>46190</v>
      </c>
      <c r="BG282" s="508" t="s">
        <v>420</v>
      </c>
      <c r="BH282" s="508" t="s">
        <v>2940</v>
      </c>
      <c r="BI282" s="508">
        <v>259</v>
      </c>
      <c r="BJ282" s="508">
        <v>68</v>
      </c>
    </row>
    <row r="283" spans="1:62" s="508" customFormat="1" ht="14.25" hidden="1" customHeight="1" x14ac:dyDescent="0.2">
      <c r="A283" s="495"/>
      <c r="B283" s="496"/>
      <c r="C283" s="497">
        <f>Таблица3[[#This Row],[Степень зрелости вспом]]</f>
        <v>68</v>
      </c>
      <c r="D283" s="498">
        <v>391</v>
      </c>
      <c r="E283" s="499"/>
      <c r="F283" s="496"/>
      <c r="G283" s="496">
        <v>12640</v>
      </c>
      <c r="H283" s="500"/>
      <c r="I283" s="496">
        <v>11692</v>
      </c>
      <c r="J283" s="495" t="s">
        <v>2939</v>
      </c>
      <c r="K283" s="495" t="s">
        <v>909</v>
      </c>
      <c r="L283" s="495" t="s">
        <v>3232</v>
      </c>
      <c r="M283" s="495" t="s">
        <v>1792</v>
      </c>
      <c r="N283" s="495"/>
      <c r="O283" s="495"/>
      <c r="P283" s="495"/>
      <c r="Q283" s="495"/>
      <c r="R283" s="501" t="s">
        <v>80</v>
      </c>
      <c r="S283" s="495"/>
      <c r="T283" s="482" t="str">
        <f>VLOOKUP(Таблица3[[#This Row],[№ акта]],$AJ$1:$BJ$691,15,FALSE)</f>
        <v>А-112/2</v>
      </c>
      <c r="U283" s="482" t="str">
        <f>VLOOKUP(Таблица3[[#This Row],[№ акта]],$AJ$1:$BJ$691,16,FALSE)</f>
        <v>Тристар</v>
      </c>
      <c r="V283" s="502">
        <f>VLOOKUP(Таблица3[[#This Row],[№ акта]],$AJ$1:$BJ$691,17,FALSE)</f>
        <v>1.9</v>
      </c>
      <c r="W283" s="502" t="str">
        <f>VLOOKUP(Таблица3[[#This Row],[№ акта]],$AJ$1:$BJ$691,18,FALSE)</f>
        <v>ГРК (полив)</v>
      </c>
      <c r="X283" s="502" t="str">
        <f>VLOOKUP(Таблица3[[#This Row],[№ акта]],$AJ$1:$BJ$691,19,FALSE)</f>
        <v>полив</v>
      </c>
      <c r="Y283" s="503">
        <f>VLOOKUP(Таблица3[[#This Row],[№ акта]],$AJ$1:$BJ$691,20,FALSE)</f>
        <v>14</v>
      </c>
      <c r="Z283" s="504">
        <f>VLOOKUP(Таблица3[[#This Row],[№ акта]],$AJ$1:$BJ$691,21,FALSE)</f>
        <v>46190</v>
      </c>
      <c r="AA283" s="504"/>
      <c r="AB283" s="504" t="str">
        <f>IF(VLOOKUP(Таблица3[[#This Row],[№ акта]],$AJ$1:$BJ$691,23,FALSE)&lt;&gt;0,VLOOKUP(Таблица3[[#This Row],[№ акта]],$AJ$1:$BJ$691,23,FALSE),"-")</f>
        <v>-</v>
      </c>
      <c r="AC28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283" s="506" t="s">
        <v>3230</v>
      </c>
      <c r="AE283" s="505">
        <v>283</v>
      </c>
      <c r="AF283" s="507">
        <v>46190</v>
      </c>
      <c r="AG283" s="505">
        <v>260</v>
      </c>
      <c r="AH283" s="505">
        <f>IFERROR(VLOOKUP(Таблица3[[#This Row],[№ акта]],'Степень зрелости 2026'!$H$12:$I$800,2,FALSE),)</f>
        <v>68</v>
      </c>
      <c r="AJ283" s="508">
        <v>283</v>
      </c>
      <c r="AK283" s="509">
        <v>46190</v>
      </c>
      <c r="AL283" s="508">
        <v>391</v>
      </c>
      <c r="AO283" s="508">
        <v>12640</v>
      </c>
      <c r="AP283" s="508">
        <v>11692</v>
      </c>
      <c r="AQ283" s="508" t="s">
        <v>2939</v>
      </c>
      <c r="AR283" s="508" t="s">
        <v>909</v>
      </c>
      <c r="AS283" s="508" t="s">
        <v>3232</v>
      </c>
      <c r="AT283" s="508" t="s">
        <v>1792</v>
      </c>
      <c r="AV283" s="508" t="s">
        <v>80</v>
      </c>
      <c r="AX283" s="508" t="s">
        <v>3109</v>
      </c>
      <c r="AY283" s="508" t="s">
        <v>909</v>
      </c>
      <c r="AZ283" s="508">
        <v>1.9</v>
      </c>
      <c r="BA283" s="508" t="s">
        <v>2932</v>
      </c>
      <c r="BB283" s="508" t="s">
        <v>178</v>
      </c>
      <c r="BC283" s="508">
        <v>14</v>
      </c>
      <c r="BD283" s="509">
        <v>46190</v>
      </c>
      <c r="BG283" s="508" t="s">
        <v>420</v>
      </c>
      <c r="BH283" s="508" t="s">
        <v>2940</v>
      </c>
      <c r="BI283" s="508">
        <v>260</v>
      </c>
      <c r="BJ283" s="508">
        <v>68</v>
      </c>
    </row>
    <row r="284" spans="1:62" s="508" customFormat="1" ht="14.25" hidden="1" customHeight="1" x14ac:dyDescent="0.2">
      <c r="A284" s="495"/>
      <c r="B284" s="496"/>
      <c r="C284" s="497">
        <f>Таблица3[[#This Row],[Степень зрелости вспом]]</f>
        <v>64</v>
      </c>
      <c r="D284" s="498">
        <v>393</v>
      </c>
      <c r="E284" s="499"/>
      <c r="F284" s="496"/>
      <c r="G284" s="496">
        <v>4390</v>
      </c>
      <c r="H284" s="500"/>
      <c r="I284" s="496">
        <v>4016.9</v>
      </c>
      <c r="J284" s="495" t="s">
        <v>2939</v>
      </c>
      <c r="K284" s="495" t="s">
        <v>909</v>
      </c>
      <c r="L284" s="495" t="s">
        <v>3095</v>
      </c>
      <c r="M284" s="495" t="s">
        <v>762</v>
      </c>
      <c r="N284" s="495"/>
      <c r="O284" s="495"/>
      <c r="P284" s="495"/>
      <c r="Q284" s="495"/>
      <c r="R284" s="501" t="s">
        <v>763</v>
      </c>
      <c r="S284" s="495"/>
      <c r="T284" s="482" t="str">
        <f>VLOOKUP(Таблица3[[#This Row],[№ акта]],$AJ$1:$BJ$691,15,FALSE)</f>
        <v>А-112/2</v>
      </c>
      <c r="U284" s="482" t="str">
        <f>VLOOKUP(Таблица3[[#This Row],[№ акта]],$AJ$1:$BJ$691,16,FALSE)</f>
        <v>Тристар</v>
      </c>
      <c r="V284" s="502">
        <f>VLOOKUP(Таблица3[[#This Row],[№ акта]],$AJ$1:$BJ$691,17,FALSE)</f>
        <v>0.7</v>
      </c>
      <c r="W284" s="502" t="str">
        <f>VLOOKUP(Таблица3[[#This Row],[№ акта]],$AJ$1:$BJ$691,18,FALSE)</f>
        <v>ГРК (полив)</v>
      </c>
      <c r="X284" s="502" t="str">
        <f>VLOOKUP(Таблица3[[#This Row],[№ акта]],$AJ$1:$BJ$691,19,FALSE)</f>
        <v>полив</v>
      </c>
      <c r="Y284" s="503">
        <f>VLOOKUP(Таблица3[[#This Row],[№ акта]],$AJ$1:$BJ$691,20,FALSE)</f>
        <v>14</v>
      </c>
      <c r="Z284" s="504">
        <f>VLOOKUP(Таблица3[[#This Row],[№ акта]],$AJ$1:$BJ$691,21,FALSE)</f>
        <v>46190</v>
      </c>
      <c r="AA284" s="504"/>
      <c r="AB284" s="504" t="str">
        <f>IF(VLOOKUP(Таблица3[[#This Row],[№ акта]],$AJ$1:$BJ$691,23,FALSE)&lt;&gt;0,VLOOKUP(Таблица3[[#This Row],[№ акта]],$AJ$1:$BJ$691,23,FALSE),"-")</f>
        <v>-</v>
      </c>
      <c r="AC28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284" s="506" t="s">
        <v>3230</v>
      </c>
      <c r="AE284" s="505">
        <v>285</v>
      </c>
      <c r="AF284" s="507">
        <v>46190</v>
      </c>
      <c r="AG284" s="505">
        <v>261</v>
      </c>
      <c r="AH284" s="505">
        <f>IFERROR(VLOOKUP(Таблица3[[#This Row],[№ акта]],'Степень зрелости 2026'!$H$12:$I$800,2,FALSE),)</f>
        <v>64</v>
      </c>
      <c r="AJ284" s="508">
        <v>285</v>
      </c>
      <c r="AK284" s="509">
        <v>46190</v>
      </c>
      <c r="AL284" s="508">
        <v>393</v>
      </c>
      <c r="AO284" s="508">
        <v>4390</v>
      </c>
      <c r="AP284" s="508">
        <v>4016.9</v>
      </c>
      <c r="AQ284" s="508" t="s">
        <v>2939</v>
      </c>
      <c r="AR284" s="508" t="s">
        <v>909</v>
      </c>
      <c r="AS284" s="508" t="s">
        <v>3095</v>
      </c>
      <c r="AT284" s="508" t="s">
        <v>762</v>
      </c>
      <c r="AV284" s="508" t="s">
        <v>763</v>
      </c>
      <c r="AX284" s="508" t="s">
        <v>3109</v>
      </c>
      <c r="AY284" s="508" t="s">
        <v>909</v>
      </c>
      <c r="AZ284" s="508">
        <v>0.7</v>
      </c>
      <c r="BA284" s="508" t="s">
        <v>2932</v>
      </c>
      <c r="BB284" s="508" t="s">
        <v>178</v>
      </c>
      <c r="BC284" s="508">
        <v>14</v>
      </c>
      <c r="BD284" s="509">
        <v>46190</v>
      </c>
      <c r="BG284" s="508" t="s">
        <v>3559</v>
      </c>
      <c r="BH284" s="508" t="s">
        <v>2940</v>
      </c>
      <c r="BI284" s="508">
        <v>261</v>
      </c>
      <c r="BJ284" s="508">
        <v>64</v>
      </c>
    </row>
    <row r="285" spans="1:62" s="508" customFormat="1" ht="14.25" hidden="1" customHeight="1" x14ac:dyDescent="0.2">
      <c r="A285" s="495"/>
      <c r="B285" s="496"/>
      <c r="C285" s="497">
        <f>Таблица3[[#This Row],[Степень зрелости вспом]]</f>
        <v>55</v>
      </c>
      <c r="D285" s="498">
        <v>394</v>
      </c>
      <c r="E285" s="499"/>
      <c r="F285" s="496"/>
      <c r="G285" s="496">
        <v>13340</v>
      </c>
      <c r="H285" s="500"/>
      <c r="I285" s="496">
        <v>11272.3</v>
      </c>
      <c r="J285" s="495" t="s">
        <v>2939</v>
      </c>
      <c r="K285" s="495" t="s">
        <v>909</v>
      </c>
      <c r="L285" s="495" t="s">
        <v>3095</v>
      </c>
      <c r="M285" s="495" t="s">
        <v>1312</v>
      </c>
      <c r="N285" s="495"/>
      <c r="O285" s="495"/>
      <c r="P285" s="495"/>
      <c r="Q285" s="495"/>
      <c r="R285" s="501" t="s">
        <v>320</v>
      </c>
      <c r="S285" s="495"/>
      <c r="T285" s="482" t="str">
        <f>VLOOKUP(Таблица3[[#This Row],[№ акта]],$AJ$1:$BJ$691,15,FALSE)</f>
        <v>А-112/2</v>
      </c>
      <c r="U285" s="482" t="str">
        <f>VLOOKUP(Таблица3[[#This Row],[№ акта]],$AJ$1:$BJ$691,16,FALSE)</f>
        <v>Тристар</v>
      </c>
      <c r="V285" s="502">
        <f>VLOOKUP(Таблица3[[#This Row],[№ акта]],$AJ$1:$BJ$691,17,FALSE)</f>
        <v>2</v>
      </c>
      <c r="W285" s="502" t="str">
        <f>VLOOKUP(Таблица3[[#This Row],[№ акта]],$AJ$1:$BJ$691,18,FALSE)</f>
        <v>ГРК (полив)</v>
      </c>
      <c r="X285" s="502" t="str">
        <f>VLOOKUP(Таблица3[[#This Row],[№ акта]],$AJ$1:$BJ$691,19,FALSE)</f>
        <v>полив</v>
      </c>
      <c r="Y285" s="503">
        <f>VLOOKUP(Таблица3[[#This Row],[№ акта]],$AJ$1:$BJ$691,20,FALSE)</f>
        <v>14</v>
      </c>
      <c r="Z285" s="504">
        <f>VLOOKUP(Таблица3[[#This Row],[№ акта]],$AJ$1:$BJ$691,21,FALSE)</f>
        <v>46190</v>
      </c>
      <c r="AA285" s="504"/>
      <c r="AB285" s="504" t="str">
        <f>IF(VLOOKUP(Таблица3[[#This Row],[№ акта]],$AJ$1:$BJ$691,23,FALSE)&lt;&gt;0,VLOOKUP(Таблица3[[#This Row],[№ акта]],$AJ$1:$BJ$691,23,FALSE),"-")</f>
        <v>-</v>
      </c>
      <c r="AC28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85" s="506" t="s">
        <v>2940</v>
      </c>
      <c r="AE285" s="505">
        <v>289</v>
      </c>
      <c r="AF285" s="507">
        <v>46190</v>
      </c>
      <c r="AG285" s="505">
        <v>262</v>
      </c>
      <c r="AH285" s="505">
        <f>IFERROR(VLOOKUP(Таблица3[[#This Row],[№ акта]],'Степень зрелости 2026'!$H$12:$I$800,2,FALSE),)</f>
        <v>55</v>
      </c>
      <c r="AJ285" s="508">
        <v>289</v>
      </c>
      <c r="AK285" s="509">
        <v>46190</v>
      </c>
      <c r="AL285" s="508">
        <v>394</v>
      </c>
      <c r="AO285" s="508">
        <v>13340</v>
      </c>
      <c r="AP285" s="508">
        <v>11272.3</v>
      </c>
      <c r="AQ285" s="508" t="s">
        <v>2939</v>
      </c>
      <c r="AR285" s="508" t="s">
        <v>909</v>
      </c>
      <c r="AS285" s="508" t="s">
        <v>3095</v>
      </c>
      <c r="AT285" s="508" t="s">
        <v>1312</v>
      </c>
      <c r="AV285" s="508" t="s">
        <v>320</v>
      </c>
      <c r="AX285" s="508" t="s">
        <v>3109</v>
      </c>
      <c r="AY285" s="508" t="s">
        <v>909</v>
      </c>
      <c r="AZ285" s="508">
        <v>2</v>
      </c>
      <c r="BA285" s="508" t="s">
        <v>2932</v>
      </c>
      <c r="BB285" s="508" t="s">
        <v>178</v>
      </c>
      <c r="BC285" s="508">
        <v>14</v>
      </c>
      <c r="BD285" s="509">
        <v>46190</v>
      </c>
      <c r="BG285" s="508" t="s">
        <v>724</v>
      </c>
      <c r="BH285" s="508" t="s">
        <v>2940</v>
      </c>
      <c r="BI285" s="508">
        <v>262</v>
      </c>
      <c r="BJ285" s="508">
        <v>55</v>
      </c>
    </row>
    <row r="286" spans="1:62" s="508" customFormat="1" ht="14.25" hidden="1" customHeight="1" x14ac:dyDescent="0.2">
      <c r="A286" s="495"/>
      <c r="B286" s="496"/>
      <c r="C286" s="497">
        <f>Таблица3[[#This Row],[Степень зрелости вспом]]</f>
        <v>53</v>
      </c>
      <c r="D286" s="498">
        <v>397</v>
      </c>
      <c r="E286" s="499"/>
      <c r="F286" s="496"/>
      <c r="G286" s="496">
        <v>14140</v>
      </c>
      <c r="H286" s="500"/>
      <c r="I286" s="496">
        <v>12231.1</v>
      </c>
      <c r="J286" s="495" t="s">
        <v>2939</v>
      </c>
      <c r="K286" s="495" t="s">
        <v>909</v>
      </c>
      <c r="L286" s="495" t="s">
        <v>3095</v>
      </c>
      <c r="M286" s="495" t="s">
        <v>121</v>
      </c>
      <c r="N286" s="495"/>
      <c r="O286" s="495"/>
      <c r="P286" s="495"/>
      <c r="Q286" s="495"/>
      <c r="R286" s="501" t="s">
        <v>125</v>
      </c>
      <c r="S286" s="495"/>
      <c r="T286" s="482" t="str">
        <f>VLOOKUP(Таблица3[[#This Row],[№ акта]],$AJ$1:$BJ$691,15,FALSE)</f>
        <v>А-112/2</v>
      </c>
      <c r="U286" s="482" t="str">
        <f>VLOOKUP(Таблица3[[#This Row],[№ акта]],$AJ$1:$BJ$691,16,FALSE)</f>
        <v>Тристар</v>
      </c>
      <c r="V286" s="502">
        <f>VLOOKUP(Таблица3[[#This Row],[№ акта]],$AJ$1:$BJ$691,17,FALSE)</f>
        <v>2.1</v>
      </c>
      <c r="W286" s="502" t="str">
        <f>VLOOKUP(Таблица3[[#This Row],[№ акта]],$AJ$1:$BJ$691,18,FALSE)</f>
        <v>ГРК (полив)</v>
      </c>
      <c r="X286" s="502" t="str">
        <f>VLOOKUP(Таблица3[[#This Row],[№ акта]],$AJ$1:$BJ$691,19,FALSE)</f>
        <v>полив</v>
      </c>
      <c r="Y286" s="503">
        <f>VLOOKUP(Таблица3[[#This Row],[№ акта]],$AJ$1:$BJ$691,20,FALSE)</f>
        <v>14</v>
      </c>
      <c r="Z286" s="504">
        <f>VLOOKUP(Таблица3[[#This Row],[№ акта]],$AJ$1:$BJ$691,21,FALSE)</f>
        <v>46190</v>
      </c>
      <c r="AA286" s="504"/>
      <c r="AB286" s="504" t="str">
        <f>IF(VLOOKUP(Таблица3[[#This Row],[№ акта]],$AJ$1:$BJ$691,23,FALSE)&lt;&gt;0,VLOOKUP(Таблица3[[#This Row],[№ акта]],$AJ$1:$BJ$691,23,FALSE),"-")</f>
        <v>-</v>
      </c>
      <c r="AC28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86" s="506" t="s">
        <v>2940</v>
      </c>
      <c r="AE286" s="505">
        <v>290</v>
      </c>
      <c r="AF286" s="507">
        <v>46190</v>
      </c>
      <c r="AG286" s="505">
        <v>263</v>
      </c>
      <c r="AH286" s="505">
        <f>IFERROR(VLOOKUP(Таблица3[[#This Row],[№ акта]],'Степень зрелости 2026'!$H$12:$I$800,2,FALSE),)</f>
        <v>53</v>
      </c>
      <c r="AJ286" s="508">
        <v>290</v>
      </c>
      <c r="AK286" s="509">
        <v>46190</v>
      </c>
      <c r="AL286" s="508">
        <v>397</v>
      </c>
      <c r="AO286" s="508">
        <v>14140</v>
      </c>
      <c r="AP286" s="508">
        <v>12231.1</v>
      </c>
      <c r="AQ286" s="508" t="s">
        <v>2939</v>
      </c>
      <c r="AR286" s="508" t="s">
        <v>909</v>
      </c>
      <c r="AS286" s="508" t="s">
        <v>3095</v>
      </c>
      <c r="AT286" s="508" t="s">
        <v>121</v>
      </c>
      <c r="AV286" s="508" t="s">
        <v>125</v>
      </c>
      <c r="AX286" s="508" t="s">
        <v>3109</v>
      </c>
      <c r="AY286" s="508" t="s">
        <v>909</v>
      </c>
      <c r="AZ286" s="508">
        <v>2.1</v>
      </c>
      <c r="BA286" s="508" t="s">
        <v>2932</v>
      </c>
      <c r="BB286" s="508" t="s">
        <v>178</v>
      </c>
      <c r="BC286" s="508">
        <v>14</v>
      </c>
      <c r="BD286" s="509">
        <v>46190</v>
      </c>
      <c r="BG286" s="508" t="s">
        <v>724</v>
      </c>
      <c r="BH286" s="508" t="s">
        <v>2940</v>
      </c>
      <c r="BI286" s="508">
        <v>263</v>
      </c>
      <c r="BJ286" s="508">
        <v>53</v>
      </c>
    </row>
    <row r="287" spans="1:62" s="508" customFormat="1" ht="14.25" hidden="1" customHeight="1" x14ac:dyDescent="0.2">
      <c r="A287" s="495"/>
      <c r="B287" s="496"/>
      <c r="C287" s="497">
        <f>Таблица3[[#This Row],[Степень зрелости вспом]]</f>
        <v>55</v>
      </c>
      <c r="D287" s="498">
        <v>398</v>
      </c>
      <c r="E287" s="499"/>
      <c r="F287" s="496"/>
      <c r="G287" s="496">
        <v>14160</v>
      </c>
      <c r="H287" s="500"/>
      <c r="I287" s="496">
        <v>12106.8</v>
      </c>
      <c r="J287" s="495" t="s">
        <v>2939</v>
      </c>
      <c r="K287" s="495" t="s">
        <v>909</v>
      </c>
      <c r="L287" s="495" t="s">
        <v>3095</v>
      </c>
      <c r="M287" s="495" t="s">
        <v>894</v>
      </c>
      <c r="N287" s="495"/>
      <c r="O287" s="495"/>
      <c r="P287" s="495"/>
      <c r="Q287" s="495"/>
      <c r="R287" s="501" t="s">
        <v>895</v>
      </c>
      <c r="S287" s="495"/>
      <c r="T287" s="482" t="str">
        <f>VLOOKUP(Таблица3[[#This Row],[№ акта]],$AJ$1:$BJ$691,15,FALSE)</f>
        <v>А-112/2</v>
      </c>
      <c r="U287" s="482" t="str">
        <f>VLOOKUP(Таблица3[[#This Row],[№ акта]],$AJ$1:$BJ$691,16,FALSE)</f>
        <v>Тристар</v>
      </c>
      <c r="V287" s="502">
        <f>VLOOKUP(Таблица3[[#This Row],[№ акта]],$AJ$1:$BJ$691,17,FALSE)</f>
        <v>2.1</v>
      </c>
      <c r="W287" s="502" t="str">
        <f>VLOOKUP(Таблица3[[#This Row],[№ акта]],$AJ$1:$BJ$691,18,FALSE)</f>
        <v>ГРК (полив)</v>
      </c>
      <c r="X287" s="502" t="str">
        <f>VLOOKUP(Таблица3[[#This Row],[№ акта]],$AJ$1:$BJ$691,19,FALSE)</f>
        <v>полив</v>
      </c>
      <c r="Y287" s="503">
        <f>VLOOKUP(Таблица3[[#This Row],[№ акта]],$AJ$1:$BJ$691,20,FALSE)</f>
        <v>14</v>
      </c>
      <c r="Z287" s="504">
        <f>VLOOKUP(Таблица3[[#This Row],[№ акта]],$AJ$1:$BJ$691,21,FALSE)</f>
        <v>46190</v>
      </c>
      <c r="AA287" s="504"/>
      <c r="AB287" s="504" t="str">
        <f>IF(VLOOKUP(Таблица3[[#This Row],[№ акта]],$AJ$1:$BJ$691,23,FALSE)&lt;&gt;0,VLOOKUP(Таблица3[[#This Row],[№ акта]],$AJ$1:$BJ$691,23,FALSE),"-")</f>
        <v>-</v>
      </c>
      <c r="AC28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87" s="506" t="s">
        <v>2940</v>
      </c>
      <c r="AE287" s="505">
        <v>292</v>
      </c>
      <c r="AF287" s="507">
        <v>46190</v>
      </c>
      <c r="AG287" s="505">
        <v>259</v>
      </c>
      <c r="AH287" s="505">
        <f>IFERROR(VLOOKUP(Таблица3[[#This Row],[№ акта]],'Степень зрелости 2026'!$H$12:$I$800,2,FALSE),)</f>
        <v>55</v>
      </c>
      <c r="AJ287" s="508">
        <v>292</v>
      </c>
      <c r="AK287" s="509">
        <v>46190</v>
      </c>
      <c r="AL287" s="508">
        <v>398</v>
      </c>
      <c r="AO287" s="508">
        <v>14160</v>
      </c>
      <c r="AP287" s="508">
        <v>12106.8</v>
      </c>
      <c r="AQ287" s="508" t="s">
        <v>2939</v>
      </c>
      <c r="AR287" s="508" t="s">
        <v>909</v>
      </c>
      <c r="AS287" s="508" t="s">
        <v>3095</v>
      </c>
      <c r="AT287" s="508" t="s">
        <v>894</v>
      </c>
      <c r="AV287" s="508" t="s">
        <v>895</v>
      </c>
      <c r="AX287" s="508" t="s">
        <v>3109</v>
      </c>
      <c r="AY287" s="508" t="s">
        <v>909</v>
      </c>
      <c r="AZ287" s="508">
        <v>2.1</v>
      </c>
      <c r="BA287" s="508" t="s">
        <v>2932</v>
      </c>
      <c r="BB287" s="508" t="s">
        <v>178</v>
      </c>
      <c r="BC287" s="508">
        <v>14</v>
      </c>
      <c r="BD287" s="509">
        <v>46190</v>
      </c>
      <c r="BG287" s="508" t="s">
        <v>724</v>
      </c>
      <c r="BH287" s="508" t="s">
        <v>2940</v>
      </c>
      <c r="BI287" s="508">
        <v>259</v>
      </c>
      <c r="BJ287" s="508">
        <v>55</v>
      </c>
    </row>
    <row r="288" spans="1:62" s="508" customFormat="1" ht="14.25" hidden="1" customHeight="1" x14ac:dyDescent="0.2">
      <c r="A288" s="495"/>
      <c r="B288" s="496"/>
      <c r="C288" s="497">
        <f>Таблица3[[#This Row],[Степень зрелости вспом]]</f>
        <v>54</v>
      </c>
      <c r="D288" s="498">
        <v>399</v>
      </c>
      <c r="E288" s="499"/>
      <c r="F288" s="496"/>
      <c r="G288" s="496">
        <v>4530</v>
      </c>
      <c r="H288" s="500"/>
      <c r="I288" s="496">
        <v>4009.1</v>
      </c>
      <c r="J288" s="495" t="s">
        <v>2939</v>
      </c>
      <c r="K288" s="495" t="s">
        <v>909</v>
      </c>
      <c r="L288" s="495" t="s">
        <v>3095</v>
      </c>
      <c r="M288" s="495" t="s">
        <v>762</v>
      </c>
      <c r="N288" s="495"/>
      <c r="O288" s="495"/>
      <c r="P288" s="495"/>
      <c r="Q288" s="495"/>
      <c r="R288" s="501" t="s">
        <v>763</v>
      </c>
      <c r="S288" s="495"/>
      <c r="T288" s="482" t="str">
        <f>VLOOKUP(Таблица3[[#This Row],[№ акта]],$AJ$1:$BJ$691,15,FALSE)</f>
        <v>А-112/2</v>
      </c>
      <c r="U288" s="482" t="str">
        <f>VLOOKUP(Таблица3[[#This Row],[№ акта]],$AJ$1:$BJ$691,16,FALSE)</f>
        <v>Тристар</v>
      </c>
      <c r="V288" s="502">
        <f>VLOOKUP(Таблица3[[#This Row],[№ акта]],$AJ$1:$BJ$691,17,FALSE)</f>
        <v>0.7</v>
      </c>
      <c r="W288" s="502" t="str">
        <f>VLOOKUP(Таблица3[[#This Row],[№ акта]],$AJ$1:$BJ$691,18,FALSE)</f>
        <v>ГРК (полив)</v>
      </c>
      <c r="X288" s="502" t="str">
        <f>VLOOKUP(Таблица3[[#This Row],[№ акта]],$AJ$1:$BJ$691,19,FALSE)</f>
        <v>полив</v>
      </c>
      <c r="Y288" s="503">
        <f>VLOOKUP(Таблица3[[#This Row],[№ акта]],$AJ$1:$BJ$691,20,FALSE)</f>
        <v>14</v>
      </c>
      <c r="Z288" s="504">
        <f>VLOOKUP(Таблица3[[#This Row],[№ акта]],$AJ$1:$BJ$691,21,FALSE)</f>
        <v>46190</v>
      </c>
      <c r="AA288" s="504"/>
      <c r="AB288" s="504" t="str">
        <f>IF(VLOOKUP(Таблица3[[#This Row],[№ акта]],$AJ$1:$BJ$691,23,FALSE)&lt;&gt;0,VLOOKUP(Таблица3[[#This Row],[№ акта]],$AJ$1:$BJ$691,23,FALSE),"-")</f>
        <v>-</v>
      </c>
      <c r="AC28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88" s="506" t="s">
        <v>2940</v>
      </c>
      <c r="AE288" s="505">
        <v>291</v>
      </c>
      <c r="AF288" s="507">
        <v>46190</v>
      </c>
      <c r="AG288" s="505">
        <v>265</v>
      </c>
      <c r="AH288" s="505">
        <f>IFERROR(VLOOKUP(Таблица3[[#This Row],[№ акта]],'Степень зрелости 2026'!$H$12:$I$800,2,FALSE),)</f>
        <v>54</v>
      </c>
      <c r="AJ288" s="508">
        <v>291</v>
      </c>
      <c r="AK288" s="509">
        <v>46190</v>
      </c>
      <c r="AL288" s="508">
        <v>399</v>
      </c>
      <c r="AO288" s="508">
        <v>4530</v>
      </c>
      <c r="AP288" s="508">
        <v>4009.1</v>
      </c>
      <c r="AQ288" s="508" t="s">
        <v>2939</v>
      </c>
      <c r="AR288" s="508" t="s">
        <v>909</v>
      </c>
      <c r="AS288" s="508" t="s">
        <v>3095</v>
      </c>
      <c r="AT288" s="508" t="s">
        <v>762</v>
      </c>
      <c r="AV288" s="508" t="s">
        <v>763</v>
      </c>
      <c r="AX288" s="508" t="s">
        <v>3109</v>
      </c>
      <c r="AY288" s="508" t="s">
        <v>909</v>
      </c>
      <c r="AZ288" s="508">
        <v>0.7</v>
      </c>
      <c r="BA288" s="508" t="s">
        <v>2932</v>
      </c>
      <c r="BB288" s="508" t="s">
        <v>178</v>
      </c>
      <c r="BC288" s="508">
        <v>14</v>
      </c>
      <c r="BD288" s="509">
        <v>46190</v>
      </c>
      <c r="BG288" s="508" t="s">
        <v>724</v>
      </c>
      <c r="BH288" s="508" t="s">
        <v>2940</v>
      </c>
      <c r="BI288" s="508">
        <v>265</v>
      </c>
      <c r="BJ288" s="508">
        <v>54</v>
      </c>
    </row>
    <row r="289" spans="1:62" s="508" customFormat="1" ht="14.25" hidden="1" customHeight="1" x14ac:dyDescent="0.2">
      <c r="A289" s="495"/>
      <c r="B289" s="496"/>
      <c r="C289" s="497">
        <f>Таблица3[[#This Row],[Степень зрелости вспом]]</f>
        <v>53</v>
      </c>
      <c r="D289" s="498">
        <v>400</v>
      </c>
      <c r="E289" s="499"/>
      <c r="F289" s="496"/>
      <c r="G289" s="496">
        <v>13570</v>
      </c>
      <c r="H289" s="500"/>
      <c r="I289" s="496">
        <v>11873.8</v>
      </c>
      <c r="J289" s="495" t="s">
        <v>2939</v>
      </c>
      <c r="K289" s="495" t="s">
        <v>909</v>
      </c>
      <c r="L289" s="495" t="s">
        <v>3095</v>
      </c>
      <c r="M289" s="495" t="s">
        <v>1792</v>
      </c>
      <c r="N289" s="495"/>
      <c r="O289" s="495"/>
      <c r="P289" s="495"/>
      <c r="Q289" s="495"/>
      <c r="R289" s="501" t="s">
        <v>80</v>
      </c>
      <c r="S289" s="495"/>
      <c r="T289" s="482" t="str">
        <f>VLOOKUP(Таблица3[[#This Row],[№ акта]],$AJ$1:$BJ$691,15,FALSE)</f>
        <v>А-112/2</v>
      </c>
      <c r="U289" s="482" t="str">
        <f>VLOOKUP(Таблица3[[#This Row],[№ акта]],$AJ$1:$BJ$691,16,FALSE)</f>
        <v>Тристар</v>
      </c>
      <c r="V289" s="502">
        <f>VLOOKUP(Таблица3[[#This Row],[№ акта]],$AJ$1:$BJ$691,17,FALSE)</f>
        <v>2</v>
      </c>
      <c r="W289" s="502" t="str">
        <f>VLOOKUP(Таблица3[[#This Row],[№ акта]],$AJ$1:$BJ$691,18,FALSE)</f>
        <v>ГРК (полив)</v>
      </c>
      <c r="X289" s="502" t="str">
        <f>VLOOKUP(Таблица3[[#This Row],[№ акта]],$AJ$1:$BJ$691,19,FALSE)</f>
        <v>полив</v>
      </c>
      <c r="Y289" s="503">
        <f>VLOOKUP(Таблица3[[#This Row],[№ акта]],$AJ$1:$BJ$691,20,FALSE)</f>
        <v>14</v>
      </c>
      <c r="Z289" s="504">
        <f>VLOOKUP(Таблица3[[#This Row],[№ акта]],$AJ$1:$BJ$691,21,FALSE)</f>
        <v>46190</v>
      </c>
      <c r="AA289" s="504"/>
      <c r="AB289" s="504" t="str">
        <f>IF(VLOOKUP(Таблица3[[#This Row],[№ акта]],$AJ$1:$BJ$691,23,FALSE)&lt;&gt;0,VLOOKUP(Таблица3[[#This Row],[№ акта]],$AJ$1:$BJ$691,23,FALSE),"-")</f>
        <v>-</v>
      </c>
      <c r="AC28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89" s="506" t="s">
        <v>2940</v>
      </c>
      <c r="AE289" s="505">
        <v>293</v>
      </c>
      <c r="AF289" s="507">
        <v>46190</v>
      </c>
      <c r="AG289" s="505">
        <v>266</v>
      </c>
      <c r="AH289" s="505">
        <f>IFERROR(VLOOKUP(Таблица3[[#This Row],[№ акта]],'Степень зрелости 2026'!$H$12:$I$800,2,FALSE),)</f>
        <v>53</v>
      </c>
      <c r="AJ289" s="508">
        <v>293</v>
      </c>
      <c r="AK289" s="509">
        <v>46190</v>
      </c>
      <c r="AL289" s="508">
        <v>400</v>
      </c>
      <c r="AO289" s="508">
        <v>13570</v>
      </c>
      <c r="AP289" s="508">
        <v>11873.8</v>
      </c>
      <c r="AQ289" s="508" t="s">
        <v>2939</v>
      </c>
      <c r="AR289" s="508" t="s">
        <v>909</v>
      </c>
      <c r="AS289" s="508" t="s">
        <v>3095</v>
      </c>
      <c r="AT289" s="508" t="s">
        <v>1792</v>
      </c>
      <c r="AV289" s="508" t="s">
        <v>80</v>
      </c>
      <c r="AX289" s="508" t="s">
        <v>3109</v>
      </c>
      <c r="AY289" s="508" t="s">
        <v>909</v>
      </c>
      <c r="AZ289" s="508">
        <v>2</v>
      </c>
      <c r="BA289" s="508" t="s">
        <v>2932</v>
      </c>
      <c r="BB289" s="508" t="s">
        <v>178</v>
      </c>
      <c r="BC289" s="508">
        <v>14</v>
      </c>
      <c r="BD289" s="509">
        <v>46190</v>
      </c>
      <c r="BG289" s="508" t="s">
        <v>724</v>
      </c>
      <c r="BH289" s="508" t="s">
        <v>2940</v>
      </c>
      <c r="BI289" s="508">
        <v>266</v>
      </c>
      <c r="BJ289" s="508">
        <v>53</v>
      </c>
    </row>
    <row r="290" spans="1:62" s="508" customFormat="1" ht="14.25" hidden="1" customHeight="1" x14ac:dyDescent="0.2">
      <c r="A290" s="495"/>
      <c r="B290" s="496"/>
      <c r="C290" s="497">
        <f>Таблица3[[#This Row],[Степень зрелости вспом]]</f>
        <v>52</v>
      </c>
      <c r="D290" s="498">
        <v>401</v>
      </c>
      <c r="E290" s="499"/>
      <c r="F290" s="496"/>
      <c r="G290" s="496">
        <v>13410</v>
      </c>
      <c r="H290" s="500"/>
      <c r="I290" s="496">
        <v>11465.6</v>
      </c>
      <c r="J290" s="495" t="s">
        <v>2939</v>
      </c>
      <c r="K290" s="495" t="s">
        <v>909</v>
      </c>
      <c r="L290" s="495" t="s">
        <v>3095</v>
      </c>
      <c r="M290" s="495" t="s">
        <v>1312</v>
      </c>
      <c r="N290" s="495"/>
      <c r="O290" s="495"/>
      <c r="P290" s="495"/>
      <c r="Q290" s="495"/>
      <c r="R290" s="501" t="s">
        <v>320</v>
      </c>
      <c r="S290" s="495"/>
      <c r="T290" s="482" t="str">
        <f>VLOOKUP(Таблица3[[#This Row],[№ акта]],$AJ$1:$BJ$691,15,FALSE)</f>
        <v>А-112/2</v>
      </c>
      <c r="U290" s="482" t="str">
        <f>VLOOKUP(Таблица3[[#This Row],[№ акта]],$AJ$1:$BJ$691,16,FALSE)</f>
        <v>Тристар</v>
      </c>
      <c r="V290" s="502">
        <f>VLOOKUP(Таблица3[[#This Row],[№ акта]],$AJ$1:$BJ$691,17,FALSE)</f>
        <v>2</v>
      </c>
      <c r="W290" s="502" t="str">
        <f>VLOOKUP(Таблица3[[#This Row],[№ акта]],$AJ$1:$BJ$691,18,FALSE)</f>
        <v>ГРК (полив)</v>
      </c>
      <c r="X290" s="502" t="str">
        <f>VLOOKUP(Таблица3[[#This Row],[№ акта]],$AJ$1:$BJ$691,19,FALSE)</f>
        <v>полив</v>
      </c>
      <c r="Y290" s="503">
        <f>VLOOKUP(Таблица3[[#This Row],[№ акта]],$AJ$1:$BJ$691,20,FALSE)</f>
        <v>14</v>
      </c>
      <c r="Z290" s="504">
        <f>VLOOKUP(Таблица3[[#This Row],[№ акта]],$AJ$1:$BJ$691,21,FALSE)</f>
        <v>46190</v>
      </c>
      <c r="AA290" s="504"/>
      <c r="AB290" s="504" t="str">
        <f>IF(VLOOKUP(Таблица3[[#This Row],[№ акта]],$AJ$1:$BJ$691,23,FALSE)&lt;&gt;0,VLOOKUP(Таблица3[[#This Row],[№ акта]],$AJ$1:$BJ$691,23,FALSE),"-")</f>
        <v>-</v>
      </c>
      <c r="AC29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290" s="506" t="s">
        <v>2940</v>
      </c>
      <c r="AE290" s="505">
        <v>294</v>
      </c>
      <c r="AF290" s="507">
        <v>46190</v>
      </c>
      <c r="AG290" s="505">
        <v>267</v>
      </c>
      <c r="AH290" s="505">
        <f>IFERROR(VLOOKUP(Таблица3[[#This Row],[№ акта]],'Степень зрелости 2026'!$H$12:$I$800,2,FALSE),)</f>
        <v>52</v>
      </c>
      <c r="AJ290" s="508">
        <v>294</v>
      </c>
      <c r="AK290" s="509">
        <v>46190</v>
      </c>
      <c r="AL290" s="508">
        <v>401</v>
      </c>
      <c r="AO290" s="508">
        <v>13410</v>
      </c>
      <c r="AP290" s="508">
        <v>11465.6</v>
      </c>
      <c r="AQ290" s="508" t="s">
        <v>2939</v>
      </c>
      <c r="AR290" s="508" t="s">
        <v>909</v>
      </c>
      <c r="AS290" s="508" t="s">
        <v>3095</v>
      </c>
      <c r="AT290" s="508" t="s">
        <v>1312</v>
      </c>
      <c r="AV290" s="508" t="s">
        <v>320</v>
      </c>
      <c r="AX290" s="508" t="s">
        <v>3109</v>
      </c>
      <c r="AY290" s="508" t="s">
        <v>909</v>
      </c>
      <c r="AZ290" s="508">
        <v>2</v>
      </c>
      <c r="BA290" s="508" t="s">
        <v>2932</v>
      </c>
      <c r="BB290" s="508" t="s">
        <v>178</v>
      </c>
      <c r="BC290" s="508">
        <v>14</v>
      </c>
      <c r="BD290" s="509">
        <v>46190</v>
      </c>
      <c r="BG290" s="508" t="s">
        <v>3557</v>
      </c>
      <c r="BH290" s="508" t="s">
        <v>2940</v>
      </c>
      <c r="BI290" s="508">
        <v>267</v>
      </c>
      <c r="BJ290" s="508">
        <v>52</v>
      </c>
    </row>
    <row r="291" spans="1:62" s="508" customFormat="1" ht="14.25" hidden="1" customHeight="1" x14ac:dyDescent="0.2">
      <c r="A291" s="495"/>
      <c r="B291" s="496"/>
      <c r="C291" s="497">
        <f>Таблица3[[#This Row],[Степень зрелости вспом]]</f>
        <v>51</v>
      </c>
      <c r="D291" s="498">
        <v>402</v>
      </c>
      <c r="E291" s="499"/>
      <c r="F291" s="496"/>
      <c r="G291" s="496">
        <v>13410</v>
      </c>
      <c r="H291" s="500"/>
      <c r="I291" s="496">
        <v>12002</v>
      </c>
      <c r="J291" s="495" t="s">
        <v>2939</v>
      </c>
      <c r="K291" s="495" t="s">
        <v>909</v>
      </c>
      <c r="L291" s="495" t="s">
        <v>3095</v>
      </c>
      <c r="M291" s="495" t="s">
        <v>121</v>
      </c>
      <c r="N291" s="495"/>
      <c r="O291" s="495"/>
      <c r="P291" s="495"/>
      <c r="Q291" s="495"/>
      <c r="R291" s="501" t="s">
        <v>125</v>
      </c>
      <c r="S291" s="495"/>
      <c r="T291" s="482" t="str">
        <f>VLOOKUP(Таблица3[[#This Row],[№ акта]],$AJ$1:$BJ$691,15,FALSE)</f>
        <v>А-112/2</v>
      </c>
      <c r="U291" s="482" t="str">
        <f>VLOOKUP(Таблица3[[#This Row],[№ акта]],$AJ$1:$BJ$691,16,FALSE)</f>
        <v>Тристар</v>
      </c>
      <c r="V291" s="502">
        <f>VLOOKUP(Таблица3[[#This Row],[№ акта]],$AJ$1:$BJ$691,17,FALSE)</f>
        <v>2</v>
      </c>
      <c r="W291" s="502" t="str">
        <f>VLOOKUP(Таблица3[[#This Row],[№ акта]],$AJ$1:$BJ$691,18,FALSE)</f>
        <v>ГРК (полив)</v>
      </c>
      <c r="X291" s="502" t="str">
        <f>VLOOKUP(Таблица3[[#This Row],[№ акта]],$AJ$1:$BJ$691,19,FALSE)</f>
        <v>полив</v>
      </c>
      <c r="Y291" s="503">
        <f>VLOOKUP(Таблица3[[#This Row],[№ акта]],$AJ$1:$BJ$691,20,FALSE)</f>
        <v>14</v>
      </c>
      <c r="Z291" s="504">
        <f>VLOOKUP(Таблица3[[#This Row],[№ акта]],$AJ$1:$BJ$691,21,FALSE)</f>
        <v>46190</v>
      </c>
      <c r="AA291" s="504"/>
      <c r="AB291" s="504" t="str">
        <f>IF(VLOOKUP(Таблица3[[#This Row],[№ акта]],$AJ$1:$BJ$691,23,FALSE)&lt;&gt;0,VLOOKUP(Таблица3[[#This Row],[№ акта]],$AJ$1:$BJ$691,23,FALSE),"-")</f>
        <v>-</v>
      </c>
      <c r="AC29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291" s="506" t="s">
        <v>2940</v>
      </c>
      <c r="AE291" s="505">
        <v>295</v>
      </c>
      <c r="AF291" s="507">
        <v>46190</v>
      </c>
      <c r="AG291" s="505">
        <v>263</v>
      </c>
      <c r="AH291" s="505">
        <f>IFERROR(VLOOKUP(Таблица3[[#This Row],[№ акта]],'Степень зрелости 2026'!$H$12:$I$800,2,FALSE),)</f>
        <v>51</v>
      </c>
      <c r="AJ291" s="508">
        <v>295</v>
      </c>
      <c r="AK291" s="509">
        <v>46190</v>
      </c>
      <c r="AL291" s="508">
        <v>402</v>
      </c>
      <c r="AO291" s="508">
        <v>13410</v>
      </c>
      <c r="AP291" s="508">
        <v>12002</v>
      </c>
      <c r="AQ291" s="508" t="s">
        <v>2939</v>
      </c>
      <c r="AR291" s="508" t="s">
        <v>909</v>
      </c>
      <c r="AS291" s="508" t="s">
        <v>3095</v>
      </c>
      <c r="AT291" s="508" t="s">
        <v>121</v>
      </c>
      <c r="AV291" s="508" t="s">
        <v>125</v>
      </c>
      <c r="AX291" s="508" t="s">
        <v>3109</v>
      </c>
      <c r="AY291" s="508" t="s">
        <v>909</v>
      </c>
      <c r="AZ291" s="508">
        <v>2</v>
      </c>
      <c r="BA291" s="508" t="s">
        <v>2932</v>
      </c>
      <c r="BB291" s="508" t="s">
        <v>178</v>
      </c>
      <c r="BC291" s="508">
        <v>14</v>
      </c>
      <c r="BD291" s="509">
        <v>46190</v>
      </c>
      <c r="BG291" s="508" t="s">
        <v>3557</v>
      </c>
      <c r="BH291" s="508" t="s">
        <v>2940</v>
      </c>
      <c r="BI291" s="508">
        <v>263</v>
      </c>
      <c r="BJ291" s="508">
        <v>51</v>
      </c>
    </row>
    <row r="292" spans="1:62" s="508" customFormat="1" ht="14.25" hidden="1" customHeight="1" x14ac:dyDescent="0.2">
      <c r="A292" s="495"/>
      <c r="B292" s="496"/>
      <c r="C292" s="497">
        <f>Таблица3[[#This Row],[Степень зрелости вспом]]</f>
        <v>51</v>
      </c>
      <c r="D292" s="498">
        <v>403</v>
      </c>
      <c r="E292" s="499"/>
      <c r="F292" s="496"/>
      <c r="G292" s="496">
        <v>4540</v>
      </c>
      <c r="H292" s="500"/>
      <c r="I292" s="496">
        <v>3972.5</v>
      </c>
      <c r="J292" s="495" t="s">
        <v>2939</v>
      </c>
      <c r="K292" s="495" t="s">
        <v>909</v>
      </c>
      <c r="L292" s="495" t="s">
        <v>3232</v>
      </c>
      <c r="M292" s="495" t="s">
        <v>762</v>
      </c>
      <c r="N292" s="495"/>
      <c r="O292" s="495"/>
      <c r="P292" s="495"/>
      <c r="Q292" s="495"/>
      <c r="R292" s="501" t="s">
        <v>763</v>
      </c>
      <c r="S292" s="495"/>
      <c r="T292" s="482" t="str">
        <f>VLOOKUP(Таблица3[[#This Row],[№ акта]],$AJ$1:$BJ$691,15,FALSE)</f>
        <v>А-112/2</v>
      </c>
      <c r="U292" s="482" t="str">
        <f>VLOOKUP(Таблица3[[#This Row],[№ акта]],$AJ$1:$BJ$691,16,FALSE)</f>
        <v>Тристар</v>
      </c>
      <c r="V292" s="502">
        <f>VLOOKUP(Таблица3[[#This Row],[№ акта]],$AJ$1:$BJ$691,17,FALSE)</f>
        <v>0.7</v>
      </c>
      <c r="W292" s="502" t="str">
        <f>VLOOKUP(Таблица3[[#This Row],[№ акта]],$AJ$1:$BJ$691,18,FALSE)</f>
        <v>ГРК (полив)</v>
      </c>
      <c r="X292" s="502" t="str">
        <f>VLOOKUP(Таблица3[[#This Row],[№ акта]],$AJ$1:$BJ$691,19,FALSE)</f>
        <v>полив</v>
      </c>
      <c r="Y292" s="503">
        <f>VLOOKUP(Таблица3[[#This Row],[№ акта]],$AJ$1:$BJ$691,20,FALSE)</f>
        <v>14</v>
      </c>
      <c r="Z292" s="504">
        <f>VLOOKUP(Таблица3[[#This Row],[№ акта]],$AJ$1:$BJ$691,21,FALSE)</f>
        <v>46190</v>
      </c>
      <c r="AA292" s="504"/>
      <c r="AB292" s="504" t="str">
        <f>IF(VLOOKUP(Таблица3[[#This Row],[№ акта]],$AJ$1:$BJ$691,23,FALSE)&lt;&gt;0,VLOOKUP(Таблица3[[#This Row],[№ акта]],$AJ$1:$BJ$691,23,FALSE),"-")</f>
        <v>-</v>
      </c>
      <c r="AC29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292" s="506" t="s">
        <v>2940</v>
      </c>
      <c r="AE292" s="505">
        <v>296</v>
      </c>
      <c r="AF292" s="507">
        <v>46190</v>
      </c>
      <c r="AG292" s="505">
        <v>269</v>
      </c>
      <c r="AH292" s="505">
        <f>IFERROR(VLOOKUP(Таблица3[[#This Row],[№ акта]],'Степень зрелости 2026'!$H$12:$I$800,2,FALSE),)</f>
        <v>51</v>
      </c>
      <c r="AJ292" s="508">
        <v>296</v>
      </c>
      <c r="AK292" s="509">
        <v>46190</v>
      </c>
      <c r="AL292" s="508">
        <v>403</v>
      </c>
      <c r="AO292" s="508">
        <v>4540</v>
      </c>
      <c r="AP292" s="508">
        <v>3972.5</v>
      </c>
      <c r="AQ292" s="508" t="s">
        <v>2939</v>
      </c>
      <c r="AR292" s="508" t="s">
        <v>909</v>
      </c>
      <c r="AS292" s="508" t="s">
        <v>3232</v>
      </c>
      <c r="AT292" s="508" t="s">
        <v>762</v>
      </c>
      <c r="AV292" s="508" t="s">
        <v>763</v>
      </c>
      <c r="AX292" s="508" t="s">
        <v>3109</v>
      </c>
      <c r="AY292" s="508" t="s">
        <v>909</v>
      </c>
      <c r="AZ292" s="508">
        <v>0.7</v>
      </c>
      <c r="BA292" s="508" t="s">
        <v>2932</v>
      </c>
      <c r="BB292" s="508" t="s">
        <v>178</v>
      </c>
      <c r="BC292" s="508">
        <v>14</v>
      </c>
      <c r="BD292" s="509">
        <v>46190</v>
      </c>
      <c r="BG292" s="508" t="s">
        <v>3557</v>
      </c>
      <c r="BH292" s="508" t="s">
        <v>2940</v>
      </c>
      <c r="BI292" s="508">
        <v>269</v>
      </c>
      <c r="BJ292" s="508">
        <v>51</v>
      </c>
    </row>
    <row r="293" spans="1:62" s="508" customFormat="1" ht="14.25" hidden="1" customHeight="1" x14ac:dyDescent="0.2">
      <c r="A293" s="495"/>
      <c r="B293" s="496"/>
      <c r="C293" s="497">
        <f>Таблица3[[#This Row],[Степень зрелости вспом]]</f>
        <v>56</v>
      </c>
      <c r="D293" s="498">
        <v>404</v>
      </c>
      <c r="E293" s="499"/>
      <c r="F293" s="496"/>
      <c r="G293" s="496">
        <v>13010</v>
      </c>
      <c r="H293" s="500"/>
      <c r="I293" s="496">
        <v>11383.8</v>
      </c>
      <c r="J293" s="495" t="s">
        <v>2939</v>
      </c>
      <c r="K293" s="495" t="s">
        <v>909</v>
      </c>
      <c r="L293" s="495" t="s">
        <v>3097</v>
      </c>
      <c r="M293" s="495" t="s">
        <v>894</v>
      </c>
      <c r="N293" s="495"/>
      <c r="O293" s="495"/>
      <c r="P293" s="495"/>
      <c r="Q293" s="495"/>
      <c r="R293" s="501" t="s">
        <v>895</v>
      </c>
      <c r="S293" s="495"/>
      <c r="T293" s="482" t="str">
        <f>VLOOKUP(Таблица3[[#This Row],[№ акта]],$AJ$1:$BJ$691,15,FALSE)</f>
        <v>А-115/1</v>
      </c>
      <c r="U293" s="482" t="str">
        <f>VLOOKUP(Таблица3[[#This Row],[№ акта]],$AJ$1:$BJ$691,16,FALSE)</f>
        <v>Тристар</v>
      </c>
      <c r="V293" s="502">
        <f>VLOOKUP(Таблица3[[#This Row],[№ акта]],$AJ$1:$BJ$691,17,FALSE)</f>
        <v>2.2000000000000002</v>
      </c>
      <c r="W293" s="502" t="str">
        <f>VLOOKUP(Таблица3[[#This Row],[№ акта]],$AJ$1:$BJ$691,18,FALSE)</f>
        <v>ГРК (богара)</v>
      </c>
      <c r="X293" s="502" t="str">
        <f>VLOOKUP(Таблица3[[#This Row],[№ акта]],$AJ$1:$BJ$691,19,FALSE)</f>
        <v>богара</v>
      </c>
      <c r="Y293" s="503">
        <f>VLOOKUP(Таблица3[[#This Row],[№ акта]],$AJ$1:$BJ$691,20,FALSE)</f>
        <v>14</v>
      </c>
      <c r="Z293" s="504">
        <f>VLOOKUP(Таблица3[[#This Row],[№ акта]],$AJ$1:$BJ$691,21,FALSE)</f>
        <v>46190</v>
      </c>
      <c r="AA293" s="504"/>
      <c r="AB293" s="504" t="str">
        <f>IF(VLOOKUP(Таблица3[[#This Row],[№ акта]],$AJ$1:$BJ$691,23,FALSE)&lt;&gt;0,VLOOKUP(Таблица3[[#This Row],[№ акта]],$AJ$1:$BJ$691,23,FALSE),"-")</f>
        <v>-</v>
      </c>
      <c r="AC29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93" s="506" t="s">
        <v>2940</v>
      </c>
      <c r="AE293" s="505">
        <v>297</v>
      </c>
      <c r="AF293" s="507">
        <v>46190</v>
      </c>
      <c r="AG293" s="505">
        <v>270</v>
      </c>
      <c r="AH293" s="505">
        <f>IFERROR(VLOOKUP(Таблица3[[#This Row],[№ акта]],'Степень зрелости 2026'!$H$12:$I$800,2,FALSE),)</f>
        <v>56</v>
      </c>
      <c r="AJ293" s="508">
        <v>297</v>
      </c>
      <c r="AK293" s="509">
        <v>46190</v>
      </c>
      <c r="AL293" s="508">
        <v>404</v>
      </c>
      <c r="AO293" s="508">
        <v>13010</v>
      </c>
      <c r="AP293" s="508">
        <v>11383.8</v>
      </c>
      <c r="AQ293" s="508" t="s">
        <v>2939</v>
      </c>
      <c r="AR293" s="508" t="s">
        <v>909</v>
      </c>
      <c r="AS293" s="508" t="s">
        <v>3097</v>
      </c>
      <c r="AT293" s="508" t="s">
        <v>894</v>
      </c>
      <c r="AV293" s="508" t="s">
        <v>895</v>
      </c>
      <c r="AX293" s="508" t="s">
        <v>3097</v>
      </c>
      <c r="AY293" s="508" t="s">
        <v>909</v>
      </c>
      <c r="AZ293" s="508">
        <v>2.2000000000000002</v>
      </c>
      <c r="BA293" s="508" t="s">
        <v>46</v>
      </c>
      <c r="BB293" s="508" t="s">
        <v>19</v>
      </c>
      <c r="BC293" s="508">
        <v>14</v>
      </c>
      <c r="BD293" s="509">
        <v>46190</v>
      </c>
      <c r="BG293" s="508" t="s">
        <v>724</v>
      </c>
      <c r="BH293" s="508" t="s">
        <v>2940</v>
      </c>
      <c r="BI293" s="508">
        <v>270</v>
      </c>
      <c r="BJ293" s="508">
        <v>56</v>
      </c>
    </row>
    <row r="294" spans="1:62" s="508" customFormat="1" ht="14.25" hidden="1" customHeight="1" x14ac:dyDescent="0.2">
      <c r="A294" s="495"/>
      <c r="B294" s="496"/>
      <c r="C294" s="497">
        <f>Таблица3[[#This Row],[Степень зрелости вспом]]</f>
        <v>57</v>
      </c>
      <c r="D294" s="498">
        <v>405</v>
      </c>
      <c r="E294" s="499"/>
      <c r="F294" s="496"/>
      <c r="G294" s="496">
        <v>13170</v>
      </c>
      <c r="H294" s="500"/>
      <c r="I294" s="496">
        <v>11655.5</v>
      </c>
      <c r="J294" s="495" t="s">
        <v>2939</v>
      </c>
      <c r="K294" s="495" t="s">
        <v>909</v>
      </c>
      <c r="L294" s="495" t="s">
        <v>3097</v>
      </c>
      <c r="M294" s="495" t="s">
        <v>1312</v>
      </c>
      <c r="N294" s="495"/>
      <c r="O294" s="495"/>
      <c r="P294" s="495"/>
      <c r="Q294" s="495"/>
      <c r="R294" s="501" t="s">
        <v>320</v>
      </c>
      <c r="S294" s="495"/>
      <c r="T294" s="482" t="str">
        <f>VLOOKUP(Таблица3[[#This Row],[№ акта]],$AJ$1:$BJ$691,15,FALSE)</f>
        <v>А-115/1</v>
      </c>
      <c r="U294" s="482" t="str">
        <f>VLOOKUP(Таблица3[[#This Row],[№ акта]],$AJ$1:$BJ$691,16,FALSE)</f>
        <v>Тристар</v>
      </c>
      <c r="V294" s="502">
        <f>VLOOKUP(Таблица3[[#This Row],[№ акта]],$AJ$1:$BJ$691,17,FALSE)</f>
        <v>2.2000000000000002</v>
      </c>
      <c r="W294" s="502" t="str">
        <f>VLOOKUP(Таблица3[[#This Row],[№ акта]],$AJ$1:$BJ$691,18,FALSE)</f>
        <v>ГРК (богара)</v>
      </c>
      <c r="X294" s="502" t="str">
        <f>VLOOKUP(Таблица3[[#This Row],[№ акта]],$AJ$1:$BJ$691,19,FALSE)</f>
        <v>богара</v>
      </c>
      <c r="Y294" s="503">
        <f>VLOOKUP(Таблица3[[#This Row],[№ акта]],$AJ$1:$BJ$691,20,FALSE)</f>
        <v>14</v>
      </c>
      <c r="Z294" s="504">
        <f>VLOOKUP(Таблица3[[#This Row],[№ акта]],$AJ$1:$BJ$691,21,FALSE)</f>
        <v>46190</v>
      </c>
      <c r="AA294" s="504"/>
      <c r="AB294" s="504" t="str">
        <f>IF(VLOOKUP(Таблица3[[#This Row],[№ акта]],$AJ$1:$BJ$691,23,FALSE)&lt;&gt;0,VLOOKUP(Таблица3[[#This Row],[№ акта]],$AJ$1:$BJ$691,23,FALSE),"-")</f>
        <v>-</v>
      </c>
      <c r="AC29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94" s="506" t="s">
        <v>2940</v>
      </c>
      <c r="AE294" s="505">
        <v>298</v>
      </c>
      <c r="AF294" s="507">
        <v>46190</v>
      </c>
      <c r="AG294" s="505">
        <v>271</v>
      </c>
      <c r="AH294" s="505">
        <f>IFERROR(VLOOKUP(Таблица3[[#This Row],[№ акта]],'Степень зрелости 2026'!$H$12:$I$800,2,FALSE),)</f>
        <v>57</v>
      </c>
      <c r="AJ294" s="508">
        <v>298</v>
      </c>
      <c r="AK294" s="509">
        <v>46190</v>
      </c>
      <c r="AL294" s="508">
        <v>405</v>
      </c>
      <c r="AO294" s="508">
        <v>13170</v>
      </c>
      <c r="AP294" s="508">
        <v>11655.5</v>
      </c>
      <c r="AQ294" s="508" t="s">
        <v>2939</v>
      </c>
      <c r="AR294" s="508" t="s">
        <v>909</v>
      </c>
      <c r="AS294" s="508" t="s">
        <v>3097</v>
      </c>
      <c r="AT294" s="508" t="s">
        <v>1312</v>
      </c>
      <c r="AV294" s="508" t="s">
        <v>320</v>
      </c>
      <c r="AX294" s="508" t="s">
        <v>3097</v>
      </c>
      <c r="AY294" s="508" t="s">
        <v>909</v>
      </c>
      <c r="AZ294" s="508">
        <v>2.2000000000000002</v>
      </c>
      <c r="BA294" s="508" t="s">
        <v>46</v>
      </c>
      <c r="BB294" s="508" t="s">
        <v>19</v>
      </c>
      <c r="BC294" s="508">
        <v>14</v>
      </c>
      <c r="BD294" s="509">
        <v>46190</v>
      </c>
      <c r="BG294" s="508" t="s">
        <v>724</v>
      </c>
      <c r="BH294" s="508" t="s">
        <v>2940</v>
      </c>
      <c r="BI294" s="508">
        <v>271</v>
      </c>
      <c r="BJ294" s="508">
        <v>57</v>
      </c>
    </row>
    <row r="295" spans="1:62" s="508" customFormat="1" ht="14.25" hidden="1" customHeight="1" x14ac:dyDescent="0.2">
      <c r="A295" s="495"/>
      <c r="B295" s="496"/>
      <c r="C295" s="497">
        <f>Таблица3[[#This Row],[Степень зрелости вспом]]</f>
        <v>57</v>
      </c>
      <c r="D295" s="498">
        <v>406</v>
      </c>
      <c r="E295" s="499"/>
      <c r="F295" s="496"/>
      <c r="G295" s="496">
        <v>13250</v>
      </c>
      <c r="H295" s="500"/>
      <c r="I295" s="496">
        <v>11991.3</v>
      </c>
      <c r="J295" s="495" t="s">
        <v>2939</v>
      </c>
      <c r="K295" s="495" t="s">
        <v>909</v>
      </c>
      <c r="L295" s="495" t="s">
        <v>3097</v>
      </c>
      <c r="M295" s="495" t="s">
        <v>121</v>
      </c>
      <c r="N295" s="495"/>
      <c r="O295" s="495"/>
      <c r="P295" s="495"/>
      <c r="Q295" s="495"/>
      <c r="R295" s="501" t="s">
        <v>125</v>
      </c>
      <c r="S295" s="495"/>
      <c r="T295" s="482" t="str">
        <f>VLOOKUP(Таблица3[[#This Row],[№ акта]],$AJ$1:$BJ$691,15,FALSE)</f>
        <v>А-115/1</v>
      </c>
      <c r="U295" s="482" t="str">
        <f>VLOOKUP(Таблица3[[#This Row],[№ акта]],$AJ$1:$BJ$691,16,FALSE)</f>
        <v>Тристар</v>
      </c>
      <c r="V295" s="502">
        <f>VLOOKUP(Таблица3[[#This Row],[№ акта]],$AJ$1:$BJ$691,17,FALSE)</f>
        <v>2.2000000000000002</v>
      </c>
      <c r="W295" s="502" t="str">
        <f>VLOOKUP(Таблица3[[#This Row],[№ акта]],$AJ$1:$BJ$691,18,FALSE)</f>
        <v>ГРК (богара)</v>
      </c>
      <c r="X295" s="502" t="str">
        <f>VLOOKUP(Таблица3[[#This Row],[№ акта]],$AJ$1:$BJ$691,19,FALSE)</f>
        <v>богара</v>
      </c>
      <c r="Y295" s="503">
        <f>VLOOKUP(Таблица3[[#This Row],[№ акта]],$AJ$1:$BJ$691,20,FALSE)</f>
        <v>14</v>
      </c>
      <c r="Z295" s="504">
        <f>VLOOKUP(Таблица3[[#This Row],[№ акта]],$AJ$1:$BJ$691,21,FALSE)</f>
        <v>46190</v>
      </c>
      <c r="AA295" s="504"/>
      <c r="AB295" s="504" t="str">
        <f>IF(VLOOKUP(Таблица3[[#This Row],[№ акта]],$AJ$1:$BJ$691,23,FALSE)&lt;&gt;0,VLOOKUP(Таблица3[[#This Row],[№ акта]],$AJ$1:$BJ$691,23,FALSE),"-")</f>
        <v>-</v>
      </c>
      <c r="AC29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95" s="506" t="s">
        <v>2940</v>
      </c>
      <c r="AE295" s="505">
        <v>299</v>
      </c>
      <c r="AF295" s="507">
        <v>46190</v>
      </c>
      <c r="AG295" s="505">
        <v>272</v>
      </c>
      <c r="AH295" s="505">
        <f>IFERROR(VLOOKUP(Таблица3[[#This Row],[№ акта]],'Степень зрелости 2026'!$H$12:$I$800,2,FALSE),)</f>
        <v>57</v>
      </c>
      <c r="AJ295" s="508">
        <v>299</v>
      </c>
      <c r="AK295" s="509">
        <v>46190</v>
      </c>
      <c r="AL295" s="508">
        <v>406</v>
      </c>
      <c r="AO295" s="508">
        <v>13250</v>
      </c>
      <c r="AP295" s="508">
        <v>11991.3</v>
      </c>
      <c r="AQ295" s="508" t="s">
        <v>2939</v>
      </c>
      <c r="AR295" s="508" t="s">
        <v>909</v>
      </c>
      <c r="AS295" s="508" t="s">
        <v>3097</v>
      </c>
      <c r="AT295" s="508" t="s">
        <v>121</v>
      </c>
      <c r="AV295" s="508" t="s">
        <v>125</v>
      </c>
      <c r="AX295" s="508" t="s">
        <v>3097</v>
      </c>
      <c r="AY295" s="508" t="s">
        <v>909</v>
      </c>
      <c r="AZ295" s="508">
        <v>2.2000000000000002</v>
      </c>
      <c r="BA295" s="508" t="s">
        <v>46</v>
      </c>
      <c r="BB295" s="508" t="s">
        <v>19</v>
      </c>
      <c r="BC295" s="508">
        <v>14</v>
      </c>
      <c r="BD295" s="509">
        <v>46190</v>
      </c>
      <c r="BG295" s="508" t="s">
        <v>724</v>
      </c>
      <c r="BH295" s="508" t="s">
        <v>2940</v>
      </c>
      <c r="BI295" s="508">
        <v>272</v>
      </c>
      <c r="BJ295" s="508">
        <v>57</v>
      </c>
    </row>
    <row r="296" spans="1:62" s="508" customFormat="1" ht="14.25" hidden="1" customHeight="1" x14ac:dyDescent="0.2">
      <c r="A296" s="495"/>
      <c r="B296" s="496"/>
      <c r="C296" s="497">
        <f>Таблица3[[#This Row],[Степень зрелости вспом]]</f>
        <v>55</v>
      </c>
      <c r="D296" s="498">
        <v>407</v>
      </c>
      <c r="E296" s="499"/>
      <c r="F296" s="496"/>
      <c r="G296" s="496">
        <v>4410</v>
      </c>
      <c r="H296" s="500"/>
      <c r="I296" s="496">
        <v>3858.8</v>
      </c>
      <c r="J296" s="495" t="s">
        <v>2939</v>
      </c>
      <c r="K296" s="495" t="s">
        <v>909</v>
      </c>
      <c r="L296" s="495" t="s">
        <v>3097</v>
      </c>
      <c r="M296" s="495" t="s">
        <v>762</v>
      </c>
      <c r="N296" s="495"/>
      <c r="O296" s="495"/>
      <c r="P296" s="495"/>
      <c r="Q296" s="495"/>
      <c r="R296" s="501" t="s">
        <v>763</v>
      </c>
      <c r="S296" s="495"/>
      <c r="T296" s="482" t="str">
        <f>VLOOKUP(Таблица3[[#This Row],[№ акта]],$AJ$1:$BJ$691,15,FALSE)</f>
        <v>А-115/1</v>
      </c>
      <c r="U296" s="482" t="str">
        <f>VLOOKUP(Таблица3[[#This Row],[№ акта]],$AJ$1:$BJ$691,16,FALSE)</f>
        <v>Тристар</v>
      </c>
      <c r="V296" s="502">
        <f>VLOOKUP(Таблица3[[#This Row],[№ акта]],$AJ$1:$BJ$691,17,FALSE)</f>
        <v>0.7</v>
      </c>
      <c r="W296" s="502" t="str">
        <f>VLOOKUP(Таблица3[[#This Row],[№ акта]],$AJ$1:$BJ$691,18,FALSE)</f>
        <v>ГРК (богара)</v>
      </c>
      <c r="X296" s="502" t="str">
        <f>VLOOKUP(Таблица3[[#This Row],[№ акта]],$AJ$1:$BJ$691,19,FALSE)</f>
        <v>богара</v>
      </c>
      <c r="Y296" s="503">
        <f>VLOOKUP(Таблица3[[#This Row],[№ акта]],$AJ$1:$BJ$691,20,FALSE)</f>
        <v>14</v>
      </c>
      <c r="Z296" s="504">
        <f>VLOOKUP(Таблица3[[#This Row],[№ акта]],$AJ$1:$BJ$691,21,FALSE)</f>
        <v>46190</v>
      </c>
      <c r="AA296" s="504"/>
      <c r="AB296" s="504" t="str">
        <f>IF(VLOOKUP(Таблица3[[#This Row],[№ акта]],$AJ$1:$BJ$691,23,FALSE)&lt;&gt;0,VLOOKUP(Таблица3[[#This Row],[№ акта]],$AJ$1:$BJ$691,23,FALSE),"-")</f>
        <v>-</v>
      </c>
      <c r="AC29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96" s="506" t="s">
        <v>2940</v>
      </c>
      <c r="AE296" s="505">
        <v>300</v>
      </c>
      <c r="AF296" s="507">
        <v>46190</v>
      </c>
      <c r="AG296" s="505">
        <v>273</v>
      </c>
      <c r="AH296" s="505">
        <f>IFERROR(VLOOKUP(Таблица3[[#This Row],[№ акта]],'Степень зрелости 2026'!$H$12:$I$800,2,FALSE),)</f>
        <v>55</v>
      </c>
      <c r="AJ296" s="508">
        <v>300</v>
      </c>
      <c r="AK296" s="509">
        <v>46190</v>
      </c>
      <c r="AL296" s="508">
        <v>407</v>
      </c>
      <c r="AO296" s="508">
        <v>4410</v>
      </c>
      <c r="AP296" s="508">
        <v>3858.8</v>
      </c>
      <c r="AQ296" s="508" t="s">
        <v>2939</v>
      </c>
      <c r="AR296" s="508" t="s">
        <v>909</v>
      </c>
      <c r="AS296" s="508" t="s">
        <v>3097</v>
      </c>
      <c r="AT296" s="508" t="s">
        <v>762</v>
      </c>
      <c r="AV296" s="508" t="s">
        <v>763</v>
      </c>
      <c r="AX296" s="508" t="s">
        <v>3097</v>
      </c>
      <c r="AY296" s="508" t="s">
        <v>909</v>
      </c>
      <c r="AZ296" s="508">
        <v>0.7</v>
      </c>
      <c r="BA296" s="508" t="s">
        <v>46</v>
      </c>
      <c r="BB296" s="508" t="s">
        <v>19</v>
      </c>
      <c r="BC296" s="508">
        <v>14</v>
      </c>
      <c r="BD296" s="509">
        <v>46190</v>
      </c>
      <c r="BG296" s="508" t="s">
        <v>724</v>
      </c>
      <c r="BH296" s="508" t="s">
        <v>2940</v>
      </c>
      <c r="BI296" s="508">
        <v>273</v>
      </c>
      <c r="BJ296" s="508">
        <v>55</v>
      </c>
    </row>
    <row r="297" spans="1:62" s="508" customFormat="1" ht="14.25" hidden="1" customHeight="1" x14ac:dyDescent="0.2">
      <c r="A297" s="495"/>
      <c r="B297" s="496"/>
      <c r="C297" s="497">
        <f>Таблица3[[#This Row],[Степень зрелости вспом]]</f>
        <v>55</v>
      </c>
      <c r="D297" s="498">
        <v>408</v>
      </c>
      <c r="E297" s="499"/>
      <c r="F297" s="496"/>
      <c r="G297" s="496">
        <v>13130</v>
      </c>
      <c r="H297" s="500"/>
      <c r="I297" s="496">
        <v>11488.8</v>
      </c>
      <c r="J297" s="495" t="s">
        <v>2939</v>
      </c>
      <c r="K297" s="495" t="s">
        <v>909</v>
      </c>
      <c r="L297" s="495" t="s">
        <v>3097</v>
      </c>
      <c r="M297" s="495" t="s">
        <v>894</v>
      </c>
      <c r="N297" s="495"/>
      <c r="O297" s="495"/>
      <c r="P297" s="495"/>
      <c r="Q297" s="495"/>
      <c r="R297" s="501" t="s">
        <v>895</v>
      </c>
      <c r="S297" s="495"/>
      <c r="T297" s="482" t="str">
        <f>VLOOKUP(Таблица3[[#This Row],[№ акта]],$AJ$1:$BJ$691,15,FALSE)</f>
        <v>А-115/1</v>
      </c>
      <c r="U297" s="482" t="str">
        <f>VLOOKUP(Таблица3[[#This Row],[№ акта]],$AJ$1:$BJ$691,16,FALSE)</f>
        <v>Тристар</v>
      </c>
      <c r="V297" s="502">
        <f>VLOOKUP(Таблица3[[#This Row],[№ акта]],$AJ$1:$BJ$691,17,FALSE)</f>
        <v>2.2000000000000002</v>
      </c>
      <c r="W297" s="502" t="str">
        <f>VLOOKUP(Таблица3[[#This Row],[№ акта]],$AJ$1:$BJ$691,18,FALSE)</f>
        <v>ГРК (богара)</v>
      </c>
      <c r="X297" s="502" t="str">
        <f>VLOOKUP(Таблица3[[#This Row],[№ акта]],$AJ$1:$BJ$691,19,FALSE)</f>
        <v>богара</v>
      </c>
      <c r="Y297" s="503">
        <f>VLOOKUP(Таблица3[[#This Row],[№ акта]],$AJ$1:$BJ$691,20,FALSE)</f>
        <v>14</v>
      </c>
      <c r="Z297" s="504">
        <f>VLOOKUP(Таблица3[[#This Row],[№ акта]],$AJ$1:$BJ$691,21,FALSE)</f>
        <v>46190</v>
      </c>
      <c r="AA297" s="504"/>
      <c r="AB297" s="504" t="str">
        <f>IF(VLOOKUP(Таблица3[[#This Row],[№ акта]],$AJ$1:$BJ$691,23,FALSE)&lt;&gt;0,VLOOKUP(Таблица3[[#This Row],[№ акта]],$AJ$1:$BJ$691,23,FALSE),"-")</f>
        <v>-</v>
      </c>
      <c r="AC29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97" s="506" t="s">
        <v>2940</v>
      </c>
      <c r="AE297" s="505">
        <v>301</v>
      </c>
      <c r="AF297" s="507">
        <v>46191</v>
      </c>
      <c r="AG297" s="505">
        <v>274</v>
      </c>
      <c r="AH297" s="505">
        <f>IFERROR(VLOOKUP(Таблица3[[#This Row],[№ акта]],'Степень зрелости 2026'!$H$12:$I$800,2,FALSE),)</f>
        <v>55</v>
      </c>
      <c r="AJ297" s="508">
        <v>301</v>
      </c>
      <c r="AK297" s="509">
        <v>46191</v>
      </c>
      <c r="AL297" s="508">
        <v>408</v>
      </c>
      <c r="AO297" s="508">
        <v>13130</v>
      </c>
      <c r="AP297" s="508">
        <v>11488.8</v>
      </c>
      <c r="AQ297" s="508" t="s">
        <v>2939</v>
      </c>
      <c r="AR297" s="508" t="s">
        <v>909</v>
      </c>
      <c r="AS297" s="508" t="s">
        <v>3097</v>
      </c>
      <c r="AT297" s="508" t="s">
        <v>894</v>
      </c>
      <c r="AV297" s="508" t="s">
        <v>895</v>
      </c>
      <c r="AX297" s="508" t="s">
        <v>3097</v>
      </c>
      <c r="AY297" s="508" t="s">
        <v>909</v>
      </c>
      <c r="AZ297" s="508">
        <v>2.2000000000000002</v>
      </c>
      <c r="BA297" s="508" t="s">
        <v>46</v>
      </c>
      <c r="BB297" s="508" t="s">
        <v>19</v>
      </c>
      <c r="BC297" s="508">
        <v>14</v>
      </c>
      <c r="BD297" s="509">
        <v>46190</v>
      </c>
      <c r="BG297" s="508" t="s">
        <v>724</v>
      </c>
      <c r="BH297" s="508" t="s">
        <v>2940</v>
      </c>
      <c r="BI297" s="508">
        <v>274</v>
      </c>
      <c r="BJ297" s="508">
        <v>55</v>
      </c>
    </row>
    <row r="298" spans="1:62" s="508" customFormat="1" ht="14.25" hidden="1" customHeight="1" x14ac:dyDescent="0.2">
      <c r="A298" s="495"/>
      <c r="B298" s="496"/>
      <c r="C298" s="497">
        <f>Таблица3[[#This Row],[Степень зрелости вспом]]</f>
        <v>56</v>
      </c>
      <c r="D298" s="498">
        <v>409</v>
      </c>
      <c r="E298" s="499"/>
      <c r="F298" s="496"/>
      <c r="G298" s="496">
        <v>13080</v>
      </c>
      <c r="H298" s="500"/>
      <c r="I298" s="496">
        <v>11706.6</v>
      </c>
      <c r="J298" s="495" t="s">
        <v>2939</v>
      </c>
      <c r="K298" s="495" t="s">
        <v>909</v>
      </c>
      <c r="L298" s="495" t="s">
        <v>3097</v>
      </c>
      <c r="M298" s="495" t="s">
        <v>1312</v>
      </c>
      <c r="N298" s="495"/>
      <c r="O298" s="495"/>
      <c r="P298" s="495"/>
      <c r="Q298" s="495"/>
      <c r="R298" s="501" t="s">
        <v>320</v>
      </c>
      <c r="S298" s="495"/>
      <c r="T298" s="482" t="str">
        <f>VLOOKUP(Таблица3[[#This Row],[№ акта]],$AJ$1:$BJ$691,15,FALSE)</f>
        <v>А-115/1</v>
      </c>
      <c r="U298" s="482" t="str">
        <f>VLOOKUP(Таблица3[[#This Row],[№ акта]],$AJ$1:$BJ$691,16,FALSE)</f>
        <v>Тристар</v>
      </c>
      <c r="V298" s="502">
        <f>VLOOKUP(Таблица3[[#This Row],[№ акта]],$AJ$1:$BJ$691,17,FALSE)</f>
        <v>2.2000000000000002</v>
      </c>
      <c r="W298" s="502" t="str">
        <f>VLOOKUP(Таблица3[[#This Row],[№ акта]],$AJ$1:$BJ$691,18,FALSE)</f>
        <v>ГРК (богара)</v>
      </c>
      <c r="X298" s="502" t="str">
        <f>VLOOKUP(Таблица3[[#This Row],[№ акта]],$AJ$1:$BJ$691,19,FALSE)</f>
        <v>богара</v>
      </c>
      <c r="Y298" s="503">
        <f>VLOOKUP(Таблица3[[#This Row],[№ акта]],$AJ$1:$BJ$691,20,FALSE)</f>
        <v>14</v>
      </c>
      <c r="Z298" s="504">
        <f>VLOOKUP(Таблица3[[#This Row],[№ акта]],$AJ$1:$BJ$691,21,FALSE)</f>
        <v>46190</v>
      </c>
      <c r="AA298" s="504"/>
      <c r="AB298" s="504" t="str">
        <f>IF(VLOOKUP(Таблица3[[#This Row],[№ акта]],$AJ$1:$BJ$691,23,FALSE)&lt;&gt;0,VLOOKUP(Таблица3[[#This Row],[№ акта]],$AJ$1:$BJ$691,23,FALSE),"-")</f>
        <v>-</v>
      </c>
      <c r="AC29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98" s="506" t="s">
        <v>2940</v>
      </c>
      <c r="AE298" s="505">
        <v>302</v>
      </c>
      <c r="AF298" s="507">
        <v>46191</v>
      </c>
      <c r="AG298" s="505">
        <v>275</v>
      </c>
      <c r="AH298" s="505">
        <f>IFERROR(VLOOKUP(Таблица3[[#This Row],[№ акта]],'Степень зрелости 2026'!$H$12:$I$800,2,FALSE),)</f>
        <v>56</v>
      </c>
      <c r="AJ298" s="508">
        <v>302</v>
      </c>
      <c r="AK298" s="509">
        <v>46191</v>
      </c>
      <c r="AL298" s="508">
        <v>409</v>
      </c>
      <c r="AO298" s="508">
        <v>13080</v>
      </c>
      <c r="AP298" s="508">
        <v>11706.6</v>
      </c>
      <c r="AQ298" s="508" t="s">
        <v>2939</v>
      </c>
      <c r="AR298" s="508" t="s">
        <v>909</v>
      </c>
      <c r="AS298" s="508" t="s">
        <v>3097</v>
      </c>
      <c r="AT298" s="508" t="s">
        <v>1312</v>
      </c>
      <c r="AV298" s="508" t="s">
        <v>320</v>
      </c>
      <c r="AX298" s="508" t="s">
        <v>3097</v>
      </c>
      <c r="AY298" s="508" t="s">
        <v>909</v>
      </c>
      <c r="AZ298" s="508">
        <v>2.2000000000000002</v>
      </c>
      <c r="BA298" s="508" t="s">
        <v>46</v>
      </c>
      <c r="BB298" s="508" t="s">
        <v>19</v>
      </c>
      <c r="BC298" s="508">
        <v>14</v>
      </c>
      <c r="BD298" s="509">
        <v>46190</v>
      </c>
      <c r="BG298" s="508" t="s">
        <v>724</v>
      </c>
      <c r="BH298" s="508" t="s">
        <v>2940</v>
      </c>
      <c r="BI298" s="508">
        <v>275</v>
      </c>
      <c r="BJ298" s="508">
        <v>56</v>
      </c>
    </row>
    <row r="299" spans="1:62" s="508" customFormat="1" ht="14.25" hidden="1" customHeight="1" x14ac:dyDescent="0.2">
      <c r="A299" s="495"/>
      <c r="B299" s="496"/>
      <c r="C299" s="497">
        <f>Таблица3[[#This Row],[Степень зрелости вспом]]</f>
        <v>53</v>
      </c>
      <c r="D299" s="498">
        <v>410</v>
      </c>
      <c r="E299" s="499"/>
      <c r="F299" s="496"/>
      <c r="G299" s="496">
        <v>12940</v>
      </c>
      <c r="H299" s="500"/>
      <c r="I299" s="496">
        <v>11581.3</v>
      </c>
      <c r="J299" s="495" t="s">
        <v>2939</v>
      </c>
      <c r="K299" s="495" t="s">
        <v>909</v>
      </c>
      <c r="L299" s="495" t="s">
        <v>3097</v>
      </c>
      <c r="M299" s="495" t="s">
        <v>121</v>
      </c>
      <c r="N299" s="495"/>
      <c r="O299" s="495"/>
      <c r="P299" s="495"/>
      <c r="Q299" s="495"/>
      <c r="R299" s="501" t="s">
        <v>125</v>
      </c>
      <c r="S299" s="495"/>
      <c r="T299" s="482" t="str">
        <f>VLOOKUP(Таблица3[[#This Row],[№ акта]],$AJ$1:$BJ$691,15,FALSE)</f>
        <v>А-115/1</v>
      </c>
      <c r="U299" s="482" t="str">
        <f>VLOOKUP(Таблица3[[#This Row],[№ акта]],$AJ$1:$BJ$691,16,FALSE)</f>
        <v>Тристар</v>
      </c>
      <c r="V299" s="502">
        <f>VLOOKUP(Таблица3[[#This Row],[№ акта]],$AJ$1:$BJ$691,17,FALSE)</f>
        <v>2.1</v>
      </c>
      <c r="W299" s="502" t="str">
        <f>VLOOKUP(Таблица3[[#This Row],[№ акта]],$AJ$1:$BJ$691,18,FALSE)</f>
        <v>ГРК (богара)</v>
      </c>
      <c r="X299" s="502" t="str">
        <f>VLOOKUP(Таблица3[[#This Row],[№ акта]],$AJ$1:$BJ$691,19,FALSE)</f>
        <v>богара</v>
      </c>
      <c r="Y299" s="503">
        <f>VLOOKUP(Таблица3[[#This Row],[№ акта]],$AJ$1:$BJ$691,20,FALSE)</f>
        <v>14</v>
      </c>
      <c r="Z299" s="504">
        <f>VLOOKUP(Таблица3[[#This Row],[№ акта]],$AJ$1:$BJ$691,21,FALSE)</f>
        <v>46190</v>
      </c>
      <c r="AA299" s="504"/>
      <c r="AB299" s="504" t="str">
        <f>IF(VLOOKUP(Таблица3[[#This Row],[№ акта]],$AJ$1:$BJ$691,23,FALSE)&lt;&gt;0,VLOOKUP(Таблица3[[#This Row],[№ акта]],$AJ$1:$BJ$691,23,FALSE),"-")</f>
        <v>-</v>
      </c>
      <c r="AC29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299" s="506" t="s">
        <v>2940</v>
      </c>
      <c r="AE299" s="505">
        <v>303</v>
      </c>
      <c r="AF299" s="507">
        <v>46191</v>
      </c>
      <c r="AG299" s="505">
        <v>276</v>
      </c>
      <c r="AH299" s="505">
        <f>IFERROR(VLOOKUP(Таблица3[[#This Row],[№ акта]],'Степень зрелости 2026'!$H$12:$I$800,2,FALSE),)</f>
        <v>53</v>
      </c>
      <c r="AJ299" s="508">
        <v>303</v>
      </c>
      <c r="AK299" s="509">
        <v>46191</v>
      </c>
      <c r="AL299" s="508">
        <v>410</v>
      </c>
      <c r="AO299" s="508">
        <v>12940</v>
      </c>
      <c r="AP299" s="508">
        <v>11581.3</v>
      </c>
      <c r="AQ299" s="508" t="s">
        <v>2939</v>
      </c>
      <c r="AR299" s="508" t="s">
        <v>909</v>
      </c>
      <c r="AS299" s="508" t="s">
        <v>3097</v>
      </c>
      <c r="AT299" s="508" t="s">
        <v>121</v>
      </c>
      <c r="AV299" s="508" t="s">
        <v>125</v>
      </c>
      <c r="AX299" s="508" t="s">
        <v>3097</v>
      </c>
      <c r="AY299" s="508" t="s">
        <v>909</v>
      </c>
      <c r="AZ299" s="508">
        <v>2.1</v>
      </c>
      <c r="BA299" s="508" t="s">
        <v>46</v>
      </c>
      <c r="BB299" s="508" t="s">
        <v>19</v>
      </c>
      <c r="BC299" s="508">
        <v>14</v>
      </c>
      <c r="BD299" s="509">
        <v>46190</v>
      </c>
      <c r="BG299" s="508" t="s">
        <v>724</v>
      </c>
      <c r="BH299" s="508" t="s">
        <v>2940</v>
      </c>
      <c r="BI299" s="508">
        <v>276</v>
      </c>
      <c r="BJ299" s="508">
        <v>53</v>
      </c>
    </row>
    <row r="300" spans="1:62" s="508" customFormat="1" ht="14.25" hidden="1" customHeight="1" x14ac:dyDescent="0.2">
      <c r="A300" s="495"/>
      <c r="B300" s="496"/>
      <c r="C300" s="497">
        <f>Таблица3[[#This Row],[Степень зрелости вспом]]</f>
        <v>54</v>
      </c>
      <c r="D300" s="498">
        <v>411</v>
      </c>
      <c r="E300" s="499"/>
      <c r="F300" s="496"/>
      <c r="G300" s="496">
        <v>4340</v>
      </c>
      <c r="H300" s="500"/>
      <c r="I300" s="496">
        <v>3884.3</v>
      </c>
      <c r="J300" s="495" t="s">
        <v>2939</v>
      </c>
      <c r="K300" s="495" t="s">
        <v>909</v>
      </c>
      <c r="L300" s="495" t="s">
        <v>3097</v>
      </c>
      <c r="M300" s="495" t="s">
        <v>762</v>
      </c>
      <c r="N300" s="495"/>
      <c r="O300" s="495"/>
      <c r="P300" s="495"/>
      <c r="Q300" s="495"/>
      <c r="R300" s="501" t="s">
        <v>763</v>
      </c>
      <c r="S300" s="495"/>
      <c r="T300" s="482" t="str">
        <f>VLOOKUP(Таблица3[[#This Row],[№ акта]],$AJ$1:$BJ$691,15,FALSE)</f>
        <v>А-115/1</v>
      </c>
      <c r="U300" s="482" t="str">
        <f>VLOOKUP(Таблица3[[#This Row],[№ акта]],$AJ$1:$BJ$691,16,FALSE)</f>
        <v>Тристар</v>
      </c>
      <c r="V300" s="502">
        <f>VLOOKUP(Таблица3[[#This Row],[№ акта]],$AJ$1:$BJ$691,17,FALSE)</f>
        <v>0.7</v>
      </c>
      <c r="W300" s="502" t="str">
        <f>VLOOKUP(Таблица3[[#This Row],[№ акта]],$AJ$1:$BJ$691,18,FALSE)</f>
        <v>ГРК (богара)</v>
      </c>
      <c r="X300" s="502" t="str">
        <f>VLOOKUP(Таблица3[[#This Row],[№ акта]],$AJ$1:$BJ$691,19,FALSE)</f>
        <v>богара</v>
      </c>
      <c r="Y300" s="503">
        <f>VLOOKUP(Таблица3[[#This Row],[№ акта]],$AJ$1:$BJ$691,20,FALSE)</f>
        <v>14</v>
      </c>
      <c r="Z300" s="504">
        <f>VLOOKUP(Таблица3[[#This Row],[№ акта]],$AJ$1:$BJ$691,21,FALSE)</f>
        <v>46190</v>
      </c>
      <c r="AA300" s="504"/>
      <c r="AB300" s="504" t="str">
        <f>IF(VLOOKUP(Таблица3[[#This Row],[№ акта]],$AJ$1:$BJ$691,23,FALSE)&lt;&gt;0,VLOOKUP(Таблица3[[#This Row],[№ акта]],$AJ$1:$BJ$691,23,FALSE),"-")</f>
        <v>-</v>
      </c>
      <c r="AC30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00" s="506" t="s">
        <v>2940</v>
      </c>
      <c r="AE300" s="505">
        <v>304</v>
      </c>
      <c r="AF300" s="507">
        <v>46191</v>
      </c>
      <c r="AG300" s="505">
        <v>277</v>
      </c>
      <c r="AH300" s="505">
        <f>IFERROR(VLOOKUP(Таблица3[[#This Row],[№ акта]],'Степень зрелости 2026'!$H$12:$I$800,2,FALSE),)</f>
        <v>54</v>
      </c>
      <c r="AJ300" s="508">
        <v>304</v>
      </c>
      <c r="AK300" s="509">
        <v>46191</v>
      </c>
      <c r="AL300" s="508">
        <v>411</v>
      </c>
      <c r="AO300" s="508">
        <v>4340</v>
      </c>
      <c r="AP300" s="508">
        <v>3884.3</v>
      </c>
      <c r="AQ300" s="508" t="s">
        <v>2939</v>
      </c>
      <c r="AR300" s="508" t="s">
        <v>909</v>
      </c>
      <c r="AS300" s="508" t="s">
        <v>3097</v>
      </c>
      <c r="AT300" s="508" t="s">
        <v>762</v>
      </c>
      <c r="AV300" s="508" t="s">
        <v>763</v>
      </c>
      <c r="AX300" s="508" t="s">
        <v>3097</v>
      </c>
      <c r="AY300" s="508" t="s">
        <v>909</v>
      </c>
      <c r="AZ300" s="508">
        <v>0.7</v>
      </c>
      <c r="BA300" s="508" t="s">
        <v>46</v>
      </c>
      <c r="BB300" s="508" t="s">
        <v>19</v>
      </c>
      <c r="BC300" s="508">
        <v>14</v>
      </c>
      <c r="BD300" s="509">
        <v>46190</v>
      </c>
      <c r="BG300" s="508" t="s">
        <v>724</v>
      </c>
      <c r="BH300" s="508" t="s">
        <v>2940</v>
      </c>
      <c r="BI300" s="508">
        <v>277</v>
      </c>
      <c r="BJ300" s="508">
        <v>54</v>
      </c>
    </row>
    <row r="301" spans="1:62" s="508" customFormat="1" ht="14.25" hidden="1" customHeight="1" x14ac:dyDescent="0.2">
      <c r="A301" s="495"/>
      <c r="B301" s="496"/>
      <c r="C301" s="497">
        <f>Таблица3[[#This Row],[Степень зрелости вспом]]</f>
        <v>55</v>
      </c>
      <c r="D301" s="498">
        <v>412</v>
      </c>
      <c r="E301" s="499"/>
      <c r="F301" s="496"/>
      <c r="G301" s="496">
        <v>13140</v>
      </c>
      <c r="H301" s="500"/>
      <c r="I301" s="496">
        <v>11891.7</v>
      </c>
      <c r="J301" s="495" t="s">
        <v>2939</v>
      </c>
      <c r="K301" s="495" t="s">
        <v>909</v>
      </c>
      <c r="L301" s="495" t="s">
        <v>3097</v>
      </c>
      <c r="M301" s="495" t="s">
        <v>894</v>
      </c>
      <c r="N301" s="495"/>
      <c r="O301" s="495"/>
      <c r="P301" s="495"/>
      <c r="Q301" s="495"/>
      <c r="R301" s="501" t="s">
        <v>895</v>
      </c>
      <c r="S301" s="495"/>
      <c r="T301" s="482" t="str">
        <f>VLOOKUP(Таблица3[[#This Row],[№ акта]],$AJ$1:$BJ$691,15,FALSE)</f>
        <v>А-115/1</v>
      </c>
      <c r="U301" s="482" t="str">
        <f>VLOOKUP(Таблица3[[#This Row],[№ акта]],$AJ$1:$BJ$691,16,FALSE)</f>
        <v>Тристар</v>
      </c>
      <c r="V301" s="502">
        <f>VLOOKUP(Таблица3[[#This Row],[№ акта]],$AJ$1:$BJ$691,17,FALSE)</f>
        <v>2.2000000000000002</v>
      </c>
      <c r="W301" s="502" t="str">
        <f>VLOOKUP(Таблица3[[#This Row],[№ акта]],$AJ$1:$BJ$691,18,FALSE)</f>
        <v>ГРК (богара)</v>
      </c>
      <c r="X301" s="502" t="str">
        <f>VLOOKUP(Таблица3[[#This Row],[№ акта]],$AJ$1:$BJ$691,19,FALSE)</f>
        <v>богара</v>
      </c>
      <c r="Y301" s="503">
        <f>VLOOKUP(Таблица3[[#This Row],[№ акта]],$AJ$1:$BJ$691,20,FALSE)</f>
        <v>14</v>
      </c>
      <c r="Z301" s="504">
        <f>VLOOKUP(Таблица3[[#This Row],[№ акта]],$AJ$1:$BJ$691,21,FALSE)</f>
        <v>46190</v>
      </c>
      <c r="AA301" s="504"/>
      <c r="AB301" s="504" t="str">
        <f>IF(VLOOKUP(Таблица3[[#This Row],[№ акта]],$AJ$1:$BJ$691,23,FALSE)&lt;&gt;0,VLOOKUP(Таблица3[[#This Row],[№ акта]],$AJ$1:$BJ$691,23,FALSE),"-")</f>
        <v>-</v>
      </c>
      <c r="AC30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01" s="506" t="s">
        <v>2940</v>
      </c>
      <c r="AE301" s="505">
        <v>308</v>
      </c>
      <c r="AF301" s="507">
        <v>46191</v>
      </c>
      <c r="AG301" s="505">
        <v>278</v>
      </c>
      <c r="AH301" s="505">
        <f>IFERROR(VLOOKUP(Таблица3[[#This Row],[№ акта]],'Степень зрелости 2026'!$H$12:$I$800,2,FALSE),)</f>
        <v>55</v>
      </c>
      <c r="AJ301" s="508">
        <v>308</v>
      </c>
      <c r="AK301" s="509">
        <v>46191</v>
      </c>
      <c r="AL301" s="508">
        <v>412</v>
      </c>
      <c r="AO301" s="508">
        <v>13140</v>
      </c>
      <c r="AP301" s="508">
        <v>11891.7</v>
      </c>
      <c r="AQ301" s="508" t="s">
        <v>2939</v>
      </c>
      <c r="AR301" s="508" t="s">
        <v>909</v>
      </c>
      <c r="AS301" s="508" t="s">
        <v>3097</v>
      </c>
      <c r="AT301" s="508" t="s">
        <v>894</v>
      </c>
      <c r="AV301" s="508" t="s">
        <v>895</v>
      </c>
      <c r="AX301" s="508" t="s">
        <v>3097</v>
      </c>
      <c r="AY301" s="508" t="s">
        <v>909</v>
      </c>
      <c r="AZ301" s="508">
        <v>2.2000000000000002</v>
      </c>
      <c r="BA301" s="508" t="s">
        <v>46</v>
      </c>
      <c r="BB301" s="508" t="s">
        <v>19</v>
      </c>
      <c r="BC301" s="508">
        <v>14</v>
      </c>
      <c r="BD301" s="509">
        <v>46190</v>
      </c>
      <c r="BG301" s="508" t="s">
        <v>724</v>
      </c>
      <c r="BH301" s="508" t="s">
        <v>2940</v>
      </c>
      <c r="BI301" s="508">
        <v>278</v>
      </c>
      <c r="BJ301" s="508">
        <v>55</v>
      </c>
    </row>
    <row r="302" spans="1:62" s="508" customFormat="1" ht="14.25" hidden="1" customHeight="1" x14ac:dyDescent="0.2">
      <c r="A302" s="495"/>
      <c r="B302" s="496"/>
      <c r="C302" s="497">
        <f>Таблица3[[#This Row],[Степень зрелости вспом]]</f>
        <v>53</v>
      </c>
      <c r="D302" s="498">
        <v>413</v>
      </c>
      <c r="E302" s="499"/>
      <c r="F302" s="496"/>
      <c r="G302" s="496">
        <v>12980</v>
      </c>
      <c r="H302" s="500"/>
      <c r="I302" s="496">
        <v>11876.7</v>
      </c>
      <c r="J302" s="495" t="s">
        <v>2939</v>
      </c>
      <c r="K302" s="495" t="s">
        <v>909</v>
      </c>
      <c r="L302" s="495" t="s">
        <v>3097</v>
      </c>
      <c r="M302" s="495" t="s">
        <v>1312</v>
      </c>
      <c r="N302" s="495"/>
      <c r="O302" s="495"/>
      <c r="P302" s="495"/>
      <c r="Q302" s="495"/>
      <c r="R302" s="501" t="s">
        <v>320</v>
      </c>
      <c r="S302" s="495"/>
      <c r="T302" s="482" t="str">
        <f>VLOOKUP(Таблица3[[#This Row],[№ акта]],$AJ$1:$BJ$691,15,FALSE)</f>
        <v>А-115/1</v>
      </c>
      <c r="U302" s="482" t="str">
        <f>VLOOKUP(Таблица3[[#This Row],[№ акта]],$AJ$1:$BJ$691,16,FALSE)</f>
        <v>Тристар</v>
      </c>
      <c r="V302" s="502">
        <f>VLOOKUP(Таблица3[[#This Row],[№ акта]],$AJ$1:$BJ$691,17,FALSE)</f>
        <v>2.2000000000000002</v>
      </c>
      <c r="W302" s="502" t="str">
        <f>VLOOKUP(Таблица3[[#This Row],[№ акта]],$AJ$1:$BJ$691,18,FALSE)</f>
        <v>ГРК (богара)</v>
      </c>
      <c r="X302" s="502" t="str">
        <f>VLOOKUP(Таблица3[[#This Row],[№ акта]],$AJ$1:$BJ$691,19,FALSE)</f>
        <v>богара</v>
      </c>
      <c r="Y302" s="503">
        <f>VLOOKUP(Таблица3[[#This Row],[№ акта]],$AJ$1:$BJ$691,20,FALSE)</f>
        <v>14</v>
      </c>
      <c r="Z302" s="504">
        <f>VLOOKUP(Таблица3[[#This Row],[№ акта]],$AJ$1:$BJ$691,21,FALSE)</f>
        <v>46190</v>
      </c>
      <c r="AA302" s="504"/>
      <c r="AB302" s="504" t="str">
        <f>IF(VLOOKUP(Таблица3[[#This Row],[№ акта]],$AJ$1:$BJ$691,23,FALSE)&lt;&gt;0,VLOOKUP(Таблица3[[#This Row],[№ акта]],$AJ$1:$BJ$691,23,FALSE),"-")</f>
        <v>-</v>
      </c>
      <c r="AC30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02" s="506" t="s">
        <v>2940</v>
      </c>
      <c r="AE302" s="505">
        <v>309</v>
      </c>
      <c r="AF302" s="507">
        <v>46191</v>
      </c>
      <c r="AG302" s="505">
        <v>279</v>
      </c>
      <c r="AH302" s="505">
        <f>IFERROR(VLOOKUP(Таблица3[[#This Row],[№ акта]],'Степень зрелости 2026'!$H$12:$I$800,2,FALSE),)</f>
        <v>53</v>
      </c>
      <c r="AJ302" s="508">
        <v>309</v>
      </c>
      <c r="AK302" s="509">
        <v>46191</v>
      </c>
      <c r="AL302" s="508">
        <v>413</v>
      </c>
      <c r="AO302" s="508">
        <v>12980</v>
      </c>
      <c r="AP302" s="508">
        <v>11876.7</v>
      </c>
      <c r="AQ302" s="508" t="s">
        <v>2939</v>
      </c>
      <c r="AR302" s="508" t="s">
        <v>909</v>
      </c>
      <c r="AS302" s="508" t="s">
        <v>3097</v>
      </c>
      <c r="AT302" s="508" t="s">
        <v>1312</v>
      </c>
      <c r="AV302" s="508" t="s">
        <v>320</v>
      </c>
      <c r="AX302" s="508" t="s">
        <v>3097</v>
      </c>
      <c r="AY302" s="508" t="s">
        <v>909</v>
      </c>
      <c r="AZ302" s="508">
        <v>2.2000000000000002</v>
      </c>
      <c r="BA302" s="508" t="s">
        <v>46</v>
      </c>
      <c r="BB302" s="508" t="s">
        <v>19</v>
      </c>
      <c r="BC302" s="508">
        <v>14</v>
      </c>
      <c r="BD302" s="509">
        <v>46190</v>
      </c>
      <c r="BG302" s="508" t="s">
        <v>724</v>
      </c>
      <c r="BH302" s="508" t="s">
        <v>2940</v>
      </c>
      <c r="BI302" s="508">
        <v>279</v>
      </c>
      <c r="BJ302" s="508">
        <v>53</v>
      </c>
    </row>
    <row r="303" spans="1:62" s="508" customFormat="1" ht="14.25" hidden="1" customHeight="1" x14ac:dyDescent="0.2">
      <c r="A303" s="495"/>
      <c r="B303" s="496"/>
      <c r="C303" s="497">
        <f>Таблица3[[#This Row],[Степень зрелости вспом]]</f>
        <v>54</v>
      </c>
      <c r="D303" s="498">
        <v>414</v>
      </c>
      <c r="E303" s="499"/>
      <c r="F303" s="496"/>
      <c r="G303" s="496">
        <v>13300</v>
      </c>
      <c r="H303" s="500"/>
      <c r="I303" s="496">
        <v>11903.5</v>
      </c>
      <c r="J303" s="495" t="s">
        <v>2939</v>
      </c>
      <c r="K303" s="495" t="s">
        <v>909</v>
      </c>
      <c r="L303" s="495" t="s">
        <v>3097</v>
      </c>
      <c r="M303" s="495" t="s">
        <v>121</v>
      </c>
      <c r="N303" s="495"/>
      <c r="O303" s="495"/>
      <c r="P303" s="495"/>
      <c r="Q303" s="495"/>
      <c r="R303" s="501" t="s">
        <v>125</v>
      </c>
      <c r="S303" s="495"/>
      <c r="T303" s="482" t="str">
        <f>VLOOKUP(Таблица3[[#This Row],[№ акта]],$AJ$1:$BJ$691,15,FALSE)</f>
        <v>А-115/1</v>
      </c>
      <c r="U303" s="482" t="str">
        <f>VLOOKUP(Таблица3[[#This Row],[№ акта]],$AJ$1:$BJ$691,16,FALSE)</f>
        <v>Тристар</v>
      </c>
      <c r="V303" s="502">
        <f>VLOOKUP(Таблица3[[#This Row],[№ акта]],$AJ$1:$BJ$691,17,FALSE)</f>
        <v>2.2000000000000002</v>
      </c>
      <c r="W303" s="502" t="str">
        <f>VLOOKUP(Таблица3[[#This Row],[№ акта]],$AJ$1:$BJ$691,18,FALSE)</f>
        <v>ГРК (богара)</v>
      </c>
      <c r="X303" s="502" t="str">
        <f>VLOOKUP(Таблица3[[#This Row],[№ акта]],$AJ$1:$BJ$691,19,FALSE)</f>
        <v>богара</v>
      </c>
      <c r="Y303" s="503">
        <f>VLOOKUP(Таблица3[[#This Row],[№ акта]],$AJ$1:$BJ$691,20,FALSE)</f>
        <v>14</v>
      </c>
      <c r="Z303" s="504">
        <f>VLOOKUP(Таблица3[[#This Row],[№ акта]],$AJ$1:$BJ$691,21,FALSE)</f>
        <v>46190</v>
      </c>
      <c r="AA303" s="504"/>
      <c r="AB303" s="504" t="str">
        <f>IF(VLOOKUP(Таблица3[[#This Row],[№ акта]],$AJ$1:$BJ$691,23,FALSE)&lt;&gt;0,VLOOKUP(Таблица3[[#This Row],[№ акта]],$AJ$1:$BJ$691,23,FALSE),"-")</f>
        <v>-</v>
      </c>
      <c r="AC30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03" s="506" t="s">
        <v>2940</v>
      </c>
      <c r="AE303" s="505">
        <v>311</v>
      </c>
      <c r="AF303" s="507">
        <v>46191</v>
      </c>
      <c r="AG303" s="505">
        <v>280</v>
      </c>
      <c r="AH303" s="505">
        <f>IFERROR(VLOOKUP(Таблица3[[#This Row],[№ акта]],'Степень зрелости 2026'!$H$12:$I$800,2,FALSE),)</f>
        <v>54</v>
      </c>
      <c r="AJ303" s="508">
        <v>311</v>
      </c>
      <c r="AK303" s="509">
        <v>46191</v>
      </c>
      <c r="AL303" s="508">
        <v>414</v>
      </c>
      <c r="AO303" s="508">
        <v>13300</v>
      </c>
      <c r="AP303" s="508">
        <v>11903.5</v>
      </c>
      <c r="AQ303" s="508" t="s">
        <v>2939</v>
      </c>
      <c r="AR303" s="508" t="s">
        <v>909</v>
      </c>
      <c r="AS303" s="508" t="s">
        <v>3097</v>
      </c>
      <c r="AT303" s="508" t="s">
        <v>121</v>
      </c>
      <c r="AV303" s="508" t="s">
        <v>125</v>
      </c>
      <c r="AX303" s="508" t="s">
        <v>3097</v>
      </c>
      <c r="AY303" s="508" t="s">
        <v>909</v>
      </c>
      <c r="AZ303" s="508">
        <v>2.2000000000000002</v>
      </c>
      <c r="BA303" s="508" t="s">
        <v>46</v>
      </c>
      <c r="BB303" s="508" t="s">
        <v>19</v>
      </c>
      <c r="BC303" s="508">
        <v>14</v>
      </c>
      <c r="BD303" s="509">
        <v>46190</v>
      </c>
      <c r="BG303" s="508" t="s">
        <v>724</v>
      </c>
      <c r="BH303" s="508" t="s">
        <v>2940</v>
      </c>
      <c r="BI303" s="508">
        <v>280</v>
      </c>
      <c r="BJ303" s="508">
        <v>54</v>
      </c>
    </row>
    <row r="304" spans="1:62" s="508" customFormat="1" ht="14.25" hidden="1" customHeight="1" x14ac:dyDescent="0.2">
      <c r="A304" s="495"/>
      <c r="B304" s="496"/>
      <c r="C304" s="497">
        <f>Таблица3[[#This Row],[Степень зрелости вспом]]</f>
        <v>53</v>
      </c>
      <c r="D304" s="498">
        <v>417</v>
      </c>
      <c r="E304" s="499"/>
      <c r="F304" s="496"/>
      <c r="G304" s="496">
        <v>13170</v>
      </c>
      <c r="H304" s="500"/>
      <c r="I304" s="496">
        <v>10338.5</v>
      </c>
      <c r="J304" s="495" t="s">
        <v>2939</v>
      </c>
      <c r="K304" s="495" t="s">
        <v>909</v>
      </c>
      <c r="L304" s="495" t="s">
        <v>3097</v>
      </c>
      <c r="M304" s="495" t="s">
        <v>3195</v>
      </c>
      <c r="N304" s="495"/>
      <c r="O304" s="495"/>
      <c r="P304" s="495"/>
      <c r="Q304" s="495"/>
      <c r="R304" s="501" t="s">
        <v>3196</v>
      </c>
      <c r="S304" s="495"/>
      <c r="T304" s="482" t="str">
        <f>VLOOKUP(Таблица3[[#This Row],[№ акта]],$AJ$1:$BJ$691,15,FALSE)</f>
        <v>А-115/1</v>
      </c>
      <c r="U304" s="482" t="str">
        <f>VLOOKUP(Таблица3[[#This Row],[№ акта]],$AJ$1:$BJ$691,16,FALSE)</f>
        <v>Тристар</v>
      </c>
      <c r="V304" s="502">
        <f>VLOOKUP(Таблица3[[#This Row],[№ акта]],$AJ$1:$BJ$691,17,FALSE)</f>
        <v>2.1</v>
      </c>
      <c r="W304" s="502" t="str">
        <f>VLOOKUP(Таблица3[[#This Row],[№ акта]],$AJ$1:$BJ$691,18,FALSE)</f>
        <v>ГРК (богара)</v>
      </c>
      <c r="X304" s="502" t="str">
        <f>VLOOKUP(Таблица3[[#This Row],[№ акта]],$AJ$1:$BJ$691,19,FALSE)</f>
        <v>богара</v>
      </c>
      <c r="Y304" s="503">
        <f>VLOOKUP(Таблица3[[#This Row],[№ акта]],$AJ$1:$BJ$691,20,FALSE)</f>
        <v>15</v>
      </c>
      <c r="Z304" s="504">
        <f>VLOOKUP(Таблица3[[#This Row],[№ акта]],$AJ$1:$BJ$691,21,FALSE)</f>
        <v>46191</v>
      </c>
      <c r="AA304" s="504"/>
      <c r="AB304" s="504" t="str">
        <f>IF(VLOOKUP(Таблица3[[#This Row],[№ акта]],$AJ$1:$BJ$691,23,FALSE)&lt;&gt;0,VLOOKUP(Таблица3[[#This Row],[№ акта]],$AJ$1:$BJ$691,23,FALSE),"-")</f>
        <v>-</v>
      </c>
      <c r="AC30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04" s="506" t="s">
        <v>2940</v>
      </c>
      <c r="AE304" s="505">
        <v>312</v>
      </c>
      <c r="AF304" s="507">
        <v>46191</v>
      </c>
      <c r="AG304" s="505">
        <v>281</v>
      </c>
      <c r="AH304" s="505">
        <f>IFERROR(VLOOKUP(Таблица3[[#This Row],[№ акта]],'Степень зрелости 2026'!$H$12:$I$800,2,FALSE),)</f>
        <v>53</v>
      </c>
      <c r="AJ304" s="508">
        <v>312</v>
      </c>
      <c r="AK304" s="509">
        <v>46191</v>
      </c>
      <c r="AL304" s="508">
        <v>417</v>
      </c>
      <c r="AO304" s="508">
        <v>13170</v>
      </c>
      <c r="AP304" s="508">
        <v>10338.5</v>
      </c>
      <c r="AQ304" s="508" t="s">
        <v>2939</v>
      </c>
      <c r="AR304" s="508" t="s">
        <v>909</v>
      </c>
      <c r="AS304" s="508" t="s">
        <v>3097</v>
      </c>
      <c r="AT304" s="508" t="s">
        <v>3195</v>
      </c>
      <c r="AV304" s="508" t="s">
        <v>3196</v>
      </c>
      <c r="AX304" s="508" t="s">
        <v>3097</v>
      </c>
      <c r="AY304" s="508" t="s">
        <v>909</v>
      </c>
      <c r="AZ304" s="508">
        <v>2.1</v>
      </c>
      <c r="BA304" s="508" t="s">
        <v>46</v>
      </c>
      <c r="BB304" s="508" t="s">
        <v>19</v>
      </c>
      <c r="BC304" s="508">
        <v>15</v>
      </c>
      <c r="BD304" s="509">
        <v>46191</v>
      </c>
      <c r="BG304" s="508" t="s">
        <v>724</v>
      </c>
      <c r="BH304" s="508" t="s">
        <v>2940</v>
      </c>
      <c r="BI304" s="508">
        <v>281</v>
      </c>
      <c r="BJ304" s="508">
        <v>53</v>
      </c>
    </row>
    <row r="305" spans="1:62" s="508" customFormat="1" ht="14.25" hidden="1" customHeight="1" x14ac:dyDescent="0.2">
      <c r="A305" s="495"/>
      <c r="B305" s="496"/>
      <c r="C305" s="497">
        <f>Таблица3[[#This Row],[Степень зрелости вспом]]</f>
        <v>50</v>
      </c>
      <c r="D305" s="498">
        <v>418</v>
      </c>
      <c r="E305" s="499"/>
      <c r="F305" s="496"/>
      <c r="G305" s="496">
        <v>12740</v>
      </c>
      <c r="H305" s="500"/>
      <c r="I305" s="496">
        <v>10000.9</v>
      </c>
      <c r="J305" s="495" t="s">
        <v>2939</v>
      </c>
      <c r="K305" s="495" t="s">
        <v>909</v>
      </c>
      <c r="L305" s="495" t="s">
        <v>3097</v>
      </c>
      <c r="M305" s="495" t="s">
        <v>195</v>
      </c>
      <c r="N305" s="495"/>
      <c r="O305" s="495"/>
      <c r="P305" s="495"/>
      <c r="Q305" s="495"/>
      <c r="R305" s="501" t="s">
        <v>199</v>
      </c>
      <c r="S305" s="495"/>
      <c r="T305" s="482" t="str">
        <f>VLOOKUP(Таблица3[[#This Row],[№ акта]],$AJ$1:$BJ$691,15,FALSE)</f>
        <v>А-115/1</v>
      </c>
      <c r="U305" s="482" t="str">
        <f>VLOOKUP(Таблица3[[#This Row],[№ акта]],$AJ$1:$BJ$691,16,FALSE)</f>
        <v>Тристар</v>
      </c>
      <c r="V305" s="502">
        <f>VLOOKUP(Таблица3[[#This Row],[№ акта]],$AJ$1:$BJ$691,17,FALSE)</f>
        <v>2</v>
      </c>
      <c r="W305" s="502" t="str">
        <f>VLOOKUP(Таблица3[[#This Row],[№ акта]],$AJ$1:$BJ$691,18,FALSE)</f>
        <v>ГРК (богара)</v>
      </c>
      <c r="X305" s="502" t="str">
        <f>VLOOKUP(Таблица3[[#This Row],[№ акта]],$AJ$1:$BJ$691,19,FALSE)</f>
        <v>богара</v>
      </c>
      <c r="Y305" s="503">
        <f>VLOOKUP(Таблица3[[#This Row],[№ акта]],$AJ$1:$BJ$691,20,FALSE)</f>
        <v>15</v>
      </c>
      <c r="Z305" s="504">
        <f>VLOOKUP(Таблица3[[#This Row],[№ акта]],$AJ$1:$BJ$691,21,FALSE)</f>
        <v>46191</v>
      </c>
      <c r="AA305" s="504"/>
      <c r="AB305" s="504" t="str">
        <f>IF(VLOOKUP(Таблица3[[#This Row],[№ акта]],$AJ$1:$BJ$691,23,FALSE)&lt;&gt;0,VLOOKUP(Таблица3[[#This Row],[№ акта]],$AJ$1:$BJ$691,23,FALSE),"-")</f>
        <v>-</v>
      </c>
      <c r="AC30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05" s="506" t="s">
        <v>2940</v>
      </c>
      <c r="AE305" s="505">
        <v>313</v>
      </c>
      <c r="AF305" s="507">
        <v>46191</v>
      </c>
      <c r="AG305" s="505">
        <v>282</v>
      </c>
      <c r="AH305" s="505">
        <f>IFERROR(VLOOKUP(Таблица3[[#This Row],[№ акта]],'Степень зрелости 2026'!$H$12:$I$800,2,FALSE),)</f>
        <v>50</v>
      </c>
      <c r="AJ305" s="508">
        <v>313</v>
      </c>
      <c r="AK305" s="509">
        <v>46191</v>
      </c>
      <c r="AL305" s="508">
        <v>418</v>
      </c>
      <c r="AO305" s="508">
        <v>12740</v>
      </c>
      <c r="AP305" s="508">
        <v>10000.9</v>
      </c>
      <c r="AQ305" s="508" t="s">
        <v>2939</v>
      </c>
      <c r="AR305" s="508" t="s">
        <v>909</v>
      </c>
      <c r="AS305" s="508" t="s">
        <v>3097</v>
      </c>
      <c r="AT305" s="508" t="s">
        <v>195</v>
      </c>
      <c r="AV305" s="508" t="s">
        <v>199</v>
      </c>
      <c r="AX305" s="508" t="s">
        <v>3097</v>
      </c>
      <c r="AY305" s="508" t="s">
        <v>909</v>
      </c>
      <c r="AZ305" s="508">
        <v>2</v>
      </c>
      <c r="BA305" s="508" t="s">
        <v>46</v>
      </c>
      <c r="BB305" s="508" t="s">
        <v>19</v>
      </c>
      <c r="BC305" s="508">
        <v>15</v>
      </c>
      <c r="BD305" s="509">
        <v>46191</v>
      </c>
      <c r="BG305" s="508" t="s">
        <v>3557</v>
      </c>
      <c r="BH305" s="508" t="s">
        <v>2940</v>
      </c>
      <c r="BI305" s="508">
        <v>282</v>
      </c>
      <c r="BJ305" s="508">
        <v>50</v>
      </c>
    </row>
    <row r="306" spans="1:62" s="508" customFormat="1" ht="14.25" hidden="1" customHeight="1" x14ac:dyDescent="0.2">
      <c r="A306" s="495"/>
      <c r="B306" s="496"/>
      <c r="C306" s="497">
        <f>Таблица3[[#This Row],[Степень зрелости вспом]]</f>
        <v>51</v>
      </c>
      <c r="D306" s="498">
        <v>419</v>
      </c>
      <c r="E306" s="499"/>
      <c r="F306" s="496"/>
      <c r="G306" s="496">
        <v>13180</v>
      </c>
      <c r="H306" s="500"/>
      <c r="I306" s="496">
        <v>9291.9</v>
      </c>
      <c r="J306" s="495" t="s">
        <v>2939</v>
      </c>
      <c r="K306" s="495" t="s">
        <v>909</v>
      </c>
      <c r="L306" s="495" t="s">
        <v>3097</v>
      </c>
      <c r="M306" s="495" t="s">
        <v>329</v>
      </c>
      <c r="N306" s="495"/>
      <c r="O306" s="495"/>
      <c r="P306" s="495"/>
      <c r="Q306" s="495"/>
      <c r="R306" s="501" t="s">
        <v>333</v>
      </c>
      <c r="S306" s="495"/>
      <c r="T306" s="482" t="str">
        <f>VLOOKUP(Таблица3[[#This Row],[№ акта]],$AJ$1:$BJ$691,15,FALSE)</f>
        <v>А-115/1</v>
      </c>
      <c r="U306" s="482" t="str">
        <f>VLOOKUP(Таблица3[[#This Row],[№ акта]],$AJ$1:$BJ$691,16,FALSE)</f>
        <v>Тристар</v>
      </c>
      <c r="V306" s="502">
        <f>VLOOKUP(Таблица3[[#This Row],[№ акта]],$AJ$1:$BJ$691,17,FALSE)</f>
        <v>2.1</v>
      </c>
      <c r="W306" s="502" t="str">
        <f>VLOOKUP(Таблица3[[#This Row],[№ акта]],$AJ$1:$BJ$691,18,FALSE)</f>
        <v>ГРК (богара)</v>
      </c>
      <c r="X306" s="502" t="str">
        <f>VLOOKUP(Таблица3[[#This Row],[№ акта]],$AJ$1:$BJ$691,19,FALSE)</f>
        <v>богара</v>
      </c>
      <c r="Y306" s="503">
        <f>VLOOKUP(Таблица3[[#This Row],[№ акта]],$AJ$1:$BJ$691,20,FALSE)</f>
        <v>15</v>
      </c>
      <c r="Z306" s="504">
        <f>VLOOKUP(Таблица3[[#This Row],[№ акта]],$AJ$1:$BJ$691,21,FALSE)</f>
        <v>46191</v>
      </c>
      <c r="AA306" s="504"/>
      <c r="AB306" s="504" t="str">
        <f>IF(VLOOKUP(Таблица3[[#This Row],[№ акта]],$AJ$1:$BJ$691,23,FALSE)&lt;&gt;0,VLOOKUP(Таблица3[[#This Row],[№ акта]],$AJ$1:$BJ$691,23,FALSE),"-")</f>
        <v>-</v>
      </c>
      <c r="AC30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06" s="506" t="s">
        <v>2940</v>
      </c>
      <c r="AE306" s="505">
        <v>316</v>
      </c>
      <c r="AF306" s="507">
        <v>46191</v>
      </c>
      <c r="AG306" s="505">
        <v>283</v>
      </c>
      <c r="AH306" s="505">
        <f>IFERROR(VLOOKUP(Таблица3[[#This Row],[№ акта]],'Степень зрелости 2026'!$H$12:$I$800,2,FALSE),)</f>
        <v>51</v>
      </c>
      <c r="AJ306" s="508">
        <v>316</v>
      </c>
      <c r="AK306" s="509">
        <v>46191</v>
      </c>
      <c r="AL306" s="508">
        <v>419</v>
      </c>
      <c r="AO306" s="508">
        <v>13180</v>
      </c>
      <c r="AP306" s="508">
        <v>9291.9</v>
      </c>
      <c r="AQ306" s="508" t="s">
        <v>2939</v>
      </c>
      <c r="AR306" s="508" t="s">
        <v>909</v>
      </c>
      <c r="AS306" s="508" t="s">
        <v>3097</v>
      </c>
      <c r="AT306" s="508" t="s">
        <v>329</v>
      </c>
      <c r="AV306" s="508" t="s">
        <v>333</v>
      </c>
      <c r="AX306" s="508" t="s">
        <v>3097</v>
      </c>
      <c r="AY306" s="508" t="s">
        <v>909</v>
      </c>
      <c r="AZ306" s="508">
        <v>2.1</v>
      </c>
      <c r="BA306" s="508" t="s">
        <v>46</v>
      </c>
      <c r="BB306" s="508" t="s">
        <v>19</v>
      </c>
      <c r="BC306" s="508">
        <v>15</v>
      </c>
      <c r="BD306" s="509">
        <v>46191</v>
      </c>
      <c r="BG306" s="508" t="s">
        <v>3557</v>
      </c>
      <c r="BH306" s="508" t="s">
        <v>2940</v>
      </c>
      <c r="BI306" s="508">
        <v>283</v>
      </c>
      <c r="BJ306" s="508">
        <v>51</v>
      </c>
    </row>
    <row r="307" spans="1:62" s="508" customFormat="1" ht="14.25" hidden="1" customHeight="1" x14ac:dyDescent="0.2">
      <c r="A307" s="495"/>
      <c r="B307" s="496"/>
      <c r="C307" s="497">
        <f>Таблица3[[#This Row],[Степень зрелости вспом]]</f>
        <v>52</v>
      </c>
      <c r="D307" s="498">
        <v>420</v>
      </c>
      <c r="E307" s="499"/>
      <c r="F307" s="496"/>
      <c r="G307" s="496">
        <v>4270</v>
      </c>
      <c r="H307" s="500"/>
      <c r="I307" s="496">
        <v>3074.4</v>
      </c>
      <c r="J307" s="495" t="s">
        <v>2939</v>
      </c>
      <c r="K307" s="495" t="s">
        <v>909</v>
      </c>
      <c r="L307" s="495" t="s">
        <v>3550</v>
      </c>
      <c r="M307" s="495" t="s">
        <v>737</v>
      </c>
      <c r="N307" s="495"/>
      <c r="O307" s="495"/>
      <c r="P307" s="495"/>
      <c r="Q307" s="495"/>
      <c r="R307" s="501" t="s">
        <v>738</v>
      </c>
      <c r="S307" s="495"/>
      <c r="T307" s="482" t="str">
        <f>VLOOKUP(Таблица3[[#This Row],[№ акта]],$AJ$1:$BJ$691,15,FALSE)</f>
        <v>А-115/1</v>
      </c>
      <c r="U307" s="482" t="str">
        <f>VLOOKUP(Таблица3[[#This Row],[№ акта]],$AJ$1:$BJ$691,16,FALSE)</f>
        <v>Тристар</v>
      </c>
      <c r="V307" s="502">
        <f>VLOOKUP(Таблица3[[#This Row],[№ акта]],$AJ$1:$BJ$691,17,FALSE)</f>
        <v>0.7</v>
      </c>
      <c r="W307" s="502" t="str">
        <f>VLOOKUP(Таблица3[[#This Row],[№ акта]],$AJ$1:$BJ$691,18,FALSE)</f>
        <v>ГРК (богара)</v>
      </c>
      <c r="X307" s="502" t="str">
        <f>VLOOKUP(Таблица3[[#This Row],[№ акта]],$AJ$1:$BJ$691,19,FALSE)</f>
        <v>богара</v>
      </c>
      <c r="Y307" s="503">
        <f>VLOOKUP(Таблица3[[#This Row],[№ акта]],$AJ$1:$BJ$691,20,FALSE)</f>
        <v>15</v>
      </c>
      <c r="Z307" s="504">
        <f>VLOOKUP(Таблица3[[#This Row],[№ акта]],$AJ$1:$BJ$691,21,FALSE)</f>
        <v>46191</v>
      </c>
      <c r="AA307" s="504"/>
      <c r="AB307" s="504" t="str">
        <f>IF(VLOOKUP(Таблица3[[#This Row],[№ акта]],$AJ$1:$BJ$691,23,FALSE)&lt;&gt;0,VLOOKUP(Таблица3[[#This Row],[№ акта]],$AJ$1:$BJ$691,23,FALSE),"-")</f>
        <v>-</v>
      </c>
      <c r="AC30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07" s="506" t="s">
        <v>2940</v>
      </c>
      <c r="AE307" s="505">
        <v>317</v>
      </c>
      <c r="AF307" s="507">
        <v>46191</v>
      </c>
      <c r="AG307" s="505">
        <v>284</v>
      </c>
      <c r="AH307" s="505">
        <f>IFERROR(VLOOKUP(Таблица3[[#This Row],[№ акта]],'Степень зрелости 2026'!$H$12:$I$800,2,FALSE),)</f>
        <v>52</v>
      </c>
      <c r="AJ307" s="508">
        <v>317</v>
      </c>
      <c r="AK307" s="509">
        <v>46191</v>
      </c>
      <c r="AL307" s="508">
        <v>420</v>
      </c>
      <c r="AO307" s="508">
        <v>4270</v>
      </c>
      <c r="AP307" s="508">
        <v>3074.4</v>
      </c>
      <c r="AQ307" s="508" t="s">
        <v>2939</v>
      </c>
      <c r="AR307" s="508" t="s">
        <v>909</v>
      </c>
      <c r="AS307" s="508" t="s">
        <v>3550</v>
      </c>
      <c r="AT307" s="508" t="s">
        <v>737</v>
      </c>
      <c r="AV307" s="508" t="s">
        <v>738</v>
      </c>
      <c r="AX307" s="508" t="s">
        <v>3097</v>
      </c>
      <c r="AY307" s="508" t="s">
        <v>909</v>
      </c>
      <c r="AZ307" s="508">
        <v>0.7</v>
      </c>
      <c r="BA307" s="508" t="s">
        <v>46</v>
      </c>
      <c r="BB307" s="508" t="s">
        <v>19</v>
      </c>
      <c r="BC307" s="508">
        <v>15</v>
      </c>
      <c r="BD307" s="509">
        <v>46191</v>
      </c>
      <c r="BG307" s="508" t="s">
        <v>3557</v>
      </c>
      <c r="BH307" s="508" t="s">
        <v>2940</v>
      </c>
      <c r="BI307" s="508">
        <v>284</v>
      </c>
      <c r="BJ307" s="508">
        <v>52</v>
      </c>
    </row>
    <row r="308" spans="1:62" s="508" customFormat="1" ht="14.25" hidden="1" customHeight="1" x14ac:dyDescent="0.2">
      <c r="A308" s="495"/>
      <c r="B308" s="496"/>
      <c r="C308" s="497">
        <f>Таблица3[[#This Row],[Степень зрелости вспом]]</f>
        <v>53</v>
      </c>
      <c r="D308" s="498">
        <v>422</v>
      </c>
      <c r="E308" s="499"/>
      <c r="F308" s="496"/>
      <c r="G308" s="496">
        <v>13330</v>
      </c>
      <c r="H308" s="500"/>
      <c r="I308" s="496">
        <v>10064.200000000001</v>
      </c>
      <c r="J308" s="495" t="s">
        <v>2939</v>
      </c>
      <c r="K308" s="495" t="s">
        <v>909</v>
      </c>
      <c r="L308" s="495" t="s">
        <v>3097</v>
      </c>
      <c r="M308" s="495" t="s">
        <v>127</v>
      </c>
      <c r="N308" s="495"/>
      <c r="O308" s="495"/>
      <c r="P308" s="495"/>
      <c r="Q308" s="495"/>
      <c r="R308" s="501" t="s">
        <v>131</v>
      </c>
      <c r="S308" s="495"/>
      <c r="T308" s="482" t="str">
        <f>VLOOKUP(Таблица3[[#This Row],[№ акта]],$AJ$1:$BJ$691,15,FALSE)</f>
        <v>А-115/1</v>
      </c>
      <c r="U308" s="482" t="str">
        <f>VLOOKUP(Таблица3[[#This Row],[№ акта]],$AJ$1:$BJ$691,16,FALSE)</f>
        <v>Тристар</v>
      </c>
      <c r="V308" s="502">
        <f>VLOOKUP(Таблица3[[#This Row],[№ акта]],$AJ$1:$BJ$691,17,FALSE)</f>
        <v>2.1</v>
      </c>
      <c r="W308" s="502" t="str">
        <f>VLOOKUP(Таблица3[[#This Row],[№ акта]],$AJ$1:$BJ$691,18,FALSE)</f>
        <v>ГРК (богара)</v>
      </c>
      <c r="X308" s="502" t="str">
        <f>VLOOKUP(Таблица3[[#This Row],[№ акта]],$AJ$1:$BJ$691,19,FALSE)</f>
        <v>богара</v>
      </c>
      <c r="Y308" s="503">
        <f>VLOOKUP(Таблица3[[#This Row],[№ акта]],$AJ$1:$BJ$691,20,FALSE)</f>
        <v>15</v>
      </c>
      <c r="Z308" s="504">
        <f>VLOOKUP(Таблица3[[#This Row],[№ акта]],$AJ$1:$BJ$691,21,FALSE)</f>
        <v>46191</v>
      </c>
      <c r="AA308" s="504"/>
      <c r="AB308" s="504" t="str">
        <f>IF(VLOOKUP(Таблица3[[#This Row],[№ акта]],$AJ$1:$BJ$691,23,FALSE)&lt;&gt;0,VLOOKUP(Таблица3[[#This Row],[№ акта]],$AJ$1:$BJ$691,23,FALSE),"-")</f>
        <v>-</v>
      </c>
      <c r="AC30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08" s="506" t="s">
        <v>2940</v>
      </c>
      <c r="AE308" s="505">
        <v>318</v>
      </c>
      <c r="AF308" s="507">
        <v>46191</v>
      </c>
      <c r="AG308" s="505">
        <v>285</v>
      </c>
      <c r="AH308" s="505">
        <f>IFERROR(VLOOKUP(Таблица3[[#This Row],[№ акта]],'Степень зрелости 2026'!$H$12:$I$800,2,FALSE),)</f>
        <v>53</v>
      </c>
      <c r="AJ308" s="508">
        <v>318</v>
      </c>
      <c r="AK308" s="509">
        <v>46191</v>
      </c>
      <c r="AL308" s="508">
        <v>422</v>
      </c>
      <c r="AO308" s="508">
        <v>13330</v>
      </c>
      <c r="AP308" s="508">
        <v>10064.200000000001</v>
      </c>
      <c r="AQ308" s="508" t="s">
        <v>2939</v>
      </c>
      <c r="AR308" s="508" t="s">
        <v>909</v>
      </c>
      <c r="AS308" s="508" t="s">
        <v>3097</v>
      </c>
      <c r="AT308" s="508" t="s">
        <v>127</v>
      </c>
      <c r="AV308" s="508" t="s">
        <v>131</v>
      </c>
      <c r="AX308" s="508" t="s">
        <v>3097</v>
      </c>
      <c r="AY308" s="508" t="s">
        <v>909</v>
      </c>
      <c r="AZ308" s="508">
        <v>2.1</v>
      </c>
      <c r="BA308" s="508" t="s">
        <v>46</v>
      </c>
      <c r="BB308" s="508" t="s">
        <v>19</v>
      </c>
      <c r="BC308" s="508">
        <v>15</v>
      </c>
      <c r="BD308" s="509">
        <v>46191</v>
      </c>
      <c r="BG308" s="508" t="s">
        <v>724</v>
      </c>
      <c r="BH308" s="508" t="s">
        <v>2940</v>
      </c>
      <c r="BI308" s="508">
        <v>285</v>
      </c>
      <c r="BJ308" s="508">
        <v>53</v>
      </c>
    </row>
    <row r="309" spans="1:62" s="508" customFormat="1" ht="14.25" hidden="1" customHeight="1" x14ac:dyDescent="0.2">
      <c r="A309" s="495"/>
      <c r="B309" s="496"/>
      <c r="C309" s="497">
        <f>Таблица3[[#This Row],[Степень зрелости вспом]]</f>
        <v>55</v>
      </c>
      <c r="D309" s="498">
        <v>423</v>
      </c>
      <c r="E309" s="499"/>
      <c r="F309" s="496"/>
      <c r="G309" s="496">
        <v>13470</v>
      </c>
      <c r="H309" s="500"/>
      <c r="I309" s="496">
        <v>11112.8</v>
      </c>
      <c r="J309" s="495" t="s">
        <v>2939</v>
      </c>
      <c r="K309" s="495" t="s">
        <v>909</v>
      </c>
      <c r="L309" s="495" t="s">
        <v>3097</v>
      </c>
      <c r="M309" s="495" t="s">
        <v>3195</v>
      </c>
      <c r="N309" s="495"/>
      <c r="O309" s="495"/>
      <c r="P309" s="495"/>
      <c r="Q309" s="495"/>
      <c r="R309" s="501" t="s">
        <v>3196</v>
      </c>
      <c r="S309" s="495"/>
      <c r="T309" s="482" t="str">
        <f>VLOOKUP(Таблица3[[#This Row],[№ акта]],$AJ$1:$BJ$691,15,FALSE)</f>
        <v>А-115/1</v>
      </c>
      <c r="U309" s="482" t="str">
        <f>VLOOKUP(Таблица3[[#This Row],[№ акта]],$AJ$1:$BJ$691,16,FALSE)</f>
        <v>Тристар</v>
      </c>
      <c r="V309" s="502">
        <f>VLOOKUP(Таблица3[[#This Row],[№ акта]],$AJ$1:$BJ$691,17,FALSE)</f>
        <v>2.1</v>
      </c>
      <c r="W309" s="502" t="str">
        <f>VLOOKUP(Таблица3[[#This Row],[№ акта]],$AJ$1:$BJ$691,18,FALSE)</f>
        <v>ГРК (богара)</v>
      </c>
      <c r="X309" s="502" t="str">
        <f>VLOOKUP(Таблица3[[#This Row],[№ акта]],$AJ$1:$BJ$691,19,FALSE)</f>
        <v>богара</v>
      </c>
      <c r="Y309" s="503">
        <f>VLOOKUP(Таблица3[[#This Row],[№ акта]],$AJ$1:$BJ$691,20,FALSE)</f>
        <v>15</v>
      </c>
      <c r="Z309" s="504">
        <f>VLOOKUP(Таблица3[[#This Row],[№ акта]],$AJ$1:$BJ$691,21,FALSE)</f>
        <v>46191</v>
      </c>
      <c r="AA309" s="504"/>
      <c r="AB309" s="504" t="str">
        <f>IF(VLOOKUP(Таблица3[[#This Row],[№ акта]],$AJ$1:$BJ$691,23,FALSE)&lt;&gt;0,VLOOKUP(Таблица3[[#This Row],[№ акта]],$AJ$1:$BJ$691,23,FALSE),"-")</f>
        <v>-</v>
      </c>
      <c r="AC30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09" s="506" t="s">
        <v>2940</v>
      </c>
      <c r="AE309" s="505">
        <v>319</v>
      </c>
      <c r="AF309" s="507">
        <v>46191</v>
      </c>
      <c r="AG309" s="505">
        <v>286</v>
      </c>
      <c r="AH309" s="505">
        <f>IFERROR(VLOOKUP(Таблица3[[#This Row],[№ акта]],'Степень зрелости 2026'!$H$12:$I$800,2,FALSE),)</f>
        <v>55</v>
      </c>
      <c r="AJ309" s="508">
        <v>319</v>
      </c>
      <c r="AK309" s="509">
        <v>46191</v>
      </c>
      <c r="AL309" s="508">
        <v>423</v>
      </c>
      <c r="AO309" s="508">
        <v>13470</v>
      </c>
      <c r="AP309" s="508">
        <v>11112.8</v>
      </c>
      <c r="AQ309" s="508" t="s">
        <v>2939</v>
      </c>
      <c r="AR309" s="508" t="s">
        <v>909</v>
      </c>
      <c r="AS309" s="508" t="s">
        <v>3097</v>
      </c>
      <c r="AT309" s="508" t="s">
        <v>3195</v>
      </c>
      <c r="AV309" s="508" t="s">
        <v>3196</v>
      </c>
      <c r="AX309" s="508" t="s">
        <v>3097</v>
      </c>
      <c r="AY309" s="508" t="s">
        <v>909</v>
      </c>
      <c r="AZ309" s="508">
        <v>2.1</v>
      </c>
      <c r="BA309" s="508" t="s">
        <v>46</v>
      </c>
      <c r="BB309" s="508" t="s">
        <v>19</v>
      </c>
      <c r="BC309" s="508">
        <v>15</v>
      </c>
      <c r="BD309" s="509">
        <v>46191</v>
      </c>
      <c r="BG309" s="508" t="s">
        <v>724</v>
      </c>
      <c r="BH309" s="508" t="s">
        <v>2940</v>
      </c>
      <c r="BI309" s="508">
        <v>286</v>
      </c>
      <c r="BJ309" s="508">
        <v>55</v>
      </c>
    </row>
    <row r="310" spans="1:62" s="508" customFormat="1" ht="14.25" hidden="1" customHeight="1" x14ac:dyDescent="0.2">
      <c r="A310" s="495"/>
      <c r="B310" s="496"/>
      <c r="C310" s="497">
        <f>Таблица3[[#This Row],[Степень зрелости вспом]]</f>
        <v>53</v>
      </c>
      <c r="D310" s="498">
        <v>425</v>
      </c>
      <c r="E310" s="499"/>
      <c r="F310" s="496"/>
      <c r="G310" s="496">
        <v>13020</v>
      </c>
      <c r="H310" s="500"/>
      <c r="I310" s="496">
        <v>10741.5</v>
      </c>
      <c r="J310" s="495" t="s">
        <v>2939</v>
      </c>
      <c r="K310" s="495" t="s">
        <v>909</v>
      </c>
      <c r="L310" s="495" t="s">
        <v>3097</v>
      </c>
      <c r="M310" s="495" t="s">
        <v>195</v>
      </c>
      <c r="N310" s="495"/>
      <c r="O310" s="495"/>
      <c r="P310" s="495"/>
      <c r="Q310" s="495"/>
      <c r="R310" s="501" t="s">
        <v>199</v>
      </c>
      <c r="S310" s="495"/>
      <c r="T310" s="482" t="str">
        <f>VLOOKUP(Таблица3[[#This Row],[№ акта]],$AJ$1:$BJ$691,15,FALSE)</f>
        <v>А-115/1</v>
      </c>
      <c r="U310" s="482" t="str">
        <f>VLOOKUP(Таблица3[[#This Row],[№ акта]],$AJ$1:$BJ$691,16,FALSE)</f>
        <v>Тристар</v>
      </c>
      <c r="V310" s="502">
        <f>VLOOKUP(Таблица3[[#This Row],[№ акта]],$AJ$1:$BJ$691,17,FALSE)</f>
        <v>2</v>
      </c>
      <c r="W310" s="502" t="str">
        <f>VLOOKUP(Таблица3[[#This Row],[№ акта]],$AJ$1:$BJ$691,18,FALSE)</f>
        <v>ГРК (богара)</v>
      </c>
      <c r="X310" s="502" t="str">
        <f>VLOOKUP(Таблица3[[#This Row],[№ акта]],$AJ$1:$BJ$691,19,FALSE)</f>
        <v>богара</v>
      </c>
      <c r="Y310" s="503">
        <f>VLOOKUP(Таблица3[[#This Row],[№ акта]],$AJ$1:$BJ$691,20,FALSE)</f>
        <v>15</v>
      </c>
      <c r="Z310" s="504">
        <f>VLOOKUP(Таблица3[[#This Row],[№ акта]],$AJ$1:$BJ$691,21,FALSE)</f>
        <v>46191</v>
      </c>
      <c r="AA310" s="504"/>
      <c r="AB310" s="504" t="str">
        <f>IF(VLOOKUP(Таблица3[[#This Row],[№ акта]],$AJ$1:$BJ$691,23,FALSE)&lt;&gt;0,VLOOKUP(Таблица3[[#This Row],[№ акта]],$AJ$1:$BJ$691,23,FALSE),"-")</f>
        <v>-</v>
      </c>
      <c r="AC31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10" s="506" t="s">
        <v>2940</v>
      </c>
      <c r="AE310" s="505">
        <v>320</v>
      </c>
      <c r="AF310" s="507">
        <v>46191</v>
      </c>
      <c r="AG310" s="505">
        <v>287</v>
      </c>
      <c r="AH310" s="505">
        <f>IFERROR(VLOOKUP(Таблица3[[#This Row],[№ акта]],'Степень зрелости 2026'!$H$12:$I$800,2,FALSE),)</f>
        <v>53</v>
      </c>
      <c r="AJ310" s="508">
        <v>320</v>
      </c>
      <c r="AK310" s="509">
        <v>46191</v>
      </c>
      <c r="AL310" s="508">
        <v>425</v>
      </c>
      <c r="AO310" s="508">
        <v>13020</v>
      </c>
      <c r="AP310" s="508">
        <v>10741.5</v>
      </c>
      <c r="AQ310" s="508" t="s">
        <v>2939</v>
      </c>
      <c r="AR310" s="508" t="s">
        <v>909</v>
      </c>
      <c r="AS310" s="508" t="s">
        <v>3097</v>
      </c>
      <c r="AT310" s="508" t="s">
        <v>195</v>
      </c>
      <c r="AV310" s="508" t="s">
        <v>199</v>
      </c>
      <c r="AX310" s="508" t="s">
        <v>3097</v>
      </c>
      <c r="AY310" s="508" t="s">
        <v>909</v>
      </c>
      <c r="AZ310" s="508">
        <v>2</v>
      </c>
      <c r="BA310" s="508" t="s">
        <v>46</v>
      </c>
      <c r="BB310" s="508" t="s">
        <v>19</v>
      </c>
      <c r="BC310" s="508">
        <v>15</v>
      </c>
      <c r="BD310" s="509">
        <v>46191</v>
      </c>
      <c r="BG310" s="508" t="s">
        <v>724</v>
      </c>
      <c r="BH310" s="508" t="s">
        <v>2940</v>
      </c>
      <c r="BI310" s="508">
        <v>287</v>
      </c>
      <c r="BJ310" s="508">
        <v>53</v>
      </c>
    </row>
    <row r="311" spans="1:62" s="508" customFormat="1" ht="14.25" hidden="1" customHeight="1" x14ac:dyDescent="0.2">
      <c r="A311" s="495"/>
      <c r="B311" s="496"/>
      <c r="C311" s="497">
        <f>Таблица3[[#This Row],[Степень зрелости вспом]]</f>
        <v>53</v>
      </c>
      <c r="D311" s="498">
        <v>426</v>
      </c>
      <c r="E311" s="499"/>
      <c r="F311" s="496"/>
      <c r="G311" s="496">
        <v>13660</v>
      </c>
      <c r="H311" s="500"/>
      <c r="I311" s="496">
        <v>11679.3</v>
      </c>
      <c r="J311" s="495" t="s">
        <v>2939</v>
      </c>
      <c r="K311" s="495" t="s">
        <v>909</v>
      </c>
      <c r="L311" s="495" t="s">
        <v>3097</v>
      </c>
      <c r="M311" s="495" t="s">
        <v>329</v>
      </c>
      <c r="N311" s="495"/>
      <c r="O311" s="495"/>
      <c r="P311" s="495"/>
      <c r="Q311" s="495"/>
      <c r="R311" s="501" t="s">
        <v>333</v>
      </c>
      <c r="S311" s="495"/>
      <c r="T311" s="482" t="str">
        <f>VLOOKUP(Таблица3[[#This Row],[№ акта]],$AJ$1:$BJ$691,15,FALSE)</f>
        <v>А-115/1</v>
      </c>
      <c r="U311" s="482" t="str">
        <f>VLOOKUP(Таблица3[[#This Row],[№ акта]],$AJ$1:$BJ$691,16,FALSE)</f>
        <v>Тристар</v>
      </c>
      <c r="V311" s="502">
        <f>VLOOKUP(Таблица3[[#This Row],[№ акта]],$AJ$1:$BJ$691,17,FALSE)</f>
        <v>2.1</v>
      </c>
      <c r="W311" s="502" t="str">
        <f>VLOOKUP(Таблица3[[#This Row],[№ акта]],$AJ$1:$BJ$691,18,FALSE)</f>
        <v>ГРК (богара)</v>
      </c>
      <c r="X311" s="502" t="str">
        <f>VLOOKUP(Таблица3[[#This Row],[№ акта]],$AJ$1:$BJ$691,19,FALSE)</f>
        <v>богара</v>
      </c>
      <c r="Y311" s="503">
        <f>VLOOKUP(Таблица3[[#This Row],[№ акта]],$AJ$1:$BJ$691,20,FALSE)</f>
        <v>15</v>
      </c>
      <c r="Z311" s="504">
        <f>VLOOKUP(Таблица3[[#This Row],[№ акта]],$AJ$1:$BJ$691,21,FALSE)</f>
        <v>46191</v>
      </c>
      <c r="AA311" s="504"/>
      <c r="AB311" s="504" t="str">
        <f>IF(VLOOKUP(Таблица3[[#This Row],[№ акта]],$AJ$1:$BJ$691,23,FALSE)&lt;&gt;0,VLOOKUP(Таблица3[[#This Row],[№ акта]],$AJ$1:$BJ$691,23,FALSE),"-")</f>
        <v>-</v>
      </c>
      <c r="AC31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11" s="506" t="s">
        <v>2940</v>
      </c>
      <c r="AE311" s="505">
        <v>321</v>
      </c>
      <c r="AF311" s="507">
        <v>46191</v>
      </c>
      <c r="AG311" s="505">
        <v>288</v>
      </c>
      <c r="AH311" s="505">
        <f>IFERROR(VLOOKUP(Таблица3[[#This Row],[№ акта]],'Степень зрелости 2026'!$H$12:$I$800,2,FALSE),)</f>
        <v>53</v>
      </c>
      <c r="AJ311" s="508">
        <v>321</v>
      </c>
      <c r="AK311" s="509">
        <v>46191</v>
      </c>
      <c r="AL311" s="508">
        <v>426</v>
      </c>
      <c r="AO311" s="508">
        <v>13660</v>
      </c>
      <c r="AP311" s="508">
        <v>11679.3</v>
      </c>
      <c r="AQ311" s="508" t="s">
        <v>2939</v>
      </c>
      <c r="AR311" s="508" t="s">
        <v>909</v>
      </c>
      <c r="AS311" s="508" t="s">
        <v>3097</v>
      </c>
      <c r="AT311" s="508" t="s">
        <v>329</v>
      </c>
      <c r="AV311" s="508" t="s">
        <v>333</v>
      </c>
      <c r="AX311" s="508" t="s">
        <v>3097</v>
      </c>
      <c r="AY311" s="508" t="s">
        <v>909</v>
      </c>
      <c r="AZ311" s="508">
        <v>2.1</v>
      </c>
      <c r="BA311" s="508" t="s">
        <v>46</v>
      </c>
      <c r="BB311" s="508" t="s">
        <v>19</v>
      </c>
      <c r="BC311" s="508">
        <v>15</v>
      </c>
      <c r="BD311" s="509">
        <v>46191</v>
      </c>
      <c r="BG311" s="508" t="s">
        <v>724</v>
      </c>
      <c r="BH311" s="508" t="s">
        <v>2940</v>
      </c>
      <c r="BI311" s="508">
        <v>288</v>
      </c>
      <c r="BJ311" s="508">
        <v>53</v>
      </c>
    </row>
    <row r="312" spans="1:62" s="508" customFormat="1" ht="14.25" hidden="1" customHeight="1" x14ac:dyDescent="0.2">
      <c r="A312" s="495"/>
      <c r="B312" s="496"/>
      <c r="C312" s="497">
        <f>Таблица3[[#This Row],[Степень зрелости вспом]]</f>
        <v>54</v>
      </c>
      <c r="D312" s="498">
        <v>427</v>
      </c>
      <c r="E312" s="499"/>
      <c r="F312" s="496"/>
      <c r="G312" s="496">
        <v>4290</v>
      </c>
      <c r="H312" s="500"/>
      <c r="I312" s="496">
        <v>3689.4</v>
      </c>
      <c r="J312" s="495" t="s">
        <v>2939</v>
      </c>
      <c r="K312" s="495" t="s">
        <v>909</v>
      </c>
      <c r="L312" s="495" t="s">
        <v>3097</v>
      </c>
      <c r="M312" s="495" t="s">
        <v>737</v>
      </c>
      <c r="N312" s="495"/>
      <c r="O312" s="495"/>
      <c r="P312" s="495"/>
      <c r="Q312" s="495"/>
      <c r="R312" s="501" t="s">
        <v>738</v>
      </c>
      <c r="S312" s="495"/>
      <c r="T312" s="482" t="str">
        <f>VLOOKUP(Таблица3[[#This Row],[№ акта]],$AJ$1:$BJ$691,15,FALSE)</f>
        <v>А-115/1</v>
      </c>
      <c r="U312" s="482" t="str">
        <f>VLOOKUP(Таблица3[[#This Row],[№ акта]],$AJ$1:$BJ$691,16,FALSE)</f>
        <v>Тристар</v>
      </c>
      <c r="V312" s="502">
        <f>VLOOKUP(Таблица3[[#This Row],[№ акта]],$AJ$1:$BJ$691,17,FALSE)</f>
        <v>0.7</v>
      </c>
      <c r="W312" s="502" t="str">
        <f>VLOOKUP(Таблица3[[#This Row],[№ акта]],$AJ$1:$BJ$691,18,FALSE)</f>
        <v>ГРК (богара)</v>
      </c>
      <c r="X312" s="502" t="str">
        <f>VLOOKUP(Таблица3[[#This Row],[№ акта]],$AJ$1:$BJ$691,19,FALSE)</f>
        <v>богара</v>
      </c>
      <c r="Y312" s="503">
        <f>VLOOKUP(Таблица3[[#This Row],[№ акта]],$AJ$1:$BJ$691,20,FALSE)</f>
        <v>15</v>
      </c>
      <c r="Z312" s="504">
        <f>VLOOKUP(Таблица3[[#This Row],[№ акта]],$AJ$1:$BJ$691,21,FALSE)</f>
        <v>46191</v>
      </c>
      <c r="AA312" s="504"/>
      <c r="AB312" s="504" t="str">
        <f>IF(VLOOKUP(Таблица3[[#This Row],[№ акта]],$AJ$1:$BJ$691,23,FALSE)&lt;&gt;0,VLOOKUP(Таблица3[[#This Row],[№ акта]],$AJ$1:$BJ$691,23,FALSE),"-")</f>
        <v>-</v>
      </c>
      <c r="AC31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12" s="506" t="s">
        <v>2940</v>
      </c>
      <c r="AE312" s="505">
        <v>322</v>
      </c>
      <c r="AF312" s="507">
        <v>46191</v>
      </c>
      <c r="AG312" s="505">
        <v>289</v>
      </c>
      <c r="AH312" s="505">
        <f>IFERROR(VLOOKUP(Таблица3[[#This Row],[№ акта]],'Степень зрелости 2026'!$H$12:$I$800,2,FALSE),)</f>
        <v>54</v>
      </c>
      <c r="AJ312" s="508">
        <v>322</v>
      </c>
      <c r="AK312" s="509">
        <v>46191</v>
      </c>
      <c r="AL312" s="508">
        <v>427</v>
      </c>
      <c r="AO312" s="508">
        <v>4290</v>
      </c>
      <c r="AP312" s="508">
        <v>3689.4</v>
      </c>
      <c r="AQ312" s="508" t="s">
        <v>2939</v>
      </c>
      <c r="AR312" s="508" t="s">
        <v>909</v>
      </c>
      <c r="AS312" s="508" t="s">
        <v>3097</v>
      </c>
      <c r="AT312" s="508" t="s">
        <v>737</v>
      </c>
      <c r="AV312" s="508" t="s">
        <v>738</v>
      </c>
      <c r="AX312" s="508" t="s">
        <v>3097</v>
      </c>
      <c r="AY312" s="508" t="s">
        <v>909</v>
      </c>
      <c r="AZ312" s="508">
        <v>0.7</v>
      </c>
      <c r="BA312" s="508" t="s">
        <v>46</v>
      </c>
      <c r="BB312" s="508" t="s">
        <v>19</v>
      </c>
      <c r="BC312" s="508">
        <v>15</v>
      </c>
      <c r="BD312" s="509">
        <v>46191</v>
      </c>
      <c r="BG312" s="508" t="s">
        <v>724</v>
      </c>
      <c r="BH312" s="508" t="s">
        <v>2940</v>
      </c>
      <c r="BI312" s="508">
        <v>289</v>
      </c>
      <c r="BJ312" s="508">
        <v>54</v>
      </c>
    </row>
    <row r="313" spans="1:62" s="508" customFormat="1" ht="14.25" hidden="1" customHeight="1" x14ac:dyDescent="0.2">
      <c r="A313" s="495"/>
      <c r="B313" s="496"/>
      <c r="C313" s="497">
        <f>Таблица3[[#This Row],[Степень зрелости вспом]]</f>
        <v>52</v>
      </c>
      <c r="D313" s="498">
        <v>429</v>
      </c>
      <c r="E313" s="499"/>
      <c r="F313" s="496"/>
      <c r="G313" s="496">
        <v>13530</v>
      </c>
      <c r="H313" s="500"/>
      <c r="I313" s="496">
        <v>11635.8</v>
      </c>
      <c r="J313" s="495" t="s">
        <v>2939</v>
      </c>
      <c r="K313" s="495" t="s">
        <v>909</v>
      </c>
      <c r="L313" s="495" t="s">
        <v>3097</v>
      </c>
      <c r="M313" s="495" t="s">
        <v>127</v>
      </c>
      <c r="N313" s="495"/>
      <c r="O313" s="495"/>
      <c r="P313" s="495"/>
      <c r="Q313" s="495"/>
      <c r="R313" s="501" t="s">
        <v>131</v>
      </c>
      <c r="S313" s="495"/>
      <c r="T313" s="482" t="str">
        <f>VLOOKUP(Таблица3[[#This Row],[№ акта]],$AJ$1:$BJ$691,15,FALSE)</f>
        <v>А-115/1</v>
      </c>
      <c r="U313" s="482" t="str">
        <f>VLOOKUP(Таблица3[[#This Row],[№ акта]],$AJ$1:$BJ$691,16,FALSE)</f>
        <v>Тристар</v>
      </c>
      <c r="V313" s="502">
        <f>VLOOKUP(Таблица3[[#This Row],[№ акта]],$AJ$1:$BJ$691,17,FALSE)</f>
        <v>2.1</v>
      </c>
      <c r="W313" s="502" t="str">
        <f>VLOOKUP(Таблица3[[#This Row],[№ акта]],$AJ$1:$BJ$691,18,FALSE)</f>
        <v>ГРК (богара)</v>
      </c>
      <c r="X313" s="502" t="str">
        <f>VLOOKUP(Таблица3[[#This Row],[№ акта]],$AJ$1:$BJ$691,19,FALSE)</f>
        <v>богара</v>
      </c>
      <c r="Y313" s="503">
        <f>VLOOKUP(Таблица3[[#This Row],[№ акта]],$AJ$1:$BJ$691,20,FALSE)</f>
        <v>15</v>
      </c>
      <c r="Z313" s="504">
        <f>VLOOKUP(Таблица3[[#This Row],[№ акта]],$AJ$1:$BJ$691,21,FALSE)</f>
        <v>46191</v>
      </c>
      <c r="AA313" s="504"/>
      <c r="AB313" s="504" t="str">
        <f>IF(VLOOKUP(Таблица3[[#This Row],[№ акта]],$AJ$1:$BJ$691,23,FALSE)&lt;&gt;0,VLOOKUP(Таблица3[[#This Row],[№ акта]],$AJ$1:$BJ$691,23,FALSE),"-")</f>
        <v>-</v>
      </c>
      <c r="AC31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13" s="506" t="s">
        <v>2940</v>
      </c>
      <c r="AE313" s="505">
        <v>323</v>
      </c>
      <c r="AF313" s="507">
        <v>46191</v>
      </c>
      <c r="AG313" s="505">
        <v>290</v>
      </c>
      <c r="AH313" s="505">
        <f>IFERROR(VLOOKUP(Таблица3[[#This Row],[№ акта]],'Степень зрелости 2026'!$H$12:$I$800,2,FALSE),)</f>
        <v>52</v>
      </c>
      <c r="AJ313" s="508">
        <v>323</v>
      </c>
      <c r="AK313" s="509">
        <v>46191</v>
      </c>
      <c r="AL313" s="508">
        <v>429</v>
      </c>
      <c r="AO313" s="508">
        <v>13530</v>
      </c>
      <c r="AP313" s="508">
        <v>11635.8</v>
      </c>
      <c r="AQ313" s="508" t="s">
        <v>2939</v>
      </c>
      <c r="AR313" s="508" t="s">
        <v>909</v>
      </c>
      <c r="AS313" s="508" t="s">
        <v>3097</v>
      </c>
      <c r="AT313" s="508" t="s">
        <v>127</v>
      </c>
      <c r="AV313" s="508" t="s">
        <v>131</v>
      </c>
      <c r="AX313" s="508" t="s">
        <v>3097</v>
      </c>
      <c r="AY313" s="508" t="s">
        <v>909</v>
      </c>
      <c r="AZ313" s="508">
        <v>2.1</v>
      </c>
      <c r="BA313" s="508" t="s">
        <v>46</v>
      </c>
      <c r="BB313" s="508" t="s">
        <v>19</v>
      </c>
      <c r="BC313" s="508">
        <v>15</v>
      </c>
      <c r="BD313" s="509">
        <v>46191</v>
      </c>
      <c r="BG313" s="508" t="s">
        <v>3557</v>
      </c>
      <c r="BH313" s="508" t="s">
        <v>2940</v>
      </c>
      <c r="BI313" s="508">
        <v>290</v>
      </c>
      <c r="BJ313" s="508">
        <v>52</v>
      </c>
    </row>
    <row r="314" spans="1:62" s="508" customFormat="1" ht="14.25" hidden="1" customHeight="1" x14ac:dyDescent="0.2">
      <c r="A314" s="495"/>
      <c r="B314" s="496"/>
      <c r="C314" s="497">
        <f>Таблица3[[#This Row],[Степень зрелости вспом]]</f>
        <v>49</v>
      </c>
      <c r="D314" s="498">
        <v>430</v>
      </c>
      <c r="E314" s="499"/>
      <c r="F314" s="496"/>
      <c r="G314" s="496">
        <v>6770</v>
      </c>
      <c r="H314" s="500"/>
      <c r="I314" s="496">
        <v>5652.9</v>
      </c>
      <c r="J314" s="495" t="s">
        <v>2939</v>
      </c>
      <c r="K314" s="495" t="s">
        <v>1755</v>
      </c>
      <c r="L314" s="495" t="s">
        <v>3096</v>
      </c>
      <c r="M314" s="495" t="s">
        <v>3195</v>
      </c>
      <c r="N314" s="495"/>
      <c r="O314" s="495"/>
      <c r="P314" s="495"/>
      <c r="Q314" s="495"/>
      <c r="R314" s="501" t="s">
        <v>3196</v>
      </c>
      <c r="S314" s="495"/>
      <c r="T314" s="482" t="str">
        <f>VLOOKUP(Таблица3[[#This Row],[№ акта]],$AJ$1:$BJ$691,15,FALSE)</f>
        <v>А-114</v>
      </c>
      <c r="U314" s="482" t="str">
        <f>VLOOKUP(Таблица3[[#This Row],[№ акта]],$AJ$1:$BJ$691,16,FALSE)</f>
        <v>Женева</v>
      </c>
      <c r="V314" s="502">
        <f>VLOOKUP(Таблица3[[#This Row],[№ акта]],$AJ$1:$BJ$691,17,FALSE)</f>
        <v>1.2</v>
      </c>
      <c r="W314" s="502" t="str">
        <f>VLOOKUP(Таблица3[[#This Row],[№ акта]],$AJ$1:$BJ$691,18,FALSE)</f>
        <v>ГРК (богара)</v>
      </c>
      <c r="X314" s="502" t="str">
        <f>VLOOKUP(Таблица3[[#This Row],[№ акта]],$AJ$1:$BJ$691,19,FALSE)</f>
        <v>богара</v>
      </c>
      <c r="Y314" s="503">
        <f>VLOOKUP(Таблица3[[#This Row],[№ акта]],$AJ$1:$BJ$691,20,FALSE)</f>
        <v>15</v>
      </c>
      <c r="Z314" s="504">
        <f>VLOOKUP(Таблица3[[#This Row],[№ акта]],$AJ$1:$BJ$691,21,FALSE)</f>
        <v>46191</v>
      </c>
      <c r="AA314" s="504"/>
      <c r="AB314" s="504" t="str">
        <f>IF(VLOOKUP(Таблица3[[#This Row],[№ акта]],$AJ$1:$BJ$691,23,FALSE)&lt;&gt;0,VLOOKUP(Таблица3[[#This Row],[№ акта]],$AJ$1:$BJ$691,23,FALSE),"-")</f>
        <v>-</v>
      </c>
      <c r="AC31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14" s="506" t="s">
        <v>2940</v>
      </c>
      <c r="AE314" s="505">
        <v>324</v>
      </c>
      <c r="AF314" s="507">
        <v>46191</v>
      </c>
      <c r="AG314" s="505">
        <v>292</v>
      </c>
      <c r="AH314" s="505">
        <f>IFERROR(VLOOKUP(Таблица3[[#This Row],[№ акта]],'Степень зрелости 2026'!$H$12:$I$800,2,FALSE),)</f>
        <v>49</v>
      </c>
      <c r="AJ314" s="508">
        <v>324</v>
      </c>
      <c r="AK314" s="509">
        <v>46191</v>
      </c>
      <c r="AL314" s="508">
        <v>430</v>
      </c>
      <c r="AO314" s="508">
        <v>6770</v>
      </c>
      <c r="AP314" s="508">
        <v>5652.9</v>
      </c>
      <c r="AQ314" s="508" t="s">
        <v>2939</v>
      </c>
      <c r="AR314" s="508" t="s">
        <v>1755</v>
      </c>
      <c r="AS314" s="508" t="s">
        <v>3096</v>
      </c>
      <c r="AT314" s="508" t="s">
        <v>3195</v>
      </c>
      <c r="AV314" s="508" t="s">
        <v>3196</v>
      </c>
      <c r="AX314" s="508" t="s">
        <v>3096</v>
      </c>
      <c r="AY314" s="508" t="s">
        <v>1755</v>
      </c>
      <c r="AZ314" s="508">
        <v>1.2</v>
      </c>
      <c r="BA314" s="508" t="s">
        <v>46</v>
      </c>
      <c r="BB314" s="508" t="s">
        <v>19</v>
      </c>
      <c r="BC314" s="508">
        <v>15</v>
      </c>
      <c r="BD314" s="509">
        <v>46191</v>
      </c>
      <c r="BG314" s="508" t="s">
        <v>3557</v>
      </c>
      <c r="BH314" s="508" t="s">
        <v>2940</v>
      </c>
      <c r="BI314" s="508">
        <v>292</v>
      </c>
      <c r="BJ314" s="508">
        <v>49</v>
      </c>
    </row>
    <row r="315" spans="1:62" s="508" customFormat="1" ht="14.25" hidden="1" customHeight="1" x14ac:dyDescent="0.2">
      <c r="A315" s="495"/>
      <c r="B315" s="496"/>
      <c r="C315" s="497">
        <f>Таблица3[[#This Row],[Степень зрелости вспом]]</f>
        <v>50</v>
      </c>
      <c r="D315" s="498">
        <v>431</v>
      </c>
      <c r="E315" s="499"/>
      <c r="F315" s="496"/>
      <c r="G315" s="496">
        <v>15790</v>
      </c>
      <c r="H315" s="500"/>
      <c r="I315" s="496">
        <v>13184.7</v>
      </c>
      <c r="J315" s="495" t="s">
        <v>2939</v>
      </c>
      <c r="K315" s="495" t="s">
        <v>1755</v>
      </c>
      <c r="L315" s="495" t="s">
        <v>3096</v>
      </c>
      <c r="M315" s="495" t="s">
        <v>195</v>
      </c>
      <c r="N315" s="495"/>
      <c r="O315" s="495"/>
      <c r="P315" s="495"/>
      <c r="Q315" s="495"/>
      <c r="R315" s="501" t="s">
        <v>199</v>
      </c>
      <c r="S315" s="495"/>
      <c r="T315" s="482" t="str">
        <f>VLOOKUP(Таблица3[[#This Row],[№ акта]],$AJ$1:$BJ$691,15,FALSE)</f>
        <v>А-114</v>
      </c>
      <c r="U315" s="482" t="str">
        <f>VLOOKUP(Таблица3[[#This Row],[№ акта]],$AJ$1:$BJ$691,16,FALSE)</f>
        <v>Женева</v>
      </c>
      <c r="V315" s="502">
        <f>VLOOKUP(Таблица3[[#This Row],[№ акта]],$AJ$1:$BJ$691,17,FALSE)</f>
        <v>2.8</v>
      </c>
      <c r="W315" s="502" t="str">
        <f>VLOOKUP(Таблица3[[#This Row],[№ акта]],$AJ$1:$BJ$691,18,FALSE)</f>
        <v>ГРК (богара)</v>
      </c>
      <c r="X315" s="502" t="str">
        <f>VLOOKUP(Таблица3[[#This Row],[№ акта]],$AJ$1:$BJ$691,19,FALSE)</f>
        <v>богара</v>
      </c>
      <c r="Y315" s="503">
        <f>VLOOKUP(Таблица3[[#This Row],[№ акта]],$AJ$1:$BJ$691,20,FALSE)</f>
        <v>15</v>
      </c>
      <c r="Z315" s="504">
        <f>VLOOKUP(Таблица3[[#This Row],[№ акта]],$AJ$1:$BJ$691,21,FALSE)</f>
        <v>46191</v>
      </c>
      <c r="AA315" s="504"/>
      <c r="AB315" s="504" t="str">
        <f>IF(VLOOKUP(Таблица3[[#This Row],[№ акта]],$AJ$1:$BJ$691,23,FALSE)&lt;&gt;0,VLOOKUP(Таблица3[[#This Row],[№ акта]],$AJ$1:$BJ$691,23,FALSE),"-")</f>
        <v>-</v>
      </c>
      <c r="AC31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15" s="506" t="s">
        <v>2940</v>
      </c>
      <c r="AE315" s="505">
        <v>326</v>
      </c>
      <c r="AF315" s="507">
        <v>46191</v>
      </c>
      <c r="AG315" s="505">
        <v>293</v>
      </c>
      <c r="AH315" s="505">
        <f>IFERROR(VLOOKUP(Таблица3[[#This Row],[№ акта]],'Степень зрелости 2026'!$H$12:$I$800,2,FALSE),)</f>
        <v>50</v>
      </c>
      <c r="AJ315" s="508">
        <v>326</v>
      </c>
      <c r="AK315" s="509">
        <v>46191</v>
      </c>
      <c r="AL315" s="508">
        <v>431</v>
      </c>
      <c r="AO315" s="508">
        <v>15790</v>
      </c>
      <c r="AP315" s="508">
        <v>13184.7</v>
      </c>
      <c r="AQ315" s="508" t="s">
        <v>2939</v>
      </c>
      <c r="AR315" s="508" t="s">
        <v>1755</v>
      </c>
      <c r="AS315" s="508" t="s">
        <v>3096</v>
      </c>
      <c r="AT315" s="508" t="s">
        <v>195</v>
      </c>
      <c r="AV315" s="508" t="s">
        <v>199</v>
      </c>
      <c r="AX315" s="508" t="s">
        <v>3096</v>
      </c>
      <c r="AY315" s="508" t="s">
        <v>1755</v>
      </c>
      <c r="AZ315" s="508">
        <v>2.8</v>
      </c>
      <c r="BA315" s="508" t="s">
        <v>46</v>
      </c>
      <c r="BB315" s="508" t="s">
        <v>19</v>
      </c>
      <c r="BC315" s="508">
        <v>15</v>
      </c>
      <c r="BD315" s="509">
        <v>46191</v>
      </c>
      <c r="BG315" s="508" t="s">
        <v>3557</v>
      </c>
      <c r="BH315" s="508" t="s">
        <v>2940</v>
      </c>
      <c r="BI315" s="508">
        <v>293</v>
      </c>
      <c r="BJ315" s="508">
        <v>50</v>
      </c>
    </row>
    <row r="316" spans="1:62" s="508" customFormat="1" ht="14.25" hidden="1" customHeight="1" x14ac:dyDescent="0.2">
      <c r="A316" s="495"/>
      <c r="B316" s="496"/>
      <c r="C316" s="497">
        <f>Таблица3[[#This Row],[Степень зрелости вспом]]</f>
        <v>51</v>
      </c>
      <c r="D316" s="498">
        <v>432</v>
      </c>
      <c r="E316" s="499"/>
      <c r="F316" s="496"/>
      <c r="G316" s="496">
        <v>8430</v>
      </c>
      <c r="H316" s="500"/>
      <c r="I316" s="496">
        <v>7292</v>
      </c>
      <c r="J316" s="495" t="s">
        <v>2939</v>
      </c>
      <c r="K316" s="495" t="s">
        <v>909</v>
      </c>
      <c r="L316" s="495" t="s">
        <v>3097</v>
      </c>
      <c r="M316" s="495" t="s">
        <v>3195</v>
      </c>
      <c r="N316" s="495"/>
      <c r="O316" s="495"/>
      <c r="P316" s="495"/>
      <c r="Q316" s="495"/>
      <c r="R316" s="501" t="s">
        <v>3196</v>
      </c>
      <c r="S316" s="495"/>
      <c r="T316" s="482" t="str">
        <f>VLOOKUP(Таблица3[[#This Row],[№ акта]],$AJ$1:$BJ$691,15,FALSE)</f>
        <v>А-115/1</v>
      </c>
      <c r="U316" s="482" t="str">
        <f>VLOOKUP(Таблица3[[#This Row],[№ акта]],$AJ$1:$BJ$691,16,FALSE)</f>
        <v>Тристар</v>
      </c>
      <c r="V316" s="502">
        <f>VLOOKUP(Таблица3[[#This Row],[№ акта]],$AJ$1:$BJ$691,17,FALSE)+0.2</f>
        <v>1.5</v>
      </c>
      <c r="W316" s="502" t="str">
        <f>VLOOKUP(Таблица3[[#This Row],[№ акта]],$AJ$1:$BJ$691,18,FALSE)</f>
        <v>ГРК (богара)</v>
      </c>
      <c r="X316" s="502" t="str">
        <f>VLOOKUP(Таблица3[[#This Row],[№ акта]],$AJ$1:$BJ$691,19,FALSE)</f>
        <v>богара</v>
      </c>
      <c r="Y316" s="503">
        <f>VLOOKUP(Таблица3[[#This Row],[№ акта]],$AJ$1:$BJ$691,20,FALSE)</f>
        <v>15</v>
      </c>
      <c r="Z316" s="504">
        <f>VLOOKUP(Таблица3[[#This Row],[№ акта]],$AJ$1:$BJ$691,21,FALSE)</f>
        <v>46191</v>
      </c>
      <c r="AA316" s="504"/>
      <c r="AB316" s="504" t="str">
        <f>IF(VLOOKUP(Таблица3[[#This Row],[№ акта]],$AJ$1:$BJ$691,23,FALSE)&lt;&gt;0,VLOOKUP(Таблица3[[#This Row],[№ акта]],$AJ$1:$BJ$691,23,FALSE),"-")</f>
        <v>-</v>
      </c>
      <c r="AC31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16" s="506" t="s">
        <v>2940</v>
      </c>
      <c r="AE316" s="505">
        <v>325</v>
      </c>
      <c r="AF316" s="507">
        <v>46191</v>
      </c>
      <c r="AG316" s="505">
        <v>291</v>
      </c>
      <c r="AH316" s="505">
        <f>IFERROR(VLOOKUP(Таблица3[[#This Row],[№ акта]],'Степень зрелости 2026'!$H$12:$I$800,2,FALSE),)</f>
        <v>51</v>
      </c>
      <c r="AJ316" s="508">
        <v>325</v>
      </c>
      <c r="AK316" s="509">
        <v>46191</v>
      </c>
      <c r="AL316" s="508">
        <v>432</v>
      </c>
      <c r="AO316" s="508">
        <v>8430</v>
      </c>
      <c r="AP316" s="508">
        <v>7292</v>
      </c>
      <c r="AQ316" s="508" t="s">
        <v>2939</v>
      </c>
      <c r="AR316" s="508" t="s">
        <v>909</v>
      </c>
      <c r="AS316" s="508" t="s">
        <v>3097</v>
      </c>
      <c r="AT316" s="508" t="s">
        <v>3195</v>
      </c>
      <c r="AV316" s="508" t="s">
        <v>3196</v>
      </c>
      <c r="AX316" s="508" t="s">
        <v>3097</v>
      </c>
      <c r="AY316" s="508" t="s">
        <v>909</v>
      </c>
      <c r="AZ316" s="508">
        <v>1.3</v>
      </c>
      <c r="BA316" s="508" t="s">
        <v>46</v>
      </c>
      <c r="BB316" s="508" t="s">
        <v>19</v>
      </c>
      <c r="BC316" s="508">
        <v>15</v>
      </c>
      <c r="BD316" s="509">
        <v>46191</v>
      </c>
      <c r="BG316" s="508" t="s">
        <v>3557</v>
      </c>
      <c r="BH316" s="508" t="s">
        <v>2940</v>
      </c>
      <c r="BI316" s="508">
        <v>291</v>
      </c>
      <c r="BJ316" s="508">
        <v>51</v>
      </c>
    </row>
    <row r="317" spans="1:62" s="508" customFormat="1" ht="14.25" hidden="1" customHeight="1" x14ac:dyDescent="0.2">
      <c r="A317" s="495"/>
      <c r="B317" s="496"/>
      <c r="C317" s="497">
        <f>Таблица3[[#This Row],[Степень зрелости вспом]]</f>
        <v>57</v>
      </c>
      <c r="D317" s="498">
        <v>433</v>
      </c>
      <c r="E317" s="499"/>
      <c r="F317" s="496"/>
      <c r="G317" s="496">
        <v>5630</v>
      </c>
      <c r="H317" s="500"/>
      <c r="I317" s="496">
        <v>4701</v>
      </c>
      <c r="J317" s="495" t="s">
        <v>2939</v>
      </c>
      <c r="K317" s="495" t="s">
        <v>1755</v>
      </c>
      <c r="L317" s="495" t="s">
        <v>3300</v>
      </c>
      <c r="M317" s="495" t="s">
        <v>737</v>
      </c>
      <c r="N317" s="495"/>
      <c r="O317" s="495"/>
      <c r="P317" s="495"/>
      <c r="Q317" s="495"/>
      <c r="R317" s="501" t="s">
        <v>738</v>
      </c>
      <c r="S317" s="495"/>
      <c r="T317" s="482" t="str">
        <f>VLOOKUP(Таблица3[[#This Row],[№ акта]],$AJ$1:$BJ$691,15,FALSE)</f>
        <v>А-105/1</v>
      </c>
      <c r="U317" s="482" t="str">
        <f>VLOOKUP(Таблица3[[#This Row],[№ акта]],$AJ$1:$BJ$691,16,FALSE)</f>
        <v>Женева</v>
      </c>
      <c r="V317" s="502">
        <f>VLOOKUP(Таблица3[[#This Row],[№ акта]],$AJ$1:$BJ$691,17,FALSE)</f>
        <v>1.5</v>
      </c>
      <c r="W317" s="502" t="str">
        <f>VLOOKUP(Таблица3[[#This Row],[№ акта]],$AJ$1:$BJ$691,18,FALSE)</f>
        <v>ГРК (богара)</v>
      </c>
      <c r="X317" s="502" t="str">
        <f>VLOOKUP(Таблица3[[#This Row],[№ акта]],$AJ$1:$BJ$691,19,FALSE)</f>
        <v>богара</v>
      </c>
      <c r="Y317" s="503">
        <f>VLOOKUP(Таблица3[[#This Row],[№ акта]],$AJ$1:$BJ$691,20,FALSE)</f>
        <v>15</v>
      </c>
      <c r="Z317" s="504">
        <f>VLOOKUP(Таблица3[[#This Row],[№ акта]],$AJ$1:$BJ$691,21,FALSE)</f>
        <v>46191</v>
      </c>
      <c r="AA317" s="504"/>
      <c r="AB317" s="504" t="str">
        <f>IF(VLOOKUP(Таблица3[[#This Row],[№ акта]],$AJ$1:$BJ$691,23,FALSE)&lt;&gt;0,VLOOKUP(Таблица3[[#This Row],[№ акта]],$AJ$1:$BJ$691,23,FALSE),"-")</f>
        <v>-</v>
      </c>
      <c r="AC31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17" s="506" t="s">
        <v>2940</v>
      </c>
      <c r="AE317" s="505">
        <v>327</v>
      </c>
      <c r="AF317" s="507">
        <v>46191</v>
      </c>
      <c r="AG317" s="505">
        <v>294</v>
      </c>
      <c r="AH317" s="505">
        <f>IFERROR(VLOOKUP(Таблица3[[#This Row],[№ акта]],'Степень зрелости 2026'!$H$12:$I$800,2,FALSE),)</f>
        <v>57</v>
      </c>
      <c r="AJ317" s="508">
        <v>327</v>
      </c>
      <c r="AK317" s="509">
        <v>46191</v>
      </c>
      <c r="AL317" s="508">
        <v>433</v>
      </c>
      <c r="AO317" s="508">
        <v>5630</v>
      </c>
      <c r="AP317" s="508">
        <v>4701</v>
      </c>
      <c r="AQ317" s="508" t="s">
        <v>2939</v>
      </c>
      <c r="AR317" s="508" t="s">
        <v>1755</v>
      </c>
      <c r="AS317" s="508" t="s">
        <v>3300</v>
      </c>
      <c r="AT317" s="508" t="s">
        <v>737</v>
      </c>
      <c r="AV317" s="508" t="s">
        <v>738</v>
      </c>
      <c r="AX317" s="508" t="s">
        <v>3093</v>
      </c>
      <c r="AY317" s="508" t="s">
        <v>1755</v>
      </c>
      <c r="AZ317" s="508">
        <v>1.5</v>
      </c>
      <c r="BA317" s="508" t="s">
        <v>46</v>
      </c>
      <c r="BB317" s="508" t="s">
        <v>19</v>
      </c>
      <c r="BC317" s="508">
        <v>15</v>
      </c>
      <c r="BD317" s="509">
        <v>46191</v>
      </c>
      <c r="BG317" s="508" t="s">
        <v>724</v>
      </c>
      <c r="BH317" s="508" t="s">
        <v>2940</v>
      </c>
      <c r="BI317" s="508">
        <v>294</v>
      </c>
      <c r="BJ317" s="508">
        <v>57</v>
      </c>
    </row>
    <row r="318" spans="1:62" s="508" customFormat="1" ht="14.25" hidden="1" customHeight="1" x14ac:dyDescent="0.2">
      <c r="A318" s="495"/>
      <c r="B318" s="496"/>
      <c r="C318" s="497">
        <f>Таблица3[[#This Row],[Степень зрелости вспом]]</f>
        <v>56</v>
      </c>
      <c r="D318" s="498">
        <v>434</v>
      </c>
      <c r="E318" s="499"/>
      <c r="F318" s="496"/>
      <c r="G318" s="496">
        <v>13050</v>
      </c>
      <c r="H318" s="500"/>
      <c r="I318" s="496">
        <v>11810.3</v>
      </c>
      <c r="J318" s="495" t="s">
        <v>2939</v>
      </c>
      <c r="K318" s="495" t="s">
        <v>909</v>
      </c>
      <c r="L318" s="495" t="s">
        <v>3097</v>
      </c>
      <c r="M318" s="495" t="s">
        <v>329</v>
      </c>
      <c r="N318" s="495"/>
      <c r="O318" s="495"/>
      <c r="P318" s="495"/>
      <c r="Q318" s="495"/>
      <c r="R318" s="501" t="s">
        <v>333</v>
      </c>
      <c r="S318" s="495"/>
      <c r="T318" s="482" t="str">
        <f>VLOOKUP(Таблица3[[#This Row],[№ акта]],$AJ$1:$BJ$691,15,FALSE)</f>
        <v>А-115/1</v>
      </c>
      <c r="U318" s="482" t="str">
        <f>VLOOKUP(Таблица3[[#This Row],[№ акта]],$AJ$1:$BJ$691,16,FALSE)</f>
        <v>Тристар</v>
      </c>
      <c r="V318" s="502">
        <f>VLOOKUP(Таблица3[[#This Row],[№ акта]],$AJ$1:$BJ$691,17,FALSE)</f>
        <v>2</v>
      </c>
      <c r="W318" s="502" t="str">
        <f>VLOOKUP(Таблица3[[#This Row],[№ акта]],$AJ$1:$BJ$691,18,FALSE)</f>
        <v>ГРК (богара)</v>
      </c>
      <c r="X318" s="502" t="str">
        <f>VLOOKUP(Таблица3[[#This Row],[№ акта]],$AJ$1:$BJ$691,19,FALSE)</f>
        <v>богара</v>
      </c>
      <c r="Y318" s="503">
        <f>VLOOKUP(Таблица3[[#This Row],[№ акта]],$AJ$1:$BJ$691,20,FALSE)</f>
        <v>15</v>
      </c>
      <c r="Z318" s="504">
        <f>VLOOKUP(Таблица3[[#This Row],[№ акта]],$AJ$1:$BJ$691,21,FALSE)</f>
        <v>46191</v>
      </c>
      <c r="AA318" s="504"/>
      <c r="AB318" s="504" t="str">
        <f>IF(VLOOKUP(Таблица3[[#This Row],[№ акта]],$AJ$1:$BJ$691,23,FALSE)&lt;&gt;0,VLOOKUP(Таблица3[[#This Row],[№ акта]],$AJ$1:$BJ$691,23,FALSE),"-")</f>
        <v>-</v>
      </c>
      <c r="AC31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18" s="506" t="s">
        <v>2940</v>
      </c>
      <c r="AE318" s="505">
        <v>328</v>
      </c>
      <c r="AF318" s="507">
        <v>46191</v>
      </c>
      <c r="AG318" s="505">
        <v>295</v>
      </c>
      <c r="AH318" s="505">
        <f>IFERROR(VLOOKUP(Таблица3[[#This Row],[№ акта]],'Степень зрелости 2026'!$H$12:$I$800,2,FALSE),)</f>
        <v>56</v>
      </c>
      <c r="AJ318" s="508">
        <v>328</v>
      </c>
      <c r="AK318" s="509">
        <v>46191</v>
      </c>
      <c r="AL318" s="508">
        <v>434</v>
      </c>
      <c r="AO318" s="508">
        <v>13050</v>
      </c>
      <c r="AP318" s="508">
        <v>11810.3</v>
      </c>
      <c r="AQ318" s="508" t="s">
        <v>2939</v>
      </c>
      <c r="AR318" s="508" t="s">
        <v>909</v>
      </c>
      <c r="AS318" s="508" t="s">
        <v>3097</v>
      </c>
      <c r="AT318" s="508" t="s">
        <v>329</v>
      </c>
      <c r="AV318" s="508" t="s">
        <v>333</v>
      </c>
      <c r="AX318" s="508" t="s">
        <v>3097</v>
      </c>
      <c r="AY318" s="508" t="s">
        <v>909</v>
      </c>
      <c r="AZ318" s="508">
        <v>2</v>
      </c>
      <c r="BA318" s="508" t="s">
        <v>46</v>
      </c>
      <c r="BB318" s="508" t="s">
        <v>19</v>
      </c>
      <c r="BC318" s="508">
        <v>15</v>
      </c>
      <c r="BD318" s="509">
        <v>46191</v>
      </c>
      <c r="BG318" s="508" t="s">
        <v>724</v>
      </c>
      <c r="BH318" s="508" t="s">
        <v>2940</v>
      </c>
      <c r="BI318" s="508">
        <v>295</v>
      </c>
      <c r="BJ318" s="508">
        <v>56</v>
      </c>
    </row>
    <row r="319" spans="1:62" s="508" customFormat="1" ht="14.25" hidden="1" customHeight="1" x14ac:dyDescent="0.2">
      <c r="A319" s="495"/>
      <c r="B319" s="496"/>
      <c r="C319" s="497">
        <f>Таблица3[[#This Row],[Степень зрелости вспом]]</f>
        <v>52</v>
      </c>
      <c r="D319" s="498">
        <v>435</v>
      </c>
      <c r="E319" s="499"/>
      <c r="F319" s="496"/>
      <c r="G319" s="496">
        <v>12920</v>
      </c>
      <c r="H319" s="500"/>
      <c r="I319" s="496">
        <v>11563.4</v>
      </c>
      <c r="J319" s="495" t="s">
        <v>2939</v>
      </c>
      <c r="K319" s="495" t="s">
        <v>909</v>
      </c>
      <c r="L319" s="495" t="s">
        <v>3550</v>
      </c>
      <c r="M319" s="495" t="s">
        <v>127</v>
      </c>
      <c r="N319" s="495"/>
      <c r="O319" s="495"/>
      <c r="P319" s="495"/>
      <c r="Q319" s="495"/>
      <c r="R319" s="501" t="s">
        <v>131</v>
      </c>
      <c r="S319" s="495"/>
      <c r="T319" s="482" t="str">
        <f>VLOOKUP(Таблица3[[#This Row],[№ акта]],$AJ$1:$BJ$691,15,FALSE)</f>
        <v>А-115/1</v>
      </c>
      <c r="U319" s="482" t="str">
        <f>VLOOKUP(Таблица3[[#This Row],[№ акта]],$AJ$1:$BJ$691,16,FALSE)</f>
        <v>Тристар</v>
      </c>
      <c r="V319" s="502">
        <f>VLOOKUP(Таблица3[[#This Row],[№ акта]],$AJ$1:$BJ$691,17,FALSE)</f>
        <v>2</v>
      </c>
      <c r="W319" s="502" t="str">
        <f>VLOOKUP(Таблица3[[#This Row],[№ акта]],$AJ$1:$BJ$691,18,FALSE)</f>
        <v>ГРК (богара)</v>
      </c>
      <c r="X319" s="502" t="str">
        <f>VLOOKUP(Таблица3[[#This Row],[№ акта]],$AJ$1:$BJ$691,19,FALSE)</f>
        <v>богара</v>
      </c>
      <c r="Y319" s="503">
        <f>VLOOKUP(Таблица3[[#This Row],[№ акта]],$AJ$1:$BJ$691,20,FALSE)</f>
        <v>15</v>
      </c>
      <c r="Z319" s="504">
        <f>VLOOKUP(Таблица3[[#This Row],[№ акта]],$AJ$1:$BJ$691,21,FALSE)</f>
        <v>46191</v>
      </c>
      <c r="AA319" s="504"/>
      <c r="AB319" s="504" t="str">
        <f>IF(VLOOKUP(Таблица3[[#This Row],[№ акта]],$AJ$1:$BJ$691,23,FALSE)&lt;&gt;0,VLOOKUP(Таблица3[[#This Row],[№ акта]],$AJ$1:$BJ$691,23,FALSE),"-")</f>
        <v>-</v>
      </c>
      <c r="AC31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19" s="506" t="s">
        <v>2940</v>
      </c>
      <c r="AE319" s="505">
        <v>329</v>
      </c>
      <c r="AF319" s="507">
        <v>46191</v>
      </c>
      <c r="AG319" s="505">
        <v>296</v>
      </c>
      <c r="AH319" s="505">
        <f>IFERROR(VLOOKUP(Таблица3[[#This Row],[№ акта]],'Степень зрелости 2026'!$H$12:$I$800,2,FALSE),)</f>
        <v>52</v>
      </c>
      <c r="AJ319" s="508">
        <v>329</v>
      </c>
      <c r="AK319" s="509">
        <v>46191</v>
      </c>
      <c r="AL319" s="508">
        <v>435</v>
      </c>
      <c r="AO319" s="508">
        <v>12920</v>
      </c>
      <c r="AP319" s="508">
        <v>11563.4</v>
      </c>
      <c r="AQ319" s="508" t="s">
        <v>2939</v>
      </c>
      <c r="AR319" s="508" t="s">
        <v>909</v>
      </c>
      <c r="AS319" s="508" t="s">
        <v>3550</v>
      </c>
      <c r="AT319" s="508" t="s">
        <v>127</v>
      </c>
      <c r="AV319" s="508" t="s">
        <v>131</v>
      </c>
      <c r="AX319" s="508" t="s">
        <v>3097</v>
      </c>
      <c r="AY319" s="508" t="s">
        <v>909</v>
      </c>
      <c r="AZ319" s="508">
        <v>2</v>
      </c>
      <c r="BA319" s="508" t="s">
        <v>46</v>
      </c>
      <c r="BB319" s="508" t="s">
        <v>19</v>
      </c>
      <c r="BC319" s="508">
        <v>15</v>
      </c>
      <c r="BD319" s="509">
        <v>46191</v>
      </c>
      <c r="BG319" s="508" t="s">
        <v>3557</v>
      </c>
      <c r="BH319" s="508" t="s">
        <v>2940</v>
      </c>
      <c r="BI319" s="508">
        <v>296</v>
      </c>
      <c r="BJ319" s="508">
        <v>52</v>
      </c>
    </row>
    <row r="320" spans="1:62" s="508" customFormat="1" ht="14.25" hidden="1" customHeight="1" x14ac:dyDescent="0.2">
      <c r="A320" s="495"/>
      <c r="B320" s="496"/>
      <c r="C320" s="497">
        <f>Таблица3[[#This Row],[Степень зрелости вспом]]</f>
        <v>53</v>
      </c>
      <c r="D320" s="498">
        <v>436</v>
      </c>
      <c r="E320" s="499"/>
      <c r="F320" s="496"/>
      <c r="G320" s="496">
        <v>12850</v>
      </c>
      <c r="H320" s="500"/>
      <c r="I320" s="496">
        <v>11243.8</v>
      </c>
      <c r="J320" s="495" t="s">
        <v>2939</v>
      </c>
      <c r="K320" s="495" t="s">
        <v>909</v>
      </c>
      <c r="L320" s="495" t="s">
        <v>3097</v>
      </c>
      <c r="M320" s="495" t="s">
        <v>3195</v>
      </c>
      <c r="N320" s="495"/>
      <c r="O320" s="495"/>
      <c r="P320" s="495"/>
      <c r="Q320" s="495"/>
      <c r="R320" s="501" t="s">
        <v>3196</v>
      </c>
      <c r="S320" s="495"/>
      <c r="T320" s="482" t="str">
        <f>VLOOKUP(Таблица3[[#This Row],[№ акта]],$AJ$1:$BJ$691,15,FALSE)</f>
        <v>А-115/1</v>
      </c>
      <c r="U320" s="482" t="str">
        <f>VLOOKUP(Таблица3[[#This Row],[№ акта]],$AJ$1:$BJ$691,16,FALSE)</f>
        <v>Тристар</v>
      </c>
      <c r="V320" s="502">
        <f>VLOOKUP(Таблица3[[#This Row],[№ акта]],$AJ$1:$BJ$691,17,FALSE)</f>
        <v>2</v>
      </c>
      <c r="W320" s="502" t="str">
        <f>VLOOKUP(Таблица3[[#This Row],[№ акта]],$AJ$1:$BJ$691,18,FALSE)</f>
        <v>ГРК (богара)</v>
      </c>
      <c r="X320" s="502" t="str">
        <f>VLOOKUP(Таблица3[[#This Row],[№ акта]],$AJ$1:$BJ$691,19,FALSE)</f>
        <v>богара</v>
      </c>
      <c r="Y320" s="503">
        <f>VLOOKUP(Таблица3[[#This Row],[№ акта]],$AJ$1:$BJ$691,20,FALSE)</f>
        <v>15</v>
      </c>
      <c r="Z320" s="504">
        <f>VLOOKUP(Таблица3[[#This Row],[№ акта]],$AJ$1:$BJ$691,21,FALSE)</f>
        <v>46191</v>
      </c>
      <c r="AA320" s="504"/>
      <c r="AB320" s="504" t="str">
        <f>IF(VLOOKUP(Таблица3[[#This Row],[№ акта]],$AJ$1:$BJ$691,23,FALSE)&lt;&gt;0,VLOOKUP(Таблица3[[#This Row],[№ акта]],$AJ$1:$BJ$691,23,FALSE),"-")</f>
        <v>-</v>
      </c>
      <c r="AC32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20" s="506" t="s">
        <v>2940</v>
      </c>
      <c r="AE320" s="505">
        <v>330</v>
      </c>
      <c r="AF320" s="507">
        <v>46191</v>
      </c>
      <c r="AG320" s="505">
        <v>297</v>
      </c>
      <c r="AH320" s="505">
        <f>IFERROR(VLOOKUP(Таблица3[[#This Row],[№ акта]],'Степень зрелости 2026'!$H$12:$I$800,2,FALSE),)</f>
        <v>53</v>
      </c>
      <c r="AJ320" s="508">
        <v>330</v>
      </c>
      <c r="AK320" s="509">
        <v>46191</v>
      </c>
      <c r="AL320" s="508">
        <v>436</v>
      </c>
      <c r="AO320" s="508">
        <v>12850</v>
      </c>
      <c r="AP320" s="508">
        <v>11243.8</v>
      </c>
      <c r="AQ320" s="508" t="s">
        <v>2939</v>
      </c>
      <c r="AR320" s="508" t="s">
        <v>909</v>
      </c>
      <c r="AS320" s="508" t="s">
        <v>3097</v>
      </c>
      <c r="AT320" s="508" t="s">
        <v>3195</v>
      </c>
      <c r="AV320" s="508" t="s">
        <v>3196</v>
      </c>
      <c r="AX320" s="508" t="s">
        <v>3097</v>
      </c>
      <c r="AY320" s="508" t="s">
        <v>909</v>
      </c>
      <c r="AZ320" s="508">
        <v>2</v>
      </c>
      <c r="BA320" s="508" t="s">
        <v>46</v>
      </c>
      <c r="BB320" s="508" t="s">
        <v>19</v>
      </c>
      <c r="BC320" s="508">
        <v>15</v>
      </c>
      <c r="BD320" s="509">
        <v>46191</v>
      </c>
      <c r="BG320" s="508" t="s">
        <v>724</v>
      </c>
      <c r="BH320" s="508" t="s">
        <v>2940</v>
      </c>
      <c r="BI320" s="508">
        <v>297</v>
      </c>
      <c r="BJ320" s="508">
        <v>53</v>
      </c>
    </row>
    <row r="321" spans="1:62" s="508" customFormat="1" ht="14.25" hidden="1" customHeight="1" x14ac:dyDescent="0.2">
      <c r="A321" s="495"/>
      <c r="B321" s="496"/>
      <c r="C321" s="497">
        <f>Таблица3[[#This Row],[Степень зрелости вспом]]</f>
        <v>54</v>
      </c>
      <c r="D321" s="498">
        <v>437</v>
      </c>
      <c r="E321" s="499"/>
      <c r="F321" s="496"/>
      <c r="G321" s="496">
        <v>4450</v>
      </c>
      <c r="H321" s="500"/>
      <c r="I321" s="496">
        <v>3715.8</v>
      </c>
      <c r="J321" s="495" t="s">
        <v>2939</v>
      </c>
      <c r="K321" s="495" t="s">
        <v>909</v>
      </c>
      <c r="L321" s="495" t="s">
        <v>3097</v>
      </c>
      <c r="M321" s="495" t="s">
        <v>737</v>
      </c>
      <c r="N321" s="495"/>
      <c r="O321" s="495"/>
      <c r="P321" s="495"/>
      <c r="Q321" s="495"/>
      <c r="R321" s="501" t="s">
        <v>738</v>
      </c>
      <c r="S321" s="495"/>
      <c r="T321" s="482" t="str">
        <f>VLOOKUP(Таблица3[[#This Row],[№ акта]],$AJ$1:$BJ$691,15,FALSE)</f>
        <v>А-115/1</v>
      </c>
      <c r="U321" s="482" t="str">
        <f>VLOOKUP(Таблица3[[#This Row],[№ акта]],$AJ$1:$BJ$691,16,FALSE)</f>
        <v>Тристар</v>
      </c>
      <c r="V321" s="502">
        <f>VLOOKUP(Таблица3[[#This Row],[№ акта]],$AJ$1:$BJ$691,17,FALSE)</f>
        <v>0.7</v>
      </c>
      <c r="W321" s="502" t="str">
        <f>VLOOKUP(Таблица3[[#This Row],[№ акта]],$AJ$1:$BJ$691,18,FALSE)</f>
        <v>ГРК (богара)</v>
      </c>
      <c r="X321" s="502" t="str">
        <f>VLOOKUP(Таблица3[[#This Row],[№ акта]],$AJ$1:$BJ$691,19,FALSE)</f>
        <v>богара</v>
      </c>
      <c r="Y321" s="503">
        <f>VLOOKUP(Таблица3[[#This Row],[№ акта]],$AJ$1:$BJ$691,20,FALSE)</f>
        <v>15</v>
      </c>
      <c r="Z321" s="504">
        <f>VLOOKUP(Таблица3[[#This Row],[№ акта]],$AJ$1:$BJ$691,21,FALSE)</f>
        <v>46191</v>
      </c>
      <c r="AA321" s="504"/>
      <c r="AB321" s="504" t="str">
        <f>IF(VLOOKUP(Таблица3[[#This Row],[№ акта]],$AJ$1:$BJ$691,23,FALSE)&lt;&gt;0,VLOOKUP(Таблица3[[#This Row],[№ акта]],$AJ$1:$BJ$691,23,FALSE),"-")</f>
        <v>-</v>
      </c>
      <c r="AC32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21" s="506" t="s">
        <v>2940</v>
      </c>
      <c r="AE321" s="505">
        <v>331</v>
      </c>
      <c r="AF321" s="507">
        <v>46191</v>
      </c>
      <c r="AG321" s="505">
        <v>298</v>
      </c>
      <c r="AH321" s="505">
        <f>IFERROR(VLOOKUP(Таблица3[[#This Row],[№ акта]],'Степень зрелости 2026'!$H$12:$I$800,2,FALSE),)</f>
        <v>54</v>
      </c>
      <c r="AJ321" s="508">
        <v>331</v>
      </c>
      <c r="AK321" s="509">
        <v>46191</v>
      </c>
      <c r="AL321" s="508">
        <v>437</v>
      </c>
      <c r="AO321" s="508">
        <v>4450</v>
      </c>
      <c r="AP321" s="508">
        <v>3715.8</v>
      </c>
      <c r="AQ321" s="508" t="s">
        <v>2939</v>
      </c>
      <c r="AR321" s="508" t="s">
        <v>909</v>
      </c>
      <c r="AS321" s="508" t="s">
        <v>3097</v>
      </c>
      <c r="AT321" s="508" t="s">
        <v>737</v>
      </c>
      <c r="AV321" s="508" t="s">
        <v>738</v>
      </c>
      <c r="AX321" s="508" t="s">
        <v>3097</v>
      </c>
      <c r="AY321" s="508" t="s">
        <v>909</v>
      </c>
      <c r="AZ321" s="508">
        <v>0.7</v>
      </c>
      <c r="BA321" s="508" t="s">
        <v>46</v>
      </c>
      <c r="BB321" s="508" t="s">
        <v>19</v>
      </c>
      <c r="BC321" s="508">
        <v>15</v>
      </c>
      <c r="BD321" s="509">
        <v>46191</v>
      </c>
      <c r="BG321" s="508" t="s">
        <v>724</v>
      </c>
      <c r="BH321" s="508" t="s">
        <v>2940</v>
      </c>
      <c r="BI321" s="508">
        <v>298</v>
      </c>
      <c r="BJ321" s="508">
        <v>54</v>
      </c>
    </row>
    <row r="322" spans="1:62" s="508" customFormat="1" ht="14.25" hidden="1" customHeight="1" x14ac:dyDescent="0.2">
      <c r="A322" s="495"/>
      <c r="B322" s="496"/>
      <c r="C322" s="497">
        <f>Таблица3[[#This Row],[Степень зрелости вспом]]</f>
        <v>60</v>
      </c>
      <c r="D322" s="498">
        <v>438</v>
      </c>
      <c r="E322" s="499"/>
      <c r="F322" s="496"/>
      <c r="G322" s="496">
        <v>13170</v>
      </c>
      <c r="H322" s="500"/>
      <c r="I322" s="496">
        <v>11787.2</v>
      </c>
      <c r="J322" s="495" t="s">
        <v>2939</v>
      </c>
      <c r="K322" s="495" t="s">
        <v>909</v>
      </c>
      <c r="L322" s="495" t="s">
        <v>3097</v>
      </c>
      <c r="M322" s="495" t="s">
        <v>195</v>
      </c>
      <c r="N322" s="495"/>
      <c r="O322" s="495"/>
      <c r="P322" s="495"/>
      <c r="Q322" s="495"/>
      <c r="R322" s="501" t="s">
        <v>199</v>
      </c>
      <c r="S322" s="495"/>
      <c r="T322" s="482" t="str">
        <f>VLOOKUP(Таблица3[[#This Row],[№ акта]],$AJ$1:$BJ$691,15,FALSE)</f>
        <v>А-115/1</v>
      </c>
      <c r="U322" s="482" t="str">
        <f>VLOOKUP(Таблица3[[#This Row],[№ акта]],$AJ$1:$BJ$691,16,FALSE)</f>
        <v>Тристар</v>
      </c>
      <c r="V322" s="502">
        <f>VLOOKUP(Таблица3[[#This Row],[№ акта]],$AJ$1:$BJ$691,17,FALSE)</f>
        <v>2.1</v>
      </c>
      <c r="W322" s="502" t="str">
        <f>VLOOKUP(Таблица3[[#This Row],[№ акта]],$AJ$1:$BJ$691,18,FALSE)</f>
        <v>ГРК (богара)</v>
      </c>
      <c r="X322" s="502" t="str">
        <f>VLOOKUP(Таблица3[[#This Row],[№ акта]],$AJ$1:$BJ$691,19,FALSE)</f>
        <v>богара</v>
      </c>
      <c r="Y322" s="503">
        <f>VLOOKUP(Таблица3[[#This Row],[№ акта]],$AJ$1:$BJ$691,20,FALSE)</f>
        <v>15</v>
      </c>
      <c r="Z322" s="504">
        <f>VLOOKUP(Таблица3[[#This Row],[№ акта]],$AJ$1:$BJ$691,21,FALSE)</f>
        <v>46191</v>
      </c>
      <c r="AA322" s="504"/>
      <c r="AB322" s="504" t="str">
        <f>IF(VLOOKUP(Таблица3[[#This Row],[№ акта]],$AJ$1:$BJ$691,23,FALSE)&lt;&gt;0,VLOOKUP(Таблица3[[#This Row],[№ акта]],$AJ$1:$BJ$691,23,FALSE),"-")</f>
        <v>-</v>
      </c>
      <c r="AC32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22" s="506" t="s">
        <v>2940</v>
      </c>
      <c r="AE322" s="505">
        <v>332</v>
      </c>
      <c r="AF322" s="507">
        <v>46192</v>
      </c>
      <c r="AG322" s="505">
        <v>299</v>
      </c>
      <c r="AH322" s="505">
        <f>IFERROR(VLOOKUP(Таблица3[[#This Row],[№ акта]],'Степень зрелости 2026'!$H$12:$I$800,2,FALSE),)</f>
        <v>60</v>
      </c>
      <c r="AJ322" s="508">
        <v>332</v>
      </c>
      <c r="AK322" s="509">
        <v>46192</v>
      </c>
      <c r="AL322" s="508">
        <v>438</v>
      </c>
      <c r="AO322" s="508">
        <v>13170</v>
      </c>
      <c r="AP322" s="508">
        <v>11787.2</v>
      </c>
      <c r="AQ322" s="508" t="s">
        <v>2939</v>
      </c>
      <c r="AR322" s="508" t="s">
        <v>909</v>
      </c>
      <c r="AS322" s="508" t="s">
        <v>3097</v>
      </c>
      <c r="AT322" s="508" t="s">
        <v>195</v>
      </c>
      <c r="AV322" s="508" t="s">
        <v>199</v>
      </c>
      <c r="AX322" s="508" t="s">
        <v>3097</v>
      </c>
      <c r="AY322" s="508" t="s">
        <v>909</v>
      </c>
      <c r="AZ322" s="508">
        <v>2.1</v>
      </c>
      <c r="BA322" s="508" t="s">
        <v>46</v>
      </c>
      <c r="BB322" s="508" t="s">
        <v>19</v>
      </c>
      <c r="BC322" s="508">
        <v>15</v>
      </c>
      <c r="BD322" s="509">
        <v>46191</v>
      </c>
      <c r="BG322" s="508" t="s">
        <v>724</v>
      </c>
      <c r="BH322" s="508" t="s">
        <v>2940</v>
      </c>
      <c r="BI322" s="508">
        <v>299</v>
      </c>
      <c r="BJ322" s="508">
        <v>60</v>
      </c>
    </row>
    <row r="323" spans="1:62" s="508" customFormat="1" ht="14.25" hidden="1" customHeight="1" x14ac:dyDescent="0.2">
      <c r="A323" s="495"/>
      <c r="B323" s="496"/>
      <c r="C323" s="497">
        <f>Таблица3[[#This Row],[Степень зрелости вспом]]</f>
        <v>52</v>
      </c>
      <c r="D323" s="498">
        <v>439</v>
      </c>
      <c r="E323" s="499"/>
      <c r="F323" s="496"/>
      <c r="G323" s="496">
        <v>12870</v>
      </c>
      <c r="H323" s="500"/>
      <c r="I323" s="496">
        <v>11261.2</v>
      </c>
      <c r="J323" s="495" t="s">
        <v>2939</v>
      </c>
      <c r="K323" s="495" t="s">
        <v>909</v>
      </c>
      <c r="L323" s="495" t="s">
        <v>3550</v>
      </c>
      <c r="M323" s="495" t="s">
        <v>329</v>
      </c>
      <c r="N323" s="495"/>
      <c r="O323" s="495"/>
      <c r="P323" s="495"/>
      <c r="Q323" s="495"/>
      <c r="R323" s="501" t="s">
        <v>333</v>
      </c>
      <c r="S323" s="495"/>
      <c r="T323" s="482" t="str">
        <f>VLOOKUP(Таблица3[[#This Row],[№ акта]],$AJ$1:$BJ$691,15,FALSE)</f>
        <v>А-115/1</v>
      </c>
      <c r="U323" s="482" t="str">
        <f>VLOOKUP(Таблица3[[#This Row],[№ акта]],$AJ$1:$BJ$691,16,FALSE)</f>
        <v>Тристар</v>
      </c>
      <c r="V323" s="502">
        <f>VLOOKUP(Таблица3[[#This Row],[№ акта]],$AJ$1:$BJ$691,17,FALSE)</f>
        <v>2</v>
      </c>
      <c r="W323" s="502" t="str">
        <f>VLOOKUP(Таблица3[[#This Row],[№ акта]],$AJ$1:$BJ$691,18,FALSE)</f>
        <v>ГРК (богара)</v>
      </c>
      <c r="X323" s="502" t="str">
        <f>VLOOKUP(Таблица3[[#This Row],[№ акта]],$AJ$1:$BJ$691,19,FALSE)</f>
        <v>богара</v>
      </c>
      <c r="Y323" s="503">
        <f>VLOOKUP(Таблица3[[#This Row],[№ акта]],$AJ$1:$BJ$691,20,FALSE)</f>
        <v>15</v>
      </c>
      <c r="Z323" s="504">
        <f>VLOOKUP(Таблица3[[#This Row],[№ акта]],$AJ$1:$BJ$691,21,FALSE)</f>
        <v>46191</v>
      </c>
      <c r="AA323" s="504"/>
      <c r="AB323" s="504" t="str">
        <f>IF(VLOOKUP(Таблица3[[#This Row],[№ акта]],$AJ$1:$BJ$691,23,FALSE)&lt;&gt;0,VLOOKUP(Таблица3[[#This Row],[№ акта]],$AJ$1:$BJ$691,23,FALSE),"-")</f>
        <v>-</v>
      </c>
      <c r="AC32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23" s="506" t="s">
        <v>2940</v>
      </c>
      <c r="AE323" s="505">
        <v>333</v>
      </c>
      <c r="AF323" s="507">
        <v>46192</v>
      </c>
      <c r="AG323" s="505">
        <v>300</v>
      </c>
      <c r="AH323" s="505">
        <f>IFERROR(VLOOKUP(Таблица3[[#This Row],[№ акта]],'Степень зрелости 2026'!$H$12:$I$800,2,FALSE),)</f>
        <v>52</v>
      </c>
      <c r="AJ323" s="508">
        <v>333</v>
      </c>
      <c r="AK323" s="509">
        <v>46192</v>
      </c>
      <c r="AL323" s="508">
        <v>439</v>
      </c>
      <c r="AO323" s="508">
        <v>12870</v>
      </c>
      <c r="AP323" s="508">
        <v>11261.2</v>
      </c>
      <c r="AQ323" s="508" t="s">
        <v>2939</v>
      </c>
      <c r="AR323" s="508" t="s">
        <v>909</v>
      </c>
      <c r="AS323" s="508" t="s">
        <v>3550</v>
      </c>
      <c r="AT323" s="508" t="s">
        <v>329</v>
      </c>
      <c r="AV323" s="508" t="s">
        <v>333</v>
      </c>
      <c r="AX323" s="508" t="s">
        <v>3097</v>
      </c>
      <c r="AY323" s="508" t="s">
        <v>909</v>
      </c>
      <c r="AZ323" s="508">
        <v>2</v>
      </c>
      <c r="BA323" s="508" t="s">
        <v>46</v>
      </c>
      <c r="BB323" s="508" t="s">
        <v>19</v>
      </c>
      <c r="BC323" s="508">
        <v>15</v>
      </c>
      <c r="BD323" s="509">
        <v>46191</v>
      </c>
      <c r="BG323" s="508" t="s">
        <v>3557</v>
      </c>
      <c r="BH323" s="508" t="s">
        <v>2940</v>
      </c>
      <c r="BI323" s="508">
        <v>300</v>
      </c>
      <c r="BJ323" s="508">
        <v>52</v>
      </c>
    </row>
    <row r="324" spans="1:62" s="508" customFormat="1" ht="14.25" hidden="1" customHeight="1" x14ac:dyDescent="0.2">
      <c r="A324" s="495"/>
      <c r="B324" s="496"/>
      <c r="C324" s="497">
        <f>Таблица3[[#This Row],[Степень зрелости вспом]]</f>
        <v>51</v>
      </c>
      <c r="D324" s="498">
        <v>440</v>
      </c>
      <c r="E324" s="499"/>
      <c r="F324" s="496"/>
      <c r="G324" s="496">
        <v>12860</v>
      </c>
      <c r="H324" s="500"/>
      <c r="I324" s="496">
        <v>10609.5</v>
      </c>
      <c r="J324" s="495" t="s">
        <v>2939</v>
      </c>
      <c r="K324" s="495" t="s">
        <v>909</v>
      </c>
      <c r="L324" s="495" t="s">
        <v>3550</v>
      </c>
      <c r="M324" s="495" t="s">
        <v>127</v>
      </c>
      <c r="N324" s="495"/>
      <c r="O324" s="495"/>
      <c r="P324" s="495"/>
      <c r="Q324" s="495"/>
      <c r="R324" s="501" t="s">
        <v>131</v>
      </c>
      <c r="S324" s="495"/>
      <c r="T324" s="482" t="str">
        <f>VLOOKUP(Таблица3[[#This Row],[№ акта]],$AJ$1:$BJ$691,15,FALSE)</f>
        <v>А-115/1</v>
      </c>
      <c r="U324" s="482" t="str">
        <f>VLOOKUP(Таблица3[[#This Row],[№ акта]],$AJ$1:$BJ$691,16,FALSE)</f>
        <v>Тристар</v>
      </c>
      <c r="V324" s="502">
        <f>VLOOKUP(Таблица3[[#This Row],[№ акта]],$AJ$1:$BJ$691,17,FALSE)</f>
        <v>2</v>
      </c>
      <c r="W324" s="502" t="str">
        <f>VLOOKUP(Таблица3[[#This Row],[№ акта]],$AJ$1:$BJ$691,18,FALSE)</f>
        <v>ГРК (богара)</v>
      </c>
      <c r="X324" s="502" t="str">
        <f>VLOOKUP(Таблица3[[#This Row],[№ акта]],$AJ$1:$BJ$691,19,FALSE)</f>
        <v>богара</v>
      </c>
      <c r="Y324" s="503">
        <f>VLOOKUP(Таблица3[[#This Row],[№ акта]],$AJ$1:$BJ$691,20,FALSE)</f>
        <v>15</v>
      </c>
      <c r="Z324" s="504">
        <f>VLOOKUP(Таблица3[[#This Row],[№ акта]],$AJ$1:$BJ$691,21,FALSE)</f>
        <v>46191</v>
      </c>
      <c r="AA324" s="504"/>
      <c r="AB324" s="504" t="str">
        <f>IF(VLOOKUP(Таблица3[[#This Row],[№ акта]],$AJ$1:$BJ$691,23,FALSE)&lt;&gt;0,VLOOKUP(Таблица3[[#This Row],[№ акта]],$AJ$1:$BJ$691,23,FALSE),"-")</f>
        <v>-</v>
      </c>
      <c r="AC32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24" s="506" t="s">
        <v>2940</v>
      </c>
      <c r="AE324" s="505">
        <v>334</v>
      </c>
      <c r="AF324" s="507">
        <v>46192</v>
      </c>
      <c r="AG324" s="505">
        <v>301</v>
      </c>
      <c r="AH324" s="505">
        <f>IFERROR(VLOOKUP(Таблица3[[#This Row],[№ акта]],'Степень зрелости 2026'!$H$12:$I$800,2,FALSE),)</f>
        <v>51</v>
      </c>
      <c r="AJ324" s="508">
        <v>334</v>
      </c>
      <c r="AK324" s="509">
        <v>46192</v>
      </c>
      <c r="AL324" s="508">
        <v>440</v>
      </c>
      <c r="AO324" s="508">
        <v>12860</v>
      </c>
      <c r="AP324" s="508">
        <v>10609.5</v>
      </c>
      <c r="AQ324" s="508" t="s">
        <v>2939</v>
      </c>
      <c r="AR324" s="508" t="s">
        <v>909</v>
      </c>
      <c r="AS324" s="508" t="s">
        <v>3550</v>
      </c>
      <c r="AT324" s="508" t="s">
        <v>127</v>
      </c>
      <c r="AV324" s="508" t="s">
        <v>131</v>
      </c>
      <c r="AX324" s="508" t="s">
        <v>3097</v>
      </c>
      <c r="AY324" s="508" t="s">
        <v>909</v>
      </c>
      <c r="AZ324" s="508">
        <v>2</v>
      </c>
      <c r="BA324" s="508" t="s">
        <v>46</v>
      </c>
      <c r="BB324" s="508" t="s">
        <v>19</v>
      </c>
      <c r="BC324" s="508">
        <v>15</v>
      </c>
      <c r="BD324" s="509">
        <v>46191</v>
      </c>
      <c r="BG324" s="508" t="s">
        <v>3557</v>
      </c>
      <c r="BH324" s="508" t="s">
        <v>2940</v>
      </c>
      <c r="BI324" s="508">
        <v>301</v>
      </c>
      <c r="BJ324" s="508">
        <v>51</v>
      </c>
    </row>
    <row r="325" spans="1:62" s="508" customFormat="1" ht="14.25" hidden="1" customHeight="1" x14ac:dyDescent="0.2">
      <c r="A325" s="495"/>
      <c r="B325" s="496"/>
      <c r="C325" s="497">
        <f>Таблица3[[#This Row],[Степень зрелости вспом]]</f>
        <v>52</v>
      </c>
      <c r="D325" s="498">
        <v>441</v>
      </c>
      <c r="E325" s="499"/>
      <c r="F325" s="496"/>
      <c r="G325" s="496">
        <v>12490</v>
      </c>
      <c r="H325" s="500"/>
      <c r="I325" s="496">
        <v>10679</v>
      </c>
      <c r="J325" s="495" t="s">
        <v>2939</v>
      </c>
      <c r="K325" s="495" t="s">
        <v>909</v>
      </c>
      <c r="L325" s="495" t="s">
        <v>3097</v>
      </c>
      <c r="M325" s="495" t="s">
        <v>3377</v>
      </c>
      <c r="N325" s="495"/>
      <c r="O325" s="495"/>
      <c r="P325" s="495"/>
      <c r="Q325" s="495"/>
      <c r="R325" s="501" t="s">
        <v>3196</v>
      </c>
      <c r="S325" s="495"/>
      <c r="T325" s="482" t="str">
        <f>VLOOKUP(Таблица3[[#This Row],[№ акта]],$AJ$1:$BJ$691,15,FALSE)</f>
        <v>А-115/1</v>
      </c>
      <c r="U325" s="482" t="str">
        <f>VLOOKUP(Таблица3[[#This Row],[№ акта]],$AJ$1:$BJ$691,16,FALSE)</f>
        <v>Тристар</v>
      </c>
      <c r="V325" s="502">
        <f>VLOOKUP(Таблица3[[#This Row],[№ акта]],$AJ$1:$BJ$691,17,FALSE)</f>
        <v>2</v>
      </c>
      <c r="W325" s="502" t="str">
        <f>VLOOKUP(Таблица3[[#This Row],[№ акта]],$AJ$1:$BJ$691,18,FALSE)</f>
        <v>ГРК (богара)</v>
      </c>
      <c r="X325" s="502" t="str">
        <f>VLOOKUP(Таблица3[[#This Row],[№ акта]],$AJ$1:$BJ$691,19,FALSE)</f>
        <v>богара</v>
      </c>
      <c r="Y325" s="503">
        <f>VLOOKUP(Таблица3[[#This Row],[№ акта]],$AJ$1:$BJ$691,20,FALSE)</f>
        <v>15</v>
      </c>
      <c r="Z325" s="504">
        <f>VLOOKUP(Таблица3[[#This Row],[№ акта]],$AJ$1:$BJ$691,21,FALSE)</f>
        <v>46191</v>
      </c>
      <c r="AA325" s="504"/>
      <c r="AB325" s="504" t="str">
        <f>IF(VLOOKUP(Таблица3[[#This Row],[№ акта]],$AJ$1:$BJ$691,23,FALSE)&lt;&gt;0,VLOOKUP(Таблица3[[#This Row],[№ акта]],$AJ$1:$BJ$691,23,FALSE),"-")</f>
        <v>-</v>
      </c>
      <c r="AC32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25" s="506" t="s">
        <v>2940</v>
      </c>
      <c r="AE325" s="505">
        <v>336</v>
      </c>
      <c r="AF325" s="507">
        <v>46192</v>
      </c>
      <c r="AG325" s="505">
        <v>302</v>
      </c>
      <c r="AH325" s="505">
        <f>IFERROR(VLOOKUP(Таблица3[[#This Row],[№ акта]],'Степень зрелости 2026'!$H$12:$I$800,2,FALSE),)</f>
        <v>52</v>
      </c>
      <c r="AJ325" s="508">
        <v>336</v>
      </c>
      <c r="AK325" s="509">
        <v>46192</v>
      </c>
      <c r="AL325" s="508">
        <v>441</v>
      </c>
      <c r="AO325" s="508">
        <v>12490</v>
      </c>
      <c r="AP325" s="508">
        <v>10679</v>
      </c>
      <c r="AQ325" s="508" t="s">
        <v>2939</v>
      </c>
      <c r="AR325" s="508" t="s">
        <v>909</v>
      </c>
      <c r="AS325" s="508" t="s">
        <v>3097</v>
      </c>
      <c r="AT325" s="508" t="s">
        <v>3377</v>
      </c>
      <c r="AV325" s="508" t="s">
        <v>3196</v>
      </c>
      <c r="AX325" s="508" t="s">
        <v>3097</v>
      </c>
      <c r="AY325" s="508" t="s">
        <v>909</v>
      </c>
      <c r="AZ325" s="508">
        <v>2</v>
      </c>
      <c r="BA325" s="508" t="s">
        <v>46</v>
      </c>
      <c r="BB325" s="508" t="s">
        <v>19</v>
      </c>
      <c r="BC325" s="508">
        <v>15</v>
      </c>
      <c r="BD325" s="509">
        <v>46191</v>
      </c>
      <c r="BG325" s="508" t="s">
        <v>3557</v>
      </c>
      <c r="BH325" s="508" t="s">
        <v>2940</v>
      </c>
      <c r="BI325" s="508">
        <v>302</v>
      </c>
      <c r="BJ325" s="508">
        <v>52</v>
      </c>
    </row>
    <row r="326" spans="1:62" s="508" customFormat="1" ht="14.25" hidden="1" customHeight="1" x14ac:dyDescent="0.2">
      <c r="A326" s="495"/>
      <c r="B326" s="496"/>
      <c r="C326" s="497">
        <f>Таблица3[[#This Row],[Степень зрелости вспом]]</f>
        <v>52</v>
      </c>
      <c r="D326" s="498">
        <v>442</v>
      </c>
      <c r="E326" s="499"/>
      <c r="F326" s="496"/>
      <c r="G326" s="496">
        <v>4120</v>
      </c>
      <c r="H326" s="500"/>
      <c r="I326" s="496">
        <v>3728.6</v>
      </c>
      <c r="J326" s="495" t="s">
        <v>2939</v>
      </c>
      <c r="K326" s="495" t="s">
        <v>909</v>
      </c>
      <c r="L326" s="495" t="s">
        <v>3097</v>
      </c>
      <c r="M326" s="495" t="s">
        <v>737</v>
      </c>
      <c r="N326" s="495"/>
      <c r="O326" s="495"/>
      <c r="P326" s="495"/>
      <c r="Q326" s="495"/>
      <c r="R326" s="501" t="s">
        <v>738</v>
      </c>
      <c r="S326" s="495"/>
      <c r="T326" s="482" t="str">
        <f>VLOOKUP(Таблица3[[#This Row],[№ акта]],$AJ$1:$BJ$691,15,FALSE)</f>
        <v>А-115/1</v>
      </c>
      <c r="U326" s="482" t="str">
        <f>VLOOKUP(Таблица3[[#This Row],[№ акта]],$AJ$1:$BJ$691,16,FALSE)</f>
        <v>Тристар</v>
      </c>
      <c r="V326" s="502">
        <f>VLOOKUP(Таблица3[[#This Row],[№ акта]],$AJ$1:$BJ$691,17,FALSE)</f>
        <v>0.6</v>
      </c>
      <c r="W326" s="502" t="str">
        <f>VLOOKUP(Таблица3[[#This Row],[№ акта]],$AJ$1:$BJ$691,18,FALSE)</f>
        <v>ГРК (богара)</v>
      </c>
      <c r="X326" s="502" t="str">
        <f>VLOOKUP(Таблица3[[#This Row],[№ акта]],$AJ$1:$BJ$691,19,FALSE)</f>
        <v>богара</v>
      </c>
      <c r="Y326" s="503">
        <f>VLOOKUP(Таблица3[[#This Row],[№ акта]],$AJ$1:$BJ$691,20,FALSE)</f>
        <v>15</v>
      </c>
      <c r="Z326" s="504">
        <f>VLOOKUP(Таблица3[[#This Row],[№ акта]],$AJ$1:$BJ$691,21,FALSE)</f>
        <v>46191</v>
      </c>
      <c r="AA326" s="504"/>
      <c r="AB326" s="504" t="str">
        <f>IF(VLOOKUP(Таблица3[[#This Row],[№ акта]],$AJ$1:$BJ$691,23,FALSE)&lt;&gt;0,VLOOKUP(Таблица3[[#This Row],[№ акта]],$AJ$1:$BJ$691,23,FALSE),"-")</f>
        <v>-</v>
      </c>
      <c r="AC32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26" s="506" t="s">
        <v>2940</v>
      </c>
      <c r="AE326" s="505">
        <v>335</v>
      </c>
      <c r="AF326" s="507">
        <v>46192</v>
      </c>
      <c r="AG326" s="505">
        <v>303</v>
      </c>
      <c r="AH326" s="505">
        <f>IFERROR(VLOOKUP(Таблица3[[#This Row],[№ акта]],'Степень зрелости 2026'!$H$12:$I$800,2,FALSE),)</f>
        <v>52</v>
      </c>
      <c r="AJ326" s="508">
        <v>335</v>
      </c>
      <c r="AK326" s="509">
        <v>46192</v>
      </c>
      <c r="AL326" s="508">
        <v>442</v>
      </c>
      <c r="AO326" s="508">
        <v>4120</v>
      </c>
      <c r="AP326" s="508">
        <v>3728.6</v>
      </c>
      <c r="AQ326" s="508" t="s">
        <v>2939</v>
      </c>
      <c r="AR326" s="508" t="s">
        <v>909</v>
      </c>
      <c r="AS326" s="508" t="s">
        <v>3097</v>
      </c>
      <c r="AT326" s="508" t="s">
        <v>737</v>
      </c>
      <c r="AV326" s="508" t="s">
        <v>738</v>
      </c>
      <c r="AX326" s="508" t="s">
        <v>3097</v>
      </c>
      <c r="AY326" s="508" t="s">
        <v>909</v>
      </c>
      <c r="AZ326" s="508">
        <v>0.6</v>
      </c>
      <c r="BA326" s="508" t="s">
        <v>46</v>
      </c>
      <c r="BB326" s="508" t="s">
        <v>19</v>
      </c>
      <c r="BC326" s="508">
        <v>15</v>
      </c>
      <c r="BD326" s="509">
        <v>46191</v>
      </c>
      <c r="BG326" s="508" t="s">
        <v>3557</v>
      </c>
      <c r="BH326" s="508" t="s">
        <v>2940</v>
      </c>
      <c r="BI326" s="508">
        <v>303</v>
      </c>
      <c r="BJ326" s="508">
        <v>52</v>
      </c>
    </row>
    <row r="327" spans="1:62" s="508" customFormat="1" ht="14.25" hidden="1" customHeight="1" x14ac:dyDescent="0.2">
      <c r="A327" s="495"/>
      <c r="B327" s="496"/>
      <c r="C327" s="497">
        <f>Таблица3[[#This Row],[Степень зрелости вспом]]</f>
        <v>51</v>
      </c>
      <c r="D327" s="498">
        <v>443</v>
      </c>
      <c r="E327" s="499"/>
      <c r="F327" s="496"/>
      <c r="G327" s="496">
        <v>12840</v>
      </c>
      <c r="H327" s="500"/>
      <c r="I327" s="496">
        <v>10978.2</v>
      </c>
      <c r="J327" s="495" t="s">
        <v>2939</v>
      </c>
      <c r="K327" s="495" t="s">
        <v>909</v>
      </c>
      <c r="L327" s="495" t="s">
        <v>3097</v>
      </c>
      <c r="M327" s="495" t="s">
        <v>195</v>
      </c>
      <c r="N327" s="495"/>
      <c r="O327" s="495"/>
      <c r="P327" s="495"/>
      <c r="Q327" s="495"/>
      <c r="R327" s="501" t="s">
        <v>199</v>
      </c>
      <c r="S327" s="495"/>
      <c r="T327" s="482" t="str">
        <f>VLOOKUP(Таблица3[[#This Row],[№ акта]],$AJ$1:$BJ$691,15,FALSE)</f>
        <v>А-115/1</v>
      </c>
      <c r="U327" s="482" t="str">
        <f>VLOOKUP(Таблица3[[#This Row],[№ акта]],$AJ$1:$BJ$691,16,FALSE)</f>
        <v>Тристар</v>
      </c>
      <c r="V327" s="502">
        <f>VLOOKUP(Таблица3[[#This Row],[№ акта]],$AJ$1:$BJ$691,17,FALSE)</f>
        <v>2</v>
      </c>
      <c r="W327" s="502" t="str">
        <f>VLOOKUP(Таблица3[[#This Row],[№ акта]],$AJ$1:$BJ$691,18,FALSE)</f>
        <v>ГРК (богара)</v>
      </c>
      <c r="X327" s="502" t="str">
        <f>VLOOKUP(Таблица3[[#This Row],[№ акта]],$AJ$1:$BJ$691,19,FALSE)</f>
        <v>богара</v>
      </c>
      <c r="Y327" s="503">
        <f>VLOOKUP(Таблица3[[#This Row],[№ акта]],$AJ$1:$BJ$691,20,FALSE)</f>
        <v>15</v>
      </c>
      <c r="Z327" s="504">
        <f>VLOOKUP(Таблица3[[#This Row],[№ акта]],$AJ$1:$BJ$691,21,FALSE)</f>
        <v>46191</v>
      </c>
      <c r="AA327" s="504"/>
      <c r="AB327" s="504" t="str">
        <f>IF(VLOOKUP(Таблица3[[#This Row],[№ акта]],$AJ$1:$BJ$691,23,FALSE)&lt;&gt;0,VLOOKUP(Таблица3[[#This Row],[№ акта]],$AJ$1:$BJ$691,23,FALSE),"-")</f>
        <v>-</v>
      </c>
      <c r="AC32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27" s="506" t="s">
        <v>2940</v>
      </c>
      <c r="AE327" s="505">
        <v>337</v>
      </c>
      <c r="AF327" s="507">
        <v>46192</v>
      </c>
      <c r="AG327" s="505">
        <v>304</v>
      </c>
      <c r="AH327" s="505">
        <f>IFERROR(VLOOKUP(Таблица3[[#This Row],[№ акта]],'Степень зрелости 2026'!$H$12:$I$800,2,FALSE),)</f>
        <v>51</v>
      </c>
      <c r="AJ327" s="508">
        <v>337</v>
      </c>
      <c r="AK327" s="509">
        <v>46192</v>
      </c>
      <c r="AL327" s="508">
        <v>443</v>
      </c>
      <c r="AO327" s="508">
        <v>12840</v>
      </c>
      <c r="AP327" s="508">
        <v>10978.2</v>
      </c>
      <c r="AQ327" s="508" t="s">
        <v>2939</v>
      </c>
      <c r="AR327" s="508" t="s">
        <v>909</v>
      </c>
      <c r="AS327" s="508" t="s">
        <v>3097</v>
      </c>
      <c r="AT327" s="508" t="s">
        <v>195</v>
      </c>
      <c r="AV327" s="508" t="s">
        <v>199</v>
      </c>
      <c r="AX327" s="508" t="s">
        <v>3097</v>
      </c>
      <c r="AY327" s="508" t="s">
        <v>909</v>
      </c>
      <c r="AZ327" s="508">
        <v>2</v>
      </c>
      <c r="BA327" s="508" t="s">
        <v>46</v>
      </c>
      <c r="BB327" s="508" t="s">
        <v>19</v>
      </c>
      <c r="BC327" s="508">
        <v>15</v>
      </c>
      <c r="BD327" s="509">
        <v>46191</v>
      </c>
      <c r="BG327" s="508" t="s">
        <v>3557</v>
      </c>
      <c r="BH327" s="508" t="s">
        <v>2940</v>
      </c>
      <c r="BI327" s="508">
        <v>304</v>
      </c>
      <c r="BJ327" s="508">
        <v>51</v>
      </c>
    </row>
    <row r="328" spans="1:62" s="508" customFormat="1" ht="14.25" hidden="1" customHeight="1" x14ac:dyDescent="0.2">
      <c r="A328" s="495"/>
      <c r="B328" s="496"/>
      <c r="C328" s="497">
        <f>Таблица3[[#This Row],[Степень зрелости вспом]]</f>
        <v>55</v>
      </c>
      <c r="D328" s="498">
        <v>444</v>
      </c>
      <c r="E328" s="499"/>
      <c r="F328" s="496"/>
      <c r="G328" s="496">
        <v>13640</v>
      </c>
      <c r="H328" s="500"/>
      <c r="I328" s="496">
        <v>11935</v>
      </c>
      <c r="J328" s="495" t="s">
        <v>2939</v>
      </c>
      <c r="K328" s="495" t="s">
        <v>909</v>
      </c>
      <c r="L328" s="495" t="s">
        <v>3097</v>
      </c>
      <c r="M328" s="495" t="s">
        <v>329</v>
      </c>
      <c r="N328" s="495"/>
      <c r="O328" s="495"/>
      <c r="P328" s="495"/>
      <c r="Q328" s="495"/>
      <c r="R328" s="501" t="s">
        <v>333</v>
      </c>
      <c r="S328" s="495"/>
      <c r="T328" s="482" t="str">
        <f>VLOOKUP(Таблица3[[#This Row],[№ акта]],$AJ$1:$BJ$691,15,FALSE)</f>
        <v>А-115/1</v>
      </c>
      <c r="U328" s="482" t="str">
        <f>VLOOKUP(Таблица3[[#This Row],[№ акта]],$AJ$1:$BJ$691,16,FALSE)</f>
        <v>Тристар</v>
      </c>
      <c r="V328" s="502">
        <f>VLOOKUP(Таблица3[[#This Row],[№ акта]],$AJ$1:$BJ$691,17,FALSE)</f>
        <v>2.1</v>
      </c>
      <c r="W328" s="502" t="str">
        <f>VLOOKUP(Таблица3[[#This Row],[№ акта]],$AJ$1:$BJ$691,18,FALSE)</f>
        <v>ГРК (богара)</v>
      </c>
      <c r="X328" s="502" t="str">
        <f>VLOOKUP(Таблица3[[#This Row],[№ акта]],$AJ$1:$BJ$691,19,FALSE)</f>
        <v>богара</v>
      </c>
      <c r="Y328" s="503">
        <f>VLOOKUP(Таблица3[[#This Row],[№ акта]],$AJ$1:$BJ$691,20,FALSE)</f>
        <v>15</v>
      </c>
      <c r="Z328" s="504">
        <f>VLOOKUP(Таблица3[[#This Row],[№ акта]],$AJ$1:$BJ$691,21,FALSE)</f>
        <v>46191</v>
      </c>
      <c r="AA328" s="504"/>
      <c r="AB328" s="504" t="str">
        <f>IF(VLOOKUP(Таблица3[[#This Row],[№ акта]],$AJ$1:$BJ$691,23,FALSE)&lt;&gt;0,VLOOKUP(Таблица3[[#This Row],[№ акта]],$AJ$1:$BJ$691,23,FALSE),"-")</f>
        <v>-</v>
      </c>
      <c r="AC32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28" s="506" t="s">
        <v>2940</v>
      </c>
      <c r="AE328" s="505">
        <v>338</v>
      </c>
      <c r="AF328" s="507">
        <v>46192</v>
      </c>
      <c r="AG328" s="505">
        <v>305</v>
      </c>
      <c r="AH328" s="505">
        <f>IFERROR(VLOOKUP(Таблица3[[#This Row],[№ акта]],'Степень зрелости 2026'!$H$12:$I$800,2,FALSE),)</f>
        <v>55</v>
      </c>
      <c r="AJ328" s="508">
        <v>338</v>
      </c>
      <c r="AK328" s="509">
        <v>46192</v>
      </c>
      <c r="AL328" s="508">
        <v>444</v>
      </c>
      <c r="AO328" s="508">
        <v>13640</v>
      </c>
      <c r="AP328" s="508">
        <v>11935</v>
      </c>
      <c r="AQ328" s="508" t="s">
        <v>2939</v>
      </c>
      <c r="AR328" s="508" t="s">
        <v>909</v>
      </c>
      <c r="AS328" s="508" t="s">
        <v>3097</v>
      </c>
      <c r="AT328" s="508" t="s">
        <v>329</v>
      </c>
      <c r="AV328" s="508" t="s">
        <v>333</v>
      </c>
      <c r="AX328" s="508" t="s">
        <v>3097</v>
      </c>
      <c r="AY328" s="508" t="s">
        <v>909</v>
      </c>
      <c r="AZ328" s="508">
        <v>2.1</v>
      </c>
      <c r="BA328" s="508" t="s">
        <v>46</v>
      </c>
      <c r="BB328" s="508" t="s">
        <v>19</v>
      </c>
      <c r="BC328" s="508">
        <v>15</v>
      </c>
      <c r="BD328" s="509">
        <v>46191</v>
      </c>
      <c r="BG328" s="508" t="s">
        <v>724</v>
      </c>
      <c r="BH328" s="508" t="s">
        <v>2940</v>
      </c>
      <c r="BI328" s="508">
        <v>305</v>
      </c>
      <c r="BJ328" s="508">
        <v>55</v>
      </c>
    </row>
    <row r="329" spans="1:62" s="508" customFormat="1" ht="14.25" hidden="1" customHeight="1" x14ac:dyDescent="0.2">
      <c r="A329" s="495"/>
      <c r="B329" s="496"/>
      <c r="C329" s="497">
        <f>Таблица3[[#This Row],[Степень зрелости вспом]]</f>
        <v>51</v>
      </c>
      <c r="D329" s="498">
        <v>447</v>
      </c>
      <c r="E329" s="499"/>
      <c r="F329" s="496"/>
      <c r="G329" s="496">
        <v>15380</v>
      </c>
      <c r="H329" s="500"/>
      <c r="I329" s="496">
        <v>13918.9</v>
      </c>
      <c r="J329" s="495" t="s">
        <v>2939</v>
      </c>
      <c r="K329" s="495" t="s">
        <v>909</v>
      </c>
      <c r="L329" s="495" t="s">
        <v>3550</v>
      </c>
      <c r="M329" s="495" t="s">
        <v>3377</v>
      </c>
      <c r="N329" s="495"/>
      <c r="O329" s="495"/>
      <c r="P329" s="495"/>
      <c r="Q329" s="495"/>
      <c r="R329" s="501" t="s">
        <v>3196</v>
      </c>
      <c r="S329" s="495"/>
      <c r="T329" s="482" t="str">
        <f>VLOOKUP(Таблица3[[#This Row],[№ акта]],$AJ$1:$BJ$691,15,FALSE)</f>
        <v>А-115/1</v>
      </c>
      <c r="U329" s="482" t="str">
        <f>VLOOKUP(Таблица3[[#This Row],[№ акта]],$AJ$1:$BJ$691,16,FALSE)</f>
        <v>Тристар</v>
      </c>
      <c r="V329" s="502">
        <f>VLOOKUP(Таблица3[[#This Row],[№ акта]],$AJ$1:$BJ$691,17,FALSE)</f>
        <v>2.9</v>
      </c>
      <c r="W329" s="502" t="str">
        <f>VLOOKUP(Таблица3[[#This Row],[№ акта]],$AJ$1:$BJ$691,18,FALSE)</f>
        <v>ГРК (богара)</v>
      </c>
      <c r="X329" s="502" t="str">
        <f>VLOOKUP(Таблица3[[#This Row],[№ акта]],$AJ$1:$BJ$691,19,FALSE)</f>
        <v>богара</v>
      </c>
      <c r="Y329" s="503">
        <f>VLOOKUP(Таблица3[[#This Row],[№ акта]],$AJ$1:$BJ$691,20,FALSE)</f>
        <v>16</v>
      </c>
      <c r="Z329" s="504">
        <f>VLOOKUP(Таблица3[[#This Row],[№ акта]],$AJ$1:$BJ$691,21,FALSE)</f>
        <v>46192</v>
      </c>
      <c r="AA329" s="504"/>
      <c r="AB329" s="504" t="str">
        <f>IF(VLOOKUP(Таблица3[[#This Row],[№ акта]],$AJ$1:$BJ$691,23,FALSE)&lt;&gt;0,VLOOKUP(Таблица3[[#This Row],[№ акта]],$AJ$1:$BJ$691,23,FALSE),"-")</f>
        <v>-</v>
      </c>
      <c r="AC32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29" s="506" t="s">
        <v>2940</v>
      </c>
      <c r="AE329" s="505">
        <v>339</v>
      </c>
      <c r="AF329" s="507">
        <v>46192</v>
      </c>
      <c r="AG329" s="505">
        <v>306</v>
      </c>
      <c r="AH329" s="505">
        <f>IFERROR(VLOOKUP(Таблица3[[#This Row],[№ акта]],'Степень зрелости 2026'!$H$12:$I$800,2,FALSE),)</f>
        <v>51</v>
      </c>
      <c r="AJ329" s="508">
        <v>339</v>
      </c>
      <c r="AK329" s="509">
        <v>46192</v>
      </c>
      <c r="AL329" s="508">
        <v>447</v>
      </c>
      <c r="AO329" s="508">
        <v>15380</v>
      </c>
      <c r="AP329" s="508">
        <v>13918.9</v>
      </c>
      <c r="AQ329" s="508" t="s">
        <v>2939</v>
      </c>
      <c r="AR329" s="508" t="s">
        <v>909</v>
      </c>
      <c r="AS329" s="508" t="s">
        <v>3550</v>
      </c>
      <c r="AT329" s="508" t="s">
        <v>3377</v>
      </c>
      <c r="AV329" s="508" t="s">
        <v>3196</v>
      </c>
      <c r="AX329" s="508" t="s">
        <v>3097</v>
      </c>
      <c r="AY329" s="508" t="s">
        <v>909</v>
      </c>
      <c r="AZ329" s="508">
        <v>2.9</v>
      </c>
      <c r="BA329" s="508" t="s">
        <v>46</v>
      </c>
      <c r="BB329" s="508" t="s">
        <v>19</v>
      </c>
      <c r="BC329" s="508">
        <v>16</v>
      </c>
      <c r="BD329" s="509">
        <v>46192</v>
      </c>
      <c r="BG329" s="508" t="s">
        <v>3557</v>
      </c>
      <c r="BH329" s="508" t="s">
        <v>2940</v>
      </c>
      <c r="BI329" s="508">
        <v>306</v>
      </c>
      <c r="BJ329" s="508">
        <v>51</v>
      </c>
    </row>
    <row r="330" spans="1:62" s="508" customFormat="1" ht="14.25" hidden="1" customHeight="1" x14ac:dyDescent="0.2">
      <c r="A330" s="495"/>
      <c r="B330" s="496"/>
      <c r="C330" s="497">
        <f>Таблица3[[#This Row],[Степень зрелости вспом]]</f>
        <v>52</v>
      </c>
      <c r="D330" s="498">
        <v>458</v>
      </c>
      <c r="E330" s="499"/>
      <c r="F330" s="496"/>
      <c r="G330" s="496">
        <v>4550</v>
      </c>
      <c r="H330" s="500"/>
      <c r="I330" s="496">
        <v>4072.3</v>
      </c>
      <c r="J330" s="495" t="s">
        <v>2939</v>
      </c>
      <c r="K330" s="495" t="s">
        <v>900</v>
      </c>
      <c r="L330" s="495" t="s">
        <v>3092</v>
      </c>
      <c r="M330" s="495" t="s">
        <v>762</v>
      </c>
      <c r="N330" s="495"/>
      <c r="O330" s="495"/>
      <c r="P330" s="495"/>
      <c r="Q330" s="495"/>
      <c r="R330" s="501" t="s">
        <v>763</v>
      </c>
      <c r="S330" s="495"/>
      <c r="T330" s="482" t="str">
        <f>VLOOKUP(Таблица3[[#This Row],[№ акта]],$AJ$1:$BJ$691,15,FALSE)</f>
        <v>А-104/1</v>
      </c>
      <c r="U330" s="482" t="str">
        <f>VLOOKUP(Таблица3[[#This Row],[№ акта]],$AJ$1:$BJ$691,16,FALSE)</f>
        <v>Патриот</v>
      </c>
      <c r="V330" s="502">
        <f>11*Таблица3[[#This Row],[Регистратор.Вес нетто]]/31940</f>
        <v>1.5670006261740763</v>
      </c>
      <c r="W330" s="502" t="str">
        <f>VLOOKUP(Таблица3[[#This Row],[№ акта]],$AJ$1:$BJ$691,18,FALSE)</f>
        <v>ГРК (богара)</v>
      </c>
      <c r="X330" s="502" t="str">
        <f>VLOOKUP(Таблица3[[#This Row],[№ акта]],$AJ$1:$BJ$691,19,FALSE)</f>
        <v>богара</v>
      </c>
      <c r="Y330" s="503">
        <f>VLOOKUP(Таблица3[[#This Row],[№ акта]],$AJ$1:$BJ$691,20,FALSE)</f>
        <v>16</v>
      </c>
      <c r="Z330" s="504">
        <f>VLOOKUP(Таблица3[[#This Row],[№ акта]],$AJ$1:$BJ$691,21,FALSE)</f>
        <v>46192</v>
      </c>
      <c r="AA330" s="504"/>
      <c r="AB330" s="504" t="str">
        <f>IF(VLOOKUP(Таблица3[[#This Row],[№ акта]],$AJ$1:$BJ$691,23,FALSE)&lt;&gt;0,VLOOKUP(Таблица3[[#This Row],[№ акта]],$AJ$1:$BJ$691,23,FALSE),"-")</f>
        <v>-</v>
      </c>
      <c r="AC33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30" s="506" t="s">
        <v>2940</v>
      </c>
      <c r="AE330" s="505">
        <v>343</v>
      </c>
      <c r="AF330" s="507">
        <v>46192</v>
      </c>
      <c r="AG330" s="505">
        <v>307</v>
      </c>
      <c r="AH330" s="505">
        <f>IFERROR(VLOOKUP(Таблица3[[#This Row],[№ акта]],'Степень зрелости 2026'!$H$12:$I$800,2,FALSE),)</f>
        <v>52</v>
      </c>
      <c r="AJ330" s="508">
        <v>343</v>
      </c>
      <c r="AK330" s="509">
        <v>46192</v>
      </c>
      <c r="AL330" s="508">
        <v>458</v>
      </c>
      <c r="AO330" s="508">
        <v>4550</v>
      </c>
      <c r="AP330" s="508">
        <v>4072.3</v>
      </c>
      <c r="AQ330" s="508" t="s">
        <v>2939</v>
      </c>
      <c r="AR330" s="508" t="s">
        <v>900</v>
      </c>
      <c r="AS330" s="508" t="s">
        <v>3092</v>
      </c>
      <c r="AT330" s="508" t="s">
        <v>762</v>
      </c>
      <c r="AV330" s="508" t="s">
        <v>763</v>
      </c>
      <c r="AX330" s="508" t="s">
        <v>3092</v>
      </c>
      <c r="AY330" s="508" t="s">
        <v>900</v>
      </c>
      <c r="AZ330" s="508">
        <v>1.1000000000000001</v>
      </c>
      <c r="BA330" s="508" t="s">
        <v>46</v>
      </c>
      <c r="BB330" s="508" t="s">
        <v>19</v>
      </c>
      <c r="BC330" s="508">
        <v>16</v>
      </c>
      <c r="BD330" s="509">
        <v>46192</v>
      </c>
      <c r="BG330" s="508" t="s">
        <v>3557</v>
      </c>
      <c r="BH330" s="508" t="s">
        <v>2940</v>
      </c>
      <c r="BI330" s="508">
        <v>307</v>
      </c>
      <c r="BJ330" s="508">
        <v>52</v>
      </c>
    </row>
    <row r="331" spans="1:62" s="508" customFormat="1" ht="14.25" hidden="1" customHeight="1" x14ac:dyDescent="0.2">
      <c r="A331" s="495"/>
      <c r="B331" s="496"/>
      <c r="C331" s="497">
        <f>Таблица3[[#This Row],[Степень зрелости вспом]]</f>
        <v>50</v>
      </c>
      <c r="D331" s="498">
        <v>459</v>
      </c>
      <c r="E331" s="499"/>
      <c r="F331" s="496"/>
      <c r="G331" s="496">
        <v>6150</v>
      </c>
      <c r="H331" s="500"/>
      <c r="I331" s="496">
        <v>5442.8</v>
      </c>
      <c r="J331" s="495" t="s">
        <v>2939</v>
      </c>
      <c r="K331" s="495" t="s">
        <v>900</v>
      </c>
      <c r="L331" s="495" t="s">
        <v>3092</v>
      </c>
      <c r="M331" s="495" t="s">
        <v>311</v>
      </c>
      <c r="N331" s="495"/>
      <c r="O331" s="495"/>
      <c r="P331" s="495"/>
      <c r="Q331" s="495"/>
      <c r="R331" s="501" t="s">
        <v>315</v>
      </c>
      <c r="S331" s="495"/>
      <c r="T331" s="482" t="str">
        <f>VLOOKUP(Таблица3[[#This Row],[№ акта]],$AJ$1:$BJ$691,15,FALSE)</f>
        <v>А-104/1</v>
      </c>
      <c r="U331" s="482" t="str">
        <f>VLOOKUP(Таблица3[[#This Row],[№ акта]],$AJ$1:$BJ$691,16,FALSE)</f>
        <v>Патриот</v>
      </c>
      <c r="V331" s="502">
        <f>11*Таблица3[[#This Row],[Регистратор.Вес нетто]]/31940</f>
        <v>2.1180338134001251</v>
      </c>
      <c r="W331" s="502" t="str">
        <f>VLOOKUP(Таблица3[[#This Row],[№ акта]],$AJ$1:$BJ$691,18,FALSE)</f>
        <v>ГРК (богара)</v>
      </c>
      <c r="X331" s="502" t="str">
        <f>VLOOKUP(Таблица3[[#This Row],[№ акта]],$AJ$1:$BJ$691,19,FALSE)</f>
        <v>богара</v>
      </c>
      <c r="Y331" s="503">
        <f>VLOOKUP(Таблица3[[#This Row],[№ акта]],$AJ$1:$BJ$691,20,FALSE)</f>
        <v>16</v>
      </c>
      <c r="Z331" s="504">
        <f>VLOOKUP(Таблица3[[#This Row],[№ акта]],$AJ$1:$BJ$691,21,FALSE)</f>
        <v>46192</v>
      </c>
      <c r="AA331" s="504"/>
      <c r="AB331" s="504" t="str">
        <f>IF(VLOOKUP(Таблица3[[#This Row],[№ акта]],$AJ$1:$BJ$691,23,FALSE)&lt;&gt;0,VLOOKUP(Таблица3[[#This Row],[№ акта]],$AJ$1:$BJ$691,23,FALSE),"-")</f>
        <v>-</v>
      </c>
      <c r="AC33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31" s="506" t="s">
        <v>2940</v>
      </c>
      <c r="AE331" s="505">
        <v>344</v>
      </c>
      <c r="AF331" s="507">
        <v>46192</v>
      </c>
      <c r="AG331" s="505">
        <v>308</v>
      </c>
      <c r="AH331" s="505">
        <f>IFERROR(VLOOKUP(Таблица3[[#This Row],[№ акта]],'Степень зрелости 2026'!$H$12:$I$800,2,FALSE),)</f>
        <v>50</v>
      </c>
      <c r="AJ331" s="508">
        <v>344</v>
      </c>
      <c r="AK331" s="509">
        <v>46192</v>
      </c>
      <c r="AL331" s="508">
        <v>459</v>
      </c>
      <c r="AO331" s="508">
        <v>6150</v>
      </c>
      <c r="AP331" s="508">
        <v>5442.8</v>
      </c>
      <c r="AQ331" s="508" t="s">
        <v>2939</v>
      </c>
      <c r="AR331" s="508" t="s">
        <v>900</v>
      </c>
      <c r="AS331" s="508" t="s">
        <v>3092</v>
      </c>
      <c r="AT331" s="508" t="s">
        <v>311</v>
      </c>
      <c r="AV331" s="508" t="s">
        <v>315</v>
      </c>
      <c r="AX331" s="508" t="s">
        <v>3092</v>
      </c>
      <c r="AY331" s="508" t="s">
        <v>900</v>
      </c>
      <c r="AZ331" s="508">
        <v>1.4</v>
      </c>
      <c r="BA331" s="508" t="s">
        <v>46</v>
      </c>
      <c r="BB331" s="508" t="s">
        <v>19</v>
      </c>
      <c r="BC331" s="508">
        <v>16</v>
      </c>
      <c r="BD331" s="509">
        <v>46192</v>
      </c>
      <c r="BG331" s="508" t="s">
        <v>3557</v>
      </c>
      <c r="BH331" s="508" t="s">
        <v>2940</v>
      </c>
      <c r="BI331" s="508">
        <v>308</v>
      </c>
      <c r="BJ331" s="508">
        <v>50</v>
      </c>
    </row>
    <row r="332" spans="1:62" s="508" customFormat="1" ht="14.25" hidden="1" customHeight="1" x14ac:dyDescent="0.2">
      <c r="A332" s="495"/>
      <c r="B332" s="496"/>
      <c r="C332" s="497">
        <f>Таблица3[[#This Row],[Степень зрелости вспом]]</f>
        <v>45</v>
      </c>
      <c r="D332" s="498">
        <v>460</v>
      </c>
      <c r="E332" s="499"/>
      <c r="F332" s="496"/>
      <c r="G332" s="496">
        <v>13770</v>
      </c>
      <c r="H332" s="500"/>
      <c r="I332" s="496">
        <v>11360.2</v>
      </c>
      <c r="J332" s="495" t="s">
        <v>3464</v>
      </c>
      <c r="K332" s="495" t="s">
        <v>909</v>
      </c>
      <c r="L332" s="495" t="s">
        <v>3114</v>
      </c>
      <c r="M332" s="495" t="s">
        <v>212</v>
      </c>
      <c r="N332" s="495"/>
      <c r="O332" s="495"/>
      <c r="P332" s="495"/>
      <c r="Q332" s="495"/>
      <c r="R332" s="501" t="s">
        <v>2965</v>
      </c>
      <c r="S332" s="495"/>
      <c r="T332" s="482" t="str">
        <f>VLOOKUP(Таблица3[[#This Row],[№ акта]],$AJ$1:$BJ$691,15,FALSE)</f>
        <v>12 Агролидер</v>
      </c>
      <c r="U332" s="482" t="str">
        <f>VLOOKUP(Таблица3[[#This Row],[№ акта]],$AJ$1:$BJ$691,16,FALSE)</f>
        <v>Тристар</v>
      </c>
      <c r="V332" s="502">
        <f>VLOOKUP(Таблица3[[#This Row],[№ акта]],$AJ$1:$BJ$691,17,FALSE)</f>
        <v>3</v>
      </c>
      <c r="W332" s="502" t="str">
        <f>VLOOKUP(Таблица3[[#This Row],[№ акта]],$AJ$1:$BJ$691,18,FALSE)</f>
        <v>Агролидер (полив)</v>
      </c>
      <c r="X332" s="502" t="str">
        <f>VLOOKUP(Таблица3[[#This Row],[№ акта]],$AJ$1:$BJ$691,19,FALSE)</f>
        <v>полив</v>
      </c>
      <c r="Y332" s="503">
        <f>VLOOKUP(Таблица3[[#This Row],[№ акта]],$AJ$1:$BJ$691,20,FALSE)</f>
        <v>16</v>
      </c>
      <c r="Z332" s="504">
        <f>VLOOKUP(Таблица3[[#This Row],[№ акта]],$AJ$1:$BJ$691,21,FALSE)</f>
        <v>46192</v>
      </c>
      <c r="AA332" s="504"/>
      <c r="AB332" s="504" t="str">
        <f>IF(VLOOKUP(Таблица3[[#This Row],[№ акта]],$AJ$1:$BJ$691,23,FALSE)&lt;&gt;0,VLOOKUP(Таблица3[[#This Row],[№ акта]],$AJ$1:$BJ$691,23,FALSE),"-")</f>
        <v>-</v>
      </c>
      <c r="AC33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32" s="506" t="s">
        <v>2940</v>
      </c>
      <c r="AE332" s="505">
        <v>345</v>
      </c>
      <c r="AF332" s="507">
        <v>46192</v>
      </c>
      <c r="AG332" s="505">
        <v>1</v>
      </c>
      <c r="AH332" s="505">
        <f>IFERROR(VLOOKUP(Таблица3[[#This Row],[№ акта]],'Степень зрелости 2026'!$H$12:$I$800,2,FALSE),)</f>
        <v>45</v>
      </c>
      <c r="AJ332" s="508">
        <v>345</v>
      </c>
      <c r="AK332" s="509">
        <v>46192</v>
      </c>
      <c r="AL332" s="508">
        <v>460</v>
      </c>
      <c r="AO332" s="508">
        <v>13770</v>
      </c>
      <c r="AP332" s="508">
        <v>11360.2</v>
      </c>
      <c r="AQ332" s="508" t="s">
        <v>3464</v>
      </c>
      <c r="AR332" s="508" t="s">
        <v>909</v>
      </c>
      <c r="AS332" s="508" t="s">
        <v>3114</v>
      </c>
      <c r="AT332" s="508" t="s">
        <v>212</v>
      </c>
      <c r="AV332" s="508" t="s">
        <v>2965</v>
      </c>
      <c r="AX332" s="508" t="s">
        <v>3114</v>
      </c>
      <c r="AY332" s="508" t="s">
        <v>909</v>
      </c>
      <c r="AZ332" s="508">
        <v>3</v>
      </c>
      <c r="BA332" s="508" t="s">
        <v>52</v>
      </c>
      <c r="BB332" s="508" t="s">
        <v>178</v>
      </c>
      <c r="BC332" s="508">
        <v>16</v>
      </c>
      <c r="BD332" s="509">
        <v>46192</v>
      </c>
      <c r="BG332" s="508" t="s">
        <v>3557</v>
      </c>
      <c r="BH332" s="508" t="s">
        <v>2940</v>
      </c>
      <c r="BI332" s="508">
        <v>1</v>
      </c>
      <c r="BJ332" s="508">
        <v>45</v>
      </c>
    </row>
    <row r="333" spans="1:62" s="508" customFormat="1" ht="14.25" hidden="1" customHeight="1" x14ac:dyDescent="0.2">
      <c r="A333" s="495"/>
      <c r="B333" s="496"/>
      <c r="C333" s="497">
        <f>Таблица3[[#This Row],[Степень зрелости вспом]]</f>
        <v>42</v>
      </c>
      <c r="D333" s="498">
        <v>461</v>
      </c>
      <c r="E333" s="499"/>
      <c r="F333" s="496"/>
      <c r="G333" s="496">
        <v>4590</v>
      </c>
      <c r="H333" s="500"/>
      <c r="I333" s="496">
        <v>3878.5</v>
      </c>
      <c r="J333" s="495" t="s">
        <v>3375</v>
      </c>
      <c r="K333" s="495" t="s">
        <v>1755</v>
      </c>
      <c r="L333" s="495" t="s">
        <v>3963</v>
      </c>
      <c r="M333" s="495" t="s">
        <v>762</v>
      </c>
      <c r="N333" s="495"/>
      <c r="O333" s="495"/>
      <c r="P333" s="495"/>
      <c r="Q333" s="495"/>
      <c r="R333" s="501" t="s">
        <v>763</v>
      </c>
      <c r="S333" s="495"/>
      <c r="T333" s="482" t="str">
        <f>VLOOKUP(Таблица3[[#This Row],[№ акта]],$AJ$1:$BJ$691,15,FALSE)</f>
        <v>А-54</v>
      </c>
      <c r="U333" s="482" t="str">
        <f>VLOOKUP(Таблица3[[#This Row],[№ акта]],$AJ$1:$BJ$691,16,FALSE)</f>
        <v>Женева</v>
      </c>
      <c r="V333" s="502">
        <f>VLOOKUP(Таблица3[[#This Row],[№ акта]],$AJ$1:$BJ$691,17,FALSE)</f>
        <v>1</v>
      </c>
      <c r="W333" s="502" t="str">
        <f>VLOOKUP(Таблица3[[#This Row],[№ акта]],$AJ$1:$BJ$691,18,FALSE)</f>
        <v>ГРК (полив)</v>
      </c>
      <c r="X333" s="502" t="str">
        <f>VLOOKUP(Таблица3[[#This Row],[№ акта]],$AJ$1:$BJ$691,19,FALSE)</f>
        <v>полив</v>
      </c>
      <c r="Y333" s="503">
        <f>VLOOKUP(Таблица3[[#This Row],[№ акта]],$AJ$1:$BJ$691,20,FALSE)</f>
        <v>16</v>
      </c>
      <c r="Z333" s="504">
        <f>VLOOKUP(Таблица3[[#This Row],[№ акта]],$AJ$1:$BJ$691,21,FALSE)</f>
        <v>46192</v>
      </c>
      <c r="AA333" s="504"/>
      <c r="AB333" s="504" t="str">
        <f>IF(VLOOKUP(Таблица3[[#This Row],[№ акта]],$AJ$1:$BJ$691,23,FALSE)&lt;&gt;0,VLOOKUP(Таблица3[[#This Row],[№ акта]],$AJ$1:$BJ$691,23,FALSE),"-")</f>
        <v>-</v>
      </c>
      <c r="AC33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33" s="506" t="s">
        <v>2940</v>
      </c>
      <c r="AE333" s="505">
        <v>346</v>
      </c>
      <c r="AF333" s="507">
        <v>46192</v>
      </c>
      <c r="AG333" s="505">
        <v>309</v>
      </c>
      <c r="AH333" s="505">
        <f>IFERROR(VLOOKUP(Таблица3[[#This Row],[№ акта]],'Степень зрелости 2026'!$H$12:$I$800,2,FALSE),)</f>
        <v>42</v>
      </c>
      <c r="AJ333" s="508">
        <v>346</v>
      </c>
      <c r="AK333" s="509">
        <v>46192</v>
      </c>
      <c r="AL333" s="508">
        <v>461</v>
      </c>
      <c r="AO333" s="508">
        <v>4590</v>
      </c>
      <c r="AP333" s="508">
        <v>3878.5</v>
      </c>
      <c r="AQ333" s="508" t="s">
        <v>3375</v>
      </c>
      <c r="AR333" s="508" t="s">
        <v>1755</v>
      </c>
      <c r="AS333" s="508" t="s">
        <v>864</v>
      </c>
      <c r="AT333" s="508" t="s">
        <v>762</v>
      </c>
      <c r="AV333" s="508" t="s">
        <v>763</v>
      </c>
      <c r="AX333" s="508" t="s">
        <v>864</v>
      </c>
      <c r="AY333" s="508" t="s">
        <v>1755</v>
      </c>
      <c r="AZ333" s="508">
        <v>1</v>
      </c>
      <c r="BA333" s="508" t="s">
        <v>2932</v>
      </c>
      <c r="BB333" s="508" t="s">
        <v>178</v>
      </c>
      <c r="BC333" s="508">
        <v>16</v>
      </c>
      <c r="BD333" s="509">
        <v>46192</v>
      </c>
      <c r="BG333" s="508" t="s">
        <v>3557</v>
      </c>
      <c r="BH333" s="508" t="s">
        <v>2940</v>
      </c>
      <c r="BI333" s="508">
        <v>309</v>
      </c>
      <c r="BJ333" s="508">
        <v>42</v>
      </c>
    </row>
    <row r="334" spans="1:62" s="508" customFormat="1" ht="14.25" hidden="1" customHeight="1" x14ac:dyDescent="0.2">
      <c r="A334" s="495"/>
      <c r="B334" s="496"/>
      <c r="C334" s="497">
        <f>Таблица3[[#This Row],[Степень зрелости вспом]]</f>
        <v>44</v>
      </c>
      <c r="D334" s="498">
        <v>462</v>
      </c>
      <c r="E334" s="499"/>
      <c r="F334" s="496"/>
      <c r="G334" s="496">
        <v>4490</v>
      </c>
      <c r="H334" s="500"/>
      <c r="I334" s="496">
        <v>3659.3</v>
      </c>
      <c r="J334" s="495" t="s">
        <v>3464</v>
      </c>
      <c r="K334" s="495" t="s">
        <v>1755</v>
      </c>
      <c r="L334" s="495" t="s">
        <v>3114</v>
      </c>
      <c r="M334" s="495" t="s">
        <v>121</v>
      </c>
      <c r="N334" s="495"/>
      <c r="O334" s="495"/>
      <c r="P334" s="495"/>
      <c r="Q334" s="495"/>
      <c r="R334" s="501" t="s">
        <v>125</v>
      </c>
      <c r="S334" s="495"/>
      <c r="T334" s="482" t="str">
        <f>VLOOKUP(Таблица3[[#This Row],[№ акта]],$AJ$1:$BJ$691,15,FALSE)</f>
        <v>12 Агролидер</v>
      </c>
      <c r="U334" s="482" t="str">
        <f>VLOOKUP(Таблица3[[#This Row],[№ акта]],$AJ$1:$BJ$691,16,FALSE)</f>
        <v>Женева</v>
      </c>
      <c r="V334" s="502">
        <f>VLOOKUP(Таблица3[[#This Row],[№ акта]],$AJ$1:$BJ$691,17,FALSE)</f>
        <v>1</v>
      </c>
      <c r="W334" s="502" t="str">
        <f>VLOOKUP(Таблица3[[#This Row],[№ акта]],$AJ$1:$BJ$691,18,FALSE)</f>
        <v>Агролидер (полив)</v>
      </c>
      <c r="X334" s="502" t="str">
        <f>VLOOKUP(Таблица3[[#This Row],[№ акта]],$AJ$1:$BJ$691,19,FALSE)</f>
        <v>полив</v>
      </c>
      <c r="Y334" s="503">
        <f>VLOOKUP(Таблица3[[#This Row],[№ акта]],$AJ$1:$BJ$691,20,FALSE)</f>
        <v>16</v>
      </c>
      <c r="Z334" s="504">
        <f>VLOOKUP(Таблица3[[#This Row],[№ акта]],$AJ$1:$BJ$691,21,FALSE)</f>
        <v>46192</v>
      </c>
      <c r="AA334" s="504"/>
      <c r="AB334" s="504" t="str">
        <f>IF(VLOOKUP(Таблица3[[#This Row],[№ акта]],$AJ$1:$BJ$691,23,FALSE)&lt;&gt;0,VLOOKUP(Таблица3[[#This Row],[№ акта]],$AJ$1:$BJ$691,23,FALSE),"-")</f>
        <v>-</v>
      </c>
      <c r="AC33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34" s="506" t="s">
        <v>2940</v>
      </c>
      <c r="AE334" s="505">
        <v>347</v>
      </c>
      <c r="AF334" s="507">
        <v>46192</v>
      </c>
      <c r="AG334" s="505">
        <v>2</v>
      </c>
      <c r="AH334" s="505">
        <f>IFERROR(VLOOKUP(Таблица3[[#This Row],[№ акта]],'Степень зрелости 2026'!$H$12:$I$800,2,FALSE),)</f>
        <v>44</v>
      </c>
      <c r="AJ334" s="508">
        <v>347</v>
      </c>
      <c r="AK334" s="509">
        <v>46192</v>
      </c>
      <c r="AL334" s="508">
        <v>462</v>
      </c>
      <c r="AO334" s="508">
        <v>4490</v>
      </c>
      <c r="AP334" s="508">
        <v>3659.3</v>
      </c>
      <c r="AQ334" s="508" t="s">
        <v>3464</v>
      </c>
      <c r="AR334" s="508" t="s">
        <v>1755</v>
      </c>
      <c r="AS334" s="508" t="s">
        <v>3114</v>
      </c>
      <c r="AT334" s="508" t="s">
        <v>121</v>
      </c>
      <c r="AV334" s="508" t="s">
        <v>125</v>
      </c>
      <c r="AX334" s="508" t="s">
        <v>3114</v>
      </c>
      <c r="AY334" s="508" t="s">
        <v>1755</v>
      </c>
      <c r="AZ334" s="508">
        <v>1</v>
      </c>
      <c r="BA334" s="508" t="s">
        <v>52</v>
      </c>
      <c r="BB334" s="508" t="s">
        <v>178</v>
      </c>
      <c r="BC334" s="508">
        <v>16</v>
      </c>
      <c r="BD334" s="509">
        <v>46192</v>
      </c>
      <c r="BG334" s="508" t="s">
        <v>3557</v>
      </c>
      <c r="BH334" s="508" t="s">
        <v>2940</v>
      </c>
      <c r="BI334" s="508">
        <v>2</v>
      </c>
      <c r="BJ334" s="508">
        <v>44</v>
      </c>
    </row>
    <row r="335" spans="1:62" s="508" customFormat="1" ht="14.25" hidden="1" customHeight="1" x14ac:dyDescent="0.2">
      <c r="A335" s="495"/>
      <c r="B335" s="496"/>
      <c r="C335" s="497">
        <f>Таблица3[[#This Row],[Степень зрелости вспом]]</f>
        <v>47</v>
      </c>
      <c r="D335" s="498">
        <v>465</v>
      </c>
      <c r="E335" s="499"/>
      <c r="F335" s="496"/>
      <c r="G335" s="496">
        <v>2350</v>
      </c>
      <c r="H335" s="500"/>
      <c r="I335" s="496">
        <v>1680.2</v>
      </c>
      <c r="J335" s="495" t="s">
        <v>3375</v>
      </c>
      <c r="K335" s="495" t="s">
        <v>1755</v>
      </c>
      <c r="L335" s="495" t="s">
        <v>3963</v>
      </c>
      <c r="M335" s="495" t="s">
        <v>737</v>
      </c>
      <c r="N335" s="495"/>
      <c r="O335" s="495"/>
      <c r="P335" s="495"/>
      <c r="Q335" s="495"/>
      <c r="R335" s="501" t="s">
        <v>738</v>
      </c>
      <c r="S335" s="495"/>
      <c r="T335" s="482" t="str">
        <f>VLOOKUP(Таблица3[[#This Row],[№ акта]],$AJ$1:$BJ$691,15,FALSE)</f>
        <v>А-54</v>
      </c>
      <c r="U335" s="482" t="str">
        <f>VLOOKUP(Таблица3[[#This Row],[№ акта]],$AJ$1:$BJ$691,16,FALSE)</f>
        <v>Женева</v>
      </c>
      <c r="V335" s="502">
        <f>VLOOKUP(Таблица3[[#This Row],[№ акта]],$AJ$1:$BJ$691,17,FALSE)</f>
        <v>0.5</v>
      </c>
      <c r="W335" s="502" t="str">
        <f>VLOOKUP(Таблица3[[#This Row],[№ акта]],$AJ$1:$BJ$691,18,FALSE)</f>
        <v>ГРК (полив)</v>
      </c>
      <c r="X335" s="502" t="str">
        <f>VLOOKUP(Таблица3[[#This Row],[№ акта]],$AJ$1:$BJ$691,19,FALSE)</f>
        <v>полив</v>
      </c>
      <c r="Y335" s="503">
        <f>VLOOKUP(Таблица3[[#This Row],[№ акта]],$AJ$1:$BJ$691,20,FALSE)</f>
        <v>17</v>
      </c>
      <c r="Z335" s="504">
        <f>VLOOKUP(Таблица3[[#This Row],[№ акта]],$AJ$1:$BJ$691,21,FALSE)</f>
        <v>46193</v>
      </c>
      <c r="AA335" s="504"/>
      <c r="AB335" s="504" t="str">
        <f>IF(VLOOKUP(Таблица3[[#This Row],[№ акта]],$AJ$1:$BJ$691,23,FALSE)&lt;&gt;0,VLOOKUP(Таблица3[[#This Row],[№ акта]],$AJ$1:$BJ$691,23,FALSE),"-")</f>
        <v>-</v>
      </c>
      <c r="AC33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35" s="506" t="s">
        <v>2940</v>
      </c>
      <c r="AE335" s="505">
        <v>348</v>
      </c>
      <c r="AF335" s="507">
        <v>46193</v>
      </c>
      <c r="AG335" s="505">
        <v>310</v>
      </c>
      <c r="AH335" s="505">
        <f>IFERROR(VLOOKUP(Таблица3[[#This Row],[№ акта]],'Степень зрелости 2026'!$H$12:$I$800,2,FALSE),)</f>
        <v>47</v>
      </c>
      <c r="AJ335" s="508">
        <v>348</v>
      </c>
      <c r="AK335" s="509">
        <v>46193</v>
      </c>
      <c r="AL335" s="508">
        <v>465</v>
      </c>
      <c r="AO335" s="508">
        <v>2350</v>
      </c>
      <c r="AP335" s="508">
        <v>1680.2</v>
      </c>
      <c r="AQ335" s="508" t="s">
        <v>3375</v>
      </c>
      <c r="AR335" s="508" t="s">
        <v>1755</v>
      </c>
      <c r="AS335" s="508" t="s">
        <v>864</v>
      </c>
      <c r="AT335" s="508" t="s">
        <v>737</v>
      </c>
      <c r="AV335" s="508" t="s">
        <v>738</v>
      </c>
      <c r="AX335" s="508" t="s">
        <v>864</v>
      </c>
      <c r="AY335" s="508" t="s">
        <v>1755</v>
      </c>
      <c r="AZ335" s="508">
        <v>0.5</v>
      </c>
      <c r="BA335" s="508" t="s">
        <v>2932</v>
      </c>
      <c r="BB335" s="508" t="s">
        <v>178</v>
      </c>
      <c r="BC335" s="508">
        <v>17</v>
      </c>
      <c r="BD335" s="509">
        <v>46193</v>
      </c>
      <c r="BG335" s="508" t="s">
        <v>3557</v>
      </c>
      <c r="BH335" s="508" t="s">
        <v>2940</v>
      </c>
      <c r="BI335" s="508">
        <v>310</v>
      </c>
      <c r="BJ335" s="508">
        <v>47</v>
      </c>
    </row>
    <row r="336" spans="1:62" s="508" customFormat="1" ht="14.25" hidden="1" customHeight="1" x14ac:dyDescent="0.2">
      <c r="A336" s="495"/>
      <c r="B336" s="496"/>
      <c r="C336" s="497">
        <f>Таблица3[[#This Row],[Степень зрелости вспом]]</f>
        <v>50</v>
      </c>
      <c r="D336" s="498">
        <v>466</v>
      </c>
      <c r="E336" s="499"/>
      <c r="F336" s="496"/>
      <c r="G336" s="496">
        <v>4460</v>
      </c>
      <c r="H336" s="500"/>
      <c r="I336" s="496">
        <v>3902.5</v>
      </c>
      <c r="J336" s="495" t="s">
        <v>3464</v>
      </c>
      <c r="K336" s="495" t="s">
        <v>909</v>
      </c>
      <c r="L336" s="495" t="s">
        <v>3116</v>
      </c>
      <c r="M336" s="495" t="s">
        <v>127</v>
      </c>
      <c r="N336" s="495"/>
      <c r="O336" s="495"/>
      <c r="P336" s="495"/>
      <c r="Q336" s="495"/>
      <c r="R336" s="501" t="s">
        <v>131</v>
      </c>
      <c r="S336" s="495"/>
      <c r="T336" s="482" t="str">
        <f>VLOOKUP(Таблица3[[#This Row],[№ акта]],$AJ$1:$BJ$691,15,FALSE)</f>
        <v>18 Агролидер</v>
      </c>
      <c r="U336" s="482" t="str">
        <f>VLOOKUP(Таблица3[[#This Row],[№ акта]],$AJ$1:$BJ$691,16,FALSE)</f>
        <v>Тристар</v>
      </c>
      <c r="V336" s="502">
        <f>VLOOKUP(Таблица3[[#This Row],[№ акта]],$AJ$1:$BJ$691,17,FALSE)</f>
        <v>1</v>
      </c>
      <c r="W336" s="502" t="str">
        <f>VLOOKUP(Таблица3[[#This Row],[№ акта]],$AJ$1:$BJ$691,18,FALSE)</f>
        <v>Агролидер (полив)</v>
      </c>
      <c r="X336" s="502" t="str">
        <f>VLOOKUP(Таблица3[[#This Row],[№ акта]],$AJ$1:$BJ$691,19,FALSE)</f>
        <v>полив</v>
      </c>
      <c r="Y336" s="503">
        <f>VLOOKUP(Таблица3[[#This Row],[№ акта]],$AJ$1:$BJ$691,20,FALSE)</f>
        <v>17</v>
      </c>
      <c r="Z336" s="504">
        <f>VLOOKUP(Таблица3[[#This Row],[№ акта]],$AJ$1:$BJ$691,21,FALSE)</f>
        <v>46193</v>
      </c>
      <c r="AA336" s="504"/>
      <c r="AB336" s="504" t="str">
        <f>IF(VLOOKUP(Таблица3[[#This Row],[№ акта]],$AJ$1:$BJ$691,23,FALSE)&lt;&gt;0,VLOOKUP(Таблица3[[#This Row],[№ акта]],$AJ$1:$BJ$691,23,FALSE),"-")</f>
        <v>-</v>
      </c>
      <c r="AC33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36" s="506" t="s">
        <v>2940</v>
      </c>
      <c r="AE336" s="505">
        <v>349</v>
      </c>
      <c r="AF336" s="507">
        <v>46193</v>
      </c>
      <c r="AG336" s="505">
        <v>3</v>
      </c>
      <c r="AH336" s="505">
        <f>IFERROR(VLOOKUP(Таблица3[[#This Row],[№ акта]],'Степень зрелости 2026'!$H$12:$I$800,2,FALSE),)</f>
        <v>50</v>
      </c>
      <c r="AJ336" s="508">
        <v>349</v>
      </c>
      <c r="AK336" s="509">
        <v>46193</v>
      </c>
      <c r="AL336" s="508">
        <v>466</v>
      </c>
      <c r="AO336" s="508">
        <v>4460</v>
      </c>
      <c r="AP336" s="508">
        <v>3902.5</v>
      </c>
      <c r="AQ336" s="508" t="s">
        <v>3464</v>
      </c>
      <c r="AR336" s="508" t="s">
        <v>909</v>
      </c>
      <c r="AS336" s="508" t="s">
        <v>3116</v>
      </c>
      <c r="AT336" s="508" t="s">
        <v>127</v>
      </c>
      <c r="AV336" s="508" t="s">
        <v>131</v>
      </c>
      <c r="AX336" s="508" t="s">
        <v>3116</v>
      </c>
      <c r="AY336" s="508" t="s">
        <v>909</v>
      </c>
      <c r="AZ336" s="508">
        <v>1</v>
      </c>
      <c r="BA336" s="508" t="s">
        <v>52</v>
      </c>
      <c r="BB336" s="508" t="s">
        <v>178</v>
      </c>
      <c r="BC336" s="508">
        <v>17</v>
      </c>
      <c r="BD336" s="509">
        <v>46193</v>
      </c>
      <c r="BG336" s="508" t="s">
        <v>3557</v>
      </c>
      <c r="BH336" s="508" t="s">
        <v>2940</v>
      </c>
      <c r="BI336" s="508">
        <v>3</v>
      </c>
      <c r="BJ336" s="508">
        <v>50</v>
      </c>
    </row>
    <row r="337" spans="1:62" s="508" customFormat="1" ht="14.25" hidden="1" customHeight="1" x14ac:dyDescent="0.2">
      <c r="A337" s="495"/>
      <c r="B337" s="496"/>
      <c r="C337" s="497">
        <f>Таблица3[[#This Row],[Степень зрелости вспом]]</f>
        <v>47</v>
      </c>
      <c r="D337" s="498">
        <v>467</v>
      </c>
      <c r="E337" s="499"/>
      <c r="F337" s="496"/>
      <c r="G337" s="496">
        <v>4440</v>
      </c>
      <c r="H337" s="500"/>
      <c r="I337" s="496">
        <v>3796.2</v>
      </c>
      <c r="J337" s="495" t="s">
        <v>3464</v>
      </c>
      <c r="K337" s="495" t="s">
        <v>909</v>
      </c>
      <c r="L337" s="495" t="s">
        <v>3114</v>
      </c>
      <c r="M337" s="495" t="s">
        <v>127</v>
      </c>
      <c r="N337" s="495"/>
      <c r="O337" s="495"/>
      <c r="P337" s="495"/>
      <c r="Q337" s="495"/>
      <c r="R337" s="501" t="s">
        <v>131</v>
      </c>
      <c r="S337" s="495"/>
      <c r="T337" s="482" t="str">
        <f>VLOOKUP(Таблица3[[#This Row],[№ акта]],$AJ$1:$BJ$691,15,FALSE)</f>
        <v>12 Агролидер</v>
      </c>
      <c r="U337" s="482" t="str">
        <f>VLOOKUP(Таблица3[[#This Row],[№ акта]],$AJ$1:$BJ$691,16,FALSE)</f>
        <v>Тристар</v>
      </c>
      <c r="V337" s="502">
        <f>VLOOKUP(Таблица3[[#This Row],[№ акта]],$AJ$1:$BJ$691,17,FALSE)</f>
        <v>1.2</v>
      </c>
      <c r="W337" s="502" t="str">
        <f>VLOOKUP(Таблица3[[#This Row],[№ акта]],$AJ$1:$BJ$691,18,FALSE)</f>
        <v>Агролидер (полив)</v>
      </c>
      <c r="X337" s="502" t="str">
        <f>VLOOKUP(Таблица3[[#This Row],[№ акта]],$AJ$1:$BJ$691,19,FALSE)</f>
        <v>полив</v>
      </c>
      <c r="Y337" s="503">
        <f>VLOOKUP(Таблица3[[#This Row],[№ акта]],$AJ$1:$BJ$691,20,FALSE)</f>
        <v>17</v>
      </c>
      <c r="Z337" s="504">
        <f>VLOOKUP(Таблица3[[#This Row],[№ акта]],$AJ$1:$BJ$691,21,FALSE)</f>
        <v>46193</v>
      </c>
      <c r="AA337" s="504"/>
      <c r="AB337" s="504" t="str">
        <f>IF(VLOOKUP(Таблица3[[#This Row],[№ акта]],$AJ$1:$BJ$691,23,FALSE)&lt;&gt;0,VLOOKUP(Таблица3[[#This Row],[№ акта]],$AJ$1:$BJ$691,23,FALSE),"-")</f>
        <v>-</v>
      </c>
      <c r="AC33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37" s="506" t="s">
        <v>2940</v>
      </c>
      <c r="AE337" s="505">
        <v>354</v>
      </c>
      <c r="AF337" s="507">
        <v>46193</v>
      </c>
      <c r="AG337" s="505">
        <v>3</v>
      </c>
      <c r="AH337" s="505">
        <f>IFERROR(VLOOKUP(Таблица3[[#This Row],[№ акта]],'Степень зрелости 2026'!$H$12:$I$800,2,FALSE),)</f>
        <v>47</v>
      </c>
      <c r="AJ337" s="508">
        <v>354</v>
      </c>
      <c r="AK337" s="509">
        <v>46193</v>
      </c>
      <c r="AL337" s="508">
        <v>467</v>
      </c>
      <c r="AO337" s="508">
        <v>4440</v>
      </c>
      <c r="AP337" s="508">
        <v>3796.2</v>
      </c>
      <c r="AQ337" s="508" t="s">
        <v>3464</v>
      </c>
      <c r="AR337" s="508" t="s">
        <v>909</v>
      </c>
      <c r="AS337" s="508" t="s">
        <v>3114</v>
      </c>
      <c r="AT337" s="508" t="s">
        <v>127</v>
      </c>
      <c r="AV337" s="508" t="s">
        <v>131</v>
      </c>
      <c r="AX337" s="508" t="s">
        <v>3114</v>
      </c>
      <c r="AY337" s="508" t="s">
        <v>909</v>
      </c>
      <c r="AZ337" s="508">
        <v>1.2</v>
      </c>
      <c r="BA337" s="508" t="s">
        <v>52</v>
      </c>
      <c r="BB337" s="508" t="s">
        <v>178</v>
      </c>
      <c r="BC337" s="508">
        <v>17</v>
      </c>
      <c r="BD337" s="509">
        <v>46193</v>
      </c>
      <c r="BG337" s="508" t="s">
        <v>3557</v>
      </c>
      <c r="BH337" s="508" t="s">
        <v>2940</v>
      </c>
      <c r="BI337" s="508">
        <v>3</v>
      </c>
      <c r="BJ337" s="508">
        <v>47</v>
      </c>
    </row>
    <row r="338" spans="1:62" s="508" customFormat="1" ht="14.25" hidden="1" customHeight="1" x14ac:dyDescent="0.2">
      <c r="A338" s="495"/>
      <c r="B338" s="496"/>
      <c r="C338" s="497">
        <f>Таблица3[[#This Row],[Степень зрелости вспом]]</f>
        <v>53</v>
      </c>
      <c r="D338" s="498">
        <v>468</v>
      </c>
      <c r="E338" s="499"/>
      <c r="F338" s="496"/>
      <c r="G338" s="496">
        <v>12990</v>
      </c>
      <c r="H338" s="500"/>
      <c r="I338" s="496">
        <v>11106.4</v>
      </c>
      <c r="J338" s="495" t="s">
        <v>3464</v>
      </c>
      <c r="K338" s="495" t="s">
        <v>909</v>
      </c>
      <c r="L338" s="495" t="s">
        <v>3114</v>
      </c>
      <c r="M338" s="495" t="s">
        <v>1806</v>
      </c>
      <c r="N338" s="495"/>
      <c r="O338" s="495"/>
      <c r="P338" s="495"/>
      <c r="Q338" s="495"/>
      <c r="R338" s="501" t="s">
        <v>1807</v>
      </c>
      <c r="S338" s="495"/>
      <c r="T338" s="482" t="str">
        <f>VLOOKUP(Таблица3[[#This Row],[№ акта]],$AJ$1:$BJ$691,15,FALSE)</f>
        <v>12 Агролидер</v>
      </c>
      <c r="U338" s="482" t="str">
        <f>VLOOKUP(Таблица3[[#This Row],[№ акта]],$AJ$1:$BJ$691,16,FALSE)</f>
        <v>Тристар</v>
      </c>
      <c r="V338" s="502">
        <f>VLOOKUP(Таблица3[[#This Row],[№ акта]],$AJ$1:$BJ$691,17,FALSE)</f>
        <v>3.6</v>
      </c>
      <c r="W338" s="502" t="str">
        <f>VLOOKUP(Таблица3[[#This Row],[№ акта]],$AJ$1:$BJ$691,18,FALSE)</f>
        <v>Агролидер (полив)</v>
      </c>
      <c r="X338" s="502" t="str">
        <f>VLOOKUP(Таблица3[[#This Row],[№ акта]],$AJ$1:$BJ$691,19,FALSE)</f>
        <v>полив</v>
      </c>
      <c r="Y338" s="503">
        <f>VLOOKUP(Таблица3[[#This Row],[№ акта]],$AJ$1:$BJ$691,20,FALSE)</f>
        <v>17</v>
      </c>
      <c r="Z338" s="504">
        <f>VLOOKUP(Таблица3[[#This Row],[№ акта]],$AJ$1:$BJ$691,21,FALSE)</f>
        <v>46193</v>
      </c>
      <c r="AA338" s="504"/>
      <c r="AB338" s="504" t="str">
        <f>IF(VLOOKUP(Таблица3[[#This Row],[№ акта]],$AJ$1:$BJ$691,23,FALSE)&lt;&gt;0,VLOOKUP(Таблица3[[#This Row],[№ акта]],$AJ$1:$BJ$691,23,FALSE),"-")</f>
        <v>-</v>
      </c>
      <c r="AC33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38" s="506" t="s">
        <v>2940</v>
      </c>
      <c r="AE338" s="505">
        <v>350</v>
      </c>
      <c r="AF338" s="507">
        <v>46193</v>
      </c>
      <c r="AG338" s="505">
        <v>4</v>
      </c>
      <c r="AH338" s="505">
        <f>IFERROR(VLOOKUP(Таблица3[[#This Row],[№ акта]],'Степень зрелости 2026'!$H$12:$I$800,2,FALSE),)</f>
        <v>53</v>
      </c>
      <c r="AJ338" s="508">
        <v>350</v>
      </c>
      <c r="AK338" s="509">
        <v>46193</v>
      </c>
      <c r="AL338" s="508">
        <v>468</v>
      </c>
      <c r="AO338" s="508">
        <v>12990</v>
      </c>
      <c r="AP338" s="508">
        <v>11106.4</v>
      </c>
      <c r="AQ338" s="508" t="s">
        <v>3464</v>
      </c>
      <c r="AR338" s="508" t="s">
        <v>909</v>
      </c>
      <c r="AS338" s="508" t="s">
        <v>3114</v>
      </c>
      <c r="AT338" s="508" t="s">
        <v>1806</v>
      </c>
      <c r="AV338" s="508" t="s">
        <v>1807</v>
      </c>
      <c r="AX338" s="508" t="s">
        <v>3114</v>
      </c>
      <c r="AY338" s="508" t="s">
        <v>909</v>
      </c>
      <c r="AZ338" s="508">
        <v>3.6</v>
      </c>
      <c r="BA338" s="508" t="s">
        <v>52</v>
      </c>
      <c r="BB338" s="508" t="s">
        <v>178</v>
      </c>
      <c r="BC338" s="508">
        <v>17</v>
      </c>
      <c r="BD338" s="509">
        <v>46193</v>
      </c>
      <c r="BG338" s="508" t="s">
        <v>724</v>
      </c>
      <c r="BH338" s="508" t="s">
        <v>2940</v>
      </c>
      <c r="BI338" s="508">
        <v>4</v>
      </c>
      <c r="BJ338" s="508">
        <v>53</v>
      </c>
    </row>
    <row r="339" spans="1:62" s="508" customFormat="1" ht="14.25" hidden="1" customHeight="1" x14ac:dyDescent="0.2">
      <c r="A339" s="495"/>
      <c r="B339" s="496"/>
      <c r="C339" s="497">
        <f>Таблица3[[#This Row],[Степень зрелости вспом]]</f>
        <v>54</v>
      </c>
      <c r="D339" s="498">
        <v>469</v>
      </c>
      <c r="E339" s="499"/>
      <c r="F339" s="496"/>
      <c r="G339" s="496">
        <v>12870</v>
      </c>
      <c r="H339" s="500"/>
      <c r="I339" s="496">
        <v>11389.9</v>
      </c>
      <c r="J339" s="495" t="s">
        <v>3464</v>
      </c>
      <c r="K339" s="495" t="s">
        <v>909</v>
      </c>
      <c r="L339" s="495" t="s">
        <v>3114</v>
      </c>
      <c r="M339" s="495" t="s">
        <v>239</v>
      </c>
      <c r="N339" s="495"/>
      <c r="O339" s="495"/>
      <c r="P339" s="495"/>
      <c r="Q339" s="495"/>
      <c r="R339" s="501" t="s">
        <v>243</v>
      </c>
      <c r="S339" s="495"/>
      <c r="T339" s="482" t="str">
        <f>VLOOKUP(Таблица3[[#This Row],[№ акта]],$AJ$1:$BJ$691,15,FALSE)</f>
        <v>12 Агролидер</v>
      </c>
      <c r="U339" s="482" t="str">
        <f>VLOOKUP(Таблица3[[#This Row],[№ акта]],$AJ$1:$BJ$691,16,FALSE)</f>
        <v>Тристар</v>
      </c>
      <c r="V339" s="502">
        <f>VLOOKUP(Таблица3[[#This Row],[№ акта]],$AJ$1:$BJ$691,17,FALSE)</f>
        <v>3.6</v>
      </c>
      <c r="W339" s="502" t="str">
        <f>VLOOKUP(Таблица3[[#This Row],[№ акта]],$AJ$1:$BJ$691,18,FALSE)</f>
        <v>Агролидер (полив)</v>
      </c>
      <c r="X339" s="502" t="str">
        <f>VLOOKUP(Таблица3[[#This Row],[№ акта]],$AJ$1:$BJ$691,19,FALSE)</f>
        <v>полив</v>
      </c>
      <c r="Y339" s="503">
        <f>VLOOKUP(Таблица3[[#This Row],[№ акта]],$AJ$1:$BJ$691,20,FALSE)</f>
        <v>17</v>
      </c>
      <c r="Z339" s="504">
        <f>VLOOKUP(Таблица3[[#This Row],[№ акта]],$AJ$1:$BJ$691,21,FALSE)</f>
        <v>46193</v>
      </c>
      <c r="AA339" s="504"/>
      <c r="AB339" s="504" t="str">
        <f>IF(VLOOKUP(Таблица3[[#This Row],[№ акта]],$AJ$1:$BJ$691,23,FALSE)&lt;&gt;0,VLOOKUP(Таблица3[[#This Row],[№ акта]],$AJ$1:$BJ$691,23,FALSE),"-")</f>
        <v>-</v>
      </c>
      <c r="AC33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39" s="506" t="s">
        <v>2940</v>
      </c>
      <c r="AE339" s="505">
        <v>351</v>
      </c>
      <c r="AF339" s="507">
        <v>46194</v>
      </c>
      <c r="AG339" s="505">
        <v>5</v>
      </c>
      <c r="AH339" s="505">
        <f>IFERROR(VLOOKUP(Таблица3[[#This Row],[№ акта]],'Степень зрелости 2026'!$H$12:$I$800,2,FALSE),)</f>
        <v>54</v>
      </c>
      <c r="AJ339" s="508">
        <v>351</v>
      </c>
      <c r="AK339" s="509">
        <v>46194</v>
      </c>
      <c r="AL339" s="508">
        <v>469</v>
      </c>
      <c r="AO339" s="508">
        <v>12870</v>
      </c>
      <c r="AP339" s="508">
        <v>11389.9</v>
      </c>
      <c r="AQ339" s="508" t="s">
        <v>3464</v>
      </c>
      <c r="AR339" s="508" t="s">
        <v>909</v>
      </c>
      <c r="AS339" s="508" t="s">
        <v>3114</v>
      </c>
      <c r="AT339" s="508" t="s">
        <v>239</v>
      </c>
      <c r="AV339" s="508" t="s">
        <v>243</v>
      </c>
      <c r="AX339" s="508" t="s">
        <v>3114</v>
      </c>
      <c r="AY339" s="508" t="s">
        <v>909</v>
      </c>
      <c r="AZ339" s="508">
        <v>3.6</v>
      </c>
      <c r="BA339" s="508" t="s">
        <v>52</v>
      </c>
      <c r="BB339" s="508" t="s">
        <v>178</v>
      </c>
      <c r="BC339" s="508">
        <v>17</v>
      </c>
      <c r="BD339" s="509">
        <v>46193</v>
      </c>
      <c r="BG339" s="508" t="s">
        <v>724</v>
      </c>
      <c r="BH339" s="508" t="s">
        <v>2940</v>
      </c>
      <c r="BI339" s="508">
        <v>5</v>
      </c>
      <c r="BJ339" s="508">
        <v>54</v>
      </c>
    </row>
    <row r="340" spans="1:62" s="508" customFormat="1" ht="14.25" hidden="1" customHeight="1" x14ac:dyDescent="0.2">
      <c r="A340" s="495"/>
      <c r="B340" s="496"/>
      <c r="C340" s="497">
        <f>Таблица3[[#This Row],[Степень зрелости вспом]]</f>
        <v>53</v>
      </c>
      <c r="D340" s="498">
        <v>470</v>
      </c>
      <c r="E340" s="499"/>
      <c r="F340" s="496"/>
      <c r="G340" s="496">
        <v>3980</v>
      </c>
      <c r="H340" s="500"/>
      <c r="I340" s="496">
        <v>3562.1</v>
      </c>
      <c r="J340" s="495" t="s">
        <v>3464</v>
      </c>
      <c r="K340" s="495" t="s">
        <v>909</v>
      </c>
      <c r="L340" s="495" t="s">
        <v>3114</v>
      </c>
      <c r="M340" s="495" t="s">
        <v>737</v>
      </c>
      <c r="N340" s="495"/>
      <c r="O340" s="495"/>
      <c r="P340" s="495"/>
      <c r="Q340" s="495"/>
      <c r="R340" s="501" t="s">
        <v>738</v>
      </c>
      <c r="S340" s="495"/>
      <c r="T340" s="482" t="str">
        <f>VLOOKUP(Таблица3[[#This Row],[№ акта]],$AJ$1:$BJ$691,15,FALSE)</f>
        <v>12 Агролидер</v>
      </c>
      <c r="U340" s="482" t="str">
        <f>VLOOKUP(Таблица3[[#This Row],[№ акта]],$AJ$1:$BJ$691,16,FALSE)</f>
        <v>Тристар</v>
      </c>
      <c r="V340" s="502">
        <f>VLOOKUP(Таблица3[[#This Row],[№ акта]],$AJ$1:$BJ$691,17,FALSE)</f>
        <v>1.1000000000000001</v>
      </c>
      <c r="W340" s="502" t="str">
        <f>VLOOKUP(Таблица3[[#This Row],[№ акта]],$AJ$1:$BJ$691,18,FALSE)</f>
        <v>Агролидер (полив)</v>
      </c>
      <c r="X340" s="502" t="str">
        <f>VLOOKUP(Таблица3[[#This Row],[№ акта]],$AJ$1:$BJ$691,19,FALSE)</f>
        <v>полив</v>
      </c>
      <c r="Y340" s="503">
        <f>VLOOKUP(Таблица3[[#This Row],[№ акта]],$AJ$1:$BJ$691,20,FALSE)</f>
        <v>17</v>
      </c>
      <c r="Z340" s="504">
        <f>VLOOKUP(Таблица3[[#This Row],[№ акта]],$AJ$1:$BJ$691,21,FALSE)</f>
        <v>46193</v>
      </c>
      <c r="AA340" s="504"/>
      <c r="AB340" s="504" t="str">
        <f>IF(VLOOKUP(Таблица3[[#This Row],[№ акта]],$AJ$1:$BJ$691,23,FALSE)&lt;&gt;0,VLOOKUP(Таблица3[[#This Row],[№ акта]],$AJ$1:$BJ$691,23,FALSE),"-")</f>
        <v>-</v>
      </c>
      <c r="AC34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40" s="506" t="s">
        <v>2940</v>
      </c>
      <c r="AE340" s="505">
        <v>352</v>
      </c>
      <c r="AF340" s="507">
        <v>46194</v>
      </c>
      <c r="AG340" s="505">
        <v>317</v>
      </c>
      <c r="AH340" s="505">
        <f>IFERROR(VLOOKUP(Таблица3[[#This Row],[№ акта]],'Степень зрелости 2026'!$H$12:$I$800,2,FALSE),)</f>
        <v>53</v>
      </c>
      <c r="AJ340" s="508">
        <v>352</v>
      </c>
      <c r="AK340" s="509">
        <v>46194</v>
      </c>
      <c r="AL340" s="508">
        <v>470</v>
      </c>
      <c r="AO340" s="508">
        <v>3980</v>
      </c>
      <c r="AP340" s="508">
        <v>3562.1</v>
      </c>
      <c r="AQ340" s="508" t="s">
        <v>3464</v>
      </c>
      <c r="AR340" s="508" t="s">
        <v>909</v>
      </c>
      <c r="AS340" s="508" t="s">
        <v>3114</v>
      </c>
      <c r="AT340" s="508" t="s">
        <v>737</v>
      </c>
      <c r="AV340" s="508" t="s">
        <v>738</v>
      </c>
      <c r="AX340" s="508" t="s">
        <v>3114</v>
      </c>
      <c r="AY340" s="508" t="s">
        <v>909</v>
      </c>
      <c r="AZ340" s="508">
        <v>1.1000000000000001</v>
      </c>
      <c r="BA340" s="508" t="s">
        <v>52</v>
      </c>
      <c r="BB340" s="508" t="s">
        <v>178</v>
      </c>
      <c r="BC340" s="508">
        <v>17</v>
      </c>
      <c r="BD340" s="509">
        <v>46193</v>
      </c>
      <c r="BG340" s="508" t="s">
        <v>724</v>
      </c>
      <c r="BH340" s="508" t="s">
        <v>2940</v>
      </c>
      <c r="BI340" s="508">
        <v>317</v>
      </c>
      <c r="BJ340" s="508">
        <v>53</v>
      </c>
    </row>
    <row r="341" spans="1:62" s="508" customFormat="1" ht="14.25" hidden="1" customHeight="1" x14ac:dyDescent="0.2">
      <c r="A341" s="495"/>
      <c r="B341" s="496"/>
      <c r="C341" s="497">
        <f>Таблица3[[#This Row],[Степень зрелости вспом]]</f>
        <v>56</v>
      </c>
      <c r="D341" s="498">
        <v>471</v>
      </c>
      <c r="E341" s="499"/>
      <c r="F341" s="496"/>
      <c r="G341" s="496">
        <v>12720</v>
      </c>
      <c r="H341" s="500"/>
      <c r="I341" s="496">
        <v>11002.8</v>
      </c>
      <c r="J341" s="495" t="s">
        <v>3464</v>
      </c>
      <c r="K341" s="495" t="s">
        <v>909</v>
      </c>
      <c r="L341" s="495" t="s">
        <v>3114</v>
      </c>
      <c r="M341" s="495" t="s">
        <v>894</v>
      </c>
      <c r="N341" s="495"/>
      <c r="O341" s="495"/>
      <c r="P341" s="495"/>
      <c r="Q341" s="495"/>
      <c r="R341" s="501" t="s">
        <v>895</v>
      </c>
      <c r="S341" s="495"/>
      <c r="T341" s="482" t="str">
        <f>VLOOKUP(Таблица3[[#This Row],[№ акта]],$AJ$1:$BJ$691,15,FALSE)</f>
        <v>12 Агролидер</v>
      </c>
      <c r="U341" s="482" t="str">
        <f>VLOOKUP(Таблица3[[#This Row],[№ акта]],$AJ$1:$BJ$691,16,FALSE)</f>
        <v>Тристар</v>
      </c>
      <c r="V341" s="502">
        <f>VLOOKUP(Таблица3[[#This Row],[№ акта]],$AJ$1:$BJ$691,17,FALSE)</f>
        <v>3.5</v>
      </c>
      <c r="W341" s="502" t="str">
        <f>VLOOKUP(Таблица3[[#This Row],[№ акта]],$AJ$1:$BJ$691,18,FALSE)</f>
        <v>Агролидер (полив)</v>
      </c>
      <c r="X341" s="502" t="str">
        <f>VLOOKUP(Таблица3[[#This Row],[№ акта]],$AJ$1:$BJ$691,19,FALSE)</f>
        <v>полив</v>
      </c>
      <c r="Y341" s="503">
        <f>VLOOKUP(Таблица3[[#This Row],[№ акта]],$AJ$1:$BJ$691,20,FALSE)</f>
        <v>17</v>
      </c>
      <c r="Z341" s="504">
        <f>VLOOKUP(Таблица3[[#This Row],[№ акта]],$AJ$1:$BJ$691,21,FALSE)</f>
        <v>46193</v>
      </c>
      <c r="AA341" s="504"/>
      <c r="AB341" s="504" t="str">
        <f>IF(VLOOKUP(Таблица3[[#This Row],[№ акта]],$AJ$1:$BJ$691,23,FALSE)&lt;&gt;0,VLOOKUP(Таблица3[[#This Row],[№ акта]],$AJ$1:$BJ$691,23,FALSE),"-")</f>
        <v>-</v>
      </c>
      <c r="AC34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41" s="506" t="s">
        <v>2940</v>
      </c>
      <c r="AE341" s="505">
        <v>353</v>
      </c>
      <c r="AF341" s="507">
        <v>46194</v>
      </c>
      <c r="AG341" s="505">
        <v>6</v>
      </c>
      <c r="AH341" s="505">
        <f>IFERROR(VLOOKUP(Таблица3[[#This Row],[№ акта]],'Степень зрелости 2026'!$H$12:$I$800,2,FALSE),)</f>
        <v>56</v>
      </c>
      <c r="AJ341" s="508">
        <v>353</v>
      </c>
      <c r="AK341" s="509">
        <v>46194</v>
      </c>
      <c r="AL341" s="508">
        <v>471</v>
      </c>
      <c r="AO341" s="508">
        <v>12720</v>
      </c>
      <c r="AP341" s="508">
        <v>11002.8</v>
      </c>
      <c r="AQ341" s="508" t="s">
        <v>3464</v>
      </c>
      <c r="AR341" s="508" t="s">
        <v>909</v>
      </c>
      <c r="AS341" s="508" t="s">
        <v>3114</v>
      </c>
      <c r="AT341" s="508" t="s">
        <v>894</v>
      </c>
      <c r="AV341" s="508" t="s">
        <v>895</v>
      </c>
      <c r="AX341" s="508" t="s">
        <v>3114</v>
      </c>
      <c r="AY341" s="508" t="s">
        <v>909</v>
      </c>
      <c r="AZ341" s="508">
        <v>3.5</v>
      </c>
      <c r="BA341" s="508" t="s">
        <v>52</v>
      </c>
      <c r="BB341" s="508" t="s">
        <v>178</v>
      </c>
      <c r="BC341" s="508">
        <v>17</v>
      </c>
      <c r="BD341" s="509">
        <v>46193</v>
      </c>
      <c r="BG341" s="508" t="s">
        <v>724</v>
      </c>
      <c r="BH341" s="508" t="s">
        <v>2940</v>
      </c>
      <c r="BI341" s="508">
        <v>6</v>
      </c>
      <c r="BJ341" s="508">
        <v>56</v>
      </c>
    </row>
    <row r="342" spans="1:62" s="508" customFormat="1" ht="14.25" hidden="1" customHeight="1" x14ac:dyDescent="0.2">
      <c r="A342" s="495"/>
      <c r="B342" s="496"/>
      <c r="C342" s="497">
        <f>Таблица3[[#This Row],[Степень зрелости вспом]]</f>
        <v>56</v>
      </c>
      <c r="D342" s="498">
        <v>472</v>
      </c>
      <c r="E342" s="499"/>
      <c r="F342" s="496"/>
      <c r="G342" s="496">
        <v>12650</v>
      </c>
      <c r="H342" s="500"/>
      <c r="I342" s="496">
        <v>10942.2</v>
      </c>
      <c r="J342" s="495" t="s">
        <v>3464</v>
      </c>
      <c r="K342" s="495" t="s">
        <v>909</v>
      </c>
      <c r="L342" s="495" t="s">
        <v>3114</v>
      </c>
      <c r="M342" s="495" t="s">
        <v>3377</v>
      </c>
      <c r="N342" s="495"/>
      <c r="O342" s="495"/>
      <c r="P342" s="495"/>
      <c r="Q342" s="495"/>
      <c r="R342" s="501" t="s">
        <v>3196</v>
      </c>
      <c r="S342" s="495"/>
      <c r="T342" s="482" t="str">
        <f>VLOOKUP(Таблица3[[#This Row],[№ акта]],$AJ$1:$BJ$691,15,FALSE)</f>
        <v>18 Агролидер</v>
      </c>
      <c r="U342" s="482" t="str">
        <f>VLOOKUP(Таблица3[[#This Row],[№ акта]],$AJ$1:$BJ$691,16,FALSE)</f>
        <v>Тристар</v>
      </c>
      <c r="V342" s="502">
        <f>VLOOKUP(Таблица3[[#This Row],[№ акта]],$AJ$1:$BJ$691,17,FALSE)</f>
        <v>2</v>
      </c>
      <c r="W342" s="502" t="str">
        <f>VLOOKUP(Таблица3[[#This Row],[№ акта]],$AJ$1:$BJ$691,18,FALSE)</f>
        <v>Агролидер (полив)</v>
      </c>
      <c r="X342" s="502" t="str">
        <f>VLOOKUP(Таблица3[[#This Row],[№ акта]],$AJ$1:$BJ$691,19,FALSE)</f>
        <v>полив</v>
      </c>
      <c r="Y342" s="503">
        <f>VLOOKUP(Таблица3[[#This Row],[№ акта]],$AJ$1:$BJ$691,20,FALSE)</f>
        <v>18</v>
      </c>
      <c r="Z342" s="504">
        <f>VLOOKUP(Таблица3[[#This Row],[№ акта]],$AJ$1:$BJ$691,21,FALSE)</f>
        <v>46194</v>
      </c>
      <c r="AA342" s="504"/>
      <c r="AB342" s="504" t="str">
        <f>IF(VLOOKUP(Таблица3[[#This Row],[№ акта]],$AJ$1:$BJ$691,23,FALSE)&lt;&gt;0,VLOOKUP(Таблица3[[#This Row],[№ акта]],$AJ$1:$BJ$691,23,FALSE),"-")</f>
        <v>-</v>
      </c>
      <c r="AC34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42" s="506" t="s">
        <v>2940</v>
      </c>
      <c r="AE342" s="505">
        <v>355</v>
      </c>
      <c r="AF342" s="507">
        <v>46194</v>
      </c>
      <c r="AG342" s="505">
        <v>7</v>
      </c>
      <c r="AH342" s="505">
        <f>IFERROR(VLOOKUP(Таблица3[[#This Row],[№ акта]],'Степень зрелости 2026'!$H$12:$I$800,2,FALSE),)</f>
        <v>56</v>
      </c>
      <c r="AJ342" s="508">
        <v>355</v>
      </c>
      <c r="AK342" s="509">
        <v>46194</v>
      </c>
      <c r="AL342" s="508">
        <v>472</v>
      </c>
      <c r="AO342" s="508">
        <v>12650</v>
      </c>
      <c r="AP342" s="508">
        <v>10942.2</v>
      </c>
      <c r="AQ342" s="508" t="s">
        <v>3464</v>
      </c>
      <c r="AR342" s="508" t="s">
        <v>909</v>
      </c>
      <c r="AS342" s="508" t="s">
        <v>3114</v>
      </c>
      <c r="AT342" s="508" t="s">
        <v>3377</v>
      </c>
      <c r="AV342" s="508" t="s">
        <v>3196</v>
      </c>
      <c r="AX342" s="508" t="s">
        <v>3116</v>
      </c>
      <c r="AY342" s="508" t="s">
        <v>909</v>
      </c>
      <c r="AZ342" s="508">
        <v>2</v>
      </c>
      <c r="BA342" s="508" t="s">
        <v>52</v>
      </c>
      <c r="BB342" s="508" t="s">
        <v>178</v>
      </c>
      <c r="BC342" s="508">
        <v>18</v>
      </c>
      <c r="BD342" s="509">
        <v>46194</v>
      </c>
      <c r="BG342" s="508" t="s">
        <v>724</v>
      </c>
      <c r="BH342" s="508" t="s">
        <v>2940</v>
      </c>
      <c r="BI342" s="508">
        <v>7</v>
      </c>
      <c r="BJ342" s="508">
        <v>56</v>
      </c>
    </row>
    <row r="343" spans="1:62" s="508" customFormat="1" ht="14.25" hidden="1" customHeight="1" x14ac:dyDescent="0.2">
      <c r="A343" s="495"/>
      <c r="B343" s="496"/>
      <c r="C343" s="497">
        <f>Таблица3[[#This Row],[Степень зрелости вспом]]</f>
        <v>54</v>
      </c>
      <c r="D343" s="498">
        <v>473</v>
      </c>
      <c r="E343" s="499"/>
      <c r="F343" s="496"/>
      <c r="G343" s="496">
        <v>12990</v>
      </c>
      <c r="H343" s="500"/>
      <c r="I343" s="496">
        <v>10911.6</v>
      </c>
      <c r="J343" s="495" t="s">
        <v>3464</v>
      </c>
      <c r="K343" s="495" t="s">
        <v>909</v>
      </c>
      <c r="L343" s="495" t="s">
        <v>3114</v>
      </c>
      <c r="M343" s="495" t="s">
        <v>311</v>
      </c>
      <c r="N343" s="495"/>
      <c r="O343" s="495"/>
      <c r="P343" s="495"/>
      <c r="Q343" s="495"/>
      <c r="R343" s="501" t="s">
        <v>315</v>
      </c>
      <c r="S343" s="495"/>
      <c r="T343" s="482" t="str">
        <f>VLOOKUP(Таблица3[[#This Row],[№ акта]],$AJ$1:$BJ$691,15,FALSE)</f>
        <v>18 Агролидер</v>
      </c>
      <c r="U343" s="482" t="str">
        <f>VLOOKUP(Таблица3[[#This Row],[№ акта]],$AJ$1:$BJ$691,16,FALSE)</f>
        <v>Тристар</v>
      </c>
      <c r="V343" s="502">
        <f>VLOOKUP(Таблица3[[#This Row],[№ акта]],$AJ$1:$BJ$691,17,FALSE)</f>
        <v>2.1</v>
      </c>
      <c r="W343" s="502" t="str">
        <f>VLOOKUP(Таблица3[[#This Row],[№ акта]],$AJ$1:$BJ$691,18,FALSE)</f>
        <v>Агролидер (полив)</v>
      </c>
      <c r="X343" s="502" t="str">
        <f>VLOOKUP(Таблица3[[#This Row],[№ акта]],$AJ$1:$BJ$691,19,FALSE)</f>
        <v>полив</v>
      </c>
      <c r="Y343" s="503">
        <f>VLOOKUP(Таблица3[[#This Row],[№ акта]],$AJ$1:$BJ$691,20,FALSE)</f>
        <v>18</v>
      </c>
      <c r="Z343" s="504">
        <f>VLOOKUP(Таблица3[[#This Row],[№ акта]],$AJ$1:$BJ$691,21,FALSE)</f>
        <v>46194</v>
      </c>
      <c r="AA343" s="504"/>
      <c r="AB343" s="504" t="str">
        <f>IF(VLOOKUP(Таблица3[[#This Row],[№ акта]],$AJ$1:$BJ$691,23,FALSE)&lt;&gt;0,VLOOKUP(Таблица3[[#This Row],[№ акта]],$AJ$1:$BJ$691,23,FALSE),"-")</f>
        <v>-</v>
      </c>
      <c r="AC34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43" s="506" t="s">
        <v>2940</v>
      </c>
      <c r="AE343" s="505">
        <v>356</v>
      </c>
      <c r="AF343" s="507">
        <v>46194</v>
      </c>
      <c r="AG343" s="505">
        <v>9</v>
      </c>
      <c r="AH343" s="505">
        <f>IFERROR(VLOOKUP(Таблица3[[#This Row],[№ акта]],'Степень зрелости 2026'!$H$12:$I$800,2,FALSE),)</f>
        <v>54</v>
      </c>
      <c r="AJ343" s="508">
        <v>356</v>
      </c>
      <c r="AK343" s="509">
        <v>46194</v>
      </c>
      <c r="AL343" s="508">
        <v>473</v>
      </c>
      <c r="AO343" s="508">
        <v>12990</v>
      </c>
      <c r="AP343" s="508">
        <v>10911.6</v>
      </c>
      <c r="AQ343" s="508" t="s">
        <v>3464</v>
      </c>
      <c r="AR343" s="508" t="s">
        <v>909</v>
      </c>
      <c r="AS343" s="508" t="s">
        <v>3114</v>
      </c>
      <c r="AT343" s="508" t="s">
        <v>311</v>
      </c>
      <c r="AV343" s="508" t="s">
        <v>315</v>
      </c>
      <c r="AX343" s="508" t="s">
        <v>3116</v>
      </c>
      <c r="AY343" s="508" t="s">
        <v>909</v>
      </c>
      <c r="AZ343" s="508">
        <v>2.1</v>
      </c>
      <c r="BA343" s="508" t="s">
        <v>52</v>
      </c>
      <c r="BB343" s="508" t="s">
        <v>178</v>
      </c>
      <c r="BC343" s="508">
        <v>18</v>
      </c>
      <c r="BD343" s="509">
        <v>46194</v>
      </c>
      <c r="BG343" s="508" t="s">
        <v>724</v>
      </c>
      <c r="BH343" s="508" t="s">
        <v>2940</v>
      </c>
      <c r="BI343" s="508">
        <v>9</v>
      </c>
      <c r="BJ343" s="508">
        <v>54</v>
      </c>
    </row>
    <row r="344" spans="1:62" s="508" customFormat="1" ht="14.25" hidden="1" customHeight="1" x14ac:dyDescent="0.2">
      <c r="A344" s="495"/>
      <c r="B344" s="496"/>
      <c r="C344" s="497">
        <f>Таблица3[[#This Row],[Степень зрелости вспом]]</f>
        <v>56</v>
      </c>
      <c r="D344" s="498">
        <v>474</v>
      </c>
      <c r="E344" s="499"/>
      <c r="F344" s="496"/>
      <c r="G344" s="496">
        <v>12770</v>
      </c>
      <c r="H344" s="500"/>
      <c r="I344" s="496">
        <v>11620.7</v>
      </c>
      <c r="J344" s="495" t="s">
        <v>3464</v>
      </c>
      <c r="K344" s="495" t="s">
        <v>909</v>
      </c>
      <c r="L344" s="495" t="s">
        <v>3114</v>
      </c>
      <c r="M344" s="495" t="s">
        <v>212</v>
      </c>
      <c r="N344" s="495"/>
      <c r="O344" s="495"/>
      <c r="P344" s="495"/>
      <c r="Q344" s="495"/>
      <c r="R344" s="501" t="s">
        <v>2965</v>
      </c>
      <c r="S344" s="495"/>
      <c r="T344" s="482" t="str">
        <f>VLOOKUP(Таблица3[[#This Row],[№ акта]],$AJ$1:$BJ$691,15,FALSE)</f>
        <v>18 Агролидер</v>
      </c>
      <c r="U344" s="482" t="str">
        <f>VLOOKUP(Таблица3[[#This Row],[№ акта]],$AJ$1:$BJ$691,16,FALSE)</f>
        <v>Тристар</v>
      </c>
      <c r="V344" s="502">
        <f>VLOOKUP(Таблица3[[#This Row],[№ акта]],$AJ$1:$BJ$691,17,FALSE)</f>
        <v>2</v>
      </c>
      <c r="W344" s="502" t="str">
        <f>VLOOKUP(Таблица3[[#This Row],[№ акта]],$AJ$1:$BJ$691,18,FALSE)</f>
        <v>Агролидер (полив)</v>
      </c>
      <c r="X344" s="502" t="str">
        <f>VLOOKUP(Таблица3[[#This Row],[№ акта]],$AJ$1:$BJ$691,19,FALSE)</f>
        <v>полив</v>
      </c>
      <c r="Y344" s="503">
        <f>VLOOKUP(Таблица3[[#This Row],[№ акта]],$AJ$1:$BJ$691,20,FALSE)</f>
        <v>18</v>
      </c>
      <c r="Z344" s="504">
        <f>VLOOKUP(Таблица3[[#This Row],[№ акта]],$AJ$1:$BJ$691,21,FALSE)</f>
        <v>46194</v>
      </c>
      <c r="AA344" s="504"/>
      <c r="AB344" s="504" t="str">
        <f>IF(VLOOKUP(Таблица3[[#This Row],[№ акта]],$AJ$1:$BJ$691,23,FALSE)&lt;&gt;0,VLOOKUP(Таблица3[[#This Row],[№ акта]],$AJ$1:$BJ$691,23,FALSE),"-")</f>
        <v>-</v>
      </c>
      <c r="AC34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44" s="506" t="s">
        <v>2940</v>
      </c>
      <c r="AE344" s="505">
        <v>357</v>
      </c>
      <c r="AF344" s="507">
        <v>46194</v>
      </c>
      <c r="AG344" s="505">
        <v>11</v>
      </c>
      <c r="AH344" s="505">
        <f>IFERROR(VLOOKUP(Таблица3[[#This Row],[№ акта]],'Степень зрелости 2026'!$H$12:$I$800,2,FALSE),)</f>
        <v>56</v>
      </c>
      <c r="AJ344" s="508">
        <v>357</v>
      </c>
      <c r="AK344" s="509">
        <v>46194</v>
      </c>
      <c r="AL344" s="508">
        <v>474</v>
      </c>
      <c r="AO344" s="508">
        <v>12770</v>
      </c>
      <c r="AP344" s="508">
        <v>11620.7</v>
      </c>
      <c r="AQ344" s="508" t="s">
        <v>3464</v>
      </c>
      <c r="AR344" s="508" t="s">
        <v>909</v>
      </c>
      <c r="AS344" s="508" t="s">
        <v>3114</v>
      </c>
      <c r="AT344" s="508" t="s">
        <v>212</v>
      </c>
      <c r="AV344" s="508" t="s">
        <v>2965</v>
      </c>
      <c r="AX344" s="508" t="s">
        <v>3116</v>
      </c>
      <c r="AY344" s="508" t="s">
        <v>909</v>
      </c>
      <c r="AZ344" s="508">
        <v>2</v>
      </c>
      <c r="BA344" s="508" t="s">
        <v>52</v>
      </c>
      <c r="BB344" s="508" t="s">
        <v>178</v>
      </c>
      <c r="BC344" s="508">
        <v>18</v>
      </c>
      <c r="BD344" s="509">
        <v>46194</v>
      </c>
      <c r="BG344" s="508" t="s">
        <v>724</v>
      </c>
      <c r="BH344" s="508" t="s">
        <v>2940</v>
      </c>
      <c r="BI344" s="508">
        <v>11</v>
      </c>
      <c r="BJ344" s="508">
        <v>56</v>
      </c>
    </row>
    <row r="345" spans="1:62" s="508" customFormat="1" ht="14.25" hidden="1" customHeight="1" x14ac:dyDescent="0.2">
      <c r="A345" s="495"/>
      <c r="B345" s="496"/>
      <c r="C345" s="497">
        <f>Таблица3[[#This Row],[Степень зрелости вспом]]</f>
        <v>52</v>
      </c>
      <c r="D345" s="498">
        <v>475</v>
      </c>
      <c r="E345" s="499"/>
      <c r="F345" s="496"/>
      <c r="G345" s="496">
        <v>4340</v>
      </c>
      <c r="H345" s="500"/>
      <c r="I345" s="496">
        <v>3710.7</v>
      </c>
      <c r="J345" s="495" t="s">
        <v>3375</v>
      </c>
      <c r="K345" s="495" t="s">
        <v>1755</v>
      </c>
      <c r="L345" s="495" t="s">
        <v>864</v>
      </c>
      <c r="M345" s="495" t="s">
        <v>762</v>
      </c>
      <c r="N345" s="495"/>
      <c r="O345" s="495"/>
      <c r="P345" s="495"/>
      <c r="Q345" s="495"/>
      <c r="R345" s="501" t="s">
        <v>763</v>
      </c>
      <c r="S345" s="495"/>
      <c r="T345" s="482" t="str">
        <f>VLOOKUP(Таблица3[[#This Row],[№ акта]],$AJ$1:$BJ$691,15,FALSE)</f>
        <v>А-54</v>
      </c>
      <c r="U345" s="482" t="str">
        <f>VLOOKUP(Таблица3[[#This Row],[№ акта]],$AJ$1:$BJ$691,16,FALSE)</f>
        <v>Женева</v>
      </c>
      <c r="V345" s="502">
        <f>VLOOKUP(Таблица3[[#This Row],[№ акта]],$AJ$1:$BJ$691,17,FALSE)</f>
        <v>0.8</v>
      </c>
      <c r="W345" s="502" t="str">
        <f>VLOOKUP(Таблица3[[#This Row],[№ акта]],$AJ$1:$BJ$691,18,FALSE)</f>
        <v>ГРК (полив)</v>
      </c>
      <c r="X345" s="502" t="str">
        <f>VLOOKUP(Таблица3[[#This Row],[№ акта]],$AJ$1:$BJ$691,19,FALSE)</f>
        <v>полив</v>
      </c>
      <c r="Y345" s="503">
        <f>VLOOKUP(Таблица3[[#This Row],[№ акта]],$AJ$1:$BJ$691,20,FALSE)</f>
        <v>18</v>
      </c>
      <c r="Z345" s="504">
        <f>VLOOKUP(Таблица3[[#This Row],[№ акта]],$AJ$1:$BJ$691,21,FALSE)</f>
        <v>46194</v>
      </c>
      <c r="AA345" s="504"/>
      <c r="AB345" s="504" t="str">
        <f>IF(VLOOKUP(Таблица3[[#This Row],[№ акта]],$AJ$1:$BJ$691,23,FALSE)&lt;&gt;0,VLOOKUP(Таблица3[[#This Row],[№ акта]],$AJ$1:$BJ$691,23,FALSE),"-")</f>
        <v>-</v>
      </c>
      <c r="AC34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45" s="506" t="s">
        <v>2940</v>
      </c>
      <c r="AE345" s="505">
        <v>358</v>
      </c>
      <c r="AF345" s="507">
        <v>46194</v>
      </c>
      <c r="AG345" s="505">
        <v>311</v>
      </c>
      <c r="AH345" s="505">
        <f>IFERROR(VLOOKUP(Таблица3[[#This Row],[№ акта]],'Степень зрелости 2026'!$H$12:$I$800,2,FALSE),)</f>
        <v>52</v>
      </c>
      <c r="AJ345" s="508">
        <v>358</v>
      </c>
      <c r="AK345" s="509">
        <v>46194</v>
      </c>
      <c r="AL345" s="508">
        <v>475</v>
      </c>
      <c r="AO345" s="508">
        <v>4340</v>
      </c>
      <c r="AP345" s="508">
        <v>3710.7</v>
      </c>
      <c r="AQ345" s="508" t="s">
        <v>3375</v>
      </c>
      <c r="AR345" s="508" t="s">
        <v>1755</v>
      </c>
      <c r="AS345" s="508" t="s">
        <v>864</v>
      </c>
      <c r="AT345" s="508" t="s">
        <v>762</v>
      </c>
      <c r="AV345" s="508" t="s">
        <v>763</v>
      </c>
      <c r="AX345" s="508" t="s">
        <v>864</v>
      </c>
      <c r="AY345" s="508" t="s">
        <v>1755</v>
      </c>
      <c r="AZ345" s="508">
        <v>0.8</v>
      </c>
      <c r="BA345" s="508" t="s">
        <v>2932</v>
      </c>
      <c r="BB345" s="508" t="s">
        <v>178</v>
      </c>
      <c r="BC345" s="508">
        <v>18</v>
      </c>
      <c r="BD345" s="509">
        <v>46194</v>
      </c>
      <c r="BG345" s="508" t="s">
        <v>3557</v>
      </c>
      <c r="BH345" s="508" t="s">
        <v>2940</v>
      </c>
      <c r="BI345" s="508">
        <v>311</v>
      </c>
      <c r="BJ345" s="508">
        <v>52</v>
      </c>
    </row>
    <row r="346" spans="1:62" s="508" customFormat="1" ht="14.25" hidden="1" customHeight="1" x14ac:dyDescent="0.2">
      <c r="A346" s="495"/>
      <c r="B346" s="496"/>
      <c r="C346" s="497">
        <f>Таблица3[[#This Row],[Степень зрелости вспом]]</f>
        <v>53</v>
      </c>
      <c r="D346" s="498">
        <v>476</v>
      </c>
      <c r="E346" s="499"/>
      <c r="F346" s="496"/>
      <c r="G346" s="496">
        <v>13220</v>
      </c>
      <c r="H346" s="500"/>
      <c r="I346" s="496">
        <v>11369.2</v>
      </c>
      <c r="J346" s="495" t="s">
        <v>3375</v>
      </c>
      <c r="K346" s="495" t="s">
        <v>1755</v>
      </c>
      <c r="L346" s="495" t="s">
        <v>864</v>
      </c>
      <c r="M346" s="495" t="s">
        <v>127</v>
      </c>
      <c r="N346" s="495"/>
      <c r="O346" s="495"/>
      <c r="P346" s="495"/>
      <c r="Q346" s="495"/>
      <c r="R346" s="501" t="s">
        <v>131</v>
      </c>
      <c r="S346" s="495"/>
      <c r="T346" s="482" t="str">
        <f>VLOOKUP(Таблица3[[#This Row],[№ акта]],$AJ$1:$BJ$691,15,FALSE)</f>
        <v>А-54</v>
      </c>
      <c r="U346" s="482" t="str">
        <f>VLOOKUP(Таблица3[[#This Row],[№ акта]],$AJ$1:$BJ$691,16,FALSE)</f>
        <v>Женева</v>
      </c>
      <c r="V346" s="502">
        <f>VLOOKUP(Таблица3[[#This Row],[№ акта]],$AJ$1:$BJ$691,17,FALSE)</f>
        <v>2.6</v>
      </c>
      <c r="W346" s="502" t="str">
        <f>VLOOKUP(Таблица3[[#This Row],[№ акта]],$AJ$1:$BJ$691,18,FALSE)</f>
        <v>ГРК (полив)</v>
      </c>
      <c r="X346" s="502" t="str">
        <f>VLOOKUP(Таблица3[[#This Row],[№ акта]],$AJ$1:$BJ$691,19,FALSE)</f>
        <v>полив</v>
      </c>
      <c r="Y346" s="503">
        <f>VLOOKUP(Таблица3[[#This Row],[№ акта]],$AJ$1:$BJ$691,20,FALSE)</f>
        <v>18</v>
      </c>
      <c r="Z346" s="504">
        <f>VLOOKUP(Таблица3[[#This Row],[№ акта]],$AJ$1:$BJ$691,21,FALSE)</f>
        <v>46194</v>
      </c>
      <c r="AA346" s="504"/>
      <c r="AB346" s="504" t="str">
        <f>IF(VLOOKUP(Таблица3[[#This Row],[№ акта]],$AJ$1:$BJ$691,23,FALSE)&lt;&gt;0,VLOOKUP(Таблица3[[#This Row],[№ акта]],$AJ$1:$BJ$691,23,FALSE),"-")</f>
        <v>-</v>
      </c>
      <c r="AC34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46" s="506" t="s">
        <v>2940</v>
      </c>
      <c r="AE346" s="505">
        <v>359</v>
      </c>
      <c r="AF346" s="507">
        <v>46194</v>
      </c>
      <c r="AG346" s="505">
        <v>312</v>
      </c>
      <c r="AH346" s="505">
        <f>IFERROR(VLOOKUP(Таблица3[[#This Row],[№ акта]],'Степень зрелости 2026'!$H$12:$I$800,2,FALSE),)</f>
        <v>53</v>
      </c>
      <c r="AJ346" s="508">
        <v>359</v>
      </c>
      <c r="AK346" s="509">
        <v>46194</v>
      </c>
      <c r="AL346" s="508">
        <v>476</v>
      </c>
      <c r="AO346" s="508">
        <v>13220</v>
      </c>
      <c r="AP346" s="508">
        <v>11369.2</v>
      </c>
      <c r="AQ346" s="508" t="s">
        <v>3375</v>
      </c>
      <c r="AR346" s="508" t="s">
        <v>1755</v>
      </c>
      <c r="AS346" s="508" t="s">
        <v>864</v>
      </c>
      <c r="AT346" s="508" t="s">
        <v>127</v>
      </c>
      <c r="AV346" s="508" t="s">
        <v>131</v>
      </c>
      <c r="AX346" s="508" t="s">
        <v>864</v>
      </c>
      <c r="AY346" s="508" t="s">
        <v>1755</v>
      </c>
      <c r="AZ346" s="508">
        <v>2.6</v>
      </c>
      <c r="BA346" s="508" t="s">
        <v>2932</v>
      </c>
      <c r="BB346" s="508" t="s">
        <v>178</v>
      </c>
      <c r="BC346" s="508">
        <v>18</v>
      </c>
      <c r="BD346" s="509">
        <v>46194</v>
      </c>
      <c r="BG346" s="508" t="s">
        <v>724</v>
      </c>
      <c r="BH346" s="508" t="s">
        <v>2940</v>
      </c>
      <c r="BI346" s="508">
        <v>312</v>
      </c>
      <c r="BJ346" s="508">
        <v>53</v>
      </c>
    </row>
    <row r="347" spans="1:62" s="508" customFormat="1" ht="14.25" hidden="1" customHeight="1" x14ac:dyDescent="0.2">
      <c r="A347" s="495"/>
      <c r="B347" s="496"/>
      <c r="C347" s="497">
        <f>Таблица3[[#This Row],[Степень зрелости вспом]]</f>
        <v>57</v>
      </c>
      <c r="D347" s="498">
        <v>477</v>
      </c>
      <c r="E347" s="499"/>
      <c r="F347" s="496"/>
      <c r="G347" s="496">
        <v>12810</v>
      </c>
      <c r="H347" s="500"/>
      <c r="I347" s="496">
        <v>11657.1</v>
      </c>
      <c r="J347" s="495" t="s">
        <v>3464</v>
      </c>
      <c r="K347" s="495" t="s">
        <v>909</v>
      </c>
      <c r="L347" s="495" t="s">
        <v>3114</v>
      </c>
      <c r="M347" s="495" t="s">
        <v>121</v>
      </c>
      <c r="N347" s="495"/>
      <c r="O347" s="495"/>
      <c r="P347" s="495"/>
      <c r="Q347" s="495"/>
      <c r="R347" s="501" t="s">
        <v>125</v>
      </c>
      <c r="S347" s="495"/>
      <c r="T347" s="482" t="str">
        <f>VLOOKUP(Таблица3[[#This Row],[№ акта]],$AJ$1:$BJ$691,15,FALSE)</f>
        <v>18 Агролидер</v>
      </c>
      <c r="U347" s="482" t="str">
        <f>VLOOKUP(Таблица3[[#This Row],[№ акта]],$AJ$1:$BJ$691,16,FALSE)</f>
        <v>Тристар</v>
      </c>
      <c r="V347" s="502">
        <f>VLOOKUP(Таблица3[[#This Row],[№ акта]],$AJ$1:$BJ$691,17,FALSE)</f>
        <v>2</v>
      </c>
      <c r="W347" s="502" t="str">
        <f>VLOOKUP(Таблица3[[#This Row],[№ акта]],$AJ$1:$BJ$691,18,FALSE)</f>
        <v>Агролидер (полив)</v>
      </c>
      <c r="X347" s="502" t="str">
        <f>VLOOKUP(Таблица3[[#This Row],[№ акта]],$AJ$1:$BJ$691,19,FALSE)</f>
        <v>полив</v>
      </c>
      <c r="Y347" s="503">
        <f>VLOOKUP(Таблица3[[#This Row],[№ акта]],$AJ$1:$BJ$691,20,FALSE)</f>
        <v>18</v>
      </c>
      <c r="Z347" s="504">
        <f>VLOOKUP(Таблица3[[#This Row],[№ акта]],$AJ$1:$BJ$691,21,FALSE)</f>
        <v>46194</v>
      </c>
      <c r="AA347" s="504"/>
      <c r="AB347" s="504" t="str">
        <f>IF(VLOOKUP(Таблица3[[#This Row],[№ акта]],$AJ$1:$BJ$691,23,FALSE)&lt;&gt;0,VLOOKUP(Таблица3[[#This Row],[№ акта]],$AJ$1:$BJ$691,23,FALSE),"-")</f>
        <v>-</v>
      </c>
      <c r="AC34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47" s="506" t="s">
        <v>2940</v>
      </c>
      <c r="AE347" s="505">
        <v>360</v>
      </c>
      <c r="AF347" s="507">
        <v>46194</v>
      </c>
      <c r="AG347" s="505">
        <v>10</v>
      </c>
      <c r="AH347" s="505">
        <f>IFERROR(VLOOKUP(Таблица3[[#This Row],[№ акта]],'Степень зрелости 2026'!$H$12:$I$800,2,FALSE),)</f>
        <v>57</v>
      </c>
      <c r="AJ347" s="508">
        <v>360</v>
      </c>
      <c r="AK347" s="509">
        <v>46194</v>
      </c>
      <c r="AL347" s="508">
        <v>477</v>
      </c>
      <c r="AO347" s="508">
        <v>12810</v>
      </c>
      <c r="AP347" s="508">
        <v>11657.1</v>
      </c>
      <c r="AQ347" s="508" t="s">
        <v>3464</v>
      </c>
      <c r="AR347" s="508" t="s">
        <v>909</v>
      </c>
      <c r="AS347" s="508" t="s">
        <v>3114</v>
      </c>
      <c r="AT347" s="508" t="s">
        <v>121</v>
      </c>
      <c r="AV347" s="508" t="s">
        <v>125</v>
      </c>
      <c r="AX347" s="508" t="s">
        <v>3116</v>
      </c>
      <c r="AY347" s="508" t="s">
        <v>909</v>
      </c>
      <c r="AZ347" s="508">
        <v>2</v>
      </c>
      <c r="BA347" s="508" t="s">
        <v>52</v>
      </c>
      <c r="BB347" s="508" t="s">
        <v>178</v>
      </c>
      <c r="BC347" s="508">
        <v>18</v>
      </c>
      <c r="BD347" s="509">
        <v>46194</v>
      </c>
      <c r="BG347" s="508" t="s">
        <v>724</v>
      </c>
      <c r="BH347" s="508" t="s">
        <v>2940</v>
      </c>
      <c r="BI347" s="508">
        <v>10</v>
      </c>
      <c r="BJ347" s="508">
        <v>57</v>
      </c>
    </row>
    <row r="348" spans="1:62" s="508" customFormat="1" ht="14.25" hidden="1" customHeight="1" x14ac:dyDescent="0.2">
      <c r="A348" s="495"/>
      <c r="B348" s="496"/>
      <c r="C348" s="497">
        <f>Таблица3[[#This Row],[Степень зрелости вспом]]</f>
        <v>53</v>
      </c>
      <c r="D348" s="498">
        <v>478</v>
      </c>
      <c r="E348" s="499"/>
      <c r="F348" s="496"/>
      <c r="G348" s="496">
        <v>13650</v>
      </c>
      <c r="H348" s="500"/>
      <c r="I348" s="496">
        <v>12148.5</v>
      </c>
      <c r="J348" s="495" t="s">
        <v>3375</v>
      </c>
      <c r="K348" s="495" t="s">
        <v>1755</v>
      </c>
      <c r="L348" s="495" t="s">
        <v>864</v>
      </c>
      <c r="M348" s="495" t="s">
        <v>311</v>
      </c>
      <c r="N348" s="495"/>
      <c r="O348" s="495"/>
      <c r="P348" s="495"/>
      <c r="Q348" s="495"/>
      <c r="R348" s="501" t="s">
        <v>315</v>
      </c>
      <c r="S348" s="495"/>
      <c r="T348" s="482" t="str">
        <f>VLOOKUP(Таблица3[[#This Row],[№ акта]],$AJ$1:$BJ$691,15,FALSE)</f>
        <v>А-54</v>
      </c>
      <c r="U348" s="482" t="str">
        <f>VLOOKUP(Таблица3[[#This Row],[№ акта]],$AJ$1:$BJ$691,16,FALSE)</f>
        <v>Женева</v>
      </c>
      <c r="V348" s="502">
        <f>VLOOKUP(Таблица3[[#This Row],[№ акта]],$AJ$1:$BJ$691,17,FALSE)</f>
        <v>2.6</v>
      </c>
      <c r="W348" s="502" t="str">
        <f>VLOOKUP(Таблица3[[#This Row],[№ акта]],$AJ$1:$BJ$691,18,FALSE)</f>
        <v>ГРК (полив)</v>
      </c>
      <c r="X348" s="502" t="str">
        <f>VLOOKUP(Таблица3[[#This Row],[№ акта]],$AJ$1:$BJ$691,19,FALSE)</f>
        <v>полив</v>
      </c>
      <c r="Y348" s="503">
        <f>VLOOKUP(Таблица3[[#This Row],[№ акта]],$AJ$1:$BJ$691,20,FALSE)</f>
        <v>18</v>
      </c>
      <c r="Z348" s="504">
        <f>VLOOKUP(Таблица3[[#This Row],[№ акта]],$AJ$1:$BJ$691,21,FALSE)</f>
        <v>46194</v>
      </c>
      <c r="AA348" s="504"/>
      <c r="AB348" s="504" t="str">
        <f>IF(VLOOKUP(Таблица3[[#This Row],[№ акта]],$AJ$1:$BJ$691,23,FALSE)&lt;&gt;0,VLOOKUP(Таблица3[[#This Row],[№ акта]],$AJ$1:$BJ$691,23,FALSE),"-")</f>
        <v>-</v>
      </c>
      <c r="AC34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48" s="506" t="s">
        <v>2940</v>
      </c>
      <c r="AE348" s="505">
        <v>361</v>
      </c>
      <c r="AF348" s="507">
        <v>46194</v>
      </c>
      <c r="AG348" s="505">
        <v>313</v>
      </c>
      <c r="AH348" s="505">
        <f>IFERROR(VLOOKUP(Таблица3[[#This Row],[№ акта]],'Степень зрелости 2026'!$H$12:$I$800,2,FALSE),)</f>
        <v>53</v>
      </c>
      <c r="AJ348" s="508">
        <v>361</v>
      </c>
      <c r="AK348" s="509">
        <v>46194</v>
      </c>
      <c r="AL348" s="508">
        <v>478</v>
      </c>
      <c r="AO348" s="508">
        <v>13650</v>
      </c>
      <c r="AP348" s="508">
        <v>12148.5</v>
      </c>
      <c r="AQ348" s="508" t="s">
        <v>3375</v>
      </c>
      <c r="AR348" s="508" t="s">
        <v>1755</v>
      </c>
      <c r="AS348" s="508" t="s">
        <v>864</v>
      </c>
      <c r="AT348" s="508" t="s">
        <v>311</v>
      </c>
      <c r="AV348" s="508" t="s">
        <v>315</v>
      </c>
      <c r="AX348" s="508" t="s">
        <v>864</v>
      </c>
      <c r="AY348" s="508" t="s">
        <v>1755</v>
      </c>
      <c r="AZ348" s="508">
        <v>2.6</v>
      </c>
      <c r="BA348" s="508" t="s">
        <v>2932</v>
      </c>
      <c r="BB348" s="508" t="s">
        <v>178</v>
      </c>
      <c r="BC348" s="508">
        <v>18</v>
      </c>
      <c r="BD348" s="509">
        <v>46194</v>
      </c>
      <c r="BG348" s="508" t="s">
        <v>724</v>
      </c>
      <c r="BH348" s="508" t="s">
        <v>2940</v>
      </c>
      <c r="BI348" s="508">
        <v>313</v>
      </c>
      <c r="BJ348" s="508">
        <v>53</v>
      </c>
    </row>
    <row r="349" spans="1:62" s="508" customFormat="1" ht="14.25" hidden="1" customHeight="1" x14ac:dyDescent="0.2">
      <c r="A349" s="495"/>
      <c r="B349" s="496"/>
      <c r="C349" s="497">
        <f>Таблица3[[#This Row],[Степень зрелости вспом]]</f>
        <v>59</v>
      </c>
      <c r="D349" s="498">
        <v>479</v>
      </c>
      <c r="E349" s="499"/>
      <c r="F349" s="496"/>
      <c r="G349" s="496">
        <v>12870</v>
      </c>
      <c r="H349" s="500"/>
      <c r="I349" s="496">
        <v>11132.6</v>
      </c>
      <c r="J349" s="495" t="s">
        <v>3464</v>
      </c>
      <c r="K349" s="495" t="s">
        <v>909</v>
      </c>
      <c r="L349" s="495" t="s">
        <v>3114</v>
      </c>
      <c r="M349" s="495" t="s">
        <v>239</v>
      </c>
      <c r="N349" s="495"/>
      <c r="O349" s="495"/>
      <c r="P349" s="495"/>
      <c r="Q349" s="495"/>
      <c r="R349" s="501" t="s">
        <v>243</v>
      </c>
      <c r="S349" s="495"/>
      <c r="T349" s="482" t="str">
        <f>VLOOKUP(Таблица3[[#This Row],[№ акта]],$AJ$1:$BJ$691,15,FALSE)</f>
        <v>18 Агролидер</v>
      </c>
      <c r="U349" s="482" t="str">
        <f>VLOOKUP(Таблица3[[#This Row],[№ акта]],$AJ$1:$BJ$691,16,FALSE)</f>
        <v>Тристар</v>
      </c>
      <c r="V349" s="502">
        <f>VLOOKUP(Таблица3[[#This Row],[№ акта]],$AJ$1:$BJ$691,17,FALSE)</f>
        <v>2</v>
      </c>
      <c r="W349" s="502" t="str">
        <f>VLOOKUP(Таблица3[[#This Row],[№ акта]],$AJ$1:$BJ$691,18,FALSE)</f>
        <v>Агролидер (полив)</v>
      </c>
      <c r="X349" s="502" t="str">
        <f>VLOOKUP(Таблица3[[#This Row],[№ акта]],$AJ$1:$BJ$691,19,FALSE)</f>
        <v>полив</v>
      </c>
      <c r="Y349" s="503">
        <f>VLOOKUP(Таблица3[[#This Row],[№ акта]],$AJ$1:$BJ$691,20,FALSE)</f>
        <v>18</v>
      </c>
      <c r="Z349" s="504">
        <f>VLOOKUP(Таблица3[[#This Row],[№ акта]],$AJ$1:$BJ$691,21,FALSE)</f>
        <v>46194</v>
      </c>
      <c r="AA349" s="504"/>
      <c r="AB349" s="504" t="str">
        <f>IF(VLOOKUP(Таблица3[[#This Row],[№ акта]],$AJ$1:$BJ$691,23,FALSE)&lt;&gt;0,VLOOKUP(Таблица3[[#This Row],[№ акта]],$AJ$1:$BJ$691,23,FALSE),"-")</f>
        <v>-</v>
      </c>
      <c r="AC34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49" s="506" t="s">
        <v>2940</v>
      </c>
      <c r="AE349" s="505">
        <v>362</v>
      </c>
      <c r="AF349" s="507">
        <v>46194</v>
      </c>
      <c r="AG349" s="505">
        <v>12</v>
      </c>
      <c r="AH349" s="505">
        <f>IFERROR(VLOOKUP(Таблица3[[#This Row],[№ акта]],'Степень зрелости 2026'!$H$12:$I$800,2,FALSE),)</f>
        <v>59</v>
      </c>
      <c r="AJ349" s="508">
        <v>362</v>
      </c>
      <c r="AK349" s="509">
        <v>46194</v>
      </c>
      <c r="AL349" s="508">
        <v>479</v>
      </c>
      <c r="AO349" s="508">
        <v>12870</v>
      </c>
      <c r="AP349" s="508">
        <v>11132.6</v>
      </c>
      <c r="AQ349" s="508" t="s">
        <v>3464</v>
      </c>
      <c r="AR349" s="508" t="s">
        <v>909</v>
      </c>
      <c r="AS349" s="508" t="s">
        <v>3114</v>
      </c>
      <c r="AT349" s="508" t="s">
        <v>239</v>
      </c>
      <c r="AV349" s="508" t="s">
        <v>243</v>
      </c>
      <c r="AX349" s="508" t="s">
        <v>3116</v>
      </c>
      <c r="AY349" s="508" t="s">
        <v>909</v>
      </c>
      <c r="AZ349" s="508">
        <v>2</v>
      </c>
      <c r="BA349" s="508" t="s">
        <v>52</v>
      </c>
      <c r="BB349" s="508" t="s">
        <v>178</v>
      </c>
      <c r="BC349" s="508">
        <v>18</v>
      </c>
      <c r="BD349" s="509">
        <v>46194</v>
      </c>
      <c r="BG349" s="508" t="s">
        <v>724</v>
      </c>
      <c r="BH349" s="508" t="s">
        <v>2940</v>
      </c>
      <c r="BI349" s="508">
        <v>12</v>
      </c>
      <c r="BJ349" s="508">
        <v>59</v>
      </c>
    </row>
    <row r="350" spans="1:62" s="508" customFormat="1" ht="14.25" hidden="1" customHeight="1" x14ac:dyDescent="0.2">
      <c r="A350" s="495"/>
      <c r="B350" s="496"/>
      <c r="C350" s="497">
        <f>Таблица3[[#This Row],[Степень зрелости вспом]]</f>
        <v>57</v>
      </c>
      <c r="D350" s="498">
        <v>480</v>
      </c>
      <c r="E350" s="499"/>
      <c r="F350" s="496"/>
      <c r="G350" s="496">
        <v>13840</v>
      </c>
      <c r="H350" s="500"/>
      <c r="I350" s="496">
        <v>12040.8</v>
      </c>
      <c r="J350" s="495" t="s">
        <v>3375</v>
      </c>
      <c r="K350" s="495" t="s">
        <v>1755</v>
      </c>
      <c r="L350" s="495" t="s">
        <v>864</v>
      </c>
      <c r="M350" s="495" t="s">
        <v>212</v>
      </c>
      <c r="N350" s="495"/>
      <c r="O350" s="495"/>
      <c r="P350" s="495"/>
      <c r="Q350" s="495"/>
      <c r="R350" s="501" t="s">
        <v>2965</v>
      </c>
      <c r="S350" s="495"/>
      <c r="T350" s="482" t="str">
        <f>VLOOKUP(Таблица3[[#This Row],[№ акта]],$AJ$1:$BJ$691,15,FALSE)</f>
        <v>А-54</v>
      </c>
      <c r="U350" s="482" t="str">
        <f>VLOOKUP(Таблица3[[#This Row],[№ акта]],$AJ$1:$BJ$691,16,FALSE)</f>
        <v>Женева</v>
      </c>
      <c r="V350" s="502">
        <f>VLOOKUP(Таблица3[[#This Row],[№ акта]],$AJ$1:$BJ$691,17,FALSE)</f>
        <v>2.7</v>
      </c>
      <c r="W350" s="502" t="str">
        <f>VLOOKUP(Таблица3[[#This Row],[№ акта]],$AJ$1:$BJ$691,18,FALSE)</f>
        <v>ГРК (полив)</v>
      </c>
      <c r="X350" s="502" t="str">
        <f>VLOOKUP(Таблица3[[#This Row],[№ акта]],$AJ$1:$BJ$691,19,FALSE)</f>
        <v>полив</v>
      </c>
      <c r="Y350" s="503">
        <f>VLOOKUP(Таблица3[[#This Row],[№ акта]],$AJ$1:$BJ$691,20,FALSE)</f>
        <v>18</v>
      </c>
      <c r="Z350" s="504">
        <f>VLOOKUP(Таблица3[[#This Row],[№ акта]],$AJ$1:$BJ$691,21,FALSE)</f>
        <v>46194</v>
      </c>
      <c r="AA350" s="504"/>
      <c r="AB350" s="504" t="str">
        <f>IF(VLOOKUP(Таблица3[[#This Row],[№ акта]],$AJ$1:$BJ$691,23,FALSE)&lt;&gt;0,VLOOKUP(Таблица3[[#This Row],[№ акта]],$AJ$1:$BJ$691,23,FALSE),"-")</f>
        <v>-</v>
      </c>
      <c r="AC35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50" s="506" t="s">
        <v>2940</v>
      </c>
      <c r="AE350" s="505">
        <v>363</v>
      </c>
      <c r="AF350" s="507">
        <v>46194</v>
      </c>
      <c r="AG350" s="505">
        <v>314</v>
      </c>
      <c r="AH350" s="505">
        <f>IFERROR(VLOOKUP(Таблица3[[#This Row],[№ акта]],'Степень зрелости 2026'!$H$12:$I$800,2,FALSE),)</f>
        <v>57</v>
      </c>
      <c r="AJ350" s="508">
        <v>363</v>
      </c>
      <c r="AK350" s="509">
        <v>46194</v>
      </c>
      <c r="AL350" s="508">
        <v>480</v>
      </c>
      <c r="AO350" s="508">
        <v>13840</v>
      </c>
      <c r="AP350" s="508">
        <v>12040.8</v>
      </c>
      <c r="AQ350" s="508" t="s">
        <v>3375</v>
      </c>
      <c r="AR350" s="508" t="s">
        <v>1755</v>
      </c>
      <c r="AS350" s="508" t="s">
        <v>864</v>
      </c>
      <c r="AT350" s="508" t="s">
        <v>212</v>
      </c>
      <c r="AV350" s="508" t="s">
        <v>2965</v>
      </c>
      <c r="AX350" s="508" t="s">
        <v>864</v>
      </c>
      <c r="AY350" s="508" t="s">
        <v>1755</v>
      </c>
      <c r="AZ350" s="508">
        <v>2.7</v>
      </c>
      <c r="BA350" s="508" t="s">
        <v>2932</v>
      </c>
      <c r="BB350" s="508" t="s">
        <v>178</v>
      </c>
      <c r="BC350" s="508">
        <v>18</v>
      </c>
      <c r="BD350" s="509">
        <v>46194</v>
      </c>
      <c r="BG350" s="508" t="s">
        <v>724</v>
      </c>
      <c r="BH350" s="508" t="s">
        <v>2940</v>
      </c>
      <c r="BI350" s="508">
        <v>314</v>
      </c>
      <c r="BJ350" s="508">
        <v>57</v>
      </c>
    </row>
    <row r="351" spans="1:62" s="508" customFormat="1" ht="14.25" hidden="1" customHeight="1" x14ac:dyDescent="0.2">
      <c r="A351" s="495"/>
      <c r="B351" s="496"/>
      <c r="C351" s="497">
        <f>Таблица3[[#This Row],[Степень зрелости вспом]]</f>
        <v>62</v>
      </c>
      <c r="D351" s="498">
        <v>481</v>
      </c>
      <c r="E351" s="499"/>
      <c r="F351" s="496"/>
      <c r="G351" s="496">
        <v>13050</v>
      </c>
      <c r="H351" s="500"/>
      <c r="I351" s="496">
        <v>11679.8</v>
      </c>
      <c r="J351" s="495" t="s">
        <v>3464</v>
      </c>
      <c r="K351" s="495" t="s">
        <v>909</v>
      </c>
      <c r="L351" s="495" t="s">
        <v>3114</v>
      </c>
      <c r="M351" s="495" t="s">
        <v>3377</v>
      </c>
      <c r="N351" s="495"/>
      <c r="O351" s="495"/>
      <c r="P351" s="495"/>
      <c r="Q351" s="495"/>
      <c r="R351" s="501" t="s">
        <v>3196</v>
      </c>
      <c r="S351" s="495"/>
      <c r="T351" s="482" t="str">
        <f>VLOOKUP(Таблица3[[#This Row],[№ акта]],$AJ$1:$BJ$691,15,FALSE)</f>
        <v>18 Агролидер</v>
      </c>
      <c r="U351" s="482" t="str">
        <f>VLOOKUP(Таблица3[[#This Row],[№ акта]],$AJ$1:$BJ$691,16,FALSE)</f>
        <v>Тристар</v>
      </c>
      <c r="V351" s="502">
        <f>VLOOKUP(Таблица3[[#This Row],[№ акта]],$AJ$1:$BJ$691,17,FALSE)</f>
        <v>2.1</v>
      </c>
      <c r="W351" s="502" t="str">
        <f>VLOOKUP(Таблица3[[#This Row],[№ акта]],$AJ$1:$BJ$691,18,FALSE)</f>
        <v>Агролидер (полив)</v>
      </c>
      <c r="X351" s="502" t="str">
        <f>VLOOKUP(Таблица3[[#This Row],[№ акта]],$AJ$1:$BJ$691,19,FALSE)</f>
        <v>полив</v>
      </c>
      <c r="Y351" s="503">
        <f>VLOOKUP(Таблица3[[#This Row],[№ акта]],$AJ$1:$BJ$691,20,FALSE)</f>
        <v>18</v>
      </c>
      <c r="Z351" s="504">
        <f>VLOOKUP(Таблица3[[#This Row],[№ акта]],$AJ$1:$BJ$691,21,FALSE)</f>
        <v>46194</v>
      </c>
      <c r="AA351" s="504"/>
      <c r="AB351" s="504" t="str">
        <f>IF(VLOOKUP(Таблица3[[#This Row],[№ акта]],$AJ$1:$BJ$691,23,FALSE)&lt;&gt;0,VLOOKUP(Таблица3[[#This Row],[№ акта]],$AJ$1:$BJ$691,23,FALSE),"-")</f>
        <v>-</v>
      </c>
      <c r="AC35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51" s="506" t="s">
        <v>2940</v>
      </c>
      <c r="AE351" s="505">
        <v>364</v>
      </c>
      <c r="AF351" s="507">
        <v>46194</v>
      </c>
      <c r="AG351" s="505">
        <v>13</v>
      </c>
      <c r="AH351" s="505">
        <f>IFERROR(VLOOKUP(Таблица3[[#This Row],[№ акта]],'Степень зрелости 2026'!$H$12:$I$800,2,FALSE),)</f>
        <v>62</v>
      </c>
      <c r="AJ351" s="508">
        <v>364</v>
      </c>
      <c r="AK351" s="509">
        <v>46194</v>
      </c>
      <c r="AL351" s="508">
        <v>481</v>
      </c>
      <c r="AO351" s="508">
        <v>13050</v>
      </c>
      <c r="AP351" s="508">
        <v>11679.8</v>
      </c>
      <c r="AQ351" s="508" t="s">
        <v>3464</v>
      </c>
      <c r="AR351" s="508" t="s">
        <v>909</v>
      </c>
      <c r="AS351" s="508" t="s">
        <v>3114</v>
      </c>
      <c r="AT351" s="508" t="s">
        <v>3377</v>
      </c>
      <c r="AV351" s="508" t="s">
        <v>3196</v>
      </c>
      <c r="AX351" s="508" t="s">
        <v>3116</v>
      </c>
      <c r="AY351" s="508" t="s">
        <v>909</v>
      </c>
      <c r="AZ351" s="508">
        <v>2.1</v>
      </c>
      <c r="BA351" s="508" t="s">
        <v>52</v>
      </c>
      <c r="BB351" s="508" t="s">
        <v>178</v>
      </c>
      <c r="BC351" s="508">
        <v>18</v>
      </c>
      <c r="BD351" s="509">
        <v>46194</v>
      </c>
      <c r="BG351" s="508" t="s">
        <v>724</v>
      </c>
      <c r="BH351" s="508" t="s">
        <v>2940</v>
      </c>
      <c r="BI351" s="508">
        <v>13</v>
      </c>
      <c r="BJ351" s="508">
        <v>62</v>
      </c>
    </row>
    <row r="352" spans="1:62" s="508" customFormat="1" ht="14.25" hidden="1" customHeight="1" x14ac:dyDescent="0.2">
      <c r="A352" s="495"/>
      <c r="B352" s="496"/>
      <c r="C352" s="497">
        <f>Таблица3[[#This Row],[Степень зрелости вспом]]</f>
        <v>51</v>
      </c>
      <c r="D352" s="498">
        <v>482</v>
      </c>
      <c r="E352" s="499"/>
      <c r="F352" s="496"/>
      <c r="G352" s="496">
        <v>13550</v>
      </c>
      <c r="H352" s="500"/>
      <c r="I352" s="496">
        <v>11314.3</v>
      </c>
      <c r="J352" s="495" t="s">
        <v>3375</v>
      </c>
      <c r="K352" s="495" t="s">
        <v>1755</v>
      </c>
      <c r="L352" s="495" t="s">
        <v>864</v>
      </c>
      <c r="M352" s="495" t="s">
        <v>335</v>
      </c>
      <c r="N352" s="495"/>
      <c r="O352" s="495"/>
      <c r="P352" s="495"/>
      <c r="Q352" s="495"/>
      <c r="R352" s="501" t="s">
        <v>339</v>
      </c>
      <c r="S352" s="495"/>
      <c r="T352" s="482" t="str">
        <f>VLOOKUP(Таблица3[[#This Row],[№ акта]],$AJ$1:$BJ$691,15,FALSE)</f>
        <v>А-54</v>
      </c>
      <c r="U352" s="482" t="str">
        <f>VLOOKUP(Таблица3[[#This Row],[№ акта]],$AJ$1:$BJ$691,16,FALSE)</f>
        <v>Женева</v>
      </c>
      <c r="V352" s="502">
        <f>VLOOKUP(Таблица3[[#This Row],[№ акта]],$AJ$1:$BJ$691,17,FALSE)</f>
        <v>2.6</v>
      </c>
      <c r="W352" s="502" t="str">
        <f>VLOOKUP(Таблица3[[#This Row],[№ акта]],$AJ$1:$BJ$691,18,FALSE)</f>
        <v>ГРК (полив)</v>
      </c>
      <c r="X352" s="502" t="str">
        <f>VLOOKUP(Таблица3[[#This Row],[№ акта]],$AJ$1:$BJ$691,19,FALSE)</f>
        <v>полив</v>
      </c>
      <c r="Y352" s="503">
        <f>VLOOKUP(Таблица3[[#This Row],[№ акта]],$AJ$1:$BJ$691,20,FALSE)</f>
        <v>18</v>
      </c>
      <c r="Z352" s="504">
        <f>VLOOKUP(Таблица3[[#This Row],[№ акта]],$AJ$1:$BJ$691,21,FALSE)</f>
        <v>46194</v>
      </c>
      <c r="AA352" s="504"/>
      <c r="AB352" s="504" t="str">
        <f>IF(VLOOKUP(Таблица3[[#This Row],[№ акта]],$AJ$1:$BJ$691,23,FALSE)&lt;&gt;0,VLOOKUP(Таблица3[[#This Row],[№ акта]],$AJ$1:$BJ$691,23,FALSE),"-")</f>
        <v>-</v>
      </c>
      <c r="AC35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52" s="506" t="s">
        <v>2940</v>
      </c>
      <c r="AE352" s="505">
        <v>365</v>
      </c>
      <c r="AF352" s="507">
        <v>46194</v>
      </c>
      <c r="AG352" s="505">
        <v>315</v>
      </c>
      <c r="AH352" s="505">
        <f>IFERROR(VLOOKUP(Таблица3[[#This Row],[№ акта]],'Степень зрелости 2026'!$H$12:$I$800,2,FALSE),)</f>
        <v>51</v>
      </c>
      <c r="AJ352" s="508">
        <v>365</v>
      </c>
      <c r="AK352" s="509">
        <v>46194</v>
      </c>
      <c r="AL352" s="508">
        <v>482</v>
      </c>
      <c r="AO352" s="508">
        <v>13550</v>
      </c>
      <c r="AP352" s="508">
        <v>11314.3</v>
      </c>
      <c r="AQ352" s="508" t="s">
        <v>3375</v>
      </c>
      <c r="AR352" s="508" t="s">
        <v>1755</v>
      </c>
      <c r="AS352" s="508" t="s">
        <v>864</v>
      </c>
      <c r="AT352" s="508" t="s">
        <v>335</v>
      </c>
      <c r="AV352" s="508" t="s">
        <v>339</v>
      </c>
      <c r="AX352" s="508" t="s">
        <v>864</v>
      </c>
      <c r="AY352" s="508" t="s">
        <v>1755</v>
      </c>
      <c r="AZ352" s="508">
        <v>2.6</v>
      </c>
      <c r="BA352" s="508" t="s">
        <v>2932</v>
      </c>
      <c r="BB352" s="508" t="s">
        <v>178</v>
      </c>
      <c r="BC352" s="508">
        <v>18</v>
      </c>
      <c r="BD352" s="509">
        <v>46194</v>
      </c>
      <c r="BG352" s="508" t="s">
        <v>3557</v>
      </c>
      <c r="BH352" s="508" t="s">
        <v>2940</v>
      </c>
      <c r="BI352" s="508">
        <v>315</v>
      </c>
      <c r="BJ352" s="508">
        <v>51</v>
      </c>
    </row>
    <row r="353" spans="1:62" s="508" customFormat="1" ht="14.25" hidden="1" customHeight="1" x14ac:dyDescent="0.2">
      <c r="A353" s="495"/>
      <c r="B353" s="496"/>
      <c r="C353" s="497">
        <f>Таблица3[[#This Row],[Степень зрелости вспом]]</f>
        <v>51</v>
      </c>
      <c r="D353" s="498">
        <v>483</v>
      </c>
      <c r="E353" s="499"/>
      <c r="F353" s="496"/>
      <c r="G353" s="496">
        <v>4520</v>
      </c>
      <c r="H353" s="500"/>
      <c r="I353" s="496">
        <v>3751.6</v>
      </c>
      <c r="J353" s="495" t="s">
        <v>3375</v>
      </c>
      <c r="K353" s="495" t="s">
        <v>1755</v>
      </c>
      <c r="L353" s="495" t="s">
        <v>864</v>
      </c>
      <c r="M353" s="495" t="s">
        <v>762</v>
      </c>
      <c r="N353" s="495"/>
      <c r="O353" s="495"/>
      <c r="P353" s="495"/>
      <c r="Q353" s="495"/>
      <c r="R353" s="501" t="s">
        <v>763</v>
      </c>
      <c r="S353" s="495"/>
      <c r="T353" s="482" t="str">
        <f>VLOOKUP(Таблица3[[#This Row],[№ акта]],$AJ$1:$BJ$691,15,FALSE)</f>
        <v>А-54</v>
      </c>
      <c r="U353" s="482" t="str">
        <f>VLOOKUP(Таблица3[[#This Row],[№ акта]],$AJ$1:$BJ$691,16,FALSE)</f>
        <v>Женева</v>
      </c>
      <c r="V353" s="502">
        <f>VLOOKUP(Таблица3[[#This Row],[№ акта]],$AJ$1:$BJ$691,17,FALSE)</f>
        <v>0.9</v>
      </c>
      <c r="W353" s="502" t="str">
        <f>VLOOKUP(Таблица3[[#This Row],[№ акта]],$AJ$1:$BJ$691,18,FALSE)</f>
        <v>ГРК (полив)</v>
      </c>
      <c r="X353" s="502" t="str">
        <f>VLOOKUP(Таблица3[[#This Row],[№ акта]],$AJ$1:$BJ$691,19,FALSE)</f>
        <v>полив</v>
      </c>
      <c r="Y353" s="503">
        <f>VLOOKUP(Таблица3[[#This Row],[№ акта]],$AJ$1:$BJ$691,20,FALSE)</f>
        <v>18</v>
      </c>
      <c r="Z353" s="504">
        <f>VLOOKUP(Таблица3[[#This Row],[№ акта]],$AJ$1:$BJ$691,21,FALSE)</f>
        <v>46194</v>
      </c>
      <c r="AA353" s="504"/>
      <c r="AB353" s="504" t="str">
        <f>IF(VLOOKUP(Таблица3[[#This Row],[№ акта]],$AJ$1:$BJ$691,23,FALSE)&lt;&gt;0,VLOOKUP(Таблица3[[#This Row],[№ акта]],$AJ$1:$BJ$691,23,FALSE),"-")</f>
        <v>-</v>
      </c>
      <c r="AC35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53" s="506" t="s">
        <v>2940</v>
      </c>
      <c r="AE353" s="505">
        <v>366</v>
      </c>
      <c r="AF353" s="507">
        <v>46194</v>
      </c>
      <c r="AG353" s="505">
        <v>316</v>
      </c>
      <c r="AH353" s="505">
        <f>IFERROR(VLOOKUP(Таблица3[[#This Row],[№ акта]],'Степень зрелости 2026'!$H$12:$I$800,2,FALSE),)</f>
        <v>51</v>
      </c>
      <c r="AJ353" s="508">
        <v>366</v>
      </c>
      <c r="AK353" s="509">
        <v>46194</v>
      </c>
      <c r="AL353" s="508">
        <v>483</v>
      </c>
      <c r="AO353" s="508">
        <v>4520</v>
      </c>
      <c r="AP353" s="508">
        <v>3751.6</v>
      </c>
      <c r="AQ353" s="508" t="s">
        <v>3375</v>
      </c>
      <c r="AR353" s="508" t="s">
        <v>1755</v>
      </c>
      <c r="AS353" s="508" t="s">
        <v>864</v>
      </c>
      <c r="AT353" s="508" t="s">
        <v>762</v>
      </c>
      <c r="AV353" s="508" t="s">
        <v>763</v>
      </c>
      <c r="AX353" s="508" t="s">
        <v>864</v>
      </c>
      <c r="AY353" s="508" t="s">
        <v>1755</v>
      </c>
      <c r="AZ353" s="508">
        <v>0.9</v>
      </c>
      <c r="BA353" s="508" t="s">
        <v>2932</v>
      </c>
      <c r="BB353" s="508" t="s">
        <v>178</v>
      </c>
      <c r="BC353" s="508">
        <v>18</v>
      </c>
      <c r="BD353" s="509">
        <v>46194</v>
      </c>
      <c r="BG353" s="508" t="s">
        <v>3557</v>
      </c>
      <c r="BH353" s="508" t="s">
        <v>2940</v>
      </c>
      <c r="BI353" s="508">
        <v>316</v>
      </c>
      <c r="BJ353" s="508">
        <v>51</v>
      </c>
    </row>
    <row r="354" spans="1:62" s="508" customFormat="1" ht="14.25" hidden="1" customHeight="1" x14ac:dyDescent="0.2">
      <c r="A354" s="495"/>
      <c r="B354" s="496"/>
      <c r="C354" s="497">
        <f>Таблица3[[#This Row],[Степень зрелости вспом]]</f>
        <v>65</v>
      </c>
      <c r="D354" s="498">
        <v>484</v>
      </c>
      <c r="E354" s="499"/>
      <c r="F354" s="496"/>
      <c r="G354" s="496">
        <v>13150</v>
      </c>
      <c r="H354" s="500"/>
      <c r="I354" s="496">
        <v>11900.7</v>
      </c>
      <c r="J354" s="495" t="s">
        <v>3464</v>
      </c>
      <c r="K354" s="495" t="s">
        <v>909</v>
      </c>
      <c r="L354" s="495" t="s">
        <v>3114</v>
      </c>
      <c r="M354" s="495" t="s">
        <v>1312</v>
      </c>
      <c r="N354" s="495"/>
      <c r="O354" s="495"/>
      <c r="P354" s="495"/>
      <c r="Q354" s="495"/>
      <c r="R354" s="501" t="s">
        <v>320</v>
      </c>
      <c r="S354" s="495"/>
      <c r="T354" s="482" t="str">
        <f>VLOOKUP(Таблица3[[#This Row],[№ акта]],$AJ$1:$BJ$691,15,FALSE)</f>
        <v>18 Агролидер</v>
      </c>
      <c r="U354" s="482" t="str">
        <f>VLOOKUP(Таблица3[[#This Row],[№ акта]],$AJ$1:$BJ$691,16,FALSE)</f>
        <v>Тристар</v>
      </c>
      <c r="V354" s="502">
        <f>VLOOKUP(Таблица3[[#This Row],[№ акта]],$AJ$1:$BJ$691,17,FALSE)</f>
        <v>2.1</v>
      </c>
      <c r="W354" s="502" t="str">
        <f>VLOOKUP(Таблица3[[#This Row],[№ акта]],$AJ$1:$BJ$691,18,FALSE)</f>
        <v>Агролидер (полив)</v>
      </c>
      <c r="X354" s="502" t="str">
        <f>VLOOKUP(Таблица3[[#This Row],[№ акта]],$AJ$1:$BJ$691,19,FALSE)</f>
        <v>полив</v>
      </c>
      <c r="Y354" s="503">
        <f>VLOOKUP(Таблица3[[#This Row],[№ акта]],$AJ$1:$BJ$691,20,FALSE)</f>
        <v>18</v>
      </c>
      <c r="Z354" s="504">
        <f>VLOOKUP(Таблица3[[#This Row],[№ акта]],$AJ$1:$BJ$691,21,FALSE)</f>
        <v>46194</v>
      </c>
      <c r="AA354" s="504"/>
      <c r="AB354" s="504" t="str">
        <f>IF(VLOOKUP(Таблица3[[#This Row],[№ акта]],$AJ$1:$BJ$691,23,FALSE)&lt;&gt;0,VLOOKUP(Таблица3[[#This Row],[№ акта]],$AJ$1:$BJ$691,23,FALSE),"-")</f>
        <v>-</v>
      </c>
      <c r="AC35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354" s="506" t="s">
        <v>3230</v>
      </c>
      <c r="AE354" s="505">
        <v>367</v>
      </c>
      <c r="AF354" s="507">
        <v>46194</v>
      </c>
      <c r="AG354" s="505">
        <v>14</v>
      </c>
      <c r="AH354" s="505">
        <f>IFERROR(VLOOKUP(Таблица3[[#This Row],[№ акта]],'Степень зрелости 2026'!$H$12:$I$800,2,FALSE),)</f>
        <v>65</v>
      </c>
      <c r="AJ354" s="508">
        <v>367</v>
      </c>
      <c r="AK354" s="509">
        <v>46194</v>
      </c>
      <c r="AL354" s="508">
        <v>484</v>
      </c>
      <c r="AO354" s="508">
        <v>13150</v>
      </c>
      <c r="AP354" s="508">
        <v>11900.7</v>
      </c>
      <c r="AQ354" s="508" t="s">
        <v>3464</v>
      </c>
      <c r="AR354" s="508" t="s">
        <v>909</v>
      </c>
      <c r="AS354" s="508" t="s">
        <v>3114</v>
      </c>
      <c r="AT354" s="508" t="s">
        <v>1312</v>
      </c>
      <c r="AV354" s="508" t="s">
        <v>320</v>
      </c>
      <c r="AX354" s="508" t="s">
        <v>3116</v>
      </c>
      <c r="AY354" s="508" t="s">
        <v>909</v>
      </c>
      <c r="AZ354" s="508">
        <v>2.1</v>
      </c>
      <c r="BA354" s="508" t="s">
        <v>52</v>
      </c>
      <c r="BB354" s="508" t="s">
        <v>178</v>
      </c>
      <c r="BC354" s="508">
        <v>18</v>
      </c>
      <c r="BD354" s="509">
        <v>46194</v>
      </c>
      <c r="BG354" s="508" t="s">
        <v>3559</v>
      </c>
      <c r="BH354" s="508" t="s">
        <v>2940</v>
      </c>
      <c r="BI354" s="508">
        <v>14</v>
      </c>
      <c r="BJ354" s="508">
        <v>65</v>
      </c>
    </row>
    <row r="355" spans="1:62" s="508" customFormat="1" ht="14.25" hidden="1" customHeight="1" x14ac:dyDescent="0.2">
      <c r="A355" s="495"/>
      <c r="B355" s="496"/>
      <c r="C355" s="497">
        <f>Таблица3[[#This Row],[Степень зрелости вспом]]</f>
        <v>51</v>
      </c>
      <c r="D355" s="498">
        <v>485</v>
      </c>
      <c r="E355" s="499"/>
      <c r="F355" s="496"/>
      <c r="G355" s="496">
        <v>4540</v>
      </c>
      <c r="H355" s="500"/>
      <c r="I355" s="496">
        <v>3927.1</v>
      </c>
      <c r="J355" s="495" t="s">
        <v>3375</v>
      </c>
      <c r="K355" s="495" t="s">
        <v>1755</v>
      </c>
      <c r="L355" s="495" t="s">
        <v>864</v>
      </c>
      <c r="M355" s="495" t="s">
        <v>127</v>
      </c>
      <c r="N355" s="495"/>
      <c r="O355" s="495"/>
      <c r="P355" s="495"/>
      <c r="Q355" s="495"/>
      <c r="R355" s="501" t="s">
        <v>131</v>
      </c>
      <c r="S355" s="495"/>
      <c r="T355" s="482" t="str">
        <f>VLOOKUP(Таблица3[[#This Row],[№ акта]],$AJ$1:$BJ$691,15,FALSE)</f>
        <v>А-54</v>
      </c>
      <c r="U355" s="482" t="str">
        <f>VLOOKUP(Таблица3[[#This Row],[№ акта]],$AJ$1:$BJ$691,16,FALSE)</f>
        <v>Женева</v>
      </c>
      <c r="V355" s="502">
        <f>VLOOKUP(Таблица3[[#This Row],[№ акта]],$AJ$1:$BJ$691,17,FALSE)</f>
        <v>0.9</v>
      </c>
      <c r="W355" s="502" t="str">
        <f>VLOOKUP(Таблица3[[#This Row],[№ акта]],$AJ$1:$BJ$691,18,FALSE)</f>
        <v>ГРК (полив)</v>
      </c>
      <c r="X355" s="502" t="str">
        <f>VLOOKUP(Таблица3[[#This Row],[№ акта]],$AJ$1:$BJ$691,19,FALSE)</f>
        <v>полив</v>
      </c>
      <c r="Y355" s="503">
        <f>VLOOKUP(Таблица3[[#This Row],[№ акта]],$AJ$1:$BJ$691,20,FALSE)</f>
        <v>18</v>
      </c>
      <c r="Z355" s="504">
        <f>VLOOKUP(Таблица3[[#This Row],[№ акта]],$AJ$1:$BJ$691,21,FALSE)</f>
        <v>46194</v>
      </c>
      <c r="AA355" s="504"/>
      <c r="AB355" s="504" t="str">
        <f>IF(VLOOKUP(Таблица3[[#This Row],[№ акта]],$AJ$1:$BJ$691,23,FALSE)&lt;&gt;0,VLOOKUP(Таблица3[[#This Row],[№ акта]],$AJ$1:$BJ$691,23,FALSE),"-")</f>
        <v>-</v>
      </c>
      <c r="AC35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55" s="506" t="s">
        <v>2940</v>
      </c>
      <c r="AE355" s="505">
        <v>368</v>
      </c>
      <c r="AF355" s="507">
        <v>46194</v>
      </c>
      <c r="AG355" s="505">
        <v>317</v>
      </c>
      <c r="AH355" s="505">
        <f>IFERROR(VLOOKUP(Таблица3[[#This Row],[№ акта]],'Степень зрелости 2026'!$H$12:$I$800,2,FALSE),)</f>
        <v>51</v>
      </c>
      <c r="AJ355" s="508">
        <v>368</v>
      </c>
      <c r="AK355" s="509">
        <v>46194</v>
      </c>
      <c r="AL355" s="508">
        <v>485</v>
      </c>
      <c r="AO355" s="508">
        <v>4540</v>
      </c>
      <c r="AP355" s="508">
        <v>3927.1</v>
      </c>
      <c r="AQ355" s="508" t="s">
        <v>3375</v>
      </c>
      <c r="AR355" s="508" t="s">
        <v>1755</v>
      </c>
      <c r="AS355" s="508" t="s">
        <v>864</v>
      </c>
      <c r="AT355" s="508" t="s">
        <v>127</v>
      </c>
      <c r="AV355" s="508" t="s">
        <v>131</v>
      </c>
      <c r="AX355" s="508" t="s">
        <v>864</v>
      </c>
      <c r="AY355" s="508" t="s">
        <v>1755</v>
      </c>
      <c r="AZ355" s="508">
        <v>0.9</v>
      </c>
      <c r="BA355" s="508" t="s">
        <v>2932</v>
      </c>
      <c r="BB355" s="508" t="s">
        <v>178</v>
      </c>
      <c r="BC355" s="508">
        <v>18</v>
      </c>
      <c r="BD355" s="509">
        <v>46194</v>
      </c>
      <c r="BG355" s="508" t="s">
        <v>3557</v>
      </c>
      <c r="BH355" s="508" t="s">
        <v>2940</v>
      </c>
      <c r="BI355" s="508">
        <v>317</v>
      </c>
      <c r="BJ355" s="508">
        <v>51</v>
      </c>
    </row>
    <row r="356" spans="1:62" s="508" customFormat="1" ht="14.25" hidden="1" customHeight="1" x14ac:dyDescent="0.2">
      <c r="A356" s="495"/>
      <c r="B356" s="496"/>
      <c r="C356" s="497">
        <f>Таблица3[[#This Row],[Степень зрелости вспом]]</f>
        <v>63</v>
      </c>
      <c r="D356" s="498">
        <v>486</v>
      </c>
      <c r="E356" s="499"/>
      <c r="F356" s="496"/>
      <c r="G356" s="496">
        <v>13190</v>
      </c>
      <c r="H356" s="500"/>
      <c r="I356" s="496">
        <v>11871</v>
      </c>
      <c r="J356" s="495" t="s">
        <v>3464</v>
      </c>
      <c r="K356" s="495" t="s">
        <v>909</v>
      </c>
      <c r="L356" s="495" t="s">
        <v>3114</v>
      </c>
      <c r="M356" s="495" t="s">
        <v>347</v>
      </c>
      <c r="N356" s="495"/>
      <c r="O356" s="495"/>
      <c r="P356" s="495"/>
      <c r="Q356" s="495"/>
      <c r="R356" s="501" t="s">
        <v>351</v>
      </c>
      <c r="S356" s="495"/>
      <c r="T356" s="482" t="str">
        <f>VLOOKUP(Таблица3[[#This Row],[№ акта]],$AJ$1:$BJ$691,15,FALSE)</f>
        <v>18 Агролидер</v>
      </c>
      <c r="U356" s="482" t="str">
        <f>VLOOKUP(Таблица3[[#This Row],[№ акта]],$AJ$1:$BJ$691,16,FALSE)</f>
        <v>Тристар</v>
      </c>
      <c r="V356" s="502">
        <f>VLOOKUP(Таблица3[[#This Row],[№ акта]],$AJ$1:$BJ$691,17,FALSE)</f>
        <v>2.1</v>
      </c>
      <c r="W356" s="502" t="str">
        <f>VLOOKUP(Таблица3[[#This Row],[№ акта]],$AJ$1:$BJ$691,18,FALSE)</f>
        <v>Агролидер (полив)</v>
      </c>
      <c r="X356" s="502" t="str">
        <f>VLOOKUP(Таблица3[[#This Row],[№ акта]],$AJ$1:$BJ$691,19,FALSE)</f>
        <v>полив</v>
      </c>
      <c r="Y356" s="503">
        <f>VLOOKUP(Таблица3[[#This Row],[№ акта]],$AJ$1:$BJ$691,20,FALSE)</f>
        <v>18</v>
      </c>
      <c r="Z356" s="504">
        <f>VLOOKUP(Таблица3[[#This Row],[№ акта]],$AJ$1:$BJ$691,21,FALSE)</f>
        <v>46194</v>
      </c>
      <c r="AA356" s="504"/>
      <c r="AB356" s="504" t="str">
        <f>IF(VLOOKUP(Таблица3[[#This Row],[№ акта]],$AJ$1:$BJ$691,23,FALSE)&lt;&gt;0,VLOOKUP(Таблица3[[#This Row],[№ акта]],$AJ$1:$BJ$691,23,FALSE),"-")</f>
        <v>-</v>
      </c>
      <c r="AC35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56" s="506" t="s">
        <v>3230</v>
      </c>
      <c r="AE356" s="505">
        <v>369</v>
      </c>
      <c r="AF356" s="507">
        <v>46194</v>
      </c>
      <c r="AG356" s="505">
        <v>15</v>
      </c>
      <c r="AH356" s="505">
        <f>IFERROR(VLOOKUP(Таблица3[[#This Row],[№ акта]],'Степень зрелости 2026'!$H$12:$I$800,2,FALSE),)</f>
        <v>63</v>
      </c>
      <c r="AJ356" s="508">
        <v>369</v>
      </c>
      <c r="AK356" s="509">
        <v>46194</v>
      </c>
      <c r="AL356" s="508">
        <v>486</v>
      </c>
      <c r="AO356" s="508">
        <v>13190</v>
      </c>
      <c r="AP356" s="508">
        <v>11871</v>
      </c>
      <c r="AQ356" s="508" t="s">
        <v>3464</v>
      </c>
      <c r="AR356" s="508" t="s">
        <v>909</v>
      </c>
      <c r="AS356" s="508" t="s">
        <v>3114</v>
      </c>
      <c r="AT356" s="508" t="s">
        <v>347</v>
      </c>
      <c r="AV356" s="508" t="s">
        <v>351</v>
      </c>
      <c r="AX356" s="508" t="s">
        <v>3116</v>
      </c>
      <c r="AY356" s="508" t="s">
        <v>909</v>
      </c>
      <c r="AZ356" s="508">
        <v>2.1</v>
      </c>
      <c r="BA356" s="508" t="s">
        <v>52</v>
      </c>
      <c r="BB356" s="508" t="s">
        <v>178</v>
      </c>
      <c r="BC356" s="508">
        <v>18</v>
      </c>
      <c r="BD356" s="509">
        <v>46194</v>
      </c>
      <c r="BG356" s="508" t="s">
        <v>724</v>
      </c>
      <c r="BH356" s="508" t="s">
        <v>2940</v>
      </c>
      <c r="BI356" s="508">
        <v>15</v>
      </c>
      <c r="BJ356" s="508">
        <v>63</v>
      </c>
    </row>
    <row r="357" spans="1:62" s="508" customFormat="1" ht="14.25" hidden="1" customHeight="1" x14ac:dyDescent="0.2">
      <c r="A357" s="495"/>
      <c r="B357" s="496"/>
      <c r="C357" s="497">
        <f>Таблица3[[#This Row],[Степень зрелости вспом]]</f>
        <v>52</v>
      </c>
      <c r="D357" s="498">
        <v>487</v>
      </c>
      <c r="E357" s="499"/>
      <c r="F357" s="496"/>
      <c r="G357" s="496">
        <v>4470</v>
      </c>
      <c r="H357" s="500"/>
      <c r="I357" s="496">
        <v>3352.5</v>
      </c>
      <c r="J357" s="495" t="s">
        <v>3375</v>
      </c>
      <c r="K357" s="495" t="s">
        <v>1755</v>
      </c>
      <c r="L357" s="495" t="s">
        <v>3963</v>
      </c>
      <c r="M357" s="495" t="s">
        <v>762</v>
      </c>
      <c r="N357" s="495"/>
      <c r="O357" s="495"/>
      <c r="P357" s="495"/>
      <c r="Q357" s="495"/>
      <c r="R357" s="501" t="s">
        <v>763</v>
      </c>
      <c r="S357" s="495"/>
      <c r="T357" s="482" t="str">
        <f>VLOOKUP(Таблица3[[#This Row],[№ акта]],$AJ$1:$BJ$691,15,FALSE)</f>
        <v>А-54</v>
      </c>
      <c r="U357" s="482" t="str">
        <f>VLOOKUP(Таблица3[[#This Row],[№ акта]],$AJ$1:$BJ$691,16,FALSE)</f>
        <v>Женева</v>
      </c>
      <c r="V357" s="502">
        <f>VLOOKUP(Таблица3[[#This Row],[№ акта]],$AJ$1:$BJ$691,17,FALSE)</f>
        <v>0.9</v>
      </c>
      <c r="W357" s="502" t="str">
        <f>VLOOKUP(Таблица3[[#This Row],[№ акта]],$AJ$1:$BJ$691,18,FALSE)</f>
        <v>ГРК (полив)</v>
      </c>
      <c r="X357" s="502" t="str">
        <f>VLOOKUP(Таблица3[[#This Row],[№ акта]],$AJ$1:$BJ$691,19,FALSE)</f>
        <v>полив</v>
      </c>
      <c r="Y357" s="503">
        <f>VLOOKUP(Таблица3[[#This Row],[№ акта]],$AJ$1:$BJ$691,20,FALSE)</f>
        <v>18</v>
      </c>
      <c r="Z357" s="504">
        <f>VLOOKUP(Таблица3[[#This Row],[№ акта]],$AJ$1:$BJ$691,21,FALSE)</f>
        <v>46194</v>
      </c>
      <c r="AA357" s="504"/>
      <c r="AB357" s="504" t="str">
        <f>IF(VLOOKUP(Таблица3[[#This Row],[№ акта]],$AJ$1:$BJ$691,23,FALSE)&lt;&gt;0,VLOOKUP(Таблица3[[#This Row],[№ акта]],$AJ$1:$BJ$691,23,FALSE),"-")</f>
        <v>-</v>
      </c>
      <c r="AC35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57" s="506" t="s">
        <v>2940</v>
      </c>
      <c r="AE357" s="505">
        <v>370</v>
      </c>
      <c r="AF357" s="507">
        <v>46194</v>
      </c>
      <c r="AG357" s="505">
        <v>318</v>
      </c>
      <c r="AH357" s="505">
        <f>IFERROR(VLOOKUP(Таблица3[[#This Row],[№ акта]],'Степень зрелости 2026'!$H$12:$I$800,2,FALSE),)</f>
        <v>52</v>
      </c>
      <c r="AJ357" s="508">
        <v>370</v>
      </c>
      <c r="AK357" s="509">
        <v>46194</v>
      </c>
      <c r="AL357" s="508">
        <v>487</v>
      </c>
      <c r="AO357" s="508">
        <v>4470</v>
      </c>
      <c r="AP357" s="508">
        <v>3352.5</v>
      </c>
      <c r="AQ357" s="508" t="s">
        <v>3375</v>
      </c>
      <c r="AR357" s="508" t="s">
        <v>1755</v>
      </c>
      <c r="AS357" s="508" t="s">
        <v>864</v>
      </c>
      <c r="AT357" s="508" t="s">
        <v>762</v>
      </c>
      <c r="AV357" s="508" t="s">
        <v>763</v>
      </c>
      <c r="AX357" s="508" t="s">
        <v>864</v>
      </c>
      <c r="AY357" s="508" t="s">
        <v>1755</v>
      </c>
      <c r="AZ357" s="508">
        <v>0.9</v>
      </c>
      <c r="BA357" s="508" t="s">
        <v>2932</v>
      </c>
      <c r="BB357" s="508" t="s">
        <v>178</v>
      </c>
      <c r="BC357" s="508">
        <v>18</v>
      </c>
      <c r="BD357" s="509">
        <v>46194</v>
      </c>
      <c r="BG357" s="508" t="s">
        <v>3557</v>
      </c>
      <c r="BH357" s="508" t="s">
        <v>2940</v>
      </c>
      <c r="BI357" s="508">
        <v>318</v>
      </c>
      <c r="BJ357" s="508">
        <v>52</v>
      </c>
    </row>
    <row r="358" spans="1:62" s="508" customFormat="1" ht="14.25" hidden="1" customHeight="1" x14ac:dyDescent="0.2">
      <c r="A358" s="495"/>
      <c r="B358" s="496"/>
      <c r="C358" s="497">
        <f>Таблица3[[#This Row],[Степень зрелости вспом]]</f>
        <v>59</v>
      </c>
      <c r="D358" s="498">
        <v>488</v>
      </c>
      <c r="E358" s="499"/>
      <c r="F358" s="496"/>
      <c r="G358" s="496">
        <v>8830</v>
      </c>
      <c r="H358" s="500"/>
      <c r="I358" s="496">
        <v>7902.9</v>
      </c>
      <c r="J358" s="495" t="s">
        <v>3464</v>
      </c>
      <c r="K358" s="495" t="s">
        <v>909</v>
      </c>
      <c r="L358" s="495" t="s">
        <v>3114</v>
      </c>
      <c r="M358" s="495" t="s">
        <v>121</v>
      </c>
      <c r="N358" s="495"/>
      <c r="O358" s="495"/>
      <c r="P358" s="495"/>
      <c r="Q358" s="495"/>
      <c r="R358" s="501" t="s">
        <v>125</v>
      </c>
      <c r="S358" s="495"/>
      <c r="T358" s="482" t="str">
        <f>VLOOKUP(Таблица3[[#This Row],[№ акта]],$AJ$1:$BJ$691,15,FALSE)</f>
        <v>18 Агролидер</v>
      </c>
      <c r="U358" s="482" t="str">
        <f>VLOOKUP(Таблица3[[#This Row],[№ акта]],$AJ$1:$BJ$691,16,FALSE)</f>
        <v>Тристар</v>
      </c>
      <c r="V358" s="502">
        <f>VLOOKUP(Таблица3[[#This Row],[№ акта]],$AJ$1:$BJ$691,17,FALSE)</f>
        <v>1.4</v>
      </c>
      <c r="W358" s="502" t="str">
        <f>VLOOKUP(Таблица3[[#This Row],[№ акта]],$AJ$1:$BJ$691,18,FALSE)</f>
        <v>Агролидер (полив)</v>
      </c>
      <c r="X358" s="502" t="str">
        <f>VLOOKUP(Таблица3[[#This Row],[№ акта]],$AJ$1:$BJ$691,19,FALSE)</f>
        <v>полив</v>
      </c>
      <c r="Y358" s="503">
        <f>VLOOKUP(Таблица3[[#This Row],[№ акта]],$AJ$1:$BJ$691,20,FALSE)</f>
        <v>18</v>
      </c>
      <c r="Z358" s="504">
        <f>VLOOKUP(Таблица3[[#This Row],[№ акта]],$AJ$1:$BJ$691,21,FALSE)</f>
        <v>46194</v>
      </c>
      <c r="AA358" s="504"/>
      <c r="AB358" s="504" t="str">
        <f>IF(VLOOKUP(Таблица3[[#This Row],[№ акта]],$AJ$1:$BJ$691,23,FALSE)&lt;&gt;0,VLOOKUP(Таблица3[[#This Row],[№ акта]],$AJ$1:$BJ$691,23,FALSE),"-")</f>
        <v>-</v>
      </c>
      <c r="AC35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58" s="506" t="s">
        <v>2940</v>
      </c>
      <c r="AE358" s="505">
        <v>371</v>
      </c>
      <c r="AF358" s="507">
        <v>46194</v>
      </c>
      <c r="AG358" s="505">
        <v>16</v>
      </c>
      <c r="AH358" s="505">
        <f>IFERROR(VLOOKUP(Таблица3[[#This Row],[№ акта]],'Степень зрелости 2026'!$H$12:$I$800,2,FALSE),)</f>
        <v>59</v>
      </c>
      <c r="AJ358" s="508">
        <v>371</v>
      </c>
      <c r="AK358" s="509">
        <v>46194</v>
      </c>
      <c r="AL358" s="508">
        <v>488</v>
      </c>
      <c r="AO358" s="508">
        <v>8830</v>
      </c>
      <c r="AP358" s="508">
        <v>7902.9</v>
      </c>
      <c r="AQ358" s="508" t="s">
        <v>3464</v>
      </c>
      <c r="AR358" s="508" t="s">
        <v>909</v>
      </c>
      <c r="AS358" s="508" t="s">
        <v>3114</v>
      </c>
      <c r="AT358" s="508" t="s">
        <v>121</v>
      </c>
      <c r="AV358" s="508" t="s">
        <v>125</v>
      </c>
      <c r="AX358" s="508" t="s">
        <v>3116</v>
      </c>
      <c r="AY358" s="508" t="s">
        <v>909</v>
      </c>
      <c r="AZ358" s="508">
        <v>1.4</v>
      </c>
      <c r="BA358" s="508" t="s">
        <v>52</v>
      </c>
      <c r="BB358" s="508" t="s">
        <v>178</v>
      </c>
      <c r="BC358" s="508">
        <v>18</v>
      </c>
      <c r="BD358" s="509">
        <v>46194</v>
      </c>
      <c r="BG358" s="508" t="s">
        <v>724</v>
      </c>
      <c r="BH358" s="508" t="s">
        <v>2940</v>
      </c>
      <c r="BI358" s="508">
        <v>16</v>
      </c>
      <c r="BJ358" s="508">
        <v>59</v>
      </c>
    </row>
    <row r="359" spans="1:62" s="508" customFormat="1" ht="14.25" hidden="1" customHeight="1" x14ac:dyDescent="0.2">
      <c r="A359" s="495"/>
      <c r="B359" s="496"/>
      <c r="C359" s="497">
        <f>Таблица3[[#This Row],[Степень зрелости вспом]]</f>
        <v>51</v>
      </c>
      <c r="D359" s="498">
        <v>489</v>
      </c>
      <c r="E359" s="499"/>
      <c r="F359" s="496"/>
      <c r="G359" s="496">
        <v>8940</v>
      </c>
      <c r="H359" s="500"/>
      <c r="I359" s="496">
        <v>8090.7</v>
      </c>
      <c r="J359" s="495" t="s">
        <v>3375</v>
      </c>
      <c r="K359" s="495" t="s">
        <v>1755</v>
      </c>
      <c r="L359" s="495" t="s">
        <v>864</v>
      </c>
      <c r="M359" s="495" t="s">
        <v>305</v>
      </c>
      <c r="N359" s="495"/>
      <c r="O359" s="495"/>
      <c r="P359" s="495"/>
      <c r="Q359" s="495"/>
      <c r="R359" s="501" t="s">
        <v>309</v>
      </c>
      <c r="S359" s="495"/>
      <c r="T359" s="482" t="str">
        <f>VLOOKUP(Таблица3[[#This Row],[№ акта]],$AJ$1:$BJ$691,15,FALSE)</f>
        <v>А-54</v>
      </c>
      <c r="U359" s="482" t="str">
        <f>VLOOKUP(Таблица3[[#This Row],[№ акта]],$AJ$1:$BJ$691,16,FALSE)</f>
        <v>Женева</v>
      </c>
      <c r="V359" s="502">
        <f>VLOOKUP(Таблица3[[#This Row],[№ акта]],$AJ$1:$BJ$691,17,FALSE)</f>
        <v>1.7</v>
      </c>
      <c r="W359" s="502" t="str">
        <f>VLOOKUP(Таблица3[[#This Row],[№ акта]],$AJ$1:$BJ$691,18,FALSE)</f>
        <v>ГРК (полив)</v>
      </c>
      <c r="X359" s="502" t="str">
        <f>VLOOKUP(Таблица3[[#This Row],[№ акта]],$AJ$1:$BJ$691,19,FALSE)</f>
        <v>полив</v>
      </c>
      <c r="Y359" s="503">
        <f>VLOOKUP(Таблица3[[#This Row],[№ акта]],$AJ$1:$BJ$691,20,FALSE)</f>
        <v>18</v>
      </c>
      <c r="Z359" s="504">
        <f>VLOOKUP(Таблица3[[#This Row],[№ акта]],$AJ$1:$BJ$691,21,FALSE)</f>
        <v>46194</v>
      </c>
      <c r="AA359" s="504"/>
      <c r="AB359" s="504" t="str">
        <f>IF(VLOOKUP(Таблица3[[#This Row],[№ акта]],$AJ$1:$BJ$691,23,FALSE)&lt;&gt;0,VLOOKUP(Таблица3[[#This Row],[№ акта]],$AJ$1:$BJ$691,23,FALSE),"-")</f>
        <v>-</v>
      </c>
      <c r="AC35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59" s="506" t="s">
        <v>2940</v>
      </c>
      <c r="AE359" s="505">
        <v>372</v>
      </c>
      <c r="AF359" s="507">
        <v>46194</v>
      </c>
      <c r="AG359" s="505">
        <v>319</v>
      </c>
      <c r="AH359" s="505">
        <f>IFERROR(VLOOKUP(Таблица3[[#This Row],[№ акта]],'Степень зрелости 2026'!$H$12:$I$800,2,FALSE),)</f>
        <v>51</v>
      </c>
      <c r="AJ359" s="508">
        <v>372</v>
      </c>
      <c r="AK359" s="509">
        <v>46194</v>
      </c>
      <c r="AL359" s="508">
        <v>489</v>
      </c>
      <c r="AO359" s="508">
        <v>8940</v>
      </c>
      <c r="AP359" s="508">
        <v>8090.7</v>
      </c>
      <c r="AQ359" s="508" t="s">
        <v>3375</v>
      </c>
      <c r="AR359" s="508" t="s">
        <v>1755</v>
      </c>
      <c r="AS359" s="508" t="s">
        <v>864</v>
      </c>
      <c r="AT359" s="508" t="s">
        <v>305</v>
      </c>
      <c r="AV359" s="508" t="s">
        <v>309</v>
      </c>
      <c r="AX359" s="508" t="s">
        <v>864</v>
      </c>
      <c r="AY359" s="508" t="s">
        <v>1755</v>
      </c>
      <c r="AZ359" s="508">
        <v>1.7</v>
      </c>
      <c r="BA359" s="508" t="s">
        <v>2932</v>
      </c>
      <c r="BB359" s="508" t="s">
        <v>178</v>
      </c>
      <c r="BC359" s="508">
        <v>18</v>
      </c>
      <c r="BD359" s="509">
        <v>46194</v>
      </c>
      <c r="BG359" s="508" t="s">
        <v>3557</v>
      </c>
      <c r="BH359" s="508" t="s">
        <v>2940</v>
      </c>
      <c r="BI359" s="508">
        <v>319</v>
      </c>
      <c r="BJ359" s="508">
        <v>51</v>
      </c>
    </row>
    <row r="360" spans="1:62" s="508" customFormat="1" ht="14.25" hidden="1" customHeight="1" x14ac:dyDescent="0.2">
      <c r="A360" s="495"/>
      <c r="B360" s="496"/>
      <c r="C360" s="497">
        <f>Таблица3[[#This Row],[Степень зрелости вспом]]</f>
        <v>51</v>
      </c>
      <c r="D360" s="498">
        <v>490</v>
      </c>
      <c r="E360" s="499"/>
      <c r="F360" s="496"/>
      <c r="G360" s="496">
        <v>4410</v>
      </c>
      <c r="H360" s="500"/>
      <c r="I360" s="496">
        <v>3682.4</v>
      </c>
      <c r="J360" s="495" t="s">
        <v>3375</v>
      </c>
      <c r="K360" s="495" t="s">
        <v>1755</v>
      </c>
      <c r="L360" s="495" t="s">
        <v>864</v>
      </c>
      <c r="M360" s="495" t="s">
        <v>127</v>
      </c>
      <c r="N360" s="495"/>
      <c r="O360" s="495"/>
      <c r="P360" s="495"/>
      <c r="Q360" s="495"/>
      <c r="R360" s="501" t="s">
        <v>131</v>
      </c>
      <c r="S360" s="495"/>
      <c r="T360" s="482" t="str">
        <f>VLOOKUP(Таблица3[[#This Row],[№ акта]],$AJ$1:$BJ$691,15,FALSE)</f>
        <v>А-54</v>
      </c>
      <c r="U360" s="482" t="str">
        <f>VLOOKUP(Таблица3[[#This Row],[№ акта]],$AJ$1:$BJ$691,16,FALSE)</f>
        <v>Женева</v>
      </c>
      <c r="V360" s="502">
        <f>VLOOKUP(Таблица3[[#This Row],[№ акта]],$AJ$1:$BJ$691,17,FALSE)</f>
        <v>0.9</v>
      </c>
      <c r="W360" s="502" t="str">
        <f>VLOOKUP(Таблица3[[#This Row],[№ акта]],$AJ$1:$BJ$691,18,FALSE)</f>
        <v>ГРК (полив)</v>
      </c>
      <c r="X360" s="502" t="str">
        <f>VLOOKUP(Таблица3[[#This Row],[№ акта]],$AJ$1:$BJ$691,19,FALSE)</f>
        <v>полив</v>
      </c>
      <c r="Y360" s="503">
        <f>VLOOKUP(Таблица3[[#This Row],[№ акта]],$AJ$1:$BJ$691,20,FALSE)</f>
        <v>18</v>
      </c>
      <c r="Z360" s="504">
        <f>VLOOKUP(Таблица3[[#This Row],[№ акта]],$AJ$1:$BJ$691,21,FALSE)</f>
        <v>46194</v>
      </c>
      <c r="AA360" s="504"/>
      <c r="AB360" s="504" t="str">
        <f>IF(VLOOKUP(Таблица3[[#This Row],[№ акта]],$AJ$1:$BJ$691,23,FALSE)&lt;&gt;0,VLOOKUP(Таблица3[[#This Row],[№ акта]],$AJ$1:$BJ$691,23,FALSE),"-")</f>
        <v>-</v>
      </c>
      <c r="AC36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60" s="506" t="s">
        <v>2940</v>
      </c>
      <c r="AE360" s="505">
        <v>373</v>
      </c>
      <c r="AF360" s="507">
        <v>46194</v>
      </c>
      <c r="AG360" s="505">
        <v>320</v>
      </c>
      <c r="AH360" s="505">
        <f>IFERROR(VLOOKUP(Таблица3[[#This Row],[№ акта]],'Степень зрелости 2026'!$H$12:$I$800,2,FALSE),)</f>
        <v>51</v>
      </c>
      <c r="AJ360" s="508">
        <v>373</v>
      </c>
      <c r="AK360" s="509">
        <v>46194</v>
      </c>
      <c r="AL360" s="508">
        <v>490</v>
      </c>
      <c r="AO360" s="508">
        <v>4410</v>
      </c>
      <c r="AP360" s="508">
        <v>3682.4</v>
      </c>
      <c r="AQ360" s="508" t="s">
        <v>3375</v>
      </c>
      <c r="AR360" s="508" t="s">
        <v>1755</v>
      </c>
      <c r="AS360" s="508" t="s">
        <v>864</v>
      </c>
      <c r="AT360" s="508" t="s">
        <v>127</v>
      </c>
      <c r="AV360" s="508" t="s">
        <v>131</v>
      </c>
      <c r="AX360" s="508" t="s">
        <v>864</v>
      </c>
      <c r="AY360" s="508" t="s">
        <v>1755</v>
      </c>
      <c r="AZ360" s="508">
        <v>0.9</v>
      </c>
      <c r="BA360" s="508" t="s">
        <v>2932</v>
      </c>
      <c r="BB360" s="508" t="s">
        <v>178</v>
      </c>
      <c r="BC360" s="508">
        <v>18</v>
      </c>
      <c r="BD360" s="509">
        <v>46194</v>
      </c>
      <c r="BG360" s="508" t="s">
        <v>3557</v>
      </c>
      <c r="BH360" s="508" t="s">
        <v>2940</v>
      </c>
      <c r="BI360" s="508">
        <v>320</v>
      </c>
      <c r="BJ360" s="508">
        <v>51</v>
      </c>
    </row>
    <row r="361" spans="1:62" s="508" customFormat="1" ht="14.25" hidden="1" customHeight="1" x14ac:dyDescent="0.2">
      <c r="A361" s="495"/>
      <c r="B361" s="496"/>
      <c r="C361" s="497">
        <f>Таблица3[[#This Row],[Степень зрелости вспом]]</f>
        <v>58</v>
      </c>
      <c r="D361" s="498">
        <v>491</v>
      </c>
      <c r="E361" s="499"/>
      <c r="F361" s="496"/>
      <c r="G361" s="496">
        <v>13190</v>
      </c>
      <c r="H361" s="500"/>
      <c r="I361" s="496">
        <v>12200.8</v>
      </c>
      <c r="J361" s="495" t="s">
        <v>3464</v>
      </c>
      <c r="K361" s="495" t="s">
        <v>909</v>
      </c>
      <c r="L361" s="495" t="s">
        <v>3114</v>
      </c>
      <c r="M361" s="495" t="s">
        <v>311</v>
      </c>
      <c r="N361" s="495"/>
      <c r="O361" s="495"/>
      <c r="P361" s="495"/>
      <c r="Q361" s="495"/>
      <c r="R361" s="501" t="s">
        <v>315</v>
      </c>
      <c r="S361" s="495"/>
      <c r="T361" s="482" t="str">
        <f>VLOOKUP(Таблица3[[#This Row],[№ акта]],$AJ$1:$BJ$691,15,FALSE)</f>
        <v>18 Агролидер</v>
      </c>
      <c r="U361" s="482" t="str">
        <f>VLOOKUP(Таблица3[[#This Row],[№ акта]],$AJ$1:$BJ$691,16,FALSE)</f>
        <v>Тристар</v>
      </c>
      <c r="V361" s="502">
        <f>VLOOKUP(Таблица3[[#This Row],[№ акта]],$AJ$1:$BJ$691,17,FALSE)</f>
        <v>2.1</v>
      </c>
      <c r="W361" s="502" t="str">
        <f>VLOOKUP(Таблица3[[#This Row],[№ акта]],$AJ$1:$BJ$691,18,FALSE)</f>
        <v>Агролидер (полив)</v>
      </c>
      <c r="X361" s="502" t="str">
        <f>VLOOKUP(Таблица3[[#This Row],[№ акта]],$AJ$1:$BJ$691,19,FALSE)</f>
        <v>полив</v>
      </c>
      <c r="Y361" s="503">
        <f>VLOOKUP(Таблица3[[#This Row],[№ акта]],$AJ$1:$BJ$691,20,FALSE)</f>
        <v>18</v>
      </c>
      <c r="Z361" s="504">
        <f>VLOOKUP(Таблица3[[#This Row],[№ акта]],$AJ$1:$BJ$691,21,FALSE)</f>
        <v>46194</v>
      </c>
      <c r="AA361" s="504"/>
      <c r="AB361" s="504" t="str">
        <f>IF(VLOOKUP(Таблица3[[#This Row],[№ акта]],$AJ$1:$BJ$691,23,FALSE)&lt;&gt;0,VLOOKUP(Таблица3[[#This Row],[№ акта]],$AJ$1:$BJ$691,23,FALSE),"-")</f>
        <v>-</v>
      </c>
      <c r="AC36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61" s="506" t="s">
        <v>2940</v>
      </c>
      <c r="AE361" s="505">
        <v>374</v>
      </c>
      <c r="AF361" s="507">
        <v>46195</v>
      </c>
      <c r="AG361" s="505">
        <v>17</v>
      </c>
      <c r="AH361" s="505">
        <f>IFERROR(VLOOKUP(Таблица3[[#This Row],[№ акта]],'Степень зрелости 2026'!$H$12:$I$800,2,FALSE),)</f>
        <v>58</v>
      </c>
      <c r="AJ361" s="508">
        <v>374</v>
      </c>
      <c r="AK361" s="509">
        <v>46195</v>
      </c>
      <c r="AL361" s="508">
        <v>491</v>
      </c>
      <c r="AO361" s="508">
        <v>13190</v>
      </c>
      <c r="AP361" s="508">
        <v>12200.8</v>
      </c>
      <c r="AQ361" s="508" t="s">
        <v>3464</v>
      </c>
      <c r="AR361" s="508" t="s">
        <v>909</v>
      </c>
      <c r="AS361" s="508" t="s">
        <v>3114</v>
      </c>
      <c r="AT361" s="508" t="s">
        <v>311</v>
      </c>
      <c r="AV361" s="508" t="s">
        <v>315</v>
      </c>
      <c r="AX361" s="508" t="s">
        <v>3116</v>
      </c>
      <c r="AY361" s="508" t="s">
        <v>909</v>
      </c>
      <c r="AZ361" s="508">
        <v>2.1</v>
      </c>
      <c r="BA361" s="508" t="s">
        <v>52</v>
      </c>
      <c r="BB361" s="508" t="s">
        <v>178</v>
      </c>
      <c r="BC361" s="508">
        <v>18</v>
      </c>
      <c r="BD361" s="509">
        <v>46194</v>
      </c>
      <c r="BG361" s="508" t="s">
        <v>724</v>
      </c>
      <c r="BH361" s="508" t="s">
        <v>2940</v>
      </c>
      <c r="BI361" s="508">
        <v>17</v>
      </c>
      <c r="BJ361" s="508">
        <v>58</v>
      </c>
    </row>
    <row r="362" spans="1:62" s="508" customFormat="1" ht="14.25" hidden="1" customHeight="1" x14ac:dyDescent="0.2">
      <c r="A362" s="495"/>
      <c r="B362" s="496"/>
      <c r="C362" s="497">
        <f>Таблица3[[#This Row],[Степень зрелости вспом]]</f>
        <v>52</v>
      </c>
      <c r="D362" s="498">
        <v>492</v>
      </c>
      <c r="E362" s="499"/>
      <c r="F362" s="496"/>
      <c r="G362" s="496">
        <v>4470</v>
      </c>
      <c r="H362" s="500"/>
      <c r="I362" s="496">
        <v>3821.9</v>
      </c>
      <c r="J362" s="495" t="s">
        <v>3375</v>
      </c>
      <c r="K362" s="495" t="s">
        <v>1755</v>
      </c>
      <c r="L362" s="495" t="s">
        <v>864</v>
      </c>
      <c r="M362" s="495" t="s">
        <v>762</v>
      </c>
      <c r="N362" s="495"/>
      <c r="O362" s="495"/>
      <c r="P362" s="495"/>
      <c r="Q362" s="495"/>
      <c r="R362" s="501" t="s">
        <v>763</v>
      </c>
      <c r="S362" s="495"/>
      <c r="T362" s="482" t="str">
        <f>VLOOKUP(Таблица3[[#This Row],[№ акта]],$AJ$1:$BJ$691,15,FALSE)</f>
        <v>А-54</v>
      </c>
      <c r="U362" s="482" t="str">
        <f>VLOOKUP(Таблица3[[#This Row],[№ акта]],$AJ$1:$BJ$691,16,FALSE)</f>
        <v>Женева</v>
      </c>
      <c r="V362" s="502">
        <f>VLOOKUP(Таблица3[[#This Row],[№ акта]],$AJ$1:$BJ$691,17,FALSE)</f>
        <v>0.9</v>
      </c>
      <c r="W362" s="502" t="str">
        <f>VLOOKUP(Таблица3[[#This Row],[№ акта]],$AJ$1:$BJ$691,18,FALSE)</f>
        <v>ГРК (полив)</v>
      </c>
      <c r="X362" s="502" t="str">
        <f>VLOOKUP(Таблица3[[#This Row],[№ акта]],$AJ$1:$BJ$691,19,FALSE)</f>
        <v>полив</v>
      </c>
      <c r="Y362" s="503">
        <f>VLOOKUP(Таблица3[[#This Row],[№ акта]],$AJ$1:$BJ$691,20,FALSE)</f>
        <v>18</v>
      </c>
      <c r="Z362" s="504">
        <f>VLOOKUP(Таблица3[[#This Row],[№ акта]],$AJ$1:$BJ$691,21,FALSE)</f>
        <v>46194</v>
      </c>
      <c r="AA362" s="504"/>
      <c r="AB362" s="504" t="str">
        <f>IF(VLOOKUP(Таблица3[[#This Row],[№ акта]],$AJ$1:$BJ$691,23,FALSE)&lt;&gt;0,VLOOKUP(Таблица3[[#This Row],[№ акта]],$AJ$1:$BJ$691,23,FALSE),"-")</f>
        <v>-</v>
      </c>
      <c r="AC36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62" s="506" t="s">
        <v>2940</v>
      </c>
      <c r="AE362" s="505">
        <v>375</v>
      </c>
      <c r="AF362" s="507">
        <v>46195</v>
      </c>
      <c r="AG362" s="505">
        <v>321</v>
      </c>
      <c r="AH362" s="505">
        <f>IFERROR(VLOOKUP(Таблица3[[#This Row],[№ акта]],'Степень зрелости 2026'!$H$12:$I$800,2,FALSE),)</f>
        <v>52</v>
      </c>
      <c r="AJ362" s="508">
        <v>375</v>
      </c>
      <c r="AK362" s="509">
        <v>46195</v>
      </c>
      <c r="AL362" s="508">
        <v>492</v>
      </c>
      <c r="AO362" s="508">
        <v>4470</v>
      </c>
      <c r="AP362" s="508">
        <v>3821.9</v>
      </c>
      <c r="AQ362" s="508" t="s">
        <v>3375</v>
      </c>
      <c r="AR362" s="508" t="s">
        <v>1755</v>
      </c>
      <c r="AS362" s="508" t="s">
        <v>864</v>
      </c>
      <c r="AT362" s="508" t="s">
        <v>762</v>
      </c>
      <c r="AV362" s="508" t="s">
        <v>763</v>
      </c>
      <c r="AX362" s="508" t="s">
        <v>864</v>
      </c>
      <c r="AY362" s="508" t="s">
        <v>1755</v>
      </c>
      <c r="AZ362" s="508">
        <v>0.9</v>
      </c>
      <c r="BA362" s="508" t="s">
        <v>2932</v>
      </c>
      <c r="BB362" s="508" t="s">
        <v>178</v>
      </c>
      <c r="BC362" s="508">
        <v>18</v>
      </c>
      <c r="BD362" s="509">
        <v>46194</v>
      </c>
      <c r="BG362" s="508" t="s">
        <v>3557</v>
      </c>
      <c r="BH362" s="508" t="s">
        <v>2940</v>
      </c>
      <c r="BI362" s="508">
        <v>321</v>
      </c>
      <c r="BJ362" s="508">
        <v>52</v>
      </c>
    </row>
    <row r="363" spans="1:62" s="508" customFormat="1" ht="14.25" hidden="1" customHeight="1" x14ac:dyDescent="0.2">
      <c r="A363" s="495"/>
      <c r="B363" s="496"/>
      <c r="C363" s="497">
        <f>Таблица3[[#This Row],[Степень зрелости вспом]]</f>
        <v>55</v>
      </c>
      <c r="D363" s="498">
        <v>493</v>
      </c>
      <c r="E363" s="499"/>
      <c r="F363" s="496"/>
      <c r="G363" s="496">
        <v>4440</v>
      </c>
      <c r="H363" s="500"/>
      <c r="I363" s="496">
        <v>3574.2</v>
      </c>
      <c r="J363" s="495" t="s">
        <v>3375</v>
      </c>
      <c r="K363" s="495" t="s">
        <v>1755</v>
      </c>
      <c r="L363" s="495" t="s">
        <v>864</v>
      </c>
      <c r="M363" s="495" t="s">
        <v>127</v>
      </c>
      <c r="N363" s="495"/>
      <c r="O363" s="495"/>
      <c r="P363" s="495"/>
      <c r="Q363" s="495"/>
      <c r="R363" s="501" t="s">
        <v>131</v>
      </c>
      <c r="S363" s="495"/>
      <c r="T363" s="482" t="str">
        <f>VLOOKUP(Таблица3[[#This Row],[№ акта]],$AJ$1:$BJ$691,15,FALSE)</f>
        <v>А-54</v>
      </c>
      <c r="U363" s="482" t="str">
        <f>VLOOKUP(Таблица3[[#This Row],[№ акта]],$AJ$1:$BJ$691,16,FALSE)</f>
        <v>Женева</v>
      </c>
      <c r="V363" s="502">
        <f>VLOOKUP(Таблица3[[#This Row],[№ акта]],$AJ$1:$BJ$691,17,FALSE)</f>
        <v>0.9</v>
      </c>
      <c r="W363" s="502" t="str">
        <f>VLOOKUP(Таблица3[[#This Row],[№ акта]],$AJ$1:$BJ$691,18,FALSE)</f>
        <v>ГРК (полив)</v>
      </c>
      <c r="X363" s="502" t="str">
        <f>VLOOKUP(Таблица3[[#This Row],[№ акта]],$AJ$1:$BJ$691,19,FALSE)</f>
        <v>полив</v>
      </c>
      <c r="Y363" s="503">
        <f>VLOOKUP(Таблица3[[#This Row],[№ акта]],$AJ$1:$BJ$691,20,FALSE)</f>
        <v>18</v>
      </c>
      <c r="Z363" s="504">
        <f>VLOOKUP(Таблица3[[#This Row],[№ акта]],$AJ$1:$BJ$691,21,FALSE)</f>
        <v>46194</v>
      </c>
      <c r="AA363" s="504"/>
      <c r="AB363" s="504" t="str">
        <f>IF(VLOOKUP(Таблица3[[#This Row],[№ акта]],$AJ$1:$BJ$691,23,FALSE)&lt;&gt;0,VLOOKUP(Таблица3[[#This Row],[№ акта]],$AJ$1:$BJ$691,23,FALSE),"-")</f>
        <v>-</v>
      </c>
      <c r="AC36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63" s="506" t="s">
        <v>2940</v>
      </c>
      <c r="AE363" s="505">
        <v>376</v>
      </c>
      <c r="AF363" s="507">
        <v>46195</v>
      </c>
      <c r="AG363" s="505">
        <v>322</v>
      </c>
      <c r="AH363" s="505">
        <f>IFERROR(VLOOKUP(Таблица3[[#This Row],[№ акта]],'Степень зрелости 2026'!$H$12:$I$800,2,FALSE),)</f>
        <v>55</v>
      </c>
      <c r="AJ363" s="508">
        <v>376</v>
      </c>
      <c r="AK363" s="509">
        <v>46195</v>
      </c>
      <c r="AL363" s="508">
        <v>493</v>
      </c>
      <c r="AO363" s="508">
        <v>4440</v>
      </c>
      <c r="AP363" s="508">
        <v>3574.2</v>
      </c>
      <c r="AQ363" s="508" t="s">
        <v>3375</v>
      </c>
      <c r="AR363" s="508" t="s">
        <v>1755</v>
      </c>
      <c r="AS363" s="508" t="s">
        <v>864</v>
      </c>
      <c r="AT363" s="508" t="s">
        <v>127</v>
      </c>
      <c r="AV363" s="508" t="s">
        <v>131</v>
      </c>
      <c r="AX363" s="508" t="s">
        <v>864</v>
      </c>
      <c r="AY363" s="508" t="s">
        <v>1755</v>
      </c>
      <c r="AZ363" s="508">
        <v>0.9</v>
      </c>
      <c r="BA363" s="508" t="s">
        <v>2932</v>
      </c>
      <c r="BB363" s="508" t="s">
        <v>178</v>
      </c>
      <c r="BC363" s="508">
        <v>18</v>
      </c>
      <c r="BD363" s="509">
        <v>46194</v>
      </c>
      <c r="BG363" s="508" t="s">
        <v>724</v>
      </c>
      <c r="BH363" s="508" t="s">
        <v>2940</v>
      </c>
      <c r="BI363" s="508">
        <v>322</v>
      </c>
      <c r="BJ363" s="508">
        <v>55</v>
      </c>
    </row>
    <row r="364" spans="1:62" s="508" customFormat="1" ht="14.25" hidden="1" customHeight="1" x14ac:dyDescent="0.2">
      <c r="A364" s="495"/>
      <c r="B364" s="496"/>
      <c r="C364" s="497">
        <f>Таблица3[[#This Row],[Степень зрелости вспом]]</f>
        <v>57</v>
      </c>
      <c r="D364" s="498">
        <v>494</v>
      </c>
      <c r="E364" s="499"/>
      <c r="F364" s="496"/>
      <c r="G364" s="496">
        <v>12810</v>
      </c>
      <c r="H364" s="500"/>
      <c r="I364" s="496">
        <v>11464.9</v>
      </c>
      <c r="J364" s="495" t="s">
        <v>3464</v>
      </c>
      <c r="K364" s="495" t="s">
        <v>909</v>
      </c>
      <c r="L364" s="495" t="s">
        <v>3114</v>
      </c>
      <c r="M364" s="495" t="s">
        <v>239</v>
      </c>
      <c r="N364" s="495"/>
      <c r="O364" s="495"/>
      <c r="P364" s="495"/>
      <c r="Q364" s="495"/>
      <c r="R364" s="501" t="s">
        <v>243</v>
      </c>
      <c r="S364" s="495"/>
      <c r="T364" s="482" t="str">
        <f>VLOOKUP(Таблица3[[#This Row],[№ акта]],$AJ$1:$BJ$691,15,FALSE)</f>
        <v>18 Агролидер</v>
      </c>
      <c r="U364" s="482" t="str">
        <f>VLOOKUP(Таблица3[[#This Row],[№ акта]],$AJ$1:$BJ$691,16,FALSE)</f>
        <v>Тристар</v>
      </c>
      <c r="V364" s="502">
        <f>VLOOKUP(Таблица3[[#This Row],[№ акта]],$AJ$1:$BJ$691,17,FALSE)</f>
        <v>2</v>
      </c>
      <c r="W364" s="502" t="str">
        <f>VLOOKUP(Таблица3[[#This Row],[№ акта]],$AJ$1:$BJ$691,18,FALSE)</f>
        <v>Агролидер (полив)</v>
      </c>
      <c r="X364" s="502" t="str">
        <f>VLOOKUP(Таблица3[[#This Row],[№ акта]],$AJ$1:$BJ$691,19,FALSE)</f>
        <v>полив</v>
      </c>
      <c r="Y364" s="503">
        <f>VLOOKUP(Таблица3[[#This Row],[№ акта]],$AJ$1:$BJ$691,20,FALSE)</f>
        <v>18</v>
      </c>
      <c r="Z364" s="504">
        <f>VLOOKUP(Таблица3[[#This Row],[№ акта]],$AJ$1:$BJ$691,21,FALSE)</f>
        <v>46194</v>
      </c>
      <c r="AA364" s="504"/>
      <c r="AB364" s="504" t="str">
        <f>IF(VLOOKUP(Таблица3[[#This Row],[№ акта]],$AJ$1:$BJ$691,23,FALSE)&lt;&gt;0,VLOOKUP(Таблица3[[#This Row],[№ акта]],$AJ$1:$BJ$691,23,FALSE),"-")</f>
        <v>-</v>
      </c>
      <c r="AC36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64" s="506" t="s">
        <v>2940</v>
      </c>
      <c r="AE364" s="505">
        <v>377</v>
      </c>
      <c r="AF364" s="507">
        <v>46195</v>
      </c>
      <c r="AG364" s="505">
        <v>18</v>
      </c>
      <c r="AH364" s="505">
        <f>IFERROR(VLOOKUP(Таблица3[[#This Row],[№ акта]],'Степень зрелости 2026'!$H$12:$I$800,2,FALSE),)</f>
        <v>57</v>
      </c>
      <c r="AJ364" s="508">
        <v>377</v>
      </c>
      <c r="AK364" s="509">
        <v>46195</v>
      </c>
      <c r="AL364" s="508">
        <v>494</v>
      </c>
      <c r="AO364" s="508">
        <v>12810</v>
      </c>
      <c r="AP364" s="508">
        <v>11465</v>
      </c>
      <c r="AQ364" s="508" t="s">
        <v>3464</v>
      </c>
      <c r="AR364" s="508" t="s">
        <v>909</v>
      </c>
      <c r="AS364" s="508" t="s">
        <v>3114</v>
      </c>
      <c r="AT364" s="508" t="s">
        <v>239</v>
      </c>
      <c r="AV364" s="508" t="s">
        <v>243</v>
      </c>
      <c r="AX364" s="508" t="s">
        <v>3116</v>
      </c>
      <c r="AY364" s="508" t="s">
        <v>909</v>
      </c>
      <c r="AZ364" s="508">
        <v>2</v>
      </c>
      <c r="BA364" s="508" t="s">
        <v>52</v>
      </c>
      <c r="BB364" s="508" t="s">
        <v>178</v>
      </c>
      <c r="BC364" s="508">
        <v>18</v>
      </c>
      <c r="BD364" s="509">
        <v>46194</v>
      </c>
      <c r="BG364" s="508" t="s">
        <v>724</v>
      </c>
      <c r="BH364" s="508" t="s">
        <v>2940</v>
      </c>
      <c r="BI364" s="508">
        <v>18</v>
      </c>
      <c r="BJ364" s="508">
        <v>57</v>
      </c>
    </row>
    <row r="365" spans="1:62" s="508" customFormat="1" ht="14.25" hidden="1" customHeight="1" x14ac:dyDescent="0.2">
      <c r="A365" s="495"/>
      <c r="B365" s="496"/>
      <c r="C365" s="497">
        <f>Таблица3[[#This Row],[Степень зрелости вспом]]</f>
        <v>59</v>
      </c>
      <c r="D365" s="498">
        <v>495</v>
      </c>
      <c r="E365" s="499"/>
      <c r="F365" s="496"/>
      <c r="G365" s="496">
        <v>12750</v>
      </c>
      <c r="H365" s="500"/>
      <c r="I365" s="496">
        <v>11028.7</v>
      </c>
      <c r="J365" s="495" t="s">
        <v>3464</v>
      </c>
      <c r="K365" s="495" t="s">
        <v>909</v>
      </c>
      <c r="L365" s="495" t="s">
        <v>3114</v>
      </c>
      <c r="M365" s="495" t="s">
        <v>212</v>
      </c>
      <c r="N365" s="495"/>
      <c r="O365" s="495"/>
      <c r="P365" s="495"/>
      <c r="Q365" s="495"/>
      <c r="R365" s="501" t="s">
        <v>2965</v>
      </c>
      <c r="S365" s="495"/>
      <c r="T365" s="482" t="str">
        <f>VLOOKUP(Таблица3[[#This Row],[№ акта]],$AJ$1:$BJ$691,15,FALSE)</f>
        <v>18 Агролидер</v>
      </c>
      <c r="U365" s="482" t="str">
        <f>VLOOKUP(Таблица3[[#This Row],[№ акта]],$AJ$1:$BJ$691,16,FALSE)</f>
        <v>Тристар</v>
      </c>
      <c r="V365" s="502">
        <f>VLOOKUP(Таблица3[[#This Row],[№ акта]],$AJ$1:$BJ$691,17,FALSE)</f>
        <v>2</v>
      </c>
      <c r="W365" s="502" t="str">
        <f>VLOOKUP(Таблица3[[#This Row],[№ акта]],$AJ$1:$BJ$691,18,FALSE)</f>
        <v>Агролидер (полив)</v>
      </c>
      <c r="X365" s="502" t="str">
        <f>VLOOKUP(Таблица3[[#This Row],[№ акта]],$AJ$1:$BJ$691,19,FALSE)</f>
        <v>полив</v>
      </c>
      <c r="Y365" s="503">
        <f>VLOOKUP(Таблица3[[#This Row],[№ акта]],$AJ$1:$BJ$691,20,FALSE)</f>
        <v>18</v>
      </c>
      <c r="Z365" s="504">
        <f>VLOOKUP(Таблица3[[#This Row],[№ акта]],$AJ$1:$BJ$691,21,FALSE)</f>
        <v>46194</v>
      </c>
      <c r="AA365" s="504"/>
      <c r="AB365" s="504" t="str">
        <f>IF(VLOOKUP(Таблица3[[#This Row],[№ акта]],$AJ$1:$BJ$691,23,FALSE)&lt;&gt;0,VLOOKUP(Таблица3[[#This Row],[№ акта]],$AJ$1:$BJ$691,23,FALSE),"-")</f>
        <v>-</v>
      </c>
      <c r="AC36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65" s="506" t="s">
        <v>2940</v>
      </c>
      <c r="AE365" s="505">
        <v>378</v>
      </c>
      <c r="AF365" s="507">
        <v>46195</v>
      </c>
      <c r="AG365" s="505">
        <v>19</v>
      </c>
      <c r="AH365" s="505">
        <f>IFERROR(VLOOKUP(Таблица3[[#This Row],[№ акта]],'Степень зрелости 2026'!$H$12:$I$800,2,FALSE),)</f>
        <v>59</v>
      </c>
      <c r="AJ365" s="508">
        <v>378</v>
      </c>
      <c r="AK365" s="509">
        <v>46195</v>
      </c>
      <c r="AL365" s="508">
        <v>495</v>
      </c>
      <c r="AO365" s="508">
        <v>12750</v>
      </c>
      <c r="AP365" s="508">
        <v>11028.7</v>
      </c>
      <c r="AQ365" s="508" t="s">
        <v>3464</v>
      </c>
      <c r="AR365" s="508" t="s">
        <v>909</v>
      </c>
      <c r="AS365" s="508" t="s">
        <v>3114</v>
      </c>
      <c r="AT365" s="508" t="s">
        <v>212</v>
      </c>
      <c r="AV365" s="508" t="s">
        <v>2965</v>
      </c>
      <c r="AX365" s="508" t="s">
        <v>3116</v>
      </c>
      <c r="AY365" s="508" t="s">
        <v>909</v>
      </c>
      <c r="AZ365" s="508">
        <v>2</v>
      </c>
      <c r="BA365" s="508" t="s">
        <v>52</v>
      </c>
      <c r="BB365" s="508" t="s">
        <v>178</v>
      </c>
      <c r="BC365" s="508">
        <v>18</v>
      </c>
      <c r="BD365" s="509">
        <v>46194</v>
      </c>
      <c r="BG365" s="508" t="s">
        <v>724</v>
      </c>
      <c r="BH365" s="508" t="s">
        <v>2940</v>
      </c>
      <c r="BI365" s="508">
        <v>19</v>
      </c>
      <c r="BJ365" s="508">
        <v>59</v>
      </c>
    </row>
    <row r="366" spans="1:62" s="508" customFormat="1" ht="14.25" hidden="1" customHeight="1" x14ac:dyDescent="0.2">
      <c r="A366" s="495"/>
      <c r="B366" s="496"/>
      <c r="C366" s="497">
        <f>Таблица3[[#This Row],[Степень зрелости вспом]]</f>
        <v>54</v>
      </c>
      <c r="D366" s="498">
        <v>496</v>
      </c>
      <c r="E366" s="499"/>
      <c r="F366" s="496"/>
      <c r="G366" s="496">
        <v>4500</v>
      </c>
      <c r="H366" s="500"/>
      <c r="I366" s="496">
        <v>4027.5</v>
      </c>
      <c r="J366" s="495" t="s">
        <v>3375</v>
      </c>
      <c r="K366" s="495" t="s">
        <v>1755</v>
      </c>
      <c r="L366" s="495" t="s">
        <v>864</v>
      </c>
      <c r="M366" s="495" t="s">
        <v>762</v>
      </c>
      <c r="N366" s="495"/>
      <c r="O366" s="495"/>
      <c r="P366" s="495"/>
      <c r="Q366" s="495"/>
      <c r="R366" s="501" t="s">
        <v>763</v>
      </c>
      <c r="S366" s="495"/>
      <c r="T366" s="482" t="str">
        <f>VLOOKUP(Таблица3[[#This Row],[№ акта]],$AJ$1:$BJ$691,15,FALSE)</f>
        <v>А-54</v>
      </c>
      <c r="U366" s="482" t="str">
        <f>VLOOKUP(Таблица3[[#This Row],[№ акта]],$AJ$1:$BJ$691,16,FALSE)</f>
        <v>Женева</v>
      </c>
      <c r="V366" s="502">
        <f>VLOOKUP(Таблица3[[#This Row],[№ акта]],$AJ$1:$BJ$691,17,FALSE)</f>
        <v>0.9</v>
      </c>
      <c r="W366" s="502" t="str">
        <f>VLOOKUP(Таблица3[[#This Row],[№ акта]],$AJ$1:$BJ$691,18,FALSE)</f>
        <v>ГРК (полив)</v>
      </c>
      <c r="X366" s="502" t="str">
        <f>VLOOKUP(Таблица3[[#This Row],[№ акта]],$AJ$1:$BJ$691,19,FALSE)</f>
        <v>полив</v>
      </c>
      <c r="Y366" s="503">
        <f>VLOOKUP(Таблица3[[#This Row],[№ акта]],$AJ$1:$BJ$691,20,FALSE)</f>
        <v>18</v>
      </c>
      <c r="Z366" s="504">
        <f>VLOOKUP(Таблица3[[#This Row],[№ акта]],$AJ$1:$BJ$691,21,FALSE)</f>
        <v>46194</v>
      </c>
      <c r="AA366" s="504"/>
      <c r="AB366" s="504" t="str">
        <f>IF(VLOOKUP(Таблица3[[#This Row],[№ акта]],$AJ$1:$BJ$691,23,FALSE)&lt;&gt;0,VLOOKUP(Таблица3[[#This Row],[№ акта]],$AJ$1:$BJ$691,23,FALSE),"-")</f>
        <v>-</v>
      </c>
      <c r="AC36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66" s="506" t="s">
        <v>2940</v>
      </c>
      <c r="AE366" s="505">
        <v>379</v>
      </c>
      <c r="AF366" s="507">
        <v>46195</v>
      </c>
      <c r="AG366" s="505">
        <v>323</v>
      </c>
      <c r="AH366" s="505">
        <f>IFERROR(VLOOKUP(Таблица3[[#This Row],[№ акта]],'Степень зрелости 2026'!$H$12:$I$800,2,FALSE),)</f>
        <v>54</v>
      </c>
      <c r="AJ366" s="508">
        <v>379</v>
      </c>
      <c r="AK366" s="509">
        <v>46195</v>
      </c>
      <c r="AL366" s="508">
        <v>496</v>
      </c>
      <c r="AO366" s="508">
        <v>4500</v>
      </c>
      <c r="AP366" s="508">
        <v>4027.5</v>
      </c>
      <c r="AQ366" s="508" t="s">
        <v>3375</v>
      </c>
      <c r="AR366" s="508" t="s">
        <v>1755</v>
      </c>
      <c r="AS366" s="508" t="s">
        <v>864</v>
      </c>
      <c r="AT366" s="508" t="s">
        <v>762</v>
      </c>
      <c r="AV366" s="508" t="s">
        <v>763</v>
      </c>
      <c r="AX366" s="508" t="s">
        <v>864</v>
      </c>
      <c r="AY366" s="508" t="s">
        <v>1755</v>
      </c>
      <c r="AZ366" s="508">
        <v>0.9</v>
      </c>
      <c r="BA366" s="508" t="s">
        <v>2932</v>
      </c>
      <c r="BB366" s="508" t="s">
        <v>178</v>
      </c>
      <c r="BC366" s="508">
        <v>18</v>
      </c>
      <c r="BD366" s="509">
        <v>46194</v>
      </c>
      <c r="BG366" s="508" t="s">
        <v>724</v>
      </c>
      <c r="BH366" s="508" t="s">
        <v>2940</v>
      </c>
      <c r="BI366" s="508">
        <v>323</v>
      </c>
      <c r="BJ366" s="508">
        <v>54</v>
      </c>
    </row>
    <row r="367" spans="1:62" s="508" customFormat="1" ht="14.25" hidden="1" customHeight="1" x14ac:dyDescent="0.2">
      <c r="A367" s="495"/>
      <c r="B367" s="496"/>
      <c r="C367" s="497">
        <f>Таблица3[[#This Row],[Степень зрелости вспом]]</f>
        <v>61</v>
      </c>
      <c r="D367" s="498">
        <v>497</v>
      </c>
      <c r="E367" s="499"/>
      <c r="F367" s="496"/>
      <c r="G367" s="496">
        <v>12790</v>
      </c>
      <c r="H367" s="500"/>
      <c r="I367" s="496">
        <v>11958.7</v>
      </c>
      <c r="J367" s="495" t="s">
        <v>3464</v>
      </c>
      <c r="K367" s="495" t="s">
        <v>909</v>
      </c>
      <c r="L367" s="495" t="s">
        <v>3114</v>
      </c>
      <c r="M367" s="495" t="s">
        <v>335</v>
      </c>
      <c r="N367" s="495"/>
      <c r="O367" s="495"/>
      <c r="P367" s="495"/>
      <c r="Q367" s="495"/>
      <c r="R367" s="501" t="s">
        <v>339</v>
      </c>
      <c r="S367" s="495"/>
      <c r="T367" s="482" t="str">
        <f>VLOOKUP(Таблица3[[#This Row],[№ акта]],$AJ$1:$BJ$691,15,FALSE)</f>
        <v>18 Агролидер</v>
      </c>
      <c r="U367" s="482" t="str">
        <f>VLOOKUP(Таблица3[[#This Row],[№ акта]],$AJ$1:$BJ$691,16,FALSE)</f>
        <v>Тристар</v>
      </c>
      <c r="V367" s="502">
        <f>VLOOKUP(Таблица3[[#This Row],[№ акта]],$AJ$1:$BJ$691,17,FALSE)</f>
        <v>2</v>
      </c>
      <c r="W367" s="502" t="str">
        <f>VLOOKUP(Таблица3[[#This Row],[№ акта]],$AJ$1:$BJ$691,18,FALSE)</f>
        <v>Агролидер (полив)</v>
      </c>
      <c r="X367" s="502" t="str">
        <f>VLOOKUP(Таблица3[[#This Row],[№ акта]],$AJ$1:$BJ$691,19,FALSE)</f>
        <v>полив</v>
      </c>
      <c r="Y367" s="503">
        <f>VLOOKUP(Таблица3[[#This Row],[№ акта]],$AJ$1:$BJ$691,20,FALSE)</f>
        <v>18</v>
      </c>
      <c r="Z367" s="504">
        <f>VLOOKUP(Таблица3[[#This Row],[№ акта]],$AJ$1:$BJ$691,21,FALSE)</f>
        <v>46194</v>
      </c>
      <c r="AA367" s="504"/>
      <c r="AB367" s="504" t="str">
        <f>IF(VLOOKUP(Таблица3[[#This Row],[№ акта]],$AJ$1:$BJ$691,23,FALSE)&lt;&gt;0,VLOOKUP(Таблица3[[#This Row],[№ акта]],$AJ$1:$BJ$691,23,FALSE),"-")</f>
        <v>-</v>
      </c>
      <c r="AC36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67" s="506" t="s">
        <v>2940</v>
      </c>
      <c r="AE367" s="505">
        <v>380</v>
      </c>
      <c r="AF367" s="507">
        <v>46195</v>
      </c>
      <c r="AG367" s="505">
        <v>20</v>
      </c>
      <c r="AH367" s="505">
        <f>IFERROR(VLOOKUP(Таблица3[[#This Row],[№ акта]],'Степень зрелости 2026'!$H$12:$I$800,2,FALSE),)</f>
        <v>61</v>
      </c>
      <c r="AJ367" s="508">
        <v>380</v>
      </c>
      <c r="AK367" s="509">
        <v>46195</v>
      </c>
      <c r="AL367" s="508">
        <v>497</v>
      </c>
      <c r="AO367" s="508">
        <v>12790</v>
      </c>
      <c r="AP367" s="508">
        <v>11958.7</v>
      </c>
      <c r="AQ367" s="508" t="s">
        <v>3464</v>
      </c>
      <c r="AR367" s="508" t="s">
        <v>909</v>
      </c>
      <c r="AS367" s="508" t="s">
        <v>3114</v>
      </c>
      <c r="AT367" s="508" t="s">
        <v>335</v>
      </c>
      <c r="AV367" s="508" t="s">
        <v>339</v>
      </c>
      <c r="AX367" s="508" t="s">
        <v>3116</v>
      </c>
      <c r="AY367" s="508" t="s">
        <v>909</v>
      </c>
      <c r="AZ367" s="508">
        <v>2</v>
      </c>
      <c r="BA367" s="508" t="s">
        <v>52</v>
      </c>
      <c r="BB367" s="508" t="s">
        <v>178</v>
      </c>
      <c r="BC367" s="508">
        <v>18</v>
      </c>
      <c r="BD367" s="509">
        <v>46194</v>
      </c>
      <c r="BG367" s="508" t="s">
        <v>724</v>
      </c>
      <c r="BH367" s="508" t="s">
        <v>2940</v>
      </c>
      <c r="BI367" s="508">
        <v>20</v>
      </c>
      <c r="BJ367" s="508">
        <v>61</v>
      </c>
    </row>
    <row r="368" spans="1:62" s="508" customFormat="1" ht="14.25" hidden="1" customHeight="1" x14ac:dyDescent="0.2">
      <c r="A368" s="495"/>
      <c r="B368" s="496"/>
      <c r="C368" s="497">
        <f>Таблица3[[#This Row],[Степень зрелости вспом]]</f>
        <v>53</v>
      </c>
      <c r="D368" s="498">
        <v>499</v>
      </c>
      <c r="E368" s="499"/>
      <c r="F368" s="496"/>
      <c r="G368" s="496">
        <v>4320</v>
      </c>
      <c r="H368" s="500"/>
      <c r="I368" s="496">
        <v>3780</v>
      </c>
      <c r="J368" s="495" t="s">
        <v>3375</v>
      </c>
      <c r="K368" s="495" t="s">
        <v>1755</v>
      </c>
      <c r="L368" s="495" t="s">
        <v>864</v>
      </c>
      <c r="M368" s="495" t="s">
        <v>127</v>
      </c>
      <c r="N368" s="495"/>
      <c r="O368" s="495"/>
      <c r="P368" s="495"/>
      <c r="Q368" s="495"/>
      <c r="R368" s="501" t="s">
        <v>131</v>
      </c>
      <c r="S368" s="495"/>
      <c r="T368" s="482" t="str">
        <f>VLOOKUP(Таблица3[[#This Row],[№ акта]],$AJ$1:$BJ$691,15,FALSE)</f>
        <v>А-54</v>
      </c>
      <c r="U368" s="482" t="str">
        <f>VLOOKUP(Таблица3[[#This Row],[№ акта]],$AJ$1:$BJ$691,16,FALSE)</f>
        <v>Женева</v>
      </c>
      <c r="V368" s="502">
        <f>VLOOKUP(Таблица3[[#This Row],[№ акта]],$AJ$1:$BJ$691,17,FALSE)</f>
        <v>0.8</v>
      </c>
      <c r="W368" s="502" t="str">
        <f>VLOOKUP(Таблица3[[#This Row],[№ акта]],$AJ$1:$BJ$691,18,FALSE)</f>
        <v>ГРК (полив)</v>
      </c>
      <c r="X368" s="502" t="str">
        <f>VLOOKUP(Таблица3[[#This Row],[№ акта]],$AJ$1:$BJ$691,19,FALSE)</f>
        <v>полив</v>
      </c>
      <c r="Y368" s="503">
        <f>VLOOKUP(Таблица3[[#This Row],[№ акта]],$AJ$1:$BJ$691,20,FALSE)</f>
        <v>18</v>
      </c>
      <c r="Z368" s="504">
        <f>VLOOKUP(Таблица3[[#This Row],[№ акта]],$AJ$1:$BJ$691,21,FALSE)</f>
        <v>46194</v>
      </c>
      <c r="AA368" s="504"/>
      <c r="AB368" s="504" t="str">
        <f>IF(VLOOKUP(Таблица3[[#This Row],[№ акта]],$AJ$1:$BJ$691,23,FALSE)&lt;&gt;0,VLOOKUP(Таблица3[[#This Row],[№ акта]],$AJ$1:$BJ$691,23,FALSE),"-")</f>
        <v>-</v>
      </c>
      <c r="AC36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68" s="506" t="s">
        <v>2940</v>
      </c>
      <c r="AE368" s="505">
        <v>381</v>
      </c>
      <c r="AF368" s="507">
        <v>46195</v>
      </c>
      <c r="AG368" s="505">
        <v>324</v>
      </c>
      <c r="AH368" s="505">
        <f>IFERROR(VLOOKUP(Таблица3[[#This Row],[№ акта]],'Степень зрелости 2026'!$H$12:$I$800,2,FALSE),)</f>
        <v>53</v>
      </c>
      <c r="AJ368" s="508">
        <v>381</v>
      </c>
      <c r="AK368" s="509">
        <v>46195</v>
      </c>
      <c r="AL368" s="508">
        <v>499</v>
      </c>
      <c r="AO368" s="508">
        <v>4320</v>
      </c>
      <c r="AP368" s="508">
        <v>3780</v>
      </c>
      <c r="AQ368" s="508" t="s">
        <v>3375</v>
      </c>
      <c r="AR368" s="508" t="s">
        <v>1755</v>
      </c>
      <c r="AS368" s="508" t="s">
        <v>864</v>
      </c>
      <c r="AT368" s="508" t="s">
        <v>127</v>
      </c>
      <c r="AV368" s="508" t="s">
        <v>131</v>
      </c>
      <c r="AX368" s="508" t="s">
        <v>864</v>
      </c>
      <c r="AY368" s="508" t="s">
        <v>1755</v>
      </c>
      <c r="AZ368" s="508">
        <v>0.8</v>
      </c>
      <c r="BA368" s="508" t="s">
        <v>2932</v>
      </c>
      <c r="BB368" s="508" t="s">
        <v>178</v>
      </c>
      <c r="BC368" s="508">
        <v>18</v>
      </c>
      <c r="BD368" s="509">
        <v>46194</v>
      </c>
      <c r="BG368" s="508" t="s">
        <v>724</v>
      </c>
      <c r="BH368" s="508" t="s">
        <v>2940</v>
      </c>
      <c r="BI368" s="508">
        <v>324</v>
      </c>
      <c r="BJ368" s="508">
        <v>53</v>
      </c>
    </row>
    <row r="369" spans="1:62" s="508" customFormat="1" ht="14.25" hidden="1" customHeight="1" x14ac:dyDescent="0.2">
      <c r="A369" s="495"/>
      <c r="B369" s="496"/>
      <c r="C369" s="497">
        <f>Таблица3[[#This Row],[Степень зрелости вспом]]</f>
        <v>59</v>
      </c>
      <c r="D369" s="498">
        <v>500</v>
      </c>
      <c r="E369" s="499"/>
      <c r="F369" s="496"/>
      <c r="G369" s="496">
        <v>12890</v>
      </c>
      <c r="H369" s="500"/>
      <c r="I369" s="496">
        <v>11665.5</v>
      </c>
      <c r="J369" s="495" t="s">
        <v>3464</v>
      </c>
      <c r="K369" s="495" t="s">
        <v>909</v>
      </c>
      <c r="L369" s="495" t="s">
        <v>3114</v>
      </c>
      <c r="M369" s="495" t="s">
        <v>3377</v>
      </c>
      <c r="N369" s="495"/>
      <c r="O369" s="495"/>
      <c r="P369" s="495"/>
      <c r="Q369" s="495"/>
      <c r="R369" s="501" t="s">
        <v>3196</v>
      </c>
      <c r="S369" s="495"/>
      <c r="T369" s="482" t="str">
        <f>VLOOKUP(Таблица3[[#This Row],[№ акта]],$AJ$1:$BJ$691,15,FALSE)</f>
        <v>18 Агролидер</v>
      </c>
      <c r="U369" s="482" t="str">
        <f>VLOOKUP(Таблица3[[#This Row],[№ акта]],$AJ$1:$BJ$691,16,FALSE)</f>
        <v>Тристар</v>
      </c>
      <c r="V369" s="502">
        <f>VLOOKUP(Таблица3[[#This Row],[№ акта]],$AJ$1:$BJ$691,17,FALSE)</f>
        <v>2</v>
      </c>
      <c r="W369" s="502" t="str">
        <f>VLOOKUP(Таблица3[[#This Row],[№ акта]],$AJ$1:$BJ$691,18,FALSE)</f>
        <v>Агролидер (полив)</v>
      </c>
      <c r="X369" s="502" t="str">
        <f>VLOOKUP(Таблица3[[#This Row],[№ акта]],$AJ$1:$BJ$691,19,FALSE)</f>
        <v>полив</v>
      </c>
      <c r="Y369" s="503">
        <f>VLOOKUP(Таблица3[[#This Row],[№ акта]],$AJ$1:$BJ$691,20,FALSE)</f>
        <v>18</v>
      </c>
      <c r="Z369" s="504">
        <f>VLOOKUP(Таблица3[[#This Row],[№ акта]],$AJ$1:$BJ$691,21,FALSE)</f>
        <v>46194</v>
      </c>
      <c r="AA369" s="504"/>
      <c r="AB369" s="504" t="str">
        <f>IF(VLOOKUP(Таблица3[[#This Row],[№ акта]],$AJ$1:$BJ$691,23,FALSE)&lt;&gt;0,VLOOKUP(Таблица3[[#This Row],[№ акта]],$AJ$1:$BJ$691,23,FALSE),"-")</f>
        <v>-</v>
      </c>
      <c r="AC36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69" s="506" t="s">
        <v>2940</v>
      </c>
      <c r="AE369" s="505">
        <v>382</v>
      </c>
      <c r="AF369" s="507">
        <v>46195</v>
      </c>
      <c r="AG369" s="505">
        <v>21</v>
      </c>
      <c r="AH369" s="505">
        <f>IFERROR(VLOOKUP(Таблица3[[#This Row],[№ акта]],'Степень зрелости 2026'!$H$12:$I$800,2,FALSE),)</f>
        <v>59</v>
      </c>
      <c r="AJ369" s="508">
        <v>382</v>
      </c>
      <c r="AK369" s="509">
        <v>46195</v>
      </c>
      <c r="AL369" s="508">
        <v>500</v>
      </c>
      <c r="AO369" s="508">
        <v>12890</v>
      </c>
      <c r="AP369" s="508">
        <v>11665.5</v>
      </c>
      <c r="AQ369" s="508" t="s">
        <v>3464</v>
      </c>
      <c r="AR369" s="508" t="s">
        <v>909</v>
      </c>
      <c r="AS369" s="508" t="s">
        <v>3114</v>
      </c>
      <c r="AT369" s="508" t="s">
        <v>3377</v>
      </c>
      <c r="AV369" s="508" t="s">
        <v>3196</v>
      </c>
      <c r="AX369" s="508" t="s">
        <v>3116</v>
      </c>
      <c r="AY369" s="508" t="s">
        <v>909</v>
      </c>
      <c r="AZ369" s="508">
        <v>2</v>
      </c>
      <c r="BA369" s="508" t="s">
        <v>52</v>
      </c>
      <c r="BB369" s="508" t="s">
        <v>178</v>
      </c>
      <c r="BC369" s="508">
        <v>18</v>
      </c>
      <c r="BD369" s="509">
        <v>46194</v>
      </c>
      <c r="BG369" s="508" t="s">
        <v>724</v>
      </c>
      <c r="BH369" s="508" t="s">
        <v>2940</v>
      </c>
      <c r="BI369" s="508">
        <v>21</v>
      </c>
      <c r="BJ369" s="508">
        <v>59</v>
      </c>
    </row>
    <row r="370" spans="1:62" s="508" customFormat="1" ht="14.25" hidden="1" customHeight="1" x14ac:dyDescent="0.2">
      <c r="A370" s="495"/>
      <c r="B370" s="496"/>
      <c r="C370" s="497">
        <f>Таблица3[[#This Row],[Степень зрелости вспом]]</f>
        <v>57</v>
      </c>
      <c r="D370" s="498">
        <v>501</v>
      </c>
      <c r="E370" s="499"/>
      <c r="F370" s="496"/>
      <c r="G370" s="496">
        <v>12670</v>
      </c>
      <c r="H370" s="500"/>
      <c r="I370" s="496">
        <v>11339.7</v>
      </c>
      <c r="J370" s="495" t="s">
        <v>3464</v>
      </c>
      <c r="K370" s="495" t="s">
        <v>909</v>
      </c>
      <c r="L370" s="495" t="s">
        <v>3114</v>
      </c>
      <c r="M370" s="495" t="s">
        <v>133</v>
      </c>
      <c r="N370" s="495"/>
      <c r="O370" s="495"/>
      <c r="P370" s="495"/>
      <c r="Q370" s="495"/>
      <c r="R370" s="501" t="s">
        <v>137</v>
      </c>
      <c r="S370" s="495"/>
      <c r="T370" s="482" t="str">
        <f>VLOOKUP(Таблица3[[#This Row],[№ акта]],$AJ$1:$BJ$691,15,FALSE)</f>
        <v>18 Агролидер</v>
      </c>
      <c r="U370" s="482" t="str">
        <f>VLOOKUP(Таблица3[[#This Row],[№ акта]],$AJ$1:$BJ$691,16,FALSE)</f>
        <v>Тристар</v>
      </c>
      <c r="V370" s="502">
        <f>VLOOKUP(Таблица3[[#This Row],[№ акта]],$AJ$1:$BJ$691,17,FALSE)</f>
        <v>2</v>
      </c>
      <c r="W370" s="502" t="str">
        <f>VLOOKUP(Таблица3[[#This Row],[№ акта]],$AJ$1:$BJ$691,18,FALSE)</f>
        <v>Агролидер (полив)</v>
      </c>
      <c r="X370" s="502" t="str">
        <f>VLOOKUP(Таблица3[[#This Row],[№ акта]],$AJ$1:$BJ$691,19,FALSE)</f>
        <v>полив</v>
      </c>
      <c r="Y370" s="503">
        <f>VLOOKUP(Таблица3[[#This Row],[№ акта]],$AJ$1:$BJ$691,20,FALSE)</f>
        <v>18</v>
      </c>
      <c r="Z370" s="504">
        <f>VLOOKUP(Таблица3[[#This Row],[№ акта]],$AJ$1:$BJ$691,21,FALSE)</f>
        <v>46194</v>
      </c>
      <c r="AA370" s="504"/>
      <c r="AB370" s="504" t="str">
        <f>IF(VLOOKUP(Таблица3[[#This Row],[№ акта]],$AJ$1:$BJ$691,23,FALSE)&lt;&gt;0,VLOOKUP(Таблица3[[#This Row],[№ акта]],$AJ$1:$BJ$691,23,FALSE),"-")</f>
        <v>-</v>
      </c>
      <c r="AC37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70" s="506" t="s">
        <v>2940</v>
      </c>
      <c r="AE370" s="505">
        <v>383</v>
      </c>
      <c r="AF370" s="507">
        <v>46195</v>
      </c>
      <c r="AG370" s="505">
        <v>22</v>
      </c>
      <c r="AH370" s="505">
        <f>IFERROR(VLOOKUP(Таблица3[[#This Row],[№ акта]],'Степень зрелости 2026'!$H$12:$I$800,2,FALSE),)</f>
        <v>57</v>
      </c>
      <c r="AJ370" s="508">
        <v>383</v>
      </c>
      <c r="AK370" s="509">
        <v>46195</v>
      </c>
      <c r="AL370" s="508">
        <v>501</v>
      </c>
      <c r="AO370" s="508">
        <v>12670</v>
      </c>
      <c r="AP370" s="508">
        <v>11339.7</v>
      </c>
      <c r="AQ370" s="508" t="s">
        <v>3464</v>
      </c>
      <c r="AR370" s="508" t="s">
        <v>909</v>
      </c>
      <c r="AS370" s="508" t="s">
        <v>3114</v>
      </c>
      <c r="AT370" s="508" t="s">
        <v>133</v>
      </c>
      <c r="AV370" s="508" t="s">
        <v>137</v>
      </c>
      <c r="AX370" s="508" t="s">
        <v>3116</v>
      </c>
      <c r="AY370" s="508" t="s">
        <v>909</v>
      </c>
      <c r="AZ370" s="508">
        <v>2</v>
      </c>
      <c r="BA370" s="508" t="s">
        <v>52</v>
      </c>
      <c r="BB370" s="508" t="s">
        <v>178</v>
      </c>
      <c r="BC370" s="508">
        <v>18</v>
      </c>
      <c r="BD370" s="509">
        <v>46194</v>
      </c>
      <c r="BG370" s="508" t="s">
        <v>724</v>
      </c>
      <c r="BH370" s="508" t="s">
        <v>2940</v>
      </c>
      <c r="BI370" s="508">
        <v>22</v>
      </c>
      <c r="BJ370" s="508">
        <v>57</v>
      </c>
    </row>
    <row r="371" spans="1:62" s="508" customFormat="1" ht="14.25" hidden="1" customHeight="1" x14ac:dyDescent="0.2">
      <c r="A371" s="495"/>
      <c r="B371" s="496"/>
      <c r="C371" s="497">
        <f>Таблица3[[#This Row],[Степень зрелости вспом]]</f>
        <v>60</v>
      </c>
      <c r="D371" s="498">
        <v>502</v>
      </c>
      <c r="E371" s="499"/>
      <c r="F371" s="496"/>
      <c r="G371" s="496">
        <v>12830</v>
      </c>
      <c r="H371" s="500"/>
      <c r="I371" s="496">
        <v>11739.5</v>
      </c>
      <c r="J371" s="495" t="s">
        <v>3464</v>
      </c>
      <c r="K371" s="495" t="s">
        <v>909</v>
      </c>
      <c r="L371" s="495" t="s">
        <v>3114</v>
      </c>
      <c r="M371" s="495" t="s">
        <v>121</v>
      </c>
      <c r="N371" s="495"/>
      <c r="O371" s="495"/>
      <c r="P371" s="495"/>
      <c r="Q371" s="495"/>
      <c r="R371" s="501" t="s">
        <v>125</v>
      </c>
      <c r="S371" s="495"/>
      <c r="T371" s="482" t="str">
        <f>VLOOKUP(Таблица3[[#This Row],[№ акта]],$AJ$1:$BJ$691,15,FALSE)</f>
        <v>18 Агролидер</v>
      </c>
      <c r="U371" s="482" t="str">
        <f>VLOOKUP(Таблица3[[#This Row],[№ акта]],$AJ$1:$BJ$691,16,FALSE)</f>
        <v>Тристар</v>
      </c>
      <c r="V371" s="502">
        <f>VLOOKUP(Таблица3[[#This Row],[№ акта]],$AJ$1:$BJ$691,17,FALSE)</f>
        <v>2</v>
      </c>
      <c r="W371" s="502" t="str">
        <f>VLOOKUP(Таблица3[[#This Row],[№ акта]],$AJ$1:$BJ$691,18,FALSE)</f>
        <v>Агролидер (полив)</v>
      </c>
      <c r="X371" s="502" t="str">
        <f>VLOOKUP(Таблица3[[#This Row],[№ акта]],$AJ$1:$BJ$691,19,FALSE)</f>
        <v>полив</v>
      </c>
      <c r="Y371" s="503">
        <f>VLOOKUP(Таблица3[[#This Row],[№ акта]],$AJ$1:$BJ$691,20,FALSE)</f>
        <v>18</v>
      </c>
      <c r="Z371" s="504">
        <f>VLOOKUP(Таблица3[[#This Row],[№ акта]],$AJ$1:$BJ$691,21,FALSE)</f>
        <v>46194</v>
      </c>
      <c r="AA371" s="504"/>
      <c r="AB371" s="504" t="str">
        <f>IF(VLOOKUP(Таблица3[[#This Row],[№ акта]],$AJ$1:$BJ$691,23,FALSE)&lt;&gt;0,VLOOKUP(Таблица3[[#This Row],[№ акта]],$AJ$1:$BJ$691,23,FALSE),"-")</f>
        <v>-</v>
      </c>
      <c r="AC37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71" s="506" t="s">
        <v>2940</v>
      </c>
      <c r="AE371" s="505">
        <v>384</v>
      </c>
      <c r="AF371" s="507">
        <v>46195</v>
      </c>
      <c r="AG371" s="505">
        <v>23</v>
      </c>
      <c r="AH371" s="505">
        <f>IFERROR(VLOOKUP(Таблица3[[#This Row],[№ акта]],'Степень зрелости 2026'!$H$12:$I$800,2,FALSE),)</f>
        <v>60</v>
      </c>
      <c r="AJ371" s="508">
        <v>384</v>
      </c>
      <c r="AK371" s="509">
        <v>46195</v>
      </c>
      <c r="AL371" s="508">
        <v>502</v>
      </c>
      <c r="AO371" s="508">
        <v>12830</v>
      </c>
      <c r="AP371" s="508">
        <v>11739.5</v>
      </c>
      <c r="AQ371" s="508" t="s">
        <v>3464</v>
      </c>
      <c r="AR371" s="508" t="s">
        <v>909</v>
      </c>
      <c r="AS371" s="508" t="s">
        <v>3114</v>
      </c>
      <c r="AT371" s="508" t="s">
        <v>121</v>
      </c>
      <c r="AV371" s="508" t="s">
        <v>125</v>
      </c>
      <c r="AX371" s="508" t="s">
        <v>3116</v>
      </c>
      <c r="AY371" s="508" t="s">
        <v>909</v>
      </c>
      <c r="AZ371" s="508">
        <v>2</v>
      </c>
      <c r="BA371" s="508" t="s">
        <v>52</v>
      </c>
      <c r="BB371" s="508" t="s">
        <v>178</v>
      </c>
      <c r="BC371" s="508">
        <v>18</v>
      </c>
      <c r="BD371" s="509">
        <v>46194</v>
      </c>
      <c r="BG371" s="508" t="s">
        <v>724</v>
      </c>
      <c r="BH371" s="508" t="s">
        <v>2940</v>
      </c>
      <c r="BI371" s="508">
        <v>23</v>
      </c>
      <c r="BJ371" s="508">
        <v>60</v>
      </c>
    </row>
    <row r="372" spans="1:62" s="508" customFormat="1" ht="14.25" hidden="1" customHeight="1" x14ac:dyDescent="0.2">
      <c r="A372" s="495"/>
      <c r="B372" s="496"/>
      <c r="C372" s="497">
        <f>Таблица3[[#This Row],[Степень зрелости вспом]]</f>
        <v>52</v>
      </c>
      <c r="D372" s="498">
        <v>504</v>
      </c>
      <c r="E372" s="499"/>
      <c r="F372" s="496"/>
      <c r="G372" s="496">
        <v>9170</v>
      </c>
      <c r="H372" s="500"/>
      <c r="I372" s="496">
        <v>7932.1</v>
      </c>
      <c r="J372" s="495" t="s">
        <v>3375</v>
      </c>
      <c r="K372" s="495" t="s">
        <v>1755</v>
      </c>
      <c r="L372" s="495" t="s">
        <v>864</v>
      </c>
      <c r="M372" s="495" t="s">
        <v>2967</v>
      </c>
      <c r="N372" s="495"/>
      <c r="O372" s="495"/>
      <c r="P372" s="495"/>
      <c r="Q372" s="495"/>
      <c r="R372" s="501" t="s">
        <v>1810</v>
      </c>
      <c r="S372" s="495"/>
      <c r="T372" s="482" t="str">
        <f>VLOOKUP(Таблица3[[#This Row],[№ акта]],$AJ$1:$BJ$691,15,FALSE)</f>
        <v>А-54</v>
      </c>
      <c r="U372" s="482" t="str">
        <f>VLOOKUP(Таблица3[[#This Row],[№ акта]],$AJ$1:$BJ$691,16,FALSE)</f>
        <v>Женева</v>
      </c>
      <c r="V372" s="502">
        <f>VLOOKUP(Таблица3[[#This Row],[№ акта]],$AJ$1:$BJ$691,17,FALSE)</f>
        <v>1.4</v>
      </c>
      <c r="W372" s="502" t="str">
        <f>VLOOKUP(Таблица3[[#This Row],[№ акта]],$AJ$1:$BJ$691,18,FALSE)</f>
        <v>ГРК (полив)</v>
      </c>
      <c r="X372" s="502" t="str">
        <f>VLOOKUP(Таблица3[[#This Row],[№ акта]],$AJ$1:$BJ$691,19,FALSE)</f>
        <v>полив</v>
      </c>
      <c r="Y372" s="503">
        <f>VLOOKUP(Таблица3[[#This Row],[№ акта]],$AJ$1:$BJ$691,20,FALSE)</f>
        <v>19</v>
      </c>
      <c r="Z372" s="504">
        <f>VLOOKUP(Таблица3[[#This Row],[№ акта]],$AJ$1:$BJ$691,21,FALSE)</f>
        <v>46195</v>
      </c>
      <c r="AA372" s="504"/>
      <c r="AB372" s="504" t="str">
        <f>IF(VLOOKUP(Таблица3[[#This Row],[№ акта]],$AJ$1:$BJ$691,23,FALSE)&lt;&gt;0,VLOOKUP(Таблица3[[#This Row],[№ акта]],$AJ$1:$BJ$691,23,FALSE),"-")</f>
        <v>-</v>
      </c>
      <c r="AC37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72" s="506" t="s">
        <v>2940</v>
      </c>
      <c r="AE372" s="505">
        <v>385</v>
      </c>
      <c r="AF372" s="507">
        <v>46195</v>
      </c>
      <c r="AG372" s="505">
        <v>325</v>
      </c>
      <c r="AH372" s="505">
        <f>IFERROR(VLOOKUP(Таблица3[[#This Row],[№ акта]],'Степень зрелости 2026'!$H$12:$I$800,2,FALSE),)</f>
        <v>52</v>
      </c>
      <c r="AJ372" s="508">
        <v>385</v>
      </c>
      <c r="AK372" s="509">
        <v>46195</v>
      </c>
      <c r="AL372" s="508">
        <v>504</v>
      </c>
      <c r="AO372" s="508">
        <v>9170</v>
      </c>
      <c r="AP372" s="508">
        <v>7932.1</v>
      </c>
      <c r="AQ372" s="508" t="s">
        <v>3375</v>
      </c>
      <c r="AR372" s="508" t="s">
        <v>1755</v>
      </c>
      <c r="AS372" s="508" t="s">
        <v>864</v>
      </c>
      <c r="AT372" s="508" t="s">
        <v>2967</v>
      </c>
      <c r="AV372" s="508" t="s">
        <v>1810</v>
      </c>
      <c r="AX372" s="508" t="s">
        <v>864</v>
      </c>
      <c r="AY372" s="508" t="s">
        <v>1755</v>
      </c>
      <c r="AZ372" s="508">
        <v>1.4</v>
      </c>
      <c r="BA372" s="508" t="s">
        <v>2932</v>
      </c>
      <c r="BB372" s="508" t="s">
        <v>178</v>
      </c>
      <c r="BC372" s="508">
        <v>19</v>
      </c>
      <c r="BD372" s="509">
        <v>46195</v>
      </c>
      <c r="BG372" s="508" t="s">
        <v>3557</v>
      </c>
      <c r="BH372" s="508" t="s">
        <v>2940</v>
      </c>
      <c r="BI372" s="508">
        <v>325</v>
      </c>
      <c r="BJ372" s="508">
        <v>52</v>
      </c>
    </row>
    <row r="373" spans="1:62" s="508" customFormat="1" ht="14.25" hidden="1" customHeight="1" x14ac:dyDescent="0.2">
      <c r="A373" s="495"/>
      <c r="B373" s="496"/>
      <c r="C373" s="497">
        <f>Таблица3[[#This Row],[Степень зрелости вспом]]</f>
        <v>61</v>
      </c>
      <c r="D373" s="498">
        <v>505</v>
      </c>
      <c r="E373" s="499"/>
      <c r="F373" s="496"/>
      <c r="G373" s="496">
        <v>12870</v>
      </c>
      <c r="H373" s="500"/>
      <c r="I373" s="496">
        <v>11647.4</v>
      </c>
      <c r="J373" s="495" t="s">
        <v>3464</v>
      </c>
      <c r="K373" s="495" t="s">
        <v>909</v>
      </c>
      <c r="L373" s="495" t="s">
        <v>3114</v>
      </c>
      <c r="M373" s="495" t="s">
        <v>305</v>
      </c>
      <c r="N373" s="495"/>
      <c r="O373" s="495"/>
      <c r="P373" s="495"/>
      <c r="Q373" s="495"/>
      <c r="R373" s="501" t="s">
        <v>309</v>
      </c>
      <c r="S373" s="495"/>
      <c r="T373" s="482" t="str">
        <f>VLOOKUP(Таблица3[[#This Row],[№ акта]],$AJ$1:$BJ$691,15,FALSE)</f>
        <v>12 Агролидер</v>
      </c>
      <c r="U373" s="482" t="str">
        <f>VLOOKUP(Таблица3[[#This Row],[№ акта]],$AJ$1:$BJ$691,16,FALSE)</f>
        <v>Тристар</v>
      </c>
      <c r="V373" s="502">
        <f>VLOOKUP(Таблица3[[#This Row],[№ акта]],$AJ$1:$BJ$691,17,FALSE)</f>
        <v>3.4</v>
      </c>
      <c r="W373" s="502" t="str">
        <f>VLOOKUP(Таблица3[[#This Row],[№ акта]],$AJ$1:$BJ$691,18,FALSE)</f>
        <v>Агролидер (полив)</v>
      </c>
      <c r="X373" s="502" t="str">
        <f>VLOOKUP(Таблица3[[#This Row],[№ акта]],$AJ$1:$BJ$691,19,FALSE)</f>
        <v>полив</v>
      </c>
      <c r="Y373" s="503">
        <f>VLOOKUP(Таблица3[[#This Row],[№ акта]],$AJ$1:$BJ$691,20,FALSE)</f>
        <v>19</v>
      </c>
      <c r="Z373" s="504">
        <f>VLOOKUP(Таблица3[[#This Row],[№ акта]],$AJ$1:$BJ$691,21,FALSE)</f>
        <v>46195</v>
      </c>
      <c r="AA373" s="504"/>
      <c r="AB373" s="504" t="str">
        <f>IF(VLOOKUP(Таблица3[[#This Row],[№ акта]],$AJ$1:$BJ$691,23,FALSE)&lt;&gt;0,VLOOKUP(Таблица3[[#This Row],[№ акта]],$AJ$1:$BJ$691,23,FALSE),"-")</f>
        <v>-</v>
      </c>
      <c r="AC37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73" s="506" t="s">
        <v>2940</v>
      </c>
      <c r="AE373" s="505">
        <v>386</v>
      </c>
      <c r="AF373" s="507">
        <v>46195</v>
      </c>
      <c r="AG373" s="505">
        <v>24</v>
      </c>
      <c r="AH373" s="505">
        <f>IFERROR(VLOOKUP(Таблица3[[#This Row],[№ акта]],'Степень зрелости 2026'!$H$12:$I$800,2,FALSE),)</f>
        <v>61</v>
      </c>
      <c r="AJ373" s="508">
        <v>386</v>
      </c>
      <c r="AK373" s="509">
        <v>46195</v>
      </c>
      <c r="AL373" s="508">
        <v>505</v>
      </c>
      <c r="AO373" s="508">
        <v>12870</v>
      </c>
      <c r="AP373" s="508">
        <v>11647.4</v>
      </c>
      <c r="AQ373" s="508" t="s">
        <v>3464</v>
      </c>
      <c r="AR373" s="508" t="s">
        <v>909</v>
      </c>
      <c r="AS373" s="508" t="s">
        <v>3114</v>
      </c>
      <c r="AT373" s="508" t="s">
        <v>305</v>
      </c>
      <c r="AV373" s="508" t="s">
        <v>309</v>
      </c>
      <c r="AX373" s="508" t="s">
        <v>3114</v>
      </c>
      <c r="AY373" s="508" t="s">
        <v>909</v>
      </c>
      <c r="AZ373" s="508">
        <v>3.4</v>
      </c>
      <c r="BA373" s="508" t="s">
        <v>52</v>
      </c>
      <c r="BB373" s="508" t="s">
        <v>178</v>
      </c>
      <c r="BC373" s="508">
        <v>19</v>
      </c>
      <c r="BD373" s="509">
        <v>46195</v>
      </c>
      <c r="BG373" s="508" t="s">
        <v>724</v>
      </c>
      <c r="BH373" s="508" t="s">
        <v>2940</v>
      </c>
      <c r="BI373" s="508">
        <v>24</v>
      </c>
      <c r="BJ373" s="508">
        <v>61</v>
      </c>
    </row>
    <row r="374" spans="1:62" s="508" customFormat="1" ht="14.25" hidden="1" customHeight="1" x14ac:dyDescent="0.2">
      <c r="A374" s="495"/>
      <c r="B374" s="496"/>
      <c r="C374" s="497">
        <f>Таблица3[[#This Row],[Степень зрелости вспом]]</f>
        <v>47</v>
      </c>
      <c r="D374" s="498">
        <v>507</v>
      </c>
      <c r="E374" s="499"/>
      <c r="F374" s="496"/>
      <c r="G374" s="496">
        <v>4600</v>
      </c>
      <c r="H374" s="500"/>
      <c r="I374" s="496">
        <v>3726</v>
      </c>
      <c r="J374" s="495" t="s">
        <v>3375</v>
      </c>
      <c r="K374" s="495" t="s">
        <v>1755</v>
      </c>
      <c r="L374" s="495" t="s">
        <v>864</v>
      </c>
      <c r="M374" s="495" t="s">
        <v>737</v>
      </c>
      <c r="N374" s="495"/>
      <c r="O374" s="495"/>
      <c r="P374" s="495"/>
      <c r="Q374" s="495"/>
      <c r="R374" s="501" t="s">
        <v>738</v>
      </c>
      <c r="S374" s="495"/>
      <c r="T374" s="482" t="str">
        <f>VLOOKUP(Таблица3[[#This Row],[№ акта]],$AJ$1:$BJ$691,15,FALSE)</f>
        <v>А-54</v>
      </c>
      <c r="U374" s="482" t="str">
        <f>VLOOKUP(Таблица3[[#This Row],[№ акта]],$AJ$1:$BJ$691,16,FALSE)</f>
        <v>Женева</v>
      </c>
      <c r="V374" s="502">
        <f>VLOOKUP(Таблица3[[#This Row],[№ акта]],$AJ$1:$BJ$691,17,FALSE)</f>
        <v>0.7</v>
      </c>
      <c r="W374" s="502" t="str">
        <f>VLOOKUP(Таблица3[[#This Row],[№ акта]],$AJ$1:$BJ$691,18,FALSE)</f>
        <v>ГРК (полив)</v>
      </c>
      <c r="X374" s="502" t="str">
        <f>VLOOKUP(Таблица3[[#This Row],[№ акта]],$AJ$1:$BJ$691,19,FALSE)</f>
        <v>полив</v>
      </c>
      <c r="Y374" s="503">
        <f>VLOOKUP(Таблица3[[#This Row],[№ акта]],$AJ$1:$BJ$691,20,FALSE)</f>
        <v>19</v>
      </c>
      <c r="Z374" s="504">
        <f>VLOOKUP(Таблица3[[#This Row],[№ акта]],$AJ$1:$BJ$691,21,FALSE)</f>
        <v>46195</v>
      </c>
      <c r="AA374" s="504"/>
      <c r="AB374" s="504" t="str">
        <f>IF(VLOOKUP(Таблица3[[#This Row],[№ акта]],$AJ$1:$BJ$691,23,FALSE)&lt;&gt;0,VLOOKUP(Таблица3[[#This Row],[№ акта]],$AJ$1:$BJ$691,23,FALSE),"-")</f>
        <v>-</v>
      </c>
      <c r="AC37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74" s="506" t="s">
        <v>2940</v>
      </c>
      <c r="AE374" s="505">
        <v>387</v>
      </c>
      <c r="AF374" s="507">
        <v>46195</v>
      </c>
      <c r="AG374" s="505">
        <v>326</v>
      </c>
      <c r="AH374" s="505">
        <f>IFERROR(VLOOKUP(Таблица3[[#This Row],[№ акта]],'Степень зрелости 2026'!$H$12:$I$800,2,FALSE),)</f>
        <v>47</v>
      </c>
      <c r="AJ374" s="508">
        <v>387</v>
      </c>
      <c r="AK374" s="509">
        <v>46195</v>
      </c>
      <c r="AL374" s="508">
        <v>507</v>
      </c>
      <c r="AO374" s="508">
        <v>4600</v>
      </c>
      <c r="AP374" s="508">
        <v>3726</v>
      </c>
      <c r="AQ374" s="508" t="s">
        <v>3375</v>
      </c>
      <c r="AR374" s="508" t="s">
        <v>1755</v>
      </c>
      <c r="AS374" s="508" t="s">
        <v>864</v>
      </c>
      <c r="AT374" s="508" t="s">
        <v>737</v>
      </c>
      <c r="AV374" s="508" t="s">
        <v>738</v>
      </c>
      <c r="AX374" s="508" t="s">
        <v>864</v>
      </c>
      <c r="AY374" s="508" t="s">
        <v>1755</v>
      </c>
      <c r="AZ374" s="508">
        <v>0.7</v>
      </c>
      <c r="BA374" s="508" t="s">
        <v>2932</v>
      </c>
      <c r="BB374" s="508" t="s">
        <v>178</v>
      </c>
      <c r="BC374" s="508">
        <v>19</v>
      </c>
      <c r="BD374" s="509">
        <v>46195</v>
      </c>
      <c r="BG374" s="508" t="s">
        <v>3557</v>
      </c>
      <c r="BH374" s="508" t="s">
        <v>2940</v>
      </c>
      <c r="BI374" s="508">
        <v>326</v>
      </c>
      <c r="BJ374" s="508">
        <v>47</v>
      </c>
    </row>
    <row r="375" spans="1:62" s="508" customFormat="1" ht="14.25" hidden="1" customHeight="1" x14ac:dyDescent="0.2">
      <c r="A375" s="495"/>
      <c r="B375" s="496"/>
      <c r="C375" s="497">
        <f>Таблица3[[#This Row],[Степень зрелости вспом]]</f>
        <v>59</v>
      </c>
      <c r="D375" s="498">
        <v>508</v>
      </c>
      <c r="E375" s="499"/>
      <c r="F375" s="496"/>
      <c r="G375" s="496">
        <v>13140</v>
      </c>
      <c r="H375" s="500"/>
      <c r="I375" s="496">
        <v>12154.5</v>
      </c>
      <c r="J375" s="495" t="s">
        <v>3464</v>
      </c>
      <c r="K375" s="495" t="s">
        <v>909</v>
      </c>
      <c r="L375" s="495" t="s">
        <v>3114</v>
      </c>
      <c r="M375" s="495" t="s">
        <v>311</v>
      </c>
      <c r="N375" s="495"/>
      <c r="O375" s="495"/>
      <c r="P375" s="495"/>
      <c r="Q375" s="495"/>
      <c r="R375" s="501" t="s">
        <v>315</v>
      </c>
      <c r="S375" s="495"/>
      <c r="T375" s="482" t="str">
        <f>VLOOKUP(Таблица3[[#This Row],[№ акта]],$AJ$1:$BJ$691,15,FALSE)</f>
        <v>12 Агролидер</v>
      </c>
      <c r="U375" s="482" t="str">
        <f>VLOOKUP(Таблица3[[#This Row],[№ акта]],$AJ$1:$BJ$691,16,FALSE)</f>
        <v>Тристар</v>
      </c>
      <c r="V375" s="502">
        <f>VLOOKUP(Таблица3[[#This Row],[№ акта]],$AJ$1:$BJ$691,17,FALSE)</f>
        <v>3.5</v>
      </c>
      <c r="W375" s="502" t="str">
        <f>VLOOKUP(Таблица3[[#This Row],[№ акта]],$AJ$1:$BJ$691,18,FALSE)</f>
        <v>Агролидер (полив)</v>
      </c>
      <c r="X375" s="502" t="str">
        <f>VLOOKUP(Таблица3[[#This Row],[№ акта]],$AJ$1:$BJ$691,19,FALSE)</f>
        <v>полив</v>
      </c>
      <c r="Y375" s="503">
        <f>VLOOKUP(Таблица3[[#This Row],[№ акта]],$AJ$1:$BJ$691,20,FALSE)</f>
        <v>19</v>
      </c>
      <c r="Z375" s="504">
        <f>VLOOKUP(Таблица3[[#This Row],[№ акта]],$AJ$1:$BJ$691,21,FALSE)</f>
        <v>46195</v>
      </c>
      <c r="AA375" s="504"/>
      <c r="AB375" s="504" t="str">
        <f>IF(VLOOKUP(Таблица3[[#This Row],[№ акта]],$AJ$1:$BJ$691,23,FALSE)&lt;&gt;0,VLOOKUP(Таблица3[[#This Row],[№ акта]],$AJ$1:$BJ$691,23,FALSE),"-")</f>
        <v>-</v>
      </c>
      <c r="AC37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75" s="506" t="s">
        <v>2940</v>
      </c>
      <c r="AE375" s="505">
        <v>388</v>
      </c>
      <c r="AF375" s="507">
        <v>46195</v>
      </c>
      <c r="AG375" s="505">
        <v>25</v>
      </c>
      <c r="AH375" s="505">
        <f>IFERROR(VLOOKUP(Таблица3[[#This Row],[№ акта]],'Степень зрелости 2026'!$H$12:$I$800,2,FALSE),)</f>
        <v>59</v>
      </c>
      <c r="AJ375" s="508">
        <v>388</v>
      </c>
      <c r="AK375" s="509">
        <v>46195</v>
      </c>
      <c r="AL375" s="508">
        <v>508</v>
      </c>
      <c r="AO375" s="508">
        <v>13140</v>
      </c>
      <c r="AP375" s="508">
        <v>12154.5</v>
      </c>
      <c r="AQ375" s="508" t="s">
        <v>3464</v>
      </c>
      <c r="AR375" s="508" t="s">
        <v>909</v>
      </c>
      <c r="AS375" s="508" t="s">
        <v>3114</v>
      </c>
      <c r="AT375" s="508" t="s">
        <v>311</v>
      </c>
      <c r="AV375" s="508" t="s">
        <v>315</v>
      </c>
      <c r="AX375" s="508" t="s">
        <v>3114</v>
      </c>
      <c r="AY375" s="508" t="s">
        <v>909</v>
      </c>
      <c r="AZ375" s="508">
        <v>3.5</v>
      </c>
      <c r="BA375" s="508" t="s">
        <v>52</v>
      </c>
      <c r="BB375" s="508" t="s">
        <v>178</v>
      </c>
      <c r="BC375" s="508">
        <v>19</v>
      </c>
      <c r="BD375" s="509">
        <v>46195</v>
      </c>
      <c r="BG375" s="508" t="s">
        <v>724</v>
      </c>
      <c r="BH375" s="508" t="s">
        <v>2940</v>
      </c>
      <c r="BI375" s="508">
        <v>25</v>
      </c>
      <c r="BJ375" s="508">
        <v>59</v>
      </c>
    </row>
    <row r="376" spans="1:62" s="508" customFormat="1" ht="14.25" hidden="1" customHeight="1" x14ac:dyDescent="0.2">
      <c r="A376" s="495"/>
      <c r="B376" s="496"/>
      <c r="C376" s="497">
        <f>Таблица3[[#This Row],[Степень зрелости вспом]]</f>
        <v>65</v>
      </c>
      <c r="D376" s="498">
        <v>509</v>
      </c>
      <c r="E376" s="499"/>
      <c r="F376" s="496"/>
      <c r="G376" s="496">
        <v>13140</v>
      </c>
      <c r="H376" s="500"/>
      <c r="I376" s="496">
        <v>12023.1</v>
      </c>
      <c r="J376" s="495" t="s">
        <v>3464</v>
      </c>
      <c r="K376" s="495" t="s">
        <v>909</v>
      </c>
      <c r="L376" s="495" t="s">
        <v>3114</v>
      </c>
      <c r="M376" s="495" t="s">
        <v>239</v>
      </c>
      <c r="N376" s="495"/>
      <c r="O376" s="495"/>
      <c r="P376" s="495"/>
      <c r="Q376" s="495"/>
      <c r="R376" s="501" t="s">
        <v>243</v>
      </c>
      <c r="S376" s="495"/>
      <c r="T376" s="482" t="str">
        <f>VLOOKUP(Таблица3[[#This Row],[№ акта]],$AJ$1:$BJ$691,15,FALSE)</f>
        <v>12 Агролидер</v>
      </c>
      <c r="U376" s="482" t="str">
        <f>VLOOKUP(Таблица3[[#This Row],[№ акта]],$AJ$1:$BJ$691,16,FALSE)</f>
        <v>Тристар</v>
      </c>
      <c r="V376" s="502">
        <f>VLOOKUP(Таблица3[[#This Row],[№ акта]],$AJ$1:$BJ$691,17,FALSE)</f>
        <v>3.5</v>
      </c>
      <c r="W376" s="502" t="str">
        <f>VLOOKUP(Таблица3[[#This Row],[№ акта]],$AJ$1:$BJ$691,18,FALSE)</f>
        <v>Агролидер (полив)</v>
      </c>
      <c r="X376" s="502" t="str">
        <f>VLOOKUP(Таблица3[[#This Row],[№ акта]],$AJ$1:$BJ$691,19,FALSE)</f>
        <v>полив</v>
      </c>
      <c r="Y376" s="503">
        <f>VLOOKUP(Таблица3[[#This Row],[№ акта]],$AJ$1:$BJ$691,20,FALSE)</f>
        <v>19</v>
      </c>
      <c r="Z376" s="504">
        <f>VLOOKUP(Таблица3[[#This Row],[№ акта]],$AJ$1:$BJ$691,21,FALSE)</f>
        <v>46195</v>
      </c>
      <c r="AA376" s="504"/>
      <c r="AB376" s="504" t="str">
        <f>IF(VLOOKUP(Таблица3[[#This Row],[№ акта]],$AJ$1:$BJ$691,23,FALSE)&lt;&gt;0,VLOOKUP(Таблица3[[#This Row],[№ акта]],$AJ$1:$BJ$691,23,FALSE),"-")</f>
        <v>-</v>
      </c>
      <c r="AC37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376" s="506" t="s">
        <v>3230</v>
      </c>
      <c r="AE376" s="505">
        <v>389</v>
      </c>
      <c r="AF376" s="507">
        <v>46195</v>
      </c>
      <c r="AG376" s="505">
        <v>26</v>
      </c>
      <c r="AH376" s="505">
        <f>IFERROR(VLOOKUP(Таблица3[[#This Row],[№ акта]],'Степень зрелости 2026'!$H$12:$I$800,2,FALSE),)</f>
        <v>65</v>
      </c>
      <c r="AJ376" s="508">
        <v>389</v>
      </c>
      <c r="AK376" s="509">
        <v>46195</v>
      </c>
      <c r="AL376" s="508">
        <v>509</v>
      </c>
      <c r="AO376" s="508">
        <v>13140</v>
      </c>
      <c r="AP376" s="508">
        <v>12023.1</v>
      </c>
      <c r="AQ376" s="508" t="s">
        <v>3464</v>
      </c>
      <c r="AR376" s="508" t="s">
        <v>909</v>
      </c>
      <c r="AS376" s="508" t="s">
        <v>3114</v>
      </c>
      <c r="AT376" s="508" t="s">
        <v>239</v>
      </c>
      <c r="AV376" s="508" t="s">
        <v>243</v>
      </c>
      <c r="AX376" s="508" t="s">
        <v>3114</v>
      </c>
      <c r="AY376" s="508" t="s">
        <v>909</v>
      </c>
      <c r="AZ376" s="508">
        <v>3.5</v>
      </c>
      <c r="BA376" s="508" t="s">
        <v>52</v>
      </c>
      <c r="BB376" s="508" t="s">
        <v>178</v>
      </c>
      <c r="BC376" s="508">
        <v>19</v>
      </c>
      <c r="BD376" s="509">
        <v>46195</v>
      </c>
      <c r="BG376" s="508" t="s">
        <v>3559</v>
      </c>
      <c r="BH376" s="508" t="s">
        <v>2940</v>
      </c>
      <c r="BI376" s="508">
        <v>26</v>
      </c>
      <c r="BJ376" s="508">
        <v>65</v>
      </c>
    </row>
    <row r="377" spans="1:62" s="508" customFormat="1" ht="14.25" hidden="1" customHeight="1" x14ac:dyDescent="0.2">
      <c r="A377" s="495"/>
      <c r="B377" s="496"/>
      <c r="C377" s="497">
        <f>Таблица3[[#This Row],[Степень зрелости вспом]]</f>
        <v>63</v>
      </c>
      <c r="D377" s="498">
        <v>511</v>
      </c>
      <c r="E377" s="499"/>
      <c r="F377" s="496"/>
      <c r="G377" s="496">
        <v>16020</v>
      </c>
      <c r="H377" s="500"/>
      <c r="I377" s="496">
        <v>14658.3</v>
      </c>
      <c r="J377" s="495" t="s">
        <v>3464</v>
      </c>
      <c r="K377" s="495" t="s">
        <v>909</v>
      </c>
      <c r="L377" s="495" t="s">
        <v>3114</v>
      </c>
      <c r="M377" s="495" t="s">
        <v>3552</v>
      </c>
      <c r="N377" s="495"/>
      <c r="O377" s="495"/>
      <c r="P377" s="495"/>
      <c r="Q377" s="495"/>
      <c r="R377" s="501" t="s">
        <v>3553</v>
      </c>
      <c r="S377" s="495"/>
      <c r="T377" s="482" t="str">
        <f>VLOOKUP(Таблица3[[#This Row],[№ акта]],$AJ$1:$BJ$691,15,FALSE)</f>
        <v>12 Агролидер</v>
      </c>
      <c r="U377" s="482" t="str">
        <f>VLOOKUP(Таблица3[[#This Row],[№ акта]],$AJ$1:$BJ$691,16,FALSE)</f>
        <v>Тристар</v>
      </c>
      <c r="V377" s="502">
        <f>VLOOKUP(Таблица3[[#This Row],[№ акта]],$AJ$1:$BJ$691,17,FALSE)</f>
        <v>4.2</v>
      </c>
      <c r="W377" s="502" t="str">
        <f>VLOOKUP(Таблица3[[#This Row],[№ акта]],$AJ$1:$BJ$691,18,FALSE)</f>
        <v>Агролидер (полив)</v>
      </c>
      <c r="X377" s="502" t="str">
        <f>VLOOKUP(Таблица3[[#This Row],[№ акта]],$AJ$1:$BJ$691,19,FALSE)</f>
        <v>полив</v>
      </c>
      <c r="Y377" s="503">
        <f>VLOOKUP(Таблица3[[#This Row],[№ акта]],$AJ$1:$BJ$691,20,FALSE)</f>
        <v>19</v>
      </c>
      <c r="Z377" s="504">
        <f>VLOOKUP(Таблица3[[#This Row],[№ акта]],$AJ$1:$BJ$691,21,FALSE)</f>
        <v>46195</v>
      </c>
      <c r="AA377" s="504"/>
      <c r="AB377" s="504" t="str">
        <f>IF(VLOOKUP(Таблица3[[#This Row],[№ акта]],$AJ$1:$BJ$691,23,FALSE)&lt;&gt;0,VLOOKUP(Таблица3[[#This Row],[№ акта]],$AJ$1:$BJ$691,23,FALSE),"-")</f>
        <v>-</v>
      </c>
      <c r="AC37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77" s="506" t="s">
        <v>2940</v>
      </c>
      <c r="AE377" s="505">
        <v>390</v>
      </c>
      <c r="AF377" s="507">
        <v>46195</v>
      </c>
      <c r="AG377" s="505">
        <v>27</v>
      </c>
      <c r="AH377" s="505">
        <f>IFERROR(VLOOKUP(Таблица3[[#This Row],[№ акта]],'Степень зрелости 2026'!$H$12:$I$800,2,FALSE),)</f>
        <v>63</v>
      </c>
      <c r="AJ377" s="508">
        <v>390</v>
      </c>
      <c r="AK377" s="509">
        <v>46195</v>
      </c>
      <c r="AL377" s="508">
        <v>511</v>
      </c>
      <c r="AO377" s="508">
        <v>16020</v>
      </c>
      <c r="AP377" s="508">
        <v>14658.3</v>
      </c>
      <c r="AQ377" s="508" t="s">
        <v>3464</v>
      </c>
      <c r="AR377" s="508" t="s">
        <v>909</v>
      </c>
      <c r="AS377" s="508" t="s">
        <v>3114</v>
      </c>
      <c r="AT377" s="508" t="s">
        <v>3552</v>
      </c>
      <c r="AV377" s="508" t="s">
        <v>3553</v>
      </c>
      <c r="AX377" s="508" t="s">
        <v>3114</v>
      </c>
      <c r="AY377" s="508" t="s">
        <v>909</v>
      </c>
      <c r="AZ377" s="508">
        <v>4.2</v>
      </c>
      <c r="BA377" s="508" t="s">
        <v>52</v>
      </c>
      <c r="BB377" s="508" t="s">
        <v>178</v>
      </c>
      <c r="BC377" s="508">
        <v>19</v>
      </c>
      <c r="BD377" s="509">
        <v>46195</v>
      </c>
      <c r="BG377" s="508" t="s">
        <v>724</v>
      </c>
      <c r="BH377" s="508" t="s">
        <v>2940</v>
      </c>
      <c r="BI377" s="508">
        <v>27</v>
      </c>
      <c r="BJ377" s="508">
        <v>63</v>
      </c>
    </row>
    <row r="378" spans="1:62" s="508" customFormat="1" ht="14.25" hidden="1" customHeight="1" x14ac:dyDescent="0.2">
      <c r="A378" s="495"/>
      <c r="B378" s="496"/>
      <c r="C378" s="497">
        <f>Таблица3[[#This Row],[Степень зрелости вспом]]</f>
        <v>52</v>
      </c>
      <c r="D378" s="498">
        <v>513</v>
      </c>
      <c r="E378" s="499"/>
      <c r="F378" s="496"/>
      <c r="G378" s="496">
        <v>9200</v>
      </c>
      <c r="H378" s="500"/>
      <c r="I378" s="496">
        <v>8234</v>
      </c>
      <c r="J378" s="495" t="s">
        <v>3375</v>
      </c>
      <c r="K378" s="495" t="s">
        <v>1755</v>
      </c>
      <c r="L378" s="495" t="s">
        <v>3963</v>
      </c>
      <c r="M378" s="495" t="s">
        <v>2967</v>
      </c>
      <c r="N378" s="495"/>
      <c r="O378" s="495"/>
      <c r="P378" s="495"/>
      <c r="Q378" s="495"/>
      <c r="R378" s="501" t="s">
        <v>1810</v>
      </c>
      <c r="S378" s="495"/>
      <c r="T378" s="482" t="str">
        <f>VLOOKUP(Таблица3[[#This Row],[№ акта]],$AJ$1:$BJ$691,15,FALSE)</f>
        <v>А-54</v>
      </c>
      <c r="U378" s="482" t="str">
        <f>VLOOKUP(Таблица3[[#This Row],[№ акта]],$AJ$1:$BJ$691,16,FALSE)</f>
        <v>Женева</v>
      </c>
      <c r="V378" s="502">
        <f>VLOOKUP(Таблица3[[#This Row],[№ акта]],$AJ$1:$BJ$691,17,FALSE)</f>
        <v>1.4</v>
      </c>
      <c r="W378" s="502" t="str">
        <f>VLOOKUP(Таблица3[[#This Row],[№ акта]],$AJ$1:$BJ$691,18,FALSE)</f>
        <v>ГРК (полив)</v>
      </c>
      <c r="X378" s="502" t="str">
        <f>VLOOKUP(Таблица3[[#This Row],[№ акта]],$AJ$1:$BJ$691,19,FALSE)</f>
        <v>полив</v>
      </c>
      <c r="Y378" s="503">
        <f>VLOOKUP(Таблица3[[#This Row],[№ акта]],$AJ$1:$BJ$691,20,FALSE)</f>
        <v>19</v>
      </c>
      <c r="Z378" s="504">
        <f>VLOOKUP(Таблица3[[#This Row],[№ акта]],$AJ$1:$BJ$691,21,FALSE)</f>
        <v>46195</v>
      </c>
      <c r="AA378" s="504"/>
      <c r="AB378" s="504" t="str">
        <f>IF(VLOOKUP(Таблица3[[#This Row],[№ акта]],$AJ$1:$BJ$691,23,FALSE)&lt;&gt;0,VLOOKUP(Таблица3[[#This Row],[№ акта]],$AJ$1:$BJ$691,23,FALSE),"-")</f>
        <v>-</v>
      </c>
      <c r="AC37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78" s="506" t="s">
        <v>2940</v>
      </c>
      <c r="AE378" s="505">
        <v>391</v>
      </c>
      <c r="AF378" s="507">
        <v>46195</v>
      </c>
      <c r="AG378" s="505">
        <v>327</v>
      </c>
      <c r="AH378" s="505">
        <f>IFERROR(VLOOKUP(Таблица3[[#This Row],[№ акта]],'Степень зрелости 2026'!$H$12:$I$800,2,FALSE),)</f>
        <v>52</v>
      </c>
      <c r="AJ378" s="508">
        <v>391</v>
      </c>
      <c r="AK378" s="509">
        <v>46195</v>
      </c>
      <c r="AL378" s="508">
        <v>513</v>
      </c>
      <c r="AO378" s="508">
        <v>9200</v>
      </c>
      <c r="AP378" s="508">
        <v>8234</v>
      </c>
      <c r="AQ378" s="508" t="s">
        <v>3375</v>
      </c>
      <c r="AR378" s="508" t="s">
        <v>1755</v>
      </c>
      <c r="AS378" s="508" t="s">
        <v>864</v>
      </c>
      <c r="AT378" s="508" t="s">
        <v>2967</v>
      </c>
      <c r="AV378" s="508" t="s">
        <v>1810</v>
      </c>
      <c r="AX378" s="508" t="s">
        <v>864</v>
      </c>
      <c r="AY378" s="508" t="s">
        <v>1755</v>
      </c>
      <c r="AZ378" s="508">
        <v>1.4</v>
      </c>
      <c r="BA378" s="508" t="s">
        <v>2932</v>
      </c>
      <c r="BB378" s="508" t="s">
        <v>178</v>
      </c>
      <c r="BC378" s="508">
        <v>19</v>
      </c>
      <c r="BD378" s="509">
        <v>46195</v>
      </c>
      <c r="BG378" s="508" t="s">
        <v>3557</v>
      </c>
      <c r="BH378" s="508" t="s">
        <v>2940</v>
      </c>
      <c r="BI378" s="508">
        <v>327</v>
      </c>
      <c r="BJ378" s="508">
        <v>52</v>
      </c>
    </row>
    <row r="379" spans="1:62" s="508" customFormat="1" ht="14.25" hidden="1" customHeight="1" x14ac:dyDescent="0.2">
      <c r="A379" s="495"/>
      <c r="B379" s="496"/>
      <c r="C379" s="497">
        <f>Таблица3[[#This Row],[Степень зрелости вспом]]</f>
        <v>48</v>
      </c>
      <c r="D379" s="498">
        <v>514</v>
      </c>
      <c r="E379" s="499"/>
      <c r="F379" s="496"/>
      <c r="G379" s="496">
        <v>4600</v>
      </c>
      <c r="H379" s="500"/>
      <c r="I379" s="496">
        <v>4025</v>
      </c>
      <c r="J379" s="495" t="s">
        <v>3375</v>
      </c>
      <c r="K379" s="495" t="s">
        <v>1755</v>
      </c>
      <c r="L379" s="495" t="s">
        <v>864</v>
      </c>
      <c r="M379" s="495" t="s">
        <v>737</v>
      </c>
      <c r="N379" s="495"/>
      <c r="O379" s="495"/>
      <c r="P379" s="495"/>
      <c r="Q379" s="495"/>
      <c r="R379" s="501" t="s">
        <v>738</v>
      </c>
      <c r="S379" s="495"/>
      <c r="T379" s="482" t="str">
        <f>VLOOKUP(Таблица3[[#This Row],[№ акта]],$AJ$1:$BJ$691,15,FALSE)</f>
        <v>А-54</v>
      </c>
      <c r="U379" s="482" t="str">
        <f>VLOOKUP(Таблица3[[#This Row],[№ акта]],$AJ$1:$BJ$691,16,FALSE)</f>
        <v>Женева</v>
      </c>
      <c r="V379" s="502">
        <f>VLOOKUP(Таблица3[[#This Row],[№ акта]],$AJ$1:$BJ$691,17,FALSE)</f>
        <v>0.7</v>
      </c>
      <c r="W379" s="502" t="str">
        <f>VLOOKUP(Таблица3[[#This Row],[№ акта]],$AJ$1:$BJ$691,18,FALSE)</f>
        <v>ГРК (полив)</v>
      </c>
      <c r="X379" s="502" t="str">
        <f>VLOOKUP(Таблица3[[#This Row],[№ акта]],$AJ$1:$BJ$691,19,FALSE)</f>
        <v>полив</v>
      </c>
      <c r="Y379" s="503">
        <f>VLOOKUP(Таблица3[[#This Row],[№ акта]],$AJ$1:$BJ$691,20,FALSE)</f>
        <v>19</v>
      </c>
      <c r="Z379" s="504">
        <f>VLOOKUP(Таблица3[[#This Row],[№ акта]],$AJ$1:$BJ$691,21,FALSE)</f>
        <v>46195</v>
      </c>
      <c r="AA379" s="504"/>
      <c r="AB379" s="504" t="str">
        <f>IF(VLOOKUP(Таблица3[[#This Row],[№ акта]],$AJ$1:$BJ$691,23,FALSE)&lt;&gt;0,VLOOKUP(Таблица3[[#This Row],[№ акта]],$AJ$1:$BJ$691,23,FALSE),"-")</f>
        <v>-</v>
      </c>
      <c r="AC37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379" s="506" t="s">
        <v>2940</v>
      </c>
      <c r="AE379" s="505">
        <v>392</v>
      </c>
      <c r="AF379" s="507">
        <v>46195</v>
      </c>
      <c r="AG379" s="505">
        <v>328</v>
      </c>
      <c r="AH379" s="505">
        <f>IFERROR(VLOOKUP(Таблица3[[#This Row],[№ акта]],'Степень зрелости 2026'!$H$12:$I$800,2,FALSE),)</f>
        <v>48</v>
      </c>
      <c r="AJ379" s="508">
        <v>392</v>
      </c>
      <c r="AK379" s="509">
        <v>46195</v>
      </c>
      <c r="AL379" s="508">
        <v>514</v>
      </c>
      <c r="AO379" s="508">
        <v>4600</v>
      </c>
      <c r="AP379" s="508">
        <v>4025</v>
      </c>
      <c r="AQ379" s="508" t="s">
        <v>3375</v>
      </c>
      <c r="AR379" s="508" t="s">
        <v>1755</v>
      </c>
      <c r="AS379" s="508" t="s">
        <v>864</v>
      </c>
      <c r="AT379" s="508" t="s">
        <v>737</v>
      </c>
      <c r="AV379" s="508" t="s">
        <v>738</v>
      </c>
      <c r="AX379" s="508" t="s">
        <v>864</v>
      </c>
      <c r="AY379" s="508" t="s">
        <v>1755</v>
      </c>
      <c r="AZ379" s="508">
        <v>0.7</v>
      </c>
      <c r="BA379" s="508" t="s">
        <v>2932</v>
      </c>
      <c r="BB379" s="508" t="s">
        <v>178</v>
      </c>
      <c r="BC379" s="508">
        <v>19</v>
      </c>
      <c r="BD379" s="509">
        <v>46195</v>
      </c>
      <c r="BG379" s="508" t="s">
        <v>3557</v>
      </c>
      <c r="BH379" s="508" t="s">
        <v>2940</v>
      </c>
      <c r="BI379" s="508">
        <v>328</v>
      </c>
      <c r="BJ379" s="508">
        <v>48</v>
      </c>
    </row>
    <row r="380" spans="1:62" s="508" customFormat="1" ht="14.25" hidden="1" customHeight="1" x14ac:dyDescent="0.2">
      <c r="A380" s="495"/>
      <c r="B380" s="496"/>
      <c r="C380" s="497">
        <f>Таблица3[[#This Row],[Степень зрелости вспом]]</f>
        <v>63</v>
      </c>
      <c r="D380" s="498">
        <v>515</v>
      </c>
      <c r="E380" s="499"/>
      <c r="F380" s="496"/>
      <c r="G380" s="496">
        <v>13260</v>
      </c>
      <c r="H380" s="500"/>
      <c r="I380" s="496">
        <v>12398.1</v>
      </c>
      <c r="J380" s="495" t="s">
        <v>3464</v>
      </c>
      <c r="K380" s="495" t="s">
        <v>909</v>
      </c>
      <c r="L380" s="495" t="s">
        <v>3116</v>
      </c>
      <c r="M380" s="495" t="s">
        <v>335</v>
      </c>
      <c r="N380" s="495"/>
      <c r="O380" s="495"/>
      <c r="P380" s="495"/>
      <c r="Q380" s="495"/>
      <c r="R380" s="501" t="s">
        <v>339</v>
      </c>
      <c r="S380" s="495"/>
      <c r="T380" s="482" t="str">
        <f>VLOOKUP(Таблица3[[#This Row],[№ акта]],$AJ$1:$BJ$691,15,FALSE)</f>
        <v>18 Агролидер</v>
      </c>
      <c r="U380" s="482" t="str">
        <f>VLOOKUP(Таблица3[[#This Row],[№ акта]],$AJ$1:$BJ$691,16,FALSE)</f>
        <v>Тристар</v>
      </c>
      <c r="V380" s="502">
        <f>VLOOKUP(Таблица3[[#This Row],[№ акта]],$AJ$1:$BJ$691,17,FALSE)</f>
        <v>1.8</v>
      </c>
      <c r="W380" s="502" t="str">
        <f>VLOOKUP(Таблица3[[#This Row],[№ акта]],$AJ$1:$BJ$691,18,FALSE)</f>
        <v>Агролидер (полив)</v>
      </c>
      <c r="X380" s="502" t="str">
        <f>VLOOKUP(Таблица3[[#This Row],[№ акта]],$AJ$1:$BJ$691,19,FALSE)</f>
        <v>полив</v>
      </c>
      <c r="Y380" s="503">
        <f>VLOOKUP(Таблица3[[#This Row],[№ акта]],$AJ$1:$BJ$691,20,FALSE)</f>
        <v>19</v>
      </c>
      <c r="Z380" s="504">
        <f>VLOOKUP(Таблица3[[#This Row],[№ акта]],$AJ$1:$BJ$691,21,FALSE)</f>
        <v>46195</v>
      </c>
      <c r="AA380" s="504"/>
      <c r="AB380" s="504" t="str">
        <f>IF(VLOOKUP(Таблица3[[#This Row],[№ акта]],$AJ$1:$BJ$691,23,FALSE)&lt;&gt;0,VLOOKUP(Таблица3[[#This Row],[№ акта]],$AJ$1:$BJ$691,23,FALSE),"-")</f>
        <v>-</v>
      </c>
      <c r="AC38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80" s="506" t="s">
        <v>3230</v>
      </c>
      <c r="AE380" s="505">
        <v>393</v>
      </c>
      <c r="AF380" s="507">
        <v>46195</v>
      </c>
      <c r="AG380" s="505">
        <v>28</v>
      </c>
      <c r="AH380" s="505">
        <f>IFERROR(VLOOKUP(Таблица3[[#This Row],[№ акта]],'Степень зрелости 2026'!$H$12:$I$800,2,FALSE),)</f>
        <v>63</v>
      </c>
      <c r="AJ380" s="508">
        <v>393</v>
      </c>
      <c r="AK380" s="509">
        <v>46195</v>
      </c>
      <c r="AL380" s="508">
        <v>515</v>
      </c>
      <c r="AO380" s="508">
        <v>13260</v>
      </c>
      <c r="AP380" s="508">
        <v>12398.1</v>
      </c>
      <c r="AQ380" s="508" t="s">
        <v>3464</v>
      </c>
      <c r="AR380" s="508" t="s">
        <v>909</v>
      </c>
      <c r="AS380" s="508" t="s">
        <v>3116</v>
      </c>
      <c r="AT380" s="508" t="s">
        <v>335</v>
      </c>
      <c r="AV380" s="508" t="s">
        <v>339</v>
      </c>
      <c r="AX380" s="508" t="s">
        <v>3116</v>
      </c>
      <c r="AY380" s="508" t="s">
        <v>909</v>
      </c>
      <c r="AZ380" s="508">
        <v>1.8</v>
      </c>
      <c r="BA380" s="508" t="s">
        <v>52</v>
      </c>
      <c r="BB380" s="508" t="s">
        <v>178</v>
      </c>
      <c r="BC380" s="508">
        <v>19</v>
      </c>
      <c r="BD380" s="509">
        <v>46195</v>
      </c>
      <c r="BG380" s="508" t="s">
        <v>724</v>
      </c>
      <c r="BH380" s="508" t="s">
        <v>2940</v>
      </c>
      <c r="BI380" s="508">
        <v>28</v>
      </c>
      <c r="BJ380" s="508">
        <v>63</v>
      </c>
    </row>
    <row r="381" spans="1:62" s="508" customFormat="1" ht="14.25" hidden="1" customHeight="1" x14ac:dyDescent="0.2">
      <c r="A381" s="495"/>
      <c r="B381" s="496"/>
      <c r="C381" s="497">
        <f>Таблица3[[#This Row],[Степень зрелости вспом]]</f>
        <v>62</v>
      </c>
      <c r="D381" s="498">
        <v>516</v>
      </c>
      <c r="E381" s="499"/>
      <c r="F381" s="496"/>
      <c r="G381" s="496">
        <v>13090</v>
      </c>
      <c r="H381" s="500"/>
      <c r="I381" s="496">
        <v>11977.4</v>
      </c>
      <c r="J381" s="495" t="s">
        <v>3464</v>
      </c>
      <c r="K381" s="495" t="s">
        <v>909</v>
      </c>
      <c r="L381" s="495" t="s">
        <v>3116</v>
      </c>
      <c r="M381" s="495" t="s">
        <v>1806</v>
      </c>
      <c r="N381" s="495"/>
      <c r="O381" s="495"/>
      <c r="P381" s="495"/>
      <c r="Q381" s="495"/>
      <c r="R381" s="501" t="s">
        <v>1807</v>
      </c>
      <c r="S381" s="495"/>
      <c r="T381" s="482" t="str">
        <f>VLOOKUP(Таблица3[[#This Row],[№ акта]],$AJ$1:$BJ$691,15,FALSE)</f>
        <v>18 Агролидер</v>
      </c>
      <c r="U381" s="482" t="str">
        <f>VLOOKUP(Таблица3[[#This Row],[№ акта]],$AJ$1:$BJ$691,16,FALSE)</f>
        <v>Тристар</v>
      </c>
      <c r="V381" s="502">
        <f>VLOOKUP(Таблица3[[#This Row],[№ акта]],$AJ$1:$BJ$691,17,FALSE)</f>
        <v>1.8</v>
      </c>
      <c r="W381" s="502" t="str">
        <f>VLOOKUP(Таблица3[[#This Row],[№ акта]],$AJ$1:$BJ$691,18,FALSE)</f>
        <v>Агролидер (полив)</v>
      </c>
      <c r="X381" s="502" t="str">
        <f>VLOOKUP(Таблица3[[#This Row],[№ акта]],$AJ$1:$BJ$691,19,FALSE)</f>
        <v>полив</v>
      </c>
      <c r="Y381" s="503">
        <f>VLOOKUP(Таблица3[[#This Row],[№ акта]],$AJ$1:$BJ$691,20,FALSE)</f>
        <v>19</v>
      </c>
      <c r="Z381" s="504">
        <f>VLOOKUP(Таблица3[[#This Row],[№ акта]],$AJ$1:$BJ$691,21,FALSE)</f>
        <v>46195</v>
      </c>
      <c r="AA381" s="504"/>
      <c r="AB381" s="504" t="str">
        <f>IF(VLOOKUP(Таблица3[[#This Row],[№ акта]],$AJ$1:$BJ$691,23,FALSE)&lt;&gt;0,VLOOKUP(Таблица3[[#This Row],[№ акта]],$AJ$1:$BJ$691,23,FALSE),"-")</f>
        <v>-</v>
      </c>
      <c r="AC38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81" s="506" t="s">
        <v>2940</v>
      </c>
      <c r="AE381" s="505">
        <v>394</v>
      </c>
      <c r="AF381" s="507">
        <v>46195</v>
      </c>
      <c r="AG381" s="505">
        <v>29</v>
      </c>
      <c r="AH381" s="505">
        <f>IFERROR(VLOOKUP(Таблица3[[#This Row],[№ акта]],'Степень зрелости 2026'!$H$12:$I$800,2,FALSE),)</f>
        <v>62</v>
      </c>
      <c r="AJ381" s="508">
        <v>394</v>
      </c>
      <c r="AK381" s="509">
        <v>46195</v>
      </c>
      <c r="AL381" s="508">
        <v>516</v>
      </c>
      <c r="AO381" s="508">
        <v>13090</v>
      </c>
      <c r="AP381" s="508">
        <v>11977.4</v>
      </c>
      <c r="AQ381" s="508" t="s">
        <v>3464</v>
      </c>
      <c r="AR381" s="508" t="s">
        <v>909</v>
      </c>
      <c r="AS381" s="508" t="s">
        <v>3116</v>
      </c>
      <c r="AT381" s="508" t="s">
        <v>1806</v>
      </c>
      <c r="AV381" s="508" t="s">
        <v>1807</v>
      </c>
      <c r="AX381" s="508" t="s">
        <v>3116</v>
      </c>
      <c r="AY381" s="508" t="s">
        <v>909</v>
      </c>
      <c r="AZ381" s="508">
        <v>1.8</v>
      </c>
      <c r="BA381" s="508" t="s">
        <v>52</v>
      </c>
      <c r="BB381" s="508" t="s">
        <v>178</v>
      </c>
      <c r="BC381" s="508">
        <v>19</v>
      </c>
      <c r="BD381" s="509">
        <v>46195</v>
      </c>
      <c r="BG381" s="508" t="s">
        <v>724</v>
      </c>
      <c r="BH381" s="508" t="s">
        <v>2940</v>
      </c>
      <c r="BI381" s="508">
        <v>29</v>
      </c>
      <c r="BJ381" s="508">
        <v>62</v>
      </c>
    </row>
    <row r="382" spans="1:62" s="508" customFormat="1" ht="14.25" hidden="1" customHeight="1" x14ac:dyDescent="0.2">
      <c r="A382" s="495"/>
      <c r="B382" s="496"/>
      <c r="C382" s="497">
        <f>Таблица3[[#This Row],[Степень зрелости вспом]]</f>
        <v>59</v>
      </c>
      <c r="D382" s="498">
        <v>517</v>
      </c>
      <c r="E382" s="499"/>
      <c r="F382" s="496"/>
      <c r="G382" s="496">
        <v>13440</v>
      </c>
      <c r="H382" s="500"/>
      <c r="I382" s="496">
        <v>12028.8</v>
      </c>
      <c r="J382" s="495" t="s">
        <v>3464</v>
      </c>
      <c r="K382" s="495" t="s">
        <v>909</v>
      </c>
      <c r="L382" s="495" t="s">
        <v>3116</v>
      </c>
      <c r="M382" s="495" t="s">
        <v>166</v>
      </c>
      <c r="N382" s="495"/>
      <c r="O382" s="495"/>
      <c r="P382" s="495"/>
      <c r="Q382" s="495"/>
      <c r="R382" s="501" t="s">
        <v>170</v>
      </c>
      <c r="S382" s="495"/>
      <c r="T382" s="482" t="str">
        <f>VLOOKUP(Таблица3[[#This Row],[№ акта]],$AJ$1:$BJ$691,15,FALSE)</f>
        <v>18 Агролидер</v>
      </c>
      <c r="U382" s="482" t="str">
        <f>VLOOKUP(Таблица3[[#This Row],[№ акта]],$AJ$1:$BJ$691,16,FALSE)</f>
        <v>Тристар</v>
      </c>
      <c r="V382" s="502">
        <f>VLOOKUP(Таблица3[[#This Row],[№ акта]],$AJ$1:$BJ$691,17,FALSE)</f>
        <v>1.8</v>
      </c>
      <c r="W382" s="502" t="str">
        <f>VLOOKUP(Таблица3[[#This Row],[№ акта]],$AJ$1:$BJ$691,18,FALSE)</f>
        <v>Агролидер (полив)</v>
      </c>
      <c r="X382" s="502" t="str">
        <f>VLOOKUP(Таблица3[[#This Row],[№ акта]],$AJ$1:$BJ$691,19,FALSE)</f>
        <v>полив</v>
      </c>
      <c r="Y382" s="503">
        <f>VLOOKUP(Таблица3[[#This Row],[№ акта]],$AJ$1:$BJ$691,20,FALSE)</f>
        <v>19</v>
      </c>
      <c r="Z382" s="504">
        <f>VLOOKUP(Таблица3[[#This Row],[№ акта]],$AJ$1:$BJ$691,21,FALSE)</f>
        <v>46195</v>
      </c>
      <c r="AA382" s="504"/>
      <c r="AB382" s="504" t="str">
        <f>IF(VLOOKUP(Таблица3[[#This Row],[№ акта]],$AJ$1:$BJ$691,23,FALSE)&lt;&gt;0,VLOOKUP(Таблица3[[#This Row],[№ акта]],$AJ$1:$BJ$691,23,FALSE),"-")</f>
        <v>-</v>
      </c>
      <c r="AC38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82" s="506" t="s">
        <v>2940</v>
      </c>
      <c r="AE382" s="505">
        <v>395</v>
      </c>
      <c r="AF382" s="507">
        <v>46195</v>
      </c>
      <c r="AG382" s="505">
        <v>30</v>
      </c>
      <c r="AH382" s="505">
        <f>IFERROR(VLOOKUP(Таблица3[[#This Row],[№ акта]],'Степень зрелости 2026'!$H$12:$I$800,2,FALSE),)</f>
        <v>59</v>
      </c>
      <c r="AJ382" s="508">
        <v>395</v>
      </c>
      <c r="AK382" s="509">
        <v>46195</v>
      </c>
      <c r="AL382" s="508">
        <v>517</v>
      </c>
      <c r="AO382" s="508">
        <v>13440</v>
      </c>
      <c r="AP382" s="508">
        <v>12028.8</v>
      </c>
      <c r="AQ382" s="508" t="s">
        <v>3464</v>
      </c>
      <c r="AR382" s="508" t="s">
        <v>909</v>
      </c>
      <c r="AS382" s="508" t="s">
        <v>3116</v>
      </c>
      <c r="AT382" s="508" t="s">
        <v>166</v>
      </c>
      <c r="AV382" s="508" t="s">
        <v>170</v>
      </c>
      <c r="AX382" s="508" t="s">
        <v>3116</v>
      </c>
      <c r="AY382" s="508" t="s">
        <v>909</v>
      </c>
      <c r="AZ382" s="508">
        <v>1.8</v>
      </c>
      <c r="BA382" s="508" t="s">
        <v>52</v>
      </c>
      <c r="BB382" s="508" t="s">
        <v>178</v>
      </c>
      <c r="BC382" s="508">
        <v>19</v>
      </c>
      <c r="BD382" s="509">
        <v>46195</v>
      </c>
      <c r="BG382" s="508" t="s">
        <v>724</v>
      </c>
      <c r="BH382" s="508" t="s">
        <v>2940</v>
      </c>
      <c r="BI382" s="508">
        <v>30</v>
      </c>
      <c r="BJ382" s="508">
        <v>59</v>
      </c>
    </row>
    <row r="383" spans="1:62" s="508" customFormat="1" ht="14.25" hidden="1" customHeight="1" x14ac:dyDescent="0.2">
      <c r="A383" s="495"/>
      <c r="B383" s="496"/>
      <c r="C383" s="497">
        <f>Таблица3[[#This Row],[Степень зрелости вспом]]</f>
        <v>53</v>
      </c>
      <c r="D383" s="498">
        <v>518</v>
      </c>
      <c r="E383" s="499"/>
      <c r="F383" s="496"/>
      <c r="G383" s="496">
        <v>9180</v>
      </c>
      <c r="H383" s="500"/>
      <c r="I383" s="496">
        <v>7940.7</v>
      </c>
      <c r="J383" s="495" t="s">
        <v>3375</v>
      </c>
      <c r="K383" s="495" t="s">
        <v>1755</v>
      </c>
      <c r="L383" s="495" t="s">
        <v>864</v>
      </c>
      <c r="M383" s="495" t="s">
        <v>2967</v>
      </c>
      <c r="N383" s="495"/>
      <c r="O383" s="495"/>
      <c r="P383" s="495"/>
      <c r="Q383" s="495"/>
      <c r="R383" s="501" t="s">
        <v>1810</v>
      </c>
      <c r="S383" s="495"/>
      <c r="T383" s="482" t="str">
        <f>VLOOKUP(Таблица3[[#This Row],[№ акта]],$AJ$1:$BJ$691,15,FALSE)</f>
        <v>А-54</v>
      </c>
      <c r="U383" s="482" t="str">
        <f>VLOOKUP(Таблица3[[#This Row],[№ акта]],$AJ$1:$BJ$691,16,FALSE)</f>
        <v>Женева</v>
      </c>
      <c r="V383" s="502">
        <f>VLOOKUP(Таблица3[[#This Row],[№ акта]],$AJ$1:$BJ$691,17,FALSE)</f>
        <v>1.4</v>
      </c>
      <c r="W383" s="502" t="str">
        <f>VLOOKUP(Таблица3[[#This Row],[№ акта]],$AJ$1:$BJ$691,18,FALSE)</f>
        <v>ГРК (полив)</v>
      </c>
      <c r="X383" s="502" t="str">
        <f>VLOOKUP(Таблица3[[#This Row],[№ акта]],$AJ$1:$BJ$691,19,FALSE)</f>
        <v>полив</v>
      </c>
      <c r="Y383" s="503">
        <f>VLOOKUP(Таблица3[[#This Row],[№ акта]],$AJ$1:$BJ$691,20,FALSE)</f>
        <v>19</v>
      </c>
      <c r="Z383" s="504">
        <f>VLOOKUP(Таблица3[[#This Row],[№ акта]],$AJ$1:$BJ$691,21,FALSE)</f>
        <v>46195</v>
      </c>
      <c r="AA383" s="504"/>
      <c r="AB383" s="504" t="str">
        <f>IF(VLOOKUP(Таблица3[[#This Row],[№ акта]],$AJ$1:$BJ$691,23,FALSE)&lt;&gt;0,VLOOKUP(Таблица3[[#This Row],[№ акта]],$AJ$1:$BJ$691,23,FALSE),"-")</f>
        <v>-</v>
      </c>
      <c r="AC38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83" s="506" t="s">
        <v>2940</v>
      </c>
      <c r="AE383" s="505">
        <v>396</v>
      </c>
      <c r="AF383" s="507">
        <v>46195</v>
      </c>
      <c r="AG383" s="505">
        <v>329</v>
      </c>
      <c r="AH383" s="505">
        <f>IFERROR(VLOOKUP(Таблица3[[#This Row],[№ акта]],'Степень зрелости 2026'!$H$12:$I$800,2,FALSE),)</f>
        <v>53</v>
      </c>
      <c r="AJ383" s="508">
        <v>396</v>
      </c>
      <c r="AK383" s="509">
        <v>46195</v>
      </c>
      <c r="AL383" s="508">
        <v>518</v>
      </c>
      <c r="AO383" s="508">
        <v>9180</v>
      </c>
      <c r="AP383" s="508">
        <v>7940.7</v>
      </c>
      <c r="AQ383" s="508" t="s">
        <v>3375</v>
      </c>
      <c r="AR383" s="508" t="s">
        <v>1755</v>
      </c>
      <c r="AS383" s="508" t="s">
        <v>864</v>
      </c>
      <c r="AT383" s="508" t="s">
        <v>2967</v>
      </c>
      <c r="AV383" s="508" t="s">
        <v>1810</v>
      </c>
      <c r="AX383" s="508" t="s">
        <v>864</v>
      </c>
      <c r="AY383" s="508" t="s">
        <v>1755</v>
      </c>
      <c r="AZ383" s="508">
        <v>1.4</v>
      </c>
      <c r="BA383" s="508" t="s">
        <v>2932</v>
      </c>
      <c r="BB383" s="508" t="s">
        <v>178</v>
      </c>
      <c r="BC383" s="508">
        <v>19</v>
      </c>
      <c r="BD383" s="509">
        <v>46195</v>
      </c>
      <c r="BG383" s="508" t="s">
        <v>724</v>
      </c>
      <c r="BH383" s="508" t="s">
        <v>2940</v>
      </c>
      <c r="BI383" s="508">
        <v>329</v>
      </c>
      <c r="BJ383" s="508">
        <v>53</v>
      </c>
    </row>
    <row r="384" spans="1:62" s="508" customFormat="1" ht="14.25" hidden="1" customHeight="1" x14ac:dyDescent="0.2">
      <c r="A384" s="495"/>
      <c r="B384" s="496"/>
      <c r="C384" s="497">
        <f>Таблица3[[#This Row],[Степень зрелости вспом]]</f>
        <v>54</v>
      </c>
      <c r="D384" s="498">
        <v>519</v>
      </c>
      <c r="E384" s="499"/>
      <c r="F384" s="496"/>
      <c r="G384" s="496">
        <v>4530</v>
      </c>
      <c r="H384" s="500"/>
      <c r="I384" s="496">
        <v>3895.8</v>
      </c>
      <c r="J384" s="495" t="s">
        <v>3375</v>
      </c>
      <c r="K384" s="495" t="s">
        <v>1755</v>
      </c>
      <c r="L384" s="495" t="s">
        <v>864</v>
      </c>
      <c r="M384" s="495" t="s">
        <v>737</v>
      </c>
      <c r="N384" s="495"/>
      <c r="O384" s="495"/>
      <c r="P384" s="495"/>
      <c r="Q384" s="495"/>
      <c r="R384" s="501" t="s">
        <v>738</v>
      </c>
      <c r="S384" s="495"/>
      <c r="T384" s="482" t="str">
        <f>VLOOKUP(Таблица3[[#This Row],[№ акта]],$AJ$1:$BJ$691,15,FALSE)</f>
        <v>А-54</v>
      </c>
      <c r="U384" s="482" t="str">
        <f>VLOOKUP(Таблица3[[#This Row],[№ акта]],$AJ$1:$BJ$691,16,FALSE)</f>
        <v>Женева</v>
      </c>
      <c r="V384" s="502">
        <f>VLOOKUP(Таблица3[[#This Row],[№ акта]],$AJ$1:$BJ$691,17,FALSE)</f>
        <v>0.7</v>
      </c>
      <c r="W384" s="502" t="str">
        <f>VLOOKUP(Таблица3[[#This Row],[№ акта]],$AJ$1:$BJ$691,18,FALSE)</f>
        <v>ГРК (полив)</v>
      </c>
      <c r="X384" s="502" t="str">
        <f>VLOOKUP(Таблица3[[#This Row],[№ акта]],$AJ$1:$BJ$691,19,FALSE)</f>
        <v>полив</v>
      </c>
      <c r="Y384" s="503">
        <f>VLOOKUP(Таблица3[[#This Row],[№ акта]],$AJ$1:$BJ$691,20,FALSE)</f>
        <v>19</v>
      </c>
      <c r="Z384" s="504">
        <f>VLOOKUP(Таблица3[[#This Row],[№ акта]],$AJ$1:$BJ$691,21,FALSE)</f>
        <v>46195</v>
      </c>
      <c r="AA384" s="504"/>
      <c r="AB384" s="504" t="str">
        <f>IF(VLOOKUP(Таблица3[[#This Row],[№ акта]],$AJ$1:$BJ$691,23,FALSE)&lt;&gt;0,VLOOKUP(Таблица3[[#This Row],[№ акта]],$AJ$1:$BJ$691,23,FALSE),"-")</f>
        <v>-</v>
      </c>
      <c r="AC38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84" s="506" t="s">
        <v>2940</v>
      </c>
      <c r="AE384" s="505">
        <v>397</v>
      </c>
      <c r="AF384" s="507">
        <v>46195</v>
      </c>
      <c r="AG384" s="505">
        <v>330</v>
      </c>
      <c r="AH384" s="505">
        <f>IFERROR(VLOOKUP(Таблица3[[#This Row],[№ акта]],'Степень зрелости 2026'!$H$12:$I$800,2,FALSE),)</f>
        <v>54</v>
      </c>
      <c r="AJ384" s="508">
        <v>397</v>
      </c>
      <c r="AK384" s="509">
        <v>46195</v>
      </c>
      <c r="AL384" s="508">
        <v>519</v>
      </c>
      <c r="AO384" s="508">
        <v>4530</v>
      </c>
      <c r="AP384" s="508">
        <v>3895.8</v>
      </c>
      <c r="AQ384" s="508" t="s">
        <v>3375</v>
      </c>
      <c r="AR384" s="508" t="s">
        <v>1755</v>
      </c>
      <c r="AS384" s="508" t="s">
        <v>864</v>
      </c>
      <c r="AT384" s="508" t="s">
        <v>737</v>
      </c>
      <c r="AV384" s="508" t="s">
        <v>738</v>
      </c>
      <c r="AX384" s="508" t="s">
        <v>864</v>
      </c>
      <c r="AY384" s="508" t="s">
        <v>1755</v>
      </c>
      <c r="AZ384" s="508">
        <v>0.7</v>
      </c>
      <c r="BA384" s="508" t="s">
        <v>2932</v>
      </c>
      <c r="BB384" s="508" t="s">
        <v>178</v>
      </c>
      <c r="BC384" s="508">
        <v>19</v>
      </c>
      <c r="BD384" s="509">
        <v>46195</v>
      </c>
      <c r="BG384" s="508" t="s">
        <v>724</v>
      </c>
      <c r="BH384" s="508" t="s">
        <v>2940</v>
      </c>
      <c r="BI384" s="508">
        <v>330</v>
      </c>
      <c r="BJ384" s="508">
        <v>54</v>
      </c>
    </row>
    <row r="385" spans="1:62" s="508" customFormat="1" ht="14.25" hidden="1" customHeight="1" x14ac:dyDescent="0.2">
      <c r="A385" s="495"/>
      <c r="B385" s="496"/>
      <c r="C385" s="497">
        <f>Таблица3[[#This Row],[Степень зрелости вспом]]</f>
        <v>58</v>
      </c>
      <c r="D385" s="498">
        <v>520</v>
      </c>
      <c r="E385" s="499"/>
      <c r="F385" s="496"/>
      <c r="G385" s="496">
        <v>13330</v>
      </c>
      <c r="H385" s="500"/>
      <c r="I385" s="496">
        <v>11730.4</v>
      </c>
      <c r="J385" s="495" t="s">
        <v>3464</v>
      </c>
      <c r="K385" s="495" t="s">
        <v>909</v>
      </c>
      <c r="L385" s="495" t="s">
        <v>3116</v>
      </c>
      <c r="M385" s="495" t="s">
        <v>3377</v>
      </c>
      <c r="N385" s="495"/>
      <c r="O385" s="495"/>
      <c r="P385" s="495"/>
      <c r="Q385" s="495"/>
      <c r="R385" s="501" t="s">
        <v>3196</v>
      </c>
      <c r="S385" s="495"/>
      <c r="T385" s="482" t="str">
        <f>VLOOKUP(Таблица3[[#This Row],[№ акта]],$AJ$1:$BJ$691,15,FALSE)</f>
        <v>18 Агролидер</v>
      </c>
      <c r="U385" s="482" t="str">
        <f>VLOOKUP(Таблица3[[#This Row],[№ акта]],$AJ$1:$BJ$691,16,FALSE)</f>
        <v>Тристар</v>
      </c>
      <c r="V385" s="502">
        <f>VLOOKUP(Таблица3[[#This Row],[№ акта]],$AJ$1:$BJ$691,17,FALSE)</f>
        <v>1.8</v>
      </c>
      <c r="W385" s="502" t="str">
        <f>VLOOKUP(Таблица3[[#This Row],[№ акта]],$AJ$1:$BJ$691,18,FALSE)</f>
        <v>Агролидер (полив)</v>
      </c>
      <c r="X385" s="502" t="str">
        <f>VLOOKUP(Таблица3[[#This Row],[№ акта]],$AJ$1:$BJ$691,19,FALSE)</f>
        <v>полив</v>
      </c>
      <c r="Y385" s="503">
        <f>VLOOKUP(Таблица3[[#This Row],[№ акта]],$AJ$1:$BJ$691,20,FALSE)</f>
        <v>19</v>
      </c>
      <c r="Z385" s="504">
        <f>VLOOKUP(Таблица3[[#This Row],[№ акта]],$AJ$1:$BJ$691,21,FALSE)</f>
        <v>46195</v>
      </c>
      <c r="AA385" s="504"/>
      <c r="AB385" s="504" t="str">
        <f>IF(VLOOKUP(Таблица3[[#This Row],[№ акта]],$AJ$1:$BJ$691,23,FALSE)&lt;&gt;0,VLOOKUP(Таблица3[[#This Row],[№ акта]],$AJ$1:$BJ$691,23,FALSE),"-")</f>
        <v>-</v>
      </c>
      <c r="AC38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85" s="506" t="s">
        <v>2940</v>
      </c>
      <c r="AE385" s="505">
        <v>398</v>
      </c>
      <c r="AF385" s="507">
        <v>46195</v>
      </c>
      <c r="AG385" s="505">
        <v>31</v>
      </c>
      <c r="AH385" s="505">
        <f>IFERROR(VLOOKUP(Таблица3[[#This Row],[№ акта]],'Степень зрелости 2026'!$H$12:$I$800,2,FALSE),)</f>
        <v>58</v>
      </c>
      <c r="AJ385" s="508">
        <v>398</v>
      </c>
      <c r="AK385" s="509">
        <v>46195</v>
      </c>
      <c r="AL385" s="508">
        <v>520</v>
      </c>
      <c r="AO385" s="508">
        <v>13330</v>
      </c>
      <c r="AP385" s="508">
        <v>11730.4</v>
      </c>
      <c r="AQ385" s="508" t="s">
        <v>3464</v>
      </c>
      <c r="AR385" s="508" t="s">
        <v>909</v>
      </c>
      <c r="AS385" s="508" t="s">
        <v>3116</v>
      </c>
      <c r="AT385" s="508" t="s">
        <v>3377</v>
      </c>
      <c r="AV385" s="508" t="s">
        <v>3196</v>
      </c>
      <c r="AX385" s="508" t="s">
        <v>3116</v>
      </c>
      <c r="AY385" s="508" t="s">
        <v>909</v>
      </c>
      <c r="AZ385" s="508">
        <v>1.8</v>
      </c>
      <c r="BA385" s="508" t="s">
        <v>52</v>
      </c>
      <c r="BB385" s="508" t="s">
        <v>178</v>
      </c>
      <c r="BC385" s="508">
        <v>19</v>
      </c>
      <c r="BD385" s="509">
        <v>46195</v>
      </c>
      <c r="BG385" s="508" t="s">
        <v>724</v>
      </c>
      <c r="BH385" s="508" t="s">
        <v>2940</v>
      </c>
      <c r="BI385" s="508">
        <v>31</v>
      </c>
      <c r="BJ385" s="508">
        <v>58</v>
      </c>
    </row>
    <row r="386" spans="1:62" s="508" customFormat="1" ht="14.25" hidden="1" customHeight="1" x14ac:dyDescent="0.2">
      <c r="A386" s="495"/>
      <c r="B386" s="496"/>
      <c r="C386" s="497">
        <f>Таблица3[[#This Row],[Степень зрелости вспом]]</f>
        <v>59</v>
      </c>
      <c r="D386" s="498">
        <v>521</v>
      </c>
      <c r="E386" s="499"/>
      <c r="F386" s="496"/>
      <c r="G386" s="496">
        <v>13200</v>
      </c>
      <c r="H386" s="500"/>
      <c r="I386" s="496">
        <v>12078</v>
      </c>
      <c r="J386" s="495" t="s">
        <v>3464</v>
      </c>
      <c r="K386" s="495" t="s">
        <v>909</v>
      </c>
      <c r="L386" s="495" t="s">
        <v>3116</v>
      </c>
      <c r="M386" s="495" t="s">
        <v>212</v>
      </c>
      <c r="N386" s="495"/>
      <c r="O386" s="495"/>
      <c r="P386" s="495"/>
      <c r="Q386" s="495"/>
      <c r="R386" s="501" t="s">
        <v>2965</v>
      </c>
      <c r="S386" s="495"/>
      <c r="T386" s="482" t="str">
        <f>VLOOKUP(Таблица3[[#This Row],[№ акта]],$AJ$1:$BJ$691,15,FALSE)</f>
        <v>18 Агролидер</v>
      </c>
      <c r="U386" s="482" t="str">
        <f>VLOOKUP(Таблица3[[#This Row],[№ акта]],$AJ$1:$BJ$691,16,FALSE)</f>
        <v>Тристар</v>
      </c>
      <c r="V386" s="502">
        <f>VLOOKUP(Таблица3[[#This Row],[№ акта]],$AJ$1:$BJ$691,17,FALSE)</f>
        <v>1.8</v>
      </c>
      <c r="W386" s="502" t="str">
        <f>VLOOKUP(Таблица3[[#This Row],[№ акта]],$AJ$1:$BJ$691,18,FALSE)</f>
        <v>Агролидер (полив)</v>
      </c>
      <c r="X386" s="502" t="str">
        <f>VLOOKUP(Таблица3[[#This Row],[№ акта]],$AJ$1:$BJ$691,19,FALSE)</f>
        <v>полив</v>
      </c>
      <c r="Y386" s="503">
        <f>VLOOKUP(Таблица3[[#This Row],[№ акта]],$AJ$1:$BJ$691,20,FALSE)</f>
        <v>19</v>
      </c>
      <c r="Z386" s="504">
        <f>VLOOKUP(Таблица3[[#This Row],[№ акта]],$AJ$1:$BJ$691,21,FALSE)</f>
        <v>46195</v>
      </c>
      <c r="AA386" s="504"/>
      <c r="AB386" s="504" t="str">
        <f>IF(VLOOKUP(Таблица3[[#This Row],[№ акта]],$AJ$1:$BJ$691,23,FALSE)&lt;&gt;0,VLOOKUP(Таблица3[[#This Row],[№ акта]],$AJ$1:$BJ$691,23,FALSE),"-")</f>
        <v>-</v>
      </c>
      <c r="AC38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86" s="506" t="s">
        <v>2940</v>
      </c>
      <c r="AE386" s="505">
        <v>399</v>
      </c>
      <c r="AF386" s="507">
        <v>46195</v>
      </c>
      <c r="AG386" s="505">
        <v>32</v>
      </c>
      <c r="AH386" s="505">
        <f>IFERROR(VLOOKUP(Таблица3[[#This Row],[№ акта]],'Степень зрелости 2026'!$H$12:$I$800,2,FALSE),)</f>
        <v>59</v>
      </c>
      <c r="AJ386" s="508">
        <v>399</v>
      </c>
      <c r="AK386" s="509">
        <v>46195</v>
      </c>
      <c r="AL386" s="508">
        <v>521</v>
      </c>
      <c r="AO386" s="508">
        <v>13200</v>
      </c>
      <c r="AP386" s="508">
        <v>12078</v>
      </c>
      <c r="AQ386" s="508" t="s">
        <v>3464</v>
      </c>
      <c r="AR386" s="508" t="s">
        <v>909</v>
      </c>
      <c r="AS386" s="508" t="s">
        <v>3116</v>
      </c>
      <c r="AT386" s="508" t="s">
        <v>212</v>
      </c>
      <c r="AV386" s="508" t="s">
        <v>2965</v>
      </c>
      <c r="AX386" s="508" t="s">
        <v>3116</v>
      </c>
      <c r="AY386" s="508" t="s">
        <v>909</v>
      </c>
      <c r="AZ386" s="508">
        <v>1.8</v>
      </c>
      <c r="BA386" s="508" t="s">
        <v>52</v>
      </c>
      <c r="BB386" s="508" t="s">
        <v>178</v>
      </c>
      <c r="BC386" s="508">
        <v>19</v>
      </c>
      <c r="BD386" s="509">
        <v>46195</v>
      </c>
      <c r="BG386" s="508" t="s">
        <v>724</v>
      </c>
      <c r="BH386" s="508" t="s">
        <v>2940</v>
      </c>
      <c r="BI386" s="508">
        <v>32</v>
      </c>
      <c r="BJ386" s="508">
        <v>59</v>
      </c>
    </row>
    <row r="387" spans="1:62" s="508" customFormat="1" ht="14.25" hidden="1" customHeight="1" x14ac:dyDescent="0.2">
      <c r="A387" s="495"/>
      <c r="B387" s="496"/>
      <c r="C387" s="497">
        <f>Таблица3[[#This Row],[Степень зрелости вспом]]</f>
        <v>66</v>
      </c>
      <c r="D387" s="498">
        <v>522</v>
      </c>
      <c r="E387" s="499"/>
      <c r="F387" s="496"/>
      <c r="G387" s="496">
        <v>13090</v>
      </c>
      <c r="H387" s="500"/>
      <c r="I387" s="496">
        <v>11846.5</v>
      </c>
      <c r="J387" s="495" t="s">
        <v>3464</v>
      </c>
      <c r="K387" s="495" t="s">
        <v>909</v>
      </c>
      <c r="L387" s="495" t="s">
        <v>3116</v>
      </c>
      <c r="M387" s="495" t="s">
        <v>133</v>
      </c>
      <c r="N387" s="495"/>
      <c r="O387" s="495"/>
      <c r="P387" s="495"/>
      <c r="Q387" s="495"/>
      <c r="R387" s="501" t="s">
        <v>137</v>
      </c>
      <c r="S387" s="495"/>
      <c r="T387" s="482" t="str">
        <f>VLOOKUP(Таблица3[[#This Row],[№ акта]],$AJ$1:$BJ$691,15,FALSE)</f>
        <v>18 Агролидер</v>
      </c>
      <c r="U387" s="482" t="str">
        <f>VLOOKUP(Таблица3[[#This Row],[№ акта]],$AJ$1:$BJ$691,16,FALSE)</f>
        <v>Тристар</v>
      </c>
      <c r="V387" s="502">
        <f>VLOOKUP(Таблица3[[#This Row],[№ акта]],$AJ$1:$BJ$691,17,FALSE)</f>
        <v>1.8</v>
      </c>
      <c r="W387" s="502" t="str">
        <f>VLOOKUP(Таблица3[[#This Row],[№ акта]],$AJ$1:$BJ$691,18,FALSE)</f>
        <v>Агролидер (полив)</v>
      </c>
      <c r="X387" s="502" t="str">
        <f>VLOOKUP(Таблица3[[#This Row],[№ акта]],$AJ$1:$BJ$691,19,FALSE)</f>
        <v>полив</v>
      </c>
      <c r="Y387" s="503">
        <f>VLOOKUP(Таблица3[[#This Row],[№ акта]],$AJ$1:$BJ$691,20,FALSE)</f>
        <v>19</v>
      </c>
      <c r="Z387" s="504">
        <f>VLOOKUP(Таблица3[[#This Row],[№ акта]],$AJ$1:$BJ$691,21,FALSE)</f>
        <v>46195</v>
      </c>
      <c r="AA387" s="504"/>
      <c r="AB387" s="504" t="str">
        <f>IF(VLOOKUP(Таблица3[[#This Row],[№ акта]],$AJ$1:$BJ$691,23,FALSE)&lt;&gt;0,VLOOKUP(Таблица3[[#This Row],[№ акта]],$AJ$1:$BJ$691,23,FALSE),"-")</f>
        <v>-</v>
      </c>
      <c r="AC38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387" s="506" t="s">
        <v>3230</v>
      </c>
      <c r="AE387" s="505">
        <v>400</v>
      </c>
      <c r="AF387" s="507">
        <v>46196</v>
      </c>
      <c r="AG387" s="505">
        <v>33</v>
      </c>
      <c r="AH387" s="505">
        <f>IFERROR(VLOOKUP(Таблица3[[#This Row],[№ акта]],'Степень зрелости 2026'!$H$12:$I$800,2,FALSE),)</f>
        <v>66</v>
      </c>
      <c r="AJ387" s="508">
        <v>400</v>
      </c>
      <c r="AK387" s="509">
        <v>46196</v>
      </c>
      <c r="AL387" s="508">
        <v>522</v>
      </c>
      <c r="AO387" s="508">
        <v>13090</v>
      </c>
      <c r="AP387" s="508">
        <v>11846.5</v>
      </c>
      <c r="AQ387" s="508" t="s">
        <v>3464</v>
      </c>
      <c r="AR387" s="508" t="s">
        <v>909</v>
      </c>
      <c r="AS387" s="508" t="s">
        <v>3116</v>
      </c>
      <c r="AT387" s="508" t="s">
        <v>133</v>
      </c>
      <c r="AV387" s="508" t="s">
        <v>137</v>
      </c>
      <c r="AX387" s="508" t="s">
        <v>3116</v>
      </c>
      <c r="AY387" s="508" t="s">
        <v>909</v>
      </c>
      <c r="AZ387" s="508">
        <v>1.8</v>
      </c>
      <c r="BA387" s="508" t="s">
        <v>52</v>
      </c>
      <c r="BB387" s="508" t="s">
        <v>178</v>
      </c>
      <c r="BC387" s="508">
        <v>19</v>
      </c>
      <c r="BD387" s="509">
        <v>46195</v>
      </c>
      <c r="BG387" s="508" t="s">
        <v>3559</v>
      </c>
      <c r="BH387" s="508" t="s">
        <v>2940</v>
      </c>
      <c r="BI387" s="508">
        <v>33</v>
      </c>
      <c r="BJ387" s="508">
        <v>66</v>
      </c>
    </row>
    <row r="388" spans="1:62" s="508" customFormat="1" ht="14.25" hidden="1" customHeight="1" x14ac:dyDescent="0.2">
      <c r="A388" s="495"/>
      <c r="B388" s="496"/>
      <c r="C388" s="497">
        <f>Таблица3[[#This Row],[Степень зрелости вспом]]</f>
        <v>57</v>
      </c>
      <c r="D388" s="498">
        <v>523</v>
      </c>
      <c r="E388" s="499"/>
      <c r="F388" s="496"/>
      <c r="G388" s="496">
        <v>9140</v>
      </c>
      <c r="H388" s="500"/>
      <c r="I388" s="496">
        <v>7997.5</v>
      </c>
      <c r="J388" s="495" t="s">
        <v>3375</v>
      </c>
      <c r="K388" s="495" t="s">
        <v>1755</v>
      </c>
      <c r="L388" s="495" t="s">
        <v>3113</v>
      </c>
      <c r="M388" s="495" t="s">
        <v>2967</v>
      </c>
      <c r="N388" s="495"/>
      <c r="O388" s="495"/>
      <c r="P388" s="495"/>
      <c r="Q388" s="495"/>
      <c r="R388" s="501" t="s">
        <v>1810</v>
      </c>
      <c r="S388" s="495"/>
      <c r="T388" s="482" t="str">
        <f>VLOOKUP(Таблица3[[#This Row],[№ акта]],$AJ$1:$BJ$691,15,FALSE)</f>
        <v>А-82/1</v>
      </c>
      <c r="U388" s="482" t="str">
        <f>VLOOKUP(Таблица3[[#This Row],[№ акта]],$AJ$1:$BJ$691,16,FALSE)</f>
        <v>Женева</v>
      </c>
      <c r="V388" s="502">
        <f>VLOOKUP(Таблица3[[#This Row],[№ акта]],$AJ$1:$BJ$691,17,FALSE)</f>
        <v>4</v>
      </c>
      <c r="W388" s="502" t="str">
        <f>VLOOKUP(Таблица3[[#This Row],[№ акта]],$AJ$1:$BJ$691,18,FALSE)</f>
        <v>ГРК (полив)</v>
      </c>
      <c r="X388" s="502" t="str">
        <f>VLOOKUP(Таблица3[[#This Row],[№ акта]],$AJ$1:$BJ$691,19,FALSE)</f>
        <v>полив</v>
      </c>
      <c r="Y388" s="503">
        <f>VLOOKUP(Таблица3[[#This Row],[№ акта]],$AJ$1:$BJ$691,20,FALSE)</f>
        <v>19</v>
      </c>
      <c r="Z388" s="504">
        <f>VLOOKUP(Таблица3[[#This Row],[№ акта]],$AJ$1:$BJ$691,21,FALSE)</f>
        <v>46195</v>
      </c>
      <c r="AA388" s="504"/>
      <c r="AB388" s="504" t="str">
        <f>IF(VLOOKUP(Таблица3[[#This Row],[№ акта]],$AJ$1:$BJ$691,23,FALSE)&lt;&gt;0,VLOOKUP(Таблица3[[#This Row],[№ акта]],$AJ$1:$BJ$691,23,FALSE),"-")</f>
        <v>-</v>
      </c>
      <c r="AC38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88" s="506" t="s">
        <v>2940</v>
      </c>
      <c r="AE388" s="505">
        <v>401</v>
      </c>
      <c r="AF388" s="507">
        <v>46196</v>
      </c>
      <c r="AG388" s="505">
        <v>331</v>
      </c>
      <c r="AH388" s="505">
        <f>IFERROR(VLOOKUP(Таблица3[[#This Row],[№ акта]],'Степень зрелости 2026'!$H$12:$I$800,2,FALSE),)</f>
        <v>57</v>
      </c>
      <c r="AJ388" s="508">
        <v>401</v>
      </c>
      <c r="AK388" s="509">
        <v>46196</v>
      </c>
      <c r="AL388" s="508">
        <v>523</v>
      </c>
      <c r="AO388" s="508">
        <v>9140</v>
      </c>
      <c r="AP388" s="508">
        <v>7997.5</v>
      </c>
      <c r="AQ388" s="508" t="s">
        <v>3375</v>
      </c>
      <c r="AR388" s="508" t="s">
        <v>1755</v>
      </c>
      <c r="AS388" s="508" t="s">
        <v>3113</v>
      </c>
      <c r="AT388" s="508" t="s">
        <v>2967</v>
      </c>
      <c r="AV388" s="508" t="s">
        <v>1810</v>
      </c>
      <c r="AX388" s="508" t="s">
        <v>3113</v>
      </c>
      <c r="AY388" s="508" t="s">
        <v>1755</v>
      </c>
      <c r="AZ388" s="508">
        <v>4</v>
      </c>
      <c r="BA388" s="508" t="s">
        <v>2932</v>
      </c>
      <c r="BB388" s="508" t="s">
        <v>178</v>
      </c>
      <c r="BC388" s="508">
        <v>19</v>
      </c>
      <c r="BD388" s="509">
        <v>46195</v>
      </c>
      <c r="BG388" s="508" t="s">
        <v>724</v>
      </c>
      <c r="BH388" s="508" t="s">
        <v>2940</v>
      </c>
      <c r="BI388" s="508">
        <v>331</v>
      </c>
      <c r="BJ388" s="508">
        <v>57</v>
      </c>
    </row>
    <row r="389" spans="1:62" s="508" customFormat="1" ht="14.25" hidden="1" customHeight="1" x14ac:dyDescent="0.2">
      <c r="A389" s="495"/>
      <c r="B389" s="496"/>
      <c r="C389" s="497">
        <f>Таблица3[[#This Row],[Степень зрелости вспом]]</f>
        <v>65</v>
      </c>
      <c r="D389" s="498">
        <v>524</v>
      </c>
      <c r="E389" s="499"/>
      <c r="F389" s="496"/>
      <c r="G389" s="496">
        <v>12870</v>
      </c>
      <c r="H389" s="500"/>
      <c r="I389" s="496">
        <v>11068.2</v>
      </c>
      <c r="J389" s="495" t="s">
        <v>3464</v>
      </c>
      <c r="K389" s="495" t="s">
        <v>909</v>
      </c>
      <c r="L389" s="495" t="s">
        <v>3116</v>
      </c>
      <c r="M389" s="495" t="s">
        <v>3554</v>
      </c>
      <c r="N389" s="495"/>
      <c r="O389" s="495"/>
      <c r="P389" s="495"/>
      <c r="Q389" s="495"/>
      <c r="R389" s="501" t="s">
        <v>3555</v>
      </c>
      <c r="S389" s="495"/>
      <c r="T389" s="482" t="str">
        <f>VLOOKUP(Таблица3[[#This Row],[№ акта]],$AJ$1:$BJ$691,15,FALSE)</f>
        <v>18 Агролидер</v>
      </c>
      <c r="U389" s="482" t="str">
        <f>VLOOKUP(Таблица3[[#This Row],[№ акта]],$AJ$1:$BJ$691,16,FALSE)</f>
        <v>Тристар</v>
      </c>
      <c r="V389" s="502">
        <f>VLOOKUP(Таблица3[[#This Row],[№ акта]],$AJ$1:$BJ$691,17,FALSE)</f>
        <v>1.7</v>
      </c>
      <c r="W389" s="502" t="str">
        <f>VLOOKUP(Таблица3[[#This Row],[№ акта]],$AJ$1:$BJ$691,18,FALSE)</f>
        <v>Агролидер (полив)</v>
      </c>
      <c r="X389" s="502" t="str">
        <f>VLOOKUP(Таблица3[[#This Row],[№ акта]],$AJ$1:$BJ$691,19,FALSE)</f>
        <v>полив</v>
      </c>
      <c r="Y389" s="503">
        <f>VLOOKUP(Таблица3[[#This Row],[№ акта]],$AJ$1:$BJ$691,20,FALSE)</f>
        <v>19</v>
      </c>
      <c r="Z389" s="504">
        <f>VLOOKUP(Таблица3[[#This Row],[№ акта]],$AJ$1:$BJ$691,21,FALSE)</f>
        <v>46195</v>
      </c>
      <c r="AA389" s="504"/>
      <c r="AB389" s="504" t="str">
        <f>IF(VLOOKUP(Таблица3[[#This Row],[№ акта]],$AJ$1:$BJ$691,23,FALSE)&lt;&gt;0,VLOOKUP(Таблица3[[#This Row],[№ акта]],$AJ$1:$BJ$691,23,FALSE),"-")</f>
        <v>-</v>
      </c>
      <c r="AC38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389" s="506" t="s">
        <v>3230</v>
      </c>
      <c r="AE389" s="505">
        <v>402</v>
      </c>
      <c r="AF389" s="507">
        <v>46196</v>
      </c>
      <c r="AG389" s="505">
        <v>34</v>
      </c>
      <c r="AH389" s="505">
        <f>IFERROR(VLOOKUP(Таблица3[[#This Row],[№ акта]],'Степень зрелости 2026'!$H$12:$I$800,2,FALSE),)</f>
        <v>65</v>
      </c>
      <c r="AJ389" s="508">
        <v>402</v>
      </c>
      <c r="AK389" s="509">
        <v>46196</v>
      </c>
      <c r="AL389" s="508">
        <v>524</v>
      </c>
      <c r="AO389" s="508">
        <v>12870</v>
      </c>
      <c r="AP389" s="508">
        <v>11068.2</v>
      </c>
      <c r="AQ389" s="508" t="s">
        <v>3464</v>
      </c>
      <c r="AR389" s="508" t="s">
        <v>909</v>
      </c>
      <c r="AS389" s="508" t="s">
        <v>3116</v>
      </c>
      <c r="AT389" s="508" t="s">
        <v>3554</v>
      </c>
      <c r="AV389" s="508" t="s">
        <v>3555</v>
      </c>
      <c r="AX389" s="508" t="s">
        <v>3116</v>
      </c>
      <c r="AY389" s="508" t="s">
        <v>909</v>
      </c>
      <c r="AZ389" s="508">
        <v>1.7</v>
      </c>
      <c r="BA389" s="508" t="s">
        <v>52</v>
      </c>
      <c r="BB389" s="508" t="s">
        <v>178</v>
      </c>
      <c r="BC389" s="508">
        <v>19</v>
      </c>
      <c r="BD389" s="509">
        <v>46195</v>
      </c>
      <c r="BG389" s="508" t="s">
        <v>3559</v>
      </c>
      <c r="BH389" s="508" t="s">
        <v>2940</v>
      </c>
      <c r="BI389" s="508">
        <v>34</v>
      </c>
      <c r="BJ389" s="508">
        <v>65</v>
      </c>
    </row>
    <row r="390" spans="1:62" s="508" customFormat="1" ht="14.25" hidden="1" customHeight="1" x14ac:dyDescent="0.2">
      <c r="A390" s="495"/>
      <c r="B390" s="496"/>
      <c r="C390" s="497">
        <f>Таблица3[[#This Row],[Степень зрелости вспом]]</f>
        <v>66</v>
      </c>
      <c r="D390" s="498">
        <v>525</v>
      </c>
      <c r="E390" s="499"/>
      <c r="F390" s="496"/>
      <c r="G390" s="496">
        <v>12800</v>
      </c>
      <c r="H390" s="500"/>
      <c r="I390" s="496">
        <v>11200</v>
      </c>
      <c r="J390" s="495" t="s">
        <v>3464</v>
      </c>
      <c r="K390" s="495" t="s">
        <v>909</v>
      </c>
      <c r="L390" s="495" t="s">
        <v>3116</v>
      </c>
      <c r="M390" s="495" t="s">
        <v>121</v>
      </c>
      <c r="N390" s="495"/>
      <c r="O390" s="495"/>
      <c r="P390" s="495"/>
      <c r="Q390" s="495"/>
      <c r="R390" s="501" t="s">
        <v>125</v>
      </c>
      <c r="S390" s="495"/>
      <c r="T390" s="482" t="str">
        <f>VLOOKUP(Таблица3[[#This Row],[№ акта]],$AJ$1:$BJ$691,15,FALSE)</f>
        <v>18 Агролидер</v>
      </c>
      <c r="U390" s="482" t="str">
        <f>VLOOKUP(Таблица3[[#This Row],[№ акта]],$AJ$1:$BJ$691,16,FALSE)</f>
        <v>Тристар</v>
      </c>
      <c r="V390" s="502">
        <f>VLOOKUP(Таблица3[[#This Row],[№ акта]],$AJ$1:$BJ$691,17,FALSE)</f>
        <v>1.7</v>
      </c>
      <c r="W390" s="502" t="str">
        <f>VLOOKUP(Таблица3[[#This Row],[№ акта]],$AJ$1:$BJ$691,18,FALSE)</f>
        <v>Агролидер (полив)</v>
      </c>
      <c r="X390" s="502" t="str">
        <f>VLOOKUP(Таблица3[[#This Row],[№ акта]],$AJ$1:$BJ$691,19,FALSE)</f>
        <v>полив</v>
      </c>
      <c r="Y390" s="503">
        <f>VLOOKUP(Таблица3[[#This Row],[№ акта]],$AJ$1:$BJ$691,20,FALSE)</f>
        <v>19</v>
      </c>
      <c r="Z390" s="504">
        <f>VLOOKUP(Таблица3[[#This Row],[№ акта]],$AJ$1:$BJ$691,21,FALSE)</f>
        <v>46195</v>
      </c>
      <c r="AA390" s="504"/>
      <c r="AB390" s="504" t="str">
        <f>IF(VLOOKUP(Таблица3[[#This Row],[№ акта]],$AJ$1:$BJ$691,23,FALSE)&lt;&gt;0,VLOOKUP(Таблица3[[#This Row],[№ акта]],$AJ$1:$BJ$691,23,FALSE),"-")</f>
        <v>-</v>
      </c>
      <c r="AC39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390" s="506" t="s">
        <v>3230</v>
      </c>
      <c r="AE390" s="505">
        <v>405</v>
      </c>
      <c r="AF390" s="507">
        <v>46196</v>
      </c>
      <c r="AG390" s="505">
        <v>35</v>
      </c>
      <c r="AH390" s="505">
        <f>IFERROR(VLOOKUP(Таблица3[[#This Row],[№ акта]],'Степень зрелости 2026'!$H$12:$I$800,2,FALSE),)</f>
        <v>66</v>
      </c>
      <c r="AJ390" s="508">
        <v>405</v>
      </c>
      <c r="AK390" s="509">
        <v>46196</v>
      </c>
      <c r="AL390" s="508">
        <v>525</v>
      </c>
      <c r="AO390" s="508">
        <v>12800</v>
      </c>
      <c r="AP390" s="508">
        <v>11200</v>
      </c>
      <c r="AQ390" s="508" t="s">
        <v>3464</v>
      </c>
      <c r="AR390" s="508" t="s">
        <v>909</v>
      </c>
      <c r="AS390" s="508" t="s">
        <v>3116</v>
      </c>
      <c r="AT390" s="508" t="s">
        <v>121</v>
      </c>
      <c r="AV390" s="508" t="s">
        <v>125</v>
      </c>
      <c r="AX390" s="508" t="s">
        <v>3116</v>
      </c>
      <c r="AY390" s="508" t="s">
        <v>909</v>
      </c>
      <c r="AZ390" s="508">
        <v>1.7</v>
      </c>
      <c r="BA390" s="508" t="s">
        <v>52</v>
      </c>
      <c r="BB390" s="508" t="s">
        <v>178</v>
      </c>
      <c r="BC390" s="508">
        <v>19</v>
      </c>
      <c r="BD390" s="509">
        <v>46195</v>
      </c>
      <c r="BG390" s="508" t="s">
        <v>3559</v>
      </c>
      <c r="BH390" s="508" t="s">
        <v>2940</v>
      </c>
      <c r="BI390" s="508">
        <v>35</v>
      </c>
      <c r="BJ390" s="508">
        <v>66</v>
      </c>
    </row>
    <row r="391" spans="1:62" s="508" customFormat="1" ht="14.25" hidden="1" customHeight="1" x14ac:dyDescent="0.2">
      <c r="A391" s="495"/>
      <c r="B391" s="496"/>
      <c r="C391" s="497">
        <f>Таблица3[[#This Row],[Степень зрелости вспом]]</f>
        <v>55</v>
      </c>
      <c r="D391" s="498">
        <v>526</v>
      </c>
      <c r="E391" s="499"/>
      <c r="F391" s="496"/>
      <c r="G391" s="496">
        <v>4690</v>
      </c>
      <c r="H391" s="500"/>
      <c r="I391" s="496">
        <v>4197.6000000000004</v>
      </c>
      <c r="J391" s="495" t="s">
        <v>3375</v>
      </c>
      <c r="K391" s="495" t="s">
        <v>1755</v>
      </c>
      <c r="L391" s="495" t="s">
        <v>3113</v>
      </c>
      <c r="M391" s="495" t="s">
        <v>737</v>
      </c>
      <c r="N391" s="495"/>
      <c r="O391" s="495"/>
      <c r="P391" s="495"/>
      <c r="Q391" s="495"/>
      <c r="R391" s="501" t="s">
        <v>738</v>
      </c>
      <c r="S391" s="495"/>
      <c r="T391" s="482" t="str">
        <f>VLOOKUP(Таблица3[[#This Row],[№ акта]],$AJ$1:$BJ$691,15,FALSE)</f>
        <v>А-82/1</v>
      </c>
      <c r="U391" s="482" t="str">
        <f>VLOOKUP(Таблица3[[#This Row],[№ акта]],$AJ$1:$BJ$691,16,FALSE)</f>
        <v>Женева</v>
      </c>
      <c r="V391" s="502">
        <f>VLOOKUP(Таблица3[[#This Row],[№ акта]],$AJ$1:$BJ$691,17,FALSE)</f>
        <v>2</v>
      </c>
      <c r="W391" s="502" t="str">
        <f>VLOOKUP(Таблица3[[#This Row],[№ акта]],$AJ$1:$BJ$691,18,FALSE)</f>
        <v>ГРК (полив)</v>
      </c>
      <c r="X391" s="502" t="str">
        <f>VLOOKUP(Таблица3[[#This Row],[№ акта]],$AJ$1:$BJ$691,19,FALSE)</f>
        <v>полив</v>
      </c>
      <c r="Y391" s="503">
        <f>VLOOKUP(Таблица3[[#This Row],[№ акта]],$AJ$1:$BJ$691,20,FALSE)</f>
        <v>19</v>
      </c>
      <c r="Z391" s="504">
        <f>VLOOKUP(Таблица3[[#This Row],[№ акта]],$AJ$1:$BJ$691,21,FALSE)</f>
        <v>46195</v>
      </c>
      <c r="AA391" s="504"/>
      <c r="AB391" s="504" t="str">
        <f>IF(VLOOKUP(Таблица3[[#This Row],[№ акта]],$AJ$1:$BJ$691,23,FALSE)&lt;&gt;0,VLOOKUP(Таблица3[[#This Row],[№ акта]],$AJ$1:$BJ$691,23,FALSE),"-")</f>
        <v>-</v>
      </c>
      <c r="AC39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91" s="506" t="s">
        <v>2940</v>
      </c>
      <c r="AE391" s="505">
        <v>403</v>
      </c>
      <c r="AF391" s="507">
        <v>46196</v>
      </c>
      <c r="AG391" s="505">
        <v>332</v>
      </c>
      <c r="AH391" s="505">
        <f>IFERROR(VLOOKUP(Таблица3[[#This Row],[№ акта]],'Степень зрелости 2026'!$H$12:$I$800,2,FALSE),)</f>
        <v>55</v>
      </c>
      <c r="AJ391" s="508">
        <v>403</v>
      </c>
      <c r="AK391" s="509">
        <v>46196</v>
      </c>
      <c r="AL391" s="508">
        <v>526</v>
      </c>
      <c r="AO391" s="508">
        <v>4690</v>
      </c>
      <c r="AP391" s="508">
        <v>4197.6000000000004</v>
      </c>
      <c r="AQ391" s="508" t="s">
        <v>3375</v>
      </c>
      <c r="AR391" s="508" t="s">
        <v>1755</v>
      </c>
      <c r="AS391" s="508" t="s">
        <v>3113</v>
      </c>
      <c r="AT391" s="508" t="s">
        <v>737</v>
      </c>
      <c r="AV391" s="508" t="s">
        <v>738</v>
      </c>
      <c r="AX391" s="508" t="s">
        <v>3113</v>
      </c>
      <c r="AY391" s="508" t="s">
        <v>1755</v>
      </c>
      <c r="AZ391" s="508">
        <v>2</v>
      </c>
      <c r="BA391" s="508" t="s">
        <v>2932</v>
      </c>
      <c r="BB391" s="508" t="s">
        <v>178</v>
      </c>
      <c r="BC391" s="508">
        <v>19</v>
      </c>
      <c r="BD391" s="509">
        <v>46195</v>
      </c>
      <c r="BG391" s="508" t="s">
        <v>724</v>
      </c>
      <c r="BH391" s="508" t="s">
        <v>2940</v>
      </c>
      <c r="BI391" s="508">
        <v>332</v>
      </c>
      <c r="BJ391" s="508">
        <v>55</v>
      </c>
    </row>
    <row r="392" spans="1:62" s="508" customFormat="1" ht="14.25" hidden="1" customHeight="1" x14ac:dyDescent="0.2">
      <c r="A392" s="495"/>
      <c r="B392" s="496"/>
      <c r="C392" s="497">
        <f>Таблица3[[#This Row],[Степень зрелости вспом]]</f>
        <v>65</v>
      </c>
      <c r="D392" s="498">
        <v>527</v>
      </c>
      <c r="E392" s="499"/>
      <c r="F392" s="496"/>
      <c r="G392" s="496">
        <v>12810</v>
      </c>
      <c r="H392" s="500"/>
      <c r="I392" s="496">
        <v>11849.3</v>
      </c>
      <c r="J392" s="495" t="s">
        <v>3464</v>
      </c>
      <c r="K392" s="495" t="s">
        <v>909</v>
      </c>
      <c r="L392" s="495" t="s">
        <v>3116</v>
      </c>
      <c r="M392" s="495" t="s">
        <v>305</v>
      </c>
      <c r="N392" s="495"/>
      <c r="O392" s="495"/>
      <c r="P392" s="495"/>
      <c r="Q392" s="495"/>
      <c r="R392" s="501" t="s">
        <v>309</v>
      </c>
      <c r="S392" s="495"/>
      <c r="T392" s="482" t="str">
        <f>VLOOKUP(Таблица3[[#This Row],[№ акта]],$AJ$1:$BJ$691,15,FALSE)</f>
        <v>18 Агролидер</v>
      </c>
      <c r="U392" s="482" t="str">
        <f>VLOOKUP(Таблица3[[#This Row],[№ акта]],$AJ$1:$BJ$691,16,FALSE)</f>
        <v>Тристар</v>
      </c>
      <c r="V392" s="502">
        <f>VLOOKUP(Таблица3[[#This Row],[№ акта]],$AJ$1:$BJ$691,17,FALSE)</f>
        <v>1.7</v>
      </c>
      <c r="W392" s="502" t="str">
        <f>VLOOKUP(Таблица3[[#This Row],[№ акта]],$AJ$1:$BJ$691,18,FALSE)</f>
        <v>Агролидер (полив)</v>
      </c>
      <c r="X392" s="502" t="str">
        <f>VLOOKUP(Таблица3[[#This Row],[№ акта]],$AJ$1:$BJ$691,19,FALSE)</f>
        <v>полив</v>
      </c>
      <c r="Y392" s="503">
        <f>VLOOKUP(Таблица3[[#This Row],[№ акта]],$AJ$1:$BJ$691,20,FALSE)</f>
        <v>19</v>
      </c>
      <c r="Z392" s="504">
        <f>VLOOKUP(Таблица3[[#This Row],[№ акта]],$AJ$1:$BJ$691,21,FALSE)</f>
        <v>46195</v>
      </c>
      <c r="AA392" s="504"/>
      <c r="AB392" s="504" t="str">
        <f>IF(VLOOKUP(Таблица3[[#This Row],[№ акта]],$AJ$1:$BJ$691,23,FALSE)&lt;&gt;0,VLOOKUP(Таблица3[[#This Row],[№ акта]],$AJ$1:$BJ$691,23,FALSE),"-")</f>
        <v>-</v>
      </c>
      <c r="AC39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392" s="506" t="s">
        <v>3230</v>
      </c>
      <c r="AE392" s="505">
        <v>404</v>
      </c>
      <c r="AF392" s="507">
        <v>46196</v>
      </c>
      <c r="AG392" s="505">
        <v>36</v>
      </c>
      <c r="AH392" s="505">
        <f>IFERROR(VLOOKUP(Таблица3[[#This Row],[№ акта]],'Степень зрелости 2026'!$H$12:$I$800,2,FALSE),)</f>
        <v>65</v>
      </c>
      <c r="AJ392" s="508">
        <v>404</v>
      </c>
      <c r="AK392" s="509">
        <v>46196</v>
      </c>
      <c r="AL392" s="508">
        <v>527</v>
      </c>
      <c r="AO392" s="508">
        <v>12810</v>
      </c>
      <c r="AP392" s="508">
        <v>11849.3</v>
      </c>
      <c r="AQ392" s="508" t="s">
        <v>3464</v>
      </c>
      <c r="AR392" s="508" t="s">
        <v>909</v>
      </c>
      <c r="AS392" s="508" t="s">
        <v>3116</v>
      </c>
      <c r="AT392" s="508" t="s">
        <v>305</v>
      </c>
      <c r="AV392" s="508" t="s">
        <v>309</v>
      </c>
      <c r="AX392" s="508" t="s">
        <v>3116</v>
      </c>
      <c r="AY392" s="508" t="s">
        <v>909</v>
      </c>
      <c r="AZ392" s="508">
        <v>1.7</v>
      </c>
      <c r="BA392" s="508" t="s">
        <v>52</v>
      </c>
      <c r="BB392" s="508" t="s">
        <v>178</v>
      </c>
      <c r="BC392" s="508">
        <v>19</v>
      </c>
      <c r="BD392" s="509">
        <v>46195</v>
      </c>
      <c r="BG392" s="508" t="s">
        <v>3559</v>
      </c>
      <c r="BH392" s="508" t="s">
        <v>2940</v>
      </c>
      <c r="BI392" s="508">
        <v>36</v>
      </c>
      <c r="BJ392" s="508">
        <v>65</v>
      </c>
    </row>
    <row r="393" spans="1:62" s="508" customFormat="1" ht="14.25" hidden="1" customHeight="1" x14ac:dyDescent="0.2">
      <c r="A393" s="495"/>
      <c r="B393" s="496"/>
      <c r="C393" s="497">
        <f>Таблица3[[#This Row],[Степень зрелости вспом]]</f>
        <v>69</v>
      </c>
      <c r="D393" s="498">
        <v>528</v>
      </c>
      <c r="E393" s="499"/>
      <c r="F393" s="496"/>
      <c r="G393" s="496">
        <v>12780</v>
      </c>
      <c r="H393" s="500"/>
      <c r="I393" s="496">
        <v>11054.7</v>
      </c>
      <c r="J393" s="495" t="s">
        <v>3464</v>
      </c>
      <c r="K393" s="495" t="s">
        <v>909</v>
      </c>
      <c r="L393" s="495" t="s">
        <v>3116</v>
      </c>
      <c r="M393" s="495" t="s">
        <v>1461</v>
      </c>
      <c r="N393" s="495"/>
      <c r="O393" s="495"/>
      <c r="P393" s="495"/>
      <c r="Q393" s="495"/>
      <c r="R393" s="501" t="s">
        <v>149</v>
      </c>
      <c r="S393" s="495"/>
      <c r="T393" s="482" t="str">
        <f>VLOOKUP(Таблица3[[#This Row],[№ акта]],$AJ$1:$BJ$691,15,FALSE)</f>
        <v>18 Агролидер</v>
      </c>
      <c r="U393" s="482" t="str">
        <f>VLOOKUP(Таблица3[[#This Row],[№ акта]],$AJ$1:$BJ$691,16,FALSE)</f>
        <v>Тристар</v>
      </c>
      <c r="V393" s="502">
        <f>VLOOKUP(Таблица3[[#This Row],[№ акта]],$AJ$1:$BJ$691,17,FALSE)</f>
        <v>1.7</v>
      </c>
      <c r="W393" s="502" t="str">
        <f>VLOOKUP(Таблица3[[#This Row],[№ акта]],$AJ$1:$BJ$691,18,FALSE)</f>
        <v>Агролидер (полив)</v>
      </c>
      <c r="X393" s="502" t="str">
        <f>VLOOKUP(Таблица3[[#This Row],[№ акта]],$AJ$1:$BJ$691,19,FALSE)</f>
        <v>полив</v>
      </c>
      <c r="Y393" s="503">
        <f>VLOOKUP(Таблица3[[#This Row],[№ акта]],$AJ$1:$BJ$691,20,FALSE)</f>
        <v>19</v>
      </c>
      <c r="Z393" s="504">
        <f>VLOOKUP(Таблица3[[#This Row],[№ акта]],$AJ$1:$BJ$691,21,FALSE)</f>
        <v>46195</v>
      </c>
      <c r="AA393" s="504"/>
      <c r="AB393" s="504" t="str">
        <f>IF(VLOOKUP(Таблица3[[#This Row],[№ акта]],$AJ$1:$BJ$691,23,FALSE)&lt;&gt;0,VLOOKUP(Таблица3[[#This Row],[№ акта]],$AJ$1:$BJ$691,23,FALSE),"-")</f>
        <v>-</v>
      </c>
      <c r="AC39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393" s="506" t="s">
        <v>2940</v>
      </c>
      <c r="AE393" s="505">
        <v>406</v>
      </c>
      <c r="AF393" s="507">
        <v>46196</v>
      </c>
      <c r="AG393" s="505">
        <v>37</v>
      </c>
      <c r="AH393" s="505">
        <f>IFERROR(VLOOKUP(Таблица3[[#This Row],[№ акта]],'Степень зрелости 2026'!$H$12:$I$800,2,FALSE),)</f>
        <v>69</v>
      </c>
      <c r="AJ393" s="508">
        <v>406</v>
      </c>
      <c r="AK393" s="509">
        <v>46196</v>
      </c>
      <c r="AL393" s="508">
        <v>528</v>
      </c>
      <c r="AO393" s="508">
        <v>12780</v>
      </c>
      <c r="AP393" s="508">
        <v>11054.7</v>
      </c>
      <c r="AQ393" s="508" t="s">
        <v>3464</v>
      </c>
      <c r="AR393" s="508" t="s">
        <v>909</v>
      </c>
      <c r="AS393" s="508" t="s">
        <v>3116</v>
      </c>
      <c r="AT393" s="508" t="s">
        <v>1461</v>
      </c>
      <c r="AV393" s="508" t="s">
        <v>149</v>
      </c>
      <c r="AX393" s="508" t="s">
        <v>3116</v>
      </c>
      <c r="AY393" s="508" t="s">
        <v>909</v>
      </c>
      <c r="AZ393" s="508">
        <v>1.7</v>
      </c>
      <c r="BA393" s="508" t="s">
        <v>52</v>
      </c>
      <c r="BB393" s="508" t="s">
        <v>178</v>
      </c>
      <c r="BC393" s="508">
        <v>19</v>
      </c>
      <c r="BD393" s="509">
        <v>46195</v>
      </c>
      <c r="BG393" s="508" t="s">
        <v>420</v>
      </c>
      <c r="BH393" s="508" t="s">
        <v>2940</v>
      </c>
      <c r="BI393" s="508">
        <v>37</v>
      </c>
      <c r="BJ393" s="508">
        <v>69</v>
      </c>
    </row>
    <row r="394" spans="1:62" s="508" customFormat="1" ht="14.25" hidden="1" customHeight="1" x14ac:dyDescent="0.2">
      <c r="A394" s="495"/>
      <c r="B394" s="496"/>
      <c r="C394" s="497">
        <f>Таблица3[[#This Row],[Степень зрелости вспом]]</f>
        <v>59</v>
      </c>
      <c r="D394" s="498">
        <v>529</v>
      </c>
      <c r="E394" s="499"/>
      <c r="F394" s="496"/>
      <c r="G394" s="496">
        <v>12960</v>
      </c>
      <c r="H394" s="500"/>
      <c r="I394" s="496">
        <v>11599.2</v>
      </c>
      <c r="J394" s="495" t="s">
        <v>3464</v>
      </c>
      <c r="K394" s="495" t="s">
        <v>909</v>
      </c>
      <c r="L394" s="495" t="s">
        <v>3116</v>
      </c>
      <c r="M394" s="495" t="s">
        <v>311</v>
      </c>
      <c r="N394" s="495"/>
      <c r="O394" s="495"/>
      <c r="P394" s="495"/>
      <c r="Q394" s="495"/>
      <c r="R394" s="501" t="s">
        <v>315</v>
      </c>
      <c r="S394" s="495"/>
      <c r="T394" s="482" t="str">
        <f>VLOOKUP(Таблица3[[#This Row],[№ акта]],$AJ$1:$BJ$691,15,FALSE)</f>
        <v>18 Агролидер</v>
      </c>
      <c r="U394" s="482" t="str">
        <f>VLOOKUP(Таблица3[[#This Row],[№ акта]],$AJ$1:$BJ$691,16,FALSE)</f>
        <v>Тристар</v>
      </c>
      <c r="V394" s="502">
        <f>VLOOKUP(Таблица3[[#This Row],[№ акта]],$AJ$1:$BJ$691,17,FALSE)</f>
        <v>1.7</v>
      </c>
      <c r="W394" s="502" t="str">
        <f>VLOOKUP(Таблица3[[#This Row],[№ акта]],$AJ$1:$BJ$691,18,FALSE)</f>
        <v>Агролидер (полив)</v>
      </c>
      <c r="X394" s="502" t="str">
        <f>VLOOKUP(Таблица3[[#This Row],[№ акта]],$AJ$1:$BJ$691,19,FALSE)</f>
        <v>полив</v>
      </c>
      <c r="Y394" s="503">
        <f>VLOOKUP(Таблица3[[#This Row],[№ акта]],$AJ$1:$BJ$691,20,FALSE)</f>
        <v>19</v>
      </c>
      <c r="Z394" s="504">
        <f>VLOOKUP(Таблица3[[#This Row],[№ акта]],$AJ$1:$BJ$691,21,FALSE)</f>
        <v>46195</v>
      </c>
      <c r="AA394" s="504"/>
      <c r="AB394" s="504" t="str">
        <f>IF(VLOOKUP(Таблица3[[#This Row],[№ акта]],$AJ$1:$BJ$691,23,FALSE)&lt;&gt;0,VLOOKUP(Таблица3[[#This Row],[№ акта]],$AJ$1:$BJ$691,23,FALSE),"-")</f>
        <v>-</v>
      </c>
      <c r="AC39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94" s="506" t="s">
        <v>2940</v>
      </c>
      <c r="AE394" s="505">
        <v>407</v>
      </c>
      <c r="AF394" s="507">
        <v>46196</v>
      </c>
      <c r="AG394" s="505">
        <v>38</v>
      </c>
      <c r="AH394" s="505">
        <f>IFERROR(VLOOKUP(Таблица3[[#This Row],[№ акта]],'Степень зрелости 2026'!$H$12:$I$800,2,FALSE),)</f>
        <v>59</v>
      </c>
      <c r="AJ394" s="508">
        <v>407</v>
      </c>
      <c r="AK394" s="509">
        <v>46196</v>
      </c>
      <c r="AL394" s="508">
        <v>529</v>
      </c>
      <c r="AO394" s="508">
        <v>12960</v>
      </c>
      <c r="AP394" s="508">
        <v>11599.2</v>
      </c>
      <c r="AQ394" s="508" t="s">
        <v>3464</v>
      </c>
      <c r="AR394" s="508" t="s">
        <v>909</v>
      </c>
      <c r="AS394" s="508" t="s">
        <v>3116</v>
      </c>
      <c r="AT394" s="508" t="s">
        <v>311</v>
      </c>
      <c r="AV394" s="508" t="s">
        <v>315</v>
      </c>
      <c r="AX394" s="508" t="s">
        <v>3116</v>
      </c>
      <c r="AY394" s="508" t="s">
        <v>909</v>
      </c>
      <c r="AZ394" s="508">
        <v>1.7</v>
      </c>
      <c r="BA394" s="508" t="s">
        <v>52</v>
      </c>
      <c r="BB394" s="508" t="s">
        <v>178</v>
      </c>
      <c r="BC394" s="508">
        <v>19</v>
      </c>
      <c r="BD394" s="509">
        <v>46195</v>
      </c>
      <c r="BG394" s="508" t="s">
        <v>724</v>
      </c>
      <c r="BH394" s="508" t="s">
        <v>2940</v>
      </c>
      <c r="BI394" s="508">
        <v>38</v>
      </c>
      <c r="BJ394" s="508">
        <v>59</v>
      </c>
    </row>
    <row r="395" spans="1:62" s="508" customFormat="1" ht="14.25" hidden="1" customHeight="1" x14ac:dyDescent="0.2">
      <c r="A395" s="495"/>
      <c r="B395" s="496"/>
      <c r="C395" s="497">
        <f>Таблица3[[#This Row],[Степень зрелости вспом]]</f>
        <v>53</v>
      </c>
      <c r="D395" s="498">
        <v>530</v>
      </c>
      <c r="E395" s="499"/>
      <c r="F395" s="496"/>
      <c r="G395" s="496">
        <v>11140</v>
      </c>
      <c r="H395" s="500"/>
      <c r="I395" s="496">
        <v>9636.1</v>
      </c>
      <c r="J395" s="495" t="s">
        <v>3375</v>
      </c>
      <c r="K395" s="495" t="s">
        <v>1755</v>
      </c>
      <c r="L395" s="495" t="s">
        <v>864</v>
      </c>
      <c r="M395" s="495" t="s">
        <v>2967</v>
      </c>
      <c r="N395" s="495"/>
      <c r="O395" s="495"/>
      <c r="P395" s="495"/>
      <c r="Q395" s="495"/>
      <c r="R395" s="501" t="s">
        <v>1810</v>
      </c>
      <c r="S395" s="495"/>
      <c r="T395" s="482" t="str">
        <f>VLOOKUP(Таблица3[[#This Row],[№ акта]],$AJ$1:$BJ$691,15,FALSE)</f>
        <v>А-54</v>
      </c>
      <c r="U395" s="482" t="str">
        <f>VLOOKUP(Таблица3[[#This Row],[№ акта]],$AJ$1:$BJ$691,16,FALSE)</f>
        <v>Женева</v>
      </c>
      <c r="V395" s="502">
        <f>VLOOKUP(Таблица3[[#This Row],[№ акта]],$AJ$1:$BJ$691,17,FALSE)</f>
        <v>1.7</v>
      </c>
      <c r="W395" s="502" t="str">
        <f>VLOOKUP(Таблица3[[#This Row],[№ акта]],$AJ$1:$BJ$691,18,FALSE)</f>
        <v>ГРК (полив)</v>
      </c>
      <c r="X395" s="502" t="str">
        <f>VLOOKUP(Таблица3[[#This Row],[№ акта]],$AJ$1:$BJ$691,19,FALSE)</f>
        <v>полив</v>
      </c>
      <c r="Y395" s="503">
        <f>VLOOKUP(Таблица3[[#This Row],[№ акта]],$AJ$1:$BJ$691,20,FALSE)</f>
        <v>19</v>
      </c>
      <c r="Z395" s="504">
        <f>VLOOKUP(Таблица3[[#This Row],[№ акта]],$AJ$1:$BJ$691,21,FALSE)</f>
        <v>46195</v>
      </c>
      <c r="AA395" s="504"/>
      <c r="AB395" s="504" t="str">
        <f>IF(VLOOKUP(Таблица3[[#This Row],[№ акта]],$AJ$1:$BJ$691,23,FALSE)&lt;&gt;0,VLOOKUP(Таблица3[[#This Row],[№ акта]],$AJ$1:$BJ$691,23,FALSE),"-")</f>
        <v>-</v>
      </c>
      <c r="AC39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95" s="506" t="s">
        <v>2940</v>
      </c>
      <c r="AE395" s="505">
        <v>408</v>
      </c>
      <c r="AF395" s="507">
        <v>46196</v>
      </c>
      <c r="AG395" s="505">
        <v>333</v>
      </c>
      <c r="AH395" s="505">
        <f>IFERROR(VLOOKUP(Таблица3[[#This Row],[№ акта]],'Степень зрелости 2026'!$H$12:$I$800,2,FALSE),)</f>
        <v>53</v>
      </c>
      <c r="AJ395" s="508">
        <v>408</v>
      </c>
      <c r="AK395" s="509">
        <v>46196</v>
      </c>
      <c r="AL395" s="508">
        <v>530</v>
      </c>
      <c r="AO395" s="508">
        <v>11140</v>
      </c>
      <c r="AP395" s="508">
        <v>9636.1</v>
      </c>
      <c r="AQ395" s="508" t="s">
        <v>3375</v>
      </c>
      <c r="AR395" s="508" t="s">
        <v>1755</v>
      </c>
      <c r="AS395" s="508" t="s">
        <v>864</v>
      </c>
      <c r="AT395" s="508" t="s">
        <v>2967</v>
      </c>
      <c r="AV395" s="508" t="s">
        <v>1810</v>
      </c>
      <c r="AX395" s="508" t="s">
        <v>864</v>
      </c>
      <c r="AY395" s="508" t="s">
        <v>1755</v>
      </c>
      <c r="AZ395" s="508">
        <v>1.7</v>
      </c>
      <c r="BA395" s="508" t="s">
        <v>2932</v>
      </c>
      <c r="BB395" s="508" t="s">
        <v>178</v>
      </c>
      <c r="BC395" s="508">
        <v>19</v>
      </c>
      <c r="BD395" s="509">
        <v>46195</v>
      </c>
      <c r="BG395" s="508" t="s">
        <v>724</v>
      </c>
      <c r="BH395" s="508" t="s">
        <v>2940</v>
      </c>
      <c r="BI395" s="508">
        <v>333</v>
      </c>
      <c r="BJ395" s="508">
        <v>53</v>
      </c>
    </row>
    <row r="396" spans="1:62" s="508" customFormat="1" ht="14.25" hidden="1" customHeight="1" x14ac:dyDescent="0.2">
      <c r="A396" s="495"/>
      <c r="B396" s="496"/>
      <c r="C396" s="497">
        <f>Таблица3[[#This Row],[Степень зрелости вспом]]</f>
        <v>60</v>
      </c>
      <c r="D396" s="498">
        <v>531</v>
      </c>
      <c r="E396" s="499"/>
      <c r="F396" s="496"/>
      <c r="G396" s="496">
        <v>13070</v>
      </c>
      <c r="H396" s="500"/>
      <c r="I396" s="496">
        <v>11567</v>
      </c>
      <c r="J396" s="495" t="s">
        <v>3464</v>
      </c>
      <c r="K396" s="495" t="s">
        <v>909</v>
      </c>
      <c r="L396" s="495" t="s">
        <v>3116</v>
      </c>
      <c r="M396" s="495" t="s">
        <v>239</v>
      </c>
      <c r="N396" s="495"/>
      <c r="O396" s="495"/>
      <c r="P396" s="495"/>
      <c r="Q396" s="495"/>
      <c r="R396" s="501" t="s">
        <v>243</v>
      </c>
      <c r="S396" s="495"/>
      <c r="T396" s="482" t="str">
        <f>VLOOKUP(Таблица3[[#This Row],[№ акта]],$AJ$1:$BJ$691,15,FALSE)</f>
        <v>18 Агролидер</v>
      </c>
      <c r="U396" s="482" t="str">
        <f>VLOOKUP(Таблица3[[#This Row],[№ акта]],$AJ$1:$BJ$691,16,FALSE)</f>
        <v>Тристар</v>
      </c>
      <c r="V396" s="502">
        <f>VLOOKUP(Таблица3[[#This Row],[№ акта]],$AJ$1:$BJ$691,17,FALSE)</f>
        <v>1.8</v>
      </c>
      <c r="W396" s="502" t="str">
        <f>VLOOKUP(Таблица3[[#This Row],[№ акта]],$AJ$1:$BJ$691,18,FALSE)</f>
        <v>Агролидер (полив)</v>
      </c>
      <c r="X396" s="502" t="str">
        <f>VLOOKUP(Таблица3[[#This Row],[№ акта]],$AJ$1:$BJ$691,19,FALSE)</f>
        <v>полив</v>
      </c>
      <c r="Y396" s="503">
        <f>VLOOKUP(Таблица3[[#This Row],[№ акта]],$AJ$1:$BJ$691,20,FALSE)</f>
        <v>19</v>
      </c>
      <c r="Z396" s="504">
        <f>VLOOKUP(Таблица3[[#This Row],[№ акта]],$AJ$1:$BJ$691,21,FALSE)</f>
        <v>46195</v>
      </c>
      <c r="AA396" s="504"/>
      <c r="AB396" s="504" t="str">
        <f>IF(VLOOKUP(Таблица3[[#This Row],[№ акта]],$AJ$1:$BJ$691,23,FALSE)&lt;&gt;0,VLOOKUP(Таблица3[[#This Row],[№ акта]],$AJ$1:$BJ$691,23,FALSE),"-")</f>
        <v>-</v>
      </c>
      <c r="AC39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96" s="506" t="s">
        <v>2940</v>
      </c>
      <c r="AE396" s="505">
        <v>409</v>
      </c>
      <c r="AF396" s="507">
        <v>46196</v>
      </c>
      <c r="AG396" s="505">
        <v>39</v>
      </c>
      <c r="AH396" s="505">
        <f>IFERROR(VLOOKUP(Таблица3[[#This Row],[№ акта]],'Степень зрелости 2026'!$H$12:$I$800,2,FALSE),)</f>
        <v>60</v>
      </c>
      <c r="AJ396" s="508">
        <v>409</v>
      </c>
      <c r="AK396" s="509">
        <v>46196</v>
      </c>
      <c r="AL396" s="508">
        <v>531</v>
      </c>
      <c r="AO396" s="508">
        <v>13070</v>
      </c>
      <c r="AP396" s="508">
        <v>11567</v>
      </c>
      <c r="AQ396" s="508" t="s">
        <v>3464</v>
      </c>
      <c r="AR396" s="508" t="s">
        <v>909</v>
      </c>
      <c r="AS396" s="508" t="s">
        <v>3116</v>
      </c>
      <c r="AT396" s="508" t="s">
        <v>239</v>
      </c>
      <c r="AV396" s="508" t="s">
        <v>243</v>
      </c>
      <c r="AX396" s="508" t="s">
        <v>3116</v>
      </c>
      <c r="AY396" s="508" t="s">
        <v>909</v>
      </c>
      <c r="AZ396" s="508">
        <v>1.8</v>
      </c>
      <c r="BA396" s="508" t="s">
        <v>52</v>
      </c>
      <c r="BB396" s="508" t="s">
        <v>178</v>
      </c>
      <c r="BC396" s="508">
        <v>19</v>
      </c>
      <c r="BD396" s="509">
        <v>46195</v>
      </c>
      <c r="BG396" s="508" t="s">
        <v>724</v>
      </c>
      <c r="BH396" s="508" t="s">
        <v>2940</v>
      </c>
      <c r="BI396" s="508">
        <v>39</v>
      </c>
      <c r="BJ396" s="508">
        <v>60</v>
      </c>
    </row>
    <row r="397" spans="1:62" s="508" customFormat="1" ht="14.25" hidden="1" customHeight="1" x14ac:dyDescent="0.2">
      <c r="A397" s="495"/>
      <c r="B397" s="496"/>
      <c r="C397" s="497">
        <f>Таблица3[[#This Row],[Степень зрелости вспом]]</f>
        <v>59</v>
      </c>
      <c r="D397" s="498">
        <v>532</v>
      </c>
      <c r="E397" s="499"/>
      <c r="F397" s="496"/>
      <c r="G397" s="496">
        <v>13130</v>
      </c>
      <c r="H397" s="500"/>
      <c r="I397" s="496">
        <v>11357.5</v>
      </c>
      <c r="J397" s="495" t="s">
        <v>3464</v>
      </c>
      <c r="K397" s="495" t="s">
        <v>909</v>
      </c>
      <c r="L397" s="495" t="s">
        <v>3116</v>
      </c>
      <c r="M397" s="495" t="s">
        <v>3552</v>
      </c>
      <c r="N397" s="495"/>
      <c r="O397" s="495"/>
      <c r="P397" s="495"/>
      <c r="Q397" s="495"/>
      <c r="R397" s="501" t="s">
        <v>3553</v>
      </c>
      <c r="S397" s="495"/>
      <c r="T397" s="482" t="str">
        <f>VLOOKUP(Таблица3[[#This Row],[№ акта]],$AJ$1:$BJ$691,15,FALSE)</f>
        <v>18 Агролидер</v>
      </c>
      <c r="U397" s="482" t="str">
        <f>VLOOKUP(Таблица3[[#This Row],[№ акта]],$AJ$1:$BJ$691,16,FALSE)</f>
        <v>Тристар</v>
      </c>
      <c r="V397" s="502">
        <f>VLOOKUP(Таблица3[[#This Row],[№ акта]],$AJ$1:$BJ$691,17,FALSE)</f>
        <v>2</v>
      </c>
      <c r="W397" s="502" t="str">
        <f>VLOOKUP(Таблица3[[#This Row],[№ акта]],$AJ$1:$BJ$691,18,FALSE)</f>
        <v>Агролидер (полив)</v>
      </c>
      <c r="X397" s="502" t="str">
        <f>VLOOKUP(Таблица3[[#This Row],[№ акта]],$AJ$1:$BJ$691,19,FALSE)</f>
        <v>полив</v>
      </c>
      <c r="Y397" s="503">
        <f>VLOOKUP(Таблица3[[#This Row],[№ акта]],$AJ$1:$BJ$691,20,FALSE)</f>
        <v>20</v>
      </c>
      <c r="Z397" s="504">
        <f>VLOOKUP(Таблица3[[#This Row],[№ акта]],$AJ$1:$BJ$691,21,FALSE)</f>
        <v>46196</v>
      </c>
      <c r="AA397" s="504"/>
      <c r="AB397" s="504" t="str">
        <f>IF(VLOOKUP(Таблица3[[#This Row],[№ акта]],$AJ$1:$BJ$691,23,FALSE)&lt;&gt;0,VLOOKUP(Таблица3[[#This Row],[№ акта]],$AJ$1:$BJ$691,23,FALSE),"-")</f>
        <v>-</v>
      </c>
      <c r="AC39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97" s="506" t="s">
        <v>2940</v>
      </c>
      <c r="AE397" s="505">
        <v>410</v>
      </c>
      <c r="AF397" s="507">
        <v>46196</v>
      </c>
      <c r="AG397" s="505">
        <v>40</v>
      </c>
      <c r="AH397" s="505">
        <f>IFERROR(VLOOKUP(Таблица3[[#This Row],[№ акта]],'Степень зрелости 2026'!$H$12:$I$800,2,FALSE),)</f>
        <v>59</v>
      </c>
      <c r="AJ397" s="508">
        <v>410</v>
      </c>
      <c r="AK397" s="509">
        <v>46196</v>
      </c>
      <c r="AL397" s="508">
        <v>532</v>
      </c>
      <c r="AO397" s="508">
        <v>13130</v>
      </c>
      <c r="AP397" s="508">
        <v>11357.5</v>
      </c>
      <c r="AQ397" s="508" t="s">
        <v>3464</v>
      </c>
      <c r="AR397" s="508" t="s">
        <v>909</v>
      </c>
      <c r="AS397" s="508" t="s">
        <v>3116</v>
      </c>
      <c r="AT397" s="508" t="s">
        <v>3552</v>
      </c>
      <c r="AV397" s="508" t="s">
        <v>3553</v>
      </c>
      <c r="AX397" s="508" t="s">
        <v>3116</v>
      </c>
      <c r="AY397" s="508" t="s">
        <v>909</v>
      </c>
      <c r="AZ397" s="508">
        <v>2</v>
      </c>
      <c r="BA397" s="508" t="s">
        <v>52</v>
      </c>
      <c r="BB397" s="508" t="s">
        <v>178</v>
      </c>
      <c r="BC397" s="508">
        <v>20</v>
      </c>
      <c r="BD397" s="509">
        <v>46196</v>
      </c>
      <c r="BG397" s="508" t="s">
        <v>724</v>
      </c>
      <c r="BH397" s="508" t="s">
        <v>2940</v>
      </c>
      <c r="BI397" s="508">
        <v>40</v>
      </c>
      <c r="BJ397" s="508">
        <v>59</v>
      </c>
    </row>
    <row r="398" spans="1:62" s="508" customFormat="1" ht="14.25" hidden="1" customHeight="1" x14ac:dyDescent="0.2">
      <c r="A398" s="495"/>
      <c r="B398" s="496"/>
      <c r="C398" s="497">
        <f>Таблица3[[#This Row],[Степень зрелости вспом]]</f>
        <v>58</v>
      </c>
      <c r="D398" s="498">
        <v>534</v>
      </c>
      <c r="E398" s="499"/>
      <c r="F398" s="496"/>
      <c r="G398" s="496">
        <v>4550</v>
      </c>
      <c r="H398" s="500"/>
      <c r="I398" s="496">
        <v>4026.8</v>
      </c>
      <c r="J398" s="495" t="s">
        <v>3375</v>
      </c>
      <c r="K398" s="495" t="s">
        <v>1755</v>
      </c>
      <c r="L398" s="495" t="s">
        <v>864</v>
      </c>
      <c r="M398" s="495" t="s">
        <v>762</v>
      </c>
      <c r="N398" s="495"/>
      <c r="O398" s="495"/>
      <c r="P398" s="495"/>
      <c r="Q398" s="495"/>
      <c r="R398" s="501" t="s">
        <v>763</v>
      </c>
      <c r="S398" s="495"/>
      <c r="T398" s="482" t="str">
        <f>VLOOKUP(Таблица3[[#This Row],[№ акта]],$AJ$1:$BJ$691,15,FALSE)</f>
        <v>А-54</v>
      </c>
      <c r="U398" s="482" t="str">
        <f>VLOOKUP(Таблица3[[#This Row],[№ акта]],$AJ$1:$BJ$691,16,FALSE)</f>
        <v>Женева</v>
      </c>
      <c r="V398" s="502">
        <f>VLOOKUP(Таблица3[[#This Row],[№ акта]],$AJ$1:$BJ$691,17,FALSE)</f>
        <v>1</v>
      </c>
      <c r="W398" s="502" t="str">
        <f>VLOOKUP(Таблица3[[#This Row],[№ акта]],$AJ$1:$BJ$691,18,FALSE)</f>
        <v>ГРК (полив)</v>
      </c>
      <c r="X398" s="502" t="str">
        <f>VLOOKUP(Таблица3[[#This Row],[№ акта]],$AJ$1:$BJ$691,19,FALSE)</f>
        <v>полив</v>
      </c>
      <c r="Y398" s="503">
        <f>VLOOKUP(Таблица3[[#This Row],[№ акта]],$AJ$1:$BJ$691,20,FALSE)</f>
        <v>20</v>
      </c>
      <c r="Z398" s="504">
        <f>VLOOKUP(Таблица3[[#This Row],[№ акта]],$AJ$1:$BJ$691,21,FALSE)</f>
        <v>46196</v>
      </c>
      <c r="AA398" s="504"/>
      <c r="AB398" s="504" t="str">
        <f>IF(VLOOKUP(Таблица3[[#This Row],[№ акта]],$AJ$1:$BJ$691,23,FALSE)&lt;&gt;0,VLOOKUP(Таблица3[[#This Row],[№ акта]],$AJ$1:$BJ$691,23,FALSE),"-")</f>
        <v>-</v>
      </c>
      <c r="AC39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98" s="506" t="s">
        <v>2940</v>
      </c>
      <c r="AE398" s="505">
        <v>411</v>
      </c>
      <c r="AF398" s="507">
        <v>46196</v>
      </c>
      <c r="AG398" s="505">
        <v>334</v>
      </c>
      <c r="AH398" s="505">
        <f>IFERROR(VLOOKUP(Таблица3[[#This Row],[№ акта]],'Степень зрелости 2026'!$H$12:$I$800,2,FALSE),)</f>
        <v>58</v>
      </c>
      <c r="AJ398" s="508">
        <v>411</v>
      </c>
      <c r="AK398" s="509">
        <v>46196</v>
      </c>
      <c r="AL398" s="508">
        <v>534</v>
      </c>
      <c r="AO398" s="508">
        <v>4550</v>
      </c>
      <c r="AP398" s="508">
        <v>4026.8</v>
      </c>
      <c r="AQ398" s="508" t="s">
        <v>3375</v>
      </c>
      <c r="AR398" s="508" t="s">
        <v>1755</v>
      </c>
      <c r="AS398" s="508" t="s">
        <v>864</v>
      </c>
      <c r="AT398" s="508" t="s">
        <v>762</v>
      </c>
      <c r="AV398" s="508" t="s">
        <v>763</v>
      </c>
      <c r="AX398" s="508" t="s">
        <v>864</v>
      </c>
      <c r="AY398" s="508" t="s">
        <v>1755</v>
      </c>
      <c r="AZ398" s="508">
        <v>1</v>
      </c>
      <c r="BA398" s="508" t="s">
        <v>2932</v>
      </c>
      <c r="BB398" s="508" t="s">
        <v>178</v>
      </c>
      <c r="BC398" s="508">
        <v>20</v>
      </c>
      <c r="BD398" s="509">
        <v>46196</v>
      </c>
      <c r="BG398" s="508" t="s">
        <v>724</v>
      </c>
      <c r="BH398" s="508" t="s">
        <v>2940</v>
      </c>
      <c r="BI398" s="508">
        <v>334</v>
      </c>
      <c r="BJ398" s="508">
        <v>58</v>
      </c>
    </row>
    <row r="399" spans="1:62" s="508" customFormat="1" ht="14.25" hidden="1" customHeight="1" x14ac:dyDescent="0.2">
      <c r="A399" s="495"/>
      <c r="B399" s="496"/>
      <c r="C399" s="497">
        <f>Таблица3[[#This Row],[Степень зрелости вспом]]</f>
        <v>59</v>
      </c>
      <c r="D399" s="498">
        <v>535</v>
      </c>
      <c r="E399" s="499"/>
      <c r="F399" s="496"/>
      <c r="G399" s="496">
        <v>13290</v>
      </c>
      <c r="H399" s="500"/>
      <c r="I399" s="496">
        <v>11628.8</v>
      </c>
      <c r="J399" s="495" t="s">
        <v>3464</v>
      </c>
      <c r="K399" s="495" t="s">
        <v>909</v>
      </c>
      <c r="L399" s="495" t="s">
        <v>3116</v>
      </c>
      <c r="M399" s="495" t="s">
        <v>894</v>
      </c>
      <c r="N399" s="495"/>
      <c r="O399" s="495"/>
      <c r="P399" s="495"/>
      <c r="Q399" s="495"/>
      <c r="R399" s="501" t="s">
        <v>895</v>
      </c>
      <c r="S399" s="495"/>
      <c r="T399" s="482" t="str">
        <f>VLOOKUP(Таблица3[[#This Row],[№ акта]],$AJ$1:$BJ$691,15,FALSE)</f>
        <v>18 Агролидер</v>
      </c>
      <c r="U399" s="482" t="str">
        <f>VLOOKUP(Таблица3[[#This Row],[№ акта]],$AJ$1:$BJ$691,16,FALSE)</f>
        <v>Тристар</v>
      </c>
      <c r="V399" s="502">
        <f>VLOOKUP(Таблица3[[#This Row],[№ акта]],$AJ$1:$BJ$691,17,FALSE)</f>
        <v>2</v>
      </c>
      <c r="W399" s="502" t="str">
        <f>VLOOKUP(Таблица3[[#This Row],[№ акта]],$AJ$1:$BJ$691,18,FALSE)</f>
        <v>Агролидер (полив)</v>
      </c>
      <c r="X399" s="502" t="str">
        <f>VLOOKUP(Таблица3[[#This Row],[№ акта]],$AJ$1:$BJ$691,19,FALSE)</f>
        <v>полив</v>
      </c>
      <c r="Y399" s="503">
        <f>VLOOKUP(Таблица3[[#This Row],[№ акта]],$AJ$1:$BJ$691,20,FALSE)</f>
        <v>20</v>
      </c>
      <c r="Z399" s="504">
        <f>VLOOKUP(Таблица3[[#This Row],[№ акта]],$AJ$1:$BJ$691,21,FALSE)</f>
        <v>46196</v>
      </c>
      <c r="AA399" s="504"/>
      <c r="AB399" s="504" t="str">
        <f>IF(VLOOKUP(Таблица3[[#This Row],[№ акта]],$AJ$1:$BJ$691,23,FALSE)&lt;&gt;0,VLOOKUP(Таблица3[[#This Row],[№ акта]],$AJ$1:$BJ$691,23,FALSE),"-")</f>
        <v>-</v>
      </c>
      <c r="AC39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399" s="506" t="s">
        <v>2940</v>
      </c>
      <c r="AE399" s="505">
        <v>412</v>
      </c>
      <c r="AF399" s="507">
        <v>46196</v>
      </c>
      <c r="AG399" s="505">
        <v>41</v>
      </c>
      <c r="AH399" s="505">
        <f>IFERROR(VLOOKUP(Таблица3[[#This Row],[№ акта]],'Степень зрелости 2026'!$H$12:$I$800,2,FALSE),)</f>
        <v>59</v>
      </c>
      <c r="AJ399" s="508">
        <v>412</v>
      </c>
      <c r="AK399" s="509">
        <v>46196</v>
      </c>
      <c r="AL399" s="508">
        <v>535</v>
      </c>
      <c r="AO399" s="508">
        <v>13290</v>
      </c>
      <c r="AP399" s="508">
        <v>11628.8</v>
      </c>
      <c r="AQ399" s="508" t="s">
        <v>3464</v>
      </c>
      <c r="AR399" s="508" t="s">
        <v>909</v>
      </c>
      <c r="AS399" s="508" t="s">
        <v>3116</v>
      </c>
      <c r="AT399" s="508" t="s">
        <v>894</v>
      </c>
      <c r="AV399" s="508" t="s">
        <v>895</v>
      </c>
      <c r="AX399" s="508" t="s">
        <v>3116</v>
      </c>
      <c r="AY399" s="508" t="s">
        <v>909</v>
      </c>
      <c r="AZ399" s="508">
        <v>2</v>
      </c>
      <c r="BA399" s="508" t="s">
        <v>52</v>
      </c>
      <c r="BB399" s="508" t="s">
        <v>178</v>
      </c>
      <c r="BC399" s="508">
        <v>20</v>
      </c>
      <c r="BD399" s="509">
        <v>46196</v>
      </c>
      <c r="BG399" s="508" t="s">
        <v>724</v>
      </c>
      <c r="BH399" s="508" t="s">
        <v>2940</v>
      </c>
      <c r="BI399" s="508">
        <v>41</v>
      </c>
      <c r="BJ399" s="508">
        <v>59</v>
      </c>
    </row>
    <row r="400" spans="1:62" s="508" customFormat="1" ht="14.25" hidden="1" customHeight="1" x14ac:dyDescent="0.2">
      <c r="A400" s="495"/>
      <c r="B400" s="496"/>
      <c r="C400" s="497">
        <f>Таблица3[[#This Row],[Степень зрелости вспом]]</f>
        <v>60</v>
      </c>
      <c r="D400" s="498">
        <v>536</v>
      </c>
      <c r="E400" s="499"/>
      <c r="F400" s="496"/>
      <c r="G400" s="496">
        <v>13230</v>
      </c>
      <c r="H400" s="500"/>
      <c r="I400" s="496">
        <v>11708.6</v>
      </c>
      <c r="J400" s="495" t="s">
        <v>3464</v>
      </c>
      <c r="K400" s="495" t="s">
        <v>909</v>
      </c>
      <c r="L400" s="495" t="s">
        <v>3116</v>
      </c>
      <c r="M400" s="495" t="s">
        <v>1312</v>
      </c>
      <c r="N400" s="495"/>
      <c r="O400" s="495"/>
      <c r="P400" s="495"/>
      <c r="Q400" s="495"/>
      <c r="R400" s="501" t="s">
        <v>320</v>
      </c>
      <c r="S400" s="495"/>
      <c r="T400" s="482" t="str">
        <f>VLOOKUP(Таблица3[[#This Row],[№ акта]],$AJ$1:$BJ$691,15,FALSE)</f>
        <v>18 Агролидер</v>
      </c>
      <c r="U400" s="482" t="str">
        <f>VLOOKUP(Таблица3[[#This Row],[№ акта]],$AJ$1:$BJ$691,16,FALSE)</f>
        <v>Тристар</v>
      </c>
      <c r="V400" s="502">
        <f>VLOOKUP(Таблица3[[#This Row],[№ акта]],$AJ$1:$BJ$691,17,FALSE)</f>
        <v>2</v>
      </c>
      <c r="W400" s="502" t="str">
        <f>VLOOKUP(Таблица3[[#This Row],[№ акта]],$AJ$1:$BJ$691,18,FALSE)</f>
        <v>Агролидер (полив)</v>
      </c>
      <c r="X400" s="502" t="str">
        <f>VLOOKUP(Таблица3[[#This Row],[№ акта]],$AJ$1:$BJ$691,19,FALSE)</f>
        <v>полив</v>
      </c>
      <c r="Y400" s="503">
        <f>VLOOKUP(Таблица3[[#This Row],[№ акта]],$AJ$1:$BJ$691,20,FALSE)</f>
        <v>20</v>
      </c>
      <c r="Z400" s="504">
        <f>VLOOKUP(Таблица3[[#This Row],[№ акта]],$AJ$1:$BJ$691,21,FALSE)</f>
        <v>46196</v>
      </c>
      <c r="AA400" s="504"/>
      <c r="AB400" s="504" t="str">
        <f>IF(VLOOKUP(Таблица3[[#This Row],[№ акта]],$AJ$1:$BJ$691,23,FALSE)&lt;&gt;0,VLOOKUP(Таблица3[[#This Row],[№ акта]],$AJ$1:$BJ$691,23,FALSE),"-")</f>
        <v>-</v>
      </c>
      <c r="AC40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00" s="506" t="s">
        <v>2940</v>
      </c>
      <c r="AE400" s="505">
        <v>413</v>
      </c>
      <c r="AF400" s="507">
        <v>46196</v>
      </c>
      <c r="AG400" s="505">
        <v>42</v>
      </c>
      <c r="AH400" s="505">
        <f>IFERROR(VLOOKUP(Таблица3[[#This Row],[№ акта]],'Степень зрелости 2026'!$H$12:$I$800,2,FALSE),)</f>
        <v>60</v>
      </c>
      <c r="AJ400" s="508">
        <v>413</v>
      </c>
      <c r="AK400" s="509">
        <v>46196</v>
      </c>
      <c r="AL400" s="508">
        <v>536</v>
      </c>
      <c r="AO400" s="508">
        <v>13230</v>
      </c>
      <c r="AP400" s="508">
        <v>11708.6</v>
      </c>
      <c r="AQ400" s="508" t="s">
        <v>3464</v>
      </c>
      <c r="AR400" s="508" t="s">
        <v>909</v>
      </c>
      <c r="AS400" s="508" t="s">
        <v>3116</v>
      </c>
      <c r="AT400" s="508" t="s">
        <v>1312</v>
      </c>
      <c r="AV400" s="508" t="s">
        <v>320</v>
      </c>
      <c r="AX400" s="508" t="s">
        <v>3116</v>
      </c>
      <c r="AY400" s="508" t="s">
        <v>909</v>
      </c>
      <c r="AZ400" s="508">
        <v>2</v>
      </c>
      <c r="BA400" s="508" t="s">
        <v>52</v>
      </c>
      <c r="BB400" s="508" t="s">
        <v>178</v>
      </c>
      <c r="BC400" s="508">
        <v>20</v>
      </c>
      <c r="BD400" s="509">
        <v>46196</v>
      </c>
      <c r="BG400" s="508" t="s">
        <v>724</v>
      </c>
      <c r="BH400" s="508" t="s">
        <v>2940</v>
      </c>
      <c r="BI400" s="508">
        <v>42</v>
      </c>
      <c r="BJ400" s="508">
        <v>60</v>
      </c>
    </row>
    <row r="401" spans="1:62" s="508" customFormat="1" ht="14.25" hidden="1" customHeight="1" x14ac:dyDescent="0.2">
      <c r="A401" s="495"/>
      <c r="B401" s="496"/>
      <c r="C401" s="497">
        <f>Таблица3[[#This Row],[Степень зрелости вспом]]</f>
        <v>56</v>
      </c>
      <c r="D401" s="498">
        <v>537</v>
      </c>
      <c r="E401" s="499"/>
      <c r="F401" s="496"/>
      <c r="G401" s="496">
        <v>9100</v>
      </c>
      <c r="H401" s="500"/>
      <c r="I401" s="496">
        <v>7644</v>
      </c>
      <c r="J401" s="495" t="s">
        <v>3375</v>
      </c>
      <c r="K401" s="495" t="s">
        <v>1755</v>
      </c>
      <c r="L401" s="495" t="s">
        <v>864</v>
      </c>
      <c r="M401" s="495" t="s">
        <v>127</v>
      </c>
      <c r="N401" s="495"/>
      <c r="O401" s="495"/>
      <c r="P401" s="495"/>
      <c r="Q401" s="495"/>
      <c r="R401" s="501" t="s">
        <v>131</v>
      </c>
      <c r="S401" s="495"/>
      <c r="T401" s="482" t="str">
        <f>VLOOKUP(Таблица3[[#This Row],[№ акта]],$AJ$1:$BJ$691,15,FALSE)</f>
        <v>А-54</v>
      </c>
      <c r="U401" s="482" t="str">
        <f>VLOOKUP(Таблица3[[#This Row],[№ акта]],$AJ$1:$BJ$691,16,FALSE)</f>
        <v>Женева</v>
      </c>
      <c r="V401" s="502">
        <f>VLOOKUP(Таблица3[[#This Row],[№ акта]],$AJ$1:$BJ$691,17,FALSE)</f>
        <v>1.9</v>
      </c>
      <c r="W401" s="502" t="str">
        <f>VLOOKUP(Таблица3[[#This Row],[№ акта]],$AJ$1:$BJ$691,18,FALSE)</f>
        <v>ГРК (полив)</v>
      </c>
      <c r="X401" s="502" t="str">
        <f>VLOOKUP(Таблица3[[#This Row],[№ акта]],$AJ$1:$BJ$691,19,FALSE)</f>
        <v>полив</v>
      </c>
      <c r="Y401" s="503">
        <f>VLOOKUP(Таблица3[[#This Row],[№ акта]],$AJ$1:$BJ$691,20,FALSE)</f>
        <v>20</v>
      </c>
      <c r="Z401" s="504">
        <f>VLOOKUP(Таблица3[[#This Row],[№ акта]],$AJ$1:$BJ$691,21,FALSE)</f>
        <v>46196</v>
      </c>
      <c r="AA401" s="504"/>
      <c r="AB401" s="504" t="str">
        <f>IF(VLOOKUP(Таблица3[[#This Row],[№ акта]],$AJ$1:$BJ$691,23,FALSE)&lt;&gt;0,VLOOKUP(Таблица3[[#This Row],[№ акта]],$AJ$1:$BJ$691,23,FALSE),"-")</f>
        <v>-</v>
      </c>
      <c r="AC40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01" s="506" t="s">
        <v>2940</v>
      </c>
      <c r="AE401" s="505">
        <v>414</v>
      </c>
      <c r="AF401" s="507">
        <v>46196</v>
      </c>
      <c r="AG401" s="505">
        <v>335</v>
      </c>
      <c r="AH401" s="505">
        <f>IFERROR(VLOOKUP(Таблица3[[#This Row],[№ акта]],'Степень зрелости 2026'!$H$12:$I$800,2,FALSE),)</f>
        <v>56</v>
      </c>
      <c r="AJ401" s="508">
        <v>414</v>
      </c>
      <c r="AK401" s="509">
        <v>46196</v>
      </c>
      <c r="AL401" s="508">
        <v>537</v>
      </c>
      <c r="AO401" s="508">
        <v>9100</v>
      </c>
      <c r="AP401" s="508">
        <v>7644</v>
      </c>
      <c r="AQ401" s="508" t="s">
        <v>3375</v>
      </c>
      <c r="AR401" s="508" t="s">
        <v>1755</v>
      </c>
      <c r="AS401" s="508" t="s">
        <v>864</v>
      </c>
      <c r="AT401" s="508" t="s">
        <v>127</v>
      </c>
      <c r="AV401" s="508" t="s">
        <v>131</v>
      </c>
      <c r="AX401" s="508" t="s">
        <v>864</v>
      </c>
      <c r="AY401" s="508" t="s">
        <v>1755</v>
      </c>
      <c r="AZ401" s="508">
        <v>1.9</v>
      </c>
      <c r="BA401" s="508" t="s">
        <v>2932</v>
      </c>
      <c r="BB401" s="508" t="s">
        <v>178</v>
      </c>
      <c r="BC401" s="508">
        <v>20</v>
      </c>
      <c r="BD401" s="509">
        <v>46196</v>
      </c>
      <c r="BG401" s="508" t="s">
        <v>724</v>
      </c>
      <c r="BH401" s="508" t="s">
        <v>2940</v>
      </c>
      <c r="BI401" s="508">
        <v>335</v>
      </c>
      <c r="BJ401" s="508">
        <v>56</v>
      </c>
    </row>
    <row r="402" spans="1:62" s="508" customFormat="1" ht="14.25" hidden="1" customHeight="1" x14ac:dyDescent="0.2">
      <c r="A402" s="495"/>
      <c r="B402" s="496"/>
      <c r="C402" s="497">
        <f>Таблица3[[#This Row],[Степень зрелости вспом]]</f>
        <v>60</v>
      </c>
      <c r="D402" s="498">
        <v>538</v>
      </c>
      <c r="E402" s="499"/>
      <c r="F402" s="496"/>
      <c r="G402" s="496">
        <v>13140</v>
      </c>
      <c r="H402" s="500"/>
      <c r="I402" s="496">
        <v>11497.5</v>
      </c>
      <c r="J402" s="495" t="s">
        <v>3464</v>
      </c>
      <c r="K402" s="495" t="s">
        <v>909</v>
      </c>
      <c r="L402" s="495" t="s">
        <v>3116</v>
      </c>
      <c r="M402" s="495" t="s">
        <v>335</v>
      </c>
      <c r="N402" s="495"/>
      <c r="O402" s="495"/>
      <c r="P402" s="495"/>
      <c r="Q402" s="495"/>
      <c r="R402" s="501" t="s">
        <v>339</v>
      </c>
      <c r="S402" s="495"/>
      <c r="T402" s="482" t="str">
        <f>VLOOKUP(Таблица3[[#This Row],[№ акта]],$AJ$1:$BJ$691,15,FALSE)</f>
        <v>18 Агролидер</v>
      </c>
      <c r="U402" s="482" t="str">
        <f>VLOOKUP(Таблица3[[#This Row],[№ акта]],$AJ$1:$BJ$691,16,FALSE)</f>
        <v>Тристар</v>
      </c>
      <c r="V402" s="502">
        <f>VLOOKUP(Таблица3[[#This Row],[№ акта]],$AJ$1:$BJ$691,17,FALSE)</f>
        <v>2</v>
      </c>
      <c r="W402" s="502" t="str">
        <f>VLOOKUP(Таблица3[[#This Row],[№ акта]],$AJ$1:$BJ$691,18,FALSE)</f>
        <v>Агролидер (полив)</v>
      </c>
      <c r="X402" s="502" t="str">
        <f>VLOOKUP(Таблица3[[#This Row],[№ акта]],$AJ$1:$BJ$691,19,FALSE)</f>
        <v>полив</v>
      </c>
      <c r="Y402" s="503">
        <f>VLOOKUP(Таблица3[[#This Row],[№ акта]],$AJ$1:$BJ$691,20,FALSE)</f>
        <v>20</v>
      </c>
      <c r="Z402" s="504">
        <f>VLOOKUP(Таблица3[[#This Row],[№ акта]],$AJ$1:$BJ$691,21,FALSE)</f>
        <v>46196</v>
      </c>
      <c r="AA402" s="504"/>
      <c r="AB402" s="504" t="str">
        <f>IF(VLOOKUP(Таблица3[[#This Row],[№ акта]],$AJ$1:$BJ$691,23,FALSE)&lt;&gt;0,VLOOKUP(Таблица3[[#This Row],[№ акта]],$AJ$1:$BJ$691,23,FALSE),"-")</f>
        <v>-</v>
      </c>
      <c r="AC40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02" s="506" t="s">
        <v>2940</v>
      </c>
      <c r="AE402" s="505">
        <v>415</v>
      </c>
      <c r="AF402" s="507">
        <v>46196</v>
      </c>
      <c r="AG402" s="505">
        <v>43</v>
      </c>
      <c r="AH402" s="505">
        <f>IFERROR(VLOOKUP(Таблица3[[#This Row],[№ акта]],'Степень зрелости 2026'!$H$12:$I$800,2,FALSE),)</f>
        <v>60</v>
      </c>
      <c r="AJ402" s="508">
        <v>415</v>
      </c>
      <c r="AK402" s="509">
        <v>46196</v>
      </c>
      <c r="AL402" s="508">
        <v>538</v>
      </c>
      <c r="AO402" s="508">
        <v>13140</v>
      </c>
      <c r="AP402" s="508">
        <v>11497.5</v>
      </c>
      <c r="AQ402" s="508" t="s">
        <v>3464</v>
      </c>
      <c r="AR402" s="508" t="s">
        <v>909</v>
      </c>
      <c r="AS402" s="508" t="s">
        <v>3116</v>
      </c>
      <c r="AT402" s="508" t="s">
        <v>335</v>
      </c>
      <c r="AV402" s="508" t="s">
        <v>339</v>
      </c>
      <c r="AX402" s="508" t="s">
        <v>3116</v>
      </c>
      <c r="AY402" s="508" t="s">
        <v>909</v>
      </c>
      <c r="AZ402" s="508">
        <v>2</v>
      </c>
      <c r="BA402" s="508" t="s">
        <v>52</v>
      </c>
      <c r="BB402" s="508" t="s">
        <v>178</v>
      </c>
      <c r="BC402" s="508">
        <v>20</v>
      </c>
      <c r="BD402" s="509">
        <v>46196</v>
      </c>
      <c r="BG402" s="508" t="s">
        <v>724</v>
      </c>
      <c r="BH402" s="508" t="s">
        <v>2940</v>
      </c>
      <c r="BI402" s="508">
        <v>43</v>
      </c>
      <c r="BJ402" s="508">
        <v>60</v>
      </c>
    </row>
    <row r="403" spans="1:62" s="508" customFormat="1" ht="14.25" hidden="1" customHeight="1" x14ac:dyDescent="0.2">
      <c r="A403" s="495"/>
      <c r="B403" s="496"/>
      <c r="C403" s="497">
        <f>Таблица3[[#This Row],[Степень зрелости вспом]]</f>
        <v>63</v>
      </c>
      <c r="D403" s="498">
        <v>539</v>
      </c>
      <c r="E403" s="499"/>
      <c r="F403" s="496"/>
      <c r="G403" s="496">
        <v>13230</v>
      </c>
      <c r="H403" s="500"/>
      <c r="I403" s="496">
        <v>12105.5</v>
      </c>
      <c r="J403" s="495" t="s">
        <v>3464</v>
      </c>
      <c r="K403" s="495" t="s">
        <v>909</v>
      </c>
      <c r="L403" s="495" t="s">
        <v>3116</v>
      </c>
      <c r="M403" s="495" t="s">
        <v>3554</v>
      </c>
      <c r="N403" s="495"/>
      <c r="O403" s="495"/>
      <c r="P403" s="495"/>
      <c r="Q403" s="495"/>
      <c r="R403" s="501" t="s">
        <v>3555</v>
      </c>
      <c r="S403" s="495"/>
      <c r="T403" s="482" t="str">
        <f>VLOOKUP(Таблица3[[#This Row],[№ акта]],$AJ$1:$BJ$691,15,FALSE)</f>
        <v>18 Агролидер</v>
      </c>
      <c r="U403" s="482" t="str">
        <f>VLOOKUP(Таблица3[[#This Row],[№ акта]],$AJ$1:$BJ$691,16,FALSE)</f>
        <v>Тристар</v>
      </c>
      <c r="V403" s="502">
        <f>VLOOKUP(Таблица3[[#This Row],[№ акта]],$AJ$1:$BJ$691,17,FALSE)</f>
        <v>2</v>
      </c>
      <c r="W403" s="502" t="str">
        <f>VLOOKUP(Таблица3[[#This Row],[№ акта]],$AJ$1:$BJ$691,18,FALSE)</f>
        <v>Агролидер (полив)</v>
      </c>
      <c r="X403" s="502" t="str">
        <f>VLOOKUP(Таблица3[[#This Row],[№ акта]],$AJ$1:$BJ$691,19,FALSE)</f>
        <v>полив</v>
      </c>
      <c r="Y403" s="503">
        <f>VLOOKUP(Таблица3[[#This Row],[№ акта]],$AJ$1:$BJ$691,20,FALSE)</f>
        <v>20</v>
      </c>
      <c r="Z403" s="504">
        <f>VLOOKUP(Таблица3[[#This Row],[№ акта]],$AJ$1:$BJ$691,21,FALSE)</f>
        <v>46196</v>
      </c>
      <c r="AA403" s="504"/>
      <c r="AB403" s="504" t="str">
        <f>IF(VLOOKUP(Таблица3[[#This Row],[№ акта]],$AJ$1:$BJ$691,23,FALSE)&lt;&gt;0,VLOOKUP(Таблица3[[#This Row],[№ акта]],$AJ$1:$BJ$691,23,FALSE),"-")</f>
        <v>-</v>
      </c>
      <c r="AC40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03" s="506" t="s">
        <v>2940</v>
      </c>
      <c r="AE403" s="505">
        <v>416</v>
      </c>
      <c r="AF403" s="507">
        <v>46196</v>
      </c>
      <c r="AG403" s="505">
        <v>44</v>
      </c>
      <c r="AH403" s="505">
        <f>IFERROR(VLOOKUP(Таблица3[[#This Row],[№ акта]],'Степень зрелости 2026'!$H$12:$I$800,2,FALSE),)</f>
        <v>63</v>
      </c>
      <c r="AJ403" s="508">
        <v>416</v>
      </c>
      <c r="AK403" s="509">
        <v>46196</v>
      </c>
      <c r="AL403" s="508">
        <v>539</v>
      </c>
      <c r="AO403" s="508">
        <v>13230</v>
      </c>
      <c r="AP403" s="508">
        <v>12105.5</v>
      </c>
      <c r="AQ403" s="508" t="s">
        <v>3464</v>
      </c>
      <c r="AR403" s="508" t="s">
        <v>909</v>
      </c>
      <c r="AS403" s="508" t="s">
        <v>3116</v>
      </c>
      <c r="AT403" s="508" t="s">
        <v>3554</v>
      </c>
      <c r="AV403" s="508" t="s">
        <v>3555</v>
      </c>
      <c r="AX403" s="508" t="s">
        <v>3116</v>
      </c>
      <c r="AY403" s="508" t="s">
        <v>909</v>
      </c>
      <c r="AZ403" s="508">
        <v>2</v>
      </c>
      <c r="BA403" s="508" t="s">
        <v>52</v>
      </c>
      <c r="BB403" s="508" t="s">
        <v>178</v>
      </c>
      <c r="BC403" s="508">
        <v>20</v>
      </c>
      <c r="BD403" s="509">
        <v>46196</v>
      </c>
      <c r="BG403" s="508" t="s">
        <v>724</v>
      </c>
      <c r="BH403" s="508" t="s">
        <v>2940</v>
      </c>
      <c r="BI403" s="508">
        <v>44</v>
      </c>
      <c r="BJ403" s="508">
        <v>63</v>
      </c>
    </row>
    <row r="404" spans="1:62" s="508" customFormat="1" ht="14.25" hidden="1" customHeight="1" x14ac:dyDescent="0.2">
      <c r="A404" s="495"/>
      <c r="B404" s="496"/>
      <c r="C404" s="497">
        <f>Таблица3[[#This Row],[Степень зрелости вспом]]</f>
        <v>59</v>
      </c>
      <c r="D404" s="498">
        <v>540</v>
      </c>
      <c r="E404" s="499"/>
      <c r="F404" s="496"/>
      <c r="G404" s="496">
        <v>4570</v>
      </c>
      <c r="H404" s="500"/>
      <c r="I404" s="496">
        <v>3861.7</v>
      </c>
      <c r="J404" s="495" t="s">
        <v>3375</v>
      </c>
      <c r="K404" s="495" t="s">
        <v>1755</v>
      </c>
      <c r="L404" s="495" t="s">
        <v>864</v>
      </c>
      <c r="M404" s="495" t="s">
        <v>762</v>
      </c>
      <c r="N404" s="495"/>
      <c r="O404" s="495"/>
      <c r="P404" s="495"/>
      <c r="Q404" s="495"/>
      <c r="R404" s="501" t="s">
        <v>763</v>
      </c>
      <c r="S404" s="495"/>
      <c r="T404" s="482" t="str">
        <f>VLOOKUP(Таблица3[[#This Row],[№ акта]],$AJ$1:$BJ$691,15,FALSE)</f>
        <v>А-54</v>
      </c>
      <c r="U404" s="482" t="str">
        <f>VLOOKUP(Таблица3[[#This Row],[№ акта]],$AJ$1:$BJ$691,16,FALSE)</f>
        <v>Женева</v>
      </c>
      <c r="V404" s="502">
        <f>VLOOKUP(Таблица3[[#This Row],[№ акта]],$AJ$1:$BJ$691,17,FALSE)</f>
        <v>1</v>
      </c>
      <c r="W404" s="502" t="str">
        <f>VLOOKUP(Таблица3[[#This Row],[№ акта]],$AJ$1:$BJ$691,18,FALSE)</f>
        <v>ГРК (полив)</v>
      </c>
      <c r="X404" s="502" t="str">
        <f>VLOOKUP(Таблица3[[#This Row],[№ акта]],$AJ$1:$BJ$691,19,FALSE)</f>
        <v>полив</v>
      </c>
      <c r="Y404" s="503">
        <f>VLOOKUP(Таблица3[[#This Row],[№ акта]],$AJ$1:$BJ$691,20,FALSE)</f>
        <v>20</v>
      </c>
      <c r="Z404" s="504">
        <f>VLOOKUP(Таблица3[[#This Row],[№ акта]],$AJ$1:$BJ$691,21,FALSE)</f>
        <v>46196</v>
      </c>
      <c r="AA404" s="504"/>
      <c r="AB404" s="504" t="str">
        <f>IF(VLOOKUP(Таблица3[[#This Row],[№ акта]],$AJ$1:$BJ$691,23,FALSE)&lt;&gt;0,VLOOKUP(Таблица3[[#This Row],[№ акта]],$AJ$1:$BJ$691,23,FALSE),"-")</f>
        <v>-</v>
      </c>
      <c r="AC40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04" s="506" t="s">
        <v>2940</v>
      </c>
      <c r="AE404" s="505">
        <v>417</v>
      </c>
      <c r="AF404" s="507">
        <v>46196</v>
      </c>
      <c r="AG404" s="505">
        <v>336</v>
      </c>
      <c r="AH404" s="505">
        <f>IFERROR(VLOOKUP(Таблица3[[#This Row],[№ акта]],'Степень зрелости 2026'!$H$12:$I$800,2,FALSE),)</f>
        <v>59</v>
      </c>
      <c r="AJ404" s="508">
        <v>417</v>
      </c>
      <c r="AK404" s="509">
        <v>46196</v>
      </c>
      <c r="AL404" s="508">
        <v>540</v>
      </c>
      <c r="AO404" s="508">
        <v>4570</v>
      </c>
      <c r="AP404" s="508">
        <v>3861.7</v>
      </c>
      <c r="AQ404" s="508" t="s">
        <v>3375</v>
      </c>
      <c r="AR404" s="508" t="s">
        <v>1755</v>
      </c>
      <c r="AS404" s="508" t="s">
        <v>864</v>
      </c>
      <c r="AT404" s="508" t="s">
        <v>762</v>
      </c>
      <c r="AV404" s="508" t="s">
        <v>763</v>
      </c>
      <c r="AX404" s="508" t="s">
        <v>864</v>
      </c>
      <c r="AY404" s="508" t="s">
        <v>1755</v>
      </c>
      <c r="AZ404" s="508">
        <v>1</v>
      </c>
      <c r="BA404" s="508" t="s">
        <v>2932</v>
      </c>
      <c r="BB404" s="508" t="s">
        <v>178</v>
      </c>
      <c r="BC404" s="508">
        <v>20</v>
      </c>
      <c r="BD404" s="509">
        <v>46196</v>
      </c>
      <c r="BG404" s="508" t="s">
        <v>724</v>
      </c>
      <c r="BH404" s="508" t="s">
        <v>2940</v>
      </c>
      <c r="BI404" s="508">
        <v>336</v>
      </c>
      <c r="BJ404" s="508">
        <v>59</v>
      </c>
    </row>
    <row r="405" spans="1:62" s="508" customFormat="1" ht="14.25" hidden="1" customHeight="1" x14ac:dyDescent="0.2">
      <c r="A405" s="495"/>
      <c r="B405" s="496"/>
      <c r="C405" s="497">
        <f>Таблица3[[#This Row],[Степень зрелости вспом]]</f>
        <v>59</v>
      </c>
      <c r="D405" s="498">
        <v>541</v>
      </c>
      <c r="E405" s="499"/>
      <c r="F405" s="496"/>
      <c r="G405" s="496">
        <v>13480</v>
      </c>
      <c r="H405" s="500"/>
      <c r="I405" s="496">
        <v>12064.6</v>
      </c>
      <c r="J405" s="495" t="s">
        <v>3464</v>
      </c>
      <c r="K405" s="495" t="s">
        <v>1755</v>
      </c>
      <c r="L405" s="495" t="s">
        <v>3114</v>
      </c>
      <c r="M405" s="495" t="s">
        <v>1806</v>
      </c>
      <c r="N405" s="495"/>
      <c r="O405" s="495"/>
      <c r="P405" s="495"/>
      <c r="Q405" s="495"/>
      <c r="R405" s="501" t="s">
        <v>1807</v>
      </c>
      <c r="S405" s="495"/>
      <c r="T405" s="482" t="str">
        <f>VLOOKUP(Таблица3[[#This Row],[№ акта]],$AJ$1:$BJ$691,15,FALSE)</f>
        <v>12 Агролидер</v>
      </c>
      <c r="U405" s="482" t="str">
        <f>VLOOKUP(Таблица3[[#This Row],[№ акта]],$AJ$1:$BJ$691,16,FALSE)</f>
        <v>Женева</v>
      </c>
      <c r="V405" s="502">
        <f>VLOOKUP(Таблица3[[#This Row],[№ акта]],$AJ$1:$BJ$691,17,FALSE)</f>
        <v>2.8</v>
      </c>
      <c r="W405" s="502" t="str">
        <f>VLOOKUP(Таблица3[[#This Row],[№ акта]],$AJ$1:$BJ$691,18,FALSE)</f>
        <v>Агролидер (полив)</v>
      </c>
      <c r="X405" s="502" t="str">
        <f>VLOOKUP(Таблица3[[#This Row],[№ акта]],$AJ$1:$BJ$691,19,FALSE)</f>
        <v>полив</v>
      </c>
      <c r="Y405" s="503">
        <f>VLOOKUP(Таблица3[[#This Row],[№ акта]],$AJ$1:$BJ$691,20,FALSE)</f>
        <v>20</v>
      </c>
      <c r="Z405" s="504">
        <f>VLOOKUP(Таблица3[[#This Row],[№ акта]],$AJ$1:$BJ$691,21,FALSE)</f>
        <v>46196</v>
      </c>
      <c r="AA405" s="504"/>
      <c r="AB405" s="504" t="str">
        <f>IF(VLOOKUP(Таблица3[[#This Row],[№ акта]],$AJ$1:$BJ$691,23,FALSE)&lt;&gt;0,VLOOKUP(Таблица3[[#This Row],[№ акта]],$AJ$1:$BJ$691,23,FALSE),"-")</f>
        <v>-</v>
      </c>
      <c r="AC40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05" s="506" t="s">
        <v>2940</v>
      </c>
      <c r="AE405" s="505">
        <v>418</v>
      </c>
      <c r="AF405" s="507">
        <v>46196</v>
      </c>
      <c r="AG405" s="505">
        <v>45</v>
      </c>
      <c r="AH405" s="505">
        <f>IFERROR(VLOOKUP(Таблица3[[#This Row],[№ акта]],'Степень зрелости 2026'!$H$12:$I$800,2,FALSE),)</f>
        <v>59</v>
      </c>
      <c r="AJ405" s="508">
        <v>418</v>
      </c>
      <c r="AK405" s="509">
        <v>46196</v>
      </c>
      <c r="AL405" s="508">
        <v>541</v>
      </c>
      <c r="AO405" s="508">
        <v>13480</v>
      </c>
      <c r="AP405" s="508">
        <v>12064.6</v>
      </c>
      <c r="AQ405" s="508" t="s">
        <v>3464</v>
      </c>
      <c r="AR405" s="508" t="s">
        <v>1755</v>
      </c>
      <c r="AS405" s="508" t="s">
        <v>3114</v>
      </c>
      <c r="AT405" s="508" t="s">
        <v>1806</v>
      </c>
      <c r="AV405" s="508" t="s">
        <v>1807</v>
      </c>
      <c r="AX405" s="508" t="s">
        <v>3114</v>
      </c>
      <c r="AY405" s="508" t="s">
        <v>1755</v>
      </c>
      <c r="AZ405" s="508">
        <v>2.8</v>
      </c>
      <c r="BA405" s="508" t="s">
        <v>52</v>
      </c>
      <c r="BB405" s="508" t="s">
        <v>178</v>
      </c>
      <c r="BC405" s="508">
        <v>20</v>
      </c>
      <c r="BD405" s="509">
        <v>46196</v>
      </c>
      <c r="BG405" s="508" t="s">
        <v>724</v>
      </c>
      <c r="BH405" s="508" t="s">
        <v>2940</v>
      </c>
      <c r="BI405" s="508">
        <v>45</v>
      </c>
      <c r="BJ405" s="508">
        <v>59</v>
      </c>
    </row>
    <row r="406" spans="1:62" s="508" customFormat="1" ht="14.25" hidden="1" customHeight="1" x14ac:dyDescent="0.2">
      <c r="A406" s="495"/>
      <c r="B406" s="496"/>
      <c r="C406" s="497">
        <f>Таблица3[[#This Row],[Степень зрелости вспом]]</f>
        <v>61</v>
      </c>
      <c r="D406" s="498">
        <v>543</v>
      </c>
      <c r="E406" s="499"/>
      <c r="F406" s="496"/>
      <c r="G406" s="496">
        <v>9060</v>
      </c>
      <c r="H406" s="500"/>
      <c r="I406" s="496">
        <v>8108.7</v>
      </c>
      <c r="J406" s="495" t="s">
        <v>3375</v>
      </c>
      <c r="K406" s="495" t="s">
        <v>1755</v>
      </c>
      <c r="L406" s="495" t="s">
        <v>864</v>
      </c>
      <c r="M406" s="495" t="s">
        <v>127</v>
      </c>
      <c r="N406" s="495"/>
      <c r="O406" s="495"/>
      <c r="P406" s="495"/>
      <c r="Q406" s="495"/>
      <c r="R406" s="501" t="s">
        <v>131</v>
      </c>
      <c r="S406" s="495"/>
      <c r="T406" s="482" t="str">
        <f>VLOOKUP(Таблица3[[#This Row],[№ акта]],$AJ$1:$BJ$691,15,FALSE)</f>
        <v>А-54</v>
      </c>
      <c r="U406" s="482" t="str">
        <f>VLOOKUP(Таблица3[[#This Row],[№ акта]],$AJ$1:$BJ$691,16,FALSE)</f>
        <v>Женева</v>
      </c>
      <c r="V406" s="502">
        <f>VLOOKUP(Таблица3[[#This Row],[№ акта]],$AJ$1:$BJ$691,17,FALSE)</f>
        <v>1.9</v>
      </c>
      <c r="W406" s="502" t="str">
        <f>VLOOKUP(Таблица3[[#This Row],[№ акта]],$AJ$1:$BJ$691,18,FALSE)</f>
        <v>ГРК (полив)</v>
      </c>
      <c r="X406" s="502" t="str">
        <f>VLOOKUP(Таблица3[[#This Row],[№ акта]],$AJ$1:$BJ$691,19,FALSE)</f>
        <v>полив</v>
      </c>
      <c r="Y406" s="503">
        <f>VLOOKUP(Таблица3[[#This Row],[№ акта]],$AJ$1:$BJ$691,20,FALSE)</f>
        <v>20</v>
      </c>
      <c r="Z406" s="504">
        <f>VLOOKUP(Таблица3[[#This Row],[№ акта]],$AJ$1:$BJ$691,21,FALSE)</f>
        <v>46196</v>
      </c>
      <c r="AA406" s="504"/>
      <c r="AB406" s="504" t="str">
        <f>IF(VLOOKUP(Таблица3[[#This Row],[№ акта]],$AJ$1:$BJ$691,23,FALSE)&lt;&gt;0,VLOOKUP(Таблица3[[#This Row],[№ акта]],$AJ$1:$BJ$691,23,FALSE),"-")</f>
        <v>-</v>
      </c>
      <c r="AC40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06" s="506" t="s">
        <v>2940</v>
      </c>
      <c r="AE406" s="505">
        <v>419</v>
      </c>
      <c r="AF406" s="507">
        <v>46196</v>
      </c>
      <c r="AG406" s="505">
        <v>337</v>
      </c>
      <c r="AH406" s="505">
        <f>IFERROR(VLOOKUP(Таблица3[[#This Row],[№ акта]],'Степень зрелости 2026'!$H$12:$I$800,2,FALSE),)</f>
        <v>61</v>
      </c>
      <c r="AJ406" s="508">
        <v>419</v>
      </c>
      <c r="AK406" s="509">
        <v>46196</v>
      </c>
      <c r="AL406" s="508">
        <v>543</v>
      </c>
      <c r="AO406" s="508">
        <v>9060</v>
      </c>
      <c r="AP406" s="508">
        <v>8108.7</v>
      </c>
      <c r="AQ406" s="508" t="s">
        <v>3375</v>
      </c>
      <c r="AR406" s="508" t="s">
        <v>1755</v>
      </c>
      <c r="AS406" s="508" t="s">
        <v>864</v>
      </c>
      <c r="AT406" s="508" t="s">
        <v>127</v>
      </c>
      <c r="AV406" s="508" t="s">
        <v>131</v>
      </c>
      <c r="AX406" s="508" t="s">
        <v>864</v>
      </c>
      <c r="AY406" s="508" t="s">
        <v>1755</v>
      </c>
      <c r="AZ406" s="508">
        <v>1.9</v>
      </c>
      <c r="BA406" s="508" t="s">
        <v>2932</v>
      </c>
      <c r="BB406" s="508" t="s">
        <v>178</v>
      </c>
      <c r="BC406" s="508">
        <v>20</v>
      </c>
      <c r="BD406" s="509">
        <v>46196</v>
      </c>
      <c r="BG406" s="508" t="s">
        <v>724</v>
      </c>
      <c r="BH406" s="508" t="s">
        <v>2940</v>
      </c>
      <c r="BI406" s="508">
        <v>337</v>
      </c>
      <c r="BJ406" s="508">
        <v>61</v>
      </c>
    </row>
    <row r="407" spans="1:62" s="508" customFormat="1" ht="14.25" hidden="1" customHeight="1" x14ac:dyDescent="0.2">
      <c r="A407" s="495"/>
      <c r="B407" s="496"/>
      <c r="C407" s="497">
        <f>Таблица3[[#This Row],[Степень зрелости вспом]]</f>
        <v>58</v>
      </c>
      <c r="D407" s="498">
        <v>544</v>
      </c>
      <c r="E407" s="499"/>
      <c r="F407" s="496"/>
      <c r="G407" s="496">
        <v>13390</v>
      </c>
      <c r="H407" s="500"/>
      <c r="I407" s="496">
        <v>11716.2</v>
      </c>
      <c r="J407" s="495" t="s">
        <v>3464</v>
      </c>
      <c r="K407" s="495" t="s">
        <v>1755</v>
      </c>
      <c r="L407" s="495" t="s">
        <v>3114</v>
      </c>
      <c r="M407" s="495" t="s">
        <v>3377</v>
      </c>
      <c r="N407" s="495"/>
      <c r="O407" s="495"/>
      <c r="P407" s="495"/>
      <c r="Q407" s="495"/>
      <c r="R407" s="501" t="s">
        <v>3196</v>
      </c>
      <c r="S407" s="495"/>
      <c r="T407" s="482" t="str">
        <f>VLOOKUP(Таблица3[[#This Row],[№ акта]],$AJ$1:$BJ$691,15,FALSE)</f>
        <v>12 Агролидер</v>
      </c>
      <c r="U407" s="482" t="str">
        <f>VLOOKUP(Таблица3[[#This Row],[№ акта]],$AJ$1:$BJ$691,16,FALSE)</f>
        <v>Женева</v>
      </c>
      <c r="V407" s="502">
        <f>VLOOKUP(Таблица3[[#This Row],[№ акта]],$AJ$1:$BJ$691,17,FALSE)</f>
        <v>2.8</v>
      </c>
      <c r="W407" s="502" t="str">
        <f>VLOOKUP(Таблица3[[#This Row],[№ акта]],$AJ$1:$BJ$691,18,FALSE)</f>
        <v>Агролидер (полив)</v>
      </c>
      <c r="X407" s="502" t="str">
        <f>VLOOKUP(Таблица3[[#This Row],[№ акта]],$AJ$1:$BJ$691,19,FALSE)</f>
        <v>полив</v>
      </c>
      <c r="Y407" s="503">
        <f>VLOOKUP(Таблица3[[#This Row],[№ акта]],$AJ$1:$BJ$691,20,FALSE)</f>
        <v>20</v>
      </c>
      <c r="Z407" s="504">
        <f>VLOOKUP(Таблица3[[#This Row],[№ акта]],$AJ$1:$BJ$691,21,FALSE)</f>
        <v>46196</v>
      </c>
      <c r="AA407" s="504"/>
      <c r="AB407" s="504" t="str">
        <f>IF(VLOOKUP(Таблица3[[#This Row],[№ акта]],$AJ$1:$BJ$691,23,FALSE)&lt;&gt;0,VLOOKUP(Таблица3[[#This Row],[№ акта]],$AJ$1:$BJ$691,23,FALSE),"-")</f>
        <v>-</v>
      </c>
      <c r="AC40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07" s="506" t="s">
        <v>2940</v>
      </c>
      <c r="AE407" s="505">
        <v>421</v>
      </c>
      <c r="AF407" s="507">
        <v>46196</v>
      </c>
      <c r="AG407" s="505">
        <v>46</v>
      </c>
      <c r="AH407" s="505">
        <f>IFERROR(VLOOKUP(Таблица3[[#This Row],[№ акта]],'Степень зрелости 2026'!$H$12:$I$800,2,FALSE),)</f>
        <v>58</v>
      </c>
      <c r="AJ407" s="508">
        <v>421</v>
      </c>
      <c r="AK407" s="509">
        <v>46196</v>
      </c>
      <c r="AL407" s="508">
        <v>544</v>
      </c>
      <c r="AO407" s="508">
        <v>13390</v>
      </c>
      <c r="AP407" s="508">
        <v>11716.2</v>
      </c>
      <c r="AQ407" s="508" t="s">
        <v>3464</v>
      </c>
      <c r="AR407" s="508" t="s">
        <v>1755</v>
      </c>
      <c r="AS407" s="508" t="s">
        <v>3114</v>
      </c>
      <c r="AT407" s="508" t="s">
        <v>3377</v>
      </c>
      <c r="AV407" s="508" t="s">
        <v>3196</v>
      </c>
      <c r="AX407" s="508" t="s">
        <v>3114</v>
      </c>
      <c r="AY407" s="508" t="s">
        <v>1755</v>
      </c>
      <c r="AZ407" s="508">
        <v>2.8</v>
      </c>
      <c r="BA407" s="508" t="s">
        <v>52</v>
      </c>
      <c r="BB407" s="508" t="s">
        <v>178</v>
      </c>
      <c r="BC407" s="508">
        <v>20</v>
      </c>
      <c r="BD407" s="509">
        <v>46196</v>
      </c>
      <c r="BG407" s="508" t="s">
        <v>724</v>
      </c>
      <c r="BH407" s="508" t="s">
        <v>2940</v>
      </c>
      <c r="BI407" s="508">
        <v>46</v>
      </c>
      <c r="BJ407" s="508">
        <v>58</v>
      </c>
    </row>
    <row r="408" spans="1:62" s="508" customFormat="1" ht="14.25" hidden="1" customHeight="1" x14ac:dyDescent="0.2">
      <c r="A408" s="495"/>
      <c r="B408" s="496"/>
      <c r="C408" s="497">
        <f>Таблица3[[#This Row],[Степень зрелости вспом]]</f>
        <v>60</v>
      </c>
      <c r="D408" s="498">
        <v>545</v>
      </c>
      <c r="E408" s="499"/>
      <c r="F408" s="496"/>
      <c r="G408" s="496">
        <v>4530</v>
      </c>
      <c r="H408" s="500"/>
      <c r="I408" s="496">
        <v>4054.4</v>
      </c>
      <c r="J408" s="495" t="s">
        <v>3375</v>
      </c>
      <c r="K408" s="495" t="s">
        <v>1755</v>
      </c>
      <c r="L408" s="495" t="s">
        <v>864</v>
      </c>
      <c r="M408" s="495" t="s">
        <v>762</v>
      </c>
      <c r="N408" s="495"/>
      <c r="O408" s="495"/>
      <c r="P408" s="495"/>
      <c r="Q408" s="495"/>
      <c r="R408" s="501" t="s">
        <v>763</v>
      </c>
      <c r="S408" s="495"/>
      <c r="T408" s="482" t="str">
        <f>VLOOKUP(Таблица3[[#This Row],[№ акта]],$AJ$1:$BJ$691,15,FALSE)</f>
        <v>А-54</v>
      </c>
      <c r="U408" s="482" t="str">
        <f>VLOOKUP(Таблица3[[#This Row],[№ акта]],$AJ$1:$BJ$691,16,FALSE)</f>
        <v>Женева</v>
      </c>
      <c r="V408" s="502">
        <f>VLOOKUP(Таблица3[[#This Row],[№ акта]],$AJ$1:$BJ$691,17,FALSE)</f>
        <v>1</v>
      </c>
      <c r="W408" s="502" t="str">
        <f>VLOOKUP(Таблица3[[#This Row],[№ акта]],$AJ$1:$BJ$691,18,FALSE)</f>
        <v>ГРК (полив)</v>
      </c>
      <c r="X408" s="502" t="str">
        <f>VLOOKUP(Таблица3[[#This Row],[№ акта]],$AJ$1:$BJ$691,19,FALSE)</f>
        <v>полив</v>
      </c>
      <c r="Y408" s="503">
        <f>VLOOKUP(Таблица3[[#This Row],[№ акта]],$AJ$1:$BJ$691,20,FALSE)</f>
        <v>20</v>
      </c>
      <c r="Z408" s="504">
        <f>VLOOKUP(Таблица3[[#This Row],[№ акта]],$AJ$1:$BJ$691,21,FALSE)</f>
        <v>46196</v>
      </c>
      <c r="AA408" s="504"/>
      <c r="AB408" s="504" t="str">
        <f>IF(VLOOKUP(Таблица3[[#This Row],[№ акта]],$AJ$1:$BJ$691,23,FALSE)&lt;&gt;0,VLOOKUP(Таблица3[[#This Row],[№ акта]],$AJ$1:$BJ$691,23,FALSE),"-")</f>
        <v>-</v>
      </c>
      <c r="AC40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08" s="506" t="s">
        <v>2940</v>
      </c>
      <c r="AE408" s="505">
        <v>420</v>
      </c>
      <c r="AF408" s="507">
        <v>46196</v>
      </c>
      <c r="AG408" s="505">
        <v>338</v>
      </c>
      <c r="AH408" s="505">
        <f>IFERROR(VLOOKUP(Таблица3[[#This Row],[№ акта]],'Степень зрелости 2026'!$H$12:$I$800,2,FALSE),)</f>
        <v>60</v>
      </c>
      <c r="AJ408" s="508">
        <v>420</v>
      </c>
      <c r="AK408" s="509">
        <v>46196</v>
      </c>
      <c r="AL408" s="508">
        <v>545</v>
      </c>
      <c r="AO408" s="508">
        <v>4530</v>
      </c>
      <c r="AP408" s="508">
        <v>4054.4</v>
      </c>
      <c r="AQ408" s="508" t="s">
        <v>3375</v>
      </c>
      <c r="AR408" s="508" t="s">
        <v>1755</v>
      </c>
      <c r="AS408" s="508" t="s">
        <v>864</v>
      </c>
      <c r="AT408" s="508" t="s">
        <v>762</v>
      </c>
      <c r="AV408" s="508" t="s">
        <v>763</v>
      </c>
      <c r="AX408" s="508" t="s">
        <v>864</v>
      </c>
      <c r="AY408" s="508" t="s">
        <v>1755</v>
      </c>
      <c r="AZ408" s="508">
        <v>1</v>
      </c>
      <c r="BA408" s="508" t="s">
        <v>2932</v>
      </c>
      <c r="BB408" s="508" t="s">
        <v>178</v>
      </c>
      <c r="BC408" s="508">
        <v>20</v>
      </c>
      <c r="BD408" s="509">
        <v>46196</v>
      </c>
      <c r="BG408" s="508" t="s">
        <v>724</v>
      </c>
      <c r="BH408" s="508" t="s">
        <v>2940</v>
      </c>
      <c r="BI408" s="508">
        <v>338</v>
      </c>
      <c r="BJ408" s="508">
        <v>60</v>
      </c>
    </row>
    <row r="409" spans="1:62" s="508" customFormat="1" ht="14.25" hidden="1" customHeight="1" x14ac:dyDescent="0.2">
      <c r="A409" s="495"/>
      <c r="B409" s="496"/>
      <c r="C409" s="497">
        <f>Таблица3[[#This Row],[Степень зрелости вспом]]</f>
        <v>57</v>
      </c>
      <c r="D409" s="498">
        <v>546</v>
      </c>
      <c r="E409" s="499"/>
      <c r="F409" s="496"/>
      <c r="G409" s="496">
        <v>8970</v>
      </c>
      <c r="H409" s="500"/>
      <c r="I409" s="496">
        <v>7490</v>
      </c>
      <c r="J409" s="495" t="s">
        <v>3375</v>
      </c>
      <c r="K409" s="495" t="s">
        <v>1755</v>
      </c>
      <c r="L409" s="495" t="s">
        <v>864</v>
      </c>
      <c r="M409" s="495" t="s">
        <v>127</v>
      </c>
      <c r="N409" s="495"/>
      <c r="O409" s="495"/>
      <c r="P409" s="495"/>
      <c r="Q409" s="495"/>
      <c r="R409" s="501" t="s">
        <v>131</v>
      </c>
      <c r="S409" s="495"/>
      <c r="T409" s="482" t="str">
        <f>VLOOKUP(Таблица3[[#This Row],[№ акта]],$AJ$1:$BJ$691,15,FALSE)</f>
        <v>А-54</v>
      </c>
      <c r="U409" s="482" t="str">
        <f>VLOOKUP(Таблица3[[#This Row],[№ акта]],$AJ$1:$BJ$691,16,FALSE)</f>
        <v>Женева</v>
      </c>
      <c r="V409" s="502">
        <f>VLOOKUP(Таблица3[[#This Row],[№ акта]],$AJ$1:$BJ$691,17,FALSE)</f>
        <v>1.9</v>
      </c>
      <c r="W409" s="502" t="str">
        <f>VLOOKUP(Таблица3[[#This Row],[№ акта]],$AJ$1:$BJ$691,18,FALSE)</f>
        <v>ГРК (полив)</v>
      </c>
      <c r="X409" s="502" t="str">
        <f>VLOOKUP(Таблица3[[#This Row],[№ акта]],$AJ$1:$BJ$691,19,FALSE)</f>
        <v>полив</v>
      </c>
      <c r="Y409" s="503">
        <f>VLOOKUP(Таблица3[[#This Row],[№ акта]],$AJ$1:$BJ$691,20,FALSE)</f>
        <v>20</v>
      </c>
      <c r="Z409" s="504">
        <f>VLOOKUP(Таблица3[[#This Row],[№ акта]],$AJ$1:$BJ$691,21,FALSE)</f>
        <v>46196</v>
      </c>
      <c r="AA409" s="504"/>
      <c r="AB409" s="504" t="str">
        <f>IF(VLOOKUP(Таблица3[[#This Row],[№ акта]],$AJ$1:$BJ$691,23,FALSE)&lt;&gt;0,VLOOKUP(Таблица3[[#This Row],[№ акта]],$AJ$1:$BJ$691,23,FALSE),"-")</f>
        <v>-</v>
      </c>
      <c r="AC40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09" s="506" t="s">
        <v>2940</v>
      </c>
      <c r="AE409" s="505">
        <v>422</v>
      </c>
      <c r="AF409" s="507">
        <v>46196</v>
      </c>
      <c r="AG409" s="505">
        <v>339</v>
      </c>
      <c r="AH409" s="505">
        <f>IFERROR(VLOOKUP(Таблица3[[#This Row],[№ акта]],'Степень зрелости 2026'!$H$12:$I$800,2,FALSE),)</f>
        <v>57</v>
      </c>
      <c r="AJ409" s="508">
        <v>422</v>
      </c>
      <c r="AK409" s="509">
        <v>46196</v>
      </c>
      <c r="AL409" s="508">
        <v>546</v>
      </c>
      <c r="AO409" s="508">
        <v>8970</v>
      </c>
      <c r="AP409" s="508">
        <v>7490</v>
      </c>
      <c r="AQ409" s="508" t="s">
        <v>3375</v>
      </c>
      <c r="AR409" s="508" t="s">
        <v>1755</v>
      </c>
      <c r="AS409" s="508" t="s">
        <v>864</v>
      </c>
      <c r="AT409" s="508" t="s">
        <v>127</v>
      </c>
      <c r="AV409" s="508" t="s">
        <v>131</v>
      </c>
      <c r="AX409" s="508" t="s">
        <v>864</v>
      </c>
      <c r="AY409" s="508" t="s">
        <v>1755</v>
      </c>
      <c r="AZ409" s="508">
        <v>1.9</v>
      </c>
      <c r="BA409" s="508" t="s">
        <v>2932</v>
      </c>
      <c r="BB409" s="508" t="s">
        <v>178</v>
      </c>
      <c r="BC409" s="508">
        <v>20</v>
      </c>
      <c r="BD409" s="509">
        <v>46196</v>
      </c>
      <c r="BG409" s="508" t="s">
        <v>724</v>
      </c>
      <c r="BH409" s="508" t="s">
        <v>2940</v>
      </c>
      <c r="BI409" s="508">
        <v>339</v>
      </c>
      <c r="BJ409" s="508">
        <v>57</v>
      </c>
    </row>
    <row r="410" spans="1:62" s="508" customFormat="1" ht="14.25" hidden="1" customHeight="1" x14ac:dyDescent="0.2">
      <c r="A410" s="495"/>
      <c r="B410" s="496"/>
      <c r="C410" s="497">
        <f>Таблица3[[#This Row],[Степень зрелости вспом]]</f>
        <v>60</v>
      </c>
      <c r="D410" s="498">
        <v>547</v>
      </c>
      <c r="E410" s="499"/>
      <c r="F410" s="496"/>
      <c r="G410" s="496">
        <v>16590</v>
      </c>
      <c r="H410" s="500"/>
      <c r="I410" s="496">
        <v>14682.1</v>
      </c>
      <c r="J410" s="495" t="s">
        <v>3464</v>
      </c>
      <c r="K410" s="495" t="s">
        <v>1755</v>
      </c>
      <c r="L410" s="495" t="s">
        <v>3114</v>
      </c>
      <c r="M410" s="495" t="s">
        <v>121</v>
      </c>
      <c r="N410" s="495"/>
      <c r="O410" s="495"/>
      <c r="P410" s="495"/>
      <c r="Q410" s="495"/>
      <c r="R410" s="501" t="s">
        <v>125</v>
      </c>
      <c r="S410" s="495"/>
      <c r="T410" s="482" t="str">
        <f>VLOOKUP(Таблица3[[#This Row],[№ акта]],$AJ$1:$BJ$691,15,FALSE)</f>
        <v>12 Агролидер</v>
      </c>
      <c r="U410" s="482" t="str">
        <f>VLOOKUP(Таблица3[[#This Row],[№ акта]],$AJ$1:$BJ$691,16,FALSE)</f>
        <v>Женева</v>
      </c>
      <c r="V410" s="502">
        <f>VLOOKUP(Таблица3[[#This Row],[№ акта]],$AJ$1:$BJ$691,17,FALSE)</f>
        <v>3.4</v>
      </c>
      <c r="W410" s="502" t="str">
        <f>VLOOKUP(Таблица3[[#This Row],[№ акта]],$AJ$1:$BJ$691,18,FALSE)</f>
        <v>Агролидер (полив)</v>
      </c>
      <c r="X410" s="502" t="str">
        <f>VLOOKUP(Таблица3[[#This Row],[№ акта]],$AJ$1:$BJ$691,19,FALSE)</f>
        <v>полив</v>
      </c>
      <c r="Y410" s="503">
        <f>VLOOKUP(Таблица3[[#This Row],[№ акта]],$AJ$1:$BJ$691,20,FALSE)</f>
        <v>20</v>
      </c>
      <c r="Z410" s="504">
        <f>VLOOKUP(Таблица3[[#This Row],[№ акта]],$AJ$1:$BJ$691,21,FALSE)</f>
        <v>46196</v>
      </c>
      <c r="AA410" s="504"/>
      <c r="AB410" s="504" t="str">
        <f>IF(VLOOKUP(Таблица3[[#This Row],[№ акта]],$AJ$1:$BJ$691,23,FALSE)&lt;&gt;0,VLOOKUP(Таблица3[[#This Row],[№ акта]],$AJ$1:$BJ$691,23,FALSE),"-")</f>
        <v>-</v>
      </c>
      <c r="AC41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10" s="506" t="s">
        <v>2940</v>
      </c>
      <c r="AE410" s="505">
        <v>423</v>
      </c>
      <c r="AF410" s="507">
        <v>46196</v>
      </c>
      <c r="AG410" s="505">
        <v>47</v>
      </c>
      <c r="AH410" s="505">
        <f>IFERROR(VLOOKUP(Таблица3[[#This Row],[№ акта]],'Степень зрелости 2026'!$H$12:$I$800,2,FALSE),)</f>
        <v>60</v>
      </c>
      <c r="AJ410" s="508">
        <v>423</v>
      </c>
      <c r="AK410" s="509">
        <v>46196</v>
      </c>
      <c r="AL410" s="508">
        <v>547</v>
      </c>
      <c r="AO410" s="508">
        <v>16590</v>
      </c>
      <c r="AP410" s="508">
        <v>14682.1</v>
      </c>
      <c r="AQ410" s="508" t="s">
        <v>3464</v>
      </c>
      <c r="AR410" s="508" t="s">
        <v>1755</v>
      </c>
      <c r="AS410" s="508" t="s">
        <v>3114</v>
      </c>
      <c r="AT410" s="508" t="s">
        <v>121</v>
      </c>
      <c r="AV410" s="508" t="s">
        <v>125</v>
      </c>
      <c r="AX410" s="508" t="s">
        <v>3114</v>
      </c>
      <c r="AY410" s="508" t="s">
        <v>1755</v>
      </c>
      <c r="AZ410" s="508">
        <v>3.4</v>
      </c>
      <c r="BA410" s="508" t="s">
        <v>52</v>
      </c>
      <c r="BB410" s="508" t="s">
        <v>178</v>
      </c>
      <c r="BC410" s="508">
        <v>20</v>
      </c>
      <c r="BD410" s="509">
        <v>46196</v>
      </c>
      <c r="BG410" s="508" t="s">
        <v>724</v>
      </c>
      <c r="BH410" s="508" t="s">
        <v>2940</v>
      </c>
      <c r="BI410" s="508">
        <v>47</v>
      </c>
      <c r="BJ410" s="508">
        <v>60</v>
      </c>
    </row>
    <row r="411" spans="1:62" s="508" customFormat="1" ht="14.25" hidden="1" customHeight="1" x14ac:dyDescent="0.2">
      <c r="A411" s="495"/>
      <c r="B411" s="496"/>
      <c r="C411" s="497">
        <f>Таблица3[[#This Row],[Степень зрелости вспом]]</f>
        <v>56</v>
      </c>
      <c r="D411" s="498">
        <v>548</v>
      </c>
      <c r="E411" s="499"/>
      <c r="F411" s="496"/>
      <c r="G411" s="496">
        <v>4510</v>
      </c>
      <c r="H411" s="500"/>
      <c r="I411" s="496">
        <v>3946.2</v>
      </c>
      <c r="J411" s="495" t="s">
        <v>3375</v>
      </c>
      <c r="K411" s="495" t="s">
        <v>1755</v>
      </c>
      <c r="L411" s="495" t="s">
        <v>864</v>
      </c>
      <c r="M411" s="495" t="s">
        <v>762</v>
      </c>
      <c r="N411" s="495"/>
      <c r="O411" s="495"/>
      <c r="P411" s="495"/>
      <c r="Q411" s="495"/>
      <c r="R411" s="501" t="s">
        <v>763</v>
      </c>
      <c r="S411" s="495"/>
      <c r="T411" s="482" t="str">
        <f>VLOOKUP(Таблица3[[#This Row],[№ акта]],$AJ$1:$BJ$691,15,FALSE)</f>
        <v>А-54</v>
      </c>
      <c r="U411" s="482" t="str">
        <f>VLOOKUP(Таблица3[[#This Row],[№ акта]],$AJ$1:$BJ$691,16,FALSE)</f>
        <v>Женева</v>
      </c>
      <c r="V411" s="502">
        <f>VLOOKUP(Таблица3[[#This Row],[№ акта]],$AJ$1:$BJ$691,17,FALSE)</f>
        <v>1</v>
      </c>
      <c r="W411" s="502" t="str">
        <f>VLOOKUP(Таблица3[[#This Row],[№ акта]],$AJ$1:$BJ$691,18,FALSE)</f>
        <v>ГРК (полив)</v>
      </c>
      <c r="X411" s="502" t="str">
        <f>VLOOKUP(Таблица3[[#This Row],[№ акта]],$AJ$1:$BJ$691,19,FALSE)</f>
        <v>полив</v>
      </c>
      <c r="Y411" s="503">
        <f>VLOOKUP(Таблица3[[#This Row],[№ акта]],$AJ$1:$BJ$691,20,FALSE)</f>
        <v>20</v>
      </c>
      <c r="Z411" s="504">
        <f>VLOOKUP(Таблица3[[#This Row],[№ акта]],$AJ$1:$BJ$691,21,FALSE)</f>
        <v>46196</v>
      </c>
      <c r="AA411" s="504"/>
      <c r="AB411" s="504" t="str">
        <f>IF(VLOOKUP(Таблица3[[#This Row],[№ акта]],$AJ$1:$BJ$691,23,FALSE)&lt;&gt;0,VLOOKUP(Таблица3[[#This Row],[№ акта]],$AJ$1:$BJ$691,23,FALSE),"-")</f>
        <v>-</v>
      </c>
      <c r="AC41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11" s="506" t="s">
        <v>2940</v>
      </c>
      <c r="AE411" s="505">
        <v>424</v>
      </c>
      <c r="AF411" s="507">
        <v>46197</v>
      </c>
      <c r="AG411" s="505">
        <v>340</v>
      </c>
      <c r="AH411" s="505">
        <f>IFERROR(VLOOKUP(Таблица3[[#This Row],[№ акта]],'Степень зрелости 2026'!$H$12:$I$800,2,FALSE),)</f>
        <v>56</v>
      </c>
      <c r="AJ411" s="508">
        <v>424</v>
      </c>
      <c r="AK411" s="509">
        <v>46197</v>
      </c>
      <c r="AL411" s="508">
        <v>548</v>
      </c>
      <c r="AO411" s="508">
        <v>4510</v>
      </c>
      <c r="AP411" s="508">
        <v>3946.2</v>
      </c>
      <c r="AQ411" s="508" t="s">
        <v>3375</v>
      </c>
      <c r="AR411" s="508" t="s">
        <v>1755</v>
      </c>
      <c r="AS411" s="508" t="s">
        <v>864</v>
      </c>
      <c r="AT411" s="508" t="s">
        <v>762</v>
      </c>
      <c r="AV411" s="508" t="s">
        <v>763</v>
      </c>
      <c r="AX411" s="508" t="s">
        <v>864</v>
      </c>
      <c r="AY411" s="508" t="s">
        <v>1755</v>
      </c>
      <c r="AZ411" s="508">
        <v>1</v>
      </c>
      <c r="BA411" s="508" t="s">
        <v>2932</v>
      </c>
      <c r="BB411" s="508" t="s">
        <v>178</v>
      </c>
      <c r="BC411" s="508">
        <v>20</v>
      </c>
      <c r="BD411" s="509">
        <v>46196</v>
      </c>
      <c r="BG411" s="508" t="s">
        <v>724</v>
      </c>
      <c r="BH411" s="508" t="s">
        <v>2940</v>
      </c>
      <c r="BI411" s="508">
        <v>340</v>
      </c>
      <c r="BJ411" s="508">
        <v>56</v>
      </c>
    </row>
    <row r="412" spans="1:62" s="508" customFormat="1" ht="14.25" hidden="1" customHeight="1" x14ac:dyDescent="0.2">
      <c r="A412" s="495"/>
      <c r="B412" s="496"/>
      <c r="C412" s="497">
        <f>Таблица3[[#This Row],[Степень зрелости вспом]]</f>
        <v>62</v>
      </c>
      <c r="D412" s="498">
        <v>549</v>
      </c>
      <c r="E412" s="499"/>
      <c r="F412" s="496"/>
      <c r="G412" s="496">
        <v>13080</v>
      </c>
      <c r="H412" s="500"/>
      <c r="I412" s="496">
        <v>11706.6</v>
      </c>
      <c r="J412" s="495" t="s">
        <v>3464</v>
      </c>
      <c r="K412" s="495" t="s">
        <v>1755</v>
      </c>
      <c r="L412" s="495" t="s">
        <v>3114</v>
      </c>
      <c r="M412" s="495" t="s">
        <v>1461</v>
      </c>
      <c r="N412" s="495"/>
      <c r="O412" s="495"/>
      <c r="P412" s="495"/>
      <c r="Q412" s="495"/>
      <c r="R412" s="501" t="s">
        <v>149</v>
      </c>
      <c r="S412" s="495"/>
      <c r="T412" s="482" t="str">
        <f>VLOOKUP(Таблица3[[#This Row],[№ акта]],$AJ$1:$BJ$691,15,FALSE)</f>
        <v>12 Агролидер</v>
      </c>
      <c r="U412" s="482" t="str">
        <f>VLOOKUP(Таблица3[[#This Row],[№ акта]],$AJ$1:$BJ$691,16,FALSE)</f>
        <v>Женева</v>
      </c>
      <c r="V412" s="502">
        <f>VLOOKUP(Таблица3[[#This Row],[№ акта]],$AJ$1:$BJ$691,17,FALSE)</f>
        <v>2.7</v>
      </c>
      <c r="W412" s="502" t="str">
        <f>VLOOKUP(Таблица3[[#This Row],[№ акта]],$AJ$1:$BJ$691,18,FALSE)</f>
        <v>Агролидер (полив)</v>
      </c>
      <c r="X412" s="502" t="str">
        <f>VLOOKUP(Таблица3[[#This Row],[№ акта]],$AJ$1:$BJ$691,19,FALSE)</f>
        <v>полив</v>
      </c>
      <c r="Y412" s="503">
        <f>VLOOKUP(Таблица3[[#This Row],[№ акта]],$AJ$1:$BJ$691,20,FALSE)</f>
        <v>20</v>
      </c>
      <c r="Z412" s="504">
        <f>VLOOKUP(Таблица3[[#This Row],[№ акта]],$AJ$1:$BJ$691,21,FALSE)</f>
        <v>46196</v>
      </c>
      <c r="AA412" s="504"/>
      <c r="AB412" s="504" t="str">
        <f>IF(VLOOKUP(Таблица3[[#This Row],[№ акта]],$AJ$1:$BJ$691,23,FALSE)&lt;&gt;0,VLOOKUP(Таблица3[[#This Row],[№ акта]],$AJ$1:$BJ$691,23,FALSE),"-")</f>
        <v>-</v>
      </c>
      <c r="AC41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12" s="506" t="s">
        <v>2940</v>
      </c>
      <c r="AE412" s="505">
        <v>425</v>
      </c>
      <c r="AF412" s="507">
        <v>46197</v>
      </c>
      <c r="AG412" s="505">
        <v>48</v>
      </c>
      <c r="AH412" s="505">
        <f>IFERROR(VLOOKUP(Таблица3[[#This Row],[№ акта]],'Степень зрелости 2026'!$H$12:$I$800,2,FALSE),)</f>
        <v>62</v>
      </c>
      <c r="AJ412" s="508">
        <v>425</v>
      </c>
      <c r="AK412" s="509">
        <v>46197</v>
      </c>
      <c r="AL412" s="508">
        <v>549</v>
      </c>
      <c r="AO412" s="508">
        <v>13080</v>
      </c>
      <c r="AP412" s="508">
        <v>11706.6</v>
      </c>
      <c r="AQ412" s="508" t="s">
        <v>3464</v>
      </c>
      <c r="AR412" s="508" t="s">
        <v>1755</v>
      </c>
      <c r="AS412" s="508" t="s">
        <v>3114</v>
      </c>
      <c r="AT412" s="508" t="s">
        <v>1461</v>
      </c>
      <c r="AV412" s="508" t="s">
        <v>149</v>
      </c>
      <c r="AX412" s="508" t="s">
        <v>3114</v>
      </c>
      <c r="AY412" s="508" t="s">
        <v>1755</v>
      </c>
      <c r="AZ412" s="508">
        <v>2.7</v>
      </c>
      <c r="BA412" s="508" t="s">
        <v>52</v>
      </c>
      <c r="BB412" s="508" t="s">
        <v>178</v>
      </c>
      <c r="BC412" s="508">
        <v>20</v>
      </c>
      <c r="BD412" s="509">
        <v>46196</v>
      </c>
      <c r="BG412" s="508" t="s">
        <v>724</v>
      </c>
      <c r="BH412" s="508" t="s">
        <v>2940</v>
      </c>
      <c r="BI412" s="508">
        <v>48</v>
      </c>
      <c r="BJ412" s="508">
        <v>62</v>
      </c>
    </row>
    <row r="413" spans="1:62" s="508" customFormat="1" ht="14.25" hidden="1" customHeight="1" x14ac:dyDescent="0.2">
      <c r="A413" s="495"/>
      <c r="B413" s="496"/>
      <c r="C413" s="497">
        <f>Таблица3[[#This Row],[Степень зрелости вспом]]</f>
        <v>60</v>
      </c>
      <c r="D413" s="498">
        <v>550</v>
      </c>
      <c r="E413" s="499"/>
      <c r="F413" s="496"/>
      <c r="G413" s="496">
        <v>13050</v>
      </c>
      <c r="H413" s="500"/>
      <c r="I413" s="496">
        <v>12071.2</v>
      </c>
      <c r="J413" s="495" t="s">
        <v>3464</v>
      </c>
      <c r="K413" s="495" t="s">
        <v>1755</v>
      </c>
      <c r="L413" s="495" t="s">
        <v>3114</v>
      </c>
      <c r="M413" s="495" t="s">
        <v>311</v>
      </c>
      <c r="N413" s="495"/>
      <c r="O413" s="495"/>
      <c r="P413" s="495"/>
      <c r="Q413" s="495"/>
      <c r="R413" s="501" t="s">
        <v>315</v>
      </c>
      <c r="S413" s="495"/>
      <c r="T413" s="482" t="str">
        <f>VLOOKUP(Таблица3[[#This Row],[№ акта]],$AJ$1:$BJ$691,15,FALSE)</f>
        <v>12 Агролидер</v>
      </c>
      <c r="U413" s="482" t="str">
        <f>VLOOKUP(Таблица3[[#This Row],[№ акта]],$AJ$1:$BJ$691,16,FALSE)</f>
        <v>Женева</v>
      </c>
      <c r="V413" s="502">
        <f>VLOOKUP(Таблица3[[#This Row],[№ акта]],$AJ$1:$BJ$691,17,FALSE)</f>
        <v>2.7</v>
      </c>
      <c r="W413" s="502" t="str">
        <f>VLOOKUP(Таблица3[[#This Row],[№ акта]],$AJ$1:$BJ$691,18,FALSE)</f>
        <v>Агролидер (полив)</v>
      </c>
      <c r="X413" s="502" t="str">
        <f>VLOOKUP(Таблица3[[#This Row],[№ акта]],$AJ$1:$BJ$691,19,FALSE)</f>
        <v>полив</v>
      </c>
      <c r="Y413" s="503">
        <f>VLOOKUP(Таблица3[[#This Row],[№ акта]],$AJ$1:$BJ$691,20,FALSE)</f>
        <v>20</v>
      </c>
      <c r="Z413" s="504">
        <f>VLOOKUP(Таблица3[[#This Row],[№ акта]],$AJ$1:$BJ$691,21,FALSE)</f>
        <v>46196</v>
      </c>
      <c r="AA413" s="504"/>
      <c r="AB413" s="504" t="str">
        <f>IF(VLOOKUP(Таблица3[[#This Row],[№ акта]],$AJ$1:$BJ$691,23,FALSE)&lt;&gt;0,VLOOKUP(Таблица3[[#This Row],[№ акта]],$AJ$1:$BJ$691,23,FALSE),"-")</f>
        <v>-</v>
      </c>
      <c r="AC41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13" s="506" t="s">
        <v>2940</v>
      </c>
      <c r="AE413" s="505">
        <v>426</v>
      </c>
      <c r="AF413" s="507">
        <v>46197</v>
      </c>
      <c r="AG413" s="505">
        <v>49</v>
      </c>
      <c r="AH413" s="505">
        <f>IFERROR(VLOOKUP(Таблица3[[#This Row],[№ акта]],'Степень зрелости 2026'!$H$12:$I$800,2,FALSE),)</f>
        <v>60</v>
      </c>
      <c r="AJ413" s="508">
        <v>426</v>
      </c>
      <c r="AK413" s="509">
        <v>46197</v>
      </c>
      <c r="AL413" s="508">
        <v>550</v>
      </c>
      <c r="AO413" s="508">
        <v>13050</v>
      </c>
      <c r="AP413" s="508">
        <v>12071.2</v>
      </c>
      <c r="AQ413" s="508" t="s">
        <v>3464</v>
      </c>
      <c r="AR413" s="508" t="s">
        <v>1755</v>
      </c>
      <c r="AS413" s="508" t="s">
        <v>3114</v>
      </c>
      <c r="AT413" s="508" t="s">
        <v>311</v>
      </c>
      <c r="AV413" s="508" t="s">
        <v>315</v>
      </c>
      <c r="AX413" s="508" t="s">
        <v>3114</v>
      </c>
      <c r="AY413" s="508" t="s">
        <v>1755</v>
      </c>
      <c r="AZ413" s="508">
        <v>2.7</v>
      </c>
      <c r="BA413" s="508" t="s">
        <v>52</v>
      </c>
      <c r="BB413" s="508" t="s">
        <v>178</v>
      </c>
      <c r="BC413" s="508">
        <v>20</v>
      </c>
      <c r="BD413" s="509">
        <v>46196</v>
      </c>
      <c r="BG413" s="508" t="s">
        <v>724</v>
      </c>
      <c r="BH413" s="508" t="s">
        <v>2940</v>
      </c>
      <c r="BI413" s="508">
        <v>49</v>
      </c>
      <c r="BJ413" s="508">
        <v>60</v>
      </c>
    </row>
    <row r="414" spans="1:62" s="508" customFormat="1" ht="14.25" hidden="1" customHeight="1" x14ac:dyDescent="0.2">
      <c r="A414" s="495"/>
      <c r="B414" s="496"/>
      <c r="C414" s="497">
        <f>Таблица3[[#This Row],[Степень зрелости вспом]]</f>
        <v>62</v>
      </c>
      <c r="D414" s="498">
        <v>551</v>
      </c>
      <c r="E414" s="499"/>
      <c r="F414" s="496"/>
      <c r="G414" s="496">
        <v>9190</v>
      </c>
      <c r="H414" s="500"/>
      <c r="I414" s="496">
        <v>8179.1</v>
      </c>
      <c r="J414" s="495" t="s">
        <v>3375</v>
      </c>
      <c r="K414" s="495" t="s">
        <v>1755</v>
      </c>
      <c r="L414" s="495" t="s">
        <v>864</v>
      </c>
      <c r="M414" s="495" t="s">
        <v>127</v>
      </c>
      <c r="N414" s="495"/>
      <c r="O414" s="495"/>
      <c r="P414" s="495"/>
      <c r="Q414" s="495"/>
      <c r="R414" s="501" t="s">
        <v>131</v>
      </c>
      <c r="S414" s="495"/>
      <c r="T414" s="482" t="str">
        <f>VLOOKUP(Таблица3[[#This Row],[№ акта]],$AJ$1:$BJ$691,15,FALSE)</f>
        <v>А-54</v>
      </c>
      <c r="U414" s="482" t="str">
        <f>VLOOKUP(Таблица3[[#This Row],[№ акта]],$AJ$1:$BJ$691,16,FALSE)</f>
        <v>Женева</v>
      </c>
      <c r="V414" s="502">
        <f>VLOOKUP(Таблица3[[#This Row],[№ акта]],$AJ$1:$BJ$691,17,FALSE)</f>
        <v>2</v>
      </c>
      <c r="W414" s="502" t="str">
        <f>VLOOKUP(Таблица3[[#This Row],[№ акта]],$AJ$1:$BJ$691,18,FALSE)</f>
        <v>ГРК (полив)</v>
      </c>
      <c r="X414" s="502" t="str">
        <f>VLOOKUP(Таблица3[[#This Row],[№ акта]],$AJ$1:$BJ$691,19,FALSE)</f>
        <v>полив</v>
      </c>
      <c r="Y414" s="503">
        <f>VLOOKUP(Таблица3[[#This Row],[№ акта]],$AJ$1:$BJ$691,20,FALSE)</f>
        <v>20</v>
      </c>
      <c r="Z414" s="504">
        <f>VLOOKUP(Таблица3[[#This Row],[№ акта]],$AJ$1:$BJ$691,21,FALSE)</f>
        <v>46196</v>
      </c>
      <c r="AA414" s="504"/>
      <c r="AB414" s="504" t="str">
        <f>IF(VLOOKUP(Таблица3[[#This Row],[№ акта]],$AJ$1:$BJ$691,23,FALSE)&lt;&gt;0,VLOOKUP(Таблица3[[#This Row],[№ акта]],$AJ$1:$BJ$691,23,FALSE),"-")</f>
        <v>-</v>
      </c>
      <c r="AC41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14" s="506" t="s">
        <v>2940</v>
      </c>
      <c r="AE414" s="505">
        <v>427</v>
      </c>
      <c r="AF414" s="507">
        <v>46197</v>
      </c>
      <c r="AG414" s="505">
        <v>341</v>
      </c>
      <c r="AH414" s="505">
        <f>IFERROR(VLOOKUP(Таблица3[[#This Row],[№ акта]],'Степень зрелости 2026'!$H$12:$I$800,2,FALSE),)</f>
        <v>62</v>
      </c>
      <c r="AJ414" s="508">
        <v>427</v>
      </c>
      <c r="AK414" s="509">
        <v>46197</v>
      </c>
      <c r="AL414" s="508">
        <v>551</v>
      </c>
      <c r="AO414" s="508">
        <v>9190</v>
      </c>
      <c r="AP414" s="508">
        <v>8179.1</v>
      </c>
      <c r="AQ414" s="508" t="s">
        <v>3375</v>
      </c>
      <c r="AR414" s="508" t="s">
        <v>1755</v>
      </c>
      <c r="AS414" s="508" t="s">
        <v>864</v>
      </c>
      <c r="AT414" s="508" t="s">
        <v>127</v>
      </c>
      <c r="AV414" s="508" t="s">
        <v>131</v>
      </c>
      <c r="AX414" s="508" t="s">
        <v>864</v>
      </c>
      <c r="AY414" s="508" t="s">
        <v>1755</v>
      </c>
      <c r="AZ414" s="508">
        <v>2</v>
      </c>
      <c r="BA414" s="508" t="s">
        <v>2932</v>
      </c>
      <c r="BB414" s="508" t="s">
        <v>178</v>
      </c>
      <c r="BC414" s="508">
        <v>20</v>
      </c>
      <c r="BD414" s="509">
        <v>46196</v>
      </c>
      <c r="BG414" s="508" t="s">
        <v>724</v>
      </c>
      <c r="BH414" s="508" t="s">
        <v>2940</v>
      </c>
      <c r="BI414" s="508">
        <v>341</v>
      </c>
      <c r="BJ414" s="508">
        <v>62</v>
      </c>
    </row>
    <row r="415" spans="1:62" s="508" customFormat="1" ht="14.25" hidden="1" customHeight="1" x14ac:dyDescent="0.2">
      <c r="A415" s="495"/>
      <c r="B415" s="496"/>
      <c r="C415" s="497">
        <f>Таблица3[[#This Row],[Степень зрелости вспом]]</f>
        <v>55</v>
      </c>
      <c r="D415" s="498">
        <v>552</v>
      </c>
      <c r="E415" s="499"/>
      <c r="F415" s="496"/>
      <c r="G415" s="496">
        <v>4510</v>
      </c>
      <c r="H415" s="500"/>
      <c r="I415" s="496">
        <v>4013.9</v>
      </c>
      <c r="J415" s="495" t="s">
        <v>3375</v>
      </c>
      <c r="K415" s="495" t="s">
        <v>1755</v>
      </c>
      <c r="L415" s="495" t="s">
        <v>864</v>
      </c>
      <c r="M415" s="495" t="s">
        <v>762</v>
      </c>
      <c r="N415" s="495"/>
      <c r="O415" s="495"/>
      <c r="P415" s="495"/>
      <c r="Q415" s="495"/>
      <c r="R415" s="501" t="s">
        <v>763</v>
      </c>
      <c r="S415" s="495"/>
      <c r="T415" s="482" t="str">
        <f>VLOOKUP(Таблица3[[#This Row],[№ акта]],$AJ$1:$BJ$691,15,FALSE)</f>
        <v>А-54</v>
      </c>
      <c r="U415" s="482" t="str">
        <f>VLOOKUP(Таблица3[[#This Row],[№ акта]],$AJ$1:$BJ$691,16,FALSE)</f>
        <v>Женева</v>
      </c>
      <c r="V415" s="502">
        <f>VLOOKUP(Таблица3[[#This Row],[№ акта]],$AJ$1:$BJ$691,17,FALSE)</f>
        <v>1</v>
      </c>
      <c r="W415" s="502" t="str">
        <f>VLOOKUP(Таблица3[[#This Row],[№ акта]],$AJ$1:$BJ$691,18,FALSE)</f>
        <v>ГРК (полив)</v>
      </c>
      <c r="X415" s="502" t="str">
        <f>VLOOKUP(Таблица3[[#This Row],[№ акта]],$AJ$1:$BJ$691,19,FALSE)</f>
        <v>полив</v>
      </c>
      <c r="Y415" s="503">
        <f>VLOOKUP(Таблица3[[#This Row],[№ акта]],$AJ$1:$BJ$691,20,FALSE)</f>
        <v>20</v>
      </c>
      <c r="Z415" s="504">
        <f>VLOOKUP(Таблица3[[#This Row],[№ акта]],$AJ$1:$BJ$691,21,FALSE)</f>
        <v>46196</v>
      </c>
      <c r="AA415" s="504"/>
      <c r="AB415" s="504" t="str">
        <f>IF(VLOOKUP(Таблица3[[#This Row],[№ акта]],$AJ$1:$BJ$691,23,FALSE)&lt;&gt;0,VLOOKUP(Таблица3[[#This Row],[№ акта]],$AJ$1:$BJ$691,23,FALSE),"-")</f>
        <v>-</v>
      </c>
      <c r="AC41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15" s="506" t="s">
        <v>2940</v>
      </c>
      <c r="AE415" s="505">
        <v>428</v>
      </c>
      <c r="AF415" s="507">
        <v>46197</v>
      </c>
      <c r="AG415" s="505">
        <v>342</v>
      </c>
      <c r="AH415" s="505">
        <f>IFERROR(VLOOKUP(Таблица3[[#This Row],[№ акта]],'Степень зрелости 2026'!$H$12:$I$800,2,FALSE),)</f>
        <v>55</v>
      </c>
      <c r="AJ415" s="508">
        <v>428</v>
      </c>
      <c r="AK415" s="509">
        <v>46197</v>
      </c>
      <c r="AL415" s="508">
        <v>552</v>
      </c>
      <c r="AO415" s="508">
        <v>4510</v>
      </c>
      <c r="AP415" s="508">
        <v>4013.9</v>
      </c>
      <c r="AQ415" s="508" t="s">
        <v>3375</v>
      </c>
      <c r="AR415" s="508" t="s">
        <v>1755</v>
      </c>
      <c r="AS415" s="508" t="s">
        <v>864</v>
      </c>
      <c r="AT415" s="508" t="s">
        <v>762</v>
      </c>
      <c r="AV415" s="508" t="s">
        <v>763</v>
      </c>
      <c r="AX415" s="508" t="s">
        <v>864</v>
      </c>
      <c r="AY415" s="508" t="s">
        <v>1755</v>
      </c>
      <c r="AZ415" s="508">
        <v>1</v>
      </c>
      <c r="BA415" s="508" t="s">
        <v>2932</v>
      </c>
      <c r="BB415" s="508" t="s">
        <v>178</v>
      </c>
      <c r="BC415" s="508">
        <v>20</v>
      </c>
      <c r="BD415" s="509">
        <v>46196</v>
      </c>
      <c r="BG415" s="508" t="s">
        <v>724</v>
      </c>
      <c r="BH415" s="508" t="s">
        <v>2940</v>
      </c>
      <c r="BI415" s="508">
        <v>342</v>
      </c>
      <c r="BJ415" s="508">
        <v>55</v>
      </c>
    </row>
    <row r="416" spans="1:62" s="508" customFormat="1" ht="14.25" hidden="1" customHeight="1" x14ac:dyDescent="0.2">
      <c r="A416" s="495"/>
      <c r="B416" s="496"/>
      <c r="C416" s="497">
        <f>Таблица3[[#This Row],[Степень зрелости вспом]]</f>
        <v>62</v>
      </c>
      <c r="D416" s="498">
        <v>553</v>
      </c>
      <c r="E416" s="499"/>
      <c r="F416" s="496"/>
      <c r="G416" s="496">
        <v>13040</v>
      </c>
      <c r="H416" s="500"/>
      <c r="I416" s="496">
        <v>11149.2</v>
      </c>
      <c r="J416" s="495" t="s">
        <v>3464</v>
      </c>
      <c r="K416" s="495" t="s">
        <v>1755</v>
      </c>
      <c r="L416" s="495" t="s">
        <v>3114</v>
      </c>
      <c r="M416" s="495" t="s">
        <v>212</v>
      </c>
      <c r="N416" s="495"/>
      <c r="O416" s="495"/>
      <c r="P416" s="495"/>
      <c r="Q416" s="495"/>
      <c r="R416" s="501" t="s">
        <v>2965</v>
      </c>
      <c r="S416" s="495"/>
      <c r="T416" s="482" t="str">
        <f>VLOOKUP(Таблица3[[#This Row],[№ акта]],$AJ$1:$BJ$691,15,FALSE)</f>
        <v>12 Агролидер</v>
      </c>
      <c r="U416" s="482" t="str">
        <f>VLOOKUP(Таблица3[[#This Row],[№ акта]],$AJ$1:$BJ$691,16,FALSE)</f>
        <v>Женева</v>
      </c>
      <c r="V416" s="502">
        <f>VLOOKUP(Таблица3[[#This Row],[№ акта]],$AJ$1:$BJ$691,17,FALSE)</f>
        <v>2.7</v>
      </c>
      <c r="W416" s="502" t="str">
        <f>VLOOKUP(Таблица3[[#This Row],[№ акта]],$AJ$1:$BJ$691,18,FALSE)</f>
        <v>Агролидер (полив)</v>
      </c>
      <c r="X416" s="502" t="str">
        <f>VLOOKUP(Таблица3[[#This Row],[№ акта]],$AJ$1:$BJ$691,19,FALSE)</f>
        <v>полив</v>
      </c>
      <c r="Y416" s="503">
        <f>VLOOKUP(Таблица3[[#This Row],[№ акта]],$AJ$1:$BJ$691,20,FALSE)</f>
        <v>20</v>
      </c>
      <c r="Z416" s="504">
        <f>VLOOKUP(Таблица3[[#This Row],[№ акта]],$AJ$1:$BJ$691,21,FALSE)</f>
        <v>46196</v>
      </c>
      <c r="AA416" s="504"/>
      <c r="AB416" s="504" t="str">
        <f>IF(VLOOKUP(Таблица3[[#This Row],[№ акта]],$AJ$1:$BJ$691,23,FALSE)&lt;&gt;0,VLOOKUP(Таблица3[[#This Row],[№ акта]],$AJ$1:$BJ$691,23,FALSE),"-")</f>
        <v>-</v>
      </c>
      <c r="AC41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16" s="506" t="s">
        <v>2940</v>
      </c>
      <c r="AE416" s="505">
        <v>429</v>
      </c>
      <c r="AF416" s="507">
        <v>46197</v>
      </c>
      <c r="AG416" s="505">
        <v>51</v>
      </c>
      <c r="AH416" s="505">
        <f>IFERROR(VLOOKUP(Таблица3[[#This Row],[№ акта]],'Степень зрелости 2026'!$H$12:$I$800,2,FALSE),)</f>
        <v>62</v>
      </c>
      <c r="AJ416" s="508">
        <v>429</v>
      </c>
      <c r="AK416" s="509">
        <v>46197</v>
      </c>
      <c r="AL416" s="508">
        <v>553</v>
      </c>
      <c r="AO416" s="508">
        <v>13040</v>
      </c>
      <c r="AP416" s="508">
        <v>11149.2</v>
      </c>
      <c r="AQ416" s="508" t="s">
        <v>3464</v>
      </c>
      <c r="AR416" s="508" t="s">
        <v>1755</v>
      </c>
      <c r="AS416" s="508" t="s">
        <v>3114</v>
      </c>
      <c r="AT416" s="508" t="s">
        <v>212</v>
      </c>
      <c r="AV416" s="508" t="s">
        <v>2965</v>
      </c>
      <c r="AX416" s="508" t="s">
        <v>3114</v>
      </c>
      <c r="AY416" s="508" t="s">
        <v>1755</v>
      </c>
      <c r="AZ416" s="508">
        <v>2.7</v>
      </c>
      <c r="BA416" s="508" t="s">
        <v>52</v>
      </c>
      <c r="BB416" s="508" t="s">
        <v>178</v>
      </c>
      <c r="BC416" s="508">
        <v>20</v>
      </c>
      <c r="BD416" s="509">
        <v>46196</v>
      </c>
      <c r="BG416" s="508" t="s">
        <v>724</v>
      </c>
      <c r="BH416" s="508" t="s">
        <v>2940</v>
      </c>
      <c r="BI416" s="508">
        <v>51</v>
      </c>
      <c r="BJ416" s="508">
        <v>62</v>
      </c>
    </row>
    <row r="417" spans="1:62" s="508" customFormat="1" ht="14.25" hidden="1" customHeight="1" x14ac:dyDescent="0.2">
      <c r="A417" s="495"/>
      <c r="B417" s="496"/>
      <c r="C417" s="497">
        <f>Таблица3[[#This Row],[Степень зрелости вспом]]</f>
        <v>60</v>
      </c>
      <c r="D417" s="498">
        <v>554</v>
      </c>
      <c r="E417" s="499"/>
      <c r="F417" s="496"/>
      <c r="G417" s="496">
        <v>13090</v>
      </c>
      <c r="H417" s="500"/>
      <c r="I417" s="496">
        <v>11846.5</v>
      </c>
      <c r="J417" s="495" t="s">
        <v>3464</v>
      </c>
      <c r="K417" s="495" t="s">
        <v>1755</v>
      </c>
      <c r="L417" s="495" t="s">
        <v>3114</v>
      </c>
      <c r="M417" s="495" t="s">
        <v>3552</v>
      </c>
      <c r="N417" s="495"/>
      <c r="O417" s="495"/>
      <c r="P417" s="495"/>
      <c r="Q417" s="495"/>
      <c r="R417" s="501" t="s">
        <v>3553</v>
      </c>
      <c r="S417" s="495"/>
      <c r="T417" s="482" t="str">
        <f>VLOOKUP(Таблица3[[#This Row],[№ акта]],$AJ$1:$BJ$691,15,FALSE)</f>
        <v>12 Агролидер</v>
      </c>
      <c r="U417" s="482" t="str">
        <f>VLOOKUP(Таблица3[[#This Row],[№ акта]],$AJ$1:$BJ$691,16,FALSE)</f>
        <v>Женева</v>
      </c>
      <c r="V417" s="502">
        <f>VLOOKUP(Таблица3[[#This Row],[№ акта]],$AJ$1:$BJ$691,17,FALSE)</f>
        <v>2.7</v>
      </c>
      <c r="W417" s="502" t="str">
        <f>VLOOKUP(Таблица3[[#This Row],[№ акта]],$AJ$1:$BJ$691,18,FALSE)</f>
        <v>Агролидер (полив)</v>
      </c>
      <c r="X417" s="502" t="str">
        <f>VLOOKUP(Таблица3[[#This Row],[№ акта]],$AJ$1:$BJ$691,19,FALSE)</f>
        <v>полив</v>
      </c>
      <c r="Y417" s="503">
        <f>VLOOKUP(Таблица3[[#This Row],[№ акта]],$AJ$1:$BJ$691,20,FALSE)</f>
        <v>20</v>
      </c>
      <c r="Z417" s="504">
        <f>VLOOKUP(Таблица3[[#This Row],[№ акта]],$AJ$1:$BJ$691,21,FALSE)</f>
        <v>46196</v>
      </c>
      <c r="AA417" s="504"/>
      <c r="AB417" s="504" t="str">
        <f>IF(VLOOKUP(Таблица3[[#This Row],[№ акта]],$AJ$1:$BJ$691,23,FALSE)&lt;&gt;0,VLOOKUP(Таблица3[[#This Row],[№ акта]],$AJ$1:$BJ$691,23,FALSE),"-")</f>
        <v>-</v>
      </c>
      <c r="AC41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17" s="506" t="s">
        <v>2940</v>
      </c>
      <c r="AE417" s="505">
        <v>430</v>
      </c>
      <c r="AF417" s="507">
        <v>46197</v>
      </c>
      <c r="AG417" s="505">
        <v>52</v>
      </c>
      <c r="AH417" s="505">
        <f>IFERROR(VLOOKUP(Таблица3[[#This Row],[№ акта]],'Степень зрелости 2026'!$H$12:$I$800,2,FALSE),)</f>
        <v>60</v>
      </c>
      <c r="AJ417" s="508">
        <v>430</v>
      </c>
      <c r="AK417" s="509">
        <v>46197</v>
      </c>
      <c r="AL417" s="508">
        <v>554</v>
      </c>
      <c r="AO417" s="508">
        <v>13090</v>
      </c>
      <c r="AP417" s="508">
        <v>11846.5</v>
      </c>
      <c r="AQ417" s="508" t="s">
        <v>3464</v>
      </c>
      <c r="AR417" s="508" t="s">
        <v>1755</v>
      </c>
      <c r="AS417" s="508" t="s">
        <v>3114</v>
      </c>
      <c r="AT417" s="508" t="s">
        <v>3552</v>
      </c>
      <c r="AV417" s="508" t="s">
        <v>3553</v>
      </c>
      <c r="AX417" s="508" t="s">
        <v>3114</v>
      </c>
      <c r="AY417" s="508" t="s">
        <v>1755</v>
      </c>
      <c r="AZ417" s="508">
        <v>2.7</v>
      </c>
      <c r="BA417" s="508" t="s">
        <v>52</v>
      </c>
      <c r="BB417" s="508" t="s">
        <v>178</v>
      </c>
      <c r="BC417" s="508">
        <v>20</v>
      </c>
      <c r="BD417" s="509">
        <v>46196</v>
      </c>
      <c r="BG417" s="508" t="s">
        <v>724</v>
      </c>
      <c r="BH417" s="508" t="s">
        <v>2940</v>
      </c>
      <c r="BI417" s="508">
        <v>52</v>
      </c>
      <c r="BJ417" s="508">
        <v>60</v>
      </c>
    </row>
    <row r="418" spans="1:62" s="508" customFormat="1" ht="14.25" hidden="1" customHeight="1" x14ac:dyDescent="0.2">
      <c r="A418" s="495"/>
      <c r="B418" s="496"/>
      <c r="C418" s="497">
        <f>Таблица3[[#This Row],[Степень зрелости вспом]]</f>
        <v>65</v>
      </c>
      <c r="D418" s="498">
        <v>555</v>
      </c>
      <c r="E418" s="499"/>
      <c r="F418" s="496"/>
      <c r="G418" s="496">
        <v>8940</v>
      </c>
      <c r="H418" s="500"/>
      <c r="I418" s="496">
        <v>8090.7</v>
      </c>
      <c r="J418" s="495" t="s">
        <v>3375</v>
      </c>
      <c r="K418" s="495" t="s">
        <v>1755</v>
      </c>
      <c r="L418" s="495" t="s">
        <v>864</v>
      </c>
      <c r="M418" s="495" t="s">
        <v>127</v>
      </c>
      <c r="N418" s="495"/>
      <c r="O418" s="495"/>
      <c r="P418" s="495"/>
      <c r="Q418" s="495"/>
      <c r="R418" s="501" t="s">
        <v>131</v>
      </c>
      <c r="S418" s="495"/>
      <c r="T418" s="482" t="str">
        <f>VLOOKUP(Таблица3[[#This Row],[№ акта]],$AJ$1:$BJ$691,15,FALSE)</f>
        <v>А-54</v>
      </c>
      <c r="U418" s="482" t="str">
        <f>VLOOKUP(Таблица3[[#This Row],[№ акта]],$AJ$1:$BJ$691,16,FALSE)</f>
        <v>Женева</v>
      </c>
      <c r="V418" s="502">
        <f>VLOOKUP(Таблица3[[#This Row],[№ акта]],$AJ$1:$BJ$691,17,FALSE)</f>
        <v>1.9</v>
      </c>
      <c r="W418" s="502" t="str">
        <f>VLOOKUP(Таблица3[[#This Row],[№ акта]],$AJ$1:$BJ$691,18,FALSE)</f>
        <v>ГРК (полив)</v>
      </c>
      <c r="X418" s="502" t="str">
        <f>VLOOKUP(Таблица3[[#This Row],[№ акта]],$AJ$1:$BJ$691,19,FALSE)</f>
        <v>полив</v>
      </c>
      <c r="Y418" s="503">
        <f>VLOOKUP(Таблица3[[#This Row],[№ акта]],$AJ$1:$BJ$691,20,FALSE)</f>
        <v>20</v>
      </c>
      <c r="Z418" s="504">
        <f>VLOOKUP(Таблица3[[#This Row],[№ акта]],$AJ$1:$BJ$691,21,FALSE)</f>
        <v>46196</v>
      </c>
      <c r="AA418" s="504"/>
      <c r="AB418" s="504" t="str">
        <f>IF(VLOOKUP(Таблица3[[#This Row],[№ акта]],$AJ$1:$BJ$691,23,FALSE)&lt;&gt;0,VLOOKUP(Таблица3[[#This Row],[№ акта]],$AJ$1:$BJ$691,23,FALSE),"-")</f>
        <v>-</v>
      </c>
      <c r="AC41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18" s="506" t="s">
        <v>3230</v>
      </c>
      <c r="AE418" s="505">
        <v>431</v>
      </c>
      <c r="AF418" s="507">
        <v>46197</v>
      </c>
      <c r="AG418" s="505">
        <v>443</v>
      </c>
      <c r="AH418" s="505">
        <f>IFERROR(VLOOKUP(Таблица3[[#This Row],[№ акта]],'Степень зрелости 2026'!$H$12:$I$800,2,FALSE),)</f>
        <v>65</v>
      </c>
      <c r="AJ418" s="508">
        <v>431</v>
      </c>
      <c r="AK418" s="509">
        <v>46197</v>
      </c>
      <c r="AL418" s="508">
        <v>555</v>
      </c>
      <c r="AO418" s="508">
        <v>8940</v>
      </c>
      <c r="AP418" s="508">
        <v>8090.7</v>
      </c>
      <c r="AQ418" s="508" t="s">
        <v>3375</v>
      </c>
      <c r="AR418" s="508" t="s">
        <v>1755</v>
      </c>
      <c r="AS418" s="508" t="s">
        <v>864</v>
      </c>
      <c r="AT418" s="508" t="s">
        <v>127</v>
      </c>
      <c r="AV418" s="508" t="s">
        <v>131</v>
      </c>
      <c r="AX418" s="508" t="s">
        <v>864</v>
      </c>
      <c r="AY418" s="508" t="s">
        <v>1755</v>
      </c>
      <c r="AZ418" s="508">
        <v>1.9</v>
      </c>
      <c r="BA418" s="508" t="s">
        <v>2932</v>
      </c>
      <c r="BB418" s="508" t="s">
        <v>178</v>
      </c>
      <c r="BC418" s="508">
        <v>20</v>
      </c>
      <c r="BD418" s="509">
        <v>46196</v>
      </c>
      <c r="BG418" s="508" t="s">
        <v>3559</v>
      </c>
      <c r="BH418" s="508" t="s">
        <v>2940</v>
      </c>
      <c r="BI418" s="508">
        <v>443</v>
      </c>
      <c r="BJ418" s="508">
        <v>65</v>
      </c>
    </row>
    <row r="419" spans="1:62" s="508" customFormat="1" ht="14.25" hidden="1" customHeight="1" x14ac:dyDescent="0.2">
      <c r="A419" s="495"/>
      <c r="B419" s="496"/>
      <c r="C419" s="497">
        <f>Таблица3[[#This Row],[Степень зрелости вспом]]</f>
        <v>65</v>
      </c>
      <c r="D419" s="498">
        <v>556</v>
      </c>
      <c r="E419" s="499"/>
      <c r="F419" s="496"/>
      <c r="G419" s="496">
        <v>13380</v>
      </c>
      <c r="H419" s="500"/>
      <c r="I419" s="496">
        <v>12510.3</v>
      </c>
      <c r="J419" s="495" t="s">
        <v>3464</v>
      </c>
      <c r="K419" s="495" t="s">
        <v>1755</v>
      </c>
      <c r="L419" s="495" t="s">
        <v>3114</v>
      </c>
      <c r="M419" s="495" t="s">
        <v>239</v>
      </c>
      <c r="N419" s="495"/>
      <c r="O419" s="495"/>
      <c r="P419" s="495"/>
      <c r="Q419" s="495"/>
      <c r="R419" s="501" t="s">
        <v>243</v>
      </c>
      <c r="S419" s="495"/>
      <c r="T419" s="482" t="str">
        <f>VLOOKUP(Таблица3[[#This Row],[№ акта]],$AJ$1:$BJ$691,15,FALSE)</f>
        <v>12 Агролидер</v>
      </c>
      <c r="U419" s="482" t="str">
        <f>VLOOKUP(Таблица3[[#This Row],[№ акта]],$AJ$1:$BJ$691,16,FALSE)</f>
        <v>Женева</v>
      </c>
      <c r="V419" s="502">
        <f>VLOOKUP(Таблица3[[#This Row],[№ акта]],$AJ$1:$BJ$691,17,FALSE)</f>
        <v>2.8</v>
      </c>
      <c r="W419" s="502" t="str">
        <f>VLOOKUP(Таблица3[[#This Row],[№ акта]],$AJ$1:$BJ$691,18,FALSE)</f>
        <v>Агролидер (полив)</v>
      </c>
      <c r="X419" s="502" t="str">
        <f>VLOOKUP(Таблица3[[#This Row],[№ акта]],$AJ$1:$BJ$691,19,FALSE)</f>
        <v>полив</v>
      </c>
      <c r="Y419" s="503">
        <f>VLOOKUP(Таблица3[[#This Row],[№ акта]],$AJ$1:$BJ$691,20,FALSE)</f>
        <v>20</v>
      </c>
      <c r="Z419" s="504">
        <f>VLOOKUP(Таблица3[[#This Row],[№ акта]],$AJ$1:$BJ$691,21,FALSE)</f>
        <v>46196</v>
      </c>
      <c r="AA419" s="504"/>
      <c r="AB419" s="504" t="str">
        <f>IF(VLOOKUP(Таблица3[[#This Row],[№ акта]],$AJ$1:$BJ$691,23,FALSE)&lt;&gt;0,VLOOKUP(Таблица3[[#This Row],[№ акта]],$AJ$1:$BJ$691,23,FALSE),"-")</f>
        <v>-</v>
      </c>
      <c r="AC41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19" s="506" t="s">
        <v>3230</v>
      </c>
      <c r="AE419" s="505">
        <v>432</v>
      </c>
      <c r="AF419" s="507">
        <v>46197</v>
      </c>
      <c r="AG419" s="505">
        <v>53</v>
      </c>
      <c r="AH419" s="505">
        <f>IFERROR(VLOOKUP(Таблица3[[#This Row],[№ акта]],'Степень зрелости 2026'!$H$12:$I$800,2,FALSE),)</f>
        <v>65</v>
      </c>
      <c r="AJ419" s="508">
        <v>432</v>
      </c>
      <c r="AK419" s="509">
        <v>46197</v>
      </c>
      <c r="AL419" s="508">
        <v>556</v>
      </c>
      <c r="AO419" s="508">
        <v>13380</v>
      </c>
      <c r="AP419" s="508">
        <v>12510.3</v>
      </c>
      <c r="AQ419" s="508" t="s">
        <v>3375</v>
      </c>
      <c r="AR419" s="508" t="s">
        <v>1755</v>
      </c>
      <c r="AS419" s="508" t="s">
        <v>3114</v>
      </c>
      <c r="AT419" s="508" t="s">
        <v>239</v>
      </c>
      <c r="AV419" s="508" t="s">
        <v>243</v>
      </c>
      <c r="AX419" s="508" t="s">
        <v>3114</v>
      </c>
      <c r="AY419" s="508" t="s">
        <v>1755</v>
      </c>
      <c r="AZ419" s="508">
        <v>2.8</v>
      </c>
      <c r="BA419" s="508" t="s">
        <v>52</v>
      </c>
      <c r="BB419" s="508" t="s">
        <v>178</v>
      </c>
      <c r="BC419" s="508">
        <v>20</v>
      </c>
      <c r="BD419" s="509">
        <v>46196</v>
      </c>
      <c r="BG419" s="508" t="s">
        <v>3559</v>
      </c>
      <c r="BH419" s="508" t="s">
        <v>2940</v>
      </c>
      <c r="BI419" s="508">
        <v>53</v>
      </c>
      <c r="BJ419" s="508">
        <v>65</v>
      </c>
    </row>
    <row r="420" spans="1:62" s="508" customFormat="1" ht="14.25" hidden="1" customHeight="1" x14ac:dyDescent="0.2">
      <c r="A420" s="495"/>
      <c r="B420" s="496"/>
      <c r="C420" s="497">
        <f>Таблица3[[#This Row],[Степень зрелости вспом]]</f>
        <v>66</v>
      </c>
      <c r="D420" s="498">
        <v>558</v>
      </c>
      <c r="E420" s="499"/>
      <c r="F420" s="496"/>
      <c r="G420" s="496">
        <v>7330</v>
      </c>
      <c r="H420" s="500"/>
      <c r="I420" s="496">
        <v>6780.3</v>
      </c>
      <c r="J420" s="495" t="s">
        <v>3375</v>
      </c>
      <c r="K420" s="495" t="s">
        <v>1755</v>
      </c>
      <c r="L420" s="495" t="s">
        <v>864</v>
      </c>
      <c r="M420" s="495" t="s">
        <v>121</v>
      </c>
      <c r="N420" s="495"/>
      <c r="O420" s="495"/>
      <c r="P420" s="495"/>
      <c r="Q420" s="495"/>
      <c r="R420" s="501" t="s">
        <v>125</v>
      </c>
      <c r="S420" s="495"/>
      <c r="T420" s="482" t="str">
        <f>VLOOKUP(Таблица3[[#This Row],[№ акта]],$AJ$1:$BJ$691,15,FALSE)</f>
        <v>А-54</v>
      </c>
      <c r="U420" s="482" t="str">
        <f>VLOOKUP(Таблица3[[#This Row],[№ акта]],$AJ$1:$BJ$691,16,FALSE)</f>
        <v>Женева</v>
      </c>
      <c r="V420" s="502">
        <f>VLOOKUP(Таблица3[[#This Row],[№ акта]],$AJ$1:$BJ$691,17,FALSE)</f>
        <v>2</v>
      </c>
      <c r="W420" s="502" t="str">
        <f>VLOOKUP(Таблица3[[#This Row],[№ акта]],$AJ$1:$BJ$691,18,FALSE)</f>
        <v>ГРК (полив)</v>
      </c>
      <c r="X420" s="502" t="str">
        <f>VLOOKUP(Таблица3[[#This Row],[№ акта]],$AJ$1:$BJ$691,19,FALSE)</f>
        <v>полив</v>
      </c>
      <c r="Y420" s="503">
        <f>VLOOKUP(Таблица3[[#This Row],[№ акта]],$AJ$1:$BJ$691,20,FALSE)</f>
        <v>21</v>
      </c>
      <c r="Z420" s="504">
        <f>VLOOKUP(Таблица3[[#This Row],[№ акта]],$AJ$1:$BJ$691,21,FALSE)</f>
        <v>46197</v>
      </c>
      <c r="AA420" s="504"/>
      <c r="AB420" s="504" t="str">
        <f>IF(VLOOKUP(Таблица3[[#This Row],[№ акта]],$AJ$1:$BJ$691,23,FALSE)&lt;&gt;0,VLOOKUP(Таблица3[[#This Row],[№ акта]],$AJ$1:$BJ$691,23,FALSE),"-")</f>
        <v>-</v>
      </c>
      <c r="AC42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20" s="506" t="s">
        <v>3230</v>
      </c>
      <c r="AE420" s="505">
        <v>433</v>
      </c>
      <c r="AF420" s="507">
        <v>46197</v>
      </c>
      <c r="AG420" s="505">
        <v>344</v>
      </c>
      <c r="AH420" s="505">
        <f>IFERROR(VLOOKUP(Таблица3[[#This Row],[№ акта]],'Степень зрелости 2026'!$H$12:$I$800,2,FALSE),)</f>
        <v>66</v>
      </c>
      <c r="AJ420" s="508">
        <v>433</v>
      </c>
      <c r="AK420" s="509">
        <v>46197</v>
      </c>
      <c r="AL420" s="508">
        <v>558</v>
      </c>
      <c r="AO420" s="508">
        <v>7330</v>
      </c>
      <c r="AP420" s="508">
        <v>6780.3</v>
      </c>
      <c r="AQ420" s="508" t="s">
        <v>3375</v>
      </c>
      <c r="AR420" s="508" t="s">
        <v>1755</v>
      </c>
      <c r="AS420" s="508" t="s">
        <v>864</v>
      </c>
      <c r="AT420" s="508" t="s">
        <v>121</v>
      </c>
      <c r="AV420" s="508" t="s">
        <v>125</v>
      </c>
      <c r="AX420" s="508" t="s">
        <v>864</v>
      </c>
      <c r="AY420" s="508" t="s">
        <v>1755</v>
      </c>
      <c r="AZ420" s="508">
        <v>2</v>
      </c>
      <c r="BA420" s="508" t="s">
        <v>2932</v>
      </c>
      <c r="BB420" s="508" t="s">
        <v>178</v>
      </c>
      <c r="BC420" s="508">
        <v>21</v>
      </c>
      <c r="BD420" s="509">
        <v>46197</v>
      </c>
      <c r="BG420" s="508" t="s">
        <v>3559</v>
      </c>
      <c r="BH420" s="508" t="s">
        <v>2940</v>
      </c>
      <c r="BI420" s="508">
        <v>344</v>
      </c>
      <c r="BJ420" s="508">
        <v>66</v>
      </c>
    </row>
    <row r="421" spans="1:62" s="508" customFormat="1" ht="14.25" hidden="1" customHeight="1" x14ac:dyDescent="0.2">
      <c r="A421" s="495"/>
      <c r="B421" s="496"/>
      <c r="C421" s="497">
        <f>Таблица3[[#This Row],[Степень зрелости вспом]]</f>
        <v>64</v>
      </c>
      <c r="D421" s="498">
        <v>560</v>
      </c>
      <c r="E421" s="499"/>
      <c r="F421" s="496"/>
      <c r="G421" s="496">
        <v>12970</v>
      </c>
      <c r="H421" s="500"/>
      <c r="I421" s="496">
        <v>12191.8</v>
      </c>
      <c r="J421" s="495" t="s">
        <v>3464</v>
      </c>
      <c r="K421" s="495" t="s">
        <v>1755</v>
      </c>
      <c r="L421" s="495" t="s">
        <v>3114</v>
      </c>
      <c r="M421" s="495" t="s">
        <v>133</v>
      </c>
      <c r="N421" s="495"/>
      <c r="O421" s="495"/>
      <c r="P421" s="495"/>
      <c r="Q421" s="495"/>
      <c r="R421" s="501" t="s">
        <v>137</v>
      </c>
      <c r="S421" s="495"/>
      <c r="T421" s="482" t="str">
        <f>VLOOKUP(Таблица3[[#This Row],[№ акта]],$AJ$1:$BJ$691,15,FALSE)</f>
        <v>12 Агролидер</v>
      </c>
      <c r="U421" s="482" t="str">
        <f>VLOOKUP(Таблица3[[#This Row],[№ акта]],$AJ$1:$BJ$691,16,FALSE)</f>
        <v>Женева</v>
      </c>
      <c r="V421" s="502">
        <f>VLOOKUP(Таблица3[[#This Row],[№ акта]],$AJ$1:$BJ$691,17,FALSE)</f>
        <v>2.7</v>
      </c>
      <c r="W421" s="502" t="str">
        <f>VLOOKUP(Таблица3[[#This Row],[№ акта]],$AJ$1:$BJ$691,18,FALSE)</f>
        <v>Агролидер (полив)</v>
      </c>
      <c r="X421" s="502" t="str">
        <f>VLOOKUP(Таблица3[[#This Row],[№ акта]],$AJ$1:$BJ$691,19,FALSE)</f>
        <v>полив</v>
      </c>
      <c r="Y421" s="503">
        <f>VLOOKUP(Таблица3[[#This Row],[№ акта]],$AJ$1:$BJ$691,20,FALSE)</f>
        <v>21</v>
      </c>
      <c r="Z421" s="504">
        <f>VLOOKUP(Таблица3[[#This Row],[№ акта]],$AJ$1:$BJ$691,21,FALSE)</f>
        <v>46197</v>
      </c>
      <c r="AA421" s="504"/>
      <c r="AB421" s="504" t="str">
        <f>IF(VLOOKUP(Таблица3[[#This Row],[№ акта]],$AJ$1:$BJ$691,23,FALSE)&lt;&gt;0,VLOOKUP(Таблица3[[#This Row],[№ акта]],$AJ$1:$BJ$691,23,FALSE),"-")</f>
        <v>-</v>
      </c>
      <c r="AC42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21" s="506" t="s">
        <v>3230</v>
      </c>
      <c r="AE421" s="505">
        <v>434</v>
      </c>
      <c r="AF421" s="507">
        <v>46197</v>
      </c>
      <c r="AG421" s="505">
        <v>54</v>
      </c>
      <c r="AH421" s="505">
        <f>IFERROR(VLOOKUP(Таблица3[[#This Row],[№ акта]],'Степень зрелости 2026'!$H$12:$I$800,2,FALSE),)</f>
        <v>64</v>
      </c>
      <c r="AJ421" s="508">
        <v>434</v>
      </c>
      <c r="AK421" s="509">
        <v>46197</v>
      </c>
      <c r="AL421" s="508">
        <v>560</v>
      </c>
      <c r="AO421" s="508">
        <v>12970</v>
      </c>
      <c r="AP421" s="508">
        <v>12191.8</v>
      </c>
      <c r="AQ421" s="508" t="s">
        <v>3464</v>
      </c>
      <c r="AR421" s="508" t="s">
        <v>1755</v>
      </c>
      <c r="AS421" s="508" t="s">
        <v>3114</v>
      </c>
      <c r="AT421" s="508" t="s">
        <v>133</v>
      </c>
      <c r="AV421" s="508" t="s">
        <v>137</v>
      </c>
      <c r="AX421" s="508" t="s">
        <v>3114</v>
      </c>
      <c r="AY421" s="508" t="s">
        <v>1755</v>
      </c>
      <c r="AZ421" s="508">
        <v>2.7</v>
      </c>
      <c r="BA421" s="508" t="s">
        <v>52</v>
      </c>
      <c r="BB421" s="508" t="s">
        <v>178</v>
      </c>
      <c r="BC421" s="508">
        <v>21</v>
      </c>
      <c r="BD421" s="509">
        <v>46197</v>
      </c>
      <c r="BG421" s="508" t="s">
        <v>3559</v>
      </c>
      <c r="BH421" s="508" t="s">
        <v>2940</v>
      </c>
      <c r="BI421" s="508">
        <v>54</v>
      </c>
      <c r="BJ421" s="508">
        <v>64</v>
      </c>
    </row>
    <row r="422" spans="1:62" s="508" customFormat="1" ht="14.25" hidden="1" customHeight="1" x14ac:dyDescent="0.2">
      <c r="A422" s="495"/>
      <c r="B422" s="496"/>
      <c r="C422" s="497">
        <f>Таблица3[[#This Row],[Степень зрелости вспом]]</f>
        <v>55</v>
      </c>
      <c r="D422" s="498">
        <v>562</v>
      </c>
      <c r="E422" s="499"/>
      <c r="F422" s="496"/>
      <c r="G422" s="496">
        <v>4530</v>
      </c>
      <c r="H422" s="500"/>
      <c r="I422" s="496">
        <v>3873.1</v>
      </c>
      <c r="J422" s="495" t="s">
        <v>3375</v>
      </c>
      <c r="K422" s="495" t="s">
        <v>909</v>
      </c>
      <c r="L422" s="495" t="s">
        <v>864</v>
      </c>
      <c r="M422" s="495" t="s">
        <v>737</v>
      </c>
      <c r="N422" s="495"/>
      <c r="O422" s="495"/>
      <c r="P422" s="495"/>
      <c r="Q422" s="495"/>
      <c r="R422" s="501" t="s">
        <v>738</v>
      </c>
      <c r="S422" s="495"/>
      <c r="T422" s="482" t="str">
        <f>VLOOKUP(Таблица3[[#This Row],[№ акта]],$AJ$1:$BJ$691,15,FALSE)</f>
        <v>А-54/4</v>
      </c>
      <c r="U422" s="482" t="str">
        <f>VLOOKUP(Таблица3[[#This Row],[№ акта]],$AJ$1:$BJ$691,16,FALSE)</f>
        <v>Тристар</v>
      </c>
      <c r="V422" s="502">
        <f>VLOOKUP(Таблица3[[#This Row],[№ акта]],$AJ$1:$BJ$691,17,FALSE)</f>
        <v>1.2</v>
      </c>
      <c r="W422" s="502" t="str">
        <f>VLOOKUP(Таблица3[[#This Row],[№ акта]],$AJ$1:$BJ$691,18,FALSE)</f>
        <v>ГРК (полив)</v>
      </c>
      <c r="X422" s="502" t="str">
        <f>VLOOKUP(Таблица3[[#This Row],[№ акта]],$AJ$1:$BJ$691,19,FALSE)</f>
        <v>полив</v>
      </c>
      <c r="Y422" s="503">
        <f>VLOOKUP(Таблица3[[#This Row],[№ акта]],$AJ$1:$BJ$691,20,FALSE)</f>
        <v>21</v>
      </c>
      <c r="Z422" s="504">
        <f>VLOOKUP(Таблица3[[#This Row],[№ акта]],$AJ$1:$BJ$691,21,FALSE)</f>
        <v>46197</v>
      </c>
      <c r="AA422" s="504"/>
      <c r="AB422" s="504" t="str">
        <f>IF(VLOOKUP(Таблица3[[#This Row],[№ акта]],$AJ$1:$BJ$691,23,FALSE)&lt;&gt;0,VLOOKUP(Таблица3[[#This Row],[№ акта]],$AJ$1:$BJ$691,23,FALSE),"-")</f>
        <v>-</v>
      </c>
      <c r="AC42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22" s="506" t="s">
        <v>2940</v>
      </c>
      <c r="AE422" s="505">
        <v>435</v>
      </c>
      <c r="AF422" s="507">
        <v>46197</v>
      </c>
      <c r="AG422" s="505">
        <v>345</v>
      </c>
      <c r="AH422" s="505">
        <f>IFERROR(VLOOKUP(Таблица3[[#This Row],[№ акта]],'Степень зрелости 2026'!$H$12:$I$800,2,FALSE),)</f>
        <v>55</v>
      </c>
      <c r="AJ422" s="508">
        <v>435</v>
      </c>
      <c r="AK422" s="509">
        <v>46197</v>
      </c>
      <c r="AL422" s="508">
        <v>562</v>
      </c>
      <c r="AO422" s="508">
        <v>4530</v>
      </c>
      <c r="AP422" s="508">
        <v>3873.1</v>
      </c>
      <c r="AQ422" s="508" t="s">
        <v>3375</v>
      </c>
      <c r="AR422" s="508" t="s">
        <v>909</v>
      </c>
      <c r="AS422" s="508" t="s">
        <v>864</v>
      </c>
      <c r="AT422" s="508" t="s">
        <v>737</v>
      </c>
      <c r="AV422" s="508" t="s">
        <v>738</v>
      </c>
      <c r="AX422" s="508" t="s">
        <v>2884</v>
      </c>
      <c r="AY422" s="508" t="s">
        <v>909</v>
      </c>
      <c r="AZ422" s="508">
        <v>1.2</v>
      </c>
      <c r="BA422" s="508" t="s">
        <v>2932</v>
      </c>
      <c r="BB422" s="508" t="s">
        <v>178</v>
      </c>
      <c r="BC422" s="508">
        <v>21</v>
      </c>
      <c r="BD422" s="509">
        <v>46197</v>
      </c>
      <c r="BG422" s="508" t="s">
        <v>724</v>
      </c>
      <c r="BH422" s="508" t="s">
        <v>2940</v>
      </c>
      <c r="BI422" s="508">
        <v>345</v>
      </c>
      <c r="BJ422" s="508">
        <v>55</v>
      </c>
    </row>
    <row r="423" spans="1:62" s="508" customFormat="1" ht="14.25" hidden="1" customHeight="1" x14ac:dyDescent="0.2">
      <c r="A423" s="495"/>
      <c r="B423" s="496"/>
      <c r="C423" s="497">
        <f>Таблица3[[#This Row],[Степень зрелости вспом]]</f>
        <v>64</v>
      </c>
      <c r="D423" s="498">
        <v>563</v>
      </c>
      <c r="E423" s="499"/>
      <c r="F423" s="496"/>
      <c r="G423" s="496">
        <v>13190</v>
      </c>
      <c r="H423" s="500"/>
      <c r="I423" s="496">
        <v>12134.8</v>
      </c>
      <c r="J423" s="495" t="s">
        <v>3464</v>
      </c>
      <c r="K423" s="495" t="s">
        <v>1755</v>
      </c>
      <c r="L423" s="495" t="s">
        <v>3114</v>
      </c>
      <c r="M423" s="495" t="s">
        <v>1312</v>
      </c>
      <c r="N423" s="495"/>
      <c r="O423" s="495"/>
      <c r="P423" s="495"/>
      <c r="Q423" s="495"/>
      <c r="R423" s="501" t="s">
        <v>320</v>
      </c>
      <c r="S423" s="495"/>
      <c r="T423" s="482" t="str">
        <f>VLOOKUP(Таблица3[[#This Row],[№ акта]],$AJ$1:$BJ$691,15,FALSE)</f>
        <v>12 Агролидер</v>
      </c>
      <c r="U423" s="482" t="str">
        <f>VLOOKUP(Таблица3[[#This Row],[№ акта]],$AJ$1:$BJ$691,16,FALSE)</f>
        <v>Женева</v>
      </c>
      <c r="V423" s="502">
        <f>VLOOKUP(Таблица3[[#This Row],[№ акта]],$AJ$1:$BJ$691,17,FALSE)</f>
        <v>2.7</v>
      </c>
      <c r="W423" s="502" t="str">
        <f>VLOOKUP(Таблица3[[#This Row],[№ акта]],$AJ$1:$BJ$691,18,FALSE)</f>
        <v>Агролидер (полив)</v>
      </c>
      <c r="X423" s="502" t="str">
        <f>VLOOKUP(Таблица3[[#This Row],[№ акта]],$AJ$1:$BJ$691,19,FALSE)</f>
        <v>полив</v>
      </c>
      <c r="Y423" s="503">
        <f>VLOOKUP(Таблица3[[#This Row],[№ акта]],$AJ$1:$BJ$691,20,FALSE)</f>
        <v>21</v>
      </c>
      <c r="Z423" s="504">
        <f>VLOOKUP(Таблица3[[#This Row],[№ акта]],$AJ$1:$BJ$691,21,FALSE)</f>
        <v>46197</v>
      </c>
      <c r="AA423" s="504"/>
      <c r="AB423" s="504" t="str">
        <f>IF(VLOOKUP(Таблица3[[#This Row],[№ акта]],$AJ$1:$BJ$691,23,FALSE)&lt;&gt;0,VLOOKUP(Таблица3[[#This Row],[№ акта]],$AJ$1:$BJ$691,23,FALSE),"-")</f>
        <v>-</v>
      </c>
      <c r="AC42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23" s="506" t="s">
        <v>3230</v>
      </c>
      <c r="AE423" s="505">
        <v>436</v>
      </c>
      <c r="AF423" s="507">
        <v>46197</v>
      </c>
      <c r="AG423" s="505">
        <v>56</v>
      </c>
      <c r="AH423" s="505">
        <f>IFERROR(VLOOKUP(Таблица3[[#This Row],[№ акта]],'Степень зрелости 2026'!$H$12:$I$800,2,FALSE),)</f>
        <v>64</v>
      </c>
      <c r="AJ423" s="508">
        <v>436</v>
      </c>
      <c r="AK423" s="509">
        <v>46197</v>
      </c>
      <c r="AL423" s="508">
        <v>563</v>
      </c>
      <c r="AO423" s="508">
        <v>13190</v>
      </c>
      <c r="AP423" s="508">
        <v>12134.8</v>
      </c>
      <c r="AQ423" s="508" t="s">
        <v>3464</v>
      </c>
      <c r="AR423" s="508" t="s">
        <v>1755</v>
      </c>
      <c r="AS423" s="508" t="s">
        <v>3114</v>
      </c>
      <c r="AT423" s="508" t="s">
        <v>1312</v>
      </c>
      <c r="AV423" s="508" t="s">
        <v>320</v>
      </c>
      <c r="AX423" s="508" t="s">
        <v>3114</v>
      </c>
      <c r="AY423" s="508" t="s">
        <v>1755</v>
      </c>
      <c r="AZ423" s="508">
        <v>2.7</v>
      </c>
      <c r="BA423" s="508" t="s">
        <v>52</v>
      </c>
      <c r="BB423" s="508" t="s">
        <v>178</v>
      </c>
      <c r="BC423" s="508">
        <v>21</v>
      </c>
      <c r="BD423" s="509">
        <v>46197</v>
      </c>
      <c r="BG423" s="508" t="s">
        <v>3559</v>
      </c>
      <c r="BH423" s="508" t="s">
        <v>2940</v>
      </c>
      <c r="BI423" s="508">
        <v>56</v>
      </c>
      <c r="BJ423" s="508">
        <v>64</v>
      </c>
    </row>
    <row r="424" spans="1:62" s="508" customFormat="1" ht="14.25" hidden="1" customHeight="1" x14ac:dyDescent="0.2">
      <c r="A424" s="495"/>
      <c r="B424" s="496"/>
      <c r="C424" s="497">
        <f>Таблица3[[#This Row],[Степень зрелости вспом]]</f>
        <v>58</v>
      </c>
      <c r="D424" s="498">
        <v>564</v>
      </c>
      <c r="E424" s="499"/>
      <c r="F424" s="496"/>
      <c r="G424" s="496">
        <v>4660</v>
      </c>
      <c r="H424" s="500"/>
      <c r="I424" s="496">
        <v>3914.4</v>
      </c>
      <c r="J424" s="495" t="s">
        <v>3375</v>
      </c>
      <c r="K424" s="495" t="s">
        <v>909</v>
      </c>
      <c r="L424" s="495" t="s">
        <v>864</v>
      </c>
      <c r="M424" s="495" t="s">
        <v>121</v>
      </c>
      <c r="N424" s="495"/>
      <c r="O424" s="495"/>
      <c r="P424" s="495"/>
      <c r="Q424" s="495"/>
      <c r="R424" s="501" t="s">
        <v>125</v>
      </c>
      <c r="S424" s="495"/>
      <c r="T424" s="482" t="str">
        <f>VLOOKUP(Таблица3[[#This Row],[№ акта]],$AJ$1:$BJ$691,15,FALSE)</f>
        <v>А-54/4</v>
      </c>
      <c r="U424" s="482" t="str">
        <f>VLOOKUP(Таблица3[[#This Row],[№ акта]],$AJ$1:$BJ$691,16,FALSE)</f>
        <v>Тристар</v>
      </c>
      <c r="V424" s="502">
        <f>VLOOKUP(Таблица3[[#This Row],[№ акта]],$AJ$1:$BJ$691,17,FALSE)</f>
        <v>1.2</v>
      </c>
      <c r="W424" s="502" t="str">
        <f>VLOOKUP(Таблица3[[#This Row],[№ акта]],$AJ$1:$BJ$691,18,FALSE)</f>
        <v>ГРК (полив)</v>
      </c>
      <c r="X424" s="502" t="str">
        <f>VLOOKUP(Таблица3[[#This Row],[№ акта]],$AJ$1:$BJ$691,19,FALSE)</f>
        <v>полив</v>
      </c>
      <c r="Y424" s="503">
        <f>VLOOKUP(Таблица3[[#This Row],[№ акта]],$AJ$1:$BJ$691,20,FALSE)</f>
        <v>21</v>
      </c>
      <c r="Z424" s="504">
        <f>VLOOKUP(Таблица3[[#This Row],[№ акта]],$AJ$1:$BJ$691,21,FALSE)</f>
        <v>46197</v>
      </c>
      <c r="AA424" s="504"/>
      <c r="AB424" s="504" t="str">
        <f>IF(VLOOKUP(Таблица3[[#This Row],[№ акта]],$AJ$1:$BJ$691,23,FALSE)&lt;&gt;0,VLOOKUP(Таблица3[[#This Row],[№ акта]],$AJ$1:$BJ$691,23,FALSE),"-")</f>
        <v>-</v>
      </c>
      <c r="AC42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24" s="506" t="s">
        <v>2940</v>
      </c>
      <c r="AE424" s="505">
        <v>437</v>
      </c>
      <c r="AF424" s="507">
        <v>46197</v>
      </c>
      <c r="AG424" s="505">
        <v>346</v>
      </c>
      <c r="AH424" s="505">
        <f>IFERROR(VLOOKUP(Таблица3[[#This Row],[№ акта]],'Степень зрелости 2026'!$H$12:$I$800,2,FALSE),)</f>
        <v>58</v>
      </c>
      <c r="AJ424" s="508">
        <v>437</v>
      </c>
      <c r="AK424" s="509">
        <v>46197</v>
      </c>
      <c r="AL424" s="508">
        <v>564</v>
      </c>
      <c r="AO424" s="508">
        <v>4660</v>
      </c>
      <c r="AP424" s="508">
        <v>3914.4</v>
      </c>
      <c r="AQ424" s="508" t="s">
        <v>3375</v>
      </c>
      <c r="AR424" s="508" t="s">
        <v>909</v>
      </c>
      <c r="AS424" s="508" t="s">
        <v>864</v>
      </c>
      <c r="AT424" s="508" t="s">
        <v>121</v>
      </c>
      <c r="AV424" s="508" t="s">
        <v>125</v>
      </c>
      <c r="AX424" s="508" t="s">
        <v>2884</v>
      </c>
      <c r="AY424" s="508" t="s">
        <v>909</v>
      </c>
      <c r="AZ424" s="508">
        <v>1.2</v>
      </c>
      <c r="BA424" s="508" t="s">
        <v>2932</v>
      </c>
      <c r="BB424" s="508" t="s">
        <v>178</v>
      </c>
      <c r="BC424" s="508">
        <v>21</v>
      </c>
      <c r="BD424" s="509">
        <v>46197</v>
      </c>
      <c r="BG424" s="508" t="s">
        <v>724</v>
      </c>
      <c r="BH424" s="508" t="s">
        <v>2940</v>
      </c>
      <c r="BI424" s="508">
        <v>346</v>
      </c>
      <c r="BJ424" s="508">
        <v>58</v>
      </c>
    </row>
    <row r="425" spans="1:62" s="508" customFormat="1" ht="14.25" hidden="1" customHeight="1" x14ac:dyDescent="0.2">
      <c r="A425" s="495"/>
      <c r="B425" s="496"/>
      <c r="C425" s="497">
        <f>Таблица3[[#This Row],[Степень зрелости вспом]]</f>
        <v>59</v>
      </c>
      <c r="D425" s="498">
        <v>567</v>
      </c>
      <c r="E425" s="499"/>
      <c r="F425" s="496"/>
      <c r="G425" s="496">
        <v>4710</v>
      </c>
      <c r="H425" s="500"/>
      <c r="I425" s="496">
        <v>4309.6000000000004</v>
      </c>
      <c r="J425" s="495" t="s">
        <v>3375</v>
      </c>
      <c r="K425" s="495" t="s">
        <v>909</v>
      </c>
      <c r="L425" s="495" t="s">
        <v>864</v>
      </c>
      <c r="M425" s="495" t="s">
        <v>737</v>
      </c>
      <c r="N425" s="495"/>
      <c r="O425" s="495"/>
      <c r="P425" s="495"/>
      <c r="Q425" s="495"/>
      <c r="R425" s="501" t="s">
        <v>738</v>
      </c>
      <c r="S425" s="495"/>
      <c r="T425" s="482" t="str">
        <f>VLOOKUP(Таблица3[[#This Row],[№ акта]],$AJ$1:$BJ$691,15,FALSE)</f>
        <v>А-54/4</v>
      </c>
      <c r="U425" s="482" t="str">
        <f>VLOOKUP(Таблица3[[#This Row],[№ акта]],$AJ$1:$BJ$691,16,FALSE)</f>
        <v>Тристар</v>
      </c>
      <c r="V425" s="502">
        <f>VLOOKUP(Таблица3[[#This Row],[№ акта]],$AJ$1:$BJ$691,17,FALSE)</f>
        <v>1.2</v>
      </c>
      <c r="W425" s="502" t="str">
        <f>VLOOKUP(Таблица3[[#This Row],[№ акта]],$AJ$1:$BJ$691,18,FALSE)</f>
        <v>ГРК (полив)</v>
      </c>
      <c r="X425" s="502" t="str">
        <f>VLOOKUP(Таблица3[[#This Row],[№ акта]],$AJ$1:$BJ$691,19,FALSE)</f>
        <v>полив</v>
      </c>
      <c r="Y425" s="503">
        <f>VLOOKUP(Таблица3[[#This Row],[№ акта]],$AJ$1:$BJ$691,20,FALSE)</f>
        <v>21</v>
      </c>
      <c r="Z425" s="504">
        <f>VLOOKUP(Таблица3[[#This Row],[№ акта]],$AJ$1:$BJ$691,21,FALSE)</f>
        <v>46197</v>
      </c>
      <c r="AA425" s="504"/>
      <c r="AB425" s="504" t="str">
        <f>IF(VLOOKUP(Таблица3[[#This Row],[№ акта]],$AJ$1:$BJ$691,23,FALSE)&lt;&gt;0,VLOOKUP(Таблица3[[#This Row],[№ акта]],$AJ$1:$BJ$691,23,FALSE),"-")</f>
        <v>-</v>
      </c>
      <c r="AC42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25" s="506" t="s">
        <v>2940</v>
      </c>
      <c r="AE425" s="505">
        <v>438</v>
      </c>
      <c r="AF425" s="507">
        <v>46197</v>
      </c>
      <c r="AG425" s="505">
        <v>347</v>
      </c>
      <c r="AH425" s="505">
        <f>IFERROR(VLOOKUP(Таблица3[[#This Row],[№ акта]],'Степень зрелости 2026'!$H$12:$I$800,2,FALSE),)</f>
        <v>59</v>
      </c>
      <c r="AJ425" s="508">
        <v>438</v>
      </c>
      <c r="AK425" s="509">
        <v>46197</v>
      </c>
      <c r="AL425" s="508">
        <v>567</v>
      </c>
      <c r="AO425" s="508">
        <v>4710</v>
      </c>
      <c r="AP425" s="508">
        <v>4309.6000000000004</v>
      </c>
      <c r="AQ425" s="508" t="s">
        <v>3375</v>
      </c>
      <c r="AR425" s="508" t="s">
        <v>909</v>
      </c>
      <c r="AS425" s="508" t="s">
        <v>864</v>
      </c>
      <c r="AT425" s="508" t="s">
        <v>737</v>
      </c>
      <c r="AV425" s="508" t="s">
        <v>738</v>
      </c>
      <c r="AX425" s="508" t="s">
        <v>2884</v>
      </c>
      <c r="AY425" s="508" t="s">
        <v>909</v>
      </c>
      <c r="AZ425" s="508">
        <v>1.2</v>
      </c>
      <c r="BA425" s="508" t="s">
        <v>2932</v>
      </c>
      <c r="BB425" s="508" t="s">
        <v>178</v>
      </c>
      <c r="BC425" s="508">
        <v>21</v>
      </c>
      <c r="BD425" s="509">
        <v>46197</v>
      </c>
      <c r="BG425" s="508" t="s">
        <v>724</v>
      </c>
      <c r="BH425" s="508" t="s">
        <v>2940</v>
      </c>
      <c r="BI425" s="508">
        <v>347</v>
      </c>
      <c r="BJ425" s="508">
        <v>59</v>
      </c>
    </row>
    <row r="426" spans="1:62" s="508" customFormat="1" ht="14.25" hidden="1" customHeight="1" x14ac:dyDescent="0.2">
      <c r="A426" s="495"/>
      <c r="B426" s="496"/>
      <c r="C426" s="497">
        <f>Таблица3[[#This Row],[Степень зрелости вспом]]</f>
        <v>65</v>
      </c>
      <c r="D426" s="498">
        <v>568</v>
      </c>
      <c r="E426" s="499"/>
      <c r="F426" s="496"/>
      <c r="G426" s="496">
        <v>9240</v>
      </c>
      <c r="H426" s="500"/>
      <c r="I426" s="496">
        <v>8269.7999999999993</v>
      </c>
      <c r="J426" s="495" t="s">
        <v>3375</v>
      </c>
      <c r="K426" s="495" t="s">
        <v>909</v>
      </c>
      <c r="L426" s="495" t="s">
        <v>864</v>
      </c>
      <c r="M426" s="495" t="s">
        <v>121</v>
      </c>
      <c r="N426" s="495"/>
      <c r="O426" s="495"/>
      <c r="P426" s="495"/>
      <c r="Q426" s="495"/>
      <c r="R426" s="501" t="s">
        <v>125</v>
      </c>
      <c r="S426" s="495"/>
      <c r="T426" s="482" t="str">
        <f>VLOOKUP(Таблица3[[#This Row],[№ акта]],$AJ$1:$BJ$691,15,FALSE)</f>
        <v>А-54/4</v>
      </c>
      <c r="U426" s="482" t="str">
        <f>VLOOKUP(Таблица3[[#This Row],[№ акта]],$AJ$1:$BJ$691,16,FALSE)</f>
        <v>Тристар</v>
      </c>
      <c r="V426" s="502">
        <f>VLOOKUP(Таблица3[[#This Row],[№ акта]],$AJ$1:$BJ$691,17,FALSE)</f>
        <v>2.4</v>
      </c>
      <c r="W426" s="502" t="str">
        <f>VLOOKUP(Таблица3[[#This Row],[№ акта]],$AJ$1:$BJ$691,18,FALSE)</f>
        <v>ГРК (полив)</v>
      </c>
      <c r="X426" s="502" t="str">
        <f>VLOOKUP(Таблица3[[#This Row],[№ акта]],$AJ$1:$BJ$691,19,FALSE)</f>
        <v>полив</v>
      </c>
      <c r="Y426" s="503">
        <f>VLOOKUP(Таблица3[[#This Row],[№ акта]],$AJ$1:$BJ$691,20,FALSE)</f>
        <v>21</v>
      </c>
      <c r="Z426" s="504">
        <f>VLOOKUP(Таблица3[[#This Row],[№ акта]],$AJ$1:$BJ$691,21,FALSE)</f>
        <v>46197</v>
      </c>
      <c r="AA426" s="504"/>
      <c r="AB426" s="504" t="str">
        <f>IF(VLOOKUP(Таблица3[[#This Row],[№ акта]],$AJ$1:$BJ$691,23,FALSE)&lt;&gt;0,VLOOKUP(Таблица3[[#This Row],[№ акта]],$AJ$1:$BJ$691,23,FALSE),"-")</f>
        <v>-</v>
      </c>
      <c r="AC42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26" s="506" t="s">
        <v>3230</v>
      </c>
      <c r="AE426" s="505">
        <v>439</v>
      </c>
      <c r="AF426" s="507">
        <v>46197</v>
      </c>
      <c r="AG426" s="505">
        <v>348</v>
      </c>
      <c r="AH426" s="505">
        <f>IFERROR(VLOOKUP(Таблица3[[#This Row],[№ акта]],'Степень зрелости 2026'!$H$12:$I$800,2,FALSE),)</f>
        <v>65</v>
      </c>
      <c r="AJ426" s="508">
        <v>439</v>
      </c>
      <c r="AK426" s="509">
        <v>46197</v>
      </c>
      <c r="AL426" s="508">
        <v>568</v>
      </c>
      <c r="AO426" s="508">
        <v>9240</v>
      </c>
      <c r="AP426" s="508">
        <v>8269.7999999999993</v>
      </c>
      <c r="AQ426" s="508" t="s">
        <v>3375</v>
      </c>
      <c r="AR426" s="508" t="s">
        <v>909</v>
      </c>
      <c r="AS426" s="508" t="s">
        <v>864</v>
      </c>
      <c r="AT426" s="508" t="s">
        <v>121</v>
      </c>
      <c r="AV426" s="508" t="s">
        <v>125</v>
      </c>
      <c r="AX426" s="508" t="s">
        <v>2884</v>
      </c>
      <c r="AY426" s="508" t="s">
        <v>909</v>
      </c>
      <c r="AZ426" s="508">
        <v>2.4</v>
      </c>
      <c r="BA426" s="508" t="s">
        <v>2932</v>
      </c>
      <c r="BB426" s="508" t="s">
        <v>178</v>
      </c>
      <c r="BC426" s="508">
        <v>21</v>
      </c>
      <c r="BD426" s="509">
        <v>46197</v>
      </c>
      <c r="BG426" s="508" t="s">
        <v>3559</v>
      </c>
      <c r="BH426" s="508" t="s">
        <v>2940</v>
      </c>
      <c r="BI426" s="508">
        <v>348</v>
      </c>
      <c r="BJ426" s="508">
        <v>65</v>
      </c>
    </row>
    <row r="427" spans="1:62" s="508" customFormat="1" ht="14.25" hidden="1" customHeight="1" x14ac:dyDescent="0.2">
      <c r="A427" s="495"/>
      <c r="B427" s="496"/>
      <c r="C427" s="497">
        <f>Таблица3[[#This Row],[Степень зрелости вспом]]</f>
        <v>70</v>
      </c>
      <c r="D427" s="498">
        <v>569</v>
      </c>
      <c r="E427" s="499"/>
      <c r="F427" s="496"/>
      <c r="G427" s="496">
        <v>16090</v>
      </c>
      <c r="H427" s="500"/>
      <c r="I427" s="496">
        <v>15365.9</v>
      </c>
      <c r="J427" s="495" t="s">
        <v>3464</v>
      </c>
      <c r="K427" s="495" t="s">
        <v>1755</v>
      </c>
      <c r="L427" s="495" t="s">
        <v>3114</v>
      </c>
      <c r="M427" s="495" t="s">
        <v>894</v>
      </c>
      <c r="N427" s="495"/>
      <c r="O427" s="495"/>
      <c r="P427" s="495"/>
      <c r="Q427" s="495"/>
      <c r="R427" s="501" t="s">
        <v>895</v>
      </c>
      <c r="S427" s="495"/>
      <c r="T427" s="482" t="str">
        <f>VLOOKUP(Таблица3[[#This Row],[№ акта]],$AJ$1:$BJ$691,15,FALSE)</f>
        <v>12 Агролидер</v>
      </c>
      <c r="U427" s="482" t="str">
        <f>VLOOKUP(Таблица3[[#This Row],[№ акта]],$AJ$1:$BJ$691,16,FALSE)</f>
        <v>Женева</v>
      </c>
      <c r="V427" s="502">
        <f>VLOOKUP(Таблица3[[#This Row],[№ акта]],$AJ$1:$BJ$691,17,FALSE)</f>
        <v>3.3</v>
      </c>
      <c r="W427" s="502" t="str">
        <f>VLOOKUP(Таблица3[[#This Row],[№ акта]],$AJ$1:$BJ$691,18,FALSE)</f>
        <v>Агролидер (полив)</v>
      </c>
      <c r="X427" s="502" t="str">
        <f>VLOOKUP(Таблица3[[#This Row],[№ акта]],$AJ$1:$BJ$691,19,FALSE)</f>
        <v>полив</v>
      </c>
      <c r="Y427" s="503">
        <f>VLOOKUP(Таблица3[[#This Row],[№ акта]],$AJ$1:$BJ$691,20,FALSE)</f>
        <v>21</v>
      </c>
      <c r="Z427" s="504">
        <f>VLOOKUP(Таблица3[[#This Row],[№ акта]],$AJ$1:$BJ$691,21,FALSE)</f>
        <v>46197</v>
      </c>
      <c r="AA427" s="504"/>
      <c r="AB427" s="504" t="str">
        <f>IF(VLOOKUP(Таблица3[[#This Row],[№ акта]],$AJ$1:$BJ$691,23,FALSE)&lt;&gt;0,VLOOKUP(Таблица3[[#This Row],[№ акта]],$AJ$1:$BJ$691,23,FALSE),"-")</f>
        <v>-</v>
      </c>
      <c r="AC42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27" s="506" t="s">
        <v>3230</v>
      </c>
      <c r="AE427" s="505">
        <v>440</v>
      </c>
      <c r="AF427" s="507">
        <v>46197</v>
      </c>
      <c r="AG427" s="505">
        <v>57</v>
      </c>
      <c r="AH427" s="505">
        <f>IFERROR(VLOOKUP(Таблица3[[#This Row],[№ акта]],'Степень зрелости 2026'!$H$12:$I$800,2,FALSE),)</f>
        <v>70</v>
      </c>
      <c r="AJ427" s="508">
        <v>440</v>
      </c>
      <c r="AK427" s="509">
        <v>46197</v>
      </c>
      <c r="AL427" s="508">
        <v>569</v>
      </c>
      <c r="AO427" s="508">
        <v>16090</v>
      </c>
      <c r="AP427" s="508">
        <v>15365.9</v>
      </c>
      <c r="AQ427" s="508" t="s">
        <v>3464</v>
      </c>
      <c r="AR427" s="508" t="s">
        <v>1755</v>
      </c>
      <c r="AS427" s="508" t="s">
        <v>3114</v>
      </c>
      <c r="AT427" s="508" t="s">
        <v>894</v>
      </c>
      <c r="AV427" s="508" t="s">
        <v>895</v>
      </c>
      <c r="AX427" s="508" t="s">
        <v>3114</v>
      </c>
      <c r="AY427" s="508" t="s">
        <v>1755</v>
      </c>
      <c r="AZ427" s="508">
        <v>3.3</v>
      </c>
      <c r="BA427" s="508" t="s">
        <v>52</v>
      </c>
      <c r="BB427" s="508" t="s">
        <v>178</v>
      </c>
      <c r="BC427" s="508">
        <v>21</v>
      </c>
      <c r="BD427" s="509">
        <v>46197</v>
      </c>
      <c r="BG427" s="508" t="s">
        <v>420</v>
      </c>
      <c r="BH427" s="508" t="s">
        <v>2940</v>
      </c>
      <c r="BI427" s="508">
        <v>57</v>
      </c>
      <c r="BJ427" s="508">
        <v>70</v>
      </c>
    </row>
    <row r="428" spans="1:62" s="508" customFormat="1" ht="14.25" hidden="1" customHeight="1" x14ac:dyDescent="0.2">
      <c r="A428" s="495"/>
      <c r="B428" s="496"/>
      <c r="C428" s="497">
        <f>Таблица3[[#This Row],[Степень зрелости вспом]]</f>
        <v>60</v>
      </c>
      <c r="D428" s="498">
        <v>570</v>
      </c>
      <c r="E428" s="499"/>
      <c r="F428" s="496"/>
      <c r="G428" s="496">
        <v>9060</v>
      </c>
      <c r="H428" s="500"/>
      <c r="I428" s="496">
        <v>8199.2999999999993</v>
      </c>
      <c r="J428" s="495" t="s">
        <v>3375</v>
      </c>
      <c r="K428" s="495" t="s">
        <v>909</v>
      </c>
      <c r="L428" s="495" t="s">
        <v>864</v>
      </c>
      <c r="M428" s="495" t="s">
        <v>1461</v>
      </c>
      <c r="N428" s="495"/>
      <c r="O428" s="495"/>
      <c r="P428" s="495"/>
      <c r="Q428" s="495"/>
      <c r="R428" s="501" t="s">
        <v>149</v>
      </c>
      <c r="S428" s="495"/>
      <c r="T428" s="482" t="str">
        <f>VLOOKUP(Таблица3[[#This Row],[№ акта]],$AJ$1:$BJ$691,15,FALSE)</f>
        <v>А-54/4</v>
      </c>
      <c r="U428" s="482" t="str">
        <f>VLOOKUP(Таблица3[[#This Row],[№ акта]],$AJ$1:$BJ$691,16,FALSE)</f>
        <v>Тристар</v>
      </c>
      <c r="V428" s="502">
        <f>VLOOKUP(Таблица3[[#This Row],[№ акта]],$AJ$1:$BJ$691,17,FALSE)</f>
        <v>2.4</v>
      </c>
      <c r="W428" s="502" t="str">
        <f>VLOOKUP(Таблица3[[#This Row],[№ акта]],$AJ$1:$BJ$691,18,FALSE)</f>
        <v>ГРК (полив)</v>
      </c>
      <c r="X428" s="502" t="str">
        <f>VLOOKUP(Таблица3[[#This Row],[№ акта]],$AJ$1:$BJ$691,19,FALSE)</f>
        <v>полив</v>
      </c>
      <c r="Y428" s="503">
        <f>VLOOKUP(Таблица3[[#This Row],[№ акта]],$AJ$1:$BJ$691,20,FALSE)</f>
        <v>21</v>
      </c>
      <c r="Z428" s="504">
        <f>VLOOKUP(Таблица3[[#This Row],[№ акта]],$AJ$1:$BJ$691,21,FALSE)</f>
        <v>46197</v>
      </c>
      <c r="AA428" s="504"/>
      <c r="AB428" s="504" t="str">
        <f>IF(VLOOKUP(Таблица3[[#This Row],[№ акта]],$AJ$1:$BJ$691,23,FALSE)&lt;&gt;0,VLOOKUP(Таблица3[[#This Row],[№ акта]],$AJ$1:$BJ$691,23,FALSE),"-")</f>
        <v>-</v>
      </c>
      <c r="AC42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28" s="506" t="s">
        <v>2940</v>
      </c>
      <c r="AE428" s="505">
        <v>441</v>
      </c>
      <c r="AF428" s="507">
        <v>46197</v>
      </c>
      <c r="AG428" s="505">
        <v>349</v>
      </c>
      <c r="AH428" s="505">
        <f>IFERROR(VLOOKUP(Таблица3[[#This Row],[№ акта]],'Степень зрелости 2026'!$H$12:$I$800,2,FALSE),)</f>
        <v>60</v>
      </c>
      <c r="AJ428" s="508">
        <v>441</v>
      </c>
      <c r="AK428" s="509">
        <v>46197</v>
      </c>
      <c r="AL428" s="508">
        <v>570</v>
      </c>
      <c r="AO428" s="508">
        <v>9060</v>
      </c>
      <c r="AP428" s="508">
        <v>8199.2999999999993</v>
      </c>
      <c r="AQ428" s="508" t="s">
        <v>3375</v>
      </c>
      <c r="AR428" s="508" t="s">
        <v>909</v>
      </c>
      <c r="AS428" s="508" t="s">
        <v>864</v>
      </c>
      <c r="AT428" s="508" t="s">
        <v>1461</v>
      </c>
      <c r="AV428" s="508" t="s">
        <v>149</v>
      </c>
      <c r="AX428" s="508" t="s">
        <v>2884</v>
      </c>
      <c r="AY428" s="508" t="s">
        <v>909</v>
      </c>
      <c r="AZ428" s="508">
        <v>2.4</v>
      </c>
      <c r="BA428" s="508" t="s">
        <v>2932</v>
      </c>
      <c r="BB428" s="508" t="s">
        <v>178</v>
      </c>
      <c r="BC428" s="508">
        <v>21</v>
      </c>
      <c r="BD428" s="509">
        <v>46197</v>
      </c>
      <c r="BG428" s="508" t="s">
        <v>724</v>
      </c>
      <c r="BH428" s="508" t="s">
        <v>2940</v>
      </c>
      <c r="BI428" s="508">
        <v>349</v>
      </c>
      <c r="BJ428" s="508">
        <v>60</v>
      </c>
    </row>
    <row r="429" spans="1:62" s="508" customFormat="1" ht="14.25" hidden="1" customHeight="1" x14ac:dyDescent="0.2">
      <c r="A429" s="495"/>
      <c r="B429" s="496"/>
      <c r="C429" s="497">
        <f>Таблица3[[#This Row],[Степень зрелости вспом]]</f>
        <v>61</v>
      </c>
      <c r="D429" s="498">
        <v>571</v>
      </c>
      <c r="E429" s="499"/>
      <c r="F429" s="496"/>
      <c r="G429" s="496">
        <v>4600</v>
      </c>
      <c r="H429" s="500"/>
      <c r="I429" s="496">
        <v>4071</v>
      </c>
      <c r="J429" s="495" t="s">
        <v>3375</v>
      </c>
      <c r="K429" s="495" t="s">
        <v>909</v>
      </c>
      <c r="L429" s="495" t="s">
        <v>864</v>
      </c>
      <c r="M429" s="495" t="s">
        <v>737</v>
      </c>
      <c r="N429" s="495"/>
      <c r="O429" s="495"/>
      <c r="P429" s="495"/>
      <c r="Q429" s="495"/>
      <c r="R429" s="501" t="s">
        <v>738</v>
      </c>
      <c r="S429" s="495"/>
      <c r="T429" s="482" t="str">
        <f>VLOOKUP(Таблица3[[#This Row],[№ акта]],$AJ$1:$BJ$691,15,FALSE)</f>
        <v>А-54/4</v>
      </c>
      <c r="U429" s="482" t="str">
        <f>VLOOKUP(Таблица3[[#This Row],[№ акта]],$AJ$1:$BJ$691,16,FALSE)</f>
        <v>Тристар</v>
      </c>
      <c r="V429" s="502">
        <f>VLOOKUP(Таблица3[[#This Row],[№ акта]],$AJ$1:$BJ$691,17,FALSE)</f>
        <v>1.2</v>
      </c>
      <c r="W429" s="502" t="str">
        <f>VLOOKUP(Таблица3[[#This Row],[№ акта]],$AJ$1:$BJ$691,18,FALSE)</f>
        <v>ГРК (полив)</v>
      </c>
      <c r="X429" s="502" t="str">
        <f>VLOOKUP(Таблица3[[#This Row],[№ акта]],$AJ$1:$BJ$691,19,FALSE)</f>
        <v>полив</v>
      </c>
      <c r="Y429" s="503">
        <f>VLOOKUP(Таблица3[[#This Row],[№ акта]],$AJ$1:$BJ$691,20,FALSE)</f>
        <v>21</v>
      </c>
      <c r="Z429" s="504">
        <f>VLOOKUP(Таблица3[[#This Row],[№ акта]],$AJ$1:$BJ$691,21,FALSE)</f>
        <v>46197</v>
      </c>
      <c r="AA429" s="504"/>
      <c r="AB429" s="504" t="str">
        <f>IF(VLOOKUP(Таблица3[[#This Row],[№ акта]],$AJ$1:$BJ$691,23,FALSE)&lt;&gt;0,VLOOKUP(Таблица3[[#This Row],[№ акта]],$AJ$1:$BJ$691,23,FALSE),"-")</f>
        <v>-</v>
      </c>
      <c r="AC42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29" s="506" t="s">
        <v>2940</v>
      </c>
      <c r="AE429" s="505">
        <v>442</v>
      </c>
      <c r="AF429" s="507">
        <v>46197</v>
      </c>
      <c r="AG429" s="505">
        <v>350</v>
      </c>
      <c r="AH429" s="505">
        <f>IFERROR(VLOOKUP(Таблица3[[#This Row],[№ акта]],'Степень зрелости 2026'!$H$12:$I$800,2,FALSE),)</f>
        <v>61</v>
      </c>
      <c r="AJ429" s="508">
        <v>442</v>
      </c>
      <c r="AK429" s="509">
        <v>46197</v>
      </c>
      <c r="AL429" s="508">
        <v>571</v>
      </c>
      <c r="AO429" s="508">
        <v>4600</v>
      </c>
      <c r="AP429" s="508">
        <v>4071</v>
      </c>
      <c r="AQ429" s="508" t="s">
        <v>3375</v>
      </c>
      <c r="AR429" s="508" t="s">
        <v>909</v>
      </c>
      <c r="AS429" s="508" t="s">
        <v>864</v>
      </c>
      <c r="AT429" s="508" t="s">
        <v>737</v>
      </c>
      <c r="AV429" s="508" t="s">
        <v>738</v>
      </c>
      <c r="AX429" s="508" t="s">
        <v>2884</v>
      </c>
      <c r="AY429" s="508" t="s">
        <v>909</v>
      </c>
      <c r="AZ429" s="508">
        <v>1.2</v>
      </c>
      <c r="BA429" s="508" t="s">
        <v>2932</v>
      </c>
      <c r="BB429" s="508" t="s">
        <v>178</v>
      </c>
      <c r="BC429" s="508">
        <v>21</v>
      </c>
      <c r="BD429" s="509">
        <v>46197</v>
      </c>
      <c r="BG429" s="508" t="s">
        <v>724</v>
      </c>
      <c r="BH429" s="508" t="s">
        <v>2940</v>
      </c>
      <c r="BI429" s="508">
        <v>350</v>
      </c>
      <c r="BJ429" s="508">
        <v>61</v>
      </c>
    </row>
    <row r="430" spans="1:62" s="508" customFormat="1" ht="14.25" hidden="1" customHeight="1" x14ac:dyDescent="0.2">
      <c r="A430" s="495"/>
      <c r="B430" s="496"/>
      <c r="C430" s="497">
        <f>Таблица3[[#This Row],[Степень зрелости вспом]]</f>
        <v>62</v>
      </c>
      <c r="D430" s="498">
        <v>572</v>
      </c>
      <c r="E430" s="499"/>
      <c r="F430" s="496"/>
      <c r="G430" s="496">
        <v>9170</v>
      </c>
      <c r="H430" s="500"/>
      <c r="I430" s="496">
        <v>8023.8</v>
      </c>
      <c r="J430" s="495" t="s">
        <v>3375</v>
      </c>
      <c r="K430" s="495" t="s">
        <v>909</v>
      </c>
      <c r="L430" s="495" t="s">
        <v>864</v>
      </c>
      <c r="M430" s="495" t="s">
        <v>121</v>
      </c>
      <c r="N430" s="495"/>
      <c r="O430" s="495"/>
      <c r="P430" s="495"/>
      <c r="Q430" s="495"/>
      <c r="R430" s="501" t="s">
        <v>125</v>
      </c>
      <c r="S430" s="495"/>
      <c r="T430" s="482" t="str">
        <f>VLOOKUP(Таблица3[[#This Row],[№ акта]],$AJ$1:$BJ$691,15,FALSE)</f>
        <v>А-54/4</v>
      </c>
      <c r="U430" s="482" t="str">
        <f>VLOOKUP(Таблица3[[#This Row],[№ акта]],$AJ$1:$BJ$691,16,FALSE)</f>
        <v>Тристар</v>
      </c>
      <c r="V430" s="502">
        <f>VLOOKUP(Таблица3[[#This Row],[№ акта]],$AJ$1:$BJ$691,17,FALSE)</f>
        <v>2.4</v>
      </c>
      <c r="W430" s="502" t="str">
        <f>VLOOKUP(Таблица3[[#This Row],[№ акта]],$AJ$1:$BJ$691,18,FALSE)</f>
        <v>ГРК (полив)</v>
      </c>
      <c r="X430" s="502" t="str">
        <f>VLOOKUP(Таблица3[[#This Row],[№ акта]],$AJ$1:$BJ$691,19,FALSE)</f>
        <v>полив</v>
      </c>
      <c r="Y430" s="503">
        <f>VLOOKUP(Таблица3[[#This Row],[№ акта]],$AJ$1:$BJ$691,20,FALSE)</f>
        <v>21</v>
      </c>
      <c r="Z430" s="504">
        <f>VLOOKUP(Таблица3[[#This Row],[№ акта]],$AJ$1:$BJ$691,21,FALSE)</f>
        <v>46197</v>
      </c>
      <c r="AA430" s="504"/>
      <c r="AB430" s="504" t="str">
        <f>IF(VLOOKUP(Таблица3[[#This Row],[№ акта]],$AJ$1:$BJ$691,23,FALSE)&lt;&gt;0,VLOOKUP(Таблица3[[#This Row],[№ акта]],$AJ$1:$BJ$691,23,FALSE),"-")</f>
        <v>-</v>
      </c>
      <c r="AC43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30" s="506" t="s">
        <v>2940</v>
      </c>
      <c r="AE430" s="505">
        <v>443</v>
      </c>
      <c r="AF430" s="507">
        <v>46197</v>
      </c>
      <c r="AG430" s="505">
        <v>351</v>
      </c>
      <c r="AH430" s="505">
        <f>IFERROR(VLOOKUP(Таблица3[[#This Row],[№ акта]],'Степень зрелости 2026'!$H$12:$I$800,2,FALSE),)</f>
        <v>62</v>
      </c>
      <c r="AJ430" s="508">
        <v>443</v>
      </c>
      <c r="AK430" s="509">
        <v>46197</v>
      </c>
      <c r="AL430" s="508">
        <v>572</v>
      </c>
      <c r="AO430" s="508">
        <v>9170</v>
      </c>
      <c r="AP430" s="508">
        <v>8023.8</v>
      </c>
      <c r="AQ430" s="508" t="s">
        <v>3375</v>
      </c>
      <c r="AR430" s="508" t="s">
        <v>909</v>
      </c>
      <c r="AS430" s="508" t="s">
        <v>864</v>
      </c>
      <c r="AT430" s="508" t="s">
        <v>121</v>
      </c>
      <c r="AV430" s="508" t="s">
        <v>125</v>
      </c>
      <c r="AX430" s="508" t="s">
        <v>2884</v>
      </c>
      <c r="AY430" s="508" t="s">
        <v>909</v>
      </c>
      <c r="AZ430" s="508">
        <v>2.4</v>
      </c>
      <c r="BA430" s="508" t="s">
        <v>2932</v>
      </c>
      <c r="BB430" s="508" t="s">
        <v>178</v>
      </c>
      <c r="BC430" s="508">
        <v>21</v>
      </c>
      <c r="BD430" s="509">
        <v>46197</v>
      </c>
      <c r="BG430" s="508" t="s">
        <v>724</v>
      </c>
      <c r="BH430" s="508" t="s">
        <v>2940</v>
      </c>
      <c r="BI430" s="508">
        <v>351</v>
      </c>
      <c r="BJ430" s="508">
        <v>62</v>
      </c>
    </row>
    <row r="431" spans="1:62" s="508" customFormat="1" ht="14.25" hidden="1" customHeight="1" x14ac:dyDescent="0.2">
      <c r="A431" s="495"/>
      <c r="B431" s="496"/>
      <c r="C431" s="497">
        <f>Таблица3[[#This Row],[Степень зрелости вспом]]</f>
        <v>57</v>
      </c>
      <c r="D431" s="498">
        <v>573</v>
      </c>
      <c r="E431" s="499"/>
      <c r="F431" s="496"/>
      <c r="G431" s="496">
        <v>9250</v>
      </c>
      <c r="H431" s="500"/>
      <c r="I431" s="496">
        <v>8278.7999999999993</v>
      </c>
      <c r="J431" s="495" t="s">
        <v>3464</v>
      </c>
      <c r="K431" s="495" t="s">
        <v>909</v>
      </c>
      <c r="L431" s="495" t="s">
        <v>3115</v>
      </c>
      <c r="M431" s="495" t="s">
        <v>3554</v>
      </c>
      <c r="N431" s="495"/>
      <c r="O431" s="495"/>
      <c r="P431" s="495"/>
      <c r="Q431" s="495"/>
      <c r="R431" s="501" t="s">
        <v>3555</v>
      </c>
      <c r="S431" s="495"/>
      <c r="T431" s="482" t="str">
        <f>VLOOKUP(Таблица3[[#This Row],[№ акта]],$AJ$1:$BJ$691,15,FALSE)</f>
        <v>17 Агролидер</v>
      </c>
      <c r="U431" s="482" t="str">
        <f>VLOOKUP(Таблица3[[#This Row],[№ акта]],$AJ$1:$BJ$691,16,FALSE)</f>
        <v>Тристар</v>
      </c>
      <c r="V431" s="502">
        <f>VLOOKUP(Таблица3[[#This Row],[№ акта]],$AJ$1:$BJ$691,17,FALSE)</f>
        <v>1.3</v>
      </c>
      <c r="W431" s="502" t="str">
        <f>VLOOKUP(Таблица3[[#This Row],[№ акта]],$AJ$1:$BJ$691,18,FALSE)</f>
        <v>Агролидер (полив)</v>
      </c>
      <c r="X431" s="502" t="str">
        <f>VLOOKUP(Таблица3[[#This Row],[№ акта]],$AJ$1:$BJ$691,19,FALSE)</f>
        <v>полив</v>
      </c>
      <c r="Y431" s="503">
        <f>VLOOKUP(Таблица3[[#This Row],[№ акта]],$AJ$1:$BJ$691,20,FALSE)</f>
        <v>21</v>
      </c>
      <c r="Z431" s="504">
        <f>VLOOKUP(Таблица3[[#This Row],[№ акта]],$AJ$1:$BJ$691,21,FALSE)</f>
        <v>46197</v>
      </c>
      <c r="AA431" s="504"/>
      <c r="AB431" s="504" t="str">
        <f>IF(VLOOKUP(Таблица3[[#This Row],[№ акта]],$AJ$1:$BJ$691,23,FALSE)&lt;&gt;0,VLOOKUP(Таблица3[[#This Row],[№ акта]],$AJ$1:$BJ$691,23,FALSE),"-")</f>
        <v>-</v>
      </c>
      <c r="AC43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31" s="506" t="s">
        <v>2940</v>
      </c>
      <c r="AE431" s="505">
        <v>444</v>
      </c>
      <c r="AF431" s="507">
        <v>46197</v>
      </c>
      <c r="AG431" s="505">
        <v>58</v>
      </c>
      <c r="AH431" s="505">
        <f>IFERROR(VLOOKUP(Таблица3[[#This Row],[№ акта]],'Степень зрелости 2026'!$H$12:$I$800,2,FALSE),)</f>
        <v>57</v>
      </c>
      <c r="AJ431" s="508">
        <v>444</v>
      </c>
      <c r="AK431" s="509">
        <v>46197</v>
      </c>
      <c r="AL431" s="508">
        <v>573</v>
      </c>
      <c r="AO431" s="508">
        <v>9250</v>
      </c>
      <c r="AP431" s="508">
        <v>8278.7999999999993</v>
      </c>
      <c r="AQ431" s="508" t="s">
        <v>3464</v>
      </c>
      <c r="AR431" s="508" t="s">
        <v>909</v>
      </c>
      <c r="AS431" s="508" t="s">
        <v>3115</v>
      </c>
      <c r="AT431" s="508" t="s">
        <v>3554</v>
      </c>
      <c r="AV431" s="508" t="s">
        <v>3555</v>
      </c>
      <c r="AX431" s="508" t="s">
        <v>3115</v>
      </c>
      <c r="AY431" s="508" t="s">
        <v>909</v>
      </c>
      <c r="AZ431" s="508">
        <v>1.3</v>
      </c>
      <c r="BA431" s="508" t="s">
        <v>52</v>
      </c>
      <c r="BB431" s="508" t="s">
        <v>178</v>
      </c>
      <c r="BC431" s="508">
        <v>21</v>
      </c>
      <c r="BD431" s="509">
        <v>46197</v>
      </c>
      <c r="BG431" s="508" t="s">
        <v>724</v>
      </c>
      <c r="BH431" s="508" t="s">
        <v>2940</v>
      </c>
      <c r="BI431" s="508">
        <v>58</v>
      </c>
      <c r="BJ431" s="508">
        <v>57</v>
      </c>
    </row>
    <row r="432" spans="1:62" s="508" customFormat="1" ht="14.25" hidden="1" customHeight="1" x14ac:dyDescent="0.2">
      <c r="A432" s="495"/>
      <c r="B432" s="496"/>
      <c r="C432" s="497">
        <f>Таблица3[[#This Row],[Степень зрелости вспом]]</f>
        <v>59</v>
      </c>
      <c r="D432" s="498">
        <v>574</v>
      </c>
      <c r="E432" s="499"/>
      <c r="F432" s="496"/>
      <c r="G432" s="496">
        <v>13230</v>
      </c>
      <c r="H432" s="500"/>
      <c r="I432" s="496">
        <v>11840.9</v>
      </c>
      <c r="J432" s="495" t="s">
        <v>3375</v>
      </c>
      <c r="K432" s="495" t="s">
        <v>909</v>
      </c>
      <c r="L432" s="495" t="s">
        <v>864</v>
      </c>
      <c r="M432" s="495" t="s">
        <v>1461</v>
      </c>
      <c r="N432" s="495"/>
      <c r="O432" s="495"/>
      <c r="P432" s="495"/>
      <c r="Q432" s="495"/>
      <c r="R432" s="501" t="s">
        <v>149</v>
      </c>
      <c r="S432" s="495"/>
      <c r="T432" s="482" t="str">
        <f>VLOOKUP(Таблица3[[#This Row],[№ акта]],$AJ$1:$BJ$691,15,FALSE)</f>
        <v>А-54/4</v>
      </c>
      <c r="U432" s="482" t="str">
        <f>VLOOKUP(Таблица3[[#This Row],[№ акта]],$AJ$1:$BJ$691,16,FALSE)</f>
        <v>Тристар</v>
      </c>
      <c r="V432" s="502">
        <f>VLOOKUP(Таблица3[[#This Row],[№ акта]],$AJ$1:$BJ$691,17,FALSE)</f>
        <v>3.5</v>
      </c>
      <c r="W432" s="502" t="str">
        <f>VLOOKUP(Таблица3[[#This Row],[№ акта]],$AJ$1:$BJ$691,18,FALSE)</f>
        <v>ГРК (полив)</v>
      </c>
      <c r="X432" s="502" t="str">
        <f>VLOOKUP(Таблица3[[#This Row],[№ акта]],$AJ$1:$BJ$691,19,FALSE)</f>
        <v>полив</v>
      </c>
      <c r="Y432" s="503">
        <f>VLOOKUP(Таблица3[[#This Row],[№ акта]],$AJ$1:$BJ$691,20,FALSE)</f>
        <v>21</v>
      </c>
      <c r="Z432" s="504">
        <f>VLOOKUP(Таблица3[[#This Row],[№ акта]],$AJ$1:$BJ$691,21,FALSE)</f>
        <v>46197</v>
      </c>
      <c r="AA432" s="504"/>
      <c r="AB432" s="504" t="str">
        <f>IF(VLOOKUP(Таблица3[[#This Row],[№ акта]],$AJ$1:$BJ$691,23,FALSE)&lt;&gt;0,VLOOKUP(Таблица3[[#This Row],[№ акта]],$AJ$1:$BJ$691,23,FALSE),"-")</f>
        <v>-</v>
      </c>
      <c r="AC43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32" s="506" t="s">
        <v>2940</v>
      </c>
      <c r="AE432" s="505">
        <v>445</v>
      </c>
      <c r="AF432" s="507">
        <v>46197</v>
      </c>
      <c r="AG432" s="505">
        <v>352</v>
      </c>
      <c r="AH432" s="505">
        <f>IFERROR(VLOOKUP(Таблица3[[#This Row],[№ акта]],'Степень зрелости 2026'!$H$12:$I$800,2,FALSE),)</f>
        <v>59</v>
      </c>
      <c r="AJ432" s="508">
        <v>445</v>
      </c>
      <c r="AK432" s="509">
        <v>46197</v>
      </c>
      <c r="AL432" s="508">
        <v>574</v>
      </c>
      <c r="AO432" s="508">
        <v>13230</v>
      </c>
      <c r="AP432" s="508">
        <v>11840.9</v>
      </c>
      <c r="AQ432" s="508" t="s">
        <v>3375</v>
      </c>
      <c r="AR432" s="508" t="s">
        <v>909</v>
      </c>
      <c r="AS432" s="508" t="s">
        <v>864</v>
      </c>
      <c r="AT432" s="508" t="s">
        <v>1461</v>
      </c>
      <c r="AV432" s="508" t="s">
        <v>149</v>
      </c>
      <c r="AX432" s="508" t="s">
        <v>2884</v>
      </c>
      <c r="AY432" s="508" t="s">
        <v>909</v>
      </c>
      <c r="AZ432" s="508">
        <v>3.5</v>
      </c>
      <c r="BA432" s="508" t="s">
        <v>2932</v>
      </c>
      <c r="BB432" s="508" t="s">
        <v>178</v>
      </c>
      <c r="BC432" s="508">
        <v>21</v>
      </c>
      <c r="BD432" s="509">
        <v>46197</v>
      </c>
      <c r="BG432" s="508" t="s">
        <v>724</v>
      </c>
      <c r="BH432" s="508" t="s">
        <v>2940</v>
      </c>
      <c r="BI432" s="508">
        <v>352</v>
      </c>
      <c r="BJ432" s="508">
        <v>59</v>
      </c>
    </row>
    <row r="433" spans="1:62" s="508" customFormat="1" ht="14.25" hidden="1" customHeight="1" x14ac:dyDescent="0.2">
      <c r="A433" s="495"/>
      <c r="B433" s="496"/>
      <c r="C433" s="497">
        <f>Таблица3[[#This Row],[Степень зрелости вспом]]</f>
        <v>63</v>
      </c>
      <c r="D433" s="498">
        <v>575</v>
      </c>
      <c r="E433" s="499"/>
      <c r="F433" s="496"/>
      <c r="G433" s="496">
        <v>4590</v>
      </c>
      <c r="H433" s="500"/>
      <c r="I433" s="496">
        <v>4108.1000000000004</v>
      </c>
      <c r="J433" s="495" t="s">
        <v>3375</v>
      </c>
      <c r="K433" s="495" t="s">
        <v>909</v>
      </c>
      <c r="L433" s="495" t="s">
        <v>864</v>
      </c>
      <c r="M433" s="495" t="s">
        <v>737</v>
      </c>
      <c r="N433" s="495"/>
      <c r="O433" s="495"/>
      <c r="P433" s="495"/>
      <c r="Q433" s="495"/>
      <c r="R433" s="501" t="s">
        <v>738</v>
      </c>
      <c r="S433" s="495"/>
      <c r="T433" s="482" t="str">
        <f>VLOOKUP(Таблица3[[#This Row],[№ акта]],$AJ$1:$BJ$691,15,FALSE)</f>
        <v>А-54/4</v>
      </c>
      <c r="U433" s="482" t="str">
        <f>VLOOKUP(Таблица3[[#This Row],[№ акта]],$AJ$1:$BJ$691,16,FALSE)</f>
        <v>Тристар</v>
      </c>
      <c r="V433" s="502">
        <f>VLOOKUP(Таблица3[[#This Row],[№ акта]],$AJ$1:$BJ$691,17,FALSE)</f>
        <v>1.2</v>
      </c>
      <c r="W433" s="502" t="str">
        <f>VLOOKUP(Таблица3[[#This Row],[№ акта]],$AJ$1:$BJ$691,18,FALSE)</f>
        <v>ГРК (полив)</v>
      </c>
      <c r="X433" s="502" t="str">
        <f>VLOOKUP(Таблица3[[#This Row],[№ акта]],$AJ$1:$BJ$691,19,FALSE)</f>
        <v>полив</v>
      </c>
      <c r="Y433" s="503">
        <f>VLOOKUP(Таблица3[[#This Row],[№ акта]],$AJ$1:$BJ$691,20,FALSE)</f>
        <v>21</v>
      </c>
      <c r="Z433" s="504">
        <f>VLOOKUP(Таблица3[[#This Row],[№ акта]],$AJ$1:$BJ$691,21,FALSE)</f>
        <v>46197</v>
      </c>
      <c r="AA433" s="504"/>
      <c r="AB433" s="504" t="str">
        <f>IF(VLOOKUP(Таблица3[[#This Row],[№ акта]],$AJ$1:$BJ$691,23,FALSE)&lt;&gt;0,VLOOKUP(Таблица3[[#This Row],[№ акта]],$AJ$1:$BJ$691,23,FALSE),"-")</f>
        <v>-</v>
      </c>
      <c r="AC43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33" s="506" t="s">
        <v>2940</v>
      </c>
      <c r="AE433" s="505">
        <v>446</v>
      </c>
      <c r="AF433" s="507">
        <v>46197</v>
      </c>
      <c r="AG433" s="505">
        <v>353</v>
      </c>
      <c r="AH433" s="505">
        <f>IFERROR(VLOOKUP(Таблица3[[#This Row],[№ акта]],'Степень зрелости 2026'!$H$12:$I$800,2,FALSE),)</f>
        <v>63</v>
      </c>
      <c r="AJ433" s="508">
        <v>446</v>
      </c>
      <c r="AK433" s="509">
        <v>46197</v>
      </c>
      <c r="AL433" s="508">
        <v>575</v>
      </c>
      <c r="AO433" s="508">
        <v>4590</v>
      </c>
      <c r="AP433" s="508">
        <v>4108.1000000000004</v>
      </c>
      <c r="AQ433" s="508" t="s">
        <v>3375</v>
      </c>
      <c r="AR433" s="508" t="s">
        <v>909</v>
      </c>
      <c r="AS433" s="508" t="s">
        <v>864</v>
      </c>
      <c r="AT433" s="508" t="s">
        <v>737</v>
      </c>
      <c r="AV433" s="508" t="s">
        <v>738</v>
      </c>
      <c r="AX433" s="508" t="s">
        <v>2884</v>
      </c>
      <c r="AY433" s="508" t="s">
        <v>909</v>
      </c>
      <c r="AZ433" s="508">
        <v>1.2</v>
      </c>
      <c r="BA433" s="508" t="s">
        <v>2932</v>
      </c>
      <c r="BB433" s="508" t="s">
        <v>178</v>
      </c>
      <c r="BC433" s="508">
        <v>21</v>
      </c>
      <c r="BD433" s="509">
        <v>46197</v>
      </c>
      <c r="BG433" s="508" t="s">
        <v>724</v>
      </c>
      <c r="BH433" s="508" t="s">
        <v>2940</v>
      </c>
      <c r="BI433" s="508">
        <v>353</v>
      </c>
      <c r="BJ433" s="508">
        <v>63</v>
      </c>
    </row>
    <row r="434" spans="1:62" s="508" customFormat="1" ht="14.25" hidden="1" customHeight="1" x14ac:dyDescent="0.2">
      <c r="A434" s="495"/>
      <c r="B434" s="496"/>
      <c r="C434" s="497">
        <f>Таблица3[[#This Row],[Степень зрелости вспом]]</f>
        <v>61</v>
      </c>
      <c r="D434" s="498">
        <v>576</v>
      </c>
      <c r="E434" s="499"/>
      <c r="F434" s="496"/>
      <c r="G434" s="496">
        <v>17540</v>
      </c>
      <c r="H434" s="500"/>
      <c r="I434" s="496">
        <v>15698.3</v>
      </c>
      <c r="J434" s="495" t="s">
        <v>3375</v>
      </c>
      <c r="K434" s="495" t="s">
        <v>909</v>
      </c>
      <c r="L434" s="495" t="s">
        <v>864</v>
      </c>
      <c r="M434" s="495" t="s">
        <v>121</v>
      </c>
      <c r="N434" s="495"/>
      <c r="O434" s="495"/>
      <c r="P434" s="495"/>
      <c r="Q434" s="495"/>
      <c r="R434" s="501" t="s">
        <v>125</v>
      </c>
      <c r="S434" s="495"/>
      <c r="T434" s="482" t="str">
        <f>VLOOKUP(Таблица3[[#This Row],[№ акта]],$AJ$1:$BJ$691,15,FALSE)</f>
        <v>А-54/4</v>
      </c>
      <c r="U434" s="482" t="str">
        <f>VLOOKUP(Таблица3[[#This Row],[№ акта]],$AJ$1:$BJ$691,16,FALSE)</f>
        <v>Тристар</v>
      </c>
      <c r="V434" s="502">
        <f>VLOOKUP(Таблица3[[#This Row],[№ акта]],$AJ$1:$BJ$691,17,FALSE)</f>
        <v>4.5999999999999996</v>
      </c>
      <c r="W434" s="502" t="str">
        <f>VLOOKUP(Таблица3[[#This Row],[№ акта]],$AJ$1:$BJ$691,18,FALSE)</f>
        <v>ГРК (полив)</v>
      </c>
      <c r="X434" s="502" t="str">
        <f>VLOOKUP(Таблица3[[#This Row],[№ акта]],$AJ$1:$BJ$691,19,FALSE)</f>
        <v>полив</v>
      </c>
      <c r="Y434" s="503">
        <f>VLOOKUP(Таблица3[[#This Row],[№ акта]],$AJ$1:$BJ$691,20,FALSE)</f>
        <v>21</v>
      </c>
      <c r="Z434" s="504">
        <f>VLOOKUP(Таблица3[[#This Row],[№ акта]],$AJ$1:$BJ$691,21,FALSE)</f>
        <v>46197</v>
      </c>
      <c r="AA434" s="504"/>
      <c r="AB434" s="504" t="str">
        <f>IF(VLOOKUP(Таблица3[[#This Row],[№ акта]],$AJ$1:$BJ$691,23,FALSE)&lt;&gt;0,VLOOKUP(Таблица3[[#This Row],[№ акта]],$AJ$1:$BJ$691,23,FALSE),"-")</f>
        <v>-</v>
      </c>
      <c r="AC43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34" s="506" t="s">
        <v>2940</v>
      </c>
      <c r="AE434" s="505">
        <v>447</v>
      </c>
      <c r="AF434" s="507">
        <v>46197</v>
      </c>
      <c r="AG434" s="505">
        <v>354</v>
      </c>
      <c r="AH434" s="505">
        <f>IFERROR(VLOOKUP(Таблица3[[#This Row],[№ акта]],'Степень зрелости 2026'!$H$12:$I$800,2,FALSE),)</f>
        <v>61</v>
      </c>
      <c r="AJ434" s="508">
        <v>447</v>
      </c>
      <c r="AK434" s="509">
        <v>46197</v>
      </c>
      <c r="AL434" s="508">
        <v>576</v>
      </c>
      <c r="AO434" s="508">
        <v>17540</v>
      </c>
      <c r="AP434" s="508">
        <v>15698.3</v>
      </c>
      <c r="AQ434" s="508" t="s">
        <v>3375</v>
      </c>
      <c r="AR434" s="508" t="s">
        <v>909</v>
      </c>
      <c r="AS434" s="508" t="s">
        <v>864</v>
      </c>
      <c r="AT434" s="508" t="s">
        <v>121</v>
      </c>
      <c r="AV434" s="508" t="s">
        <v>125</v>
      </c>
      <c r="AX434" s="508" t="s">
        <v>2884</v>
      </c>
      <c r="AY434" s="508" t="s">
        <v>909</v>
      </c>
      <c r="AZ434" s="508">
        <v>4.5999999999999996</v>
      </c>
      <c r="BA434" s="508" t="s">
        <v>2932</v>
      </c>
      <c r="BB434" s="508" t="s">
        <v>178</v>
      </c>
      <c r="BC434" s="508">
        <v>21</v>
      </c>
      <c r="BD434" s="509">
        <v>46197</v>
      </c>
      <c r="BG434" s="508" t="s">
        <v>724</v>
      </c>
      <c r="BH434" s="508" t="s">
        <v>2940</v>
      </c>
      <c r="BI434" s="508">
        <v>354</v>
      </c>
      <c r="BJ434" s="508">
        <v>61</v>
      </c>
    </row>
    <row r="435" spans="1:62" s="508" customFormat="1" ht="14.25" hidden="1" customHeight="1" x14ac:dyDescent="0.2">
      <c r="A435" s="495"/>
      <c r="B435" s="496"/>
      <c r="C435" s="497">
        <f>Таблица3[[#This Row],[Степень зрелости вспом]]</f>
        <v>62</v>
      </c>
      <c r="D435" s="498">
        <v>577</v>
      </c>
      <c r="E435" s="499"/>
      <c r="F435" s="496"/>
      <c r="G435" s="496">
        <v>17580</v>
      </c>
      <c r="H435" s="500"/>
      <c r="I435" s="496">
        <v>14855.1</v>
      </c>
      <c r="J435" s="495" t="s">
        <v>3375</v>
      </c>
      <c r="K435" s="495" t="s">
        <v>909</v>
      </c>
      <c r="L435" s="495" t="s">
        <v>864</v>
      </c>
      <c r="M435" s="495" t="s">
        <v>1461</v>
      </c>
      <c r="N435" s="495"/>
      <c r="O435" s="495"/>
      <c r="P435" s="495"/>
      <c r="Q435" s="495"/>
      <c r="R435" s="501" t="s">
        <v>149</v>
      </c>
      <c r="S435" s="495"/>
      <c r="T435" s="482" t="str">
        <f>VLOOKUP(Таблица3[[#This Row],[№ акта]],$AJ$1:$BJ$691,15,FALSE)</f>
        <v>А-54/4</v>
      </c>
      <c r="U435" s="482" t="str">
        <f>VLOOKUP(Таблица3[[#This Row],[№ акта]],$AJ$1:$BJ$691,16,FALSE)</f>
        <v>Тристар</v>
      </c>
      <c r="V435" s="502">
        <f>VLOOKUP(Таблица3[[#This Row],[№ акта]],$AJ$1:$BJ$691,17,FALSE)</f>
        <v>4.5999999999999996</v>
      </c>
      <c r="W435" s="502" t="str">
        <f>VLOOKUP(Таблица3[[#This Row],[№ акта]],$AJ$1:$BJ$691,18,FALSE)</f>
        <v>ГРК (полив)</v>
      </c>
      <c r="X435" s="502" t="str">
        <f>VLOOKUP(Таблица3[[#This Row],[№ акта]],$AJ$1:$BJ$691,19,FALSE)</f>
        <v>полив</v>
      </c>
      <c r="Y435" s="503">
        <f>VLOOKUP(Таблица3[[#This Row],[№ акта]],$AJ$1:$BJ$691,20,FALSE)</f>
        <v>21</v>
      </c>
      <c r="Z435" s="504">
        <f>VLOOKUP(Таблица3[[#This Row],[№ акта]],$AJ$1:$BJ$691,21,FALSE)</f>
        <v>46197</v>
      </c>
      <c r="AA435" s="504"/>
      <c r="AB435" s="504" t="str">
        <f>IF(VLOOKUP(Таблица3[[#This Row],[№ акта]],$AJ$1:$BJ$691,23,FALSE)&lt;&gt;0,VLOOKUP(Таблица3[[#This Row],[№ акта]],$AJ$1:$BJ$691,23,FALSE),"-")</f>
        <v>-</v>
      </c>
      <c r="AC43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35" s="506" t="s">
        <v>2940</v>
      </c>
      <c r="AE435" s="505">
        <v>448</v>
      </c>
      <c r="AF435" s="507">
        <v>46198</v>
      </c>
      <c r="AG435" s="505">
        <v>355</v>
      </c>
      <c r="AH435" s="505">
        <f>IFERROR(VLOOKUP(Таблица3[[#This Row],[№ акта]],'Степень зрелости 2026'!$H$12:$I$800,2,FALSE),)</f>
        <v>62</v>
      </c>
      <c r="AJ435" s="508">
        <v>448</v>
      </c>
      <c r="AK435" s="509">
        <v>46198</v>
      </c>
      <c r="AL435" s="508">
        <v>577</v>
      </c>
      <c r="AO435" s="508">
        <v>17580</v>
      </c>
      <c r="AP435" s="508">
        <v>14855.1</v>
      </c>
      <c r="AQ435" s="508" t="s">
        <v>3375</v>
      </c>
      <c r="AR435" s="508" t="s">
        <v>909</v>
      </c>
      <c r="AS435" s="508" t="s">
        <v>864</v>
      </c>
      <c r="AT435" s="508" t="s">
        <v>1461</v>
      </c>
      <c r="AV435" s="508" t="s">
        <v>149</v>
      </c>
      <c r="AX435" s="508" t="s">
        <v>2884</v>
      </c>
      <c r="AY435" s="508" t="s">
        <v>909</v>
      </c>
      <c r="AZ435" s="508">
        <v>4.5999999999999996</v>
      </c>
      <c r="BA435" s="508" t="s">
        <v>2932</v>
      </c>
      <c r="BB435" s="508" t="s">
        <v>178</v>
      </c>
      <c r="BC435" s="508">
        <v>21</v>
      </c>
      <c r="BD435" s="509">
        <v>46197</v>
      </c>
      <c r="BG435" s="508" t="s">
        <v>724</v>
      </c>
      <c r="BH435" s="508" t="s">
        <v>2940</v>
      </c>
      <c r="BI435" s="508">
        <v>355</v>
      </c>
      <c r="BJ435" s="508">
        <v>62</v>
      </c>
    </row>
    <row r="436" spans="1:62" s="508" customFormat="1" ht="14.25" hidden="1" customHeight="1" x14ac:dyDescent="0.2">
      <c r="A436" s="495"/>
      <c r="B436" s="496"/>
      <c r="C436" s="497">
        <f>Таблица3[[#This Row],[Степень зрелости вспом]]</f>
        <v>67</v>
      </c>
      <c r="D436" s="498">
        <v>578</v>
      </c>
      <c r="E436" s="499"/>
      <c r="F436" s="496"/>
      <c r="G436" s="496">
        <v>4460</v>
      </c>
      <c r="H436" s="500"/>
      <c r="I436" s="496">
        <v>3857.9</v>
      </c>
      <c r="J436" s="495" t="s">
        <v>3375</v>
      </c>
      <c r="K436" s="495" t="s">
        <v>909</v>
      </c>
      <c r="L436" s="495" t="s">
        <v>864</v>
      </c>
      <c r="M436" s="495" t="s">
        <v>737</v>
      </c>
      <c r="N436" s="495"/>
      <c r="O436" s="495"/>
      <c r="P436" s="495"/>
      <c r="Q436" s="495"/>
      <c r="R436" s="501" t="s">
        <v>738</v>
      </c>
      <c r="S436" s="495"/>
      <c r="T436" s="482" t="str">
        <f>VLOOKUP(Таблица3[[#This Row],[№ акта]],$AJ$1:$BJ$691,15,FALSE)</f>
        <v>А-54/4</v>
      </c>
      <c r="U436" s="482" t="str">
        <f>VLOOKUP(Таблица3[[#This Row],[№ акта]],$AJ$1:$BJ$691,16,FALSE)</f>
        <v>Тристар</v>
      </c>
      <c r="V436" s="502">
        <f>VLOOKUP(Таблица3[[#This Row],[№ акта]],$AJ$1:$BJ$691,17,FALSE)</f>
        <v>1.2</v>
      </c>
      <c r="W436" s="502" t="str">
        <f>VLOOKUP(Таблица3[[#This Row],[№ акта]],$AJ$1:$BJ$691,18,FALSE)</f>
        <v>ГРК (полив)</v>
      </c>
      <c r="X436" s="502" t="str">
        <f>VLOOKUP(Таблица3[[#This Row],[№ акта]],$AJ$1:$BJ$691,19,FALSE)</f>
        <v>полив</v>
      </c>
      <c r="Y436" s="503">
        <f>VLOOKUP(Таблица3[[#This Row],[№ акта]],$AJ$1:$BJ$691,20,FALSE)</f>
        <v>21</v>
      </c>
      <c r="Z436" s="504">
        <f>VLOOKUP(Таблица3[[#This Row],[№ акта]],$AJ$1:$BJ$691,21,FALSE)</f>
        <v>46197</v>
      </c>
      <c r="AA436" s="504"/>
      <c r="AB436" s="504" t="str">
        <f>IF(VLOOKUP(Таблица3[[#This Row],[№ акта]],$AJ$1:$BJ$691,23,FALSE)&lt;&gt;0,VLOOKUP(Таблица3[[#This Row],[№ акта]],$AJ$1:$BJ$691,23,FALSE),"-")</f>
        <v>-</v>
      </c>
      <c r="AC43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36" s="506" t="s">
        <v>3230</v>
      </c>
      <c r="AE436" s="505">
        <v>449</v>
      </c>
      <c r="AF436" s="507">
        <v>46198</v>
      </c>
      <c r="AG436" s="505">
        <v>356</v>
      </c>
      <c r="AH436" s="505">
        <f>IFERROR(VLOOKUP(Таблица3[[#This Row],[№ акта]],'Степень зрелости 2026'!$H$12:$I$800,2,FALSE),)</f>
        <v>67</v>
      </c>
      <c r="AJ436" s="508">
        <v>460</v>
      </c>
      <c r="AK436" s="509">
        <v>46198</v>
      </c>
      <c r="AL436" s="508">
        <v>594</v>
      </c>
      <c r="AO436" s="508">
        <v>8790</v>
      </c>
      <c r="AP436" s="508">
        <v>8394.4</v>
      </c>
      <c r="AQ436" s="508" t="s">
        <v>3464</v>
      </c>
      <c r="AR436" s="508" t="s">
        <v>909</v>
      </c>
      <c r="AS436" s="508" t="s">
        <v>3115</v>
      </c>
      <c r="AT436" s="508" t="s">
        <v>311</v>
      </c>
      <c r="AV436" s="508" t="s">
        <v>315</v>
      </c>
      <c r="AX436" s="508" t="s">
        <v>3115</v>
      </c>
      <c r="AY436" s="508" t="s">
        <v>909</v>
      </c>
      <c r="AZ436" s="508">
        <v>1.3</v>
      </c>
      <c r="BA436" s="508" t="s">
        <v>52</v>
      </c>
      <c r="BB436" s="508" t="s">
        <v>178</v>
      </c>
      <c r="BC436" s="508">
        <v>22</v>
      </c>
      <c r="BD436" s="509">
        <v>46198</v>
      </c>
      <c r="BG436" s="508" t="s">
        <v>724</v>
      </c>
      <c r="BH436" s="508" t="s">
        <v>2940</v>
      </c>
      <c r="BI436" s="508">
        <v>65</v>
      </c>
      <c r="BJ436" s="508">
        <v>55</v>
      </c>
    </row>
    <row r="437" spans="1:62" s="508" customFormat="1" ht="14.25" hidden="1" customHeight="1" x14ac:dyDescent="0.2">
      <c r="A437" s="495"/>
      <c r="B437" s="496"/>
      <c r="C437" s="497">
        <f>Таблица3[[#This Row],[Степень зрелости вспом]]</f>
        <v>67</v>
      </c>
      <c r="D437" s="498">
        <v>579</v>
      </c>
      <c r="E437" s="499"/>
      <c r="F437" s="496"/>
      <c r="G437" s="496">
        <v>17680</v>
      </c>
      <c r="H437" s="500"/>
      <c r="I437" s="496">
        <v>16000.4</v>
      </c>
      <c r="J437" s="495" t="s">
        <v>3375</v>
      </c>
      <c r="K437" s="495" t="s">
        <v>909</v>
      </c>
      <c r="L437" s="495" t="s">
        <v>864</v>
      </c>
      <c r="M437" s="495" t="s">
        <v>121</v>
      </c>
      <c r="N437" s="495"/>
      <c r="O437" s="495"/>
      <c r="P437" s="495"/>
      <c r="Q437" s="495"/>
      <c r="R437" s="501" t="s">
        <v>125</v>
      </c>
      <c r="S437" s="495"/>
      <c r="T437" s="482" t="str">
        <f>VLOOKUP(Таблица3[[#This Row],[№ акта]],$AJ$1:$BJ$691,15,FALSE)</f>
        <v>А-54/4</v>
      </c>
      <c r="U437" s="482" t="str">
        <f>VLOOKUP(Таблица3[[#This Row],[№ акта]],$AJ$1:$BJ$691,16,FALSE)</f>
        <v>Тристар</v>
      </c>
      <c r="V437" s="502">
        <f>VLOOKUP(Таблица3[[#This Row],[№ акта]],$AJ$1:$BJ$691,17,FALSE)</f>
        <v>4.5999999999999996</v>
      </c>
      <c r="W437" s="502" t="str">
        <f>VLOOKUP(Таблица3[[#This Row],[№ акта]],$AJ$1:$BJ$691,18,FALSE)</f>
        <v>ГРК (полив)</v>
      </c>
      <c r="X437" s="502" t="str">
        <f>VLOOKUP(Таблица3[[#This Row],[№ акта]],$AJ$1:$BJ$691,19,FALSE)</f>
        <v>полив</v>
      </c>
      <c r="Y437" s="503">
        <f>VLOOKUP(Таблица3[[#This Row],[№ акта]],$AJ$1:$BJ$691,20,FALSE)</f>
        <v>21</v>
      </c>
      <c r="Z437" s="504">
        <f>VLOOKUP(Таблица3[[#This Row],[№ акта]],$AJ$1:$BJ$691,21,FALSE)</f>
        <v>46197</v>
      </c>
      <c r="AA437" s="504"/>
      <c r="AB437" s="504" t="str">
        <f>IF(VLOOKUP(Таблица3[[#This Row],[№ акта]],$AJ$1:$BJ$691,23,FALSE)&lt;&gt;0,VLOOKUP(Таблица3[[#This Row],[№ акта]],$AJ$1:$BJ$691,23,FALSE),"-")</f>
        <v>-</v>
      </c>
      <c r="AC43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37" s="506" t="s">
        <v>3230</v>
      </c>
      <c r="AE437" s="505">
        <v>450</v>
      </c>
      <c r="AF437" s="507">
        <v>46198</v>
      </c>
      <c r="AG437" s="505">
        <v>357</v>
      </c>
      <c r="AH437" s="505">
        <f>IFERROR(VLOOKUP(Таблица3[[#This Row],[№ акта]],'Степень зрелости 2026'!$H$12:$I$800,2,FALSE),)</f>
        <v>67</v>
      </c>
      <c r="AJ437" s="508">
        <v>462</v>
      </c>
      <c r="AK437" s="509">
        <v>46198</v>
      </c>
      <c r="AL437" s="508">
        <v>596</v>
      </c>
      <c r="AO437" s="508">
        <v>8810</v>
      </c>
      <c r="AP437" s="508">
        <v>7885</v>
      </c>
      <c r="AQ437" s="508" t="s">
        <v>3464</v>
      </c>
      <c r="AR437" s="508" t="s">
        <v>909</v>
      </c>
      <c r="AS437" s="508" t="s">
        <v>3115</v>
      </c>
      <c r="AT437" s="508" t="s">
        <v>3554</v>
      </c>
      <c r="AV437" s="508" t="s">
        <v>3555</v>
      </c>
      <c r="AX437" s="508" t="s">
        <v>3115</v>
      </c>
      <c r="AY437" s="508" t="s">
        <v>909</v>
      </c>
      <c r="AZ437" s="508">
        <v>1.3</v>
      </c>
      <c r="BA437" s="508" t="s">
        <v>52</v>
      </c>
      <c r="BB437" s="508" t="s">
        <v>178</v>
      </c>
      <c r="BC437" s="508">
        <v>22</v>
      </c>
      <c r="BD437" s="509">
        <v>46198</v>
      </c>
      <c r="BG437" s="508" t="s">
        <v>724</v>
      </c>
      <c r="BH437" s="508" t="s">
        <v>2940</v>
      </c>
      <c r="BI437" s="508">
        <v>67</v>
      </c>
      <c r="BJ437" s="508">
        <v>59</v>
      </c>
    </row>
    <row r="438" spans="1:62" s="508" customFormat="1" ht="14.25" hidden="1" customHeight="1" x14ac:dyDescent="0.2">
      <c r="A438" s="495"/>
      <c r="B438" s="496"/>
      <c r="C438" s="497">
        <f>Таблица3[[#This Row],[Степень зрелости вспом]]</f>
        <v>53</v>
      </c>
      <c r="D438" s="498">
        <v>580</v>
      </c>
      <c r="E438" s="499"/>
      <c r="F438" s="496"/>
      <c r="G438" s="496">
        <v>8800</v>
      </c>
      <c r="H438" s="500"/>
      <c r="I438" s="496">
        <v>7260</v>
      </c>
      <c r="J438" s="495" t="s">
        <v>3464</v>
      </c>
      <c r="K438" s="495" t="s">
        <v>909</v>
      </c>
      <c r="L438" s="495" t="s">
        <v>3115</v>
      </c>
      <c r="M438" s="495" t="s">
        <v>3554</v>
      </c>
      <c r="N438" s="495"/>
      <c r="O438" s="495"/>
      <c r="P438" s="495"/>
      <c r="Q438" s="495"/>
      <c r="R438" s="501" t="s">
        <v>3555</v>
      </c>
      <c r="S438" s="495"/>
      <c r="T438" s="482" t="str">
        <f>VLOOKUP(Таблица3[[#This Row],[№ акта]],$AJ$1:$BJ$691,15,FALSE)</f>
        <v>17 Агролидер</v>
      </c>
      <c r="U438" s="482" t="str">
        <f>VLOOKUP(Таблица3[[#This Row],[№ акта]],$AJ$1:$BJ$691,16,FALSE)</f>
        <v>Тристар</v>
      </c>
      <c r="V438" s="502">
        <f>VLOOKUP(Таблица3[[#This Row],[№ акта]],$AJ$1:$BJ$691,17,FALSE)</f>
        <v>1.3</v>
      </c>
      <c r="W438" s="502" t="str">
        <f>VLOOKUP(Таблица3[[#This Row],[№ акта]],$AJ$1:$BJ$691,18,FALSE)</f>
        <v>Агролидер (полив)</v>
      </c>
      <c r="X438" s="502" t="str">
        <f>VLOOKUP(Таблица3[[#This Row],[№ акта]],$AJ$1:$BJ$691,19,FALSE)</f>
        <v>полив</v>
      </c>
      <c r="Y438" s="503">
        <f>VLOOKUP(Таблица3[[#This Row],[№ акта]],$AJ$1:$BJ$691,20,FALSE)</f>
        <v>21</v>
      </c>
      <c r="Z438" s="504">
        <f>VLOOKUP(Таблица3[[#This Row],[№ акта]],$AJ$1:$BJ$691,21,FALSE)</f>
        <v>46197</v>
      </c>
      <c r="AA438" s="504"/>
      <c r="AB438" s="504" t="str">
        <f>IF(VLOOKUP(Таблица3[[#This Row],[№ акта]],$AJ$1:$BJ$691,23,FALSE)&lt;&gt;0,VLOOKUP(Таблица3[[#This Row],[№ акта]],$AJ$1:$BJ$691,23,FALSE),"-")</f>
        <v>-</v>
      </c>
      <c r="AC43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38" s="506" t="s">
        <v>2940</v>
      </c>
      <c r="AE438" s="505">
        <v>453</v>
      </c>
      <c r="AF438" s="507">
        <v>46198</v>
      </c>
      <c r="AG438" s="505">
        <v>62</v>
      </c>
      <c r="AH438" s="505">
        <f>IFERROR(VLOOKUP(Таблица3[[#This Row],[№ акта]],'Степень зрелости 2026'!$H$12:$I$800,2,FALSE),)</f>
        <v>53</v>
      </c>
      <c r="AJ438" s="508">
        <v>461</v>
      </c>
      <c r="AK438" s="509">
        <v>46198</v>
      </c>
      <c r="AL438" s="508">
        <v>597</v>
      </c>
      <c r="AO438" s="508">
        <v>10110</v>
      </c>
      <c r="AP438" s="508">
        <v>9301.2000000000007</v>
      </c>
      <c r="AQ438" s="508" t="s">
        <v>3375</v>
      </c>
      <c r="AR438" s="508" t="s">
        <v>909</v>
      </c>
      <c r="AS438" s="508" t="s">
        <v>2884</v>
      </c>
      <c r="AT438" s="508" t="s">
        <v>239</v>
      </c>
      <c r="AV438" s="508" t="s">
        <v>243</v>
      </c>
      <c r="AX438" s="508" t="s">
        <v>3112</v>
      </c>
      <c r="AY438" s="508" t="s">
        <v>909</v>
      </c>
      <c r="AZ438" s="508">
        <v>1.9</v>
      </c>
      <c r="BA438" s="508" t="s">
        <v>2932</v>
      </c>
      <c r="BB438" s="508" t="s">
        <v>178</v>
      </c>
      <c r="BC438" s="508">
        <v>22</v>
      </c>
      <c r="BD438" s="509">
        <v>46198</v>
      </c>
      <c r="BG438" s="508" t="s">
        <v>420</v>
      </c>
      <c r="BH438" s="508" t="s">
        <v>2940</v>
      </c>
      <c r="BI438" s="508">
        <v>363</v>
      </c>
      <c r="BJ438" s="508">
        <v>67</v>
      </c>
    </row>
    <row r="439" spans="1:62" s="508" customFormat="1" ht="14.25" hidden="1" customHeight="1" x14ac:dyDescent="0.2">
      <c r="A439" s="495"/>
      <c r="B439" s="496"/>
      <c r="C439" s="497">
        <f>Таблица3[[#This Row],[Степень зрелости вспом]]</f>
        <v>67</v>
      </c>
      <c r="D439" s="498">
        <v>581</v>
      </c>
      <c r="E439" s="499"/>
      <c r="F439" s="496"/>
      <c r="G439" s="496">
        <v>17850</v>
      </c>
      <c r="H439" s="500"/>
      <c r="I439" s="496">
        <v>15440.3</v>
      </c>
      <c r="J439" s="495" t="s">
        <v>3375</v>
      </c>
      <c r="K439" s="495" t="s">
        <v>909</v>
      </c>
      <c r="L439" s="495" t="s">
        <v>864</v>
      </c>
      <c r="M439" s="495" t="s">
        <v>1461</v>
      </c>
      <c r="N439" s="495"/>
      <c r="O439" s="495"/>
      <c r="P439" s="495"/>
      <c r="Q439" s="495"/>
      <c r="R439" s="501" t="s">
        <v>149</v>
      </c>
      <c r="S439" s="495"/>
      <c r="T439" s="482" t="str">
        <f>VLOOKUP(Таблица3[[#This Row],[№ акта]],$AJ$1:$BJ$691,15,FALSE)</f>
        <v>А-54</v>
      </c>
      <c r="U439" s="482" t="str">
        <f>VLOOKUP(Таблица3[[#This Row],[№ акта]],$AJ$1:$BJ$691,16,FALSE)</f>
        <v>Тристар</v>
      </c>
      <c r="V439" s="502">
        <f>VLOOKUP(Таблица3[[#This Row],[№ акта]],$AJ$1:$BJ$691,17,FALSE)</f>
        <v>4.5</v>
      </c>
      <c r="W439" s="502" t="str">
        <f>VLOOKUP(Таблица3[[#This Row],[№ акта]],$AJ$1:$BJ$691,18,FALSE)</f>
        <v>ГРК (полив)</v>
      </c>
      <c r="X439" s="502" t="str">
        <f>VLOOKUP(Таблица3[[#This Row],[№ акта]],$AJ$1:$BJ$691,19,FALSE)</f>
        <v>полив</v>
      </c>
      <c r="Y439" s="503">
        <f>VLOOKUP(Таблица3[[#This Row],[№ акта]],$AJ$1:$BJ$691,20,FALSE)</f>
        <v>22</v>
      </c>
      <c r="Z439" s="504">
        <f>VLOOKUP(Таблица3[[#This Row],[№ акта]],$AJ$1:$BJ$691,21,FALSE)</f>
        <v>46198</v>
      </c>
      <c r="AA439" s="504"/>
      <c r="AB439" s="504" t="str">
        <f>IF(VLOOKUP(Таблица3[[#This Row],[№ акта]],$AJ$1:$BJ$691,23,FALSE)&lt;&gt;0,VLOOKUP(Таблица3[[#This Row],[№ акта]],$AJ$1:$BJ$691,23,FALSE),"-")</f>
        <v>-</v>
      </c>
      <c r="AC43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39" s="506" t="s">
        <v>3230</v>
      </c>
      <c r="AE439" s="505">
        <v>454</v>
      </c>
      <c r="AF439" s="507">
        <v>46198</v>
      </c>
      <c r="AG439" s="505">
        <v>358</v>
      </c>
      <c r="AH439" s="505">
        <f>IFERROR(VLOOKUP(Таблица3[[#This Row],[№ акта]],'Степень зрелости 2026'!$H$12:$I$800,2,FALSE),)</f>
        <v>67</v>
      </c>
      <c r="AJ439" s="508">
        <v>463</v>
      </c>
      <c r="AK439" s="509">
        <v>46198</v>
      </c>
      <c r="AL439" s="508">
        <v>598</v>
      </c>
      <c r="AO439" s="508">
        <v>13890</v>
      </c>
      <c r="AP439" s="508">
        <v>12431.5</v>
      </c>
      <c r="AQ439" s="508" t="s">
        <v>3375</v>
      </c>
      <c r="AR439" s="508" t="s">
        <v>909</v>
      </c>
      <c r="AS439" s="508" t="s">
        <v>3622</v>
      </c>
      <c r="AT439" s="508" t="s">
        <v>335</v>
      </c>
      <c r="AV439" s="508" t="s">
        <v>339</v>
      </c>
      <c r="AX439" s="508" t="s">
        <v>3112</v>
      </c>
      <c r="AY439" s="508" t="s">
        <v>909</v>
      </c>
      <c r="AZ439" s="508">
        <v>2.6</v>
      </c>
      <c r="BA439" s="508" t="s">
        <v>2932</v>
      </c>
      <c r="BB439" s="508" t="s">
        <v>178</v>
      </c>
      <c r="BC439" s="508">
        <v>22</v>
      </c>
      <c r="BD439" s="509">
        <v>46198</v>
      </c>
      <c r="BG439" s="508" t="s">
        <v>3559</v>
      </c>
      <c r="BH439" s="508" t="s">
        <v>2940</v>
      </c>
      <c r="BI439" s="508">
        <v>364</v>
      </c>
      <c r="BJ439" s="508">
        <v>64</v>
      </c>
    </row>
    <row r="440" spans="1:62" s="508" customFormat="1" ht="14.25" hidden="1" customHeight="1" x14ac:dyDescent="0.2">
      <c r="A440" s="495"/>
      <c r="B440" s="496"/>
      <c r="C440" s="497">
        <f>Таблица3[[#This Row],[Степень зрелости вспом]]</f>
        <v>61</v>
      </c>
      <c r="D440" s="498">
        <v>582</v>
      </c>
      <c r="E440" s="499"/>
      <c r="F440" s="496"/>
      <c r="G440" s="496">
        <v>4430</v>
      </c>
      <c r="H440" s="500"/>
      <c r="I440" s="496">
        <v>4053.5</v>
      </c>
      <c r="J440" s="495" t="s">
        <v>3375</v>
      </c>
      <c r="K440" s="495" t="s">
        <v>909</v>
      </c>
      <c r="L440" s="495" t="s">
        <v>864</v>
      </c>
      <c r="M440" s="495" t="s">
        <v>737</v>
      </c>
      <c r="N440" s="495"/>
      <c r="O440" s="495"/>
      <c r="P440" s="495"/>
      <c r="Q440" s="495"/>
      <c r="R440" s="501" t="s">
        <v>738</v>
      </c>
      <c r="S440" s="495"/>
      <c r="T440" s="482" t="str">
        <f>VLOOKUP(Таблица3[[#This Row],[№ акта]],$AJ$1:$BJ$691,15,FALSE)</f>
        <v>А-54/4</v>
      </c>
      <c r="U440" s="482" t="str">
        <f>VLOOKUP(Таблица3[[#This Row],[№ акта]],$AJ$1:$BJ$691,16,FALSE)</f>
        <v>Тристар</v>
      </c>
      <c r="V440" s="502">
        <f>VLOOKUP(Таблица3[[#This Row],[№ акта]],$AJ$1:$BJ$691,17,FALSE)</f>
        <v>1.2</v>
      </c>
      <c r="W440" s="502" t="str">
        <f>VLOOKUP(Таблица3[[#This Row],[№ акта]],$AJ$1:$BJ$691,18,FALSE)</f>
        <v>ГРК (полив)</v>
      </c>
      <c r="X440" s="502" t="str">
        <f>VLOOKUP(Таблица3[[#This Row],[№ акта]],$AJ$1:$BJ$691,19,FALSE)</f>
        <v>полив</v>
      </c>
      <c r="Y440" s="503">
        <f>VLOOKUP(Таблица3[[#This Row],[№ акта]],$AJ$1:$BJ$691,20,FALSE)</f>
        <v>21</v>
      </c>
      <c r="Z440" s="504">
        <f>VLOOKUP(Таблица3[[#This Row],[№ акта]],$AJ$1:$BJ$691,21,FALSE)</f>
        <v>46197</v>
      </c>
      <c r="AA440" s="504"/>
      <c r="AB440" s="504" t="str">
        <f>IF(VLOOKUP(Таблица3[[#This Row],[№ акта]],$AJ$1:$BJ$691,23,FALSE)&lt;&gt;0,VLOOKUP(Таблица3[[#This Row],[№ акта]],$AJ$1:$BJ$691,23,FALSE),"-")</f>
        <v>-</v>
      </c>
      <c r="AC44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40" s="506" t="s">
        <v>2940</v>
      </c>
      <c r="AE440" s="505">
        <v>451</v>
      </c>
      <c r="AF440" s="507">
        <v>46198</v>
      </c>
      <c r="AG440" s="505">
        <v>359</v>
      </c>
      <c r="AH440" s="505">
        <f>IFERROR(VLOOKUP(Таблица3[[#This Row],[№ акта]],'Степень зрелости 2026'!$H$12:$I$800,2,FALSE),)</f>
        <v>61</v>
      </c>
      <c r="AJ440" s="508">
        <v>464</v>
      </c>
      <c r="AK440" s="509">
        <v>46198</v>
      </c>
      <c r="AL440" s="508">
        <v>599</v>
      </c>
      <c r="AO440" s="508">
        <v>8810</v>
      </c>
      <c r="AP440" s="508">
        <v>7620.6</v>
      </c>
      <c r="AQ440" s="508" t="s">
        <v>3464</v>
      </c>
      <c r="AR440" s="508" t="s">
        <v>909</v>
      </c>
      <c r="AS440" s="508" t="s">
        <v>3115</v>
      </c>
      <c r="AT440" s="508" t="s">
        <v>133</v>
      </c>
      <c r="AV440" s="508" t="s">
        <v>137</v>
      </c>
      <c r="AX440" s="508" t="s">
        <v>3115</v>
      </c>
      <c r="AY440" s="508" t="s">
        <v>909</v>
      </c>
      <c r="AZ440" s="508">
        <v>1.3</v>
      </c>
      <c r="BA440" s="508" t="s">
        <v>52</v>
      </c>
      <c r="BB440" s="508" t="s">
        <v>178</v>
      </c>
      <c r="BC440" s="508">
        <v>22</v>
      </c>
      <c r="BD440" s="509">
        <v>46198</v>
      </c>
      <c r="BG440" s="508" t="s">
        <v>724</v>
      </c>
      <c r="BH440" s="508" t="s">
        <v>2940</v>
      </c>
      <c r="BI440" s="508">
        <v>68</v>
      </c>
      <c r="BJ440" s="508">
        <v>59</v>
      </c>
    </row>
    <row r="441" spans="1:62" s="508" customFormat="1" ht="14.25" hidden="1" customHeight="1" x14ac:dyDescent="0.2">
      <c r="A441" s="495"/>
      <c r="B441" s="496"/>
      <c r="C441" s="497">
        <f>Таблица3[[#This Row],[Степень зрелости вспом]]</f>
        <v>56</v>
      </c>
      <c r="D441" s="498">
        <v>583</v>
      </c>
      <c r="E441" s="499"/>
      <c r="F441" s="496"/>
      <c r="G441" s="496">
        <v>8530</v>
      </c>
      <c r="H441" s="500"/>
      <c r="I441" s="496">
        <v>7207.9</v>
      </c>
      <c r="J441" s="495" t="s">
        <v>3464</v>
      </c>
      <c r="K441" s="495" t="s">
        <v>909</v>
      </c>
      <c r="L441" s="495" t="s">
        <v>3115</v>
      </c>
      <c r="M441" s="495" t="s">
        <v>239</v>
      </c>
      <c r="N441" s="495"/>
      <c r="O441" s="495"/>
      <c r="P441" s="495"/>
      <c r="Q441" s="495"/>
      <c r="R441" s="501" t="s">
        <v>243</v>
      </c>
      <c r="S441" s="495"/>
      <c r="T441" s="482" t="str">
        <f>VLOOKUP(Таблица3[[#This Row],[№ акта]],$AJ$1:$BJ$691,15,FALSE)</f>
        <v>17 Агролидер</v>
      </c>
      <c r="U441" s="482" t="str">
        <f>VLOOKUP(Таблица3[[#This Row],[№ акта]],$AJ$1:$BJ$691,16,FALSE)</f>
        <v>Тристар</v>
      </c>
      <c r="V441" s="502">
        <f>VLOOKUP(Таблица3[[#This Row],[№ акта]],$AJ$1:$BJ$691,17,FALSE)</f>
        <v>1.2</v>
      </c>
      <c r="W441" s="502" t="str">
        <f>VLOOKUP(Таблица3[[#This Row],[№ акта]],$AJ$1:$BJ$691,18,FALSE)</f>
        <v>Агролидер (полив)</v>
      </c>
      <c r="X441" s="502" t="str">
        <f>VLOOKUP(Таблица3[[#This Row],[№ акта]],$AJ$1:$BJ$691,19,FALSE)</f>
        <v>полив</v>
      </c>
      <c r="Y441" s="503">
        <f>VLOOKUP(Таблица3[[#This Row],[№ акта]],$AJ$1:$BJ$691,20,FALSE)</f>
        <v>21</v>
      </c>
      <c r="Z441" s="504">
        <f>VLOOKUP(Таблица3[[#This Row],[№ акта]],$AJ$1:$BJ$691,21,FALSE)</f>
        <v>46197</v>
      </c>
      <c r="AA441" s="504"/>
      <c r="AB441" s="504" t="str">
        <f>IF(VLOOKUP(Таблица3[[#This Row],[№ акта]],$AJ$1:$BJ$691,23,FALSE)&lt;&gt;0,VLOOKUP(Таблица3[[#This Row],[№ акта]],$AJ$1:$BJ$691,23,FALSE),"-")</f>
        <v>-</v>
      </c>
      <c r="AC44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41" s="506" t="s">
        <v>2940</v>
      </c>
      <c r="AE441" s="505">
        <v>452</v>
      </c>
      <c r="AF441" s="507">
        <v>46198</v>
      </c>
      <c r="AG441" s="505">
        <v>63</v>
      </c>
      <c r="AH441" s="505">
        <f>IFERROR(VLOOKUP(Таблица3[[#This Row],[№ акта]],'Степень зрелости 2026'!$H$12:$I$800,2,FALSE),)</f>
        <v>56</v>
      </c>
      <c r="AJ441" s="508">
        <v>465</v>
      </c>
      <c r="AK441" s="509">
        <v>46198</v>
      </c>
      <c r="AL441" s="508">
        <v>600</v>
      </c>
      <c r="AO441" s="508">
        <v>8750</v>
      </c>
      <c r="AP441" s="508">
        <v>7831.3</v>
      </c>
      <c r="AQ441" s="508" t="s">
        <v>3464</v>
      </c>
      <c r="AR441" s="508" t="s">
        <v>909</v>
      </c>
      <c r="AS441" s="508" t="s">
        <v>3115</v>
      </c>
      <c r="AT441" s="508" t="s">
        <v>3377</v>
      </c>
      <c r="AV441" s="508" t="s">
        <v>3196</v>
      </c>
      <c r="AX441" s="508" t="s">
        <v>3115</v>
      </c>
      <c r="AY441" s="508" t="s">
        <v>909</v>
      </c>
      <c r="AZ441" s="508">
        <v>1.3</v>
      </c>
      <c r="BA441" s="508" t="s">
        <v>52</v>
      </c>
      <c r="BB441" s="508" t="s">
        <v>178</v>
      </c>
      <c r="BC441" s="508">
        <v>22</v>
      </c>
      <c r="BD441" s="509">
        <v>46198</v>
      </c>
      <c r="BG441" s="508" t="s">
        <v>724</v>
      </c>
      <c r="BH441" s="508" t="s">
        <v>2940</v>
      </c>
      <c r="BI441" s="508">
        <v>69</v>
      </c>
      <c r="BJ441" s="508">
        <v>55</v>
      </c>
    </row>
    <row r="442" spans="1:62" s="508" customFormat="1" ht="14.25" hidden="1" customHeight="1" x14ac:dyDescent="0.2">
      <c r="A442" s="495"/>
      <c r="B442" s="496"/>
      <c r="C442" s="497">
        <f>Таблица3[[#This Row],[Степень зрелости вспом]]</f>
        <v>63</v>
      </c>
      <c r="D442" s="498">
        <v>584</v>
      </c>
      <c r="E442" s="499"/>
      <c r="F442" s="496"/>
      <c r="G442" s="496">
        <v>18010</v>
      </c>
      <c r="H442" s="500"/>
      <c r="I442" s="496">
        <v>16659.2</v>
      </c>
      <c r="J442" s="495" t="s">
        <v>3375</v>
      </c>
      <c r="K442" s="495" t="s">
        <v>909</v>
      </c>
      <c r="L442" s="495" t="s">
        <v>864</v>
      </c>
      <c r="M442" s="495" t="s">
        <v>121</v>
      </c>
      <c r="N442" s="495"/>
      <c r="O442" s="495"/>
      <c r="P442" s="495"/>
      <c r="Q442" s="495"/>
      <c r="R442" s="501" t="s">
        <v>125</v>
      </c>
      <c r="S442" s="495"/>
      <c r="T442" s="482" t="str">
        <f>VLOOKUP(Таблица3[[#This Row],[№ акта]],$AJ$1:$BJ$691,15,FALSE)</f>
        <v>А-54</v>
      </c>
      <c r="U442" s="482" t="str">
        <f>VLOOKUP(Таблица3[[#This Row],[№ акта]],$AJ$1:$BJ$691,16,FALSE)</f>
        <v>Тристар</v>
      </c>
      <c r="V442" s="502">
        <f>VLOOKUP(Таблица3[[#This Row],[№ акта]],$AJ$1:$BJ$691,17,FALSE)-0.2</f>
        <v>4.3</v>
      </c>
      <c r="W442" s="502" t="str">
        <f>VLOOKUP(Таблица3[[#This Row],[№ акта]],$AJ$1:$BJ$691,18,FALSE)</f>
        <v>ГРК (полив)</v>
      </c>
      <c r="X442" s="502" t="str">
        <f>VLOOKUP(Таблица3[[#This Row],[№ акта]],$AJ$1:$BJ$691,19,FALSE)</f>
        <v>полив</v>
      </c>
      <c r="Y442" s="503">
        <f>VLOOKUP(Таблица3[[#This Row],[№ акта]],$AJ$1:$BJ$691,20,FALSE)</f>
        <v>22</v>
      </c>
      <c r="Z442" s="504">
        <f>VLOOKUP(Таблица3[[#This Row],[№ акта]],$AJ$1:$BJ$691,21,FALSE)</f>
        <v>46198</v>
      </c>
      <c r="AA442" s="504"/>
      <c r="AB442" s="504" t="str">
        <f>IF(VLOOKUP(Таблица3[[#This Row],[№ акта]],$AJ$1:$BJ$691,23,FALSE)&lt;&gt;0,VLOOKUP(Таблица3[[#This Row],[№ акта]],$AJ$1:$BJ$691,23,FALSE),"-")</f>
        <v>-</v>
      </c>
      <c r="AC44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42" s="506" t="s">
        <v>3230</v>
      </c>
      <c r="AE442" s="505">
        <v>455</v>
      </c>
      <c r="AF442" s="507">
        <v>46198</v>
      </c>
      <c r="AG442" s="505">
        <v>360</v>
      </c>
      <c r="AH442" s="505">
        <f>IFERROR(VLOOKUP(Таблица3[[#This Row],[№ акта]],'Степень зрелости 2026'!$H$12:$I$800,2,FALSE),)</f>
        <v>63</v>
      </c>
      <c r="AJ442" s="508">
        <v>466</v>
      </c>
      <c r="AK442" s="509">
        <v>46198</v>
      </c>
      <c r="AL442" s="508">
        <v>601</v>
      </c>
      <c r="AO442" s="508">
        <v>8710</v>
      </c>
      <c r="AP442" s="508">
        <v>7969.7</v>
      </c>
      <c r="AQ442" s="508" t="s">
        <v>3375</v>
      </c>
      <c r="AR442" s="508" t="s">
        <v>909</v>
      </c>
      <c r="AS442" s="508" t="s">
        <v>3112</v>
      </c>
      <c r="AT442" s="508" t="s">
        <v>239</v>
      </c>
      <c r="AV442" s="508" t="s">
        <v>243</v>
      </c>
      <c r="AX442" s="508" t="s">
        <v>3112</v>
      </c>
      <c r="AY442" s="508" t="s">
        <v>909</v>
      </c>
      <c r="AZ442" s="508">
        <v>1.6</v>
      </c>
      <c r="BA442" s="508" t="s">
        <v>2932</v>
      </c>
      <c r="BB442" s="508" t="s">
        <v>178</v>
      </c>
      <c r="BC442" s="508">
        <v>22</v>
      </c>
      <c r="BD442" s="509">
        <v>46198</v>
      </c>
      <c r="BG442" s="508" t="s">
        <v>3559</v>
      </c>
      <c r="BH442" s="508" t="s">
        <v>2940</v>
      </c>
      <c r="BI442" s="508">
        <v>365</v>
      </c>
      <c r="BJ442" s="508">
        <v>65</v>
      </c>
    </row>
    <row r="443" spans="1:62" s="508" customFormat="1" ht="14.25" hidden="1" customHeight="1" x14ac:dyDescent="0.2">
      <c r="A443" s="495"/>
      <c r="B443" s="496"/>
      <c r="C443" s="497">
        <f>Таблица3[[#This Row],[Степень зрелости вспом]]</f>
        <v>55</v>
      </c>
      <c r="D443" s="498">
        <v>585</v>
      </c>
      <c r="E443" s="499"/>
      <c r="F443" s="496"/>
      <c r="G443" s="496">
        <v>8520</v>
      </c>
      <c r="H443" s="500"/>
      <c r="I443" s="496">
        <v>7199.4</v>
      </c>
      <c r="J443" s="495" t="s">
        <v>3464</v>
      </c>
      <c r="K443" s="495" t="s">
        <v>909</v>
      </c>
      <c r="L443" s="495" t="s">
        <v>3115</v>
      </c>
      <c r="M443" s="495" t="s">
        <v>335</v>
      </c>
      <c r="N443" s="495"/>
      <c r="O443" s="495"/>
      <c r="P443" s="495"/>
      <c r="Q443" s="495"/>
      <c r="R443" s="501" t="s">
        <v>339</v>
      </c>
      <c r="S443" s="495"/>
      <c r="T443" s="482" t="str">
        <f>VLOOKUP(Таблица3[[#This Row],[№ акта]],$AJ$1:$BJ$691,15,FALSE)</f>
        <v>17 Агролидер</v>
      </c>
      <c r="U443" s="482" t="str">
        <f>VLOOKUP(Таблица3[[#This Row],[№ акта]],$AJ$1:$BJ$691,16,FALSE)</f>
        <v>Тристар</v>
      </c>
      <c r="V443" s="502">
        <f>VLOOKUP(Таблица3[[#This Row],[№ акта]],$AJ$1:$BJ$691,17,FALSE)</f>
        <v>1.3</v>
      </c>
      <c r="W443" s="502" t="str">
        <f>VLOOKUP(Таблица3[[#This Row],[№ акта]],$AJ$1:$BJ$691,18,FALSE)</f>
        <v>Агролидер (полив)</v>
      </c>
      <c r="X443" s="502" t="str">
        <f>VLOOKUP(Таблица3[[#This Row],[№ акта]],$AJ$1:$BJ$691,19,FALSE)</f>
        <v>полив</v>
      </c>
      <c r="Y443" s="503">
        <f>VLOOKUP(Таблица3[[#This Row],[№ акта]],$AJ$1:$BJ$691,20,FALSE)</f>
        <v>22</v>
      </c>
      <c r="Z443" s="504">
        <f>VLOOKUP(Таблица3[[#This Row],[№ акта]],$AJ$1:$BJ$691,21,FALSE)</f>
        <v>46198</v>
      </c>
      <c r="AA443" s="504"/>
      <c r="AB443" s="504" t="str">
        <f>IF(VLOOKUP(Таблица3[[#This Row],[№ акта]],$AJ$1:$BJ$691,23,FALSE)&lt;&gt;0,VLOOKUP(Таблица3[[#This Row],[№ акта]],$AJ$1:$BJ$691,23,FALSE),"-")</f>
        <v>-</v>
      </c>
      <c r="AC44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43" s="506" t="s">
        <v>2940</v>
      </c>
      <c r="AE443" s="505">
        <v>456</v>
      </c>
      <c r="AF443" s="507">
        <v>46198</v>
      </c>
      <c r="AG443" s="505">
        <v>64</v>
      </c>
      <c r="AH443" s="505">
        <f>IFERROR(VLOOKUP(Таблица3[[#This Row],[№ акта]],'Степень зрелости 2026'!$H$12:$I$800,2,FALSE),)</f>
        <v>55</v>
      </c>
      <c r="AJ443" s="508">
        <v>467</v>
      </c>
      <c r="AK443" s="509">
        <v>46198</v>
      </c>
      <c r="AL443" s="508">
        <v>602</v>
      </c>
      <c r="AO443" s="508">
        <v>13770</v>
      </c>
      <c r="AP443" s="508">
        <v>12875</v>
      </c>
      <c r="AQ443" s="508" t="s">
        <v>3645</v>
      </c>
      <c r="AR443" s="508" t="s">
        <v>901</v>
      </c>
      <c r="AS443" s="508" t="s">
        <v>3120</v>
      </c>
      <c r="AT443" s="508" t="s">
        <v>347</v>
      </c>
      <c r="AV443" s="508" t="s">
        <v>351</v>
      </c>
      <c r="AX443" s="508" t="s">
        <v>3120</v>
      </c>
      <c r="AY443" s="508" t="s">
        <v>901</v>
      </c>
      <c r="AZ443" s="508">
        <v>3.5</v>
      </c>
      <c r="BA443" s="508" t="s">
        <v>53</v>
      </c>
      <c r="BB443" s="508" t="s">
        <v>178</v>
      </c>
      <c r="BC443" s="508">
        <v>22</v>
      </c>
      <c r="BD443" s="509">
        <v>46198</v>
      </c>
      <c r="BG443" s="508" t="s">
        <v>724</v>
      </c>
      <c r="BH443" s="508" t="s">
        <v>2940</v>
      </c>
      <c r="BI443" s="508">
        <v>1</v>
      </c>
      <c r="BJ443" s="508">
        <v>60</v>
      </c>
    </row>
    <row r="444" spans="1:62" s="508" customFormat="1" ht="14.25" hidden="1" customHeight="1" x14ac:dyDescent="0.2">
      <c r="A444" s="495"/>
      <c r="B444" s="496"/>
      <c r="C444" s="497">
        <f>Таблица3[[#This Row],[Степень зрелости вспом]]</f>
        <v>62</v>
      </c>
      <c r="D444" s="498">
        <v>587</v>
      </c>
      <c r="E444" s="499"/>
      <c r="F444" s="496"/>
      <c r="G444" s="496">
        <v>13630</v>
      </c>
      <c r="H444" s="500"/>
      <c r="I444" s="496">
        <v>12471.4</v>
      </c>
      <c r="J444" s="495" t="s">
        <v>3375</v>
      </c>
      <c r="K444" s="495" t="s">
        <v>909</v>
      </c>
      <c r="L444" s="495" t="s">
        <v>864</v>
      </c>
      <c r="M444" s="495" t="s">
        <v>127</v>
      </c>
      <c r="N444" s="495"/>
      <c r="O444" s="495"/>
      <c r="P444" s="495"/>
      <c r="Q444" s="495"/>
      <c r="R444" s="501" t="s">
        <v>131</v>
      </c>
      <c r="S444" s="495"/>
      <c r="T444" s="482" t="str">
        <f>VLOOKUP(Таблица3[[#This Row],[№ акта]],$AJ$1:$BJ$691,15,FALSE)</f>
        <v>А-54/4</v>
      </c>
      <c r="U444" s="482" t="str">
        <f>VLOOKUP(Таблица3[[#This Row],[№ акта]],$AJ$1:$BJ$691,16,FALSE)</f>
        <v>Тристар</v>
      </c>
      <c r="V444" s="502">
        <f>VLOOKUP(Таблица3[[#This Row],[№ акта]],$AJ$1:$BJ$691,17,FALSE)</f>
        <v>2.1</v>
      </c>
      <c r="W444" s="502" t="str">
        <f>VLOOKUP(Таблица3[[#This Row],[№ акта]],$AJ$1:$BJ$691,18,FALSE)</f>
        <v>ГРК (полив)</v>
      </c>
      <c r="X444" s="502" t="str">
        <f>VLOOKUP(Таблица3[[#This Row],[№ акта]],$AJ$1:$BJ$691,19,FALSE)</f>
        <v>полив</v>
      </c>
      <c r="Y444" s="503">
        <f>VLOOKUP(Таблица3[[#This Row],[№ акта]],$AJ$1:$BJ$691,20,FALSE)</f>
        <v>22</v>
      </c>
      <c r="Z444" s="504">
        <f>VLOOKUP(Таблица3[[#This Row],[№ акта]],$AJ$1:$BJ$691,21,FALSE)</f>
        <v>46198</v>
      </c>
      <c r="AA444" s="504"/>
      <c r="AB444" s="504" t="str">
        <f>IF(VLOOKUP(Таблица3[[#This Row],[№ акта]],$AJ$1:$BJ$691,23,FALSE)&lt;&gt;0,VLOOKUP(Таблица3[[#This Row],[№ акта]],$AJ$1:$BJ$691,23,FALSE),"-")</f>
        <v>-</v>
      </c>
      <c r="AC44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44" s="506" t="s">
        <v>2940</v>
      </c>
      <c r="AE444" s="505">
        <v>457</v>
      </c>
      <c r="AF444" s="507">
        <v>46198</v>
      </c>
      <c r="AG444" s="505">
        <v>361</v>
      </c>
      <c r="AH444" s="505">
        <f>IFERROR(VLOOKUP(Таблица3[[#This Row],[№ акта]],'Степень зрелости 2026'!$H$12:$I$800,2,FALSE),)</f>
        <v>62</v>
      </c>
      <c r="AJ444" s="508">
        <v>468</v>
      </c>
      <c r="AK444" s="509">
        <v>46198</v>
      </c>
      <c r="AL444" s="508">
        <v>603</v>
      </c>
      <c r="AO444" s="508">
        <v>6630</v>
      </c>
      <c r="AP444" s="508">
        <v>6265.4</v>
      </c>
      <c r="AQ444" s="508" t="s">
        <v>3375</v>
      </c>
      <c r="AR444" s="508" t="s">
        <v>909</v>
      </c>
      <c r="AS444" s="508" t="s">
        <v>3112</v>
      </c>
      <c r="AT444" s="508" t="s">
        <v>127</v>
      </c>
      <c r="AV444" s="508" t="s">
        <v>131</v>
      </c>
      <c r="AX444" s="508" t="s">
        <v>3112</v>
      </c>
      <c r="AY444" s="508" t="s">
        <v>909</v>
      </c>
      <c r="AZ444" s="508">
        <v>1.3</v>
      </c>
      <c r="BA444" s="508" t="s">
        <v>2932</v>
      </c>
      <c r="BB444" s="508" t="s">
        <v>178</v>
      </c>
      <c r="BC444" s="508">
        <v>22</v>
      </c>
      <c r="BD444" s="509">
        <v>46198</v>
      </c>
      <c r="BG444" s="508" t="s">
        <v>420</v>
      </c>
      <c r="BH444" s="508" t="s">
        <v>2940</v>
      </c>
      <c r="BI444" s="508">
        <v>366</v>
      </c>
      <c r="BJ444" s="508">
        <v>68</v>
      </c>
    </row>
    <row r="445" spans="1:62" s="508" customFormat="1" ht="14.25" hidden="1" customHeight="1" x14ac:dyDescent="0.2">
      <c r="A445" s="495"/>
      <c r="B445" s="496"/>
      <c r="C445" s="497">
        <f>Таблица3[[#This Row],[Степень зрелости вспом]]</f>
        <v>54</v>
      </c>
      <c r="D445" s="498">
        <v>588</v>
      </c>
      <c r="E445" s="499"/>
      <c r="F445" s="496"/>
      <c r="G445" s="496">
        <v>8710</v>
      </c>
      <c r="H445" s="500"/>
      <c r="I445" s="496">
        <v>7882.5</v>
      </c>
      <c r="J445" s="495" t="s">
        <v>3464</v>
      </c>
      <c r="K445" s="495" t="s">
        <v>909</v>
      </c>
      <c r="L445" s="495" t="s">
        <v>3115</v>
      </c>
      <c r="M445" s="495" t="s">
        <v>195</v>
      </c>
      <c r="N445" s="495"/>
      <c r="O445" s="495"/>
      <c r="P445" s="495"/>
      <c r="Q445" s="495"/>
      <c r="R445" s="501" t="s">
        <v>199</v>
      </c>
      <c r="S445" s="495"/>
      <c r="T445" s="482" t="str">
        <f>VLOOKUP(Таблица3[[#This Row],[№ акта]],$AJ$1:$BJ$691,15,FALSE)</f>
        <v>17 Агролидер</v>
      </c>
      <c r="U445" s="482" t="str">
        <f>VLOOKUP(Таблица3[[#This Row],[№ акта]],$AJ$1:$BJ$691,16,FALSE)</f>
        <v>Тристар</v>
      </c>
      <c r="V445" s="502">
        <f>VLOOKUP(Таблица3[[#This Row],[№ акта]],$AJ$1:$BJ$691,17,FALSE)</f>
        <v>1.3</v>
      </c>
      <c r="W445" s="502" t="str">
        <f>VLOOKUP(Таблица3[[#This Row],[№ акта]],$AJ$1:$BJ$691,18,FALSE)</f>
        <v>Агролидер (полив)</v>
      </c>
      <c r="X445" s="502" t="str">
        <f>VLOOKUP(Таблица3[[#This Row],[№ акта]],$AJ$1:$BJ$691,19,FALSE)</f>
        <v>полив</v>
      </c>
      <c r="Y445" s="503">
        <f>VLOOKUP(Таблица3[[#This Row],[№ акта]],$AJ$1:$BJ$691,20,FALSE)</f>
        <v>22</v>
      </c>
      <c r="Z445" s="504">
        <f>VLOOKUP(Таблица3[[#This Row],[№ акта]],$AJ$1:$BJ$691,21,FALSE)</f>
        <v>46198</v>
      </c>
      <c r="AA445" s="504"/>
      <c r="AB445" s="504" t="str">
        <f>IF(VLOOKUP(Таблица3[[#This Row],[№ акта]],$AJ$1:$BJ$691,23,FALSE)&lt;&gt;0,VLOOKUP(Таблица3[[#This Row],[№ акта]],$AJ$1:$BJ$691,23,FALSE),"-")</f>
        <v>-</v>
      </c>
      <c r="AC44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45" s="506" t="s">
        <v>2940</v>
      </c>
      <c r="AE445" s="505">
        <v>458</v>
      </c>
      <c r="AF445" s="507">
        <v>46198</v>
      </c>
      <c r="AG445" s="505">
        <v>66</v>
      </c>
      <c r="AH445" s="505">
        <f>IFERROR(VLOOKUP(Таблица3[[#This Row],[№ акта]],'Степень зрелости 2026'!$H$12:$I$800,2,FALSE),)</f>
        <v>54</v>
      </c>
      <c r="AJ445" s="508">
        <v>469</v>
      </c>
      <c r="AK445" s="509">
        <v>46198</v>
      </c>
      <c r="AL445" s="508">
        <v>604</v>
      </c>
      <c r="AO445" s="508">
        <v>13410</v>
      </c>
      <c r="AP445" s="508">
        <v>12404.3</v>
      </c>
      <c r="AQ445" s="508" t="s">
        <v>3645</v>
      </c>
      <c r="AR445" s="508" t="s">
        <v>901</v>
      </c>
      <c r="AS445" s="508" t="s">
        <v>3120</v>
      </c>
      <c r="AT445" s="508" t="s">
        <v>1151</v>
      </c>
      <c r="AV445" s="508" t="s">
        <v>145</v>
      </c>
      <c r="AX445" s="508" t="s">
        <v>3120</v>
      </c>
      <c r="AY445" s="508" t="s">
        <v>901</v>
      </c>
      <c r="AZ445" s="508">
        <v>3.4</v>
      </c>
      <c r="BA445" s="508" t="s">
        <v>53</v>
      </c>
      <c r="BB445" s="508" t="s">
        <v>178</v>
      </c>
      <c r="BC445" s="508">
        <v>22</v>
      </c>
      <c r="BD445" s="509">
        <v>46198</v>
      </c>
      <c r="BG445" s="508" t="s">
        <v>724</v>
      </c>
      <c r="BH445" s="508" t="s">
        <v>2940</v>
      </c>
      <c r="BI445" s="508">
        <v>2</v>
      </c>
      <c r="BJ445" s="508">
        <v>59</v>
      </c>
    </row>
    <row r="446" spans="1:62" s="508" customFormat="1" ht="14.25" hidden="1" customHeight="1" x14ac:dyDescent="0.2">
      <c r="A446" s="495"/>
      <c r="B446" s="496"/>
      <c r="C446" s="497">
        <f>Таблица3[[#This Row],[Степень зрелости вспом]]</f>
        <v>69</v>
      </c>
      <c r="D446" s="498">
        <v>591</v>
      </c>
      <c r="E446" s="499"/>
      <c r="F446" s="496"/>
      <c r="G446" s="496">
        <v>10510</v>
      </c>
      <c r="H446" s="500"/>
      <c r="I446" s="496">
        <v>9879.4</v>
      </c>
      <c r="J446" s="495" t="s">
        <v>3375</v>
      </c>
      <c r="K446" s="495" t="s">
        <v>909</v>
      </c>
      <c r="L446" s="495" t="s">
        <v>3112</v>
      </c>
      <c r="M446" s="495" t="s">
        <v>239</v>
      </c>
      <c r="N446" s="495"/>
      <c r="O446" s="495"/>
      <c r="P446" s="495"/>
      <c r="Q446" s="495"/>
      <c r="R446" s="501" t="s">
        <v>243</v>
      </c>
      <c r="S446" s="495"/>
      <c r="T446" s="482" t="str">
        <f>VLOOKUP(Таблица3[[#This Row],[№ акта]],$AJ$1:$BJ$691,15,FALSE)</f>
        <v>А-81/1</v>
      </c>
      <c r="U446" s="482" t="str">
        <f>VLOOKUP(Таблица3[[#This Row],[№ акта]],$AJ$1:$BJ$691,16,FALSE)</f>
        <v>Тристар</v>
      </c>
      <c r="V446" s="502">
        <f>VLOOKUP(Таблица3[[#This Row],[№ акта]],$AJ$1:$BJ$691,17,FALSE)</f>
        <v>2</v>
      </c>
      <c r="W446" s="502" t="str">
        <f>VLOOKUP(Таблица3[[#This Row],[№ акта]],$AJ$1:$BJ$691,18,FALSE)</f>
        <v>ГРК (полив)</v>
      </c>
      <c r="X446" s="502" t="str">
        <f>VLOOKUP(Таблица3[[#This Row],[№ акта]],$AJ$1:$BJ$691,19,FALSE)</f>
        <v>полив</v>
      </c>
      <c r="Y446" s="503">
        <f>VLOOKUP(Таблица3[[#This Row],[№ акта]],$AJ$1:$BJ$691,20,FALSE)</f>
        <v>22</v>
      </c>
      <c r="Z446" s="504">
        <f>VLOOKUP(Таблица3[[#This Row],[№ акта]],$AJ$1:$BJ$691,21,FALSE)</f>
        <v>46198</v>
      </c>
      <c r="AA446" s="504"/>
      <c r="AB446" s="504" t="str">
        <f>IF(VLOOKUP(Таблица3[[#This Row],[№ акта]],$AJ$1:$BJ$691,23,FALSE)&lt;&gt;0,VLOOKUP(Таблица3[[#This Row],[№ акта]],$AJ$1:$BJ$691,23,FALSE),"-")</f>
        <v>-</v>
      </c>
      <c r="AC44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46" s="506" t="s">
        <v>3230</v>
      </c>
      <c r="AE446" s="505">
        <v>459</v>
      </c>
      <c r="AF446" s="507">
        <v>46198</v>
      </c>
      <c r="AG446" s="505">
        <v>362</v>
      </c>
      <c r="AH446" s="505">
        <f>IFERROR(VLOOKUP(Таблица3[[#This Row],[№ акта]],'Степень зрелости 2026'!$H$12:$I$800,2,FALSE),)</f>
        <v>69</v>
      </c>
      <c r="AJ446" s="508">
        <v>470</v>
      </c>
      <c r="AK446" s="509">
        <v>46199</v>
      </c>
      <c r="AL446" s="508">
        <v>605</v>
      </c>
      <c r="AO446" s="508">
        <v>13370</v>
      </c>
      <c r="AP446" s="508">
        <v>11832.4</v>
      </c>
      <c r="AQ446" s="508" t="s">
        <v>3645</v>
      </c>
      <c r="AR446" s="508" t="s">
        <v>901</v>
      </c>
      <c r="AS446" s="508" t="s">
        <v>3120</v>
      </c>
      <c r="AT446" s="508" t="s">
        <v>1461</v>
      </c>
      <c r="AV446" s="508" t="s">
        <v>149</v>
      </c>
      <c r="AX446" s="508" t="s">
        <v>3120</v>
      </c>
      <c r="AY446" s="508" t="s">
        <v>901</v>
      </c>
      <c r="AZ446" s="508">
        <v>3.4</v>
      </c>
      <c r="BA446" s="508" t="s">
        <v>53</v>
      </c>
      <c r="BB446" s="508" t="s">
        <v>178</v>
      </c>
      <c r="BC446" s="508">
        <v>22</v>
      </c>
      <c r="BD446" s="509">
        <v>46198</v>
      </c>
      <c r="BG446" s="508" t="s">
        <v>724</v>
      </c>
      <c r="BH446" s="508" t="s">
        <v>2940</v>
      </c>
      <c r="BI446" s="508">
        <v>3</v>
      </c>
      <c r="BJ446" s="508">
        <v>56</v>
      </c>
    </row>
    <row r="447" spans="1:62" s="508" customFormat="1" ht="14.25" hidden="1" customHeight="1" x14ac:dyDescent="0.2">
      <c r="A447" s="505"/>
      <c r="B447" s="511"/>
      <c r="C447" s="497">
        <f>Таблица3[[#This Row],[Степень зрелости вспом]]</f>
        <v>60</v>
      </c>
      <c r="D447" s="512">
        <v>592</v>
      </c>
      <c r="E447" s="513"/>
      <c r="F447" s="511"/>
      <c r="G447" s="511">
        <v>14080</v>
      </c>
      <c r="H447" s="514"/>
      <c r="I447" s="511">
        <v>12515</v>
      </c>
      <c r="J447" s="505" t="s">
        <v>3375</v>
      </c>
      <c r="K447" s="505" t="s">
        <v>909</v>
      </c>
      <c r="L447" s="505" t="s">
        <v>3112</v>
      </c>
      <c r="M447" s="495" t="s">
        <v>305</v>
      </c>
      <c r="N447" s="505"/>
      <c r="O447" s="505"/>
      <c r="P447" s="505"/>
      <c r="Q447" s="505"/>
      <c r="R447" s="501" t="s">
        <v>309</v>
      </c>
      <c r="S447" s="505"/>
      <c r="T447" s="482" t="str">
        <f>VLOOKUP(Таблица3[[#This Row],[№ акта]],$AJ$1:$BJ$691,15,FALSE)</f>
        <v>А-81/1</v>
      </c>
      <c r="U447" s="482" t="str">
        <f>VLOOKUP(Таблица3[[#This Row],[№ акта]],$AJ$1:$BJ$691,16,FALSE)</f>
        <v>Тристар</v>
      </c>
      <c r="V447" s="502">
        <f>VLOOKUP(Таблица3[[#This Row],[№ акта]],$AJ$1:$BJ$691,17,FALSE)</f>
        <v>2.7</v>
      </c>
      <c r="W447" s="502" t="str">
        <f>VLOOKUP(Таблица3[[#This Row],[№ акта]],$AJ$1:$BJ$691,18,FALSE)</f>
        <v>ГРК (полив)</v>
      </c>
      <c r="X447" s="502" t="str">
        <f>VLOOKUP(Таблица3[[#This Row],[№ акта]],$AJ$1:$BJ$691,19,FALSE)</f>
        <v>полив</v>
      </c>
      <c r="Y447" s="503">
        <f>VLOOKUP(Таблица3[[#This Row],[№ акта]],$AJ$1:$BJ$691,20,FALSE)</f>
        <v>22</v>
      </c>
      <c r="Z447" s="504">
        <f>VLOOKUP(Таблица3[[#This Row],[№ акта]],$AJ$1:$BJ$691,21,FALSE)</f>
        <v>46198</v>
      </c>
      <c r="AA447" s="496">
        <f>Таблица3[[#This Row],[Регистратор.Вес нетто]]</f>
        <v>14080</v>
      </c>
      <c r="AB447" s="504" t="str">
        <f>IF(VLOOKUP(Таблица3[[#This Row],[№ акта]],$AJ$1:$BJ$691,23,FALSE)&lt;&gt;0,VLOOKUP(Таблица3[[#This Row],[№ акта]],$AJ$1:$BJ$691,23,FALSE),"-")</f>
        <v>ГРАНД-СТАР ООО</v>
      </c>
      <c r="AC44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47" s="506" t="s">
        <v>2940</v>
      </c>
      <c r="AE447" s="505">
        <v>579</v>
      </c>
      <c r="AF447" s="507">
        <v>46198</v>
      </c>
      <c r="AG447" s="505" t="s">
        <v>3964</v>
      </c>
      <c r="AH447" s="505">
        <f>IFERROR(VLOOKUP(Таблица3[[#This Row],[№ акта]],'Степень зрелости 2026'!$H$12:$I$800,2,FALSE),)</f>
        <v>60</v>
      </c>
      <c r="AJ447" s="508">
        <v>471</v>
      </c>
      <c r="AK447" s="509">
        <v>46199</v>
      </c>
      <c r="AL447" s="508">
        <v>606</v>
      </c>
      <c r="AO447" s="508">
        <v>8730</v>
      </c>
      <c r="AP447" s="508">
        <v>8162.6</v>
      </c>
      <c r="AQ447" s="508" t="s">
        <v>3375</v>
      </c>
      <c r="AR447" s="508" t="s">
        <v>909</v>
      </c>
      <c r="AS447" s="508" t="s">
        <v>3112</v>
      </c>
      <c r="AT447" s="508" t="s">
        <v>239</v>
      </c>
      <c r="AV447" s="508" t="s">
        <v>243</v>
      </c>
      <c r="AX447" s="508" t="s">
        <v>3112</v>
      </c>
      <c r="AY447" s="508" t="s">
        <v>909</v>
      </c>
      <c r="AZ447" s="508">
        <v>1.6</v>
      </c>
      <c r="BA447" s="508" t="s">
        <v>2932</v>
      </c>
      <c r="BB447" s="508" t="s">
        <v>178</v>
      </c>
      <c r="BC447" s="508">
        <v>22</v>
      </c>
      <c r="BD447" s="509">
        <v>46198</v>
      </c>
      <c r="BG447" s="508" t="s">
        <v>420</v>
      </c>
      <c r="BH447" s="508" t="s">
        <v>2940</v>
      </c>
      <c r="BI447" s="508">
        <v>367</v>
      </c>
      <c r="BJ447" s="508">
        <v>70</v>
      </c>
    </row>
    <row r="448" spans="1:62" s="508" customFormat="1" ht="14.25" hidden="1" customHeight="1" x14ac:dyDescent="0.2">
      <c r="A448" s="495"/>
      <c r="B448" s="496"/>
      <c r="C448" s="497">
        <f>Таблица3[[#This Row],[Степень зрелости вспом]]</f>
        <v>55</v>
      </c>
      <c r="D448" s="498">
        <v>594</v>
      </c>
      <c r="E448" s="499"/>
      <c r="F448" s="496"/>
      <c r="G448" s="496">
        <v>8790</v>
      </c>
      <c r="H448" s="500"/>
      <c r="I448" s="496">
        <v>8394.4</v>
      </c>
      <c r="J448" s="495" t="s">
        <v>3464</v>
      </c>
      <c r="K448" s="495" t="s">
        <v>909</v>
      </c>
      <c r="L448" s="495" t="s">
        <v>3115</v>
      </c>
      <c r="M448" s="495" t="s">
        <v>311</v>
      </c>
      <c r="N448" s="495"/>
      <c r="O448" s="495"/>
      <c r="P448" s="495"/>
      <c r="Q448" s="495"/>
      <c r="R448" s="501" t="s">
        <v>315</v>
      </c>
      <c r="S448" s="495"/>
      <c r="T448" s="482" t="str">
        <f>VLOOKUP(Таблица3[[#This Row],[№ акта]],$AJ$1:$BJ$691,15,FALSE)</f>
        <v>17 Агролидер</v>
      </c>
      <c r="U448" s="482" t="str">
        <f>VLOOKUP(Таблица3[[#This Row],[№ акта]],$AJ$1:$BJ$691,16,FALSE)</f>
        <v>Тристар</v>
      </c>
      <c r="V448" s="502">
        <f>VLOOKUP(Таблица3[[#This Row],[№ акта]],$AJ$1:$BJ$691,17,FALSE)</f>
        <v>1.3</v>
      </c>
      <c r="W448" s="502" t="str">
        <f>VLOOKUP(Таблица3[[#This Row],[№ акта]],$AJ$1:$BJ$691,18,FALSE)</f>
        <v>Агролидер (полив)</v>
      </c>
      <c r="X448" s="502" t="str">
        <f>VLOOKUP(Таблица3[[#This Row],[№ акта]],$AJ$1:$BJ$691,19,FALSE)</f>
        <v>полив</v>
      </c>
      <c r="Y448" s="503">
        <f>VLOOKUP(Таблица3[[#This Row],[№ акта]],$AJ$1:$BJ$691,20,FALSE)</f>
        <v>22</v>
      </c>
      <c r="Z448" s="504">
        <f>VLOOKUP(Таблица3[[#This Row],[№ акта]],$AJ$1:$BJ$691,21,FALSE)</f>
        <v>46198</v>
      </c>
      <c r="AA448" s="504"/>
      <c r="AB448" s="504" t="str">
        <f>IF(VLOOKUP(Таблица3[[#This Row],[№ акта]],$AJ$1:$BJ$691,23,FALSE)&lt;&gt;0,VLOOKUP(Таблица3[[#This Row],[№ акта]],$AJ$1:$BJ$691,23,FALSE),"-")</f>
        <v>-</v>
      </c>
      <c r="AC44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48" s="506" t="s">
        <v>2940</v>
      </c>
      <c r="AE448" s="505">
        <v>460</v>
      </c>
      <c r="AF448" s="507">
        <v>46198</v>
      </c>
      <c r="AG448" s="505">
        <v>65</v>
      </c>
      <c r="AH448" s="505">
        <f>IFERROR(VLOOKUP(Таблица3[[#This Row],[№ акта]],'Степень зрелости 2026'!$H$12:$I$800,2,FALSE),)</f>
        <v>55</v>
      </c>
      <c r="AJ448" s="508">
        <v>472</v>
      </c>
      <c r="AK448" s="509">
        <v>46199</v>
      </c>
      <c r="AL448" s="508">
        <v>607</v>
      </c>
      <c r="AO448" s="508">
        <v>13190</v>
      </c>
      <c r="AP448" s="508">
        <v>11805.1</v>
      </c>
      <c r="AQ448" s="508" t="s">
        <v>3464</v>
      </c>
      <c r="AR448" s="508" t="s">
        <v>909</v>
      </c>
      <c r="AS448" s="508" t="s">
        <v>3115</v>
      </c>
      <c r="AT448" s="508" t="s">
        <v>212</v>
      </c>
      <c r="AV448" s="508" t="s">
        <v>2965</v>
      </c>
      <c r="AX448" s="508" t="s">
        <v>3115</v>
      </c>
      <c r="AY448" s="508" t="s">
        <v>909</v>
      </c>
      <c r="AZ448" s="508">
        <v>2</v>
      </c>
      <c r="BA448" s="508" t="s">
        <v>52</v>
      </c>
      <c r="BB448" s="508" t="s">
        <v>178</v>
      </c>
      <c r="BC448" s="508">
        <v>22</v>
      </c>
      <c r="BD448" s="509">
        <v>46198</v>
      </c>
      <c r="BG448" s="508" t="s">
        <v>724</v>
      </c>
      <c r="BH448" s="508" t="s">
        <v>2940</v>
      </c>
      <c r="BI448" s="508">
        <v>70</v>
      </c>
      <c r="BJ448" s="508">
        <v>60</v>
      </c>
    </row>
    <row r="449" spans="1:62" s="508" customFormat="1" ht="14.25" hidden="1" customHeight="1" x14ac:dyDescent="0.2">
      <c r="A449" s="495"/>
      <c r="B449" s="496"/>
      <c r="C449" s="497">
        <f>Таблица3[[#This Row],[Степень зрелости вспом]]</f>
        <v>62</v>
      </c>
      <c r="D449" s="498">
        <v>595</v>
      </c>
      <c r="E449" s="499"/>
      <c r="F449" s="496"/>
      <c r="G449" s="496">
        <v>13510</v>
      </c>
      <c r="H449" s="500"/>
      <c r="I449" s="496">
        <v>12510</v>
      </c>
      <c r="J449" s="495" t="s">
        <v>3375</v>
      </c>
      <c r="K449" s="495" t="s">
        <v>909</v>
      </c>
      <c r="L449" s="495" t="s">
        <v>3112</v>
      </c>
      <c r="M449" s="495" t="s">
        <v>166</v>
      </c>
      <c r="N449" s="495"/>
      <c r="O449" s="495"/>
      <c r="P449" s="495"/>
      <c r="Q449" s="495"/>
      <c r="R449" s="501" t="s">
        <v>170</v>
      </c>
      <c r="S449" s="495"/>
      <c r="T449" s="482" t="str">
        <f>VLOOKUP(Таблица3[[#This Row],[№ акта]],$AJ$1:$BJ$691,15,FALSE)</f>
        <v>А-81/1</v>
      </c>
      <c r="U449" s="482" t="str">
        <f>VLOOKUP(Таблица3[[#This Row],[№ акта]],$AJ$1:$BJ$691,16,FALSE)</f>
        <v>Тристар</v>
      </c>
      <c r="V449" s="502">
        <f>VLOOKUP(Таблица3[[#This Row],[№ акта]],$AJ$1:$BJ$691,17,FALSE)</f>
        <v>2.5</v>
      </c>
      <c r="W449" s="502" t="str">
        <f>VLOOKUP(Таблица3[[#This Row],[№ акта]],$AJ$1:$BJ$691,18,FALSE)</f>
        <v>ГРК (полив)</v>
      </c>
      <c r="X449" s="502" t="str">
        <f>VLOOKUP(Таблица3[[#This Row],[№ акта]],$AJ$1:$BJ$691,19,FALSE)</f>
        <v>полив</v>
      </c>
      <c r="Y449" s="503">
        <f>VLOOKUP(Таблица3[[#This Row],[№ акта]],$AJ$1:$BJ$691,20,FALSE)</f>
        <v>22</v>
      </c>
      <c r="Z449" s="504">
        <f>VLOOKUP(Таблица3[[#This Row],[№ акта]],$AJ$1:$BJ$691,21,FALSE)</f>
        <v>46198</v>
      </c>
      <c r="AA449" s="496">
        <f>Таблица3[[#This Row],[Регистратор.Вес нетто]]</f>
        <v>13510</v>
      </c>
      <c r="AB449" s="504" t="str">
        <f>IF(VLOOKUP(Таблица3[[#This Row],[№ акта]],$AJ$1:$BJ$691,23,FALSE)&lt;&gt;0,VLOOKUP(Таблица3[[#This Row],[№ акта]],$AJ$1:$BJ$691,23,FALSE),"-")</f>
        <v>ГРАНД-СТАР ООО</v>
      </c>
      <c r="AC44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49" s="506" t="s">
        <v>2940</v>
      </c>
      <c r="AE449" s="505">
        <v>592</v>
      </c>
      <c r="AF449" s="507">
        <v>46198</v>
      </c>
      <c r="AG449" s="505" t="s">
        <v>3965</v>
      </c>
      <c r="AH449" s="505">
        <f>IFERROR(VLOOKUP(Таблица3[[#This Row],[№ акта]],'Степень зрелости 2026'!$H$12:$I$800,2,FALSE),)</f>
        <v>62</v>
      </c>
      <c r="AJ449" s="508">
        <v>473</v>
      </c>
      <c r="AK449" s="509">
        <v>46199</v>
      </c>
      <c r="AL449" s="508">
        <v>608</v>
      </c>
      <c r="AO449" s="508">
        <v>2220</v>
      </c>
      <c r="AP449" s="508">
        <v>2075.6999999999998</v>
      </c>
      <c r="AQ449" s="508" t="s">
        <v>3375</v>
      </c>
      <c r="AR449" s="508" t="s">
        <v>909</v>
      </c>
      <c r="AS449" s="508" t="s">
        <v>3112</v>
      </c>
      <c r="AT449" s="508" t="s">
        <v>127</v>
      </c>
      <c r="AV449" s="508" t="s">
        <v>131</v>
      </c>
      <c r="AX449" s="508" t="s">
        <v>3112</v>
      </c>
      <c r="AY449" s="508" t="s">
        <v>909</v>
      </c>
      <c r="AZ449" s="508">
        <v>0.4</v>
      </c>
      <c r="BA449" s="508" t="s">
        <v>2932</v>
      </c>
      <c r="BB449" s="508" t="s">
        <v>178</v>
      </c>
      <c r="BC449" s="508">
        <v>22</v>
      </c>
      <c r="BD449" s="509">
        <v>46198</v>
      </c>
      <c r="BG449" s="508" t="s">
        <v>420</v>
      </c>
      <c r="BH449" s="508" t="s">
        <v>2940</v>
      </c>
      <c r="BI449" s="508">
        <v>368</v>
      </c>
      <c r="BJ449" s="508">
        <v>74</v>
      </c>
    </row>
    <row r="450" spans="1:62" s="508" customFormat="1" ht="14.25" hidden="1" customHeight="1" x14ac:dyDescent="0.2">
      <c r="A450" s="495"/>
      <c r="B450" s="496"/>
      <c r="C450" s="497">
        <f>Таблица3[[#This Row],[Степень зрелости вспом]]</f>
        <v>59</v>
      </c>
      <c r="D450" s="498">
        <v>596</v>
      </c>
      <c r="E450" s="499"/>
      <c r="F450" s="496"/>
      <c r="G450" s="496">
        <v>8810</v>
      </c>
      <c r="H450" s="500"/>
      <c r="I450" s="496">
        <v>7885</v>
      </c>
      <c r="J450" s="495" t="s">
        <v>3464</v>
      </c>
      <c r="K450" s="495" t="s">
        <v>909</v>
      </c>
      <c r="L450" s="495" t="s">
        <v>3115</v>
      </c>
      <c r="M450" s="495" t="s">
        <v>3554</v>
      </c>
      <c r="N450" s="495"/>
      <c r="O450" s="495"/>
      <c r="P450" s="495"/>
      <c r="Q450" s="495"/>
      <c r="R450" s="501" t="s">
        <v>3555</v>
      </c>
      <c r="S450" s="495"/>
      <c r="T450" s="482" t="str">
        <f>VLOOKUP(Таблица3[[#This Row],[№ акта]],$AJ$1:$BJ$691,15,FALSE)</f>
        <v>17 Агролидер</v>
      </c>
      <c r="U450" s="482" t="str">
        <f>VLOOKUP(Таблица3[[#This Row],[№ акта]],$AJ$1:$BJ$691,16,FALSE)</f>
        <v>Тристар</v>
      </c>
      <c r="V450" s="502">
        <f>VLOOKUP(Таблица3[[#This Row],[№ акта]],$AJ$1:$BJ$691,17,FALSE)</f>
        <v>1.3</v>
      </c>
      <c r="W450" s="502" t="str">
        <f>VLOOKUP(Таблица3[[#This Row],[№ акта]],$AJ$1:$BJ$691,18,FALSE)</f>
        <v>Агролидер (полив)</v>
      </c>
      <c r="X450" s="502" t="str">
        <f>VLOOKUP(Таблица3[[#This Row],[№ акта]],$AJ$1:$BJ$691,19,FALSE)</f>
        <v>полив</v>
      </c>
      <c r="Y450" s="503">
        <f>VLOOKUP(Таблица3[[#This Row],[№ акта]],$AJ$1:$BJ$691,20,FALSE)</f>
        <v>22</v>
      </c>
      <c r="Z450" s="504">
        <f>VLOOKUP(Таблица3[[#This Row],[№ акта]],$AJ$1:$BJ$691,21,FALSE)</f>
        <v>46198</v>
      </c>
      <c r="AA450" s="504"/>
      <c r="AB450" s="504" t="str">
        <f>IF(VLOOKUP(Таблица3[[#This Row],[№ акта]],$AJ$1:$BJ$691,23,FALSE)&lt;&gt;0,VLOOKUP(Таблица3[[#This Row],[№ акта]],$AJ$1:$BJ$691,23,FALSE),"-")</f>
        <v>-</v>
      </c>
      <c r="AC45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50" s="506" t="s">
        <v>2940</v>
      </c>
      <c r="AE450" s="505">
        <v>462</v>
      </c>
      <c r="AF450" s="507">
        <v>46198</v>
      </c>
      <c r="AG450" s="505">
        <v>67</v>
      </c>
      <c r="AH450" s="505">
        <f>IFERROR(VLOOKUP(Таблица3[[#This Row],[№ акта]],'Степень зрелости 2026'!$H$12:$I$800,2,FALSE),)</f>
        <v>59</v>
      </c>
      <c r="AJ450" s="508">
        <v>487</v>
      </c>
      <c r="AK450" s="509">
        <v>46199</v>
      </c>
      <c r="AL450" s="508">
        <v>626</v>
      </c>
      <c r="AO450" s="508">
        <v>4480</v>
      </c>
      <c r="AP450" s="508">
        <v>4032</v>
      </c>
      <c r="AQ450" s="508" t="s">
        <v>3375</v>
      </c>
      <c r="AR450" s="508" t="s">
        <v>900</v>
      </c>
      <c r="AS450" s="508" t="s">
        <v>3670</v>
      </c>
      <c r="AT450" s="508" t="s">
        <v>762</v>
      </c>
      <c r="AV450" s="508" t="s">
        <v>763</v>
      </c>
      <c r="AX450" s="508" t="s">
        <v>3092</v>
      </c>
      <c r="AY450" s="508" t="s">
        <v>900</v>
      </c>
      <c r="AZ450" s="508">
        <v>1.8</v>
      </c>
      <c r="BA450" s="508" t="s">
        <v>46</v>
      </c>
      <c r="BB450" s="508" t="s">
        <v>19</v>
      </c>
      <c r="BC450" s="508">
        <v>23</v>
      </c>
      <c r="BD450" s="509">
        <v>46199</v>
      </c>
      <c r="BG450" s="508" t="s">
        <v>3559</v>
      </c>
      <c r="BH450" s="508" t="s">
        <v>2940</v>
      </c>
      <c r="BI450" s="508">
        <v>374</v>
      </c>
      <c r="BJ450" s="508">
        <v>65</v>
      </c>
    </row>
    <row r="451" spans="1:62" s="508" customFormat="1" ht="14.25" hidden="1" customHeight="1" x14ac:dyDescent="0.2">
      <c r="A451" s="495"/>
      <c r="B451" s="496"/>
      <c r="C451" s="497">
        <f>Таблица3[[#This Row],[Степень зрелости вспом]]</f>
        <v>67</v>
      </c>
      <c r="D451" s="498">
        <v>597</v>
      </c>
      <c r="E451" s="499"/>
      <c r="F451" s="496"/>
      <c r="G451" s="496">
        <v>10110</v>
      </c>
      <c r="H451" s="500"/>
      <c r="I451" s="496">
        <v>9301.2000000000007</v>
      </c>
      <c r="J451" s="495" t="s">
        <v>3375</v>
      </c>
      <c r="K451" s="495" t="s">
        <v>909</v>
      </c>
      <c r="L451" s="495" t="s">
        <v>2884</v>
      </c>
      <c r="M451" s="495" t="s">
        <v>239</v>
      </c>
      <c r="N451" s="495"/>
      <c r="O451" s="495"/>
      <c r="P451" s="495"/>
      <c r="Q451" s="495"/>
      <c r="R451" s="501" t="s">
        <v>243</v>
      </c>
      <c r="S451" s="495"/>
      <c r="T451" s="482" t="str">
        <f>VLOOKUP(Таблица3[[#This Row],[№ акта]],$AJ$1:$BJ$691,15,FALSE)</f>
        <v>А-81/1</v>
      </c>
      <c r="U451" s="482" t="str">
        <f>VLOOKUP(Таблица3[[#This Row],[№ акта]],$AJ$1:$BJ$691,16,FALSE)</f>
        <v>Тристар</v>
      </c>
      <c r="V451" s="502">
        <f>VLOOKUP(Таблица3[[#This Row],[№ акта]],$AJ$1:$BJ$691,17,FALSE)</f>
        <v>1.9</v>
      </c>
      <c r="W451" s="502" t="str">
        <f>VLOOKUP(Таблица3[[#This Row],[№ акта]],$AJ$1:$BJ$691,18,FALSE)</f>
        <v>ГРК (полив)</v>
      </c>
      <c r="X451" s="502" t="str">
        <f>VLOOKUP(Таблица3[[#This Row],[№ акта]],$AJ$1:$BJ$691,19,FALSE)</f>
        <v>полив</v>
      </c>
      <c r="Y451" s="503">
        <f>VLOOKUP(Таблица3[[#This Row],[№ акта]],$AJ$1:$BJ$691,20,FALSE)</f>
        <v>22</v>
      </c>
      <c r="Z451" s="504">
        <f>VLOOKUP(Таблица3[[#This Row],[№ акта]],$AJ$1:$BJ$691,21,FALSE)</f>
        <v>46198</v>
      </c>
      <c r="AA451" s="496"/>
      <c r="AB451" s="504" t="str">
        <f>IF(VLOOKUP(Таблица3[[#This Row],[№ акта]],$AJ$1:$BJ$691,23,FALSE)&lt;&gt;0,VLOOKUP(Таблица3[[#This Row],[№ акта]],$AJ$1:$BJ$691,23,FALSE),"-")</f>
        <v>-</v>
      </c>
      <c r="AC45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51" s="506" t="s">
        <v>3230</v>
      </c>
      <c r="AE451" s="505">
        <v>461</v>
      </c>
      <c r="AF451" s="507">
        <v>46198</v>
      </c>
      <c r="AG451" s="505">
        <v>363</v>
      </c>
      <c r="AH451" s="505">
        <f>IFERROR(VLOOKUP(Таблица3[[#This Row],[№ акта]],'Степень зрелости 2026'!$H$12:$I$800,2,FALSE),)</f>
        <v>67</v>
      </c>
      <c r="AJ451" s="508">
        <v>488</v>
      </c>
      <c r="AK451" s="509">
        <v>46199</v>
      </c>
      <c r="AL451" s="508">
        <v>629</v>
      </c>
      <c r="AO451" s="508">
        <v>13180</v>
      </c>
      <c r="AP451" s="508">
        <v>12455.1</v>
      </c>
      <c r="AQ451" s="508" t="s">
        <v>3464</v>
      </c>
      <c r="AR451" s="508" t="s">
        <v>909</v>
      </c>
      <c r="AS451" s="508" t="s">
        <v>3115</v>
      </c>
      <c r="AT451" s="508" t="s">
        <v>1461</v>
      </c>
      <c r="AV451" s="508" t="s">
        <v>149</v>
      </c>
      <c r="AX451" s="508" t="s">
        <v>3116</v>
      </c>
      <c r="AY451" s="508" t="s">
        <v>909</v>
      </c>
      <c r="AZ451" s="508">
        <v>3.4</v>
      </c>
      <c r="BA451" s="508" t="s">
        <v>52</v>
      </c>
      <c r="BB451" s="508" t="s">
        <v>178</v>
      </c>
      <c r="BC451" s="508">
        <v>23</v>
      </c>
      <c r="BD451" s="509">
        <v>46199</v>
      </c>
      <c r="BG451" s="508" t="s">
        <v>420</v>
      </c>
      <c r="BH451" s="508" t="s">
        <v>2940</v>
      </c>
      <c r="BI451" s="508">
        <v>79</v>
      </c>
      <c r="BJ451" s="508">
        <v>69</v>
      </c>
    </row>
    <row r="452" spans="1:62" s="508" customFormat="1" ht="14.25" hidden="1" customHeight="1" x14ac:dyDescent="0.2">
      <c r="A452" s="495"/>
      <c r="B452" s="496"/>
      <c r="C452" s="497">
        <f>Таблица3[[#This Row],[Степень зрелости вспом]]</f>
        <v>64</v>
      </c>
      <c r="D452" s="498">
        <v>598</v>
      </c>
      <c r="E452" s="499"/>
      <c r="F452" s="496"/>
      <c r="G452" s="496">
        <v>13890</v>
      </c>
      <c r="H452" s="500"/>
      <c r="I452" s="496">
        <v>12431.5</v>
      </c>
      <c r="J452" s="495" t="s">
        <v>3375</v>
      </c>
      <c r="K452" s="495" t="s">
        <v>909</v>
      </c>
      <c r="L452" s="495" t="s">
        <v>3112</v>
      </c>
      <c r="M452" s="495" t="s">
        <v>335</v>
      </c>
      <c r="N452" s="495"/>
      <c r="O452" s="495"/>
      <c r="P452" s="495"/>
      <c r="Q452" s="495"/>
      <c r="R452" s="501" t="s">
        <v>339</v>
      </c>
      <c r="S452" s="495"/>
      <c r="T452" s="482" t="str">
        <f>VLOOKUP(Таблица3[[#This Row],[№ акта]],$AJ$1:$BJ$691,15,FALSE)</f>
        <v>А-81/1</v>
      </c>
      <c r="U452" s="482" t="str">
        <f>VLOOKUP(Таблица3[[#This Row],[№ акта]],$AJ$1:$BJ$691,16,FALSE)</f>
        <v>Тристар</v>
      </c>
      <c r="V452" s="502">
        <f>VLOOKUP(Таблица3[[#This Row],[№ акта]],$AJ$1:$BJ$691,17,FALSE)</f>
        <v>2.6</v>
      </c>
      <c r="W452" s="502" t="str">
        <f>VLOOKUP(Таблица3[[#This Row],[№ акта]],$AJ$1:$BJ$691,18,FALSE)</f>
        <v>ГРК (полив)</v>
      </c>
      <c r="X452" s="502" t="str">
        <f>VLOOKUP(Таблица3[[#This Row],[№ акта]],$AJ$1:$BJ$691,19,FALSE)</f>
        <v>полив</v>
      </c>
      <c r="Y452" s="503">
        <f>VLOOKUP(Таблица3[[#This Row],[№ акта]],$AJ$1:$BJ$691,20,FALSE)</f>
        <v>22</v>
      </c>
      <c r="Z452" s="504">
        <f>VLOOKUP(Таблица3[[#This Row],[№ акта]],$AJ$1:$BJ$691,21,FALSE)</f>
        <v>46198</v>
      </c>
      <c r="AA452" s="504"/>
      <c r="AB452" s="504" t="str">
        <f>IF(VLOOKUP(Таблица3[[#This Row],[№ акта]],$AJ$1:$BJ$691,23,FALSE)&lt;&gt;0,VLOOKUP(Таблица3[[#This Row],[№ акта]],$AJ$1:$BJ$691,23,FALSE),"-")</f>
        <v>-</v>
      </c>
      <c r="AC45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52" s="506" t="s">
        <v>3230</v>
      </c>
      <c r="AE452" s="505">
        <v>463</v>
      </c>
      <c r="AF452" s="507">
        <v>46198</v>
      </c>
      <c r="AG452" s="505">
        <v>364</v>
      </c>
      <c r="AH452" s="505">
        <f>IFERROR(VLOOKUP(Таблица3[[#This Row],[№ акта]],'Степень зрелости 2026'!$H$12:$I$800,2,FALSE),)</f>
        <v>64</v>
      </c>
      <c r="AJ452" s="508">
        <v>489</v>
      </c>
      <c r="AK452" s="509">
        <v>46199</v>
      </c>
      <c r="AL452" s="508">
        <v>631</v>
      </c>
      <c r="AO452" s="508">
        <v>13020</v>
      </c>
      <c r="AP452" s="508">
        <v>11587.8</v>
      </c>
      <c r="AQ452" s="508" t="s">
        <v>3464</v>
      </c>
      <c r="AR452" s="508" t="s">
        <v>909</v>
      </c>
      <c r="AS452" s="508" t="s">
        <v>3115</v>
      </c>
      <c r="AT452" s="508" t="s">
        <v>121</v>
      </c>
      <c r="AV452" s="508" t="s">
        <v>125</v>
      </c>
      <c r="AX452" s="508" t="s">
        <v>3116</v>
      </c>
      <c r="AY452" s="508" t="s">
        <v>909</v>
      </c>
      <c r="AZ452" s="508">
        <v>3.4</v>
      </c>
      <c r="BA452" s="508" t="s">
        <v>52</v>
      </c>
      <c r="BB452" s="508" t="s">
        <v>178</v>
      </c>
      <c r="BC452" s="508">
        <v>23</v>
      </c>
      <c r="BD452" s="509">
        <v>46199</v>
      </c>
      <c r="BG452" s="508" t="s">
        <v>420</v>
      </c>
      <c r="BH452" s="508" t="s">
        <v>2940</v>
      </c>
      <c r="BI452" s="508">
        <v>81</v>
      </c>
      <c r="BJ452" s="508">
        <v>68</v>
      </c>
    </row>
    <row r="453" spans="1:62" s="508" customFormat="1" ht="14.25" hidden="1" customHeight="1" x14ac:dyDescent="0.2">
      <c r="A453" s="495"/>
      <c r="B453" s="496"/>
      <c r="C453" s="497">
        <f>Таблица3[[#This Row],[Степень зрелости вспом]]</f>
        <v>59</v>
      </c>
      <c r="D453" s="498">
        <v>599</v>
      </c>
      <c r="E453" s="499"/>
      <c r="F453" s="496"/>
      <c r="G453" s="496">
        <v>8810</v>
      </c>
      <c r="H453" s="500"/>
      <c r="I453" s="496">
        <v>7620.6</v>
      </c>
      <c r="J453" s="495" t="s">
        <v>3464</v>
      </c>
      <c r="K453" s="495" t="s">
        <v>909</v>
      </c>
      <c r="L453" s="495" t="s">
        <v>3115</v>
      </c>
      <c r="M453" s="495" t="s">
        <v>133</v>
      </c>
      <c r="N453" s="495"/>
      <c r="O453" s="495"/>
      <c r="P453" s="495"/>
      <c r="Q453" s="495"/>
      <c r="R453" s="501" t="s">
        <v>137</v>
      </c>
      <c r="S453" s="495"/>
      <c r="T453" s="482" t="str">
        <f>VLOOKUP(Таблица3[[#This Row],[№ акта]],$AJ$1:$BJ$691,15,FALSE)</f>
        <v>17 Агролидер</v>
      </c>
      <c r="U453" s="482" t="str">
        <f>VLOOKUP(Таблица3[[#This Row],[№ акта]],$AJ$1:$BJ$691,16,FALSE)</f>
        <v>Тристар</v>
      </c>
      <c r="V453" s="502">
        <f>VLOOKUP(Таблица3[[#This Row],[№ акта]],$AJ$1:$BJ$691,17,FALSE)</f>
        <v>1.3</v>
      </c>
      <c r="W453" s="502" t="str">
        <f>VLOOKUP(Таблица3[[#This Row],[№ акта]],$AJ$1:$BJ$691,18,FALSE)</f>
        <v>Агролидер (полив)</v>
      </c>
      <c r="X453" s="502" t="str">
        <f>VLOOKUP(Таблица3[[#This Row],[№ акта]],$AJ$1:$BJ$691,19,FALSE)</f>
        <v>полив</v>
      </c>
      <c r="Y453" s="503">
        <f>VLOOKUP(Таблица3[[#This Row],[№ акта]],$AJ$1:$BJ$691,20,FALSE)</f>
        <v>22</v>
      </c>
      <c r="Z453" s="504">
        <f>VLOOKUP(Таблица3[[#This Row],[№ акта]],$AJ$1:$BJ$691,21,FALSE)</f>
        <v>46198</v>
      </c>
      <c r="AA453" s="504"/>
      <c r="AB453" s="504" t="str">
        <f>IF(VLOOKUP(Таблица3[[#This Row],[№ акта]],$AJ$1:$BJ$691,23,FALSE)&lt;&gt;0,VLOOKUP(Таблица3[[#This Row],[№ акта]],$AJ$1:$BJ$691,23,FALSE),"-")</f>
        <v>-</v>
      </c>
      <c r="AC45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53" s="506" t="s">
        <v>2940</v>
      </c>
      <c r="AE453" s="505">
        <v>464</v>
      </c>
      <c r="AF453" s="507">
        <v>46198</v>
      </c>
      <c r="AG453" s="505">
        <v>68</v>
      </c>
      <c r="AH453" s="505">
        <f>IFERROR(VLOOKUP(Таблица3[[#This Row],[№ акта]],'Степень зрелости 2026'!$H$12:$I$800,2,FALSE),)</f>
        <v>59</v>
      </c>
      <c r="AJ453" s="508">
        <v>490</v>
      </c>
      <c r="AK453" s="509">
        <v>46199</v>
      </c>
      <c r="AL453" s="508">
        <v>632</v>
      </c>
      <c r="AO453" s="508">
        <v>13370</v>
      </c>
      <c r="AP453" s="508">
        <v>12768.3</v>
      </c>
      <c r="AQ453" s="508" t="s">
        <v>3464</v>
      </c>
      <c r="AR453" s="508" t="s">
        <v>909</v>
      </c>
      <c r="AS453" s="508" t="s">
        <v>3115</v>
      </c>
      <c r="AT453" s="508" t="s">
        <v>335</v>
      </c>
      <c r="AV453" s="508" t="s">
        <v>339</v>
      </c>
      <c r="AX453" s="508" t="s">
        <v>3116</v>
      </c>
      <c r="AY453" s="508" t="s">
        <v>909</v>
      </c>
      <c r="AZ453" s="508">
        <v>3.4</v>
      </c>
      <c r="BA453" s="508" t="s">
        <v>52</v>
      </c>
      <c r="BB453" s="508" t="s">
        <v>178</v>
      </c>
      <c r="BC453" s="508">
        <v>23</v>
      </c>
      <c r="BD453" s="509">
        <v>46199</v>
      </c>
      <c r="BG453" s="508" t="s">
        <v>420</v>
      </c>
      <c r="BH453" s="508" t="s">
        <v>2940</v>
      </c>
      <c r="BI453" s="508">
        <v>80</v>
      </c>
      <c r="BJ453" s="508">
        <v>69</v>
      </c>
    </row>
    <row r="454" spans="1:62" s="508" customFormat="1" ht="14.25" hidden="1" customHeight="1" x14ac:dyDescent="0.2">
      <c r="A454" s="495"/>
      <c r="B454" s="496"/>
      <c r="C454" s="497">
        <f>Таблица3[[#This Row],[Степень зрелости вспом]]</f>
        <v>55</v>
      </c>
      <c r="D454" s="498">
        <v>600</v>
      </c>
      <c r="E454" s="499"/>
      <c r="F454" s="496"/>
      <c r="G454" s="496">
        <v>8750</v>
      </c>
      <c r="H454" s="500"/>
      <c r="I454" s="496">
        <v>7831.3</v>
      </c>
      <c r="J454" s="495" t="s">
        <v>3464</v>
      </c>
      <c r="K454" s="495" t="s">
        <v>909</v>
      </c>
      <c r="L454" s="495" t="s">
        <v>3115</v>
      </c>
      <c r="M454" s="495" t="s">
        <v>3377</v>
      </c>
      <c r="N454" s="495"/>
      <c r="O454" s="495"/>
      <c r="P454" s="495"/>
      <c r="Q454" s="495"/>
      <c r="R454" s="501" t="s">
        <v>3196</v>
      </c>
      <c r="S454" s="495"/>
      <c r="T454" s="482" t="str">
        <f>VLOOKUP(Таблица3[[#This Row],[№ акта]],$AJ$1:$BJ$691,15,FALSE)</f>
        <v>17 Агролидер</v>
      </c>
      <c r="U454" s="482" t="str">
        <f>VLOOKUP(Таблица3[[#This Row],[№ акта]],$AJ$1:$BJ$691,16,FALSE)</f>
        <v>Тристар</v>
      </c>
      <c r="V454" s="502">
        <f>VLOOKUP(Таблица3[[#This Row],[№ акта]],$AJ$1:$BJ$691,17,FALSE)</f>
        <v>1.3</v>
      </c>
      <c r="W454" s="502" t="str">
        <f>VLOOKUP(Таблица3[[#This Row],[№ акта]],$AJ$1:$BJ$691,18,FALSE)</f>
        <v>Агролидер (полив)</v>
      </c>
      <c r="X454" s="502" t="str">
        <f>VLOOKUP(Таблица3[[#This Row],[№ акта]],$AJ$1:$BJ$691,19,FALSE)</f>
        <v>полив</v>
      </c>
      <c r="Y454" s="503">
        <f>VLOOKUP(Таблица3[[#This Row],[№ акта]],$AJ$1:$BJ$691,20,FALSE)</f>
        <v>22</v>
      </c>
      <c r="Z454" s="504">
        <f>VLOOKUP(Таблица3[[#This Row],[№ акта]],$AJ$1:$BJ$691,21,FALSE)</f>
        <v>46198</v>
      </c>
      <c r="AA454" s="504"/>
      <c r="AB454" s="504" t="str">
        <f>IF(VLOOKUP(Таблица3[[#This Row],[№ акта]],$AJ$1:$BJ$691,23,FALSE)&lt;&gt;0,VLOOKUP(Таблица3[[#This Row],[№ акта]],$AJ$1:$BJ$691,23,FALSE),"-")</f>
        <v>-</v>
      </c>
      <c r="AC45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54" s="506" t="s">
        <v>2940</v>
      </c>
      <c r="AE454" s="505">
        <v>465</v>
      </c>
      <c r="AF454" s="507">
        <v>46198</v>
      </c>
      <c r="AG454" s="505">
        <v>69</v>
      </c>
      <c r="AH454" s="505">
        <f>IFERROR(VLOOKUP(Таблица3[[#This Row],[№ акта]],'Степень зрелости 2026'!$H$12:$I$800,2,FALSE),)</f>
        <v>55</v>
      </c>
      <c r="AJ454" s="508">
        <v>526</v>
      </c>
      <c r="AK454" s="509">
        <v>46199</v>
      </c>
      <c r="AL454" s="508">
        <v>633</v>
      </c>
      <c r="AO454" s="508">
        <v>12440</v>
      </c>
      <c r="AP454" s="508">
        <v>11755.8</v>
      </c>
      <c r="AQ454" s="508" t="s">
        <v>3645</v>
      </c>
      <c r="AR454" s="508" t="s">
        <v>901</v>
      </c>
      <c r="AS454" s="508" t="s">
        <v>3120</v>
      </c>
      <c r="AT454" s="508" t="s">
        <v>1151</v>
      </c>
      <c r="AV454" s="508" t="s">
        <v>145</v>
      </c>
      <c r="AX454" s="508" t="s">
        <v>3120</v>
      </c>
      <c r="AY454" s="508" t="s">
        <v>901</v>
      </c>
      <c r="AZ454" s="508">
        <v>5.9</v>
      </c>
      <c r="BA454" s="508" t="s">
        <v>53</v>
      </c>
      <c r="BB454" s="508" t="s">
        <v>178</v>
      </c>
      <c r="BC454" s="508">
        <v>23</v>
      </c>
      <c r="BD454" s="509">
        <v>46199</v>
      </c>
      <c r="BG454" s="508" t="s">
        <v>724</v>
      </c>
      <c r="BH454" s="508" t="s">
        <v>2940</v>
      </c>
      <c r="BI454" s="508">
        <v>7</v>
      </c>
      <c r="BJ454" s="508">
        <v>62</v>
      </c>
    </row>
    <row r="455" spans="1:62" s="508" customFormat="1" ht="14.25" hidden="1" customHeight="1" x14ac:dyDescent="0.2">
      <c r="A455" s="495"/>
      <c r="B455" s="496"/>
      <c r="C455" s="497">
        <f>Таблица3[[#This Row],[Степень зрелости вспом]]</f>
        <v>65</v>
      </c>
      <c r="D455" s="498">
        <v>601</v>
      </c>
      <c r="E455" s="499"/>
      <c r="F455" s="496"/>
      <c r="G455" s="496">
        <v>8710</v>
      </c>
      <c r="H455" s="500"/>
      <c r="I455" s="496">
        <v>7969.7</v>
      </c>
      <c r="J455" s="495" t="s">
        <v>3375</v>
      </c>
      <c r="K455" s="495" t="s">
        <v>909</v>
      </c>
      <c r="L455" s="495" t="s">
        <v>3112</v>
      </c>
      <c r="M455" s="495" t="s">
        <v>239</v>
      </c>
      <c r="N455" s="495"/>
      <c r="O455" s="495"/>
      <c r="P455" s="495"/>
      <c r="Q455" s="495"/>
      <c r="R455" s="501" t="s">
        <v>243</v>
      </c>
      <c r="S455" s="495"/>
      <c r="T455" s="482" t="str">
        <f>VLOOKUP(Таблица3[[#This Row],[№ акта]],$AJ$1:$BJ$691,15,FALSE)</f>
        <v>А-81/1</v>
      </c>
      <c r="U455" s="482" t="str">
        <f>VLOOKUP(Таблица3[[#This Row],[№ акта]],$AJ$1:$BJ$691,16,FALSE)</f>
        <v>Тристар</v>
      </c>
      <c r="V455" s="502">
        <f>VLOOKUP(Таблица3[[#This Row],[№ акта]],$AJ$1:$BJ$691,17,FALSE)</f>
        <v>1.6</v>
      </c>
      <c r="W455" s="502" t="str">
        <f>VLOOKUP(Таблица3[[#This Row],[№ акта]],$AJ$1:$BJ$691,18,FALSE)</f>
        <v>ГРК (полив)</v>
      </c>
      <c r="X455" s="502" t="str">
        <f>VLOOKUP(Таблица3[[#This Row],[№ акта]],$AJ$1:$BJ$691,19,FALSE)</f>
        <v>полив</v>
      </c>
      <c r="Y455" s="503">
        <f>VLOOKUP(Таблица3[[#This Row],[№ акта]],$AJ$1:$BJ$691,20,FALSE)</f>
        <v>22</v>
      </c>
      <c r="Z455" s="504">
        <f>VLOOKUP(Таблица3[[#This Row],[№ акта]],$AJ$1:$BJ$691,21,FALSE)</f>
        <v>46198</v>
      </c>
      <c r="AA455" s="504"/>
      <c r="AB455" s="504" t="str">
        <f>IF(VLOOKUP(Таблица3[[#This Row],[№ акта]],$AJ$1:$BJ$691,23,FALSE)&lt;&gt;0,VLOOKUP(Таблица3[[#This Row],[№ акта]],$AJ$1:$BJ$691,23,FALSE),"-")</f>
        <v>-</v>
      </c>
      <c r="AC45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55" s="506" t="s">
        <v>3230</v>
      </c>
      <c r="AE455" s="505">
        <v>466</v>
      </c>
      <c r="AF455" s="507">
        <v>46198</v>
      </c>
      <c r="AG455" s="505">
        <v>365</v>
      </c>
      <c r="AH455" s="505">
        <f>IFERROR(VLOOKUP(Таблица3[[#This Row],[№ акта]],'Степень зрелости 2026'!$H$12:$I$800,2,FALSE),)</f>
        <v>65</v>
      </c>
      <c r="AJ455" s="508">
        <v>491</v>
      </c>
      <c r="AK455" s="509">
        <v>46199</v>
      </c>
      <c r="AL455" s="508">
        <v>634</v>
      </c>
      <c r="AO455" s="508">
        <v>13240</v>
      </c>
      <c r="AP455" s="508">
        <v>12644.2</v>
      </c>
      <c r="AQ455" s="508" t="s">
        <v>3464</v>
      </c>
      <c r="AR455" s="508" t="s">
        <v>909</v>
      </c>
      <c r="AS455" s="508" t="s">
        <v>3115</v>
      </c>
      <c r="AT455" s="508" t="s">
        <v>347</v>
      </c>
      <c r="AV455" s="508" t="s">
        <v>351</v>
      </c>
      <c r="AX455" s="508" t="s">
        <v>3116</v>
      </c>
      <c r="AY455" s="508" t="s">
        <v>909</v>
      </c>
      <c r="AZ455" s="508">
        <v>3.5</v>
      </c>
      <c r="BA455" s="508" t="s">
        <v>52</v>
      </c>
      <c r="BB455" s="508" t="s">
        <v>178</v>
      </c>
      <c r="BC455" s="508">
        <v>23</v>
      </c>
      <c r="BD455" s="509">
        <v>46199</v>
      </c>
      <c r="BG455" s="508" t="s">
        <v>420</v>
      </c>
      <c r="BH455" s="508" t="s">
        <v>2940</v>
      </c>
      <c r="BI455" s="508">
        <v>82</v>
      </c>
      <c r="BJ455" s="508">
        <v>74</v>
      </c>
    </row>
    <row r="456" spans="1:62" s="508" customFormat="1" ht="14.25" hidden="1" customHeight="1" x14ac:dyDescent="0.2">
      <c r="A456" s="495"/>
      <c r="B456" s="496"/>
      <c r="C456" s="497">
        <f>Таблица3[[#This Row],[Степень зрелости вспом]]</f>
        <v>60</v>
      </c>
      <c r="D456" s="498">
        <v>602</v>
      </c>
      <c r="E456" s="499"/>
      <c r="F456" s="496"/>
      <c r="G456" s="496">
        <v>13770</v>
      </c>
      <c r="H456" s="500"/>
      <c r="I456" s="496">
        <v>12875</v>
      </c>
      <c r="J456" s="495" t="s">
        <v>3645</v>
      </c>
      <c r="K456" s="495" t="s">
        <v>901</v>
      </c>
      <c r="L456" s="495" t="s">
        <v>3120</v>
      </c>
      <c r="M456" s="495" t="s">
        <v>347</v>
      </c>
      <c r="N456" s="495"/>
      <c r="O456" s="495"/>
      <c r="P456" s="495"/>
      <c r="Q456" s="495"/>
      <c r="R456" s="501" t="s">
        <v>351</v>
      </c>
      <c r="S456" s="495"/>
      <c r="T456" s="482" t="str">
        <f>VLOOKUP(Таблица3[[#This Row],[№ акта]],$AJ$1:$BJ$691,15,FALSE)</f>
        <v>2.2 Колос</v>
      </c>
      <c r="U456" s="482" t="str">
        <f>VLOOKUP(Таблица3[[#This Row],[№ акта]],$AJ$1:$BJ$691,16,FALSE)</f>
        <v>Фаворит</v>
      </c>
      <c r="V456" s="502">
        <f>VLOOKUP(Таблица3[[#This Row],[№ акта]],$AJ$1:$BJ$691,17,FALSE)</f>
        <v>3.5</v>
      </c>
      <c r="W456" s="502" t="str">
        <f>VLOOKUP(Таблица3[[#This Row],[№ акта]],$AJ$1:$BJ$691,18,FALSE)</f>
        <v>Колос (полив)</v>
      </c>
      <c r="X456" s="502" t="str">
        <f>VLOOKUP(Таблица3[[#This Row],[№ акта]],$AJ$1:$BJ$691,19,FALSE)</f>
        <v>полив</v>
      </c>
      <c r="Y456" s="503">
        <f>VLOOKUP(Таблица3[[#This Row],[№ акта]],$AJ$1:$BJ$691,20,FALSE)</f>
        <v>22</v>
      </c>
      <c r="Z456" s="504">
        <f>VLOOKUP(Таблица3[[#This Row],[№ акта]],$AJ$1:$BJ$691,21,FALSE)</f>
        <v>46198</v>
      </c>
      <c r="AA456" s="504"/>
      <c r="AB456" s="504" t="str">
        <f>IF(VLOOKUP(Таблица3[[#This Row],[№ акта]],$AJ$1:$BJ$691,23,FALSE)&lt;&gt;0,VLOOKUP(Таблица3[[#This Row],[№ акта]],$AJ$1:$BJ$691,23,FALSE),"-")</f>
        <v>-</v>
      </c>
      <c r="AC45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56" s="506" t="s">
        <v>2940</v>
      </c>
      <c r="AE456" s="505">
        <v>467</v>
      </c>
      <c r="AF456" s="507">
        <v>46198</v>
      </c>
      <c r="AG456" s="505">
        <v>1</v>
      </c>
      <c r="AH456" s="505">
        <f>IFERROR(VLOOKUP(Таблица3[[#This Row],[№ акта]],'Степень зрелости 2026'!$H$12:$I$800,2,FALSE),)</f>
        <v>60</v>
      </c>
      <c r="AJ456" s="508">
        <v>492</v>
      </c>
      <c r="AK456" s="509">
        <v>46199</v>
      </c>
      <c r="AL456" s="508">
        <v>635</v>
      </c>
      <c r="AO456" s="508">
        <v>12990</v>
      </c>
      <c r="AP456" s="508">
        <v>12080.7</v>
      </c>
      <c r="AQ456" s="508" t="s">
        <v>3464</v>
      </c>
      <c r="AR456" s="508" t="s">
        <v>909</v>
      </c>
      <c r="AS456" s="508" t="s">
        <v>3115</v>
      </c>
      <c r="AT456" s="508" t="s">
        <v>311</v>
      </c>
      <c r="AV456" s="508" t="s">
        <v>315</v>
      </c>
      <c r="AX456" s="508" t="s">
        <v>3116</v>
      </c>
      <c r="AY456" s="508" t="s">
        <v>909</v>
      </c>
      <c r="AZ456" s="508">
        <v>3.4</v>
      </c>
      <c r="BA456" s="508" t="s">
        <v>52</v>
      </c>
      <c r="BB456" s="508" t="s">
        <v>178</v>
      </c>
      <c r="BC456" s="508">
        <v>23</v>
      </c>
      <c r="BD456" s="509">
        <v>46199</v>
      </c>
      <c r="BG456" s="508" t="s">
        <v>420</v>
      </c>
      <c r="BH456" s="508" t="s">
        <v>2940</v>
      </c>
      <c r="BI456" s="508">
        <v>84</v>
      </c>
      <c r="BJ456" s="508">
        <v>74</v>
      </c>
    </row>
    <row r="457" spans="1:62" s="508" customFormat="1" ht="14.25" hidden="1" customHeight="1" x14ac:dyDescent="0.2">
      <c r="A457" s="495"/>
      <c r="B457" s="496"/>
      <c r="C457" s="497">
        <f>Таблица3[[#This Row],[Степень зрелости вспом]]</f>
        <v>68</v>
      </c>
      <c r="D457" s="498">
        <v>603</v>
      </c>
      <c r="E457" s="499"/>
      <c r="F457" s="496"/>
      <c r="G457" s="496">
        <v>6630</v>
      </c>
      <c r="H457" s="500"/>
      <c r="I457" s="496">
        <v>6265.4</v>
      </c>
      <c r="J457" s="495" t="s">
        <v>3375</v>
      </c>
      <c r="K457" s="495" t="s">
        <v>909</v>
      </c>
      <c r="L457" s="495" t="s">
        <v>3112</v>
      </c>
      <c r="M457" s="495" t="s">
        <v>127</v>
      </c>
      <c r="N457" s="495"/>
      <c r="O457" s="495"/>
      <c r="P457" s="495"/>
      <c r="Q457" s="495"/>
      <c r="R457" s="501" t="s">
        <v>131</v>
      </c>
      <c r="S457" s="495"/>
      <c r="T457" s="482" t="str">
        <f>VLOOKUP(Таблица3[[#This Row],[№ акта]],$AJ$1:$BJ$691,15,FALSE)</f>
        <v>А-81/1</v>
      </c>
      <c r="U457" s="482" t="str">
        <f>VLOOKUP(Таблица3[[#This Row],[№ акта]],$AJ$1:$BJ$691,16,FALSE)</f>
        <v>Тристар</v>
      </c>
      <c r="V457" s="502">
        <f>VLOOKUP(Таблица3[[#This Row],[№ акта]],$AJ$1:$BJ$691,17,FALSE)</f>
        <v>1.3</v>
      </c>
      <c r="W457" s="502" t="str">
        <f>VLOOKUP(Таблица3[[#This Row],[№ акта]],$AJ$1:$BJ$691,18,FALSE)</f>
        <v>ГРК (полив)</v>
      </c>
      <c r="X457" s="502" t="str">
        <f>VLOOKUP(Таблица3[[#This Row],[№ акта]],$AJ$1:$BJ$691,19,FALSE)</f>
        <v>полив</v>
      </c>
      <c r="Y457" s="503">
        <f>VLOOKUP(Таблица3[[#This Row],[№ акта]],$AJ$1:$BJ$691,20,FALSE)</f>
        <v>22</v>
      </c>
      <c r="Z457" s="504">
        <f>VLOOKUP(Таблица3[[#This Row],[№ акта]],$AJ$1:$BJ$691,21,FALSE)</f>
        <v>46198</v>
      </c>
      <c r="AA457" s="504"/>
      <c r="AB457" s="504" t="str">
        <f>IF(VLOOKUP(Таблица3[[#This Row],[№ акта]],$AJ$1:$BJ$691,23,FALSE)&lt;&gt;0,VLOOKUP(Таблица3[[#This Row],[№ акта]],$AJ$1:$BJ$691,23,FALSE),"-")</f>
        <v>-</v>
      </c>
      <c r="AC45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57" s="506" t="s">
        <v>3230</v>
      </c>
      <c r="AE457" s="505">
        <v>468</v>
      </c>
      <c r="AF457" s="507">
        <v>46198</v>
      </c>
      <c r="AG457" s="505">
        <v>366</v>
      </c>
      <c r="AH457" s="505">
        <f>IFERROR(VLOOKUP(Таблица3[[#This Row],[№ акта]],'Степень зрелости 2026'!$H$12:$I$800,2,FALSE),)</f>
        <v>68</v>
      </c>
      <c r="AJ457" s="508">
        <v>494</v>
      </c>
      <c r="AK457" s="509">
        <v>46200</v>
      </c>
      <c r="AL457" s="508">
        <v>636</v>
      </c>
      <c r="AO457" s="508">
        <v>14590</v>
      </c>
      <c r="AP457" s="508">
        <v>12620.4</v>
      </c>
      <c r="AQ457" s="508" t="s">
        <v>3645</v>
      </c>
      <c r="AR457" s="508" t="s">
        <v>901</v>
      </c>
      <c r="AS457" s="508" t="s">
        <v>3120</v>
      </c>
      <c r="AT457" s="508" t="s">
        <v>3552</v>
      </c>
      <c r="AV457" s="508" t="s">
        <v>3553</v>
      </c>
      <c r="AX457" s="508" t="s">
        <v>3120</v>
      </c>
      <c r="AY457" s="508" t="s">
        <v>901</v>
      </c>
      <c r="AZ457" s="508">
        <v>7</v>
      </c>
      <c r="BA457" s="508" t="s">
        <v>53</v>
      </c>
      <c r="BB457" s="508" t="s">
        <v>178</v>
      </c>
      <c r="BC457" s="508">
        <v>23</v>
      </c>
      <c r="BD457" s="509">
        <v>46199</v>
      </c>
      <c r="BG457" s="508" t="s">
        <v>3557</v>
      </c>
      <c r="BH457" s="508" t="s">
        <v>2940</v>
      </c>
      <c r="BI457" s="508">
        <v>11</v>
      </c>
      <c r="BJ457" s="508">
        <v>52</v>
      </c>
    </row>
    <row r="458" spans="1:62" s="508" customFormat="1" ht="14.25" hidden="1" customHeight="1" x14ac:dyDescent="0.2">
      <c r="A458" s="495"/>
      <c r="B458" s="496"/>
      <c r="C458" s="497">
        <f>Таблица3[[#This Row],[Степень зрелости вспом]]</f>
        <v>59</v>
      </c>
      <c r="D458" s="498">
        <v>604</v>
      </c>
      <c r="E458" s="499"/>
      <c r="F458" s="496"/>
      <c r="G458" s="496">
        <v>13410</v>
      </c>
      <c r="H458" s="500"/>
      <c r="I458" s="496">
        <v>12404.3</v>
      </c>
      <c r="J458" s="495" t="s">
        <v>3645</v>
      </c>
      <c r="K458" s="495" t="s">
        <v>901</v>
      </c>
      <c r="L458" s="495" t="s">
        <v>3120</v>
      </c>
      <c r="M458" s="495" t="s">
        <v>1151</v>
      </c>
      <c r="N458" s="495"/>
      <c r="O458" s="495"/>
      <c r="P458" s="495"/>
      <c r="Q458" s="495"/>
      <c r="R458" s="501" t="s">
        <v>145</v>
      </c>
      <c r="S458" s="495"/>
      <c r="T458" s="482" t="str">
        <f>VLOOKUP(Таблица3[[#This Row],[№ акта]],$AJ$1:$BJ$691,15,FALSE)</f>
        <v>2.2 Колос</v>
      </c>
      <c r="U458" s="482" t="str">
        <f>VLOOKUP(Таблица3[[#This Row],[№ акта]],$AJ$1:$BJ$691,16,FALSE)</f>
        <v>Фаворит</v>
      </c>
      <c r="V458" s="502">
        <f>VLOOKUP(Таблица3[[#This Row],[№ акта]],$AJ$1:$BJ$691,17,FALSE)</f>
        <v>3.4</v>
      </c>
      <c r="W458" s="502" t="str">
        <f>VLOOKUP(Таблица3[[#This Row],[№ акта]],$AJ$1:$BJ$691,18,FALSE)</f>
        <v>Колос (полив)</v>
      </c>
      <c r="X458" s="502" t="str">
        <f>VLOOKUP(Таблица3[[#This Row],[№ акта]],$AJ$1:$BJ$691,19,FALSE)</f>
        <v>полив</v>
      </c>
      <c r="Y458" s="503">
        <f>VLOOKUP(Таблица3[[#This Row],[№ акта]],$AJ$1:$BJ$691,20,FALSE)</f>
        <v>22</v>
      </c>
      <c r="Z458" s="504">
        <f>VLOOKUP(Таблица3[[#This Row],[№ акта]],$AJ$1:$BJ$691,21,FALSE)</f>
        <v>46198</v>
      </c>
      <c r="AA458" s="504"/>
      <c r="AB458" s="504" t="str">
        <f>IF(VLOOKUP(Таблица3[[#This Row],[№ акта]],$AJ$1:$BJ$691,23,FALSE)&lt;&gt;0,VLOOKUP(Таблица3[[#This Row],[№ акта]],$AJ$1:$BJ$691,23,FALSE),"-")</f>
        <v>-</v>
      </c>
      <c r="AC45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58" s="506" t="s">
        <v>2940</v>
      </c>
      <c r="AE458" s="505">
        <v>469</v>
      </c>
      <c r="AF458" s="507">
        <v>46198</v>
      </c>
      <c r="AG458" s="505">
        <v>2</v>
      </c>
      <c r="AH458" s="505">
        <f>IFERROR(VLOOKUP(Таблица3[[#This Row],[№ акта]],'Степень зрелости 2026'!$H$12:$I$800,2,FALSE),)</f>
        <v>59</v>
      </c>
      <c r="AJ458" s="508">
        <v>495</v>
      </c>
      <c r="AK458" s="509">
        <v>46200</v>
      </c>
      <c r="AL458" s="508">
        <v>637</v>
      </c>
      <c r="AO458" s="508">
        <v>13020</v>
      </c>
      <c r="AP458" s="508">
        <v>11392.5</v>
      </c>
      <c r="AQ458" s="508" t="s">
        <v>3645</v>
      </c>
      <c r="AR458" s="508" t="s">
        <v>901</v>
      </c>
      <c r="AS458" s="508" t="s">
        <v>3120</v>
      </c>
      <c r="AT458" s="508" t="s">
        <v>3623</v>
      </c>
      <c r="AV458" s="508" t="s">
        <v>3679</v>
      </c>
      <c r="AX458" s="508" t="s">
        <v>3120</v>
      </c>
      <c r="AY458" s="508" t="s">
        <v>901</v>
      </c>
      <c r="AZ458" s="508">
        <v>6.2</v>
      </c>
      <c r="BA458" s="508" t="s">
        <v>53</v>
      </c>
      <c r="BB458" s="508" t="s">
        <v>178</v>
      </c>
      <c r="BC458" s="508">
        <v>23</v>
      </c>
      <c r="BD458" s="509">
        <v>46199</v>
      </c>
      <c r="BG458" s="508" t="s">
        <v>724</v>
      </c>
      <c r="BH458" s="508" t="s">
        <v>2940</v>
      </c>
      <c r="BI458" s="508">
        <v>12</v>
      </c>
      <c r="BJ458" s="508">
        <v>61</v>
      </c>
    </row>
    <row r="459" spans="1:62" s="508" customFormat="1" ht="14.25" hidden="1" customHeight="1" x14ac:dyDescent="0.2">
      <c r="A459" s="495"/>
      <c r="B459" s="496"/>
      <c r="C459" s="497">
        <f>Таблица3[[#This Row],[Степень зрелости вспом]]</f>
        <v>56</v>
      </c>
      <c r="D459" s="498">
        <v>605</v>
      </c>
      <c r="E459" s="499"/>
      <c r="F459" s="496"/>
      <c r="G459" s="496">
        <v>13370</v>
      </c>
      <c r="H459" s="500"/>
      <c r="I459" s="496">
        <v>11832.4</v>
      </c>
      <c r="J459" s="495" t="s">
        <v>3645</v>
      </c>
      <c r="K459" s="495" t="s">
        <v>901</v>
      </c>
      <c r="L459" s="495" t="s">
        <v>3120</v>
      </c>
      <c r="M459" s="495" t="s">
        <v>1461</v>
      </c>
      <c r="N459" s="495"/>
      <c r="O459" s="495"/>
      <c r="P459" s="495"/>
      <c r="Q459" s="495"/>
      <c r="R459" s="501" t="s">
        <v>149</v>
      </c>
      <c r="S459" s="495"/>
      <c r="T459" s="482" t="str">
        <f>VLOOKUP(Таблица3[[#This Row],[№ акта]],$AJ$1:$BJ$691,15,FALSE)</f>
        <v>2.2 Колос</v>
      </c>
      <c r="U459" s="482" t="str">
        <f>VLOOKUP(Таблица3[[#This Row],[№ акта]],$AJ$1:$BJ$691,16,FALSE)</f>
        <v>Фаворит</v>
      </c>
      <c r="V459" s="502">
        <f>VLOOKUP(Таблица3[[#This Row],[№ акта]],$AJ$1:$BJ$691,17,FALSE)</f>
        <v>3.4</v>
      </c>
      <c r="W459" s="502" t="str">
        <f>VLOOKUP(Таблица3[[#This Row],[№ акта]],$AJ$1:$BJ$691,18,FALSE)</f>
        <v>Колос (полив)</v>
      </c>
      <c r="X459" s="502" t="str">
        <f>VLOOKUP(Таблица3[[#This Row],[№ акта]],$AJ$1:$BJ$691,19,FALSE)</f>
        <v>полив</v>
      </c>
      <c r="Y459" s="503">
        <f>VLOOKUP(Таблица3[[#This Row],[№ акта]],$AJ$1:$BJ$691,20,FALSE)</f>
        <v>22</v>
      </c>
      <c r="Z459" s="504">
        <f>VLOOKUP(Таблица3[[#This Row],[№ акта]],$AJ$1:$BJ$691,21,FALSE)</f>
        <v>46198</v>
      </c>
      <c r="AA459" s="504"/>
      <c r="AB459" s="504" t="str">
        <f>IF(VLOOKUP(Таблица3[[#This Row],[№ акта]],$AJ$1:$BJ$691,23,FALSE)&lt;&gt;0,VLOOKUP(Таблица3[[#This Row],[№ акта]],$AJ$1:$BJ$691,23,FALSE),"-")</f>
        <v>-</v>
      </c>
      <c r="AC45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59" s="506" t="s">
        <v>2940</v>
      </c>
      <c r="AE459" s="505">
        <v>470</v>
      </c>
      <c r="AF459" s="507">
        <v>46199</v>
      </c>
      <c r="AG459" s="505">
        <v>3</v>
      </c>
      <c r="AH459" s="505">
        <f>IFERROR(VLOOKUP(Таблица3[[#This Row],[№ акта]],'Степень зрелости 2026'!$H$12:$I$800,2,FALSE),)</f>
        <v>56</v>
      </c>
      <c r="AJ459" s="508">
        <v>496</v>
      </c>
      <c r="AK459" s="509">
        <v>46200</v>
      </c>
      <c r="AL459" s="508">
        <v>638</v>
      </c>
      <c r="AO459" s="508">
        <v>12660</v>
      </c>
      <c r="AP459" s="508">
        <v>10950.9</v>
      </c>
      <c r="AQ459" s="508" t="s">
        <v>3645</v>
      </c>
      <c r="AR459" s="508" t="s">
        <v>901</v>
      </c>
      <c r="AS459" s="508" t="s">
        <v>3120</v>
      </c>
      <c r="AT459" s="508" t="s">
        <v>1461</v>
      </c>
      <c r="AV459" s="508" t="s">
        <v>149</v>
      </c>
      <c r="AX459" s="508" t="s">
        <v>3120</v>
      </c>
      <c r="AY459" s="508" t="s">
        <v>901</v>
      </c>
      <c r="AZ459" s="508">
        <v>6.1</v>
      </c>
      <c r="BA459" s="508" t="s">
        <v>53</v>
      </c>
      <c r="BB459" s="508" t="s">
        <v>178</v>
      </c>
      <c r="BC459" s="508">
        <v>23</v>
      </c>
      <c r="BD459" s="509">
        <v>46199</v>
      </c>
      <c r="BG459" s="508" t="s">
        <v>3559</v>
      </c>
      <c r="BH459" s="508" t="s">
        <v>2940</v>
      </c>
      <c r="BI459" s="508">
        <v>13</v>
      </c>
      <c r="BJ459" s="508">
        <v>64</v>
      </c>
    </row>
    <row r="460" spans="1:62" s="508" customFormat="1" ht="14.25" hidden="1" customHeight="1" x14ac:dyDescent="0.2">
      <c r="A460" s="495"/>
      <c r="B460" s="496"/>
      <c r="C460" s="497">
        <f>Таблица3[[#This Row],[Степень зрелости вспом]]</f>
        <v>70</v>
      </c>
      <c r="D460" s="498">
        <v>606</v>
      </c>
      <c r="E460" s="499"/>
      <c r="F460" s="496"/>
      <c r="G460" s="496">
        <v>8730</v>
      </c>
      <c r="H460" s="500"/>
      <c r="I460" s="496">
        <v>8162.6</v>
      </c>
      <c r="J460" s="495" t="s">
        <v>3375</v>
      </c>
      <c r="K460" s="495" t="s">
        <v>909</v>
      </c>
      <c r="L460" s="495" t="s">
        <v>3112</v>
      </c>
      <c r="M460" s="495" t="s">
        <v>239</v>
      </c>
      <c r="N460" s="495"/>
      <c r="O460" s="495"/>
      <c r="P460" s="495"/>
      <c r="Q460" s="495"/>
      <c r="R460" s="501" t="s">
        <v>243</v>
      </c>
      <c r="S460" s="495"/>
      <c r="T460" s="482" t="str">
        <f>VLOOKUP(Таблица3[[#This Row],[№ акта]],$AJ$1:$BJ$691,15,FALSE)</f>
        <v>А-81/1</v>
      </c>
      <c r="U460" s="482" t="str">
        <f>VLOOKUP(Таблица3[[#This Row],[№ акта]],$AJ$1:$BJ$691,16,FALSE)</f>
        <v>Тристар</v>
      </c>
      <c r="V460" s="502">
        <f>VLOOKUP(Таблица3[[#This Row],[№ акта]],$AJ$1:$BJ$691,17,FALSE)</f>
        <v>1.6</v>
      </c>
      <c r="W460" s="502" t="str">
        <f>VLOOKUP(Таблица3[[#This Row],[№ акта]],$AJ$1:$BJ$691,18,FALSE)</f>
        <v>ГРК (полив)</v>
      </c>
      <c r="X460" s="502" t="str">
        <f>VLOOKUP(Таблица3[[#This Row],[№ акта]],$AJ$1:$BJ$691,19,FALSE)</f>
        <v>полив</v>
      </c>
      <c r="Y460" s="503">
        <f>VLOOKUP(Таблица3[[#This Row],[№ акта]],$AJ$1:$BJ$691,20,FALSE)</f>
        <v>22</v>
      </c>
      <c r="Z460" s="504">
        <f>VLOOKUP(Таблица3[[#This Row],[№ акта]],$AJ$1:$BJ$691,21,FALSE)</f>
        <v>46198</v>
      </c>
      <c r="AA460" s="504"/>
      <c r="AB460" s="504" t="str">
        <f>IF(VLOOKUP(Таблица3[[#This Row],[№ акта]],$AJ$1:$BJ$691,23,FALSE)&lt;&gt;0,VLOOKUP(Таблица3[[#This Row],[№ акта]],$AJ$1:$BJ$691,23,FALSE),"-")</f>
        <v>-</v>
      </c>
      <c r="AC46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60" s="506" t="s">
        <v>3230</v>
      </c>
      <c r="AE460" s="505">
        <v>471</v>
      </c>
      <c r="AF460" s="507">
        <v>46199</v>
      </c>
      <c r="AG460" s="505">
        <v>367</v>
      </c>
      <c r="AH460" s="505">
        <f>IFERROR(VLOOKUP(Таблица3[[#This Row],[№ акта]],'Степень зрелости 2026'!$H$12:$I$800,2,FALSE),)</f>
        <v>70</v>
      </c>
      <c r="AJ460" s="508">
        <v>497</v>
      </c>
      <c r="AK460" s="509">
        <v>46200</v>
      </c>
      <c r="AL460" s="508">
        <v>639</v>
      </c>
      <c r="AO460" s="508">
        <v>8810</v>
      </c>
      <c r="AP460" s="508">
        <v>7532.5</v>
      </c>
      <c r="AQ460" s="508" t="s">
        <v>3645</v>
      </c>
      <c r="AR460" s="508" t="s">
        <v>901</v>
      </c>
      <c r="AS460" s="508" t="s">
        <v>3120</v>
      </c>
      <c r="AT460" s="508" t="s">
        <v>2967</v>
      </c>
      <c r="AV460" s="508" t="s">
        <v>1810</v>
      </c>
      <c r="AX460" s="508" t="s">
        <v>3120</v>
      </c>
      <c r="AY460" s="508" t="s">
        <v>901</v>
      </c>
      <c r="AZ460" s="508">
        <v>4.2</v>
      </c>
      <c r="BA460" s="508" t="s">
        <v>53</v>
      </c>
      <c r="BB460" s="508" t="s">
        <v>178</v>
      </c>
      <c r="BC460" s="508">
        <v>24</v>
      </c>
      <c r="BD460" s="509">
        <v>46200</v>
      </c>
      <c r="BG460" s="508" t="s">
        <v>420</v>
      </c>
      <c r="BH460" s="508" t="s">
        <v>2940</v>
      </c>
      <c r="BI460" s="508">
        <v>16</v>
      </c>
      <c r="BJ460" s="508">
        <v>69</v>
      </c>
    </row>
    <row r="461" spans="1:62" s="508" customFormat="1" ht="14.25" hidden="1" customHeight="1" x14ac:dyDescent="0.2">
      <c r="A461" s="495"/>
      <c r="B461" s="496"/>
      <c r="C461" s="497">
        <f>Таблица3[[#This Row],[Степень зрелости вспом]]</f>
        <v>60</v>
      </c>
      <c r="D461" s="498">
        <v>607</v>
      </c>
      <c r="E461" s="499"/>
      <c r="F461" s="496"/>
      <c r="G461" s="496">
        <v>13190</v>
      </c>
      <c r="H461" s="500"/>
      <c r="I461" s="496">
        <v>11805.1</v>
      </c>
      <c r="J461" s="495" t="s">
        <v>3464</v>
      </c>
      <c r="K461" s="495" t="s">
        <v>909</v>
      </c>
      <c r="L461" s="495" t="s">
        <v>3115</v>
      </c>
      <c r="M461" s="495" t="s">
        <v>212</v>
      </c>
      <c r="N461" s="495"/>
      <c r="O461" s="495"/>
      <c r="P461" s="495"/>
      <c r="Q461" s="495"/>
      <c r="R461" s="501" t="s">
        <v>2965</v>
      </c>
      <c r="S461" s="495"/>
      <c r="T461" s="482" t="str">
        <f>VLOOKUP(Таблица3[[#This Row],[№ акта]],$AJ$1:$BJ$691,15,FALSE)</f>
        <v>17 Агролидер</v>
      </c>
      <c r="U461" s="482" t="str">
        <f>VLOOKUP(Таблица3[[#This Row],[№ акта]],$AJ$1:$BJ$691,16,FALSE)</f>
        <v>Тристар</v>
      </c>
      <c r="V461" s="502">
        <f>VLOOKUP(Таблица3[[#This Row],[№ акта]],$AJ$1:$BJ$691,17,FALSE)</f>
        <v>2</v>
      </c>
      <c r="W461" s="502" t="str">
        <f>VLOOKUP(Таблица3[[#This Row],[№ акта]],$AJ$1:$BJ$691,18,FALSE)</f>
        <v>Агролидер (полив)</v>
      </c>
      <c r="X461" s="502" t="str">
        <f>VLOOKUP(Таблица3[[#This Row],[№ акта]],$AJ$1:$BJ$691,19,FALSE)</f>
        <v>полив</v>
      </c>
      <c r="Y461" s="503">
        <f>VLOOKUP(Таблица3[[#This Row],[№ акта]],$AJ$1:$BJ$691,20,FALSE)</f>
        <v>22</v>
      </c>
      <c r="Z461" s="504">
        <f>VLOOKUP(Таблица3[[#This Row],[№ акта]],$AJ$1:$BJ$691,21,FALSE)</f>
        <v>46198</v>
      </c>
      <c r="AA461" s="504"/>
      <c r="AB461" s="504" t="str">
        <f>IF(VLOOKUP(Таблица3[[#This Row],[№ акта]],$AJ$1:$BJ$691,23,FALSE)&lt;&gt;0,VLOOKUP(Таблица3[[#This Row],[№ акта]],$AJ$1:$BJ$691,23,FALSE),"-")</f>
        <v>-</v>
      </c>
      <c r="AC46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61" s="506" t="s">
        <v>2940</v>
      </c>
      <c r="AE461" s="505">
        <v>472</v>
      </c>
      <c r="AF461" s="507">
        <v>46199</v>
      </c>
      <c r="AG461" s="505">
        <v>70</v>
      </c>
      <c r="AH461" s="505">
        <f>IFERROR(VLOOKUP(Таблица3[[#This Row],[№ акта]],'Степень зрелости 2026'!$H$12:$I$800,2,FALSE),)</f>
        <v>60</v>
      </c>
      <c r="AJ461" s="508">
        <v>498</v>
      </c>
      <c r="AK461" s="509">
        <v>46200</v>
      </c>
      <c r="AL461" s="508">
        <v>640</v>
      </c>
      <c r="AO461" s="508">
        <v>13240</v>
      </c>
      <c r="AP461" s="508">
        <v>11717.4</v>
      </c>
      <c r="AQ461" s="508" t="s">
        <v>3645</v>
      </c>
      <c r="AR461" s="508" t="s">
        <v>901</v>
      </c>
      <c r="AS461" s="508" t="s">
        <v>3120</v>
      </c>
      <c r="AT461" s="508" t="s">
        <v>121</v>
      </c>
      <c r="AV461" s="508" t="s">
        <v>125</v>
      </c>
      <c r="AX461" s="508" t="s">
        <v>3120</v>
      </c>
      <c r="AY461" s="508" t="s">
        <v>901</v>
      </c>
      <c r="AZ461" s="508">
        <v>6.3</v>
      </c>
      <c r="BA461" s="508" t="s">
        <v>53</v>
      </c>
      <c r="BB461" s="508" t="s">
        <v>178</v>
      </c>
      <c r="BC461" s="508">
        <v>24</v>
      </c>
      <c r="BD461" s="509">
        <v>46200</v>
      </c>
      <c r="BG461" s="508" t="s">
        <v>724</v>
      </c>
      <c r="BH461" s="508" t="s">
        <v>2940</v>
      </c>
      <c r="BI461" s="508">
        <v>14</v>
      </c>
      <c r="BJ461" s="508">
        <v>55</v>
      </c>
    </row>
    <row r="462" spans="1:62" s="508" customFormat="1" ht="14.25" hidden="1" customHeight="1" x14ac:dyDescent="0.2">
      <c r="A462" s="495"/>
      <c r="B462" s="496"/>
      <c r="C462" s="497">
        <f>Таблица3[[#This Row],[Степень зрелости вспом]]</f>
        <v>74</v>
      </c>
      <c r="D462" s="498">
        <v>608</v>
      </c>
      <c r="E462" s="499"/>
      <c r="F462" s="496"/>
      <c r="G462" s="496">
        <v>2220</v>
      </c>
      <c r="H462" s="500"/>
      <c r="I462" s="496">
        <v>2075.6999999999998</v>
      </c>
      <c r="J462" s="495" t="s">
        <v>3375</v>
      </c>
      <c r="K462" s="495" t="s">
        <v>909</v>
      </c>
      <c r="L462" s="495" t="s">
        <v>3112</v>
      </c>
      <c r="M462" s="495" t="s">
        <v>127</v>
      </c>
      <c r="N462" s="495"/>
      <c r="O462" s="495"/>
      <c r="P462" s="495"/>
      <c r="Q462" s="495"/>
      <c r="R462" s="501" t="s">
        <v>131</v>
      </c>
      <c r="S462" s="495"/>
      <c r="T462" s="482" t="str">
        <f>VLOOKUP(Таблица3[[#This Row],[№ акта]],$AJ$1:$BJ$691,15,FALSE)</f>
        <v>А-81/1</v>
      </c>
      <c r="U462" s="482" t="str">
        <f>VLOOKUP(Таблица3[[#This Row],[№ акта]],$AJ$1:$BJ$691,16,FALSE)</f>
        <v>Тристар</v>
      </c>
      <c r="V462" s="502">
        <f>VLOOKUP(Таблица3[[#This Row],[№ акта]],$AJ$1:$BJ$691,17,FALSE)+0.1</f>
        <v>0.5</v>
      </c>
      <c r="W462" s="502" t="str">
        <f>VLOOKUP(Таблица3[[#This Row],[№ акта]],$AJ$1:$BJ$691,18,FALSE)</f>
        <v>ГРК (полив)</v>
      </c>
      <c r="X462" s="502" t="str">
        <f>VLOOKUP(Таблица3[[#This Row],[№ акта]],$AJ$1:$BJ$691,19,FALSE)</f>
        <v>полив</v>
      </c>
      <c r="Y462" s="503">
        <f>VLOOKUP(Таблица3[[#This Row],[№ акта]],$AJ$1:$BJ$691,20,FALSE)</f>
        <v>22</v>
      </c>
      <c r="Z462" s="504">
        <f>VLOOKUP(Таблица3[[#This Row],[№ акта]],$AJ$1:$BJ$691,21,FALSE)</f>
        <v>46198</v>
      </c>
      <c r="AA462" s="504"/>
      <c r="AB462" s="504" t="str">
        <f>IF(VLOOKUP(Таблица3[[#This Row],[№ акта]],$AJ$1:$BJ$691,23,FALSE)&lt;&gt;0,VLOOKUP(Таблица3[[#This Row],[№ акта]],$AJ$1:$BJ$691,23,FALSE),"-")</f>
        <v>-</v>
      </c>
      <c r="AC46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62" s="506" t="s">
        <v>3273</v>
      </c>
      <c r="AE462" s="505">
        <v>473</v>
      </c>
      <c r="AF462" s="507">
        <v>46199</v>
      </c>
      <c r="AG462" s="505">
        <v>368</v>
      </c>
      <c r="AH462" s="505">
        <f>IFERROR(VLOOKUP(Таблица3[[#This Row],[№ акта]],'Степень зрелости 2026'!$H$12:$I$800,2,FALSE),)</f>
        <v>74</v>
      </c>
      <c r="AJ462" s="508">
        <v>515</v>
      </c>
      <c r="AK462" s="509">
        <v>46202</v>
      </c>
      <c r="AL462" s="508">
        <v>660</v>
      </c>
      <c r="AO462" s="508">
        <v>12950</v>
      </c>
      <c r="AP462" s="508">
        <v>11137</v>
      </c>
      <c r="AQ462" s="508" t="s">
        <v>3645</v>
      </c>
      <c r="AR462" s="508" t="s">
        <v>909</v>
      </c>
      <c r="AS462" s="508" t="s">
        <v>3122</v>
      </c>
      <c r="AT462" s="508" t="s">
        <v>3554</v>
      </c>
      <c r="AV462" s="508" t="s">
        <v>3555</v>
      </c>
      <c r="AX462" s="508" t="s">
        <v>3122</v>
      </c>
      <c r="AY462" s="508" t="s">
        <v>897</v>
      </c>
      <c r="AZ462" s="508">
        <v>1.7</v>
      </c>
      <c r="BA462" s="508" t="s">
        <v>53</v>
      </c>
      <c r="BB462" s="508" t="s">
        <v>178</v>
      </c>
      <c r="BC462" s="508">
        <v>24</v>
      </c>
      <c r="BD462" s="509">
        <v>46200</v>
      </c>
      <c r="BG462" s="508" t="s">
        <v>724</v>
      </c>
      <c r="BH462" s="508" t="s">
        <v>2940</v>
      </c>
      <c r="BI462" s="508">
        <v>28</v>
      </c>
      <c r="BJ462" s="508">
        <v>53</v>
      </c>
    </row>
    <row r="463" spans="1:62" s="508" customFormat="1" ht="14.25" hidden="1" customHeight="1" x14ac:dyDescent="0.2">
      <c r="A463" s="495"/>
      <c r="B463" s="496"/>
      <c r="C463" s="497">
        <f>Таблица3[[#This Row],[Степень зрелости вспом]]</f>
        <v>58</v>
      </c>
      <c r="D463" s="498">
        <v>609</v>
      </c>
      <c r="E463" s="499"/>
      <c r="F463" s="496"/>
      <c r="G463" s="496">
        <v>12930</v>
      </c>
      <c r="H463" s="500"/>
      <c r="I463" s="496">
        <v>11572.4</v>
      </c>
      <c r="J463" s="495" t="s">
        <v>3464</v>
      </c>
      <c r="K463" s="495" t="s">
        <v>909</v>
      </c>
      <c r="L463" s="495" t="s">
        <v>3115</v>
      </c>
      <c r="M463" s="495" t="s">
        <v>3623</v>
      </c>
      <c r="N463" s="495"/>
      <c r="O463" s="495"/>
      <c r="P463" s="495"/>
      <c r="Q463" s="495"/>
      <c r="R463" s="501" t="s">
        <v>3679</v>
      </c>
      <c r="S463" s="495"/>
      <c r="T463" s="482" t="str">
        <f>VLOOKUP(Таблица3[[#This Row],[№ акта]],$AJ$1:$BJ$691,15,FALSE)</f>
        <v>17 Агролидер</v>
      </c>
      <c r="U463" s="482" t="str">
        <f>VLOOKUP(Таблица3[[#This Row],[№ акта]],$AJ$1:$BJ$691,16,FALSE)</f>
        <v>Тристар</v>
      </c>
      <c r="V463" s="502">
        <f>VLOOKUP(Таблица3[[#This Row],[№ акта]],$AJ$1:$BJ$691,17,FALSE)</f>
        <v>2</v>
      </c>
      <c r="W463" s="502" t="str">
        <f>VLOOKUP(Таблица3[[#This Row],[№ акта]],$AJ$1:$BJ$691,18,FALSE)</f>
        <v>Агролидер (полив)</v>
      </c>
      <c r="X463" s="502" t="str">
        <f>VLOOKUP(Таблица3[[#This Row],[№ акта]],$AJ$1:$BJ$691,19,FALSE)</f>
        <v>полив</v>
      </c>
      <c r="Y463" s="503">
        <f>VLOOKUP(Таблица3[[#This Row],[№ акта]],$AJ$1:$BJ$691,20,FALSE)</f>
        <v>22</v>
      </c>
      <c r="Z463" s="504">
        <f>VLOOKUP(Таблица3[[#This Row],[№ акта]],$AJ$1:$BJ$691,21,FALSE)</f>
        <v>46198</v>
      </c>
      <c r="AA463" s="504"/>
      <c r="AB463" s="504" t="str">
        <f>IF(VLOOKUP(Таблица3[[#This Row],[№ акта]],$AJ$1:$BJ$691,23,FALSE)&lt;&gt;0,VLOOKUP(Таблица3[[#This Row],[№ акта]],$AJ$1:$BJ$691,23,FALSE),"-")</f>
        <v>-</v>
      </c>
      <c r="AC46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63" s="506" t="s">
        <v>2940</v>
      </c>
      <c r="AE463" s="505">
        <v>474</v>
      </c>
      <c r="AF463" s="507">
        <v>46199</v>
      </c>
      <c r="AG463" s="505">
        <v>71</v>
      </c>
      <c r="AH463" s="505">
        <f>IFERROR(VLOOKUP(Таблица3[[#This Row],[№ акта]],'Степень зрелости 2026'!$H$12:$I$800,2,FALSE),)</f>
        <v>58</v>
      </c>
      <c r="AJ463" s="508">
        <v>516</v>
      </c>
      <c r="AK463" s="509">
        <v>46202</v>
      </c>
      <c r="AL463" s="508">
        <v>661</v>
      </c>
      <c r="AO463" s="508">
        <v>12710</v>
      </c>
      <c r="AP463" s="508">
        <v>10803.5</v>
      </c>
      <c r="AQ463" s="508" t="s">
        <v>3645</v>
      </c>
      <c r="AR463" s="508" t="s">
        <v>909</v>
      </c>
      <c r="AS463" s="508" t="s">
        <v>3122</v>
      </c>
      <c r="AT463" s="508" t="s">
        <v>3377</v>
      </c>
      <c r="AV463" s="508" t="s">
        <v>3196</v>
      </c>
      <c r="AX463" s="508" t="s">
        <v>3122</v>
      </c>
      <c r="AY463" s="508" t="s">
        <v>897</v>
      </c>
      <c r="AZ463" s="508">
        <v>1.6</v>
      </c>
      <c r="BA463" s="508" t="s">
        <v>53</v>
      </c>
      <c r="BB463" s="508" t="s">
        <v>178</v>
      </c>
      <c r="BC463" s="508">
        <v>24</v>
      </c>
      <c r="BD463" s="509">
        <v>46200</v>
      </c>
      <c r="BG463" s="508" t="s">
        <v>3557</v>
      </c>
      <c r="BH463" s="508" t="s">
        <v>2940</v>
      </c>
      <c r="BI463" s="508">
        <v>29</v>
      </c>
      <c r="BJ463" s="508">
        <v>52</v>
      </c>
    </row>
    <row r="464" spans="1:62" s="508" customFormat="1" ht="14.25" hidden="1" customHeight="1" x14ac:dyDescent="0.2">
      <c r="A464" s="495"/>
      <c r="B464" s="496"/>
      <c r="C464" s="497">
        <f>Таблица3[[#This Row],[Степень зрелости вспом]]</f>
        <v>55</v>
      </c>
      <c r="D464" s="498">
        <v>610</v>
      </c>
      <c r="E464" s="499"/>
      <c r="F464" s="496"/>
      <c r="G464" s="496">
        <v>13290</v>
      </c>
      <c r="H464" s="500"/>
      <c r="I464" s="496">
        <v>11628.8</v>
      </c>
      <c r="J464" s="495" t="s">
        <v>3645</v>
      </c>
      <c r="K464" s="495" t="s">
        <v>901</v>
      </c>
      <c r="L464" s="495" t="s">
        <v>3120</v>
      </c>
      <c r="M464" s="495" t="s">
        <v>894</v>
      </c>
      <c r="N464" s="495"/>
      <c r="O464" s="495"/>
      <c r="P464" s="495"/>
      <c r="Q464" s="495"/>
      <c r="R464" s="501" t="s">
        <v>895</v>
      </c>
      <c r="S464" s="495"/>
      <c r="T464" s="482" t="str">
        <f>VLOOKUP(Таблица3[[#This Row],[№ акта]],$AJ$1:$BJ$691,15,FALSE)</f>
        <v>2.2 Колос</v>
      </c>
      <c r="U464" s="482" t="str">
        <f>VLOOKUP(Таблица3[[#This Row],[№ акта]],$AJ$1:$BJ$691,16,FALSE)</f>
        <v>Фаворит</v>
      </c>
      <c r="V464" s="502">
        <f>VLOOKUP(Таблица3[[#This Row],[№ акта]],$AJ$1:$BJ$691,17,FALSE)</f>
        <v>3.4</v>
      </c>
      <c r="W464" s="502" t="str">
        <f>VLOOKUP(Таблица3[[#This Row],[№ акта]],$AJ$1:$BJ$691,18,FALSE)</f>
        <v>Колос (полив)</v>
      </c>
      <c r="X464" s="502" t="str">
        <f>VLOOKUP(Таблица3[[#This Row],[№ акта]],$AJ$1:$BJ$691,19,FALSE)</f>
        <v>полив</v>
      </c>
      <c r="Y464" s="503">
        <f>VLOOKUP(Таблица3[[#This Row],[№ акта]],$AJ$1:$BJ$691,20,FALSE)</f>
        <v>22</v>
      </c>
      <c r="Z464" s="504">
        <f>VLOOKUP(Таблица3[[#This Row],[№ акта]],$AJ$1:$BJ$691,21,FALSE)</f>
        <v>46198</v>
      </c>
      <c r="AA464" s="504"/>
      <c r="AB464" s="504" t="str">
        <f>IF(VLOOKUP(Таблица3[[#This Row],[№ акта]],$AJ$1:$BJ$691,23,FALSE)&lt;&gt;0,VLOOKUP(Таблица3[[#This Row],[№ акта]],$AJ$1:$BJ$691,23,FALSE),"-")</f>
        <v>-</v>
      </c>
      <c r="AC46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64" s="506" t="s">
        <v>2940</v>
      </c>
      <c r="AE464" s="505">
        <v>475</v>
      </c>
      <c r="AF464" s="507">
        <v>46199</v>
      </c>
      <c r="AG464" s="505">
        <v>5</v>
      </c>
      <c r="AH464" s="505">
        <f>IFERROR(VLOOKUP(Таблица3[[#This Row],[№ акта]],'Степень зрелости 2026'!$H$12:$I$800,2,FALSE),)</f>
        <v>55</v>
      </c>
      <c r="AJ464" s="508">
        <v>517</v>
      </c>
      <c r="AK464" s="509">
        <v>46202</v>
      </c>
      <c r="AL464" s="508">
        <v>662</v>
      </c>
      <c r="AO464" s="508">
        <v>12910</v>
      </c>
      <c r="AP464" s="508">
        <v>10844.4</v>
      </c>
      <c r="AQ464" s="508" t="s">
        <v>3645</v>
      </c>
      <c r="AR464" s="508" t="s">
        <v>909</v>
      </c>
      <c r="AS464" s="508" t="s">
        <v>3122</v>
      </c>
      <c r="AT464" s="508" t="s">
        <v>311</v>
      </c>
      <c r="AV464" s="508" t="s">
        <v>315</v>
      </c>
      <c r="AX464" s="508" t="s">
        <v>3122</v>
      </c>
      <c r="AY464" s="508" t="s">
        <v>897</v>
      </c>
      <c r="AZ464" s="508">
        <v>1.7</v>
      </c>
      <c r="BA464" s="508" t="s">
        <v>53</v>
      </c>
      <c r="BB464" s="508" t="s">
        <v>178</v>
      </c>
      <c r="BC464" s="508">
        <v>24</v>
      </c>
      <c r="BD464" s="509">
        <v>46200</v>
      </c>
      <c r="BG464" s="508" t="s">
        <v>3557</v>
      </c>
      <c r="BH464" s="508" t="s">
        <v>2940</v>
      </c>
      <c r="BI464" s="508">
        <v>30</v>
      </c>
      <c r="BJ464" s="508">
        <v>51</v>
      </c>
    </row>
    <row r="465" spans="1:63" s="508" customFormat="1" ht="14.25" hidden="1" customHeight="1" x14ac:dyDescent="0.2">
      <c r="A465" s="495"/>
      <c r="B465" s="496"/>
      <c r="C465" s="497">
        <f>Таблица3[[#This Row],[Степень зрелости вспом]]</f>
        <v>59</v>
      </c>
      <c r="D465" s="498">
        <v>611</v>
      </c>
      <c r="E465" s="499"/>
      <c r="F465" s="496"/>
      <c r="G465" s="496">
        <v>12840</v>
      </c>
      <c r="H465" s="500"/>
      <c r="I465" s="496">
        <v>11363.4</v>
      </c>
      <c r="J465" s="495" t="s">
        <v>3464</v>
      </c>
      <c r="K465" s="495" t="s">
        <v>909</v>
      </c>
      <c r="L465" s="495" t="s">
        <v>3115</v>
      </c>
      <c r="M465" s="495" t="s">
        <v>311</v>
      </c>
      <c r="N465" s="495"/>
      <c r="O465" s="495"/>
      <c r="P465" s="495"/>
      <c r="Q465" s="495"/>
      <c r="R465" s="501" t="s">
        <v>315</v>
      </c>
      <c r="S465" s="495"/>
      <c r="T465" s="482" t="str">
        <f>VLOOKUP(Таблица3[[#This Row],[№ акта]],$AJ$1:$BJ$691,15,FALSE)</f>
        <v>17 Агролидер</v>
      </c>
      <c r="U465" s="482" t="str">
        <f>VLOOKUP(Таблица3[[#This Row],[№ акта]],$AJ$1:$BJ$691,16,FALSE)</f>
        <v>Тристар</v>
      </c>
      <c r="V465" s="502">
        <f>VLOOKUP(Таблица3[[#This Row],[№ акта]],$AJ$1:$BJ$691,17,FALSE)</f>
        <v>2</v>
      </c>
      <c r="W465" s="502" t="str">
        <f>VLOOKUP(Таблица3[[#This Row],[№ акта]],$AJ$1:$BJ$691,18,FALSE)</f>
        <v>Агролидер (полив)</v>
      </c>
      <c r="X465" s="502" t="str">
        <f>VLOOKUP(Таблица3[[#This Row],[№ акта]],$AJ$1:$BJ$691,19,FALSE)</f>
        <v>полив</v>
      </c>
      <c r="Y465" s="503">
        <f>VLOOKUP(Таблица3[[#This Row],[№ акта]],$AJ$1:$BJ$691,20,FALSE)</f>
        <v>22</v>
      </c>
      <c r="Z465" s="504">
        <f>VLOOKUP(Таблица3[[#This Row],[№ акта]],$AJ$1:$BJ$691,21,FALSE)</f>
        <v>46198</v>
      </c>
      <c r="AA465" s="504"/>
      <c r="AB465" s="504" t="str">
        <f>IF(VLOOKUP(Таблица3[[#This Row],[№ акта]],$AJ$1:$BJ$691,23,FALSE)&lt;&gt;0,VLOOKUP(Таблица3[[#This Row],[№ акта]],$AJ$1:$BJ$691,23,FALSE),"-")</f>
        <v>-</v>
      </c>
      <c r="AC46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65" s="506" t="s">
        <v>2940</v>
      </c>
      <c r="AE465" s="505">
        <v>476</v>
      </c>
      <c r="AF465" s="507">
        <v>46199</v>
      </c>
      <c r="AG465" s="505">
        <v>72</v>
      </c>
      <c r="AH465" s="505">
        <f>IFERROR(VLOOKUP(Таблица3[[#This Row],[№ акта]],'Степень зрелости 2026'!$H$12:$I$800,2,FALSE),)</f>
        <v>59</v>
      </c>
      <c r="AJ465" s="508">
        <v>518</v>
      </c>
      <c r="AK465" s="509">
        <v>46202</v>
      </c>
      <c r="AL465" s="508">
        <v>663</v>
      </c>
      <c r="AO465" s="508">
        <v>12770</v>
      </c>
      <c r="AP465" s="508">
        <v>11556.9</v>
      </c>
      <c r="AQ465" s="508" t="s">
        <v>3645</v>
      </c>
      <c r="AR465" s="508" t="s">
        <v>909</v>
      </c>
      <c r="AS465" s="508" t="s">
        <v>3122</v>
      </c>
      <c r="AT465" s="508" t="s">
        <v>133</v>
      </c>
      <c r="AV465" s="508" t="s">
        <v>137</v>
      </c>
      <c r="AX465" s="508" t="s">
        <v>3122</v>
      </c>
      <c r="AY465" s="508" t="s">
        <v>901</v>
      </c>
      <c r="AZ465" s="508">
        <v>1.9</v>
      </c>
      <c r="BA465" s="508" t="s">
        <v>53</v>
      </c>
      <c r="BB465" s="508" t="s">
        <v>178</v>
      </c>
      <c r="BC465" s="508">
        <v>25</v>
      </c>
      <c r="BD465" s="509">
        <v>46201</v>
      </c>
      <c r="BG465" s="508" t="s">
        <v>724</v>
      </c>
      <c r="BH465" s="508" t="s">
        <v>2940</v>
      </c>
      <c r="BI465" s="508">
        <v>31</v>
      </c>
      <c r="BJ465" s="508">
        <v>55</v>
      </c>
    </row>
    <row r="466" spans="1:63" s="508" customFormat="1" ht="14.25" hidden="1" customHeight="1" x14ac:dyDescent="0.2">
      <c r="A466" s="495"/>
      <c r="B466" s="496"/>
      <c r="C466" s="497">
        <f>Таблица3[[#This Row],[Степень зрелости вспом]]</f>
        <v>68</v>
      </c>
      <c r="D466" s="498">
        <v>612</v>
      </c>
      <c r="E466" s="499"/>
      <c r="F466" s="496"/>
      <c r="G466" s="496">
        <v>12280</v>
      </c>
      <c r="H466" s="500"/>
      <c r="I466" s="496">
        <v>11420.4</v>
      </c>
      <c r="J466" s="495" t="s">
        <v>3375</v>
      </c>
      <c r="K466" s="495" t="s">
        <v>909</v>
      </c>
      <c r="L466" s="495" t="s">
        <v>3112</v>
      </c>
      <c r="M466" s="495" t="s">
        <v>239</v>
      </c>
      <c r="N466" s="495"/>
      <c r="O466" s="495"/>
      <c r="P466" s="495"/>
      <c r="Q466" s="495"/>
      <c r="R466" s="501" t="s">
        <v>243</v>
      </c>
      <c r="S466" s="495"/>
      <c r="T466" s="482" t="str">
        <f>VLOOKUP(Таблица3[[#This Row],[№ акта]],$AJ$1:$BJ$691,15,FALSE)</f>
        <v>А-81/1</v>
      </c>
      <c r="U466" s="482" t="str">
        <f>VLOOKUP(Таблица3[[#This Row],[№ акта]],$AJ$1:$BJ$691,16,FALSE)</f>
        <v>Тристар</v>
      </c>
      <c r="V466" s="502">
        <f>VLOOKUP(Таблица3[[#This Row],[№ акта]],$AJ$1:$BJ$691,17,FALSE)</f>
        <v>2.2999999999999998</v>
      </c>
      <c r="W466" s="502" t="str">
        <f>VLOOKUP(Таблица3[[#This Row],[№ акта]],$AJ$1:$BJ$691,18,FALSE)</f>
        <v>ГРК (полив)</v>
      </c>
      <c r="X466" s="502" t="str">
        <f>VLOOKUP(Таблица3[[#This Row],[№ акта]],$AJ$1:$BJ$691,19,FALSE)</f>
        <v>полив</v>
      </c>
      <c r="Y466" s="503">
        <f>VLOOKUP(Таблица3[[#This Row],[№ акта]],$AJ$1:$BJ$691,20,FALSE)</f>
        <v>22</v>
      </c>
      <c r="Z466" s="504">
        <f>VLOOKUP(Таблица3[[#This Row],[№ акта]],$AJ$1:$BJ$691,21,FALSE)</f>
        <v>46198</v>
      </c>
      <c r="AA466" s="504"/>
      <c r="AB466" s="504" t="str">
        <f>IF(VLOOKUP(Таблица3[[#This Row],[№ акта]],$AJ$1:$BJ$691,23,FALSE)&lt;&gt;0,VLOOKUP(Таблица3[[#This Row],[№ акта]],$AJ$1:$BJ$691,23,FALSE),"-")</f>
        <v>-</v>
      </c>
      <c r="AC46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66" s="506" t="s">
        <v>3230</v>
      </c>
      <c r="AE466" s="505">
        <v>477</v>
      </c>
      <c r="AF466" s="507">
        <v>46199</v>
      </c>
      <c r="AG466" s="505">
        <v>369</v>
      </c>
      <c r="AH466" s="505">
        <f>IFERROR(VLOOKUP(Таблица3[[#This Row],[№ акта]],'Степень зрелости 2026'!$H$12:$I$800,2,FALSE),)</f>
        <v>68</v>
      </c>
      <c r="AJ466" s="508">
        <v>519</v>
      </c>
      <c r="AK466" s="509">
        <v>46202</v>
      </c>
      <c r="AL466" s="508">
        <v>664</v>
      </c>
      <c r="AO466" s="508">
        <v>12710</v>
      </c>
      <c r="AP466" s="508">
        <v>11375.5</v>
      </c>
      <c r="AQ466" s="508" t="s">
        <v>3645</v>
      </c>
      <c r="AR466" s="508" t="s">
        <v>909</v>
      </c>
      <c r="AS466" s="508" t="s">
        <v>3122</v>
      </c>
      <c r="AT466" s="508" t="s">
        <v>1312</v>
      </c>
      <c r="AV466" s="508" t="s">
        <v>320</v>
      </c>
      <c r="AX466" s="508" t="s">
        <v>3122</v>
      </c>
      <c r="AY466" s="508" t="s">
        <v>901</v>
      </c>
      <c r="AZ466" s="508">
        <v>1.9</v>
      </c>
      <c r="BA466" s="508" t="s">
        <v>53</v>
      </c>
      <c r="BB466" s="508" t="s">
        <v>178</v>
      </c>
      <c r="BC466" s="508">
        <v>25</v>
      </c>
      <c r="BD466" s="509">
        <v>46201</v>
      </c>
      <c r="BG466" s="508" t="s">
        <v>3557</v>
      </c>
      <c r="BH466" s="508" t="s">
        <v>2940</v>
      </c>
      <c r="BI466" s="508">
        <v>32</v>
      </c>
      <c r="BJ466" s="508">
        <v>52</v>
      </c>
    </row>
    <row r="467" spans="1:63" s="508" customFormat="1" ht="14.25" hidden="1" customHeight="1" x14ac:dyDescent="0.2">
      <c r="A467" s="505"/>
      <c r="B467" s="511"/>
      <c r="C467" s="515">
        <f>Таблица3[[#This Row],[Степень зрелости вспом]]</f>
        <v>62</v>
      </c>
      <c r="D467" s="512">
        <v>613</v>
      </c>
      <c r="E467" s="513"/>
      <c r="F467" s="511"/>
      <c r="G467" s="511">
        <v>12770</v>
      </c>
      <c r="H467" s="514"/>
      <c r="I467" s="511">
        <v>11556.9</v>
      </c>
      <c r="J467" s="505" t="s">
        <v>3464</v>
      </c>
      <c r="K467" s="505" t="s">
        <v>909</v>
      </c>
      <c r="L467" s="505" t="s">
        <v>3115</v>
      </c>
      <c r="M467" s="495" t="s">
        <v>335</v>
      </c>
      <c r="N467" s="505"/>
      <c r="O467" s="505"/>
      <c r="P467" s="505"/>
      <c r="Q467" s="505"/>
      <c r="R467" s="505" t="s">
        <v>339</v>
      </c>
      <c r="S467" s="505"/>
      <c r="T467" s="482" t="str">
        <f>VLOOKUP(Таблица3[[#This Row],[№ акта]],$AJ$1:$BJ$691,15,FALSE)</f>
        <v>17 Агролидер</v>
      </c>
      <c r="U467" s="482" t="str">
        <f>VLOOKUP(Таблица3[[#This Row],[№ акта]],$AJ$1:$BJ$691,16,FALSE)</f>
        <v>Тристар</v>
      </c>
      <c r="V467" s="502">
        <f>VLOOKUP(Таблица3[[#This Row],[№ акта]],$AJ$1:$BJ$691,17,FALSE)</f>
        <v>2</v>
      </c>
      <c r="W467" s="502" t="str">
        <f>VLOOKUP(Таблица3[[#This Row],[№ акта]],$AJ$1:$BJ$691,18,FALSE)</f>
        <v>Агролидер (полив)</v>
      </c>
      <c r="X467" s="502" t="str">
        <f>VLOOKUP(Таблица3[[#This Row],[№ акта]],$AJ$1:$BJ$691,19,FALSE)</f>
        <v>полив</v>
      </c>
      <c r="Y467" s="503">
        <f>VLOOKUP(Таблица3[[#This Row],[№ акта]],$AJ$1:$BJ$691,20,FALSE)</f>
        <v>22</v>
      </c>
      <c r="Z467" s="504">
        <f>VLOOKUP(Таблица3[[#This Row],[№ акта]],$AJ$1:$BJ$691,21,FALSE)</f>
        <v>46198</v>
      </c>
      <c r="AA467" s="496"/>
      <c r="AB467" s="504" t="str">
        <f>IF(VLOOKUP(Таблица3[[#This Row],[№ акта]],$AJ$1:$BJ$691,23,FALSE)&lt;&gt;0,VLOOKUP(Таблица3[[#This Row],[№ акта]],$AJ$1:$BJ$691,23,FALSE),"-")</f>
        <v>-</v>
      </c>
      <c r="AC46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67" s="506" t="s">
        <v>2940</v>
      </c>
      <c r="AE467" s="505">
        <v>478</v>
      </c>
      <c r="AF467" s="507">
        <v>46199</v>
      </c>
      <c r="AG467" s="505">
        <v>73</v>
      </c>
      <c r="AH467" s="505">
        <f>IFERROR(VLOOKUP(Таблица3[[#This Row],[№ акта]],'Степень зрелости 2026'!$H$12:$I$800,2,FALSE),)</f>
        <v>62</v>
      </c>
      <c r="AJ467" s="508">
        <v>521</v>
      </c>
      <c r="AK467" s="509">
        <v>46202</v>
      </c>
      <c r="AL467" s="508">
        <v>665</v>
      </c>
      <c r="AO467" s="508">
        <v>12870</v>
      </c>
      <c r="AP467" s="508">
        <v>11261.3</v>
      </c>
      <c r="AQ467" s="508" t="s">
        <v>3645</v>
      </c>
      <c r="AR467" s="508" t="s">
        <v>909</v>
      </c>
      <c r="AS467" s="508" t="s">
        <v>3122</v>
      </c>
      <c r="AT467" s="508" t="s">
        <v>894</v>
      </c>
      <c r="AV467" s="508" t="s">
        <v>895</v>
      </c>
      <c r="AX467" s="508" t="s">
        <v>3122</v>
      </c>
      <c r="AY467" s="508" t="s">
        <v>901</v>
      </c>
      <c r="AZ467" s="508">
        <v>1.9</v>
      </c>
      <c r="BA467" s="508" t="s">
        <v>53</v>
      </c>
      <c r="BB467" s="508" t="s">
        <v>178</v>
      </c>
      <c r="BC467" s="508">
        <v>25</v>
      </c>
      <c r="BD467" s="509">
        <v>46201</v>
      </c>
      <c r="BG467" s="508" t="s">
        <v>724</v>
      </c>
      <c r="BH467" s="508" t="s">
        <v>2940</v>
      </c>
      <c r="BI467" s="508">
        <v>33</v>
      </c>
      <c r="BJ467" s="508">
        <v>53</v>
      </c>
    </row>
    <row r="468" spans="1:63" s="508" customFormat="1" ht="14.25" hidden="1" customHeight="1" x14ac:dyDescent="0.2">
      <c r="A468" s="505"/>
      <c r="B468" s="511"/>
      <c r="C468" s="515">
        <f>Таблица3[[#This Row],[Степень зрелости вспом]]</f>
        <v>60</v>
      </c>
      <c r="D468" s="512">
        <v>614</v>
      </c>
      <c r="E468" s="513"/>
      <c r="F468" s="511"/>
      <c r="G468" s="511">
        <v>13200</v>
      </c>
      <c r="H468" s="514"/>
      <c r="I468" s="511">
        <v>11418</v>
      </c>
      <c r="J468" s="505" t="s">
        <v>3645</v>
      </c>
      <c r="K468" s="505" t="s">
        <v>901</v>
      </c>
      <c r="L468" s="505" t="s">
        <v>3120</v>
      </c>
      <c r="M468" s="495" t="s">
        <v>1312</v>
      </c>
      <c r="N468" s="505"/>
      <c r="O468" s="505"/>
      <c r="P468" s="505"/>
      <c r="Q468" s="505"/>
      <c r="R468" s="505" t="s">
        <v>320</v>
      </c>
      <c r="S468" s="505"/>
      <c r="T468" s="482" t="str">
        <f>VLOOKUP(Таблица3[[#This Row],[№ акта]],$AJ$1:$BJ$691,15,FALSE)</f>
        <v>2.2 Колос</v>
      </c>
      <c r="U468" s="482" t="str">
        <f>VLOOKUP(Таблица3[[#This Row],[№ акта]],$AJ$1:$BJ$691,16,FALSE)</f>
        <v>Фаворит</v>
      </c>
      <c r="V468" s="502">
        <f>VLOOKUP(Таблица3[[#This Row],[№ акта]],$AJ$1:$BJ$691,17,FALSE)</f>
        <v>3.3</v>
      </c>
      <c r="W468" s="502" t="str">
        <f>VLOOKUP(Таблица3[[#This Row],[№ акта]],$AJ$1:$BJ$691,18,FALSE)</f>
        <v>Колос (полив)</v>
      </c>
      <c r="X468" s="502" t="str">
        <f>VLOOKUP(Таблица3[[#This Row],[№ акта]],$AJ$1:$BJ$691,19,FALSE)</f>
        <v>полив</v>
      </c>
      <c r="Y468" s="503">
        <f>VLOOKUP(Таблица3[[#This Row],[№ акта]],$AJ$1:$BJ$691,20,FALSE)</f>
        <v>22</v>
      </c>
      <c r="Z468" s="504">
        <f>VLOOKUP(Таблица3[[#This Row],[№ акта]],$AJ$1:$BJ$691,21,FALSE)</f>
        <v>46198</v>
      </c>
      <c r="AA468" s="496"/>
      <c r="AB468" s="504" t="str">
        <f>IF(VLOOKUP(Таблица3[[#This Row],[№ акта]],$AJ$1:$BJ$691,23,FALSE)&lt;&gt;0,VLOOKUP(Таблица3[[#This Row],[№ акта]],$AJ$1:$BJ$691,23,FALSE),"-")</f>
        <v>-</v>
      </c>
      <c r="AC46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68" s="506" t="s">
        <v>2940</v>
      </c>
      <c r="AE468" s="505">
        <v>479</v>
      </c>
      <c r="AF468" s="507">
        <v>46199</v>
      </c>
      <c r="AG468" s="505">
        <v>6</v>
      </c>
      <c r="AH468" s="505">
        <f>IFERROR(VLOOKUP(Таблица3[[#This Row],[№ акта]],'Степень зрелости 2026'!$H$12:$I$800,2,FALSE),)</f>
        <v>60</v>
      </c>
      <c r="AJ468" s="508">
        <v>520</v>
      </c>
      <c r="AK468" s="509">
        <v>46202</v>
      </c>
      <c r="AL468" s="508">
        <v>666</v>
      </c>
      <c r="AO468" s="508">
        <v>12690</v>
      </c>
      <c r="AP468" s="508">
        <v>11294.1</v>
      </c>
      <c r="AQ468" s="508" t="s">
        <v>3645</v>
      </c>
      <c r="AR468" s="508" t="s">
        <v>909</v>
      </c>
      <c r="AS468" s="508" t="s">
        <v>3122</v>
      </c>
      <c r="AT468" s="508" t="s">
        <v>1461</v>
      </c>
      <c r="AV468" s="508" t="s">
        <v>149</v>
      </c>
      <c r="AX468" s="508" t="s">
        <v>3122</v>
      </c>
      <c r="AY468" s="508" t="s">
        <v>901</v>
      </c>
      <c r="AZ468" s="508">
        <v>1.9</v>
      </c>
      <c r="BA468" s="508" t="s">
        <v>53</v>
      </c>
      <c r="BB468" s="508" t="s">
        <v>178</v>
      </c>
      <c r="BC468" s="508">
        <v>25</v>
      </c>
      <c r="BD468" s="509">
        <v>46201</v>
      </c>
      <c r="BG468" s="508" t="s">
        <v>3557</v>
      </c>
      <c r="BH468" s="508" t="s">
        <v>2940</v>
      </c>
      <c r="BI468" s="508">
        <v>34</v>
      </c>
      <c r="BJ468" s="508">
        <v>50</v>
      </c>
    </row>
    <row r="469" spans="1:63" s="508" customFormat="1" ht="14.25" hidden="1" customHeight="1" x14ac:dyDescent="0.2">
      <c r="A469" s="505"/>
      <c r="B469" s="511"/>
      <c r="C469" s="515">
        <f>Таблица3[[#This Row],[Степень зрелости вспом]]</f>
        <v>65</v>
      </c>
      <c r="D469" s="512">
        <v>617</v>
      </c>
      <c r="E469" s="513"/>
      <c r="F469" s="511"/>
      <c r="G469" s="511">
        <v>4150</v>
      </c>
      <c r="H469" s="514"/>
      <c r="I469" s="511">
        <v>3569</v>
      </c>
      <c r="J469" s="505" t="s">
        <v>3375</v>
      </c>
      <c r="K469" s="505" t="s">
        <v>900</v>
      </c>
      <c r="L469" s="505" t="s">
        <v>3092</v>
      </c>
      <c r="M469" s="495" t="s">
        <v>894</v>
      </c>
      <c r="N469" s="505"/>
      <c r="O469" s="505"/>
      <c r="P469" s="505"/>
      <c r="Q469" s="505"/>
      <c r="R469" s="505" t="s">
        <v>895</v>
      </c>
      <c r="S469" s="505"/>
      <c r="T469" s="482" t="str">
        <f>VLOOKUP(Таблица3[[#This Row],[№ акта]],$AJ$1:$BJ$691,15,FALSE)</f>
        <v>А-104/1</v>
      </c>
      <c r="U469" s="482" t="str">
        <f>VLOOKUP(Таблица3[[#This Row],[№ акта]],$AJ$1:$BJ$691,16,FALSE)</f>
        <v>Патриот</v>
      </c>
      <c r="V469" s="502">
        <f>11*Таблица3[[#This Row],[Регистратор.Вес нетто]]/31940</f>
        <v>1.4292423293675642</v>
      </c>
      <c r="W469" s="502" t="str">
        <f>VLOOKUP(Таблица3[[#This Row],[№ акта]],$AJ$1:$BJ$691,18,FALSE)</f>
        <v>ГРК (богара)</v>
      </c>
      <c r="X469" s="502" t="str">
        <f>VLOOKUP(Таблица3[[#This Row],[№ акта]],$AJ$1:$BJ$691,19,FALSE)</f>
        <v>богара</v>
      </c>
      <c r="Y469" s="503">
        <f>VLOOKUP(Таблица3[[#This Row],[№ акта]],$AJ$1:$BJ$691,20,FALSE)</f>
        <v>23</v>
      </c>
      <c r="Z469" s="504">
        <f>VLOOKUP(Таблица3[[#This Row],[№ акта]],$AJ$1:$BJ$691,21,FALSE)</f>
        <v>46199</v>
      </c>
      <c r="AA469" s="496"/>
      <c r="AB469" s="504" t="str">
        <f>IF(VLOOKUP(Таблица3[[#This Row],[№ акта]],$AJ$1:$BJ$691,23,FALSE)&lt;&gt;0,VLOOKUP(Таблица3[[#This Row],[№ акта]],$AJ$1:$BJ$691,23,FALSE),"-")</f>
        <v>-</v>
      </c>
      <c r="AC46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69" s="506" t="s">
        <v>3230</v>
      </c>
      <c r="AE469" s="505">
        <v>480</v>
      </c>
      <c r="AF469" s="507">
        <v>46199</v>
      </c>
      <c r="AG469" s="505">
        <v>370</v>
      </c>
      <c r="AH469" s="505">
        <f>IFERROR(VLOOKUP(Таблица3[[#This Row],[№ акта]],'Степень зрелости 2026'!$H$12:$I$800,2,FALSE),)</f>
        <v>65</v>
      </c>
      <c r="AJ469" s="508">
        <v>522</v>
      </c>
      <c r="AK469" s="509">
        <v>46202</v>
      </c>
      <c r="AL469" s="508">
        <v>667</v>
      </c>
      <c r="AO469" s="508">
        <v>12760</v>
      </c>
      <c r="AP469" s="508">
        <v>11356.4</v>
      </c>
      <c r="AQ469" s="508" t="s">
        <v>3645</v>
      </c>
      <c r="AR469" s="508" t="s">
        <v>909</v>
      </c>
      <c r="AS469" s="508" t="s">
        <v>3122</v>
      </c>
      <c r="AT469" s="508" t="s">
        <v>195</v>
      </c>
      <c r="AV469" s="508" t="s">
        <v>199</v>
      </c>
      <c r="AX469" s="508" t="s">
        <v>3122</v>
      </c>
      <c r="AY469" s="508" t="s">
        <v>901</v>
      </c>
      <c r="AZ469" s="508">
        <v>1.9</v>
      </c>
      <c r="BA469" s="508" t="s">
        <v>53</v>
      </c>
      <c r="BB469" s="508" t="s">
        <v>178</v>
      </c>
      <c r="BC469" s="508">
        <v>25</v>
      </c>
      <c r="BD469" s="509">
        <v>46201</v>
      </c>
      <c r="BG469" s="508" t="s">
        <v>3557</v>
      </c>
      <c r="BH469" s="508" t="s">
        <v>2940</v>
      </c>
      <c r="BI469" s="508">
        <v>35</v>
      </c>
      <c r="BJ469" s="508">
        <v>50</v>
      </c>
    </row>
    <row r="470" spans="1:63" s="508" customFormat="1" ht="14.25" hidden="1" customHeight="1" x14ac:dyDescent="0.2">
      <c r="A470" s="505"/>
      <c r="B470" s="511"/>
      <c r="C470" s="515">
        <f>Таблица3[[#This Row],[Степень зрелости вспом]]</f>
        <v>59</v>
      </c>
      <c r="D470" s="512">
        <v>618</v>
      </c>
      <c r="E470" s="513"/>
      <c r="F470" s="511"/>
      <c r="G470" s="511">
        <v>4280</v>
      </c>
      <c r="H470" s="514"/>
      <c r="I470" s="511">
        <v>3894.8</v>
      </c>
      <c r="J470" s="505" t="s">
        <v>3375</v>
      </c>
      <c r="K470" s="505" t="s">
        <v>900</v>
      </c>
      <c r="L470" s="505" t="s">
        <v>3092</v>
      </c>
      <c r="M470" s="495" t="s">
        <v>737</v>
      </c>
      <c r="N470" s="505"/>
      <c r="O470" s="505"/>
      <c r="P470" s="505"/>
      <c r="Q470" s="505"/>
      <c r="R470" s="505" t="s">
        <v>738</v>
      </c>
      <c r="S470" s="505"/>
      <c r="T470" s="482" t="str">
        <f>VLOOKUP(Таблица3[[#This Row],[№ акта]],$AJ$1:$BJ$691,15,FALSE)</f>
        <v>А-104/1</v>
      </c>
      <c r="U470" s="482" t="str">
        <f>VLOOKUP(Таблица3[[#This Row],[№ акта]],$AJ$1:$BJ$691,16,FALSE)</f>
        <v>Патриот</v>
      </c>
      <c r="V470" s="502">
        <f>11*Таблица3[[#This Row],[Регистратор.Вес нетто]]/31940</f>
        <v>1.4740137758296807</v>
      </c>
      <c r="W470" s="502" t="str">
        <f>VLOOKUP(Таблица3[[#This Row],[№ акта]],$AJ$1:$BJ$691,18,FALSE)</f>
        <v>ГРК (богара)</v>
      </c>
      <c r="X470" s="502" t="str">
        <f>VLOOKUP(Таблица3[[#This Row],[№ акта]],$AJ$1:$BJ$691,19,FALSE)</f>
        <v>богара</v>
      </c>
      <c r="Y470" s="503">
        <f>VLOOKUP(Таблица3[[#This Row],[№ акта]],$AJ$1:$BJ$691,20,FALSE)</f>
        <v>23</v>
      </c>
      <c r="Z470" s="504">
        <f>VLOOKUP(Таблица3[[#This Row],[№ акта]],$AJ$1:$BJ$691,21,FALSE)</f>
        <v>46199</v>
      </c>
      <c r="AA470" s="496"/>
      <c r="AB470" s="504" t="str">
        <f>IF(VLOOKUP(Таблица3[[#This Row],[№ акта]],$AJ$1:$BJ$691,23,FALSE)&lt;&gt;0,VLOOKUP(Таблица3[[#This Row],[№ акта]],$AJ$1:$BJ$691,23,FALSE),"-")</f>
        <v>-</v>
      </c>
      <c r="AC47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70" s="506" t="s">
        <v>2940</v>
      </c>
      <c r="AE470" s="505">
        <v>481</v>
      </c>
      <c r="AF470" s="507">
        <v>46199</v>
      </c>
      <c r="AG470" s="505">
        <v>371</v>
      </c>
      <c r="AH470" s="505">
        <f>IFERROR(VLOOKUP(Таблица3[[#This Row],[№ акта]],'Степень зрелости 2026'!$H$12:$I$800,2,FALSE),)</f>
        <v>59</v>
      </c>
      <c r="AJ470" s="508">
        <v>523</v>
      </c>
      <c r="AK470" s="509">
        <v>46202</v>
      </c>
      <c r="AL470" s="508">
        <v>669</v>
      </c>
      <c r="AO470" s="508">
        <v>13220</v>
      </c>
      <c r="AP470" s="508">
        <v>11964.1</v>
      </c>
      <c r="AQ470" s="508" t="s">
        <v>3645</v>
      </c>
      <c r="AR470" s="508" t="s">
        <v>909</v>
      </c>
      <c r="AS470" s="508" t="s">
        <v>3122</v>
      </c>
      <c r="AT470" s="508" t="s">
        <v>239</v>
      </c>
      <c r="AV470" s="508" t="s">
        <v>243</v>
      </c>
      <c r="AX470" s="508" t="s">
        <v>3122</v>
      </c>
      <c r="AY470" s="508" t="s">
        <v>901</v>
      </c>
      <c r="AZ470" s="508">
        <v>2</v>
      </c>
      <c r="BA470" s="508" t="s">
        <v>53</v>
      </c>
      <c r="BB470" s="508" t="s">
        <v>178</v>
      </c>
      <c r="BC470" s="508">
        <v>25</v>
      </c>
      <c r="BD470" s="509">
        <v>46201</v>
      </c>
      <c r="BG470" s="508" t="s">
        <v>724</v>
      </c>
      <c r="BH470" s="508" t="s">
        <v>2940</v>
      </c>
      <c r="BI470" s="508">
        <v>36</v>
      </c>
      <c r="BJ470" s="508">
        <v>53</v>
      </c>
    </row>
    <row r="471" spans="1:63" s="508" customFormat="1" ht="14.25" hidden="1" customHeight="1" x14ac:dyDescent="0.2">
      <c r="A471" s="505"/>
      <c r="B471" s="511"/>
      <c r="C471" s="515">
        <f>Таблица3[[#This Row],[Степень зрелости вспом]]</f>
        <v>66</v>
      </c>
      <c r="D471" s="512">
        <v>619</v>
      </c>
      <c r="E471" s="513"/>
      <c r="F471" s="511"/>
      <c r="G471" s="511">
        <v>13250</v>
      </c>
      <c r="H471" s="514"/>
      <c r="I471" s="511">
        <v>11461.3</v>
      </c>
      <c r="J471" s="505" t="s">
        <v>3464</v>
      </c>
      <c r="K471" s="505" t="s">
        <v>909</v>
      </c>
      <c r="L471" s="505" t="s">
        <v>3115</v>
      </c>
      <c r="M471" s="495" t="s">
        <v>3377</v>
      </c>
      <c r="N471" s="505"/>
      <c r="O471" s="505"/>
      <c r="P471" s="505"/>
      <c r="Q471" s="505"/>
      <c r="R471" s="505" t="s">
        <v>3196</v>
      </c>
      <c r="S471" s="505"/>
      <c r="T471" s="482" t="str">
        <f>VLOOKUP(Таблица3[[#This Row],[№ акта]],$AJ$1:$BJ$691,15,FALSE)</f>
        <v>18 Агролидер</v>
      </c>
      <c r="U471" s="482" t="str">
        <f>VLOOKUP(Таблица3[[#This Row],[№ акта]],$AJ$1:$BJ$691,16,FALSE)</f>
        <v>Тристар</v>
      </c>
      <c r="V471" s="502">
        <f>VLOOKUP(Таблица3[[#This Row],[№ акта]],$AJ$1:$BJ$691,17,FALSE)</f>
        <v>3.4</v>
      </c>
      <c r="W471" s="502" t="str">
        <f>VLOOKUP(Таблица3[[#This Row],[№ акта]],$AJ$1:$BJ$691,18,FALSE)</f>
        <v>Агролидер (полив)</v>
      </c>
      <c r="X471" s="502" t="str">
        <f>VLOOKUP(Таблица3[[#This Row],[№ акта]],$AJ$1:$BJ$691,19,FALSE)</f>
        <v>полив</v>
      </c>
      <c r="Y471" s="503">
        <f>VLOOKUP(Таблица3[[#This Row],[№ акта]],$AJ$1:$BJ$691,20,FALSE)</f>
        <v>23</v>
      </c>
      <c r="Z471" s="504">
        <f>VLOOKUP(Таблица3[[#This Row],[№ акта]],$AJ$1:$BJ$691,21,FALSE)</f>
        <v>46199</v>
      </c>
      <c r="AA471" s="496"/>
      <c r="AB471" s="504" t="str">
        <f>IF(VLOOKUP(Таблица3[[#This Row],[№ акта]],$AJ$1:$BJ$691,23,FALSE)&lt;&gt;0,VLOOKUP(Таблица3[[#This Row],[№ акта]],$AJ$1:$BJ$691,23,FALSE),"-")</f>
        <v>-</v>
      </c>
      <c r="AC47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71" s="506" t="s">
        <v>3230</v>
      </c>
      <c r="AE471" s="505">
        <v>482</v>
      </c>
      <c r="AF471" s="507">
        <v>46199</v>
      </c>
      <c r="AG471" s="505">
        <v>74</v>
      </c>
      <c r="AH471" s="505">
        <f>IFERROR(VLOOKUP(Таблица3[[#This Row],[№ акта]],'Степень зрелости 2026'!$H$12:$I$800,2,FALSE),)</f>
        <v>66</v>
      </c>
      <c r="AJ471" s="508">
        <v>524</v>
      </c>
      <c r="AK471" s="509">
        <v>46202</v>
      </c>
      <c r="AL471" s="508">
        <v>670</v>
      </c>
      <c r="AO471" s="508">
        <v>12710</v>
      </c>
      <c r="AP471" s="508">
        <v>11883.9</v>
      </c>
      <c r="AQ471" s="508" t="s">
        <v>3645</v>
      </c>
      <c r="AR471" s="508" t="s">
        <v>909</v>
      </c>
      <c r="AS471" s="508" t="s">
        <v>3122</v>
      </c>
      <c r="AT471" s="508" t="s">
        <v>1151</v>
      </c>
      <c r="AV471" s="508" t="s">
        <v>145</v>
      </c>
      <c r="AX471" s="508" t="s">
        <v>3122</v>
      </c>
      <c r="AY471" s="508" t="s">
        <v>901</v>
      </c>
      <c r="AZ471" s="508">
        <v>1.9</v>
      </c>
      <c r="BA471" s="508" t="s">
        <v>53</v>
      </c>
      <c r="BB471" s="508" t="s">
        <v>178</v>
      </c>
      <c r="BC471" s="508">
        <v>25</v>
      </c>
      <c r="BD471" s="509">
        <v>46201</v>
      </c>
      <c r="BG471" s="508" t="s">
        <v>724</v>
      </c>
      <c r="BH471" s="508" t="s">
        <v>2940</v>
      </c>
      <c r="BI471" s="508">
        <v>37</v>
      </c>
      <c r="BJ471" s="508">
        <v>55</v>
      </c>
    </row>
    <row r="472" spans="1:63" s="517" customFormat="1" ht="14.25" hidden="1" customHeight="1" x14ac:dyDescent="0.25">
      <c r="A472" s="505"/>
      <c r="B472" s="511"/>
      <c r="C472" s="515">
        <f>Таблица3[[#This Row],[Степень зрелости вспом]]</f>
        <v>66</v>
      </c>
      <c r="D472" s="512">
        <v>621</v>
      </c>
      <c r="E472" s="513"/>
      <c r="F472" s="511"/>
      <c r="G472" s="511">
        <v>3970</v>
      </c>
      <c r="H472" s="514"/>
      <c r="I472" s="511">
        <v>3632.6</v>
      </c>
      <c r="J472" s="505" t="s">
        <v>3375</v>
      </c>
      <c r="K472" s="505" t="s">
        <v>900</v>
      </c>
      <c r="L472" s="505" t="s">
        <v>3092</v>
      </c>
      <c r="M472" s="505" t="s">
        <v>762</v>
      </c>
      <c r="N472" s="505"/>
      <c r="O472" s="505"/>
      <c r="P472" s="505"/>
      <c r="Q472" s="505"/>
      <c r="R472" s="505" t="s">
        <v>763</v>
      </c>
      <c r="S472" s="505"/>
      <c r="T472" s="482" t="str">
        <f>VLOOKUP(Таблица3[[#This Row],[№ акта]],$AJ$1:$BJ$691,15,FALSE)</f>
        <v>А-104/1</v>
      </c>
      <c r="U472" s="482" t="str">
        <f>VLOOKUP(Таблица3[[#This Row],[№ акта]],$AJ$1:$BJ$691,16,FALSE)</f>
        <v>Патриот</v>
      </c>
      <c r="V472" s="502">
        <f>11*Таблица3[[#This Row],[Регистратор.Вес нетто]]/31940</f>
        <v>1.3672510958046338</v>
      </c>
      <c r="W472" s="502" t="str">
        <f>VLOOKUP(Таблица3[[#This Row],[№ акта]],$AJ$1:$BJ$691,18,FALSE)</f>
        <v>ГРК (богара)</v>
      </c>
      <c r="X472" s="502" t="str">
        <f>VLOOKUP(Таблица3[[#This Row],[№ акта]],$AJ$1:$BJ$691,19,FALSE)</f>
        <v>богара</v>
      </c>
      <c r="Y472" s="503">
        <f>VLOOKUP(Таблица3[[#This Row],[№ акта]],$AJ$1:$BJ$691,20,FALSE)</f>
        <v>23</v>
      </c>
      <c r="Z472" s="507">
        <f>VLOOKUP(Таблица3[[#This Row],[№ акта]],$AJ$1:$BJ$691,21,FALSE)</f>
        <v>46199</v>
      </c>
      <c r="AA472" s="516"/>
      <c r="AB472" s="504" t="str">
        <f>IF(VLOOKUP(Таблица3[[#This Row],[№ акта]],$AJ$1:$BJ$691,23,FALSE)&lt;&gt;0,VLOOKUP(Таблица3[[#This Row],[№ акта]],$AJ$1:$BJ$691,23,FALSE),"-")</f>
        <v>-</v>
      </c>
      <c r="AC47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72" s="506" t="s">
        <v>3230</v>
      </c>
      <c r="AE472" s="505">
        <v>483</v>
      </c>
      <c r="AF472" s="507">
        <v>46199</v>
      </c>
      <c r="AG472" s="505">
        <v>372</v>
      </c>
      <c r="AH472" s="505">
        <f>IFERROR(VLOOKUP(Таблица3[[#This Row],[№ акта]],'Степень зрелости 2026'!$H$12:$I$800,2,FALSE),)</f>
        <v>66</v>
      </c>
      <c r="AJ472" s="517">
        <v>525</v>
      </c>
      <c r="AK472" s="518">
        <v>46202</v>
      </c>
      <c r="AL472" s="517">
        <v>672</v>
      </c>
      <c r="AO472" s="517">
        <v>12760</v>
      </c>
      <c r="AP472" s="517">
        <v>11547.8</v>
      </c>
      <c r="AQ472" s="517" t="s">
        <v>3645</v>
      </c>
      <c r="AR472" s="517" t="s">
        <v>909</v>
      </c>
      <c r="AS472" s="517" t="s">
        <v>3122</v>
      </c>
      <c r="AT472" s="517" t="s">
        <v>121</v>
      </c>
      <c r="AV472" s="517" t="s">
        <v>125</v>
      </c>
      <c r="AX472" s="517" t="s">
        <v>3122</v>
      </c>
      <c r="AY472" s="517" t="s">
        <v>901</v>
      </c>
      <c r="AZ472" s="517">
        <v>1.9</v>
      </c>
      <c r="BA472" s="517" t="s">
        <v>53</v>
      </c>
      <c r="BB472" s="517" t="s">
        <v>178</v>
      </c>
      <c r="BC472" s="517">
        <v>25</v>
      </c>
      <c r="BD472" s="518">
        <v>46201</v>
      </c>
      <c r="BG472" s="517" t="s">
        <v>724</v>
      </c>
      <c r="BH472" s="517" t="s">
        <v>2940</v>
      </c>
      <c r="BI472" s="517">
        <v>38</v>
      </c>
      <c r="BJ472" s="517">
        <v>55</v>
      </c>
      <c r="BK472" s="508"/>
    </row>
    <row r="473" spans="1:63" s="517" customFormat="1" ht="14.25" hidden="1" customHeight="1" x14ac:dyDescent="0.25">
      <c r="A473" s="505"/>
      <c r="B473" s="511"/>
      <c r="C473" s="515">
        <f>Таблица3[[#This Row],[Степень зрелости вспом]]</f>
        <v>66</v>
      </c>
      <c r="D473" s="512">
        <v>622</v>
      </c>
      <c r="E473" s="513"/>
      <c r="F473" s="511"/>
      <c r="G473" s="511">
        <v>13180</v>
      </c>
      <c r="H473" s="514"/>
      <c r="I473" s="511">
        <v>12191.5</v>
      </c>
      <c r="J473" s="505" t="s">
        <v>3464</v>
      </c>
      <c r="K473" s="505" t="s">
        <v>909</v>
      </c>
      <c r="L473" s="505" t="s">
        <v>3115</v>
      </c>
      <c r="M473" s="505" t="s">
        <v>133</v>
      </c>
      <c r="N473" s="505"/>
      <c r="O473" s="505"/>
      <c r="P473" s="505"/>
      <c r="Q473" s="505"/>
      <c r="R473" s="505" t="s">
        <v>137</v>
      </c>
      <c r="S473" s="505"/>
      <c r="T473" s="482" t="str">
        <f>VLOOKUP(Таблица3[[#This Row],[№ акта]],$AJ$1:$BJ$691,15,FALSE)</f>
        <v>17 Агролидер</v>
      </c>
      <c r="U473" s="482" t="str">
        <f>VLOOKUP(Таблица3[[#This Row],[№ акта]],$AJ$1:$BJ$691,16,FALSE)</f>
        <v>Тристар</v>
      </c>
      <c r="V473" s="502">
        <f>VLOOKUP(Таблица3[[#This Row],[№ акта]],$AJ$1:$BJ$691,17,FALSE)</f>
        <v>1.5</v>
      </c>
      <c r="W473" s="502" t="str">
        <f>VLOOKUP(Таблица3[[#This Row],[№ акта]],$AJ$1:$BJ$691,18,FALSE)</f>
        <v>Агролидер (полив)</v>
      </c>
      <c r="X473" s="502" t="str">
        <f>VLOOKUP(Таблица3[[#This Row],[№ акта]],$AJ$1:$BJ$691,19,FALSE)</f>
        <v>полив</v>
      </c>
      <c r="Y473" s="503">
        <f>VLOOKUP(Таблица3[[#This Row],[№ акта]],$AJ$1:$BJ$691,20,FALSE)</f>
        <v>23</v>
      </c>
      <c r="Z473" s="504">
        <f>VLOOKUP(Таблица3[[#This Row],[№ акта]],$AJ$1:$BJ$691,21,FALSE)</f>
        <v>46199</v>
      </c>
      <c r="AA473" s="496"/>
      <c r="AB473" s="504" t="str">
        <f>IF(VLOOKUP(Таблица3[[#This Row],[№ акта]],$AJ$1:$BJ$691,23,FALSE)&lt;&gt;0,VLOOKUP(Таблица3[[#This Row],[№ акта]],$AJ$1:$BJ$691,23,FALSE),"-")</f>
        <v>-</v>
      </c>
      <c r="AC47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73" s="506" t="s">
        <v>3230</v>
      </c>
      <c r="AE473" s="505">
        <v>484</v>
      </c>
      <c r="AF473" s="507">
        <v>46199</v>
      </c>
      <c r="AG473" s="505">
        <v>77</v>
      </c>
      <c r="AH473" s="505">
        <f>IFERROR(VLOOKUP(Таблица3[[#This Row],[№ акта]],'Степень зрелости 2026'!$H$12:$I$800,2,FALSE),)</f>
        <v>66</v>
      </c>
      <c r="AJ473" s="517">
        <v>527</v>
      </c>
      <c r="AK473" s="518">
        <v>46202</v>
      </c>
      <c r="AL473" s="517">
        <v>673</v>
      </c>
      <c r="AO473" s="517">
        <v>12910</v>
      </c>
      <c r="AP473" s="517">
        <v>11812.7</v>
      </c>
      <c r="AQ473" s="517" t="s">
        <v>3645</v>
      </c>
      <c r="AR473" s="517" t="s">
        <v>909</v>
      </c>
      <c r="AS473" s="517" t="s">
        <v>3122</v>
      </c>
      <c r="AT473" s="517" t="s">
        <v>335</v>
      </c>
      <c r="AV473" s="517" t="s">
        <v>339</v>
      </c>
      <c r="AX473" s="517" t="s">
        <v>3122</v>
      </c>
      <c r="AY473" s="517" t="s">
        <v>901</v>
      </c>
      <c r="AZ473" s="517">
        <v>1.9</v>
      </c>
      <c r="BA473" s="517" t="s">
        <v>53</v>
      </c>
      <c r="BB473" s="517" t="s">
        <v>178</v>
      </c>
      <c r="BC473" s="517">
        <v>25</v>
      </c>
      <c r="BD473" s="518">
        <v>46201</v>
      </c>
      <c r="BG473" s="517" t="s">
        <v>724</v>
      </c>
      <c r="BH473" s="517" t="s">
        <v>2940</v>
      </c>
      <c r="BI473" s="517">
        <v>40</v>
      </c>
      <c r="BJ473" s="517">
        <v>54</v>
      </c>
      <c r="BK473" s="508"/>
    </row>
    <row r="474" spans="1:63" s="517" customFormat="1" ht="14.25" hidden="1" customHeight="1" x14ac:dyDescent="0.25">
      <c r="A474" s="505"/>
      <c r="B474" s="511"/>
      <c r="C474" s="515">
        <f>Таблица3[[#This Row],[Степень зрелости вспом]]</f>
        <v>64</v>
      </c>
      <c r="D474" s="512">
        <v>624</v>
      </c>
      <c r="E474" s="513"/>
      <c r="F474" s="511"/>
      <c r="G474" s="511">
        <v>13030</v>
      </c>
      <c r="H474" s="514"/>
      <c r="I474" s="511">
        <v>12313.4</v>
      </c>
      <c r="J474" s="505" t="s">
        <v>3464</v>
      </c>
      <c r="K474" s="505" t="s">
        <v>909</v>
      </c>
      <c r="L474" s="505" t="s">
        <v>3115</v>
      </c>
      <c r="M474" s="495" t="s">
        <v>212</v>
      </c>
      <c r="N474" s="505"/>
      <c r="O474" s="505"/>
      <c r="P474" s="505"/>
      <c r="Q474" s="505"/>
      <c r="R474" s="505" t="s">
        <v>2965</v>
      </c>
      <c r="S474" s="505"/>
      <c r="T474" s="482" t="str">
        <f>VLOOKUP(Таблица3[[#This Row],[№ акта]],$AJ$1:$BJ$691,15,FALSE)</f>
        <v>18 Агролидер</v>
      </c>
      <c r="U474" s="482" t="str">
        <f>VLOOKUP(Таблица3[[#This Row],[№ акта]],$AJ$1:$BJ$691,16,FALSE)</f>
        <v>Тристар</v>
      </c>
      <c r="V474" s="502">
        <f>VLOOKUP(Таблица3[[#This Row],[№ акта]],$AJ$1:$BJ$691,17,FALSE)</f>
        <v>3.4</v>
      </c>
      <c r="W474" s="502" t="str">
        <f>VLOOKUP(Таблица3[[#This Row],[№ акта]],$AJ$1:$BJ$691,18,FALSE)</f>
        <v>Агролидер (полив)</v>
      </c>
      <c r="X474" s="502" t="str">
        <f>VLOOKUP(Таблица3[[#This Row],[№ акта]],$AJ$1:$BJ$691,19,FALSE)</f>
        <v>полив</v>
      </c>
      <c r="Y474" s="503">
        <f>VLOOKUP(Таблица3[[#This Row],[№ акта]],$AJ$1:$BJ$691,20,FALSE)</f>
        <v>23</v>
      </c>
      <c r="Z474" s="504">
        <f>VLOOKUP(Таблица3[[#This Row],[№ акта]],$AJ$1:$BJ$691,21,FALSE)</f>
        <v>46199</v>
      </c>
      <c r="AA474" s="496"/>
      <c r="AB474" s="504" t="str">
        <f>IF(VLOOKUP(Таблица3[[#This Row],[№ акта]],$AJ$1:$BJ$691,23,FALSE)&lt;&gt;0,VLOOKUP(Таблица3[[#This Row],[№ акта]],$AJ$1:$BJ$691,23,FALSE),"-")</f>
        <v>-</v>
      </c>
      <c r="AC47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74" s="506" t="s">
        <v>3230</v>
      </c>
      <c r="AE474" s="505">
        <v>485</v>
      </c>
      <c r="AF474" s="507">
        <v>46199</v>
      </c>
      <c r="AG474" s="505">
        <v>78</v>
      </c>
      <c r="AH474" s="505">
        <f>IFERROR(VLOOKUP(Таблица3[[#This Row],[№ акта]],'Степень зрелости 2026'!$H$12:$I$800,2,FALSE),)</f>
        <v>64</v>
      </c>
      <c r="AJ474" s="517">
        <v>528</v>
      </c>
      <c r="AK474" s="518">
        <v>46202</v>
      </c>
      <c r="AL474" s="517">
        <v>674</v>
      </c>
      <c r="AO474" s="517">
        <v>13350</v>
      </c>
      <c r="AP474" s="517">
        <v>12081.8</v>
      </c>
      <c r="AQ474" s="517" t="s">
        <v>3645</v>
      </c>
      <c r="AR474" s="517" t="s">
        <v>909</v>
      </c>
      <c r="AS474" s="517" t="s">
        <v>3122</v>
      </c>
      <c r="AT474" s="517" t="s">
        <v>234</v>
      </c>
      <c r="AV474" s="517" t="s">
        <v>238</v>
      </c>
      <c r="AX474" s="517" t="s">
        <v>3122</v>
      </c>
      <c r="AY474" s="517" t="s">
        <v>901</v>
      </c>
      <c r="AZ474" s="517">
        <v>2</v>
      </c>
      <c r="BA474" s="517" t="s">
        <v>53</v>
      </c>
      <c r="BB474" s="517" t="s">
        <v>178</v>
      </c>
      <c r="BC474" s="517">
        <v>25</v>
      </c>
      <c r="BD474" s="518">
        <v>46201</v>
      </c>
      <c r="BG474" s="517" t="s">
        <v>3557</v>
      </c>
      <c r="BH474" s="517" t="s">
        <v>2940</v>
      </c>
      <c r="BI474" s="517">
        <v>39</v>
      </c>
      <c r="BJ474" s="517">
        <v>51</v>
      </c>
      <c r="BK474" s="508"/>
    </row>
    <row r="475" spans="1:63" s="517" customFormat="1" ht="14.25" hidden="1" customHeight="1" x14ac:dyDescent="0.25">
      <c r="A475" s="505"/>
      <c r="B475" s="511"/>
      <c r="C475" s="515">
        <f>Таблица3[[#This Row],[Степень зрелости вспом]]</f>
        <v>67</v>
      </c>
      <c r="D475" s="512">
        <v>625</v>
      </c>
      <c r="E475" s="513"/>
      <c r="F475" s="511"/>
      <c r="G475" s="511">
        <v>4360</v>
      </c>
      <c r="H475" s="514"/>
      <c r="I475" s="511">
        <v>4076.6</v>
      </c>
      <c r="J475" s="505" t="s">
        <v>3375</v>
      </c>
      <c r="K475" s="505" t="s">
        <v>900</v>
      </c>
      <c r="L475" s="505" t="s">
        <v>3092</v>
      </c>
      <c r="M475" s="505" t="s">
        <v>737</v>
      </c>
      <c r="N475" s="505"/>
      <c r="O475" s="505"/>
      <c r="P475" s="505"/>
      <c r="Q475" s="505"/>
      <c r="R475" s="505" t="s">
        <v>738</v>
      </c>
      <c r="S475" s="505"/>
      <c r="T475" s="482" t="str">
        <f>VLOOKUP(Таблица3[[#This Row],[№ акта]],$AJ$1:$BJ$691,15,FALSE)</f>
        <v>А-104/1</v>
      </c>
      <c r="U475" s="482" t="str">
        <f>VLOOKUP(Таблица3[[#This Row],[№ акта]],$AJ$1:$BJ$691,16,FALSE)</f>
        <v>Патриот</v>
      </c>
      <c r="V475" s="502">
        <f>11*Таблица3[[#This Row],[Регистратор.Вес нетто]]/31940</f>
        <v>1.5015654351909831</v>
      </c>
      <c r="W475" s="502" t="str">
        <f>VLOOKUP(Таблица3[[#This Row],[№ акта]],$AJ$1:$BJ$691,18,FALSE)</f>
        <v>ГРК (богара)</v>
      </c>
      <c r="X475" s="502" t="str">
        <f>VLOOKUP(Таблица3[[#This Row],[№ акта]],$AJ$1:$BJ$691,19,FALSE)</f>
        <v>богара</v>
      </c>
      <c r="Y475" s="503">
        <f>VLOOKUP(Таблица3[[#This Row],[№ акта]],$AJ$1:$BJ$691,20,FALSE)</f>
        <v>23</v>
      </c>
      <c r="Z475" s="504">
        <f>VLOOKUP(Таблица3[[#This Row],[№ акта]],$AJ$1:$BJ$691,21,FALSE)</f>
        <v>46199</v>
      </c>
      <c r="AA475" s="496"/>
      <c r="AB475" s="504" t="str">
        <f>IF(VLOOKUP(Таблица3[[#This Row],[№ акта]],$AJ$1:$BJ$691,23,FALSE)&lt;&gt;0,VLOOKUP(Таблица3[[#This Row],[№ акта]],$AJ$1:$BJ$691,23,FALSE),"-")</f>
        <v>-</v>
      </c>
      <c r="AC47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75" s="506" t="s">
        <v>3230</v>
      </c>
      <c r="AE475" s="505">
        <v>486</v>
      </c>
      <c r="AF475" s="507">
        <v>46199</v>
      </c>
      <c r="AG475" s="505">
        <v>373</v>
      </c>
      <c r="AH475" s="505">
        <f>IFERROR(VLOOKUP(Таблица3[[#This Row],[№ акта]],'Степень зрелости 2026'!$H$12:$I$800,2,FALSE),)</f>
        <v>67</v>
      </c>
      <c r="AJ475" s="517">
        <v>529</v>
      </c>
      <c r="AK475" s="518">
        <v>46202</v>
      </c>
      <c r="AL475" s="517">
        <v>675</v>
      </c>
      <c r="AO475" s="517">
        <v>12880</v>
      </c>
      <c r="AP475" s="517">
        <v>11270</v>
      </c>
      <c r="AQ475" s="517" t="s">
        <v>3645</v>
      </c>
      <c r="AR475" s="517" t="s">
        <v>909</v>
      </c>
      <c r="AS475" s="517" t="s">
        <v>3122</v>
      </c>
      <c r="AT475" s="517" t="s">
        <v>3377</v>
      </c>
      <c r="AV475" s="517" t="s">
        <v>3196</v>
      </c>
      <c r="AX475" s="517" t="s">
        <v>3122</v>
      </c>
      <c r="AY475" s="517" t="s">
        <v>901</v>
      </c>
      <c r="AZ475" s="517">
        <v>1.9</v>
      </c>
      <c r="BA475" s="517" t="s">
        <v>53</v>
      </c>
      <c r="BB475" s="517" t="s">
        <v>178</v>
      </c>
      <c r="BC475" s="517">
        <v>25</v>
      </c>
      <c r="BD475" s="518">
        <v>46201</v>
      </c>
      <c r="BG475" s="517" t="s">
        <v>3557</v>
      </c>
      <c r="BH475" s="517" t="s">
        <v>2940</v>
      </c>
      <c r="BI475" s="517">
        <v>41</v>
      </c>
      <c r="BJ475" s="517">
        <v>51</v>
      </c>
      <c r="BK475" s="508"/>
    </row>
    <row r="476" spans="1:63" s="517" customFormat="1" ht="14.25" hidden="1" customHeight="1" x14ac:dyDescent="0.25">
      <c r="A476" s="505"/>
      <c r="B476" s="511"/>
      <c r="C476" s="515">
        <f>Таблица3[[#This Row],[Степень зрелости вспом]]</f>
        <v>65</v>
      </c>
      <c r="D476" s="512">
        <v>626</v>
      </c>
      <c r="E476" s="513"/>
      <c r="F476" s="511"/>
      <c r="G476" s="511">
        <v>4480</v>
      </c>
      <c r="H476" s="514"/>
      <c r="I476" s="511">
        <v>4032</v>
      </c>
      <c r="J476" s="505" t="s">
        <v>3375</v>
      </c>
      <c r="K476" s="505" t="s">
        <v>900</v>
      </c>
      <c r="L476" s="505" t="s">
        <v>3092</v>
      </c>
      <c r="M476" s="505" t="s">
        <v>762</v>
      </c>
      <c r="N476" s="505"/>
      <c r="O476" s="505"/>
      <c r="P476" s="505"/>
      <c r="Q476" s="505"/>
      <c r="R476" s="505" t="s">
        <v>763</v>
      </c>
      <c r="S476" s="505"/>
      <c r="T476" s="482" t="str">
        <f>VLOOKUP(Таблица3[[#This Row],[№ акта]],$AJ$1:$BJ$691,15,FALSE)</f>
        <v>А-104/1</v>
      </c>
      <c r="U476" s="482" t="str">
        <f>VLOOKUP(Таблица3[[#This Row],[№ акта]],$AJ$1:$BJ$691,16,FALSE)</f>
        <v>Патриот</v>
      </c>
      <c r="V476" s="502">
        <f>11*Таблица3[[#This Row],[Регистратор.Вес нетто]]/31940</f>
        <v>1.5428929242329368</v>
      </c>
      <c r="W476" s="502" t="str">
        <f>VLOOKUP(Таблица3[[#This Row],[№ акта]],$AJ$1:$BJ$691,18,FALSE)</f>
        <v>ГРК (богара)</v>
      </c>
      <c r="X476" s="502" t="str">
        <f>VLOOKUP(Таблица3[[#This Row],[№ акта]],$AJ$1:$BJ$691,19,FALSE)</f>
        <v>богара</v>
      </c>
      <c r="Y476" s="503">
        <f>VLOOKUP(Таблица3[[#This Row],[№ акта]],$AJ$1:$BJ$691,20,FALSE)</f>
        <v>23</v>
      </c>
      <c r="Z476" s="504">
        <f>VLOOKUP(Таблица3[[#This Row],[№ акта]],$AJ$1:$BJ$691,21,FALSE)</f>
        <v>46199</v>
      </c>
      <c r="AA476" s="496"/>
      <c r="AB476" s="504" t="str">
        <f>IF(VLOOKUP(Таблица3[[#This Row],[№ акта]],$AJ$1:$BJ$691,23,FALSE)&lt;&gt;0,VLOOKUP(Таблица3[[#This Row],[№ акта]],$AJ$1:$BJ$691,23,FALSE),"-")</f>
        <v>-</v>
      </c>
      <c r="AC47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76" s="506" t="s">
        <v>3230</v>
      </c>
      <c r="AE476" s="505">
        <v>487</v>
      </c>
      <c r="AF476" s="507">
        <v>46199</v>
      </c>
      <c r="AG476" s="505">
        <v>374</v>
      </c>
      <c r="AH476" s="505">
        <f>IFERROR(VLOOKUP(Таблица3[[#This Row],[№ акта]],'Степень зрелости 2026'!$H$12:$I$800,2,FALSE),)</f>
        <v>65</v>
      </c>
      <c r="AJ476" s="517">
        <v>545</v>
      </c>
      <c r="AK476" s="518">
        <v>46203</v>
      </c>
      <c r="AL476" s="517">
        <v>694</v>
      </c>
      <c r="AO476" s="517">
        <v>12830</v>
      </c>
      <c r="AP476" s="517">
        <v>12060.2</v>
      </c>
      <c r="AQ476" s="517" t="s">
        <v>3645</v>
      </c>
      <c r="AR476" s="517" t="s">
        <v>909</v>
      </c>
      <c r="AS476" s="517" t="s">
        <v>3122</v>
      </c>
      <c r="AT476" s="517" t="s">
        <v>1408</v>
      </c>
      <c r="AV476" s="517" t="s">
        <v>1409</v>
      </c>
      <c r="AX476" s="517" t="s">
        <v>3122</v>
      </c>
      <c r="AY476" s="517" t="s">
        <v>901</v>
      </c>
      <c r="AZ476" s="517">
        <v>1.9</v>
      </c>
      <c r="BA476" s="517" t="s">
        <v>53</v>
      </c>
      <c r="BB476" s="517" t="s">
        <v>178</v>
      </c>
      <c r="BC476" s="517">
        <v>25</v>
      </c>
      <c r="BD476" s="518">
        <v>46201</v>
      </c>
      <c r="BG476" s="517" t="s">
        <v>724</v>
      </c>
      <c r="BH476" s="517" t="s">
        <v>2940</v>
      </c>
      <c r="BI476" s="517">
        <v>57</v>
      </c>
      <c r="BJ476" s="517">
        <v>59</v>
      </c>
      <c r="BK476" s="508"/>
    </row>
    <row r="477" spans="1:63" s="488" customFormat="1" ht="22.5" hidden="1" x14ac:dyDescent="0.25">
      <c r="A477" s="505"/>
      <c r="B477" s="511"/>
      <c r="C477" s="515">
        <f>Таблица3[[#This Row],[Степень зрелости вспом]]</f>
        <v>69</v>
      </c>
      <c r="D477" s="512">
        <v>629</v>
      </c>
      <c r="E477" s="513"/>
      <c r="F477" s="511"/>
      <c r="G477" s="511">
        <v>13180</v>
      </c>
      <c r="H477" s="514"/>
      <c r="I477" s="511">
        <v>12455.1</v>
      </c>
      <c r="J477" s="505" t="s">
        <v>3464</v>
      </c>
      <c r="K477" s="505" t="s">
        <v>909</v>
      </c>
      <c r="L477" s="505" t="s">
        <v>3115</v>
      </c>
      <c r="M477" s="505" t="s">
        <v>1461</v>
      </c>
      <c r="N477" s="505"/>
      <c r="O477" s="505"/>
      <c r="P477" s="505"/>
      <c r="Q477" s="505"/>
      <c r="R477" s="505" t="s">
        <v>149</v>
      </c>
      <c r="S477" s="505"/>
      <c r="T477" s="482" t="str">
        <f>VLOOKUP(Таблица3[[#This Row],[№ акта]],$AJ$1:$BJ$691,15,FALSE)</f>
        <v>18 Агролидер</v>
      </c>
      <c r="U477" s="482" t="str">
        <f>VLOOKUP(Таблица3[[#This Row],[№ акта]],$AJ$1:$BJ$691,16,FALSE)</f>
        <v>Тристар</v>
      </c>
      <c r="V477" s="502">
        <f>VLOOKUP(Таблица3[[#This Row],[№ акта]],$AJ$1:$BJ$691,17,FALSE)</f>
        <v>3.4</v>
      </c>
      <c r="W477" s="502" t="str">
        <f>VLOOKUP(Таблица3[[#This Row],[№ акта]],$AJ$1:$BJ$691,18,FALSE)</f>
        <v>Агролидер (полив)</v>
      </c>
      <c r="X477" s="502" t="str">
        <f>VLOOKUP(Таблица3[[#This Row],[№ акта]],$AJ$1:$BJ$691,19,FALSE)</f>
        <v>полив</v>
      </c>
      <c r="Y477" s="503">
        <f>VLOOKUP(Таблица3[[#This Row],[№ акта]],$AJ$1:$BJ$691,20,FALSE)</f>
        <v>23</v>
      </c>
      <c r="Z477" s="504">
        <f>VLOOKUP(Таблица3[[#This Row],[№ акта]],$AJ$1:$BJ$691,21,FALSE)</f>
        <v>46199</v>
      </c>
      <c r="AA477" s="516"/>
      <c r="AB477" s="504" t="str">
        <f>IF(VLOOKUP(Таблица3[[#This Row],[№ акта]],$AJ$1:$BJ$691,23,FALSE)&lt;&gt;0,VLOOKUP(Таблица3[[#This Row],[№ акта]],$AJ$1:$BJ$691,23,FALSE),"-")</f>
        <v>-</v>
      </c>
      <c r="AC47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77" s="506" t="s">
        <v>3230</v>
      </c>
      <c r="AE477" s="505">
        <v>488</v>
      </c>
      <c r="AF477" s="507">
        <v>46199</v>
      </c>
      <c r="AG477" s="505">
        <v>79</v>
      </c>
      <c r="AH477" s="505">
        <f>IFERROR(VLOOKUP(Таблица3[[#This Row],[№ акта]],'Степень зрелости 2026'!$H$12:$I$800,2,FALSE),)</f>
        <v>69</v>
      </c>
      <c r="AJ477" s="488">
        <v>547</v>
      </c>
      <c r="AK477" s="519">
        <v>46203</v>
      </c>
      <c r="AL477" s="488">
        <v>696</v>
      </c>
      <c r="AO477" s="488">
        <v>12820</v>
      </c>
      <c r="AP477" s="488">
        <v>11730.3</v>
      </c>
      <c r="AQ477" s="488" t="s">
        <v>3645</v>
      </c>
      <c r="AR477" s="488" t="s">
        <v>909</v>
      </c>
      <c r="AS477" s="488" t="s">
        <v>3122</v>
      </c>
      <c r="AT477" s="488" t="s">
        <v>1461</v>
      </c>
      <c r="AV477" s="488" t="s">
        <v>149</v>
      </c>
      <c r="AX477" s="488" t="s">
        <v>3122</v>
      </c>
      <c r="AY477" s="488" t="s">
        <v>901</v>
      </c>
      <c r="AZ477" s="488">
        <v>1.9</v>
      </c>
      <c r="BA477" s="488" t="s">
        <v>53</v>
      </c>
      <c r="BB477" s="488" t="s">
        <v>178</v>
      </c>
      <c r="BC477" s="488">
        <v>25</v>
      </c>
      <c r="BD477" s="519">
        <v>46201</v>
      </c>
      <c r="BG477" s="488" t="s">
        <v>724</v>
      </c>
      <c r="BH477" s="488" t="s">
        <v>2940</v>
      </c>
      <c r="BI477" s="488">
        <v>58</v>
      </c>
      <c r="BJ477" s="488">
        <v>59</v>
      </c>
      <c r="BK477" s="508"/>
    </row>
    <row r="478" spans="1:63" s="488" customFormat="1" ht="22.5" hidden="1" x14ac:dyDescent="0.25">
      <c r="A478" s="505"/>
      <c r="B478" s="511"/>
      <c r="C478" s="515">
        <f>Таблица3[[#This Row],[Степень зрелости вспом]]</f>
        <v>68</v>
      </c>
      <c r="D478" s="512">
        <v>631</v>
      </c>
      <c r="E478" s="513"/>
      <c r="F478" s="511"/>
      <c r="G478" s="511">
        <v>13020</v>
      </c>
      <c r="H478" s="514"/>
      <c r="I478" s="511">
        <v>11587.8</v>
      </c>
      <c r="J478" s="505" t="s">
        <v>3464</v>
      </c>
      <c r="K478" s="505" t="s">
        <v>909</v>
      </c>
      <c r="L478" s="505" t="s">
        <v>3115</v>
      </c>
      <c r="M478" s="505" t="s">
        <v>121</v>
      </c>
      <c r="N478" s="505"/>
      <c r="O478" s="505"/>
      <c r="P478" s="505"/>
      <c r="Q478" s="505"/>
      <c r="R478" s="505" t="s">
        <v>125</v>
      </c>
      <c r="S478" s="505"/>
      <c r="T478" s="482" t="str">
        <f>VLOOKUP(Таблица3[[#This Row],[№ акта]],$AJ$1:$BJ$691,15,FALSE)</f>
        <v>18 Агролидер</v>
      </c>
      <c r="U478" s="482" t="str">
        <f>VLOOKUP(Таблица3[[#This Row],[№ акта]],$AJ$1:$BJ$691,16,FALSE)</f>
        <v>Тристар</v>
      </c>
      <c r="V478" s="502">
        <f>VLOOKUP(Таблица3[[#This Row],[№ акта]],$AJ$1:$BJ$691,17,FALSE)</f>
        <v>3.4</v>
      </c>
      <c r="W478" s="502" t="str">
        <f>VLOOKUP(Таблица3[[#This Row],[№ акта]],$AJ$1:$BJ$691,18,FALSE)</f>
        <v>Агролидер (полив)</v>
      </c>
      <c r="X478" s="516" t="str">
        <f>VLOOKUP(Таблица3[[#This Row],[№ акта]],$AJ$1:$BJ$691,19,FALSE)</f>
        <v>полив</v>
      </c>
      <c r="Y478" s="503">
        <f>VLOOKUP(Таблица3[[#This Row],[№ акта]],$AJ$1:$BJ$691,20,FALSE)</f>
        <v>23</v>
      </c>
      <c r="Z478" s="504">
        <f>VLOOKUP(Таблица3[[#This Row],[№ акта]],$AJ$1:$BJ$691,21,FALSE)</f>
        <v>46199</v>
      </c>
      <c r="AA478" s="516"/>
      <c r="AB478" s="504" t="str">
        <f>IF(VLOOKUP(Таблица3[[#This Row],[№ акта]],$AJ$1:$BJ$691,23,FALSE)&lt;&gt;0,VLOOKUP(Таблица3[[#This Row],[№ акта]],$AJ$1:$BJ$691,23,FALSE),"-")</f>
        <v>-</v>
      </c>
      <c r="AC47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78" s="506" t="s">
        <v>3230</v>
      </c>
      <c r="AE478" s="505">
        <v>489</v>
      </c>
      <c r="AF478" s="507">
        <v>46199</v>
      </c>
      <c r="AG478" s="505">
        <v>81</v>
      </c>
      <c r="AH478" s="505">
        <f>IFERROR(VLOOKUP(Таблица3[[#This Row],[№ акта]],'Степень зрелости 2026'!$H$12:$I$800,2,FALSE),)</f>
        <v>68</v>
      </c>
      <c r="AJ478" s="488">
        <v>549</v>
      </c>
      <c r="AK478" s="519">
        <v>46203</v>
      </c>
      <c r="AL478" s="488">
        <v>697</v>
      </c>
      <c r="AO478" s="488">
        <v>12730</v>
      </c>
      <c r="AP478" s="488">
        <v>11648</v>
      </c>
      <c r="AQ478" s="488" t="s">
        <v>3645</v>
      </c>
      <c r="AR478" s="488" t="s">
        <v>909</v>
      </c>
      <c r="AS478" s="488" t="s">
        <v>3122</v>
      </c>
      <c r="AT478" s="488" t="s">
        <v>1151</v>
      </c>
      <c r="AV478" s="488" t="s">
        <v>145</v>
      </c>
      <c r="AX478" s="488" t="s">
        <v>3122</v>
      </c>
      <c r="AY478" s="488" t="s">
        <v>901</v>
      </c>
      <c r="AZ478" s="488">
        <v>1.9</v>
      </c>
      <c r="BA478" s="488" t="s">
        <v>53</v>
      </c>
      <c r="BB478" s="488" t="s">
        <v>178</v>
      </c>
      <c r="BC478" s="488">
        <v>25</v>
      </c>
      <c r="BD478" s="519">
        <v>46201</v>
      </c>
      <c r="BG478" s="488" t="s">
        <v>724</v>
      </c>
      <c r="BH478" s="488" t="s">
        <v>2940</v>
      </c>
      <c r="BI478" s="488">
        <v>59</v>
      </c>
      <c r="BJ478" s="488">
        <v>59</v>
      </c>
      <c r="BK478" s="508"/>
    </row>
    <row r="479" spans="1:63" s="488" customFormat="1" ht="22.5" hidden="1" x14ac:dyDescent="0.25">
      <c r="A479" s="505"/>
      <c r="B479" s="511"/>
      <c r="C479" s="515">
        <f>Таблица3[[#This Row],[Степень зрелости вспом]]</f>
        <v>69</v>
      </c>
      <c r="D479" s="512">
        <v>632</v>
      </c>
      <c r="E479" s="513"/>
      <c r="F479" s="511"/>
      <c r="G479" s="511">
        <v>13370</v>
      </c>
      <c r="H479" s="514"/>
      <c r="I479" s="511">
        <v>12768.3</v>
      </c>
      <c r="J479" s="505" t="s">
        <v>3464</v>
      </c>
      <c r="K479" s="505" t="s">
        <v>909</v>
      </c>
      <c r="L479" s="505" t="s">
        <v>3115</v>
      </c>
      <c r="M479" s="505" t="s">
        <v>335</v>
      </c>
      <c r="N479" s="505"/>
      <c r="O479" s="505"/>
      <c r="P479" s="505"/>
      <c r="Q479" s="505"/>
      <c r="R479" s="505" t="s">
        <v>339</v>
      </c>
      <c r="S479" s="505"/>
      <c r="T479" s="482" t="str">
        <f>VLOOKUP(Таблица3[[#This Row],[№ акта]],$AJ$1:$BJ$691,15,FALSE)</f>
        <v>18 Агролидер</v>
      </c>
      <c r="U479" s="482" t="str">
        <f>VLOOKUP(Таблица3[[#This Row],[№ акта]],$AJ$1:$BJ$691,16,FALSE)</f>
        <v>Тристар</v>
      </c>
      <c r="V479" s="502">
        <f>VLOOKUP(Таблица3[[#This Row],[№ акта]],$AJ$1:$BJ$691,17,FALSE)</f>
        <v>3.4</v>
      </c>
      <c r="W479" s="502" t="str">
        <f>VLOOKUP(Таблица3[[#This Row],[№ акта]],$AJ$1:$BJ$691,18,FALSE)</f>
        <v>Агролидер (полив)</v>
      </c>
      <c r="X479" s="502" t="str">
        <f>VLOOKUP(Таблица3[[#This Row],[№ акта]],$AJ$1:$BJ$691,19,FALSE)</f>
        <v>полив</v>
      </c>
      <c r="Y479" s="503">
        <f>VLOOKUP(Таблица3[[#This Row],[№ акта]],$AJ$1:$BJ$691,20,FALSE)</f>
        <v>23</v>
      </c>
      <c r="Z479" s="504">
        <f>VLOOKUP(Таблица3[[#This Row],[№ акта]],$AJ$1:$BJ$691,21,FALSE)</f>
        <v>46199</v>
      </c>
      <c r="AA479" s="516"/>
      <c r="AB479" s="504" t="str">
        <f>IF(VLOOKUP(Таблица3[[#This Row],[№ акта]],$AJ$1:$BJ$691,23,FALSE)&lt;&gt;0,VLOOKUP(Таблица3[[#This Row],[№ акта]],$AJ$1:$BJ$691,23,FALSE),"-")</f>
        <v>-</v>
      </c>
      <c r="AC47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79" s="506" t="s">
        <v>3230</v>
      </c>
      <c r="AE479" s="505">
        <v>490</v>
      </c>
      <c r="AF479" s="507">
        <v>46199</v>
      </c>
      <c r="AG479" s="505">
        <v>80</v>
      </c>
      <c r="AH479" s="505">
        <f>IFERROR(VLOOKUP(Таблица3[[#This Row],[№ акта]],'Степень зрелости 2026'!$H$12:$I$800,2,FALSE),)</f>
        <v>69</v>
      </c>
      <c r="AJ479" s="488">
        <v>551</v>
      </c>
      <c r="AK479" s="519">
        <v>46203</v>
      </c>
      <c r="AL479" s="488">
        <v>699</v>
      </c>
      <c r="AO479" s="488">
        <v>13180</v>
      </c>
      <c r="AP479" s="488">
        <v>12059.7</v>
      </c>
      <c r="AQ479" s="488" t="s">
        <v>3645</v>
      </c>
      <c r="AR479" s="488" t="s">
        <v>909</v>
      </c>
      <c r="AS479" s="488" t="s">
        <v>3122</v>
      </c>
      <c r="AT479" s="488" t="s">
        <v>121</v>
      </c>
      <c r="AV479" s="488" t="s">
        <v>125</v>
      </c>
      <c r="AX479" s="488" t="s">
        <v>3122</v>
      </c>
      <c r="AY479" s="488" t="s">
        <v>901</v>
      </c>
      <c r="AZ479" s="488">
        <v>2</v>
      </c>
      <c r="BA479" s="488" t="s">
        <v>53</v>
      </c>
      <c r="BB479" s="488" t="s">
        <v>178</v>
      </c>
      <c r="BC479" s="488">
        <v>25</v>
      </c>
      <c r="BD479" s="519">
        <v>46201</v>
      </c>
      <c r="BG479" s="488" t="s">
        <v>724</v>
      </c>
      <c r="BH479" s="488" t="s">
        <v>2940</v>
      </c>
      <c r="BI479" s="488">
        <v>60</v>
      </c>
      <c r="BJ479" s="488">
        <v>60</v>
      </c>
      <c r="BK479" s="508"/>
    </row>
    <row r="480" spans="1:63" s="488" customFormat="1" ht="22.5" hidden="1" x14ac:dyDescent="0.25">
      <c r="A480" s="505"/>
      <c r="B480" s="511"/>
      <c r="C480" s="515">
        <f>Таблица3[[#This Row],[Степень зрелости вспом]]</f>
        <v>62</v>
      </c>
      <c r="D480" s="512">
        <v>633</v>
      </c>
      <c r="E480" s="513"/>
      <c r="F480" s="511"/>
      <c r="G480" s="511">
        <v>12440</v>
      </c>
      <c r="H480" s="514"/>
      <c r="I480" s="511">
        <v>11755.8</v>
      </c>
      <c r="J480" s="505" t="s">
        <v>3645</v>
      </c>
      <c r="K480" s="505" t="s">
        <v>901</v>
      </c>
      <c r="L480" s="505" t="s">
        <v>3120</v>
      </c>
      <c r="M480" s="505" t="s">
        <v>1151</v>
      </c>
      <c r="N480" s="505"/>
      <c r="O480" s="505"/>
      <c r="P480" s="505"/>
      <c r="Q480" s="505"/>
      <c r="R480" s="505" t="s">
        <v>145</v>
      </c>
      <c r="S480" s="505"/>
      <c r="T480" s="482" t="str">
        <f>VLOOKUP(Таблица3[[#This Row],[№ акта]],$AJ$1:$BJ$691,15,FALSE)</f>
        <v>2.2 Колос</v>
      </c>
      <c r="U480" s="482" t="str">
        <f>VLOOKUP(Таблица3[[#This Row],[№ акта]],$AJ$1:$BJ$691,16,FALSE)</f>
        <v>Фаворит</v>
      </c>
      <c r="V480" s="502">
        <f>VLOOKUP(Таблица3[[#This Row],[№ акта]],$AJ$1:$BJ$691,17,FALSE)</f>
        <v>5.9</v>
      </c>
      <c r="W480" s="502" t="str">
        <f>VLOOKUP(Таблица3[[#This Row],[№ акта]],$AJ$1:$BJ$691,18,FALSE)</f>
        <v>Колос (полив)</v>
      </c>
      <c r="X480" s="516" t="str">
        <f>VLOOKUP(Таблица3[[#This Row],[№ акта]],$AJ$1:$BJ$691,19,FALSE)</f>
        <v>полив</v>
      </c>
      <c r="Y480" s="503">
        <f>VLOOKUP(Таблица3[[#This Row],[№ акта]],$AJ$1:$BJ$691,20,FALSE)</f>
        <v>23</v>
      </c>
      <c r="Z480" s="507">
        <f>VLOOKUP(Таблица3[[#This Row],[№ акта]],$AJ$1:$BJ$691,21,FALSE)</f>
        <v>46199</v>
      </c>
      <c r="AA480" s="516"/>
      <c r="AB480" s="504" t="str">
        <f>IF(VLOOKUP(Таблица3[[#This Row],[№ акта]],$AJ$1:$BJ$691,23,FALSE)&lt;&gt;0,VLOOKUP(Таблица3[[#This Row],[№ акта]],$AJ$1:$BJ$691,23,FALSE),"-")</f>
        <v>-</v>
      </c>
      <c r="AC48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80" s="506" t="s">
        <v>2940</v>
      </c>
      <c r="AE480" s="505">
        <v>526</v>
      </c>
      <c r="AF480" s="507">
        <v>46199</v>
      </c>
      <c r="AG480" s="505">
        <v>7</v>
      </c>
      <c r="AH480" s="505">
        <f>IFERROR(VLOOKUP(Таблица3[[#This Row],[№ акта]],'Степень зрелости 2026'!$H$12:$I$800,2,FALSE),)</f>
        <v>62</v>
      </c>
      <c r="AJ480" s="488">
        <v>449</v>
      </c>
      <c r="AK480" s="519">
        <v>46198</v>
      </c>
      <c r="AL480" s="488">
        <v>578</v>
      </c>
      <c r="AO480" s="488">
        <v>4460</v>
      </c>
      <c r="AP480" s="488">
        <v>3857.9</v>
      </c>
      <c r="AQ480" s="488" t="s">
        <v>3375</v>
      </c>
      <c r="AR480" s="488" t="s">
        <v>909</v>
      </c>
      <c r="AS480" s="488" t="s">
        <v>864</v>
      </c>
      <c r="AT480" s="488" t="s">
        <v>737</v>
      </c>
      <c r="AV480" s="488" t="s">
        <v>738</v>
      </c>
      <c r="AX480" s="488" t="s">
        <v>2884</v>
      </c>
      <c r="AY480" s="488" t="s">
        <v>909</v>
      </c>
      <c r="AZ480" s="488">
        <v>1.2</v>
      </c>
      <c r="BA480" s="488" t="s">
        <v>2932</v>
      </c>
      <c r="BB480" s="488" t="s">
        <v>178</v>
      </c>
      <c r="BC480" s="488">
        <v>21</v>
      </c>
      <c r="BD480" s="519">
        <v>46197</v>
      </c>
      <c r="BG480" s="488" t="s">
        <v>420</v>
      </c>
      <c r="BH480" s="488" t="s">
        <v>2940</v>
      </c>
      <c r="BI480" s="488">
        <v>356</v>
      </c>
      <c r="BJ480" s="488">
        <v>67</v>
      </c>
      <c r="BK480" s="508"/>
    </row>
    <row r="481" spans="1:63" s="488" customFormat="1" ht="22.5" hidden="1" x14ac:dyDescent="0.25">
      <c r="A481" s="505"/>
      <c r="B481" s="511"/>
      <c r="C481" s="515">
        <f>Таблица3[[#This Row],[Степень зрелости вспом]]</f>
        <v>74</v>
      </c>
      <c r="D481" s="512">
        <v>634</v>
      </c>
      <c r="E481" s="513"/>
      <c r="F481" s="511"/>
      <c r="G481" s="511">
        <v>13240</v>
      </c>
      <c r="H481" s="514"/>
      <c r="I481" s="511">
        <v>12644.2</v>
      </c>
      <c r="J481" s="505" t="s">
        <v>3464</v>
      </c>
      <c r="K481" s="505" t="s">
        <v>909</v>
      </c>
      <c r="L481" s="505" t="s">
        <v>3115</v>
      </c>
      <c r="M481" s="505" t="s">
        <v>347</v>
      </c>
      <c r="N481" s="505"/>
      <c r="O481" s="505"/>
      <c r="P481" s="505"/>
      <c r="Q481" s="505"/>
      <c r="R481" s="505" t="s">
        <v>351</v>
      </c>
      <c r="S481" s="505"/>
      <c r="T481" s="482" t="str">
        <f>VLOOKUP(Таблица3[[#This Row],[№ акта]],$AJ$1:$BJ$691,15,FALSE)</f>
        <v>18 Агролидер</v>
      </c>
      <c r="U481" s="482" t="str">
        <f>VLOOKUP(Таблица3[[#This Row],[№ акта]],$AJ$1:$BJ$691,16,FALSE)</f>
        <v>Тристар</v>
      </c>
      <c r="V481" s="502">
        <f>VLOOKUP(Таблица3[[#This Row],[№ акта]],$AJ$1:$BJ$691,17,FALSE)</f>
        <v>3.5</v>
      </c>
      <c r="W481" s="502" t="str">
        <f>VLOOKUP(Таблица3[[#This Row],[№ акта]],$AJ$1:$BJ$691,18,FALSE)</f>
        <v>Агролидер (полив)</v>
      </c>
      <c r="X481" s="516" t="str">
        <f>VLOOKUP(Таблица3[[#This Row],[№ акта]],$AJ$1:$BJ$691,19,FALSE)</f>
        <v>полив</v>
      </c>
      <c r="Y481" s="503">
        <f>VLOOKUP(Таблица3[[#This Row],[№ акта]],$AJ$1:$BJ$691,20,FALSE)</f>
        <v>23</v>
      </c>
      <c r="Z481" s="507">
        <f>VLOOKUP(Таблица3[[#This Row],[№ акта]],$AJ$1:$BJ$691,21,FALSE)</f>
        <v>46199</v>
      </c>
      <c r="AA481" s="516"/>
      <c r="AB481" s="504" t="str">
        <f>IF(VLOOKUP(Таблица3[[#This Row],[№ акта]],$AJ$1:$BJ$691,23,FALSE)&lt;&gt;0,VLOOKUP(Таблица3[[#This Row],[№ акта]],$AJ$1:$BJ$691,23,FALSE),"-")</f>
        <v>-</v>
      </c>
      <c r="AC48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81" s="506" t="s">
        <v>3273</v>
      </c>
      <c r="AE481" s="505">
        <v>491</v>
      </c>
      <c r="AF481" s="507">
        <v>46199</v>
      </c>
      <c r="AG481" s="505">
        <v>82</v>
      </c>
      <c r="AH481" s="505">
        <f>IFERROR(VLOOKUP(Таблица3[[#This Row],[№ акта]],'Степень зрелости 2026'!$H$12:$I$800,2,FALSE),)</f>
        <v>74</v>
      </c>
      <c r="AJ481" s="488">
        <v>450</v>
      </c>
      <c r="AK481" s="519">
        <v>46198</v>
      </c>
      <c r="AL481" s="488">
        <v>579</v>
      </c>
      <c r="AO481" s="488">
        <v>17680</v>
      </c>
      <c r="AP481" s="488">
        <v>16000.4</v>
      </c>
      <c r="AQ481" s="488" t="s">
        <v>3375</v>
      </c>
      <c r="AR481" s="488" t="s">
        <v>909</v>
      </c>
      <c r="AS481" s="488" t="s">
        <v>864</v>
      </c>
      <c r="AT481" s="488" t="s">
        <v>121</v>
      </c>
      <c r="AV481" s="488" t="s">
        <v>125</v>
      </c>
      <c r="AX481" s="488" t="s">
        <v>2884</v>
      </c>
      <c r="AY481" s="488" t="s">
        <v>909</v>
      </c>
      <c r="AZ481" s="488">
        <v>4.5999999999999996</v>
      </c>
      <c r="BA481" s="488" t="s">
        <v>2932</v>
      </c>
      <c r="BB481" s="488" t="s">
        <v>178</v>
      </c>
      <c r="BC481" s="488">
        <v>21</v>
      </c>
      <c r="BD481" s="519">
        <v>46197</v>
      </c>
      <c r="BG481" s="488" t="s">
        <v>420</v>
      </c>
      <c r="BH481" s="488" t="s">
        <v>2940</v>
      </c>
      <c r="BI481" s="488">
        <v>357</v>
      </c>
      <c r="BJ481" s="488">
        <v>67</v>
      </c>
      <c r="BK481" s="508"/>
    </row>
    <row r="482" spans="1:63" s="488" customFormat="1" ht="22.5" hidden="1" x14ac:dyDescent="0.25">
      <c r="A482" s="505"/>
      <c r="B482" s="511"/>
      <c r="C482" s="515">
        <f>Таблица3[[#This Row],[Степень зрелости вспом]]</f>
        <v>74</v>
      </c>
      <c r="D482" s="512">
        <v>635</v>
      </c>
      <c r="E482" s="513"/>
      <c r="F482" s="511"/>
      <c r="G482" s="511">
        <v>12990</v>
      </c>
      <c r="H482" s="514"/>
      <c r="I482" s="511">
        <v>12080.7</v>
      </c>
      <c r="J482" s="505" t="s">
        <v>3464</v>
      </c>
      <c r="K482" s="505" t="s">
        <v>909</v>
      </c>
      <c r="L482" s="505" t="s">
        <v>3115</v>
      </c>
      <c r="M482" s="505" t="s">
        <v>311</v>
      </c>
      <c r="N482" s="505"/>
      <c r="O482" s="505"/>
      <c r="P482" s="505"/>
      <c r="Q482" s="505"/>
      <c r="R482" s="505" t="s">
        <v>315</v>
      </c>
      <c r="S482" s="505"/>
      <c r="T482" s="482" t="str">
        <f>VLOOKUP(Таблица3[[#This Row],[№ акта]],$AJ$1:$BJ$691,15,FALSE)</f>
        <v>18 Агролидер</v>
      </c>
      <c r="U482" s="482" t="str">
        <f>VLOOKUP(Таблица3[[#This Row],[№ акта]],$AJ$1:$BJ$691,16,FALSE)</f>
        <v>Тристар</v>
      </c>
      <c r="V482" s="502">
        <f>VLOOKUP(Таблица3[[#This Row],[№ акта]],$AJ$1:$BJ$691,17,FALSE)</f>
        <v>3.4</v>
      </c>
      <c r="W482" s="502" t="str">
        <f>VLOOKUP(Таблица3[[#This Row],[№ акта]],$AJ$1:$BJ$691,18,FALSE)</f>
        <v>Агролидер (полив)</v>
      </c>
      <c r="X482" s="516" t="str">
        <f>VLOOKUP(Таблица3[[#This Row],[№ акта]],$AJ$1:$BJ$691,19,FALSE)</f>
        <v>полив</v>
      </c>
      <c r="Y482" s="503">
        <f>VLOOKUP(Таблица3[[#This Row],[№ акта]],$AJ$1:$BJ$691,20,FALSE)</f>
        <v>23</v>
      </c>
      <c r="Z482" s="507">
        <f>VLOOKUP(Таблица3[[#This Row],[№ акта]],$AJ$1:$BJ$691,21,FALSE)</f>
        <v>46199</v>
      </c>
      <c r="AA482" s="516"/>
      <c r="AB482" s="504" t="str">
        <f>IF(VLOOKUP(Таблица3[[#This Row],[№ акта]],$AJ$1:$BJ$691,23,FALSE)&lt;&gt;0,VLOOKUP(Таблица3[[#This Row],[№ акта]],$AJ$1:$BJ$691,23,FALSE),"-")</f>
        <v>-</v>
      </c>
      <c r="AC48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82" s="506" t="s">
        <v>3273</v>
      </c>
      <c r="AE482" s="505">
        <v>492</v>
      </c>
      <c r="AF482" s="507">
        <v>46199</v>
      </c>
      <c r="AG482" s="505">
        <v>84</v>
      </c>
      <c r="AH482" s="505">
        <f>IFERROR(VLOOKUP(Таблица3[[#This Row],[№ акта]],'Степень зрелости 2026'!$H$12:$I$800,2,FALSE),)</f>
        <v>74</v>
      </c>
      <c r="AJ482" s="488">
        <v>453</v>
      </c>
      <c r="AK482" s="519">
        <v>46198</v>
      </c>
      <c r="AL482" s="488">
        <v>580</v>
      </c>
      <c r="AO482" s="488">
        <v>8800</v>
      </c>
      <c r="AP482" s="488">
        <v>7260</v>
      </c>
      <c r="AQ482" s="488" t="s">
        <v>3464</v>
      </c>
      <c r="AR482" s="488" t="s">
        <v>909</v>
      </c>
      <c r="AS482" s="488" t="s">
        <v>3115</v>
      </c>
      <c r="AT482" s="488" t="s">
        <v>3554</v>
      </c>
      <c r="AV482" s="488" t="s">
        <v>3555</v>
      </c>
      <c r="AX482" s="488" t="s">
        <v>3115</v>
      </c>
      <c r="AY482" s="488" t="s">
        <v>909</v>
      </c>
      <c r="AZ482" s="488">
        <v>1.3</v>
      </c>
      <c r="BA482" s="488" t="s">
        <v>52</v>
      </c>
      <c r="BB482" s="488" t="s">
        <v>178</v>
      </c>
      <c r="BC482" s="488">
        <v>21</v>
      </c>
      <c r="BD482" s="519">
        <v>46197</v>
      </c>
      <c r="BG482" s="488" t="s">
        <v>724</v>
      </c>
      <c r="BH482" s="488" t="s">
        <v>2940</v>
      </c>
      <c r="BI482" s="488">
        <v>62</v>
      </c>
      <c r="BJ482" s="488">
        <v>53</v>
      </c>
      <c r="BK482" s="508"/>
    </row>
    <row r="483" spans="1:63" s="488" customFormat="1" ht="22.5" hidden="1" x14ac:dyDescent="0.25">
      <c r="A483" s="505"/>
      <c r="B483" s="511"/>
      <c r="C483" s="515">
        <f>Таблица3[[#This Row],[Степень зрелости вспом]]</f>
        <v>52</v>
      </c>
      <c r="D483" s="512">
        <v>636</v>
      </c>
      <c r="E483" s="513"/>
      <c r="F483" s="511"/>
      <c r="G483" s="511">
        <v>14590</v>
      </c>
      <c r="H483" s="514"/>
      <c r="I483" s="511">
        <v>12620.4</v>
      </c>
      <c r="J483" s="505" t="s">
        <v>3645</v>
      </c>
      <c r="K483" s="505" t="s">
        <v>901</v>
      </c>
      <c r="L483" s="505" t="s">
        <v>3120</v>
      </c>
      <c r="M483" s="505" t="s">
        <v>3552</v>
      </c>
      <c r="N483" s="505"/>
      <c r="O483" s="505"/>
      <c r="P483" s="505"/>
      <c r="Q483" s="505"/>
      <c r="R483" s="505" t="s">
        <v>3553</v>
      </c>
      <c r="S483" s="505"/>
      <c r="T483" s="482" t="str">
        <f>VLOOKUP(Таблица3[[#This Row],[№ акта]],$AJ$1:$BJ$691,15,FALSE)</f>
        <v>2.2 Колос</v>
      </c>
      <c r="U483" s="482" t="str">
        <f>VLOOKUP(Таблица3[[#This Row],[№ акта]],$AJ$1:$BJ$691,16,FALSE)</f>
        <v>Фаворит</v>
      </c>
      <c r="V483" s="502">
        <f>VLOOKUP(Таблица3[[#This Row],[№ акта]],$AJ$1:$BJ$691,17,FALSE)</f>
        <v>7</v>
      </c>
      <c r="W483" s="502" t="str">
        <f>VLOOKUP(Таблица3[[#This Row],[№ акта]],$AJ$1:$BJ$691,18,FALSE)</f>
        <v>Колос (полив)</v>
      </c>
      <c r="X483" s="516" t="str">
        <f>VLOOKUP(Таблица3[[#This Row],[№ акта]],$AJ$1:$BJ$691,19,FALSE)</f>
        <v>полив</v>
      </c>
      <c r="Y483" s="503">
        <f>VLOOKUP(Таблица3[[#This Row],[№ акта]],$AJ$1:$BJ$691,20,FALSE)</f>
        <v>23</v>
      </c>
      <c r="Z483" s="507">
        <f>VLOOKUP(Таблица3[[#This Row],[№ акта]],$AJ$1:$BJ$691,21,FALSE)</f>
        <v>46199</v>
      </c>
      <c r="AA483" s="516"/>
      <c r="AB483" s="504" t="str">
        <f>IF(VLOOKUP(Таблица3[[#This Row],[№ акта]],$AJ$1:$BJ$691,23,FALSE)&lt;&gt;0,VLOOKUP(Таблица3[[#This Row],[№ акта]],$AJ$1:$BJ$691,23,FALSE),"-")</f>
        <v>-</v>
      </c>
      <c r="AC48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483" s="506" t="s">
        <v>2940</v>
      </c>
      <c r="AE483" s="505">
        <v>494</v>
      </c>
      <c r="AF483" s="507">
        <v>46200</v>
      </c>
      <c r="AG483" s="505">
        <v>11</v>
      </c>
      <c r="AH483" s="505">
        <f>IFERROR(VLOOKUP(Таблица3[[#This Row],[№ акта]],'Степень зрелости 2026'!$H$12:$I$800,2,FALSE),)</f>
        <v>52</v>
      </c>
      <c r="AJ483" s="488">
        <v>454</v>
      </c>
      <c r="AK483" s="519">
        <v>46198</v>
      </c>
      <c r="AL483" s="488">
        <v>581</v>
      </c>
      <c r="AO483" s="488">
        <v>17850</v>
      </c>
      <c r="AP483" s="488">
        <v>15440.3</v>
      </c>
      <c r="AQ483" s="488" t="s">
        <v>3375</v>
      </c>
      <c r="AR483" s="488" t="s">
        <v>909</v>
      </c>
      <c r="AS483" s="488" t="s">
        <v>864</v>
      </c>
      <c r="AT483" s="488" t="s">
        <v>1461</v>
      </c>
      <c r="AV483" s="488" t="s">
        <v>149</v>
      </c>
      <c r="AX483" s="488" t="s">
        <v>864</v>
      </c>
      <c r="AY483" s="488" t="s">
        <v>909</v>
      </c>
      <c r="AZ483" s="488">
        <v>4.5</v>
      </c>
      <c r="BA483" s="488" t="s">
        <v>2932</v>
      </c>
      <c r="BB483" s="488" t="s">
        <v>178</v>
      </c>
      <c r="BC483" s="488">
        <v>22</v>
      </c>
      <c r="BD483" s="519">
        <v>46198</v>
      </c>
      <c r="BG483" s="488" t="s">
        <v>420</v>
      </c>
      <c r="BH483" s="488" t="s">
        <v>2940</v>
      </c>
      <c r="BI483" s="488">
        <v>358</v>
      </c>
      <c r="BJ483" s="488">
        <v>67</v>
      </c>
      <c r="BK483" s="508"/>
    </row>
    <row r="484" spans="1:63" s="488" customFormat="1" ht="22.5" hidden="1" x14ac:dyDescent="0.25">
      <c r="A484" s="505"/>
      <c r="B484" s="511"/>
      <c r="C484" s="515">
        <f>Таблица3[[#This Row],[Степень зрелости вспом]]</f>
        <v>61</v>
      </c>
      <c r="D484" s="512">
        <v>637</v>
      </c>
      <c r="E484" s="513"/>
      <c r="F484" s="511"/>
      <c r="G484" s="511">
        <v>13020</v>
      </c>
      <c r="H484" s="514"/>
      <c r="I484" s="511">
        <v>11392.5</v>
      </c>
      <c r="J484" s="505" t="s">
        <v>3645</v>
      </c>
      <c r="K484" s="505" t="s">
        <v>901</v>
      </c>
      <c r="L484" s="505" t="s">
        <v>3120</v>
      </c>
      <c r="M484" s="505" t="s">
        <v>3623</v>
      </c>
      <c r="N484" s="505"/>
      <c r="O484" s="505"/>
      <c r="P484" s="505"/>
      <c r="Q484" s="505"/>
      <c r="R484" s="505" t="s">
        <v>3679</v>
      </c>
      <c r="S484" s="505"/>
      <c r="T484" s="482" t="str">
        <f>VLOOKUP(Таблица3[[#This Row],[№ акта]],$AJ$1:$BJ$691,15,FALSE)</f>
        <v>2.2 Колос</v>
      </c>
      <c r="U484" s="482" t="str">
        <f>VLOOKUP(Таблица3[[#This Row],[№ акта]],$AJ$1:$BJ$691,16,FALSE)</f>
        <v>Фаворит</v>
      </c>
      <c r="V484" s="502">
        <f>VLOOKUP(Таблица3[[#This Row],[№ акта]],$AJ$1:$BJ$691,17,FALSE)</f>
        <v>6.2</v>
      </c>
      <c r="W484" s="502" t="str">
        <f>VLOOKUP(Таблица3[[#This Row],[№ акта]],$AJ$1:$BJ$691,18,FALSE)</f>
        <v>Колос (полив)</v>
      </c>
      <c r="X484" s="516" t="str">
        <f>VLOOKUP(Таблица3[[#This Row],[№ акта]],$AJ$1:$BJ$691,19,FALSE)</f>
        <v>полив</v>
      </c>
      <c r="Y484" s="503">
        <f>VLOOKUP(Таблица3[[#This Row],[№ акта]],$AJ$1:$BJ$691,20,FALSE)</f>
        <v>23</v>
      </c>
      <c r="Z484" s="507">
        <f>VLOOKUP(Таблица3[[#This Row],[№ акта]],$AJ$1:$BJ$691,21,FALSE)</f>
        <v>46199</v>
      </c>
      <c r="AA484" s="516"/>
      <c r="AB484" s="504" t="str">
        <f>IF(VLOOKUP(Таблица3[[#This Row],[№ акта]],$AJ$1:$BJ$691,23,FALSE)&lt;&gt;0,VLOOKUP(Таблица3[[#This Row],[№ акта]],$AJ$1:$BJ$691,23,FALSE),"-")</f>
        <v>-</v>
      </c>
      <c r="AC48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84" s="506" t="s">
        <v>2940</v>
      </c>
      <c r="AE484" s="505">
        <v>495</v>
      </c>
      <c r="AF484" s="507">
        <v>46200</v>
      </c>
      <c r="AG484" s="505">
        <v>12</v>
      </c>
      <c r="AH484" s="505">
        <f>IFERROR(VLOOKUP(Таблица3[[#This Row],[№ акта]],'Степень зрелости 2026'!$H$12:$I$800,2,FALSE),)</f>
        <v>61</v>
      </c>
      <c r="AJ484" s="488">
        <v>451</v>
      </c>
      <c r="AK484" s="519">
        <v>46198</v>
      </c>
      <c r="AL484" s="488">
        <v>582</v>
      </c>
      <c r="AO484" s="488">
        <v>4430</v>
      </c>
      <c r="AP484" s="488">
        <v>4053.5</v>
      </c>
      <c r="AQ484" s="488" t="s">
        <v>3375</v>
      </c>
      <c r="AR484" s="488" t="s">
        <v>909</v>
      </c>
      <c r="AS484" s="488" t="s">
        <v>864</v>
      </c>
      <c r="AT484" s="488" t="s">
        <v>737</v>
      </c>
      <c r="AV484" s="488" t="s">
        <v>738</v>
      </c>
      <c r="AX484" s="488" t="s">
        <v>2884</v>
      </c>
      <c r="AY484" s="488" t="s">
        <v>909</v>
      </c>
      <c r="AZ484" s="488">
        <v>1.2</v>
      </c>
      <c r="BA484" s="488" t="s">
        <v>2932</v>
      </c>
      <c r="BB484" s="488" t="s">
        <v>178</v>
      </c>
      <c r="BC484" s="488">
        <v>21</v>
      </c>
      <c r="BD484" s="519">
        <v>46197</v>
      </c>
      <c r="BG484" s="488" t="s">
        <v>724</v>
      </c>
      <c r="BH484" s="488" t="s">
        <v>2940</v>
      </c>
      <c r="BI484" s="488">
        <v>359</v>
      </c>
      <c r="BJ484" s="488">
        <v>61</v>
      </c>
      <c r="BK484" s="508"/>
    </row>
    <row r="485" spans="1:63" s="488" customFormat="1" ht="22.5" hidden="1" x14ac:dyDescent="0.25">
      <c r="A485" s="505"/>
      <c r="B485" s="511"/>
      <c r="C485" s="515">
        <f>Таблица3[[#This Row],[Степень зрелости вспом]]</f>
        <v>64</v>
      </c>
      <c r="D485" s="512">
        <v>638</v>
      </c>
      <c r="E485" s="513"/>
      <c r="F485" s="511"/>
      <c r="G485" s="511">
        <v>12660</v>
      </c>
      <c r="H485" s="514"/>
      <c r="I485" s="511">
        <v>10950.9</v>
      </c>
      <c r="J485" s="505" t="s">
        <v>3645</v>
      </c>
      <c r="K485" s="505" t="s">
        <v>901</v>
      </c>
      <c r="L485" s="505" t="s">
        <v>3120</v>
      </c>
      <c r="M485" s="505" t="s">
        <v>1461</v>
      </c>
      <c r="N485" s="505"/>
      <c r="O485" s="505"/>
      <c r="P485" s="505"/>
      <c r="Q485" s="505"/>
      <c r="R485" s="505" t="s">
        <v>149</v>
      </c>
      <c r="S485" s="505"/>
      <c r="T485" s="482" t="str">
        <f>VLOOKUP(Таблица3[[#This Row],[№ акта]],$AJ$1:$BJ$691,15,FALSE)</f>
        <v>2.2 Колос</v>
      </c>
      <c r="U485" s="482" t="str">
        <f>VLOOKUP(Таблица3[[#This Row],[№ акта]],$AJ$1:$BJ$691,16,FALSE)</f>
        <v>Фаворит</v>
      </c>
      <c r="V485" s="502">
        <f>VLOOKUP(Таблица3[[#This Row],[№ акта]],$AJ$1:$BJ$691,17,FALSE)</f>
        <v>6.1</v>
      </c>
      <c r="W485" s="502" t="str">
        <f>VLOOKUP(Таблица3[[#This Row],[№ акта]],$AJ$1:$BJ$691,18,FALSE)</f>
        <v>Колос (полив)</v>
      </c>
      <c r="X485" s="516" t="str">
        <f>VLOOKUP(Таблица3[[#This Row],[№ акта]],$AJ$1:$BJ$691,19,FALSE)</f>
        <v>полив</v>
      </c>
      <c r="Y485" s="503">
        <f>VLOOKUP(Таблица3[[#This Row],[№ акта]],$AJ$1:$BJ$691,20,FALSE)</f>
        <v>23</v>
      </c>
      <c r="Z485" s="507">
        <f>VLOOKUP(Таблица3[[#This Row],[№ акта]],$AJ$1:$BJ$691,21,FALSE)</f>
        <v>46199</v>
      </c>
      <c r="AA485" s="516"/>
      <c r="AB485" s="504" t="str">
        <f>IF(VLOOKUP(Таблица3[[#This Row],[№ акта]],$AJ$1:$BJ$691,23,FALSE)&lt;&gt;0,VLOOKUP(Таблица3[[#This Row],[№ акта]],$AJ$1:$BJ$691,23,FALSE),"-")</f>
        <v>-</v>
      </c>
      <c r="AC48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85" s="506" t="s">
        <v>3230</v>
      </c>
      <c r="AE485" s="505">
        <v>496</v>
      </c>
      <c r="AF485" s="507">
        <v>46200</v>
      </c>
      <c r="AG485" s="505">
        <v>13</v>
      </c>
      <c r="AH485" s="505">
        <f>IFERROR(VLOOKUP(Таблица3[[#This Row],[№ акта]],'Степень зрелости 2026'!$H$12:$I$800,2,FALSE),)</f>
        <v>64</v>
      </c>
      <c r="AJ485" s="488">
        <v>452</v>
      </c>
      <c r="AK485" s="519">
        <v>46198</v>
      </c>
      <c r="AL485" s="488">
        <v>583</v>
      </c>
      <c r="AO485" s="488">
        <v>8530</v>
      </c>
      <c r="AP485" s="488">
        <v>7207.9</v>
      </c>
      <c r="AQ485" s="488" t="s">
        <v>3464</v>
      </c>
      <c r="AR485" s="488" t="s">
        <v>909</v>
      </c>
      <c r="AS485" s="488" t="s">
        <v>3115</v>
      </c>
      <c r="AT485" s="488" t="s">
        <v>239</v>
      </c>
      <c r="AV485" s="488" t="s">
        <v>243</v>
      </c>
      <c r="AX485" s="488" t="s">
        <v>3115</v>
      </c>
      <c r="AY485" s="488" t="s">
        <v>909</v>
      </c>
      <c r="AZ485" s="488">
        <v>1.2</v>
      </c>
      <c r="BA485" s="488" t="s">
        <v>52</v>
      </c>
      <c r="BB485" s="488" t="s">
        <v>178</v>
      </c>
      <c r="BC485" s="488">
        <v>21</v>
      </c>
      <c r="BD485" s="519">
        <v>46197</v>
      </c>
      <c r="BG485" s="488" t="s">
        <v>724</v>
      </c>
      <c r="BH485" s="488" t="s">
        <v>2940</v>
      </c>
      <c r="BI485" s="488">
        <v>63</v>
      </c>
      <c r="BJ485" s="488">
        <v>56</v>
      </c>
      <c r="BK485" s="508"/>
    </row>
    <row r="486" spans="1:63" s="488" customFormat="1" ht="22.5" hidden="1" x14ac:dyDescent="0.25">
      <c r="A486" s="505"/>
      <c r="B486" s="511"/>
      <c r="C486" s="515">
        <f>Таблица3[[#This Row],[Степень зрелости вспом]]</f>
        <v>69</v>
      </c>
      <c r="D486" s="512">
        <v>639</v>
      </c>
      <c r="E486" s="513"/>
      <c r="F486" s="511"/>
      <c r="G486" s="511">
        <v>8810</v>
      </c>
      <c r="H486" s="514"/>
      <c r="I486" s="511">
        <v>7532.5</v>
      </c>
      <c r="J486" s="505" t="s">
        <v>3645</v>
      </c>
      <c r="K486" s="505" t="s">
        <v>901</v>
      </c>
      <c r="L486" s="505" t="s">
        <v>3120</v>
      </c>
      <c r="M486" s="505" t="s">
        <v>2967</v>
      </c>
      <c r="N486" s="505"/>
      <c r="O486" s="505"/>
      <c r="P486" s="505"/>
      <c r="Q486" s="505"/>
      <c r="R486" s="505" t="s">
        <v>1810</v>
      </c>
      <c r="S486" s="505"/>
      <c r="T486" s="482" t="str">
        <f>VLOOKUP(Таблица3[[#This Row],[№ акта]],$AJ$1:$BJ$691,15,FALSE)</f>
        <v>2.2 Колос</v>
      </c>
      <c r="U486" s="482" t="str">
        <f>VLOOKUP(Таблица3[[#This Row],[№ акта]],$AJ$1:$BJ$691,16,FALSE)</f>
        <v>Фаворит</v>
      </c>
      <c r="V486" s="502">
        <f>VLOOKUP(Таблица3[[#This Row],[№ акта]],$AJ$1:$BJ$691,17,FALSE)</f>
        <v>4.2</v>
      </c>
      <c r="W486" s="502" t="str">
        <f>VLOOKUP(Таблица3[[#This Row],[№ акта]],$AJ$1:$BJ$691,18,FALSE)</f>
        <v>Колос (полив)</v>
      </c>
      <c r="X486" s="516" t="str">
        <f>VLOOKUP(Таблица3[[#This Row],[№ акта]],$AJ$1:$BJ$691,19,FALSE)</f>
        <v>полив</v>
      </c>
      <c r="Y486" s="503">
        <f>VLOOKUP(Таблица3[[#This Row],[№ акта]],$AJ$1:$BJ$691,20,FALSE)</f>
        <v>24</v>
      </c>
      <c r="Z486" s="507">
        <f>VLOOKUP(Таблица3[[#This Row],[№ акта]],$AJ$1:$BJ$691,21,FALSE)</f>
        <v>46200</v>
      </c>
      <c r="AA486" s="516"/>
      <c r="AB486" s="504" t="str">
        <f>IF(VLOOKUP(Таблица3[[#This Row],[№ акта]],$AJ$1:$BJ$691,23,FALSE)&lt;&gt;0,VLOOKUP(Таблица3[[#This Row],[№ акта]],$AJ$1:$BJ$691,23,FALSE),"-")</f>
        <v>-</v>
      </c>
      <c r="AC48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86" s="506" t="s">
        <v>3230</v>
      </c>
      <c r="AE486" s="505">
        <v>497</v>
      </c>
      <c r="AF486" s="507">
        <v>46200</v>
      </c>
      <c r="AG486" s="505">
        <v>16</v>
      </c>
      <c r="AH486" s="505">
        <f>IFERROR(VLOOKUP(Таблица3[[#This Row],[№ акта]],'Степень зрелости 2026'!$H$12:$I$800,2,FALSE),)</f>
        <v>69</v>
      </c>
      <c r="AJ486" s="488">
        <v>455</v>
      </c>
      <c r="AK486" s="519">
        <v>46198</v>
      </c>
      <c r="AL486" s="488">
        <v>584</v>
      </c>
      <c r="AO486" s="488">
        <v>18010</v>
      </c>
      <c r="AP486" s="488">
        <v>16659.2</v>
      </c>
      <c r="AQ486" s="488" t="s">
        <v>3375</v>
      </c>
      <c r="AR486" s="488" t="s">
        <v>909</v>
      </c>
      <c r="AS486" s="488" t="s">
        <v>864</v>
      </c>
      <c r="AT486" s="488" t="s">
        <v>121</v>
      </c>
      <c r="AV486" s="488" t="s">
        <v>125</v>
      </c>
      <c r="AX486" s="488" t="s">
        <v>864</v>
      </c>
      <c r="AY486" s="488" t="s">
        <v>909</v>
      </c>
      <c r="AZ486" s="488">
        <v>4.5</v>
      </c>
      <c r="BA486" s="488" t="s">
        <v>2932</v>
      </c>
      <c r="BB486" s="488" t="s">
        <v>178</v>
      </c>
      <c r="BC486" s="488">
        <v>22</v>
      </c>
      <c r="BD486" s="519">
        <v>46198</v>
      </c>
      <c r="BG486" s="488" t="s">
        <v>724</v>
      </c>
      <c r="BH486" s="488" t="s">
        <v>2940</v>
      </c>
      <c r="BI486" s="488">
        <v>360</v>
      </c>
      <c r="BJ486" s="488">
        <v>63</v>
      </c>
      <c r="BK486" s="508"/>
    </row>
    <row r="487" spans="1:63" s="488" customFormat="1" ht="22.5" hidden="1" x14ac:dyDescent="0.25">
      <c r="A487" s="505"/>
      <c r="B487" s="511"/>
      <c r="C487" s="515">
        <f>Таблица3[[#This Row],[Степень зрелости вспом]]</f>
        <v>55</v>
      </c>
      <c r="D487" s="512">
        <v>640</v>
      </c>
      <c r="E487" s="513"/>
      <c r="F487" s="511"/>
      <c r="G487" s="511">
        <v>13240</v>
      </c>
      <c r="H487" s="514"/>
      <c r="I487" s="511">
        <v>11717.4</v>
      </c>
      <c r="J487" s="505" t="s">
        <v>3645</v>
      </c>
      <c r="K487" s="505" t="s">
        <v>901</v>
      </c>
      <c r="L487" s="505" t="s">
        <v>3120</v>
      </c>
      <c r="M487" s="505" t="s">
        <v>121</v>
      </c>
      <c r="N487" s="505"/>
      <c r="O487" s="505"/>
      <c r="P487" s="505"/>
      <c r="Q487" s="505"/>
      <c r="R487" s="505" t="s">
        <v>125</v>
      </c>
      <c r="S487" s="505"/>
      <c r="T487" s="482" t="str">
        <f>VLOOKUP(Таблица3[[#This Row],[№ акта]],$AJ$1:$BJ$691,15,FALSE)</f>
        <v>2.2 Колос</v>
      </c>
      <c r="U487" s="482" t="str">
        <f>VLOOKUP(Таблица3[[#This Row],[№ акта]],$AJ$1:$BJ$691,16,FALSE)</f>
        <v>Фаворит</v>
      </c>
      <c r="V487" s="502">
        <f>VLOOKUP(Таблица3[[#This Row],[№ акта]],$AJ$1:$BJ$691,17,FALSE)</f>
        <v>6.3</v>
      </c>
      <c r="W487" s="502" t="str">
        <f>VLOOKUP(Таблица3[[#This Row],[№ акта]],$AJ$1:$BJ$691,18,FALSE)</f>
        <v>Колос (полив)</v>
      </c>
      <c r="X487" s="516" t="str">
        <f>VLOOKUP(Таблица3[[#This Row],[№ акта]],$AJ$1:$BJ$691,19,FALSE)</f>
        <v>полив</v>
      </c>
      <c r="Y487" s="503">
        <f>VLOOKUP(Таблица3[[#This Row],[№ акта]],$AJ$1:$BJ$691,20,FALSE)</f>
        <v>24</v>
      </c>
      <c r="Z487" s="507">
        <f>VLOOKUP(Таблица3[[#This Row],[№ акта]],$AJ$1:$BJ$691,21,FALSE)</f>
        <v>46200</v>
      </c>
      <c r="AA487" s="516"/>
      <c r="AB487" s="504" t="str">
        <f>IF(VLOOKUP(Таблица3[[#This Row],[№ акта]],$AJ$1:$BJ$691,23,FALSE)&lt;&gt;0,VLOOKUP(Таблица3[[#This Row],[№ акта]],$AJ$1:$BJ$691,23,FALSE),"-")</f>
        <v>-</v>
      </c>
      <c r="AC48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87" s="506" t="s">
        <v>2940</v>
      </c>
      <c r="AE487" s="505">
        <v>498</v>
      </c>
      <c r="AF487" s="507">
        <v>46200</v>
      </c>
      <c r="AG487" s="505">
        <v>14</v>
      </c>
      <c r="AH487" s="505">
        <f>IFERROR(VLOOKUP(Таблица3[[#This Row],[№ акта]],'Степень зрелости 2026'!$H$12:$I$800,2,FALSE),)</f>
        <v>55</v>
      </c>
      <c r="AJ487" s="488">
        <v>456</v>
      </c>
      <c r="AK487" s="519">
        <v>46198</v>
      </c>
      <c r="AL487" s="488">
        <v>585</v>
      </c>
      <c r="AO487" s="488">
        <v>8520</v>
      </c>
      <c r="AP487" s="488">
        <v>7199.4</v>
      </c>
      <c r="AQ487" s="488" t="s">
        <v>3464</v>
      </c>
      <c r="AR487" s="488" t="s">
        <v>909</v>
      </c>
      <c r="AS487" s="488" t="s">
        <v>3115</v>
      </c>
      <c r="AT487" s="488" t="s">
        <v>335</v>
      </c>
      <c r="AV487" s="488" t="s">
        <v>339</v>
      </c>
      <c r="AX487" s="488" t="s">
        <v>3115</v>
      </c>
      <c r="AY487" s="488" t="s">
        <v>909</v>
      </c>
      <c r="AZ487" s="488">
        <v>1.3</v>
      </c>
      <c r="BA487" s="488" t="s">
        <v>52</v>
      </c>
      <c r="BB487" s="488" t="s">
        <v>178</v>
      </c>
      <c r="BC487" s="488">
        <v>22</v>
      </c>
      <c r="BD487" s="519">
        <v>46198</v>
      </c>
      <c r="BG487" s="488" t="s">
        <v>724</v>
      </c>
      <c r="BH487" s="488" t="s">
        <v>2940</v>
      </c>
      <c r="BI487" s="488">
        <v>64</v>
      </c>
      <c r="BJ487" s="488">
        <v>55</v>
      </c>
      <c r="BK487" s="508"/>
    </row>
    <row r="488" spans="1:63" s="488" customFormat="1" ht="22.5" hidden="1" x14ac:dyDescent="0.25">
      <c r="A488" s="505"/>
      <c r="B488" s="511"/>
      <c r="C488" s="515">
        <f>Таблица3[[#This Row],[Степень зрелости вспом]]</f>
        <v>61</v>
      </c>
      <c r="D488" s="512">
        <v>642</v>
      </c>
      <c r="E488" s="513"/>
      <c r="F488" s="511"/>
      <c r="G488" s="511">
        <v>13360</v>
      </c>
      <c r="H488" s="514"/>
      <c r="I488" s="511">
        <v>11289.2</v>
      </c>
      <c r="J488" s="505" t="s">
        <v>3645</v>
      </c>
      <c r="K488" s="505" t="s">
        <v>901</v>
      </c>
      <c r="L488" s="505" t="s">
        <v>3120</v>
      </c>
      <c r="M488" s="505" t="s">
        <v>3377</v>
      </c>
      <c r="N488" s="505"/>
      <c r="O488" s="505"/>
      <c r="P488" s="505"/>
      <c r="Q488" s="505"/>
      <c r="R488" s="505" t="s">
        <v>3196</v>
      </c>
      <c r="S488" s="505"/>
      <c r="T488" s="482" t="str">
        <f>VLOOKUP(Таблица3[[#This Row],[№ акта]],$AJ$1:$BJ$691,15,FALSE)</f>
        <v>2.2 Колос</v>
      </c>
      <c r="U488" s="482" t="str">
        <f>VLOOKUP(Таблица3[[#This Row],[№ акта]],$AJ$1:$BJ$691,16,FALSE)</f>
        <v>Фаворит</v>
      </c>
      <c r="V488" s="502">
        <f>VLOOKUP(Таблица3[[#This Row],[№ акта]],$AJ$1:$BJ$691,17,FALSE)</f>
        <v>6.4</v>
      </c>
      <c r="W488" s="502" t="str">
        <f>VLOOKUP(Таблица3[[#This Row],[№ акта]],$AJ$1:$BJ$691,18,FALSE)</f>
        <v>Колос (полив)</v>
      </c>
      <c r="X488" s="516" t="str">
        <f>VLOOKUP(Таблица3[[#This Row],[№ акта]],$AJ$1:$BJ$691,19,FALSE)</f>
        <v>полив</v>
      </c>
      <c r="Y488" s="503">
        <f>VLOOKUP(Таблица3[[#This Row],[№ акта]],$AJ$1:$BJ$691,20,FALSE)</f>
        <v>24</v>
      </c>
      <c r="Z488" s="507">
        <f>VLOOKUP(Таблица3[[#This Row],[№ акта]],$AJ$1:$BJ$691,21,FALSE)</f>
        <v>46200</v>
      </c>
      <c r="AA488" s="516"/>
      <c r="AB488" s="504" t="str">
        <f>IF(VLOOKUP(Таблица3[[#This Row],[№ акта]],$AJ$1:$BJ$691,23,FALSE)&lt;&gt;0,VLOOKUP(Таблица3[[#This Row],[№ акта]],$AJ$1:$BJ$691,23,FALSE),"-")</f>
        <v>-</v>
      </c>
      <c r="AC48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88" s="506" t="s">
        <v>2940</v>
      </c>
      <c r="AE488" s="505">
        <v>499</v>
      </c>
      <c r="AF488" s="507">
        <v>46200</v>
      </c>
      <c r="AG488" s="505">
        <v>15</v>
      </c>
      <c r="AH488" s="505">
        <f>IFERROR(VLOOKUP(Таблица3[[#This Row],[№ акта]],'Степень зрелости 2026'!$H$12:$I$800,2,FALSE),)</f>
        <v>61</v>
      </c>
      <c r="AJ488" s="488">
        <v>457</v>
      </c>
      <c r="AK488" s="519">
        <v>46198</v>
      </c>
      <c r="AL488" s="488">
        <v>587</v>
      </c>
      <c r="AO488" s="488">
        <v>13630</v>
      </c>
      <c r="AP488" s="488">
        <v>12471.4</v>
      </c>
      <c r="AQ488" s="488" t="s">
        <v>3375</v>
      </c>
      <c r="AR488" s="488" t="s">
        <v>909</v>
      </c>
      <c r="AS488" s="488" t="s">
        <v>864</v>
      </c>
      <c r="AT488" s="488" t="s">
        <v>127</v>
      </c>
      <c r="AV488" s="488" t="s">
        <v>131</v>
      </c>
      <c r="AX488" s="488" t="s">
        <v>2884</v>
      </c>
      <c r="AY488" s="488" t="s">
        <v>909</v>
      </c>
      <c r="AZ488" s="488">
        <v>2.1</v>
      </c>
      <c r="BA488" s="488" t="s">
        <v>2932</v>
      </c>
      <c r="BB488" s="488" t="s">
        <v>178</v>
      </c>
      <c r="BC488" s="488">
        <v>22</v>
      </c>
      <c r="BD488" s="519">
        <v>46198</v>
      </c>
      <c r="BG488" s="488" t="s">
        <v>724</v>
      </c>
      <c r="BH488" s="488" t="s">
        <v>2940</v>
      </c>
      <c r="BI488" s="488">
        <v>361</v>
      </c>
      <c r="BJ488" s="488">
        <v>62</v>
      </c>
      <c r="BK488" s="508"/>
    </row>
    <row r="489" spans="1:63" s="488" customFormat="1" ht="22.5" hidden="1" x14ac:dyDescent="0.25">
      <c r="A489" s="505"/>
      <c r="B489" s="511"/>
      <c r="C489" s="515">
        <f>Таблица3[[#This Row],[Степень зрелости вспом]]</f>
        <v>77</v>
      </c>
      <c r="D489" s="512">
        <v>643</v>
      </c>
      <c r="E489" s="513"/>
      <c r="F489" s="511"/>
      <c r="G489" s="511">
        <v>14600</v>
      </c>
      <c r="H489" s="514"/>
      <c r="I489" s="511">
        <v>12921</v>
      </c>
      <c r="J489" s="505" t="s">
        <v>3645</v>
      </c>
      <c r="K489" s="505" t="s">
        <v>901</v>
      </c>
      <c r="L489" s="505" t="s">
        <v>3120</v>
      </c>
      <c r="M489" s="505" t="s">
        <v>133</v>
      </c>
      <c r="N489" s="505"/>
      <c r="O489" s="505"/>
      <c r="P489" s="505"/>
      <c r="Q489" s="505"/>
      <c r="R489" s="505" t="s">
        <v>137</v>
      </c>
      <c r="S489" s="505"/>
      <c r="T489" s="482" t="str">
        <f>VLOOKUP(Таблица3[[#This Row],[№ акта]],$AJ$1:$BJ$691,15,FALSE)</f>
        <v>2.2 Колос</v>
      </c>
      <c r="U489" s="482" t="str">
        <f>VLOOKUP(Таблица3[[#This Row],[№ акта]],$AJ$1:$BJ$691,16,FALSE)</f>
        <v>Фаворит</v>
      </c>
      <c r="V489" s="502">
        <f>VLOOKUP(Таблица3[[#This Row],[№ акта]],$AJ$1:$BJ$691,17,FALSE)</f>
        <v>7</v>
      </c>
      <c r="W489" s="502" t="str">
        <f>VLOOKUP(Таблица3[[#This Row],[№ акта]],$AJ$1:$BJ$691,18,FALSE)</f>
        <v>Колос (полив)</v>
      </c>
      <c r="X489" s="516" t="str">
        <f>VLOOKUP(Таблица3[[#This Row],[№ акта]],$AJ$1:$BJ$691,19,FALSE)</f>
        <v>полив</v>
      </c>
      <c r="Y489" s="503">
        <f>VLOOKUP(Таблица3[[#This Row],[№ акта]],$AJ$1:$BJ$691,20,FALSE)</f>
        <v>24</v>
      </c>
      <c r="Z489" s="507">
        <f>VLOOKUP(Таблица3[[#This Row],[№ акта]],$AJ$1:$BJ$691,21,FALSE)</f>
        <v>46200</v>
      </c>
      <c r="AA489" s="516"/>
      <c r="AB489" s="504" t="str">
        <f>IF(VLOOKUP(Таблица3[[#This Row],[№ акта]],$AJ$1:$BJ$691,23,FALSE)&lt;&gt;0,VLOOKUP(Таблица3[[#This Row],[№ акта]],$AJ$1:$BJ$691,23,FALSE),"-")</f>
        <v>-</v>
      </c>
      <c r="AC48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89" s="506" t="s">
        <v>3273</v>
      </c>
      <c r="AE489" s="505">
        <v>500</v>
      </c>
      <c r="AF489" s="507">
        <v>46200</v>
      </c>
      <c r="AG489" s="505">
        <v>17</v>
      </c>
      <c r="AH489" s="505">
        <f>IFERROR(VLOOKUP(Таблица3[[#This Row],[№ акта]],'Степень зрелости 2026'!$H$12:$I$800,2,FALSE),)</f>
        <v>77</v>
      </c>
      <c r="AJ489" s="488">
        <v>458</v>
      </c>
      <c r="AK489" s="519">
        <v>46198</v>
      </c>
      <c r="AL489" s="488">
        <v>588</v>
      </c>
      <c r="AO489" s="488">
        <v>8710</v>
      </c>
      <c r="AP489" s="488">
        <v>7882.5</v>
      </c>
      <c r="AQ489" s="488" t="s">
        <v>3464</v>
      </c>
      <c r="AR489" s="488" t="s">
        <v>909</v>
      </c>
      <c r="AS489" s="488" t="s">
        <v>3115</v>
      </c>
      <c r="AT489" s="488" t="s">
        <v>195</v>
      </c>
      <c r="AV489" s="488" t="s">
        <v>199</v>
      </c>
      <c r="AX489" s="488" t="s">
        <v>3115</v>
      </c>
      <c r="AY489" s="488" t="s">
        <v>909</v>
      </c>
      <c r="AZ489" s="488">
        <v>1.3</v>
      </c>
      <c r="BA489" s="488" t="s">
        <v>52</v>
      </c>
      <c r="BB489" s="488" t="s">
        <v>178</v>
      </c>
      <c r="BC489" s="488">
        <v>22</v>
      </c>
      <c r="BD489" s="519">
        <v>46198</v>
      </c>
      <c r="BG489" s="488" t="s">
        <v>724</v>
      </c>
      <c r="BH489" s="488" t="s">
        <v>2940</v>
      </c>
      <c r="BI489" s="488">
        <v>66</v>
      </c>
      <c r="BJ489" s="488">
        <v>54</v>
      </c>
      <c r="BK489" s="508"/>
    </row>
    <row r="490" spans="1:63" s="488" customFormat="1" ht="22.5" hidden="1" x14ac:dyDescent="0.25">
      <c r="A490" s="505"/>
      <c r="B490" s="511"/>
      <c r="C490" s="515">
        <f>Таблица3[[#This Row],[Степень зрелости вспом]]</f>
        <v>75</v>
      </c>
      <c r="D490" s="512">
        <v>644</v>
      </c>
      <c r="E490" s="513"/>
      <c r="F490" s="511"/>
      <c r="G490" s="511">
        <v>15280</v>
      </c>
      <c r="H490" s="514"/>
      <c r="I490" s="511">
        <v>14439.6</v>
      </c>
      <c r="J490" s="505" t="s">
        <v>3464</v>
      </c>
      <c r="K490" s="505" t="s">
        <v>909</v>
      </c>
      <c r="L490" s="505" t="s">
        <v>3115</v>
      </c>
      <c r="M490" s="505" t="s">
        <v>239</v>
      </c>
      <c r="N490" s="505"/>
      <c r="O490" s="505"/>
      <c r="P490" s="505"/>
      <c r="Q490" s="505"/>
      <c r="R490" s="505" t="s">
        <v>243</v>
      </c>
      <c r="S490" s="505"/>
      <c r="T490" s="482" t="str">
        <f>VLOOKUP(Таблица3[[#This Row],[№ акта]],$AJ$1:$BJ$691,15,FALSE)</f>
        <v>18 Агролидер</v>
      </c>
      <c r="U490" s="482" t="str">
        <f>VLOOKUP(Таблица3[[#This Row],[№ акта]],$AJ$1:$BJ$691,16,FALSE)</f>
        <v>Тристар</v>
      </c>
      <c r="V490" s="502">
        <f>VLOOKUP(Таблица3[[#This Row],[№ акта]],$AJ$1:$BJ$691,17,FALSE)</f>
        <v>2.2999999999999998</v>
      </c>
      <c r="W490" s="502" t="str">
        <f>VLOOKUP(Таблица3[[#This Row],[№ акта]],$AJ$1:$BJ$691,18,FALSE)</f>
        <v>Агролидер (полив)</v>
      </c>
      <c r="X490" s="516" t="str">
        <f>VLOOKUP(Таблица3[[#This Row],[№ акта]],$AJ$1:$BJ$691,19,FALSE)</f>
        <v>полив</v>
      </c>
      <c r="Y490" s="503">
        <f>VLOOKUP(Таблица3[[#This Row],[№ акта]],$AJ$1:$BJ$691,20,FALSE)</f>
        <v>24</v>
      </c>
      <c r="Z490" s="507">
        <f>VLOOKUP(Таблица3[[#This Row],[№ акта]],$AJ$1:$BJ$691,21,FALSE)</f>
        <v>46200</v>
      </c>
      <c r="AA490" s="516"/>
      <c r="AB490" s="504" t="str">
        <f>IF(VLOOKUP(Таблица3[[#This Row],[№ акта]],$AJ$1:$BJ$691,23,FALSE)&lt;&gt;0,VLOOKUP(Таблица3[[#This Row],[№ акта]],$AJ$1:$BJ$691,23,FALSE),"-")</f>
        <v>-</v>
      </c>
      <c r="AC49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90" s="506" t="s">
        <v>3273</v>
      </c>
      <c r="AE490" s="505">
        <v>501</v>
      </c>
      <c r="AF490" s="507">
        <v>46200</v>
      </c>
      <c r="AG490" s="505">
        <v>103</v>
      </c>
      <c r="AH490" s="505">
        <f>IFERROR(VLOOKUP(Таблица3[[#This Row],[№ акта]],'Степень зрелости 2026'!$H$12:$I$800,2,FALSE),)</f>
        <v>75</v>
      </c>
      <c r="AJ490" s="488">
        <v>459</v>
      </c>
      <c r="AK490" s="519">
        <v>46198</v>
      </c>
      <c r="AL490" s="488">
        <v>591</v>
      </c>
      <c r="AO490" s="488">
        <v>10510</v>
      </c>
      <c r="AP490" s="488">
        <v>9879.4</v>
      </c>
      <c r="AQ490" s="488" t="s">
        <v>3375</v>
      </c>
      <c r="AR490" s="488" t="s">
        <v>909</v>
      </c>
      <c r="AS490" s="488" t="s">
        <v>3112</v>
      </c>
      <c r="AT490" s="488" t="s">
        <v>239</v>
      </c>
      <c r="AV490" s="488" t="s">
        <v>243</v>
      </c>
      <c r="AX490" s="488" t="s">
        <v>3112</v>
      </c>
      <c r="AY490" s="488" t="s">
        <v>909</v>
      </c>
      <c r="AZ490" s="488">
        <v>2</v>
      </c>
      <c r="BA490" s="488" t="s">
        <v>2932</v>
      </c>
      <c r="BB490" s="488" t="s">
        <v>178</v>
      </c>
      <c r="BC490" s="488">
        <v>22</v>
      </c>
      <c r="BD490" s="519">
        <v>46198</v>
      </c>
      <c r="BG490" s="488" t="s">
        <v>420</v>
      </c>
      <c r="BH490" s="488" t="s">
        <v>2940</v>
      </c>
      <c r="BI490" s="488">
        <v>362</v>
      </c>
      <c r="BJ490" s="488">
        <v>69</v>
      </c>
      <c r="BK490" s="508"/>
    </row>
    <row r="491" spans="1:63" s="488" customFormat="1" ht="22.5" hidden="1" x14ac:dyDescent="0.25">
      <c r="A491" s="505"/>
      <c r="B491" s="511"/>
      <c r="C491" s="515">
        <f>Таблица3[[#This Row],[Степень зрелости вспом]]</f>
        <v>64</v>
      </c>
      <c r="D491" s="512">
        <v>645</v>
      </c>
      <c r="E491" s="513"/>
      <c r="F491" s="511"/>
      <c r="G491" s="511">
        <v>14390</v>
      </c>
      <c r="H491" s="514"/>
      <c r="I491" s="511">
        <v>13166.9</v>
      </c>
      <c r="J491" s="505" t="s">
        <v>3645</v>
      </c>
      <c r="K491" s="505" t="s">
        <v>901</v>
      </c>
      <c r="L491" s="505" t="s">
        <v>3122</v>
      </c>
      <c r="M491" s="505" t="s">
        <v>335</v>
      </c>
      <c r="N491" s="505"/>
      <c r="O491" s="505"/>
      <c r="P491" s="505"/>
      <c r="Q491" s="505"/>
      <c r="R491" s="505" t="s">
        <v>339</v>
      </c>
      <c r="S491" s="505"/>
      <c r="T491" s="482" t="str">
        <f>VLOOKUP(Таблица3[[#This Row],[№ акта]],$AJ$1:$BJ$691,15,FALSE)</f>
        <v>3.3 Колос</v>
      </c>
      <c r="U491" s="482" t="str">
        <f>VLOOKUP(Таблица3[[#This Row],[№ акта]],$AJ$1:$BJ$691,16,FALSE)</f>
        <v>Фаворит</v>
      </c>
      <c r="V491" s="502">
        <f>VLOOKUP(Таблица3[[#This Row],[№ акта]],$AJ$1:$BJ$691,17,FALSE)</f>
        <v>2.2000000000000002</v>
      </c>
      <c r="W491" s="502" t="str">
        <f>VLOOKUP(Таблица3[[#This Row],[№ акта]],$AJ$1:$BJ$691,18,FALSE)</f>
        <v>Колос (полив)</v>
      </c>
      <c r="X491" s="502" t="str">
        <f>VLOOKUP(Таблица3[[#This Row],[№ акта]],$AJ$1:$BJ$691,19,FALSE)</f>
        <v>полив</v>
      </c>
      <c r="Y491" s="503">
        <f>VLOOKUP(Таблица3[[#This Row],[№ акта]],$AJ$1:$BJ$691,20,FALSE)</f>
        <v>25</v>
      </c>
      <c r="Z491" s="504">
        <f>VLOOKUP(Таблица3[[#This Row],[№ акта]],$AJ$1:$BJ$691,21,FALSE)</f>
        <v>46201</v>
      </c>
      <c r="AA491" s="516"/>
      <c r="AB491" s="504" t="str">
        <f>IF(VLOOKUP(Таблица3[[#This Row],[№ акта]],$AJ$1:$BJ$691,23,FALSE)&lt;&gt;0,VLOOKUP(Таблица3[[#This Row],[№ акта]],$AJ$1:$BJ$691,23,FALSE),"-")</f>
        <v>-</v>
      </c>
      <c r="AC49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491" s="506" t="s">
        <v>3230</v>
      </c>
      <c r="AE491" s="505">
        <v>502</v>
      </c>
      <c r="AF491" s="507">
        <v>46201</v>
      </c>
      <c r="AG491" s="505">
        <v>18</v>
      </c>
      <c r="AH491" s="505">
        <f>IFERROR(VLOOKUP(Таблица3[[#This Row],[№ акта]],'Степень зрелости 2026'!$H$12:$I$800,2,FALSE),)</f>
        <v>64</v>
      </c>
      <c r="AJ491" s="488">
        <v>474</v>
      </c>
      <c r="AK491" s="519">
        <v>46199</v>
      </c>
      <c r="AL491" s="488">
        <v>609</v>
      </c>
      <c r="AO491" s="488">
        <v>12930</v>
      </c>
      <c r="AP491" s="488">
        <v>11572.4</v>
      </c>
      <c r="AQ491" s="488" t="s">
        <v>3464</v>
      </c>
      <c r="AR491" s="488" t="s">
        <v>909</v>
      </c>
      <c r="AS491" s="488" t="s">
        <v>3115</v>
      </c>
      <c r="AT491" s="488" t="s">
        <v>3623</v>
      </c>
      <c r="AV491" s="488" t="s">
        <v>3679</v>
      </c>
      <c r="AX491" s="488" t="s">
        <v>3115</v>
      </c>
      <c r="AY491" s="488" t="s">
        <v>909</v>
      </c>
      <c r="AZ491" s="488">
        <v>2</v>
      </c>
      <c r="BA491" s="488" t="s">
        <v>52</v>
      </c>
      <c r="BB491" s="488" t="s">
        <v>178</v>
      </c>
      <c r="BC491" s="488">
        <v>22</v>
      </c>
      <c r="BD491" s="519">
        <v>46198</v>
      </c>
      <c r="BG491" s="488" t="s">
        <v>724</v>
      </c>
      <c r="BH491" s="488" t="s">
        <v>2940</v>
      </c>
      <c r="BI491" s="488">
        <v>71</v>
      </c>
      <c r="BJ491" s="488">
        <v>58</v>
      </c>
      <c r="BK491" s="508"/>
    </row>
    <row r="492" spans="1:63" s="488" customFormat="1" ht="22.5" hidden="1" x14ac:dyDescent="0.25">
      <c r="A492" s="505"/>
      <c r="B492" s="511"/>
      <c r="C492" s="515">
        <f>Таблица3[[#This Row],[Степень зрелости вспом]]</f>
        <v>59</v>
      </c>
      <c r="D492" s="512">
        <v>646</v>
      </c>
      <c r="E492" s="513"/>
      <c r="F492" s="511"/>
      <c r="G492" s="511">
        <v>11220</v>
      </c>
      <c r="H492" s="514"/>
      <c r="I492" s="511">
        <v>9817.5</v>
      </c>
      <c r="J492" s="505" t="s">
        <v>3645</v>
      </c>
      <c r="K492" s="505" t="s">
        <v>901</v>
      </c>
      <c r="L492" s="505" t="s">
        <v>3122</v>
      </c>
      <c r="M492" s="505" t="s">
        <v>1151</v>
      </c>
      <c r="N492" s="505"/>
      <c r="O492" s="505"/>
      <c r="P492" s="505"/>
      <c r="Q492" s="505"/>
      <c r="R492" s="505" t="s">
        <v>145</v>
      </c>
      <c r="S492" s="505"/>
      <c r="T492" s="482" t="str">
        <f>VLOOKUP(Таблица3[[#This Row],[№ акта]],$AJ$1:$BJ$691,15,FALSE)</f>
        <v>3.3 Колос</v>
      </c>
      <c r="U492" s="482" t="str">
        <f>VLOOKUP(Таблица3[[#This Row],[№ акта]],$AJ$1:$BJ$691,16,FALSE)</f>
        <v>Фаворит</v>
      </c>
      <c r="V492" s="502">
        <f>VLOOKUP(Таблица3[[#This Row],[№ акта]],$AJ$1:$BJ$691,17,FALSE)</f>
        <v>1.7</v>
      </c>
      <c r="W492" s="502" t="str">
        <f>VLOOKUP(Таблица3[[#This Row],[№ акта]],$AJ$1:$BJ$691,18,FALSE)</f>
        <v>Колос (полив)</v>
      </c>
      <c r="X492" s="502" t="str">
        <f>VLOOKUP(Таблица3[[#This Row],[№ акта]],$AJ$1:$BJ$691,19,FALSE)</f>
        <v>полив</v>
      </c>
      <c r="Y492" s="503">
        <f>VLOOKUP(Таблица3[[#This Row],[№ акта]],$AJ$1:$BJ$691,20,FALSE)</f>
        <v>25</v>
      </c>
      <c r="Z492" s="504">
        <f>VLOOKUP(Таблица3[[#This Row],[№ акта]],$AJ$1:$BJ$691,21,FALSE)</f>
        <v>46201</v>
      </c>
      <c r="AA492" s="516"/>
      <c r="AB492" s="504" t="str">
        <f>IF(VLOOKUP(Таблица3[[#This Row],[№ акта]],$AJ$1:$BJ$691,23,FALSE)&lt;&gt;0,VLOOKUP(Таблица3[[#This Row],[№ акта]],$AJ$1:$BJ$691,23,FALSE),"-")</f>
        <v>-</v>
      </c>
      <c r="AC49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92" s="506" t="s">
        <v>2940</v>
      </c>
      <c r="AE492" s="505">
        <v>503</v>
      </c>
      <c r="AF492" s="507">
        <v>46201</v>
      </c>
      <c r="AG492" s="505">
        <v>19</v>
      </c>
      <c r="AH492" s="505">
        <f>IFERROR(VLOOKUP(Таблица3[[#This Row],[№ акта]],'Степень зрелости 2026'!$H$12:$I$800,2,FALSE),)</f>
        <v>59</v>
      </c>
      <c r="AJ492" s="488">
        <v>475</v>
      </c>
      <c r="AK492" s="519">
        <v>46199</v>
      </c>
      <c r="AL492" s="488">
        <v>610</v>
      </c>
      <c r="AO492" s="488">
        <v>13290</v>
      </c>
      <c r="AP492" s="488">
        <v>11628.8</v>
      </c>
      <c r="AQ492" s="488" t="s">
        <v>3645</v>
      </c>
      <c r="AR492" s="488" t="s">
        <v>901</v>
      </c>
      <c r="AS492" s="488" t="s">
        <v>3120</v>
      </c>
      <c r="AT492" s="488" t="s">
        <v>894</v>
      </c>
      <c r="AV492" s="488" t="s">
        <v>895</v>
      </c>
      <c r="AX492" s="488" t="s">
        <v>3120</v>
      </c>
      <c r="AY492" s="488" t="s">
        <v>901</v>
      </c>
      <c r="AZ492" s="488">
        <v>3.4</v>
      </c>
      <c r="BA492" s="488" t="s">
        <v>53</v>
      </c>
      <c r="BB492" s="488" t="s">
        <v>178</v>
      </c>
      <c r="BC492" s="488">
        <v>22</v>
      </c>
      <c r="BD492" s="519">
        <v>46198</v>
      </c>
      <c r="BG492" s="488" t="s">
        <v>724</v>
      </c>
      <c r="BH492" s="488" t="s">
        <v>2940</v>
      </c>
      <c r="BI492" s="488">
        <v>5</v>
      </c>
      <c r="BJ492" s="488">
        <v>55</v>
      </c>
      <c r="BK492" s="508"/>
    </row>
    <row r="493" spans="1:63" s="488" customFormat="1" ht="22.5" hidden="1" x14ac:dyDescent="0.25">
      <c r="A493" s="505"/>
      <c r="B493" s="511"/>
      <c r="C493" s="515">
        <f>Таблица3[[#This Row],[Степень зрелости вспом]]</f>
        <v>77</v>
      </c>
      <c r="D493" s="512">
        <v>647</v>
      </c>
      <c r="E493" s="513"/>
      <c r="F493" s="511"/>
      <c r="G493" s="511">
        <v>15310</v>
      </c>
      <c r="H493" s="514"/>
      <c r="I493" s="511">
        <v>14544.5</v>
      </c>
      <c r="J493" s="505" t="s">
        <v>3464</v>
      </c>
      <c r="K493" s="505" t="s">
        <v>909</v>
      </c>
      <c r="L493" s="505" t="s">
        <v>3115</v>
      </c>
      <c r="M493" s="505" t="s">
        <v>347</v>
      </c>
      <c r="N493" s="505"/>
      <c r="O493" s="505"/>
      <c r="P493" s="505"/>
      <c r="Q493" s="505"/>
      <c r="R493" s="505" t="s">
        <v>351</v>
      </c>
      <c r="S493" s="505"/>
      <c r="T493" s="482" t="str">
        <f>VLOOKUP(Таблица3[[#This Row],[№ акта]],$AJ$1:$BJ$691,15,FALSE)</f>
        <v>18 Агролидер</v>
      </c>
      <c r="U493" s="482" t="str">
        <f>VLOOKUP(Таблица3[[#This Row],[№ акта]],$AJ$1:$BJ$691,16,FALSE)</f>
        <v>Тристар</v>
      </c>
      <c r="V493" s="502">
        <f>VLOOKUP(Таблица3[[#This Row],[№ акта]],$AJ$1:$BJ$691,17,FALSE)</f>
        <v>2.2999999999999998</v>
      </c>
      <c r="W493" s="502" t="str">
        <f>VLOOKUP(Таблица3[[#This Row],[№ акта]],$AJ$1:$BJ$691,18,FALSE)</f>
        <v>Агролидер (полив)</v>
      </c>
      <c r="X493" s="502" t="str">
        <f>VLOOKUP(Таблица3[[#This Row],[№ акта]],$AJ$1:$BJ$691,19,FALSE)</f>
        <v>полив</v>
      </c>
      <c r="Y493" s="503">
        <f>VLOOKUP(Таблица3[[#This Row],[№ акта]],$AJ$1:$BJ$691,20,FALSE)</f>
        <v>25</v>
      </c>
      <c r="Z493" s="504">
        <f>VLOOKUP(Таблица3[[#This Row],[№ акта]],$AJ$1:$BJ$691,21,FALSE)</f>
        <v>46201</v>
      </c>
      <c r="AA493" s="516"/>
      <c r="AB493" s="504" t="str">
        <f>IF(VLOOKUP(Таблица3[[#This Row],[№ акта]],$AJ$1:$BJ$691,23,FALSE)&lt;&gt;0,VLOOKUP(Таблица3[[#This Row],[№ акта]],$AJ$1:$BJ$691,23,FALSE),"-")</f>
        <v>-</v>
      </c>
      <c r="AC49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93" s="506" t="s">
        <v>3273</v>
      </c>
      <c r="AE493" s="505">
        <v>504</v>
      </c>
      <c r="AF493" s="507">
        <v>46201</v>
      </c>
      <c r="AG493" s="505">
        <v>105</v>
      </c>
      <c r="AH493" s="505">
        <f>IFERROR(VLOOKUP(Таблица3[[#This Row],[№ акта]],'Степень зрелости 2026'!$H$12:$I$800,2,FALSE),)</f>
        <v>77</v>
      </c>
      <c r="AJ493" s="488">
        <v>476</v>
      </c>
      <c r="AK493" s="519">
        <v>46199</v>
      </c>
      <c r="AL493" s="488">
        <v>611</v>
      </c>
      <c r="AO493" s="488">
        <v>12840</v>
      </c>
      <c r="AP493" s="488">
        <v>11363.4</v>
      </c>
      <c r="AQ493" s="488" t="s">
        <v>3464</v>
      </c>
      <c r="AR493" s="488" t="s">
        <v>909</v>
      </c>
      <c r="AS493" s="488" t="s">
        <v>3115</v>
      </c>
      <c r="AT493" s="488" t="s">
        <v>311</v>
      </c>
      <c r="AV493" s="488" t="s">
        <v>315</v>
      </c>
      <c r="AX493" s="488" t="s">
        <v>3115</v>
      </c>
      <c r="AY493" s="488" t="s">
        <v>909</v>
      </c>
      <c r="AZ493" s="488">
        <v>2</v>
      </c>
      <c r="BA493" s="488" t="s">
        <v>52</v>
      </c>
      <c r="BB493" s="488" t="s">
        <v>178</v>
      </c>
      <c r="BC493" s="488">
        <v>22</v>
      </c>
      <c r="BD493" s="519">
        <v>46198</v>
      </c>
      <c r="BG493" s="488" t="s">
        <v>724</v>
      </c>
      <c r="BH493" s="488" t="s">
        <v>2940</v>
      </c>
      <c r="BI493" s="488">
        <v>72</v>
      </c>
      <c r="BJ493" s="488">
        <v>59</v>
      </c>
      <c r="BK493" s="508"/>
    </row>
    <row r="494" spans="1:63" s="488" customFormat="1" ht="22.5" hidden="1" x14ac:dyDescent="0.25">
      <c r="A494" s="505"/>
      <c r="B494" s="511"/>
      <c r="C494" s="515">
        <f>Таблица3[[#This Row],[Степень зрелости вспом]]</f>
        <v>77</v>
      </c>
      <c r="D494" s="512">
        <v>648</v>
      </c>
      <c r="E494" s="513"/>
      <c r="F494" s="511"/>
      <c r="G494" s="511">
        <v>15110</v>
      </c>
      <c r="H494" s="514"/>
      <c r="I494" s="511">
        <v>14430.1</v>
      </c>
      <c r="J494" s="505" t="s">
        <v>3464</v>
      </c>
      <c r="K494" s="505" t="s">
        <v>909</v>
      </c>
      <c r="L494" s="505" t="s">
        <v>3115</v>
      </c>
      <c r="M494" s="505" t="s">
        <v>212</v>
      </c>
      <c r="N494" s="505"/>
      <c r="O494" s="505"/>
      <c r="P494" s="505"/>
      <c r="Q494" s="505"/>
      <c r="R494" s="505" t="s">
        <v>2965</v>
      </c>
      <c r="S494" s="505"/>
      <c r="T494" s="520" t="str">
        <f>VLOOKUP(Таблица3[[#This Row],[№ акта]],$AJ$1:$BJ$691,15,FALSE)</f>
        <v>18 Агролидер</v>
      </c>
      <c r="U494" s="482" t="str">
        <f>VLOOKUP(Таблица3[[#This Row],[№ акта]],$AJ$1:$BJ$691,16,FALSE)</f>
        <v>Тристар</v>
      </c>
      <c r="V494" s="502">
        <f>VLOOKUP(Таблица3[[#This Row],[№ акта]],$AJ$1:$BJ$691,17,FALSE)</f>
        <v>2.2999999999999998</v>
      </c>
      <c r="W494" s="502" t="str">
        <f>VLOOKUP(Таблица3[[#This Row],[№ акта]],$AJ$1:$BJ$691,18,FALSE)</f>
        <v>Агролидер (полив)</v>
      </c>
      <c r="X494" s="502" t="str">
        <f>VLOOKUP(Таблица3[[#This Row],[№ акта]],$AJ$1:$BJ$691,19,FALSE)</f>
        <v>полив</v>
      </c>
      <c r="Y494" s="503">
        <f>VLOOKUP(Таблица3[[#This Row],[№ акта]],$AJ$1:$BJ$691,20,FALSE)</f>
        <v>25</v>
      </c>
      <c r="Z494" s="507">
        <f>VLOOKUP(Таблица3[[#This Row],[№ акта]],$AJ$1:$BJ$691,21,FALSE)</f>
        <v>46201</v>
      </c>
      <c r="AA494" s="516"/>
      <c r="AB494" s="504" t="str">
        <f>IF(VLOOKUP(Таблица3[[#This Row],[№ акта]],$AJ$1:$BJ$691,23,FALSE)&lt;&gt;0,VLOOKUP(Таблица3[[#This Row],[№ акта]],$AJ$1:$BJ$691,23,FALSE),"-")</f>
        <v>-</v>
      </c>
      <c r="AC49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94" s="506" t="s">
        <v>3273</v>
      </c>
      <c r="AE494" s="505">
        <v>505</v>
      </c>
      <c r="AF494" s="507">
        <v>46201</v>
      </c>
      <c r="AG494" s="505">
        <v>107</v>
      </c>
      <c r="AH494" s="505">
        <f>IFERROR(VLOOKUP(Таблица3[[#This Row],[№ акта]],'Степень зрелости 2026'!$H$12:$I$800,2,FALSE),)</f>
        <v>77</v>
      </c>
      <c r="AJ494" s="488">
        <v>477</v>
      </c>
      <c r="AK494" s="519">
        <v>46199</v>
      </c>
      <c r="AL494" s="488">
        <v>612</v>
      </c>
      <c r="AO494" s="488">
        <v>12280</v>
      </c>
      <c r="AP494" s="488">
        <v>11420.4</v>
      </c>
      <c r="AQ494" s="488" t="s">
        <v>3375</v>
      </c>
      <c r="AR494" s="488" t="s">
        <v>909</v>
      </c>
      <c r="AS494" s="488" t="s">
        <v>3112</v>
      </c>
      <c r="AT494" s="488" t="s">
        <v>239</v>
      </c>
      <c r="AV494" s="488" t="s">
        <v>243</v>
      </c>
      <c r="AX494" s="488" t="s">
        <v>3112</v>
      </c>
      <c r="AY494" s="488" t="s">
        <v>909</v>
      </c>
      <c r="AZ494" s="488">
        <v>2.2999999999999998</v>
      </c>
      <c r="BA494" s="488" t="s">
        <v>2932</v>
      </c>
      <c r="BB494" s="488" t="s">
        <v>178</v>
      </c>
      <c r="BC494" s="488">
        <v>22</v>
      </c>
      <c r="BD494" s="519">
        <v>46198</v>
      </c>
      <c r="BG494" s="488" t="s">
        <v>420</v>
      </c>
      <c r="BH494" s="488" t="s">
        <v>2940</v>
      </c>
      <c r="BI494" s="488">
        <v>369</v>
      </c>
      <c r="BJ494" s="488">
        <v>68</v>
      </c>
      <c r="BK494" s="508"/>
    </row>
    <row r="495" spans="1:63" s="488" customFormat="1" ht="22.5" hidden="1" x14ac:dyDescent="0.25">
      <c r="A495" s="505"/>
      <c r="B495" s="511"/>
      <c r="C495" s="515">
        <f>Таблица3[[#This Row],[Степень зрелости вспом]]</f>
        <v>80</v>
      </c>
      <c r="D495" s="512">
        <v>649</v>
      </c>
      <c r="E495" s="513"/>
      <c r="F495" s="511"/>
      <c r="G495" s="511">
        <v>15140</v>
      </c>
      <c r="H495" s="514"/>
      <c r="I495" s="511">
        <v>14610.1</v>
      </c>
      <c r="J495" s="505" t="s">
        <v>3464</v>
      </c>
      <c r="K495" s="505" t="s">
        <v>909</v>
      </c>
      <c r="L495" s="505" t="s">
        <v>3115</v>
      </c>
      <c r="M495" s="505" t="s">
        <v>1312</v>
      </c>
      <c r="N495" s="505"/>
      <c r="O495" s="505"/>
      <c r="P495" s="505"/>
      <c r="Q495" s="505"/>
      <c r="R495" s="505" t="s">
        <v>320</v>
      </c>
      <c r="S495" s="505"/>
      <c r="T495" s="482" t="str">
        <f>VLOOKUP(Таблица3[[#This Row],[№ акта]],$AJ$1:$BJ$691,15,FALSE)</f>
        <v>18 Агролидер</v>
      </c>
      <c r="U495" s="482" t="str">
        <f>VLOOKUP(Таблица3[[#This Row],[№ акта]],$AJ$1:$BJ$691,16,FALSE)</f>
        <v>Тристар</v>
      </c>
      <c r="V495" s="502">
        <f>VLOOKUP(Таблица3[[#This Row],[№ акта]],$AJ$1:$BJ$691,17,FALSE)</f>
        <v>2.2999999999999998</v>
      </c>
      <c r="W495" s="502" t="str">
        <f>VLOOKUP(Таблица3[[#This Row],[№ акта]],$AJ$1:$BJ$691,18,FALSE)</f>
        <v>Агролидер (полив)</v>
      </c>
      <c r="X495" s="502" t="str">
        <f>VLOOKUP(Таблица3[[#This Row],[№ акта]],$AJ$1:$BJ$691,19,FALSE)</f>
        <v>полив</v>
      </c>
      <c r="Y495" s="503">
        <f>VLOOKUP(Таблица3[[#This Row],[№ акта]],$AJ$1:$BJ$691,20,FALSE)</f>
        <v>25</v>
      </c>
      <c r="Z495" s="504">
        <f>VLOOKUP(Таблица3[[#This Row],[№ акта]],$AJ$1:$BJ$691,21,FALSE)</f>
        <v>46201</v>
      </c>
      <c r="AA495" s="516"/>
      <c r="AB495" s="504" t="str">
        <f>IF(VLOOKUP(Таблица3[[#This Row],[№ акта]],$AJ$1:$BJ$691,23,FALSE)&lt;&gt;0,VLOOKUP(Таблица3[[#This Row],[№ акта]],$AJ$1:$BJ$691,23,FALSE),"-")</f>
        <v>-</v>
      </c>
      <c r="AC49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495" s="506" t="s">
        <v>3273</v>
      </c>
      <c r="AE495" s="505">
        <v>506</v>
      </c>
      <c r="AF495" s="507">
        <v>46201</v>
      </c>
      <c r="AG495" s="505">
        <v>108</v>
      </c>
      <c r="AH495" s="505">
        <f>IFERROR(VLOOKUP(Таблица3[[#This Row],[№ акта]],'Степень зрелости 2026'!$H$12:$I$800,2,FALSE),)</f>
        <v>80</v>
      </c>
      <c r="AJ495" s="488">
        <v>478</v>
      </c>
      <c r="AK495" s="519">
        <v>46199</v>
      </c>
      <c r="AL495" s="488">
        <v>613</v>
      </c>
      <c r="AO495" s="488">
        <v>12770</v>
      </c>
      <c r="AP495" s="488">
        <v>11556.9</v>
      </c>
      <c r="AQ495" s="488" t="s">
        <v>3464</v>
      </c>
      <c r="AR495" s="488" t="s">
        <v>909</v>
      </c>
      <c r="AS495" s="488" t="s">
        <v>3115</v>
      </c>
      <c r="AT495" s="488" t="s">
        <v>335</v>
      </c>
      <c r="AV495" s="488" t="s">
        <v>339</v>
      </c>
      <c r="AX495" s="488" t="s">
        <v>3115</v>
      </c>
      <c r="AY495" s="488" t="s">
        <v>909</v>
      </c>
      <c r="AZ495" s="488">
        <v>2</v>
      </c>
      <c r="BA495" s="488" t="s">
        <v>52</v>
      </c>
      <c r="BB495" s="488" t="s">
        <v>178</v>
      </c>
      <c r="BC495" s="488">
        <v>22</v>
      </c>
      <c r="BD495" s="519">
        <v>46198</v>
      </c>
      <c r="BG495" s="488" t="s">
        <v>724</v>
      </c>
      <c r="BH495" s="488" t="s">
        <v>2940</v>
      </c>
      <c r="BI495" s="488">
        <v>73</v>
      </c>
      <c r="BJ495" s="488">
        <v>62</v>
      </c>
      <c r="BK495" s="508"/>
    </row>
    <row r="496" spans="1:63" s="488" customFormat="1" ht="22.5" hidden="1" x14ac:dyDescent="0.25">
      <c r="A496" s="505"/>
      <c r="B496" s="511"/>
      <c r="C496" s="515">
        <f>Таблица3[[#This Row],[Степень зрелости вспом]]</f>
        <v>56</v>
      </c>
      <c r="D496" s="512">
        <v>652</v>
      </c>
      <c r="E496" s="513"/>
      <c r="F496" s="511"/>
      <c r="G496" s="511">
        <v>14540</v>
      </c>
      <c r="H496" s="514"/>
      <c r="I496" s="511">
        <v>13304.1</v>
      </c>
      <c r="J496" s="505" t="s">
        <v>3645</v>
      </c>
      <c r="K496" s="505" t="s">
        <v>901</v>
      </c>
      <c r="L496" s="505" t="s">
        <v>3122</v>
      </c>
      <c r="M496" s="505" t="s">
        <v>3623</v>
      </c>
      <c r="N496" s="505"/>
      <c r="O496" s="505"/>
      <c r="P496" s="505"/>
      <c r="Q496" s="505"/>
      <c r="R496" s="505" t="s">
        <v>3679</v>
      </c>
      <c r="S496" s="505"/>
      <c r="T496" s="482" t="str">
        <f>VLOOKUP(Таблица3[[#This Row],[№ акта]],$AJ$1:$BJ$691,15,FALSE)</f>
        <v>3.3 Колос</v>
      </c>
      <c r="U496" s="482" t="str">
        <f>VLOOKUP(Таблица3[[#This Row],[№ акта]],$AJ$1:$BJ$691,16,FALSE)</f>
        <v>Фаворит</v>
      </c>
      <c r="V496" s="502">
        <f>VLOOKUP(Таблица3[[#This Row],[№ акта]],$AJ$1:$BJ$691,17,FALSE)</f>
        <v>2.2999999999999998</v>
      </c>
      <c r="W496" s="502" t="str">
        <f>VLOOKUP(Таблица3[[#This Row],[№ акта]],$AJ$1:$BJ$691,18,FALSE)</f>
        <v>Колос (полив)</v>
      </c>
      <c r="X496" s="502" t="str">
        <f>VLOOKUP(Таблица3[[#This Row],[№ акта]],$AJ$1:$BJ$691,19,FALSE)</f>
        <v>полив</v>
      </c>
      <c r="Y496" s="503">
        <f>VLOOKUP(Таблица3[[#This Row],[№ акта]],$AJ$1:$BJ$691,20,FALSE)</f>
        <v>25</v>
      </c>
      <c r="Z496" s="504">
        <f>VLOOKUP(Таблица3[[#This Row],[№ акта]],$AJ$1:$BJ$691,21,FALSE)</f>
        <v>46201</v>
      </c>
      <c r="AA496" s="516"/>
      <c r="AB496" s="504" t="str">
        <f>IF(VLOOKUP(Таблица3[[#This Row],[№ акта]],$AJ$1:$BJ$691,23,FALSE)&lt;&gt;0,VLOOKUP(Таблица3[[#This Row],[№ акта]],$AJ$1:$BJ$691,23,FALSE),"-")</f>
        <v>-</v>
      </c>
      <c r="AC49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96" s="506" t="s">
        <v>2940</v>
      </c>
      <c r="AE496" s="505">
        <v>507</v>
      </c>
      <c r="AF496" s="507">
        <v>46201</v>
      </c>
      <c r="AG496" s="505">
        <v>20</v>
      </c>
      <c r="AH496" s="505">
        <f>IFERROR(VLOOKUP(Таблица3[[#This Row],[№ акта]],'Степень зрелости 2026'!$H$12:$I$800,2,FALSE),)</f>
        <v>56</v>
      </c>
      <c r="AJ496" s="488">
        <v>479</v>
      </c>
      <c r="AK496" s="519">
        <v>46199</v>
      </c>
      <c r="AL496" s="488">
        <v>614</v>
      </c>
      <c r="AO496" s="488">
        <v>13200</v>
      </c>
      <c r="AP496" s="488">
        <v>11418</v>
      </c>
      <c r="AQ496" s="488" t="s">
        <v>3645</v>
      </c>
      <c r="AR496" s="488" t="s">
        <v>901</v>
      </c>
      <c r="AS496" s="488" t="s">
        <v>3120</v>
      </c>
      <c r="AT496" s="488" t="s">
        <v>1312</v>
      </c>
      <c r="AV496" s="488" t="s">
        <v>320</v>
      </c>
      <c r="AX496" s="488" t="s">
        <v>3120</v>
      </c>
      <c r="AY496" s="488" t="s">
        <v>901</v>
      </c>
      <c r="AZ496" s="488">
        <v>3.3</v>
      </c>
      <c r="BA496" s="488" t="s">
        <v>53</v>
      </c>
      <c r="BB496" s="488" t="s">
        <v>178</v>
      </c>
      <c r="BC496" s="488">
        <v>22</v>
      </c>
      <c r="BD496" s="519">
        <v>46198</v>
      </c>
      <c r="BG496" s="488" t="s">
        <v>724</v>
      </c>
      <c r="BH496" s="488" t="s">
        <v>2940</v>
      </c>
      <c r="BI496" s="488">
        <v>6</v>
      </c>
      <c r="BJ496" s="488">
        <v>60</v>
      </c>
      <c r="BK496" s="508"/>
    </row>
    <row r="497" spans="1:63" s="488" customFormat="1" ht="22.5" hidden="1" x14ac:dyDescent="0.25">
      <c r="A497" s="505"/>
      <c r="B497" s="511"/>
      <c r="C497" s="515">
        <f>Таблица3[[#This Row],[Степень зрелости вспом]]</f>
        <v>53</v>
      </c>
      <c r="D497" s="512">
        <v>653</v>
      </c>
      <c r="E497" s="513"/>
      <c r="F497" s="511"/>
      <c r="G497" s="511">
        <v>13760</v>
      </c>
      <c r="H497" s="514"/>
      <c r="I497" s="511">
        <v>12040</v>
      </c>
      <c r="J497" s="505" t="s">
        <v>3645</v>
      </c>
      <c r="K497" s="505" t="s">
        <v>909</v>
      </c>
      <c r="L497" s="505" t="s">
        <v>3122</v>
      </c>
      <c r="M497" s="505" t="s">
        <v>1461</v>
      </c>
      <c r="N497" s="505"/>
      <c r="O497" s="505"/>
      <c r="P497" s="505"/>
      <c r="Q497" s="505"/>
      <c r="R497" s="505" t="s">
        <v>149</v>
      </c>
      <c r="S497" s="505"/>
      <c r="T497" s="482" t="str">
        <f>VLOOKUP(Таблица3[[#This Row],[№ акта]],$AJ$1:$BJ$691,15,FALSE)</f>
        <v>3.3 Колос</v>
      </c>
      <c r="U497" s="482" t="str">
        <f>VLOOKUP(Таблица3[[#This Row],[№ акта]],$AJ$1:$BJ$691,16,FALSE)</f>
        <v>Беркут</v>
      </c>
      <c r="V497" s="502">
        <f>67.4*Таблица3[[#This Row],[Регистратор.Вес нетто]]/380500</f>
        <v>2.4373823915900132</v>
      </c>
      <c r="W497" s="502" t="str">
        <f>VLOOKUP(Таблица3[[#This Row],[№ акта]],$AJ$1:$BJ$691,18,FALSE)</f>
        <v>Колос (полив)</v>
      </c>
      <c r="X497" s="502" t="str">
        <f>VLOOKUP(Таблица3[[#This Row],[№ акта]],$AJ$1:$BJ$691,19,FALSE)</f>
        <v>полив</v>
      </c>
      <c r="Y497" s="503">
        <f>VLOOKUP(Таблица3[[#This Row],[№ акта]],$AJ$1:$BJ$691,20,FALSE)</f>
        <v>26</v>
      </c>
      <c r="Z497" s="504">
        <f>VLOOKUP(Таблица3[[#This Row],[№ акта]],$AJ$1:$BJ$691,21,FALSE)</f>
        <v>46202</v>
      </c>
      <c r="AA497" s="516"/>
      <c r="AB497" s="504" t="str">
        <f>IF(VLOOKUP(Таблица3[[#This Row],[№ акта]],$AJ$1:$BJ$691,23,FALSE)&lt;&gt;0,VLOOKUP(Таблица3[[#This Row],[№ акта]],$AJ$1:$BJ$691,23,FALSE),"-")</f>
        <v>-</v>
      </c>
      <c r="AC49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97" s="506" t="s">
        <v>2940</v>
      </c>
      <c r="AE497" s="505">
        <v>508</v>
      </c>
      <c r="AF497" s="507">
        <v>46201</v>
      </c>
      <c r="AG497" s="505">
        <v>21</v>
      </c>
      <c r="AH497" s="505">
        <f>IFERROR(VLOOKUP(Таблица3[[#This Row],[№ акта]],'Степень зрелости 2026'!$H$12:$I$800,2,FALSE),)</f>
        <v>53</v>
      </c>
      <c r="AJ497" s="488">
        <v>480</v>
      </c>
      <c r="AK497" s="519">
        <v>46199</v>
      </c>
      <c r="AL497" s="488">
        <v>617</v>
      </c>
      <c r="AO497" s="488">
        <v>4150</v>
      </c>
      <c r="AP497" s="488">
        <v>3569</v>
      </c>
      <c r="AQ497" s="488" t="s">
        <v>3375</v>
      </c>
      <c r="AR497" s="488" t="s">
        <v>900</v>
      </c>
      <c r="AS497" s="488" t="s">
        <v>3092</v>
      </c>
      <c r="AT497" s="488" t="s">
        <v>894</v>
      </c>
      <c r="AV497" s="488" t="s">
        <v>895</v>
      </c>
      <c r="AX497" s="488" t="s">
        <v>3092</v>
      </c>
      <c r="AY497" s="488" t="s">
        <v>900</v>
      </c>
      <c r="AZ497" s="488">
        <v>1.7</v>
      </c>
      <c r="BA497" s="488" t="s">
        <v>46</v>
      </c>
      <c r="BB497" s="488" t="s">
        <v>19</v>
      </c>
      <c r="BC497" s="488">
        <v>23</v>
      </c>
      <c r="BD497" s="519">
        <v>46199</v>
      </c>
      <c r="BG497" s="488" t="s">
        <v>3559</v>
      </c>
      <c r="BH497" s="488" t="s">
        <v>2940</v>
      </c>
      <c r="BI497" s="488">
        <v>370</v>
      </c>
      <c r="BJ497" s="488">
        <v>65</v>
      </c>
      <c r="BK497" s="508"/>
    </row>
    <row r="498" spans="1:63" s="488" customFormat="1" ht="22.5" hidden="1" x14ac:dyDescent="0.25">
      <c r="A498" s="505"/>
      <c r="B498" s="511"/>
      <c r="C498" s="515">
        <f>Таблица3[[#This Row],[Степень зрелости вспом]]</f>
        <v>51</v>
      </c>
      <c r="D498" s="512">
        <v>654</v>
      </c>
      <c r="E498" s="513"/>
      <c r="F498" s="511"/>
      <c r="G498" s="511">
        <v>13530</v>
      </c>
      <c r="H498" s="514"/>
      <c r="I498" s="511">
        <v>11568.1</v>
      </c>
      <c r="J498" s="505" t="s">
        <v>3645</v>
      </c>
      <c r="K498" s="505" t="s">
        <v>909</v>
      </c>
      <c r="L498" s="505" t="s">
        <v>3122</v>
      </c>
      <c r="M498" s="505" t="s">
        <v>1151</v>
      </c>
      <c r="N498" s="505"/>
      <c r="O498" s="505"/>
      <c r="P498" s="505"/>
      <c r="Q498" s="505"/>
      <c r="R498" s="505" t="s">
        <v>145</v>
      </c>
      <c r="S498" s="505"/>
      <c r="T498" s="482" t="str">
        <f>VLOOKUP(Таблица3[[#This Row],[№ акта]],$AJ$1:$BJ$691,15,FALSE)</f>
        <v>3.3 Колос</v>
      </c>
      <c r="U498" s="482" t="str">
        <f>VLOOKUP(Таблица3[[#This Row],[№ акта]],$AJ$1:$BJ$691,16,FALSE)</f>
        <v>Беркут</v>
      </c>
      <c r="V498" s="502">
        <f>67.4*Таблица3[[#This Row],[Регистратор.Вес нетто]]/380500</f>
        <v>2.3966412614980293</v>
      </c>
      <c r="W498" s="502" t="str">
        <f>VLOOKUP(Таблица3[[#This Row],[№ акта]],$AJ$1:$BJ$691,18,FALSE)</f>
        <v>Колос (полив)</v>
      </c>
      <c r="X498" s="502" t="str">
        <f>VLOOKUP(Таблица3[[#This Row],[№ акта]],$AJ$1:$BJ$691,19,FALSE)</f>
        <v>полив</v>
      </c>
      <c r="Y498" s="503">
        <f>VLOOKUP(Таблица3[[#This Row],[№ акта]],$AJ$1:$BJ$691,20,FALSE)</f>
        <v>26</v>
      </c>
      <c r="Z498" s="504">
        <f>VLOOKUP(Таблица3[[#This Row],[№ акта]],$AJ$1:$BJ$691,21,FALSE)</f>
        <v>46202</v>
      </c>
      <c r="AA498" s="516"/>
      <c r="AB498" s="504" t="str">
        <f>IF(VLOOKUP(Таблица3[[#This Row],[№ акта]],$AJ$1:$BJ$691,23,FALSE)&lt;&gt;0,VLOOKUP(Таблица3[[#This Row],[№ акта]],$AJ$1:$BJ$691,23,FALSE),"-")</f>
        <v>-</v>
      </c>
      <c r="AC49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498" s="506" t="s">
        <v>2940</v>
      </c>
      <c r="AE498" s="505">
        <v>509</v>
      </c>
      <c r="AF498" s="507">
        <v>46201</v>
      </c>
      <c r="AG498" s="505">
        <v>22</v>
      </c>
      <c r="AH498" s="505">
        <f>IFERROR(VLOOKUP(Таблица3[[#This Row],[№ акта]],'Степень зрелости 2026'!$H$12:$I$800,2,FALSE),)</f>
        <v>51</v>
      </c>
      <c r="AJ498" s="488">
        <v>481</v>
      </c>
      <c r="AK498" s="519">
        <v>46199</v>
      </c>
      <c r="AL498" s="488">
        <v>618</v>
      </c>
      <c r="AO498" s="488">
        <v>4280</v>
      </c>
      <c r="AP498" s="488">
        <v>3894.8</v>
      </c>
      <c r="AQ498" s="488" t="s">
        <v>3375</v>
      </c>
      <c r="AR498" s="488" t="s">
        <v>900</v>
      </c>
      <c r="AS498" s="488" t="s">
        <v>3092</v>
      </c>
      <c r="AT498" s="488" t="s">
        <v>737</v>
      </c>
      <c r="AV498" s="488" t="s">
        <v>738</v>
      </c>
      <c r="AX498" s="488" t="s">
        <v>3092</v>
      </c>
      <c r="AY498" s="488" t="s">
        <v>900</v>
      </c>
      <c r="AZ498" s="488">
        <v>1.7</v>
      </c>
      <c r="BA498" s="488" t="s">
        <v>46</v>
      </c>
      <c r="BB498" s="488" t="s">
        <v>19</v>
      </c>
      <c r="BC498" s="488">
        <v>23</v>
      </c>
      <c r="BD498" s="519">
        <v>46199</v>
      </c>
      <c r="BG498" s="488" t="s">
        <v>724</v>
      </c>
      <c r="BH498" s="488" t="s">
        <v>2940</v>
      </c>
      <c r="BI498" s="488">
        <v>371</v>
      </c>
      <c r="BJ498" s="488">
        <v>59</v>
      </c>
      <c r="BK498" s="508"/>
    </row>
    <row r="499" spans="1:63" s="488" customFormat="1" ht="22.5" hidden="1" x14ac:dyDescent="0.25">
      <c r="A499" s="505"/>
      <c r="B499" s="511"/>
      <c r="C499" s="515">
        <f>Таблица3[[#This Row],[Степень зрелости вспом]]</f>
        <v>55</v>
      </c>
      <c r="D499" s="512">
        <v>655</v>
      </c>
      <c r="E499" s="513"/>
      <c r="F499" s="511"/>
      <c r="G499" s="511">
        <v>13550</v>
      </c>
      <c r="H499" s="514"/>
      <c r="I499" s="511">
        <v>11585.2</v>
      </c>
      <c r="J499" s="505" t="s">
        <v>3645</v>
      </c>
      <c r="K499" s="505" t="s">
        <v>909</v>
      </c>
      <c r="L499" s="505" t="s">
        <v>3122</v>
      </c>
      <c r="M499" s="505" t="s">
        <v>121</v>
      </c>
      <c r="N499" s="505"/>
      <c r="O499" s="505"/>
      <c r="P499" s="505"/>
      <c r="Q499" s="505"/>
      <c r="R499" s="505" t="s">
        <v>125</v>
      </c>
      <c r="S499" s="505"/>
      <c r="T499" s="482" t="str">
        <f>VLOOKUP(Таблица3[[#This Row],[№ акта]],$AJ$1:$BJ$691,15,FALSE)</f>
        <v>3.3 Колос</v>
      </c>
      <c r="U499" s="482" t="str">
        <f>VLOOKUP(Таблица3[[#This Row],[№ акта]],$AJ$1:$BJ$691,16,FALSE)</f>
        <v>Беркут</v>
      </c>
      <c r="V499" s="502">
        <f>67.4*Таблица3[[#This Row],[Регистратор.Вес нетто]]/380500</f>
        <v>2.4001839684625494</v>
      </c>
      <c r="W499" s="502" t="str">
        <f>VLOOKUP(Таблица3[[#This Row],[№ акта]],$AJ$1:$BJ$691,18,FALSE)</f>
        <v>Колос (полив)</v>
      </c>
      <c r="X499" s="502" t="str">
        <f>VLOOKUP(Таблица3[[#This Row],[№ акта]],$AJ$1:$BJ$691,19,FALSE)</f>
        <v>полив</v>
      </c>
      <c r="Y499" s="503">
        <f>VLOOKUP(Таблица3[[#This Row],[№ акта]],$AJ$1:$BJ$691,20,FALSE)</f>
        <v>26</v>
      </c>
      <c r="Z499" s="504">
        <f>VLOOKUP(Таблица3[[#This Row],[№ акта]],$AJ$1:$BJ$691,21,FALSE)</f>
        <v>46202</v>
      </c>
      <c r="AA499" s="516"/>
      <c r="AB499" s="504" t="str">
        <f>IF(VLOOKUP(Таблица3[[#This Row],[№ акта]],$AJ$1:$BJ$691,23,FALSE)&lt;&gt;0,VLOOKUP(Таблица3[[#This Row],[№ акта]],$AJ$1:$BJ$691,23,FALSE),"-")</f>
        <v>-</v>
      </c>
      <c r="AC49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499" s="506" t="s">
        <v>2940</v>
      </c>
      <c r="AE499" s="505">
        <v>510</v>
      </c>
      <c r="AF499" s="507">
        <v>46201</v>
      </c>
      <c r="AG499" s="505">
        <v>23</v>
      </c>
      <c r="AH499" s="505">
        <f>IFERROR(VLOOKUP(Таблица3[[#This Row],[№ акта]],'Степень зрелости 2026'!$H$12:$I$800,2,FALSE),)</f>
        <v>55</v>
      </c>
      <c r="AJ499" s="488">
        <v>482</v>
      </c>
      <c r="AK499" s="519">
        <v>46199</v>
      </c>
      <c r="AL499" s="488">
        <v>619</v>
      </c>
      <c r="AO499" s="488">
        <v>13250</v>
      </c>
      <c r="AP499" s="488">
        <v>11461.3</v>
      </c>
      <c r="AQ499" s="488" t="s">
        <v>3464</v>
      </c>
      <c r="AR499" s="488" t="s">
        <v>909</v>
      </c>
      <c r="AS499" s="488" t="s">
        <v>3115</v>
      </c>
      <c r="AT499" s="488" t="s">
        <v>3377</v>
      </c>
      <c r="AV499" s="488" t="s">
        <v>3196</v>
      </c>
      <c r="AX499" s="488" t="s">
        <v>3116</v>
      </c>
      <c r="AY499" s="488" t="s">
        <v>909</v>
      </c>
      <c r="AZ499" s="488">
        <v>3.4</v>
      </c>
      <c r="BA499" s="488" t="s">
        <v>52</v>
      </c>
      <c r="BB499" s="488" t="s">
        <v>178</v>
      </c>
      <c r="BC499" s="488">
        <v>23</v>
      </c>
      <c r="BD499" s="519">
        <v>46199</v>
      </c>
      <c r="BG499" s="488" t="s">
        <v>3559</v>
      </c>
      <c r="BH499" s="488" t="s">
        <v>2940</v>
      </c>
      <c r="BI499" s="488">
        <v>74</v>
      </c>
      <c r="BJ499" s="488">
        <v>66</v>
      </c>
      <c r="BK499" s="508"/>
    </row>
    <row r="500" spans="1:63" s="488" customFormat="1" ht="22.5" hidden="1" x14ac:dyDescent="0.25">
      <c r="A500" s="505"/>
      <c r="B500" s="511"/>
      <c r="C500" s="515">
        <f>Таблица3[[#This Row],[Степень зрелости вспом]]</f>
        <v>54</v>
      </c>
      <c r="D500" s="512">
        <v>656</v>
      </c>
      <c r="E500" s="513"/>
      <c r="F500" s="511"/>
      <c r="G500" s="511">
        <v>13280</v>
      </c>
      <c r="H500" s="514"/>
      <c r="I500" s="511">
        <v>11686.4</v>
      </c>
      <c r="J500" s="505" t="s">
        <v>3645</v>
      </c>
      <c r="K500" s="505" t="s">
        <v>909</v>
      </c>
      <c r="L500" s="505" t="s">
        <v>3122</v>
      </c>
      <c r="M500" s="505" t="s">
        <v>212</v>
      </c>
      <c r="N500" s="505"/>
      <c r="O500" s="505"/>
      <c r="P500" s="505"/>
      <c r="Q500" s="505"/>
      <c r="R500" s="505" t="s">
        <v>2965</v>
      </c>
      <c r="S500" s="505"/>
      <c r="T500" s="482" t="str">
        <f>VLOOKUP(Таблица3[[#This Row],[№ акта]],$AJ$1:$BJ$691,15,FALSE)</f>
        <v>3.3 Колос</v>
      </c>
      <c r="U500" s="482" t="str">
        <f>VLOOKUP(Таблица3[[#This Row],[№ акта]],$AJ$1:$BJ$691,16,FALSE)</f>
        <v>Беркут</v>
      </c>
      <c r="V500" s="502">
        <f>67.4*Таблица3[[#This Row],[Регистратор.Вес нетто]]/380500</f>
        <v>2.3523574244415246</v>
      </c>
      <c r="W500" s="502" t="str">
        <f>VLOOKUP(Таблица3[[#This Row],[№ акта]],$AJ$1:$BJ$691,18,FALSE)</f>
        <v>Колос (полив)</v>
      </c>
      <c r="X500" s="502" t="str">
        <f>VLOOKUP(Таблица3[[#This Row],[№ акта]],$AJ$1:$BJ$691,19,FALSE)</f>
        <v>полив</v>
      </c>
      <c r="Y500" s="503">
        <f>VLOOKUP(Таблица3[[#This Row],[№ акта]],$AJ$1:$BJ$691,20,FALSE)</f>
        <v>26</v>
      </c>
      <c r="Z500" s="504">
        <f>VLOOKUP(Таблица3[[#This Row],[№ акта]],$AJ$1:$BJ$691,21,FALSE)</f>
        <v>46202</v>
      </c>
      <c r="AA500" s="516"/>
      <c r="AB500" s="504" t="str">
        <f>IF(VLOOKUP(Таблица3[[#This Row],[№ акта]],$AJ$1:$BJ$691,23,FALSE)&lt;&gt;0,VLOOKUP(Таблица3[[#This Row],[№ акта]],$AJ$1:$BJ$691,23,FALSE),"-")</f>
        <v>-</v>
      </c>
      <c r="AC50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00" s="506" t="s">
        <v>2940</v>
      </c>
      <c r="AE500" s="505">
        <v>511</v>
      </c>
      <c r="AF500" s="507">
        <v>46201</v>
      </c>
      <c r="AG500" s="505">
        <v>24</v>
      </c>
      <c r="AH500" s="505">
        <f>IFERROR(VLOOKUP(Таблица3[[#This Row],[№ акта]],'Степень зрелости 2026'!$H$12:$I$800,2,FALSE),)</f>
        <v>54</v>
      </c>
      <c r="AJ500" s="488">
        <v>483</v>
      </c>
      <c r="AK500" s="519">
        <v>46199</v>
      </c>
      <c r="AL500" s="488">
        <v>621</v>
      </c>
      <c r="AO500" s="488">
        <v>3970</v>
      </c>
      <c r="AP500" s="488">
        <v>3632.6</v>
      </c>
      <c r="AQ500" s="488" t="s">
        <v>3375</v>
      </c>
      <c r="AR500" s="488" t="s">
        <v>900</v>
      </c>
      <c r="AS500" s="488" t="s">
        <v>3092</v>
      </c>
      <c r="AT500" s="488" t="s">
        <v>762</v>
      </c>
      <c r="AV500" s="488" t="s">
        <v>763</v>
      </c>
      <c r="AX500" s="488" t="s">
        <v>3092</v>
      </c>
      <c r="AY500" s="488" t="s">
        <v>900</v>
      </c>
      <c r="AZ500" s="488">
        <v>1.6</v>
      </c>
      <c r="BA500" s="488" t="s">
        <v>46</v>
      </c>
      <c r="BB500" s="488" t="s">
        <v>19</v>
      </c>
      <c r="BC500" s="488">
        <v>23</v>
      </c>
      <c r="BD500" s="519">
        <v>46199</v>
      </c>
      <c r="BG500" s="488" t="s">
        <v>3559</v>
      </c>
      <c r="BH500" s="488" t="s">
        <v>2940</v>
      </c>
      <c r="BI500" s="488">
        <v>372</v>
      </c>
      <c r="BJ500" s="488">
        <v>66</v>
      </c>
      <c r="BK500" s="508"/>
    </row>
    <row r="501" spans="1:63" s="488" customFormat="1" ht="22.5" hidden="1" x14ac:dyDescent="0.25">
      <c r="A501" s="505"/>
      <c r="B501" s="511"/>
      <c r="C501" s="515">
        <f>Таблица3[[#This Row],[Степень зрелости вспом]]</f>
        <v>53</v>
      </c>
      <c r="D501" s="512">
        <v>657</v>
      </c>
      <c r="E501" s="513"/>
      <c r="F501" s="511"/>
      <c r="G501" s="511">
        <v>13290</v>
      </c>
      <c r="H501" s="514"/>
      <c r="I501" s="511">
        <v>11695.2</v>
      </c>
      <c r="J501" s="505" t="s">
        <v>3645</v>
      </c>
      <c r="K501" s="505" t="s">
        <v>909</v>
      </c>
      <c r="L501" s="505" t="s">
        <v>3122</v>
      </c>
      <c r="M501" s="505" t="s">
        <v>2967</v>
      </c>
      <c r="N501" s="505"/>
      <c r="O501" s="505"/>
      <c r="P501" s="505"/>
      <c r="Q501" s="505"/>
      <c r="R501" s="505" t="s">
        <v>1810</v>
      </c>
      <c r="S501" s="505"/>
      <c r="T501" s="482" t="str">
        <f>VLOOKUP(Таблица3[[#This Row],[№ акта]],$AJ$1:$BJ$691,15,FALSE)</f>
        <v>3.3 Колос</v>
      </c>
      <c r="U501" s="520" t="str">
        <f>VLOOKUP(Таблица3[[#This Row],[№ акта]],$AJ$1:$BJ$691,16,FALSE)</f>
        <v>Беркут</v>
      </c>
      <c r="V501" s="502">
        <f>67.4*Таблица3[[#This Row],[Регистратор.Вес нетто]]/380500</f>
        <v>2.3541287779237847</v>
      </c>
      <c r="W501" s="502" t="str">
        <f>VLOOKUP(Таблица3[[#This Row],[№ акта]],$AJ$1:$BJ$691,18,FALSE)</f>
        <v>Колос (полив)</v>
      </c>
      <c r="X501" s="502" t="str">
        <f>VLOOKUP(Таблица3[[#This Row],[№ акта]],$AJ$1:$BJ$691,19,FALSE)</f>
        <v>полив</v>
      </c>
      <c r="Y501" s="503">
        <f>VLOOKUP(Таблица3[[#This Row],[№ акта]],$AJ$1:$BJ$691,20,FALSE)</f>
        <v>26</v>
      </c>
      <c r="Z501" s="504">
        <f>VLOOKUP(Таблица3[[#This Row],[№ акта]],$AJ$1:$BJ$691,21,FALSE)</f>
        <v>46202</v>
      </c>
      <c r="AA501" s="516"/>
      <c r="AB501" s="504" t="str">
        <f>IF(VLOOKUP(Таблица3[[#This Row],[№ акта]],$AJ$1:$BJ$691,23,FALSE)&lt;&gt;0,VLOOKUP(Таблица3[[#This Row],[№ акта]],$AJ$1:$BJ$691,23,FALSE),"-")</f>
        <v>-</v>
      </c>
      <c r="AC50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01" s="506" t="s">
        <v>2940</v>
      </c>
      <c r="AE501" s="505">
        <v>512</v>
      </c>
      <c r="AF501" s="507">
        <v>46201</v>
      </c>
      <c r="AG501" s="505">
        <v>25</v>
      </c>
      <c r="AH501" s="505">
        <f>IFERROR(VLOOKUP(Таблица3[[#This Row],[№ акта]],'Степень зрелости 2026'!$H$12:$I$800,2,FALSE),)</f>
        <v>53</v>
      </c>
      <c r="AJ501" s="488">
        <v>484</v>
      </c>
      <c r="AK501" s="519">
        <v>46199</v>
      </c>
      <c r="AL501" s="488">
        <v>622</v>
      </c>
      <c r="AO501" s="488">
        <v>13180</v>
      </c>
      <c r="AP501" s="488">
        <v>12191.5</v>
      </c>
      <c r="AQ501" s="488" t="s">
        <v>3375</v>
      </c>
      <c r="AR501" s="488" t="s">
        <v>909</v>
      </c>
      <c r="AS501" s="488" t="s">
        <v>3092</v>
      </c>
      <c r="AT501" s="488" t="s">
        <v>133</v>
      </c>
      <c r="AV501" s="488" t="s">
        <v>137</v>
      </c>
      <c r="AX501" s="488" t="s">
        <v>3115</v>
      </c>
      <c r="AY501" s="488" t="s">
        <v>909</v>
      </c>
      <c r="AZ501" s="488">
        <v>1.5</v>
      </c>
      <c r="BA501" s="488" t="s">
        <v>52</v>
      </c>
      <c r="BB501" s="488" t="s">
        <v>178</v>
      </c>
      <c r="BC501" s="488">
        <v>23</v>
      </c>
      <c r="BD501" s="519">
        <v>46199</v>
      </c>
      <c r="BG501" s="488" t="s">
        <v>3559</v>
      </c>
      <c r="BH501" s="488" t="s">
        <v>2940</v>
      </c>
      <c r="BI501" s="488">
        <v>77</v>
      </c>
      <c r="BJ501" s="488">
        <v>66</v>
      </c>
      <c r="BK501" s="508"/>
    </row>
    <row r="502" spans="1:63" s="488" customFormat="1" ht="22.5" hidden="1" x14ac:dyDescent="0.25">
      <c r="A502" s="505"/>
      <c r="B502" s="511"/>
      <c r="C502" s="515">
        <f>Таблица3[[#This Row],[Степень зрелости вспом]]</f>
        <v>53</v>
      </c>
      <c r="D502" s="512">
        <v>658</v>
      </c>
      <c r="E502" s="513"/>
      <c r="F502" s="511"/>
      <c r="G502" s="511">
        <v>13570</v>
      </c>
      <c r="H502" s="514"/>
      <c r="I502" s="511">
        <v>11670.2</v>
      </c>
      <c r="J502" s="505" t="s">
        <v>3645</v>
      </c>
      <c r="K502" s="505" t="s">
        <v>909</v>
      </c>
      <c r="L502" s="505" t="s">
        <v>3122</v>
      </c>
      <c r="M502" s="505" t="s">
        <v>234</v>
      </c>
      <c r="N502" s="505"/>
      <c r="O502" s="505"/>
      <c r="P502" s="505"/>
      <c r="Q502" s="505"/>
      <c r="R502" s="505" t="s">
        <v>238</v>
      </c>
      <c r="S502" s="505"/>
      <c r="T502" s="482" t="str">
        <f>VLOOKUP(Таблица3[[#This Row],[№ акта]],$AJ$1:$BJ$691,15,FALSE)</f>
        <v>3.3 Колос</v>
      </c>
      <c r="U502" s="482" t="str">
        <f>VLOOKUP(Таблица3[[#This Row],[№ акта]],$AJ$1:$BJ$691,16,FALSE)</f>
        <v>Беркут</v>
      </c>
      <c r="V502" s="502">
        <f>67.4*Таблица3[[#This Row],[Регистратор.Вес нетто]]/380500</f>
        <v>2.4037266754270701</v>
      </c>
      <c r="W502" s="502" t="str">
        <f>VLOOKUP(Таблица3[[#This Row],[№ акта]],$AJ$1:$BJ$691,18,FALSE)</f>
        <v>Колос (полив)</v>
      </c>
      <c r="X502" s="502" t="str">
        <f>VLOOKUP(Таблица3[[#This Row],[№ акта]],$AJ$1:$BJ$691,19,FALSE)</f>
        <v>полив</v>
      </c>
      <c r="Y502" s="503">
        <f>VLOOKUP(Таблица3[[#This Row],[№ акта]],$AJ$1:$BJ$691,20,FALSE)</f>
        <v>26</v>
      </c>
      <c r="Z502" s="504">
        <f>VLOOKUP(Таблица3[[#This Row],[№ акта]],$AJ$1:$BJ$691,21,FALSE)</f>
        <v>46202</v>
      </c>
      <c r="AA502" s="516"/>
      <c r="AB502" s="504" t="str">
        <f>IF(VLOOKUP(Таблица3[[#This Row],[№ акта]],$AJ$1:$BJ$691,23,FALSE)&lt;&gt;0,VLOOKUP(Таблица3[[#This Row],[№ акта]],$AJ$1:$BJ$691,23,FALSE),"-")</f>
        <v>-</v>
      </c>
      <c r="AC50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02" s="506" t="s">
        <v>2940</v>
      </c>
      <c r="AE502" s="505">
        <v>513</v>
      </c>
      <c r="AF502" s="507">
        <v>46201</v>
      </c>
      <c r="AG502" s="505">
        <v>26</v>
      </c>
      <c r="AH502" s="505">
        <f>IFERROR(VLOOKUP(Таблица3[[#This Row],[№ акта]],'Степень зрелости 2026'!$H$12:$I$800,2,FALSE),)</f>
        <v>53</v>
      </c>
      <c r="AJ502" s="488">
        <v>485</v>
      </c>
      <c r="AK502" s="519">
        <v>46199</v>
      </c>
      <c r="AL502" s="488">
        <v>624</v>
      </c>
      <c r="AO502" s="488">
        <v>13030</v>
      </c>
      <c r="AP502" s="488">
        <v>12313.4</v>
      </c>
      <c r="AQ502" s="488" t="s">
        <v>3464</v>
      </c>
      <c r="AR502" s="488" t="s">
        <v>909</v>
      </c>
      <c r="AS502" s="488" t="s">
        <v>3115</v>
      </c>
      <c r="AT502" s="488" t="s">
        <v>212</v>
      </c>
      <c r="AV502" s="488" t="s">
        <v>2965</v>
      </c>
      <c r="AX502" s="488" t="s">
        <v>3116</v>
      </c>
      <c r="AY502" s="488" t="s">
        <v>909</v>
      </c>
      <c r="AZ502" s="488">
        <v>3.4</v>
      </c>
      <c r="BA502" s="488" t="s">
        <v>52</v>
      </c>
      <c r="BB502" s="488" t="s">
        <v>178</v>
      </c>
      <c r="BC502" s="488">
        <v>23</v>
      </c>
      <c r="BD502" s="519">
        <v>46199</v>
      </c>
      <c r="BG502" s="488" t="s">
        <v>3559</v>
      </c>
      <c r="BH502" s="488" t="s">
        <v>2940</v>
      </c>
      <c r="BI502" s="488">
        <v>78</v>
      </c>
      <c r="BJ502" s="488">
        <v>64</v>
      </c>
      <c r="BK502" s="508"/>
    </row>
    <row r="503" spans="1:63" s="488" customFormat="1" ht="22.5" hidden="1" x14ac:dyDescent="0.25">
      <c r="A503" s="505"/>
      <c r="B503" s="511"/>
      <c r="C503" s="515">
        <f>Таблица3[[#This Row],[Степень зрелости вспом]]</f>
        <v>53</v>
      </c>
      <c r="D503" s="512">
        <v>659</v>
      </c>
      <c r="E503" s="513"/>
      <c r="F503" s="511"/>
      <c r="G503" s="511">
        <v>13020</v>
      </c>
      <c r="H503" s="514"/>
      <c r="I503" s="511">
        <v>11197.2</v>
      </c>
      <c r="J503" s="505" t="s">
        <v>3645</v>
      </c>
      <c r="K503" s="505" t="s">
        <v>909</v>
      </c>
      <c r="L503" s="505" t="s">
        <v>3122</v>
      </c>
      <c r="M503" s="505" t="s">
        <v>335</v>
      </c>
      <c r="N503" s="505"/>
      <c r="O503" s="505"/>
      <c r="P503" s="505"/>
      <c r="Q503" s="505"/>
      <c r="R503" s="505" t="s">
        <v>339</v>
      </c>
      <c r="S503" s="505"/>
      <c r="T503" s="482" t="str">
        <f>VLOOKUP(Таблица3[[#This Row],[№ акта]],$AJ$1:$BJ$691,15,FALSE)</f>
        <v>3.3 Колос</v>
      </c>
      <c r="U503" s="482" t="str">
        <f>VLOOKUP(Таблица3[[#This Row],[№ акта]],$AJ$1:$BJ$691,16,FALSE)</f>
        <v>Беркут</v>
      </c>
      <c r="V503" s="502">
        <f>67.4*Таблица3[[#This Row],[Регистратор.Вес нетто]]/380500</f>
        <v>2.3063022339027599</v>
      </c>
      <c r="W503" s="502" t="str">
        <f>VLOOKUP(Таблица3[[#This Row],[№ акта]],$AJ$1:$BJ$691,18,FALSE)</f>
        <v>Колос (полив)</v>
      </c>
      <c r="X503" s="502" t="str">
        <f>VLOOKUP(Таблица3[[#This Row],[№ акта]],$AJ$1:$BJ$691,19,FALSE)</f>
        <v>полив</v>
      </c>
      <c r="Y503" s="503">
        <f>VLOOKUP(Таблица3[[#This Row],[№ акта]],$AJ$1:$BJ$691,20,FALSE)</f>
        <v>26</v>
      </c>
      <c r="Z503" s="504">
        <f>VLOOKUP(Таблица3[[#This Row],[№ акта]],$AJ$1:$BJ$691,21,FALSE)</f>
        <v>46202</v>
      </c>
      <c r="AA503" s="516"/>
      <c r="AB503" s="504" t="str">
        <f>IF(VLOOKUP(Таблица3[[#This Row],[№ акта]],$AJ$1:$BJ$691,23,FALSE)&lt;&gt;0,VLOOKUP(Таблица3[[#This Row],[№ акта]],$AJ$1:$BJ$691,23,FALSE),"-")</f>
        <v>-</v>
      </c>
      <c r="AC50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03" s="506" t="s">
        <v>2940</v>
      </c>
      <c r="AE503" s="505">
        <v>514</v>
      </c>
      <c r="AF503" s="507">
        <v>46201</v>
      </c>
      <c r="AG503" s="505">
        <v>27</v>
      </c>
      <c r="AH503" s="505">
        <f>IFERROR(VLOOKUP(Таблица3[[#This Row],[№ акта]],'Степень зрелости 2026'!$H$12:$I$800,2,FALSE),)</f>
        <v>53</v>
      </c>
      <c r="AJ503" s="488">
        <v>486</v>
      </c>
      <c r="AK503" s="519">
        <v>46199</v>
      </c>
      <c r="AL503" s="488">
        <v>625</v>
      </c>
      <c r="AO503" s="488">
        <v>4360</v>
      </c>
      <c r="AP503" s="488">
        <v>4076.6</v>
      </c>
      <c r="AQ503" s="488" t="s">
        <v>3375</v>
      </c>
      <c r="AR503" s="488" t="s">
        <v>900</v>
      </c>
      <c r="AS503" s="488" t="s">
        <v>3092</v>
      </c>
      <c r="AT503" s="488" t="s">
        <v>737</v>
      </c>
      <c r="AV503" s="488" t="s">
        <v>738</v>
      </c>
      <c r="AX503" s="488" t="s">
        <v>3092</v>
      </c>
      <c r="AY503" s="488" t="s">
        <v>900</v>
      </c>
      <c r="AZ503" s="488">
        <v>1.7</v>
      </c>
      <c r="BA503" s="488" t="s">
        <v>46</v>
      </c>
      <c r="BB503" s="488" t="s">
        <v>19</v>
      </c>
      <c r="BC503" s="488">
        <v>23</v>
      </c>
      <c r="BD503" s="519">
        <v>46199</v>
      </c>
      <c r="BG503" s="488" t="s">
        <v>420</v>
      </c>
      <c r="BH503" s="488" t="s">
        <v>2940</v>
      </c>
      <c r="BI503" s="488">
        <v>373</v>
      </c>
      <c r="BJ503" s="488">
        <v>67</v>
      </c>
      <c r="BK503" s="508"/>
    </row>
    <row r="504" spans="1:63" s="488" customFormat="1" ht="22.5" hidden="1" x14ac:dyDescent="0.25">
      <c r="A504" s="505"/>
      <c r="B504" s="511"/>
      <c r="C504" s="515">
        <f>Таблица3[[#This Row],[Степень зрелости вспом]]</f>
        <v>53</v>
      </c>
      <c r="D504" s="512">
        <v>660</v>
      </c>
      <c r="E504" s="513"/>
      <c r="F504" s="511"/>
      <c r="G504" s="511">
        <v>12950</v>
      </c>
      <c r="H504" s="514"/>
      <c r="I504" s="511">
        <v>11137</v>
      </c>
      <c r="J504" s="505" t="s">
        <v>3645</v>
      </c>
      <c r="K504" s="505" t="s">
        <v>909</v>
      </c>
      <c r="L504" s="505" t="s">
        <v>3122</v>
      </c>
      <c r="M504" s="505" t="s">
        <v>3554</v>
      </c>
      <c r="N504" s="505"/>
      <c r="O504" s="505"/>
      <c r="P504" s="505"/>
      <c r="Q504" s="505"/>
      <c r="R504" s="505" t="s">
        <v>3555</v>
      </c>
      <c r="S504" s="505"/>
      <c r="T504" s="482" t="str">
        <f>VLOOKUP(Таблица3[[#This Row],[№ акта]],$AJ$1:$BJ$691,15,FALSE)</f>
        <v>3.3 Колос</v>
      </c>
      <c r="U504" s="482" t="str">
        <f>VLOOKUP(Таблица3[[#This Row],[№ акта]],$AJ$1:$BJ$691,16,FALSE)</f>
        <v>Беркут</v>
      </c>
      <c r="V504" s="502">
        <f>67.4*Таблица3[[#This Row],[Регистратор.Вес нетто]]/380500</f>
        <v>2.2939027595269383</v>
      </c>
      <c r="W504" s="502" t="str">
        <f>VLOOKUP(Таблица3[[#This Row],[№ акта]],$AJ$1:$BJ$691,18,FALSE)</f>
        <v>Колос (полив)</v>
      </c>
      <c r="X504" s="502" t="str">
        <f>VLOOKUP(Таблица3[[#This Row],[№ акта]],$AJ$1:$BJ$691,19,FALSE)</f>
        <v>полив</v>
      </c>
      <c r="Y504" s="503">
        <f>VLOOKUP(Таблица3[[#This Row],[№ акта]],$AJ$1:$BJ$691,20,FALSE)</f>
        <v>24</v>
      </c>
      <c r="Z504" s="504">
        <f>VLOOKUP(Таблица3[[#This Row],[№ акта]],$AJ$1:$BJ$691,21,FALSE)</f>
        <v>46200</v>
      </c>
      <c r="AA504" s="516"/>
      <c r="AB504" s="504" t="str">
        <f>IF(VLOOKUP(Таблица3[[#This Row],[№ акта]],$AJ$1:$BJ$691,23,FALSE)&lt;&gt;0,VLOOKUP(Таблица3[[#This Row],[№ акта]],$AJ$1:$BJ$691,23,FALSE),"-")</f>
        <v>-</v>
      </c>
      <c r="AC50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04" s="506" t="s">
        <v>2940</v>
      </c>
      <c r="AE504" s="505">
        <v>515</v>
      </c>
      <c r="AF504" s="507">
        <v>46202</v>
      </c>
      <c r="AG504" s="505">
        <v>28</v>
      </c>
      <c r="AH504" s="505">
        <f>IFERROR(VLOOKUP(Таблица3[[#This Row],[№ акта]],'Степень зрелости 2026'!$H$12:$I$800,2,FALSE),)</f>
        <v>53</v>
      </c>
      <c r="AJ504" s="488">
        <v>499</v>
      </c>
      <c r="AK504" s="519">
        <v>46200</v>
      </c>
      <c r="AL504" s="488">
        <v>642</v>
      </c>
      <c r="AO504" s="488">
        <v>13360</v>
      </c>
      <c r="AP504" s="488">
        <v>11289.2</v>
      </c>
      <c r="AQ504" s="488" t="s">
        <v>3645</v>
      </c>
      <c r="AR504" s="488" t="s">
        <v>901</v>
      </c>
      <c r="AS504" s="488" t="s">
        <v>3120</v>
      </c>
      <c r="AT504" s="488" t="s">
        <v>3377</v>
      </c>
      <c r="AV504" s="488" t="s">
        <v>3196</v>
      </c>
      <c r="AX504" s="488" t="s">
        <v>3120</v>
      </c>
      <c r="AY504" s="488" t="s">
        <v>901</v>
      </c>
      <c r="AZ504" s="488">
        <v>6.4</v>
      </c>
      <c r="BA504" s="488" t="s">
        <v>53</v>
      </c>
      <c r="BB504" s="488" t="s">
        <v>178</v>
      </c>
      <c r="BC504" s="488">
        <v>24</v>
      </c>
      <c r="BD504" s="519">
        <v>46200</v>
      </c>
      <c r="BG504" s="488" t="s">
        <v>724</v>
      </c>
      <c r="BH504" s="488" t="s">
        <v>2940</v>
      </c>
      <c r="BI504" s="488">
        <v>15</v>
      </c>
      <c r="BJ504" s="488">
        <v>61</v>
      </c>
      <c r="BK504" s="508"/>
    </row>
    <row r="505" spans="1:63" s="488" customFormat="1" ht="22.5" hidden="1" x14ac:dyDescent="0.25">
      <c r="A505" s="505"/>
      <c r="B505" s="511"/>
      <c r="C505" s="515">
        <f>Таблица3[[#This Row],[Степень зрелости вспом]]</f>
        <v>52</v>
      </c>
      <c r="D505" s="512">
        <v>661</v>
      </c>
      <c r="E505" s="513"/>
      <c r="F505" s="511"/>
      <c r="G505" s="511">
        <v>12710</v>
      </c>
      <c r="H505" s="514"/>
      <c r="I505" s="511">
        <v>10803.5</v>
      </c>
      <c r="J505" s="505" t="s">
        <v>3645</v>
      </c>
      <c r="K505" s="505" t="s">
        <v>909</v>
      </c>
      <c r="L505" s="505" t="s">
        <v>3122</v>
      </c>
      <c r="M505" s="505" t="s">
        <v>3377</v>
      </c>
      <c r="N505" s="505"/>
      <c r="O505" s="505"/>
      <c r="P505" s="505"/>
      <c r="Q505" s="505"/>
      <c r="R505" s="505" t="s">
        <v>3196</v>
      </c>
      <c r="S505" s="505"/>
      <c r="T505" s="482" t="str">
        <f>VLOOKUP(Таблица3[[#This Row],[№ акта]],$AJ$1:$BJ$691,15,FALSE)</f>
        <v>3.3 Колос</v>
      </c>
      <c r="U505" s="482" t="str">
        <f>VLOOKUP(Таблица3[[#This Row],[№ акта]],$AJ$1:$BJ$691,16,FALSE)</f>
        <v>Беркут</v>
      </c>
      <c r="V505" s="502">
        <f>67.4*Таблица3[[#This Row],[Регистратор.Вес нетто]]/380500</f>
        <v>2.2513902759526943</v>
      </c>
      <c r="W505" s="502" t="str">
        <f>VLOOKUP(Таблица3[[#This Row],[№ акта]],$AJ$1:$BJ$691,18,FALSE)</f>
        <v>Колос (полив)</v>
      </c>
      <c r="X505" s="502" t="str">
        <f>VLOOKUP(Таблица3[[#This Row],[№ акта]],$AJ$1:$BJ$691,19,FALSE)</f>
        <v>полив</v>
      </c>
      <c r="Y505" s="503">
        <f>VLOOKUP(Таблица3[[#This Row],[№ акта]],$AJ$1:$BJ$691,20,FALSE)</f>
        <v>24</v>
      </c>
      <c r="Z505" s="504">
        <f>VLOOKUP(Таблица3[[#This Row],[№ акта]],$AJ$1:$BJ$691,21,FALSE)</f>
        <v>46200</v>
      </c>
      <c r="AA505" s="516"/>
      <c r="AB505" s="504" t="str">
        <f>IF(VLOOKUP(Таблица3[[#This Row],[№ акта]],$AJ$1:$BJ$691,23,FALSE)&lt;&gt;0,VLOOKUP(Таблица3[[#This Row],[№ акта]],$AJ$1:$BJ$691,23,FALSE),"-")</f>
        <v>-</v>
      </c>
      <c r="AC50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05" s="506" t="s">
        <v>2940</v>
      </c>
      <c r="AE505" s="505">
        <v>516</v>
      </c>
      <c r="AF505" s="507">
        <v>46202</v>
      </c>
      <c r="AG505" s="505">
        <v>29</v>
      </c>
      <c r="AH505" s="505">
        <f>IFERROR(VLOOKUP(Таблица3[[#This Row],[№ акта]],'Степень зрелости 2026'!$H$12:$I$800,2,FALSE),)</f>
        <v>52</v>
      </c>
      <c r="AJ505" s="488">
        <v>500</v>
      </c>
      <c r="AK505" s="519">
        <v>46200</v>
      </c>
      <c r="AL505" s="488">
        <v>643</v>
      </c>
      <c r="AO505" s="488">
        <v>14600</v>
      </c>
      <c r="AP505" s="488">
        <v>12921</v>
      </c>
      <c r="AQ505" s="488" t="s">
        <v>3645</v>
      </c>
      <c r="AR505" s="488" t="s">
        <v>901</v>
      </c>
      <c r="AS505" s="488" t="s">
        <v>3120</v>
      </c>
      <c r="AT505" s="488" t="s">
        <v>133</v>
      </c>
      <c r="AV505" s="488" t="s">
        <v>137</v>
      </c>
      <c r="AX505" s="488" t="s">
        <v>3120</v>
      </c>
      <c r="AY505" s="488" t="s">
        <v>901</v>
      </c>
      <c r="AZ505" s="488">
        <v>7</v>
      </c>
      <c r="BA505" s="488" t="s">
        <v>53</v>
      </c>
      <c r="BB505" s="488" t="s">
        <v>178</v>
      </c>
      <c r="BC505" s="488">
        <v>24</v>
      </c>
      <c r="BD505" s="519">
        <v>46200</v>
      </c>
      <c r="BG505" s="488" t="s">
        <v>420</v>
      </c>
      <c r="BH505" s="488" t="s">
        <v>2940</v>
      </c>
      <c r="BI505" s="488">
        <v>17</v>
      </c>
      <c r="BJ505" s="488">
        <v>77</v>
      </c>
      <c r="BK505" s="508"/>
    </row>
    <row r="506" spans="1:63" s="488" customFormat="1" ht="22.5" hidden="1" x14ac:dyDescent="0.25">
      <c r="A506" s="505"/>
      <c r="B506" s="511"/>
      <c r="C506" s="515">
        <f>Таблица3[[#This Row],[Степень зрелости вспом]]</f>
        <v>51</v>
      </c>
      <c r="D506" s="512">
        <v>662</v>
      </c>
      <c r="E506" s="513"/>
      <c r="F506" s="511"/>
      <c r="G506" s="511">
        <v>12910</v>
      </c>
      <c r="H506" s="514"/>
      <c r="I506" s="511">
        <v>10844.4</v>
      </c>
      <c r="J506" s="505" t="s">
        <v>3645</v>
      </c>
      <c r="K506" s="505" t="s">
        <v>909</v>
      </c>
      <c r="L506" s="505" t="s">
        <v>3122</v>
      </c>
      <c r="M506" s="505" t="s">
        <v>311</v>
      </c>
      <c r="N506" s="505"/>
      <c r="O506" s="505"/>
      <c r="P506" s="505"/>
      <c r="Q506" s="505"/>
      <c r="R506" s="505" t="s">
        <v>315</v>
      </c>
      <c r="S506" s="505"/>
      <c r="T506" s="482" t="str">
        <f>VLOOKUP(Таблица3[[#This Row],[№ акта]],$AJ$1:$BJ$691,15,FALSE)</f>
        <v>3.3 Колос</v>
      </c>
      <c r="U506" s="482" t="str">
        <f>VLOOKUP(Таблица3[[#This Row],[№ акта]],$AJ$1:$BJ$691,16,FALSE)</f>
        <v>Беркут</v>
      </c>
      <c r="V506" s="502">
        <f>67.4*Таблица3[[#This Row],[Регистратор.Вес нетто]]/380500</f>
        <v>2.286817345597898</v>
      </c>
      <c r="W506" s="502" t="str">
        <f>VLOOKUP(Таблица3[[#This Row],[№ акта]],$AJ$1:$BJ$691,18,FALSE)</f>
        <v>Колос (полив)</v>
      </c>
      <c r="X506" s="502" t="str">
        <f>VLOOKUP(Таблица3[[#This Row],[№ акта]],$AJ$1:$BJ$691,19,FALSE)</f>
        <v>полив</v>
      </c>
      <c r="Y506" s="503">
        <f>VLOOKUP(Таблица3[[#This Row],[№ акта]],$AJ$1:$BJ$691,20,FALSE)</f>
        <v>24</v>
      </c>
      <c r="Z506" s="507">
        <f>VLOOKUP(Таблица3[[#This Row],[№ акта]],$AJ$1:$BJ$691,21,FALSE)</f>
        <v>46200</v>
      </c>
      <c r="AA506" s="516"/>
      <c r="AB506" s="504" t="str">
        <f>IF(VLOOKUP(Таблица3[[#This Row],[№ акта]],$AJ$1:$BJ$691,23,FALSE)&lt;&gt;0,VLOOKUP(Таблица3[[#This Row],[№ акта]],$AJ$1:$BJ$691,23,FALSE),"-")</f>
        <v>-</v>
      </c>
      <c r="AC50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06" s="506" t="s">
        <v>2940</v>
      </c>
      <c r="AE506" s="505">
        <v>517</v>
      </c>
      <c r="AF506" s="507">
        <v>46202</v>
      </c>
      <c r="AG506" s="505">
        <v>30</v>
      </c>
      <c r="AH506" s="505">
        <f>IFERROR(VLOOKUP(Таблица3[[#This Row],[№ акта]],'Степень зрелости 2026'!$H$12:$I$800,2,FALSE),)</f>
        <v>51</v>
      </c>
      <c r="AJ506" s="488">
        <v>501</v>
      </c>
      <c r="AK506" s="519">
        <v>46200</v>
      </c>
      <c r="AL506" s="488">
        <v>644</v>
      </c>
      <c r="AO506" s="488">
        <v>15280</v>
      </c>
      <c r="AP506" s="488">
        <v>14439.6</v>
      </c>
      <c r="AQ506" s="488" t="s">
        <v>3464</v>
      </c>
      <c r="AR506" s="488" t="s">
        <v>909</v>
      </c>
      <c r="AS506" s="488" t="s">
        <v>3115</v>
      </c>
      <c r="AT506" s="488" t="s">
        <v>239</v>
      </c>
      <c r="AV506" s="488" t="s">
        <v>243</v>
      </c>
      <c r="AX506" s="488" t="s">
        <v>3116</v>
      </c>
      <c r="AY506" s="488" t="s">
        <v>909</v>
      </c>
      <c r="AZ506" s="488">
        <v>2.2999999999999998</v>
      </c>
      <c r="BA506" s="488" t="s">
        <v>52</v>
      </c>
      <c r="BB506" s="488" t="s">
        <v>178</v>
      </c>
      <c r="BC506" s="488">
        <v>24</v>
      </c>
      <c r="BD506" s="519">
        <v>46200</v>
      </c>
      <c r="BG506" s="488" t="s">
        <v>420</v>
      </c>
      <c r="BH506" s="488" t="s">
        <v>2940</v>
      </c>
      <c r="BI506" s="488">
        <v>103</v>
      </c>
      <c r="BJ506" s="488">
        <v>75</v>
      </c>
      <c r="BK506" s="508"/>
    </row>
    <row r="507" spans="1:63" s="488" customFormat="1" ht="22.5" hidden="1" x14ac:dyDescent="0.25">
      <c r="A507" s="505"/>
      <c r="B507" s="511"/>
      <c r="C507" s="515">
        <f>Таблица3[[#This Row],[Степень зрелости вспом]]</f>
        <v>55</v>
      </c>
      <c r="D507" s="512">
        <v>663</v>
      </c>
      <c r="E507" s="513"/>
      <c r="F507" s="511"/>
      <c r="G507" s="511">
        <v>12770</v>
      </c>
      <c r="H507" s="514"/>
      <c r="I507" s="511">
        <v>11556.9</v>
      </c>
      <c r="J507" s="505" t="s">
        <v>3645</v>
      </c>
      <c r="K507" s="505" t="s">
        <v>909</v>
      </c>
      <c r="L507" s="505" t="s">
        <v>3122</v>
      </c>
      <c r="M507" s="505" t="s">
        <v>133</v>
      </c>
      <c r="N507" s="505"/>
      <c r="O507" s="505"/>
      <c r="P507" s="505"/>
      <c r="Q507" s="505"/>
      <c r="R507" s="505" t="s">
        <v>137</v>
      </c>
      <c r="S507" s="505"/>
      <c r="T507" s="482" t="str">
        <f>VLOOKUP(Таблица3[[#This Row],[№ акта]],$AJ$1:$BJ$691,15,FALSE)</f>
        <v>3.3 Колос</v>
      </c>
      <c r="U507" s="482" t="str">
        <f>VLOOKUP(Таблица3[[#This Row],[№ акта]],$AJ$1:$BJ$691,16,FALSE)</f>
        <v>Фаворит</v>
      </c>
      <c r="V507" s="502">
        <f>VLOOKUP(Таблица3[[#This Row],[№ акта]],$AJ$1:$BJ$691,17,FALSE)</f>
        <v>1.9</v>
      </c>
      <c r="W507" s="502" t="str">
        <f>VLOOKUP(Таблица3[[#This Row],[№ акта]],$AJ$1:$BJ$691,18,FALSE)</f>
        <v>Колос (полив)</v>
      </c>
      <c r="X507" s="502" t="str">
        <f>VLOOKUP(Таблица3[[#This Row],[№ акта]],$AJ$1:$BJ$691,19,FALSE)</f>
        <v>полив</v>
      </c>
      <c r="Y507" s="503">
        <f>VLOOKUP(Таблица3[[#This Row],[№ акта]],$AJ$1:$BJ$691,20,FALSE)</f>
        <v>25</v>
      </c>
      <c r="Z507" s="504">
        <f>VLOOKUP(Таблица3[[#This Row],[№ акта]],$AJ$1:$BJ$691,21,FALSE)</f>
        <v>46201</v>
      </c>
      <c r="AA507" s="516"/>
      <c r="AB507" s="504" t="str">
        <f>IF(VLOOKUP(Таблица3[[#This Row],[№ акта]],$AJ$1:$BJ$691,23,FALSE)&lt;&gt;0,VLOOKUP(Таблица3[[#This Row],[№ акта]],$AJ$1:$BJ$691,23,FALSE),"-")</f>
        <v>-</v>
      </c>
      <c r="AC50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07" s="506" t="s">
        <v>2940</v>
      </c>
      <c r="AE507" s="505">
        <v>518</v>
      </c>
      <c r="AF507" s="507">
        <v>46202</v>
      </c>
      <c r="AG507" s="505">
        <v>31</v>
      </c>
      <c r="AH507" s="505">
        <f>IFERROR(VLOOKUP(Таблица3[[#This Row],[№ акта]],'Степень зрелости 2026'!$H$12:$I$800,2,FALSE),)</f>
        <v>55</v>
      </c>
      <c r="AJ507" s="488">
        <v>502</v>
      </c>
      <c r="AK507" s="519">
        <v>46201</v>
      </c>
      <c r="AL507" s="488">
        <v>645</v>
      </c>
      <c r="AO507" s="488">
        <v>14390</v>
      </c>
      <c r="AP507" s="488">
        <v>13166.9</v>
      </c>
      <c r="AQ507" s="488" t="s">
        <v>3645</v>
      </c>
      <c r="AR507" s="488" t="s">
        <v>901</v>
      </c>
      <c r="AS507" s="488" t="s">
        <v>3122</v>
      </c>
      <c r="AT507" s="488" t="s">
        <v>335</v>
      </c>
      <c r="AV507" s="488" t="s">
        <v>339</v>
      </c>
      <c r="AX507" s="488" t="s">
        <v>3122</v>
      </c>
      <c r="AY507" s="488" t="s">
        <v>901</v>
      </c>
      <c r="AZ507" s="488">
        <v>2.2000000000000002</v>
      </c>
      <c r="BA507" s="488" t="s">
        <v>53</v>
      </c>
      <c r="BB507" s="488" t="s">
        <v>178</v>
      </c>
      <c r="BC507" s="488">
        <v>25</v>
      </c>
      <c r="BD507" s="519">
        <v>46201</v>
      </c>
      <c r="BG507" s="488" t="s">
        <v>3559</v>
      </c>
      <c r="BH507" s="488" t="s">
        <v>2940</v>
      </c>
      <c r="BI507" s="488">
        <v>18</v>
      </c>
      <c r="BJ507" s="488">
        <v>64</v>
      </c>
      <c r="BK507" s="508"/>
    </row>
    <row r="508" spans="1:63" s="488" customFormat="1" ht="22.5" hidden="1" x14ac:dyDescent="0.25">
      <c r="A508" s="505"/>
      <c r="B508" s="511"/>
      <c r="C508" s="515">
        <f>Таблица3[[#This Row],[Степень зрелости вспом]]</f>
        <v>52</v>
      </c>
      <c r="D508" s="512">
        <v>664</v>
      </c>
      <c r="E508" s="513"/>
      <c r="F508" s="511"/>
      <c r="G508" s="511">
        <v>12710</v>
      </c>
      <c r="H508" s="514"/>
      <c r="I508" s="511">
        <v>11375.5</v>
      </c>
      <c r="J508" s="505" t="s">
        <v>3645</v>
      </c>
      <c r="K508" s="505" t="s">
        <v>909</v>
      </c>
      <c r="L508" s="505" t="s">
        <v>3122</v>
      </c>
      <c r="M508" s="505" t="s">
        <v>1312</v>
      </c>
      <c r="N508" s="505"/>
      <c r="O508" s="505"/>
      <c r="P508" s="505"/>
      <c r="Q508" s="505"/>
      <c r="R508" s="505" t="s">
        <v>320</v>
      </c>
      <c r="S508" s="505"/>
      <c r="T508" s="482" t="str">
        <f>VLOOKUP(Таблица3[[#This Row],[№ акта]],$AJ$1:$BJ$691,15,FALSE)</f>
        <v>3.3 Колос</v>
      </c>
      <c r="U508" s="482" t="str">
        <f>VLOOKUP(Таблица3[[#This Row],[№ акта]],$AJ$1:$BJ$691,16,FALSE)</f>
        <v>Фаворит</v>
      </c>
      <c r="V508" s="502">
        <f>VLOOKUP(Таблица3[[#This Row],[№ акта]],$AJ$1:$BJ$691,17,FALSE)</f>
        <v>1.9</v>
      </c>
      <c r="W508" s="502" t="str">
        <f>VLOOKUP(Таблица3[[#This Row],[№ акта]],$AJ$1:$BJ$691,18,FALSE)</f>
        <v>Колос (полив)</v>
      </c>
      <c r="X508" s="502" t="str">
        <f>VLOOKUP(Таблица3[[#This Row],[№ акта]],$AJ$1:$BJ$691,19,FALSE)</f>
        <v>полив</v>
      </c>
      <c r="Y508" s="503">
        <f>VLOOKUP(Таблица3[[#This Row],[№ акта]],$AJ$1:$BJ$691,20,FALSE)</f>
        <v>25</v>
      </c>
      <c r="Z508" s="504">
        <f>VLOOKUP(Таблица3[[#This Row],[№ акта]],$AJ$1:$BJ$691,21,FALSE)</f>
        <v>46201</v>
      </c>
      <c r="AA508" s="516"/>
      <c r="AB508" s="504" t="str">
        <f>IF(VLOOKUP(Таблица3[[#This Row],[№ акта]],$AJ$1:$BJ$691,23,FALSE)&lt;&gt;0,VLOOKUP(Таблица3[[#This Row],[№ акта]],$AJ$1:$BJ$691,23,FALSE),"-")</f>
        <v>-</v>
      </c>
      <c r="AC50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08" s="506" t="s">
        <v>2940</v>
      </c>
      <c r="AE508" s="505">
        <v>519</v>
      </c>
      <c r="AF508" s="507">
        <v>46202</v>
      </c>
      <c r="AG508" s="505">
        <v>32</v>
      </c>
      <c r="AH508" s="505">
        <f>IFERROR(VLOOKUP(Таблица3[[#This Row],[№ акта]],'Степень зрелости 2026'!$H$12:$I$800,2,FALSE),)</f>
        <v>52</v>
      </c>
      <c r="AJ508" s="488">
        <v>503</v>
      </c>
      <c r="AK508" s="519">
        <v>46201</v>
      </c>
      <c r="AL508" s="488">
        <v>646</v>
      </c>
      <c r="AO508" s="488">
        <v>11220</v>
      </c>
      <c r="AP508" s="488">
        <v>9817.5</v>
      </c>
      <c r="AQ508" s="488" t="s">
        <v>3645</v>
      </c>
      <c r="AR508" s="488" t="s">
        <v>901</v>
      </c>
      <c r="AS508" s="488" t="s">
        <v>3122</v>
      </c>
      <c r="AT508" s="488" t="s">
        <v>1151</v>
      </c>
      <c r="AV508" s="488" t="s">
        <v>145</v>
      </c>
      <c r="AX508" s="488" t="s">
        <v>3122</v>
      </c>
      <c r="AY508" s="488" t="s">
        <v>901</v>
      </c>
      <c r="AZ508" s="488">
        <v>1.7</v>
      </c>
      <c r="BA508" s="488" t="s">
        <v>53</v>
      </c>
      <c r="BB508" s="488" t="s">
        <v>178</v>
      </c>
      <c r="BC508" s="488">
        <v>25</v>
      </c>
      <c r="BD508" s="519">
        <v>46201</v>
      </c>
      <c r="BG508" s="488" t="s">
        <v>724</v>
      </c>
      <c r="BH508" s="488" t="s">
        <v>2940</v>
      </c>
      <c r="BI508" s="488">
        <v>19</v>
      </c>
      <c r="BJ508" s="488">
        <v>59</v>
      </c>
      <c r="BK508" s="508"/>
    </row>
    <row r="509" spans="1:63" s="488" customFormat="1" ht="22.5" hidden="1" x14ac:dyDescent="0.25">
      <c r="A509" s="505"/>
      <c r="B509" s="511"/>
      <c r="C509" s="515">
        <f>Таблица3[[#This Row],[Степень зрелости вспом]]</f>
        <v>53</v>
      </c>
      <c r="D509" s="512">
        <v>665</v>
      </c>
      <c r="E509" s="513"/>
      <c r="F509" s="511"/>
      <c r="G509" s="511">
        <v>12870</v>
      </c>
      <c r="H509" s="514"/>
      <c r="I509" s="511">
        <v>11261.3</v>
      </c>
      <c r="J509" s="505" t="s">
        <v>3645</v>
      </c>
      <c r="K509" s="505" t="s">
        <v>909</v>
      </c>
      <c r="L509" s="505" t="s">
        <v>3122</v>
      </c>
      <c r="M509" s="505" t="s">
        <v>894</v>
      </c>
      <c r="N509" s="505"/>
      <c r="O509" s="505"/>
      <c r="P509" s="505"/>
      <c r="Q509" s="505"/>
      <c r="R509" s="505" t="s">
        <v>895</v>
      </c>
      <c r="S509" s="505"/>
      <c r="T509" s="482" t="str">
        <f>VLOOKUP(Таблица3[[#This Row],[№ акта]],$AJ$1:$BJ$691,15,FALSE)</f>
        <v>3.3 Колос</v>
      </c>
      <c r="U509" s="482" t="str">
        <f>VLOOKUP(Таблица3[[#This Row],[№ акта]],$AJ$1:$BJ$691,16,FALSE)</f>
        <v>Фаворит</v>
      </c>
      <c r="V509" s="502">
        <f>VLOOKUP(Таблица3[[#This Row],[№ акта]],$AJ$1:$BJ$691,17,FALSE)</f>
        <v>1.9</v>
      </c>
      <c r="W509" s="502" t="str">
        <f>VLOOKUP(Таблица3[[#This Row],[№ акта]],$AJ$1:$BJ$691,18,FALSE)</f>
        <v>Колос (полив)</v>
      </c>
      <c r="X509" s="502" t="str">
        <f>VLOOKUP(Таблица3[[#This Row],[№ акта]],$AJ$1:$BJ$691,19,FALSE)</f>
        <v>полив</v>
      </c>
      <c r="Y509" s="503">
        <f>VLOOKUP(Таблица3[[#This Row],[№ акта]],$AJ$1:$BJ$691,20,FALSE)</f>
        <v>25</v>
      </c>
      <c r="Z509" s="507">
        <f>VLOOKUP(Таблица3[[#This Row],[№ акта]],$AJ$1:$BJ$691,21,FALSE)</f>
        <v>46201</v>
      </c>
      <c r="AA509" s="516"/>
      <c r="AB509" s="504" t="str">
        <f>IF(VLOOKUP(Таблица3[[#This Row],[№ акта]],$AJ$1:$BJ$691,23,FALSE)&lt;&gt;0,VLOOKUP(Таблица3[[#This Row],[№ акта]],$AJ$1:$BJ$691,23,FALSE),"-")</f>
        <v>-</v>
      </c>
      <c r="AC50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09" s="506" t="s">
        <v>2940</v>
      </c>
      <c r="AE509" s="505">
        <v>521</v>
      </c>
      <c r="AF509" s="507">
        <v>46202</v>
      </c>
      <c r="AG509" s="505">
        <v>33</v>
      </c>
      <c r="AH509" s="505">
        <f>IFERROR(VLOOKUP(Таблица3[[#This Row],[№ акта]],'Степень зрелости 2026'!$H$12:$I$800,2,FALSE),)</f>
        <v>53</v>
      </c>
      <c r="AJ509" s="488">
        <v>504</v>
      </c>
      <c r="AK509" s="519">
        <v>46201</v>
      </c>
      <c r="AL509" s="488">
        <v>647</v>
      </c>
      <c r="AO509" s="488">
        <v>15310</v>
      </c>
      <c r="AP509" s="488">
        <v>14544.5</v>
      </c>
      <c r="AQ509" s="488" t="s">
        <v>3464</v>
      </c>
      <c r="AR509" s="488" t="s">
        <v>909</v>
      </c>
      <c r="AS509" s="488" t="s">
        <v>3115</v>
      </c>
      <c r="AT509" s="488" t="s">
        <v>347</v>
      </c>
      <c r="AV509" s="488" t="s">
        <v>351</v>
      </c>
      <c r="AX509" s="488" t="s">
        <v>3116</v>
      </c>
      <c r="AY509" s="488" t="s">
        <v>909</v>
      </c>
      <c r="AZ509" s="488">
        <v>2.2999999999999998</v>
      </c>
      <c r="BA509" s="488" t="s">
        <v>52</v>
      </c>
      <c r="BB509" s="488" t="s">
        <v>178</v>
      </c>
      <c r="BC509" s="488">
        <v>25</v>
      </c>
      <c r="BD509" s="519">
        <v>46201</v>
      </c>
      <c r="BG509" s="488" t="s">
        <v>420</v>
      </c>
      <c r="BH509" s="488" t="s">
        <v>2940</v>
      </c>
      <c r="BI509" s="488">
        <v>105</v>
      </c>
      <c r="BJ509" s="488">
        <v>77</v>
      </c>
      <c r="BK509" s="508"/>
    </row>
    <row r="510" spans="1:63" s="488" customFormat="1" ht="22.5" hidden="1" x14ac:dyDescent="0.25">
      <c r="A510" s="505"/>
      <c r="B510" s="511"/>
      <c r="C510" s="515">
        <f>Таблица3[[#This Row],[Степень зрелости вспом]]</f>
        <v>50</v>
      </c>
      <c r="D510" s="512">
        <v>666</v>
      </c>
      <c r="E510" s="513"/>
      <c r="F510" s="511"/>
      <c r="G510" s="511">
        <v>12690</v>
      </c>
      <c r="H510" s="514"/>
      <c r="I510" s="511">
        <v>11294.1</v>
      </c>
      <c r="J510" s="505" t="s">
        <v>3645</v>
      </c>
      <c r="K510" s="505" t="s">
        <v>909</v>
      </c>
      <c r="L510" s="505" t="s">
        <v>3122</v>
      </c>
      <c r="M510" s="505" t="s">
        <v>1461</v>
      </c>
      <c r="N510" s="505"/>
      <c r="O510" s="505"/>
      <c r="P510" s="505"/>
      <c r="Q510" s="505"/>
      <c r="R510" s="505" t="s">
        <v>149</v>
      </c>
      <c r="S510" s="505"/>
      <c r="T510" s="482" t="str">
        <f>VLOOKUP(Таблица3[[#This Row],[№ акта]],$AJ$1:$BJ$691,15,FALSE)</f>
        <v>3.3 Колос</v>
      </c>
      <c r="U510" s="482" t="str">
        <f>VLOOKUP(Таблица3[[#This Row],[№ акта]],$AJ$1:$BJ$691,16,FALSE)</f>
        <v>Фаворит</v>
      </c>
      <c r="V510" s="502">
        <f>VLOOKUP(Таблица3[[#This Row],[№ акта]],$AJ$1:$BJ$691,17,FALSE)</f>
        <v>1.9</v>
      </c>
      <c r="W510" s="502" t="str">
        <f>VLOOKUP(Таблица3[[#This Row],[№ акта]],$AJ$1:$BJ$691,18,FALSE)</f>
        <v>Колос (полив)</v>
      </c>
      <c r="X510" s="502" t="str">
        <f>VLOOKUP(Таблица3[[#This Row],[№ акта]],$AJ$1:$BJ$691,19,FALSE)</f>
        <v>полив</v>
      </c>
      <c r="Y510" s="503">
        <f>VLOOKUP(Таблица3[[#This Row],[№ акта]],$AJ$1:$BJ$691,20,FALSE)</f>
        <v>25</v>
      </c>
      <c r="Z510" s="507">
        <f>VLOOKUP(Таблица3[[#This Row],[№ акта]],$AJ$1:$BJ$691,21,FALSE)</f>
        <v>46201</v>
      </c>
      <c r="AA510" s="516"/>
      <c r="AB510" s="504" t="str">
        <f>IF(VLOOKUP(Таблица3[[#This Row],[№ акта]],$AJ$1:$BJ$691,23,FALSE)&lt;&gt;0,VLOOKUP(Таблица3[[#This Row],[№ акта]],$AJ$1:$BJ$691,23,FALSE),"-")</f>
        <v>-</v>
      </c>
      <c r="AC51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10" s="506" t="s">
        <v>2940</v>
      </c>
      <c r="AE510" s="505">
        <v>520</v>
      </c>
      <c r="AF510" s="507">
        <v>46202</v>
      </c>
      <c r="AG510" s="505">
        <v>34</v>
      </c>
      <c r="AH510" s="505">
        <f>IFERROR(VLOOKUP(Таблица3[[#This Row],[№ акта]],'Степень зрелости 2026'!$H$12:$I$800,2,FALSE),)</f>
        <v>50</v>
      </c>
      <c r="AJ510" s="488">
        <v>505</v>
      </c>
      <c r="AK510" s="519">
        <v>46201</v>
      </c>
      <c r="AL510" s="488">
        <v>648</v>
      </c>
      <c r="AO510" s="488">
        <v>15110</v>
      </c>
      <c r="AP510" s="488">
        <v>14430.1</v>
      </c>
      <c r="AQ510" s="488" t="s">
        <v>3464</v>
      </c>
      <c r="AR510" s="488" t="s">
        <v>909</v>
      </c>
      <c r="AS510" s="488" t="s">
        <v>3115</v>
      </c>
      <c r="AT510" s="488" t="s">
        <v>212</v>
      </c>
      <c r="AV510" s="488" t="s">
        <v>2965</v>
      </c>
      <c r="AX510" s="488" t="s">
        <v>3116</v>
      </c>
      <c r="AY510" s="488" t="s">
        <v>909</v>
      </c>
      <c r="AZ510" s="488">
        <v>2.2999999999999998</v>
      </c>
      <c r="BA510" s="488" t="s">
        <v>52</v>
      </c>
      <c r="BB510" s="488" t="s">
        <v>178</v>
      </c>
      <c r="BC510" s="488">
        <v>25</v>
      </c>
      <c r="BD510" s="519">
        <v>46201</v>
      </c>
      <c r="BG510" s="488" t="s">
        <v>420</v>
      </c>
      <c r="BH510" s="488" t="s">
        <v>2940</v>
      </c>
      <c r="BI510" s="488">
        <v>107</v>
      </c>
      <c r="BJ510" s="488">
        <v>77</v>
      </c>
      <c r="BK510" s="508"/>
    </row>
    <row r="511" spans="1:63" s="488" customFormat="1" ht="22.5" hidden="1" x14ac:dyDescent="0.25">
      <c r="A511" s="505"/>
      <c r="B511" s="511"/>
      <c r="C511" s="515">
        <f>Таблица3[[#This Row],[Степень зрелости вспом]]</f>
        <v>50</v>
      </c>
      <c r="D511" s="512">
        <v>667</v>
      </c>
      <c r="E511" s="513"/>
      <c r="F511" s="511"/>
      <c r="G511" s="511">
        <v>12760</v>
      </c>
      <c r="H511" s="514"/>
      <c r="I511" s="511">
        <v>11356.4</v>
      </c>
      <c r="J511" s="505" t="s">
        <v>3645</v>
      </c>
      <c r="K511" s="505" t="s">
        <v>909</v>
      </c>
      <c r="L511" s="505" t="s">
        <v>3122</v>
      </c>
      <c r="M511" s="505" t="s">
        <v>195</v>
      </c>
      <c r="N511" s="505"/>
      <c r="O511" s="505"/>
      <c r="P511" s="505"/>
      <c r="Q511" s="505"/>
      <c r="R511" s="505" t="s">
        <v>199</v>
      </c>
      <c r="S511" s="505"/>
      <c r="T511" s="482" t="str">
        <f>VLOOKUP(Таблица3[[#This Row],[№ акта]],$AJ$1:$BJ$691,15,FALSE)</f>
        <v>3.3 Колос</v>
      </c>
      <c r="U511" s="482" t="str">
        <f>VLOOKUP(Таблица3[[#This Row],[№ акта]],$AJ$1:$BJ$691,16,FALSE)</f>
        <v>Фаворит</v>
      </c>
      <c r="V511" s="502">
        <f>VLOOKUP(Таблица3[[#This Row],[№ акта]],$AJ$1:$BJ$691,17,FALSE)</f>
        <v>1.9</v>
      </c>
      <c r="W511" s="502" t="str">
        <f>VLOOKUP(Таблица3[[#This Row],[№ акта]],$AJ$1:$BJ$691,18,FALSE)</f>
        <v>Колос (полив)</v>
      </c>
      <c r="X511" s="502" t="str">
        <f>VLOOKUP(Таблица3[[#This Row],[№ акта]],$AJ$1:$BJ$691,19,FALSE)</f>
        <v>полив</v>
      </c>
      <c r="Y511" s="503">
        <f>VLOOKUP(Таблица3[[#This Row],[№ акта]],$AJ$1:$BJ$691,20,FALSE)</f>
        <v>25</v>
      </c>
      <c r="Z511" s="507">
        <f>VLOOKUP(Таблица3[[#This Row],[№ акта]],$AJ$1:$BJ$691,21,FALSE)</f>
        <v>46201</v>
      </c>
      <c r="AA511" s="516"/>
      <c r="AB511" s="504" t="str">
        <f>IF(VLOOKUP(Таблица3[[#This Row],[№ акта]],$AJ$1:$BJ$691,23,FALSE)&lt;&gt;0,VLOOKUP(Таблица3[[#This Row],[№ акта]],$AJ$1:$BJ$691,23,FALSE),"-")</f>
        <v>-</v>
      </c>
      <c r="AC51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11" s="506" t="s">
        <v>2940</v>
      </c>
      <c r="AE511" s="505">
        <v>522</v>
      </c>
      <c r="AF511" s="507">
        <v>46202</v>
      </c>
      <c r="AG511" s="505">
        <v>35</v>
      </c>
      <c r="AH511" s="505">
        <f>IFERROR(VLOOKUP(Таблица3[[#This Row],[№ акта]],'Степень зрелости 2026'!$H$12:$I$800,2,FALSE),)</f>
        <v>50</v>
      </c>
      <c r="AJ511" s="488">
        <v>506</v>
      </c>
      <c r="AK511" s="519">
        <v>46201</v>
      </c>
      <c r="AL511" s="488">
        <v>649</v>
      </c>
      <c r="AO511" s="488">
        <v>15140</v>
      </c>
      <c r="AP511" s="488">
        <v>14610.1</v>
      </c>
      <c r="AQ511" s="488" t="s">
        <v>3464</v>
      </c>
      <c r="AR511" s="488" t="s">
        <v>909</v>
      </c>
      <c r="AS511" s="488" t="s">
        <v>3115</v>
      </c>
      <c r="AT511" s="488" t="s">
        <v>1312</v>
      </c>
      <c r="AV511" s="488" t="s">
        <v>320</v>
      </c>
      <c r="AX511" s="488" t="s">
        <v>3116</v>
      </c>
      <c r="AY511" s="488" t="s">
        <v>909</v>
      </c>
      <c r="AZ511" s="488">
        <v>2.2999999999999998</v>
      </c>
      <c r="BA511" s="488" t="s">
        <v>52</v>
      </c>
      <c r="BB511" s="488" t="s">
        <v>178</v>
      </c>
      <c r="BC511" s="488">
        <v>25</v>
      </c>
      <c r="BD511" s="519">
        <v>46201</v>
      </c>
      <c r="BG511" s="488" t="s">
        <v>420</v>
      </c>
      <c r="BH511" s="488" t="s">
        <v>2940</v>
      </c>
      <c r="BI511" s="488">
        <v>108</v>
      </c>
      <c r="BJ511" s="488">
        <v>80</v>
      </c>
      <c r="BK511" s="508"/>
    </row>
    <row r="512" spans="1:63" s="488" customFormat="1" ht="22.5" hidden="1" x14ac:dyDescent="0.25">
      <c r="A512" s="505"/>
      <c r="B512" s="511"/>
      <c r="C512" s="515">
        <f>Таблица3[[#This Row],[Степень зрелости вспом]]</f>
        <v>53</v>
      </c>
      <c r="D512" s="512">
        <v>669</v>
      </c>
      <c r="E512" s="513"/>
      <c r="F512" s="511"/>
      <c r="G512" s="511">
        <v>13220</v>
      </c>
      <c r="H512" s="514"/>
      <c r="I512" s="511">
        <v>11964.1</v>
      </c>
      <c r="J512" s="505" t="s">
        <v>3645</v>
      </c>
      <c r="K512" s="505" t="s">
        <v>909</v>
      </c>
      <c r="L512" s="505" t="s">
        <v>3122</v>
      </c>
      <c r="M512" s="505" t="s">
        <v>239</v>
      </c>
      <c r="N512" s="505"/>
      <c r="O512" s="505"/>
      <c r="P512" s="505"/>
      <c r="Q512" s="505"/>
      <c r="R512" s="505" t="s">
        <v>243</v>
      </c>
      <c r="S512" s="505"/>
      <c r="T512" s="482" t="str">
        <f>VLOOKUP(Таблица3[[#This Row],[№ акта]],$AJ$1:$BJ$691,15,FALSE)</f>
        <v>3.3 Колос</v>
      </c>
      <c r="U512" s="482" t="str">
        <f>VLOOKUP(Таблица3[[#This Row],[№ акта]],$AJ$1:$BJ$691,16,FALSE)</f>
        <v>Фаворит</v>
      </c>
      <c r="V512" s="502">
        <f>VLOOKUP(Таблица3[[#This Row],[№ акта]],$AJ$1:$BJ$691,17,FALSE)</f>
        <v>2</v>
      </c>
      <c r="W512" s="502" t="str">
        <f>VLOOKUP(Таблица3[[#This Row],[№ акта]],$AJ$1:$BJ$691,18,FALSE)</f>
        <v>Колос (полив)</v>
      </c>
      <c r="X512" s="516" t="str">
        <f>VLOOKUP(Таблица3[[#This Row],[№ акта]],$AJ$1:$BJ$691,19,FALSE)</f>
        <v>полив</v>
      </c>
      <c r="Y512" s="503">
        <f>VLOOKUP(Таблица3[[#This Row],[№ акта]],$AJ$1:$BJ$691,20,FALSE)</f>
        <v>25</v>
      </c>
      <c r="Z512" s="504">
        <f>VLOOKUP(Таблица3[[#This Row],[№ акта]],$AJ$1:$BJ$691,21,FALSE)</f>
        <v>46201</v>
      </c>
      <c r="AA512" s="516"/>
      <c r="AB512" s="504" t="str">
        <f>IF(VLOOKUP(Таблица3[[#This Row],[№ акта]],$AJ$1:$BJ$691,23,FALSE)&lt;&gt;0,VLOOKUP(Таблица3[[#This Row],[№ акта]],$AJ$1:$BJ$691,23,FALSE),"-")</f>
        <v>-</v>
      </c>
      <c r="AC51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12" s="506" t="s">
        <v>2940</v>
      </c>
      <c r="AE512" s="505">
        <v>523</v>
      </c>
      <c r="AF512" s="507">
        <v>46202</v>
      </c>
      <c r="AG512" s="505">
        <v>36</v>
      </c>
      <c r="AH512" s="505">
        <f>IFERROR(VLOOKUP(Таблица3[[#This Row],[№ акта]],'Степень зрелости 2026'!$H$12:$I$800,2,FALSE),)</f>
        <v>53</v>
      </c>
      <c r="AJ512" s="488">
        <v>507</v>
      </c>
      <c r="AK512" s="519">
        <v>46201</v>
      </c>
      <c r="AL512" s="488">
        <v>652</v>
      </c>
      <c r="AO512" s="488">
        <v>14540</v>
      </c>
      <c r="AP512" s="488">
        <v>13304.1</v>
      </c>
      <c r="AQ512" s="488" t="s">
        <v>3645</v>
      </c>
      <c r="AR512" s="488" t="s">
        <v>901</v>
      </c>
      <c r="AS512" s="488" t="s">
        <v>3122</v>
      </c>
      <c r="AT512" s="488" t="s">
        <v>3623</v>
      </c>
      <c r="AV512" s="488" t="s">
        <v>3679</v>
      </c>
      <c r="AX512" s="488" t="s">
        <v>3122</v>
      </c>
      <c r="AY512" s="488" t="s">
        <v>901</v>
      </c>
      <c r="AZ512" s="488">
        <v>2.2999999999999998</v>
      </c>
      <c r="BA512" s="488" t="s">
        <v>53</v>
      </c>
      <c r="BB512" s="488" t="s">
        <v>178</v>
      </c>
      <c r="BC512" s="488">
        <v>25</v>
      </c>
      <c r="BD512" s="519">
        <v>46201</v>
      </c>
      <c r="BG512" s="488" t="s">
        <v>724</v>
      </c>
      <c r="BH512" s="488" t="s">
        <v>2940</v>
      </c>
      <c r="BI512" s="488">
        <v>20</v>
      </c>
      <c r="BJ512" s="488">
        <v>56</v>
      </c>
      <c r="BK512" s="508"/>
    </row>
    <row r="513" spans="1:63" s="488" customFormat="1" ht="22.5" hidden="1" x14ac:dyDescent="0.25">
      <c r="A513" s="505"/>
      <c r="B513" s="511"/>
      <c r="C513" s="515">
        <f>Таблица3[[#This Row],[Степень зрелости вспом]]</f>
        <v>55</v>
      </c>
      <c r="D513" s="512">
        <v>670</v>
      </c>
      <c r="E513" s="513"/>
      <c r="F513" s="511"/>
      <c r="G513" s="511">
        <v>12710</v>
      </c>
      <c r="H513" s="514"/>
      <c r="I513" s="511">
        <v>11883.9</v>
      </c>
      <c r="J513" s="505" t="s">
        <v>3645</v>
      </c>
      <c r="K513" s="505" t="s">
        <v>909</v>
      </c>
      <c r="L513" s="505" t="s">
        <v>3122</v>
      </c>
      <c r="M513" s="505" t="s">
        <v>1151</v>
      </c>
      <c r="N513" s="505"/>
      <c r="O513" s="505"/>
      <c r="P513" s="505"/>
      <c r="Q513" s="505"/>
      <c r="R513" s="505" t="s">
        <v>145</v>
      </c>
      <c r="S513" s="505"/>
      <c r="T513" s="482" t="str">
        <f>VLOOKUP(Таблица3[[#This Row],[№ акта]],$AJ$1:$BJ$691,15,FALSE)</f>
        <v>3.3 Колос</v>
      </c>
      <c r="U513" s="482" t="str">
        <f>VLOOKUP(Таблица3[[#This Row],[№ акта]],$AJ$1:$BJ$691,16,FALSE)</f>
        <v>Фаворит</v>
      </c>
      <c r="V513" s="502">
        <f>VLOOKUP(Таблица3[[#This Row],[№ акта]],$AJ$1:$BJ$691,17,FALSE)</f>
        <v>1.9</v>
      </c>
      <c r="W513" s="502" t="str">
        <f>VLOOKUP(Таблица3[[#This Row],[№ акта]],$AJ$1:$BJ$691,18,FALSE)</f>
        <v>Колос (полив)</v>
      </c>
      <c r="X513" s="516" t="str">
        <f>VLOOKUP(Таблица3[[#This Row],[№ акта]],$AJ$1:$BJ$691,19,FALSE)</f>
        <v>полив</v>
      </c>
      <c r="Y513" s="503">
        <f>VLOOKUP(Таблица3[[#This Row],[№ акта]],$AJ$1:$BJ$691,20,FALSE)</f>
        <v>25</v>
      </c>
      <c r="Z513" s="507">
        <f>VLOOKUP(Таблица3[[#This Row],[№ акта]],$AJ$1:$BJ$691,21,FALSE)</f>
        <v>46201</v>
      </c>
      <c r="AA513" s="516"/>
      <c r="AB513" s="504" t="str">
        <f>IF(VLOOKUP(Таблица3[[#This Row],[№ акта]],$AJ$1:$BJ$691,23,FALSE)&lt;&gt;0,VLOOKUP(Таблица3[[#This Row],[№ акта]],$AJ$1:$BJ$691,23,FALSE),"-")</f>
        <v>-</v>
      </c>
      <c r="AC51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13" s="506" t="s">
        <v>2940</v>
      </c>
      <c r="AE513" s="505">
        <v>524</v>
      </c>
      <c r="AF513" s="507">
        <v>46202</v>
      </c>
      <c r="AG513" s="505">
        <v>37</v>
      </c>
      <c r="AH513" s="505">
        <f>IFERROR(VLOOKUP(Таблица3[[#This Row],[№ акта]],'Степень зрелости 2026'!$H$12:$I$800,2,FALSE),)</f>
        <v>55</v>
      </c>
      <c r="AJ513" s="488">
        <v>508</v>
      </c>
      <c r="AK513" s="519">
        <v>46201</v>
      </c>
      <c r="AL513" s="488">
        <v>653</v>
      </c>
      <c r="AO513" s="488">
        <v>13760</v>
      </c>
      <c r="AP513" s="488">
        <v>12040</v>
      </c>
      <c r="AQ513" s="488" t="s">
        <v>3645</v>
      </c>
      <c r="AR513" s="488" t="s">
        <v>909</v>
      </c>
      <c r="AS513" s="488" t="s">
        <v>3122</v>
      </c>
      <c r="AT513" s="488" t="s">
        <v>1461</v>
      </c>
      <c r="AV513" s="488" t="s">
        <v>149</v>
      </c>
      <c r="AX513" s="488" t="s">
        <v>3122</v>
      </c>
      <c r="AY513" s="488" t="s">
        <v>897</v>
      </c>
      <c r="AZ513" s="488">
        <v>1.2</v>
      </c>
      <c r="BA513" s="488" t="s">
        <v>53</v>
      </c>
      <c r="BB513" s="488" t="s">
        <v>178</v>
      </c>
      <c r="BC513" s="488">
        <v>26</v>
      </c>
      <c r="BD513" s="519">
        <v>46202</v>
      </c>
      <c r="BG513" s="488" t="s">
        <v>724</v>
      </c>
      <c r="BH513" s="488" t="s">
        <v>2940</v>
      </c>
      <c r="BI513" s="488">
        <v>21</v>
      </c>
      <c r="BJ513" s="488">
        <v>53</v>
      </c>
      <c r="BK513" s="508"/>
    </row>
    <row r="514" spans="1:63" s="488" customFormat="1" ht="22.5" hidden="1" x14ac:dyDescent="0.25">
      <c r="A514" s="505"/>
      <c r="B514" s="511"/>
      <c r="C514" s="515">
        <f>Таблица3[[#This Row],[Степень зрелости вспом]]</f>
        <v>55</v>
      </c>
      <c r="D514" s="512">
        <v>672</v>
      </c>
      <c r="E514" s="513"/>
      <c r="F514" s="511"/>
      <c r="G514" s="511">
        <v>12760</v>
      </c>
      <c r="H514" s="514"/>
      <c r="I514" s="511">
        <v>11547.8</v>
      </c>
      <c r="J514" s="505" t="s">
        <v>3645</v>
      </c>
      <c r="K514" s="505" t="s">
        <v>909</v>
      </c>
      <c r="L514" s="505" t="s">
        <v>3122</v>
      </c>
      <c r="M514" s="505" t="s">
        <v>121</v>
      </c>
      <c r="N514" s="505"/>
      <c r="O514" s="505"/>
      <c r="P514" s="505"/>
      <c r="Q514" s="505"/>
      <c r="R514" s="505" t="s">
        <v>125</v>
      </c>
      <c r="S514" s="505"/>
      <c r="T514" s="482" t="str">
        <f>VLOOKUP(Таблица3[[#This Row],[№ акта]],$AJ$1:$BJ$691,15,FALSE)</f>
        <v>3.3 Колос</v>
      </c>
      <c r="U514" s="482" t="str">
        <f>VLOOKUP(Таблица3[[#This Row],[№ акта]],$AJ$1:$BJ$691,16,FALSE)</f>
        <v>Фаворит</v>
      </c>
      <c r="V514" s="502">
        <f>VLOOKUP(Таблица3[[#This Row],[№ акта]],$AJ$1:$BJ$691,17,FALSE)</f>
        <v>1.9</v>
      </c>
      <c r="W514" s="502" t="str">
        <f>VLOOKUP(Таблица3[[#This Row],[№ акта]],$AJ$1:$BJ$691,18,FALSE)</f>
        <v>Колос (полив)</v>
      </c>
      <c r="X514" s="516" t="str">
        <f>VLOOKUP(Таблица3[[#This Row],[№ акта]],$AJ$1:$BJ$691,19,FALSE)</f>
        <v>полив</v>
      </c>
      <c r="Y514" s="503">
        <f>VLOOKUP(Таблица3[[#This Row],[№ акта]],$AJ$1:$BJ$691,20,FALSE)</f>
        <v>25</v>
      </c>
      <c r="Z514" s="507">
        <f>VLOOKUP(Таблица3[[#This Row],[№ акта]],$AJ$1:$BJ$691,21,FALSE)</f>
        <v>46201</v>
      </c>
      <c r="AA514" s="516"/>
      <c r="AB514" s="504" t="str">
        <f>IF(VLOOKUP(Таблица3[[#This Row],[№ акта]],$AJ$1:$BJ$691,23,FALSE)&lt;&gt;0,VLOOKUP(Таблица3[[#This Row],[№ акта]],$AJ$1:$BJ$691,23,FALSE),"-")</f>
        <v>-</v>
      </c>
      <c r="AC51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14" s="506" t="s">
        <v>2940</v>
      </c>
      <c r="AE514" s="505">
        <v>525</v>
      </c>
      <c r="AF514" s="507">
        <v>46202</v>
      </c>
      <c r="AG514" s="505">
        <v>38</v>
      </c>
      <c r="AH514" s="505">
        <f>IFERROR(VLOOKUP(Таблица3[[#This Row],[№ акта]],'Степень зрелости 2026'!$H$12:$I$800,2,FALSE),)</f>
        <v>55</v>
      </c>
      <c r="AJ514" s="488">
        <v>509</v>
      </c>
      <c r="AK514" s="519">
        <v>46201</v>
      </c>
      <c r="AL514" s="488">
        <v>654</v>
      </c>
      <c r="AO514" s="488">
        <v>13530</v>
      </c>
      <c r="AP514" s="488">
        <v>11568.1</v>
      </c>
      <c r="AQ514" s="488" t="s">
        <v>3645</v>
      </c>
      <c r="AR514" s="488" t="s">
        <v>909</v>
      </c>
      <c r="AS514" s="488" t="s">
        <v>3122</v>
      </c>
      <c r="AT514" s="488" t="s">
        <v>1151</v>
      </c>
      <c r="AV514" s="488" t="s">
        <v>145</v>
      </c>
      <c r="AX514" s="488" t="s">
        <v>3122</v>
      </c>
      <c r="AY514" s="488" t="s">
        <v>897</v>
      </c>
      <c r="AZ514" s="488">
        <v>1.1000000000000001</v>
      </c>
      <c r="BA514" s="488" t="s">
        <v>53</v>
      </c>
      <c r="BB514" s="488" t="s">
        <v>178</v>
      </c>
      <c r="BC514" s="488">
        <v>26</v>
      </c>
      <c r="BD514" s="519">
        <v>46202</v>
      </c>
      <c r="BG514" s="488" t="s">
        <v>3557</v>
      </c>
      <c r="BH514" s="488" t="s">
        <v>2940</v>
      </c>
      <c r="BI514" s="488">
        <v>22</v>
      </c>
      <c r="BJ514" s="488">
        <v>51</v>
      </c>
      <c r="BK514" s="508"/>
    </row>
    <row r="515" spans="1:63" s="488" customFormat="1" ht="22.5" hidden="1" x14ac:dyDescent="0.25">
      <c r="A515" s="505"/>
      <c r="B515" s="511"/>
      <c r="C515" s="515">
        <f>Таблица3[[#This Row],[Степень зрелости вспом]]</f>
        <v>54</v>
      </c>
      <c r="D515" s="512">
        <v>673</v>
      </c>
      <c r="E515" s="513"/>
      <c r="F515" s="511"/>
      <c r="G515" s="511">
        <v>12910</v>
      </c>
      <c r="H515" s="514"/>
      <c r="I515" s="511">
        <v>11812.7</v>
      </c>
      <c r="J515" s="505" t="s">
        <v>3645</v>
      </c>
      <c r="K515" s="505" t="s">
        <v>909</v>
      </c>
      <c r="L515" s="505" t="s">
        <v>3122</v>
      </c>
      <c r="M515" s="505" t="s">
        <v>335</v>
      </c>
      <c r="N515" s="505"/>
      <c r="O515" s="505"/>
      <c r="P515" s="505"/>
      <c r="Q515" s="505"/>
      <c r="R515" s="505" t="s">
        <v>339</v>
      </c>
      <c r="S515" s="505"/>
      <c r="T515" s="482" t="str">
        <f>VLOOKUP(Таблица3[[#This Row],[№ акта]],$AJ$1:$BJ$691,15,FALSE)</f>
        <v>3.3 Колос</v>
      </c>
      <c r="U515" s="482" t="str">
        <f>VLOOKUP(Таблица3[[#This Row],[№ акта]],$AJ$1:$BJ$691,16,FALSE)</f>
        <v>Фаворит</v>
      </c>
      <c r="V515" s="502">
        <f>VLOOKUP(Таблица3[[#This Row],[№ акта]],$AJ$1:$BJ$691,17,FALSE)</f>
        <v>1.9</v>
      </c>
      <c r="W515" s="502" t="str">
        <f>VLOOKUP(Таблица3[[#This Row],[№ акта]],$AJ$1:$BJ$691,18,FALSE)</f>
        <v>Колос (полив)</v>
      </c>
      <c r="X515" s="516" t="str">
        <f>VLOOKUP(Таблица3[[#This Row],[№ акта]],$AJ$1:$BJ$691,19,FALSE)</f>
        <v>полив</v>
      </c>
      <c r="Y515" s="503">
        <f>VLOOKUP(Таблица3[[#This Row],[№ акта]],$AJ$1:$BJ$691,20,FALSE)</f>
        <v>25</v>
      </c>
      <c r="Z515" s="507">
        <f>VLOOKUP(Таблица3[[#This Row],[№ акта]],$AJ$1:$BJ$691,21,FALSE)</f>
        <v>46201</v>
      </c>
      <c r="AA515" s="516"/>
      <c r="AB515" s="504" t="str">
        <f>IF(VLOOKUP(Таблица3[[#This Row],[№ акта]],$AJ$1:$BJ$691,23,FALSE)&lt;&gt;0,VLOOKUP(Таблица3[[#This Row],[№ акта]],$AJ$1:$BJ$691,23,FALSE),"-")</f>
        <v>-</v>
      </c>
      <c r="AC51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15" s="506" t="s">
        <v>2940</v>
      </c>
      <c r="AE515" s="505">
        <v>527</v>
      </c>
      <c r="AF515" s="507">
        <v>46202</v>
      </c>
      <c r="AG515" s="505">
        <v>40</v>
      </c>
      <c r="AH515" s="505">
        <f>IFERROR(VLOOKUP(Таблица3[[#This Row],[№ акта]],'Степень зрелости 2026'!$H$12:$I$800,2,FALSE),)</f>
        <v>54</v>
      </c>
      <c r="AJ515" s="488">
        <v>510</v>
      </c>
      <c r="AK515" s="519">
        <v>46201</v>
      </c>
      <c r="AL515" s="488">
        <v>655</v>
      </c>
      <c r="AO515" s="488">
        <v>13550</v>
      </c>
      <c r="AP515" s="488">
        <v>11585.2</v>
      </c>
      <c r="AQ515" s="488" t="s">
        <v>3645</v>
      </c>
      <c r="AR515" s="488" t="s">
        <v>909</v>
      </c>
      <c r="AS515" s="488" t="s">
        <v>3122</v>
      </c>
      <c r="AT515" s="488" t="s">
        <v>121</v>
      </c>
      <c r="AV515" s="488" t="s">
        <v>125</v>
      </c>
      <c r="AX515" s="488" t="s">
        <v>3122</v>
      </c>
      <c r="AY515" s="488" t="s">
        <v>897</v>
      </c>
      <c r="AZ515" s="488">
        <v>1.9</v>
      </c>
      <c r="BA515" s="488" t="s">
        <v>53</v>
      </c>
      <c r="BB515" s="488" t="s">
        <v>178</v>
      </c>
      <c r="BC515" s="488">
        <v>26</v>
      </c>
      <c r="BD515" s="519">
        <v>46202</v>
      </c>
      <c r="BG515" s="488" t="s">
        <v>724</v>
      </c>
      <c r="BH515" s="488" t="s">
        <v>2940</v>
      </c>
      <c r="BI515" s="488">
        <v>23</v>
      </c>
      <c r="BJ515" s="488">
        <v>55</v>
      </c>
      <c r="BK515" s="508"/>
    </row>
    <row r="516" spans="1:63" s="488" customFormat="1" ht="22.5" hidden="1" x14ac:dyDescent="0.25">
      <c r="A516" s="505"/>
      <c r="B516" s="511"/>
      <c r="C516" s="515">
        <f>Таблица3[[#This Row],[Степень зрелости вспом]]</f>
        <v>51</v>
      </c>
      <c r="D516" s="512">
        <v>674</v>
      </c>
      <c r="E516" s="513"/>
      <c r="F516" s="511"/>
      <c r="G516" s="511">
        <v>13350</v>
      </c>
      <c r="H516" s="514"/>
      <c r="I516" s="511">
        <v>12081.8</v>
      </c>
      <c r="J516" s="505" t="s">
        <v>3645</v>
      </c>
      <c r="K516" s="505" t="s">
        <v>909</v>
      </c>
      <c r="L516" s="505" t="s">
        <v>3122</v>
      </c>
      <c r="M516" s="505" t="s">
        <v>234</v>
      </c>
      <c r="N516" s="505"/>
      <c r="O516" s="505"/>
      <c r="P516" s="505"/>
      <c r="Q516" s="505"/>
      <c r="R516" s="505" t="s">
        <v>238</v>
      </c>
      <c r="S516" s="505"/>
      <c r="T516" s="482" t="str">
        <f>VLOOKUP(Таблица3[[#This Row],[№ акта]],$AJ$1:$BJ$691,15,FALSE)</f>
        <v>3.3 Колос</v>
      </c>
      <c r="U516" s="482" t="str">
        <f>VLOOKUP(Таблица3[[#This Row],[№ акта]],$AJ$1:$BJ$691,16,FALSE)</f>
        <v>Фаворит</v>
      </c>
      <c r="V516" s="502">
        <f>VLOOKUP(Таблица3[[#This Row],[№ акта]],$AJ$1:$BJ$691,17,FALSE)</f>
        <v>2</v>
      </c>
      <c r="W516" s="502" t="str">
        <f>VLOOKUP(Таблица3[[#This Row],[№ акта]],$AJ$1:$BJ$691,18,FALSE)</f>
        <v>Колос (полив)</v>
      </c>
      <c r="X516" s="516" t="str">
        <f>VLOOKUP(Таблица3[[#This Row],[№ акта]],$AJ$1:$BJ$691,19,FALSE)</f>
        <v>полив</v>
      </c>
      <c r="Y516" s="503">
        <f>VLOOKUP(Таблица3[[#This Row],[№ акта]],$AJ$1:$BJ$691,20,FALSE)</f>
        <v>25</v>
      </c>
      <c r="Z516" s="507">
        <f>VLOOKUP(Таблица3[[#This Row],[№ акта]],$AJ$1:$BJ$691,21,FALSE)</f>
        <v>46201</v>
      </c>
      <c r="AA516" s="516"/>
      <c r="AB516" s="504" t="str">
        <f>IF(VLOOKUP(Таблица3[[#This Row],[№ акта]],$AJ$1:$BJ$691,23,FALSE)&lt;&gt;0,VLOOKUP(Таблица3[[#This Row],[№ акта]],$AJ$1:$BJ$691,23,FALSE),"-")</f>
        <v>-</v>
      </c>
      <c r="AC51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16" s="506" t="s">
        <v>2940</v>
      </c>
      <c r="AE516" s="505">
        <v>528</v>
      </c>
      <c r="AF516" s="507">
        <v>46202</v>
      </c>
      <c r="AG516" s="505">
        <v>39</v>
      </c>
      <c r="AH516" s="505">
        <f>IFERROR(VLOOKUP(Таблица3[[#This Row],[№ акта]],'Степень зрелости 2026'!$H$12:$I$800,2,FALSE),)</f>
        <v>51</v>
      </c>
      <c r="AJ516" s="488">
        <v>511</v>
      </c>
      <c r="AK516" s="519">
        <v>46201</v>
      </c>
      <c r="AL516" s="488">
        <v>656</v>
      </c>
      <c r="AO516" s="488">
        <v>13280</v>
      </c>
      <c r="AP516" s="488">
        <v>11686.4</v>
      </c>
      <c r="AQ516" s="488" t="s">
        <v>3645</v>
      </c>
      <c r="AR516" s="488" t="s">
        <v>909</v>
      </c>
      <c r="AS516" s="488" t="s">
        <v>3122</v>
      </c>
      <c r="AT516" s="488" t="s">
        <v>212</v>
      </c>
      <c r="AV516" s="488" t="s">
        <v>2965</v>
      </c>
      <c r="AX516" s="488" t="s">
        <v>3122</v>
      </c>
      <c r="AY516" s="488" t="s">
        <v>897</v>
      </c>
      <c r="AZ516" s="488">
        <v>1.9</v>
      </c>
      <c r="BA516" s="488" t="s">
        <v>53</v>
      </c>
      <c r="BB516" s="488" t="s">
        <v>178</v>
      </c>
      <c r="BC516" s="488">
        <v>26</v>
      </c>
      <c r="BD516" s="519">
        <v>46202</v>
      </c>
      <c r="BG516" s="488" t="s">
        <v>724</v>
      </c>
      <c r="BH516" s="488" t="s">
        <v>2940</v>
      </c>
      <c r="BI516" s="488">
        <v>24</v>
      </c>
      <c r="BJ516" s="488">
        <v>54</v>
      </c>
      <c r="BK516" s="508"/>
    </row>
    <row r="517" spans="1:63" s="488" customFormat="1" ht="22.5" hidden="1" x14ac:dyDescent="0.25">
      <c r="A517" s="505"/>
      <c r="B517" s="511"/>
      <c r="C517" s="515">
        <f>Таблица3[[#This Row],[Степень зрелости вспом]]</f>
        <v>51</v>
      </c>
      <c r="D517" s="512">
        <v>675</v>
      </c>
      <c r="E517" s="513"/>
      <c r="F517" s="511"/>
      <c r="G517" s="511">
        <v>12880</v>
      </c>
      <c r="H517" s="514"/>
      <c r="I517" s="511">
        <v>11270</v>
      </c>
      <c r="J517" s="505" t="s">
        <v>3645</v>
      </c>
      <c r="K517" s="505" t="s">
        <v>909</v>
      </c>
      <c r="L517" s="505" t="s">
        <v>3122</v>
      </c>
      <c r="M517" s="505" t="s">
        <v>3377</v>
      </c>
      <c r="N517" s="505"/>
      <c r="O517" s="505"/>
      <c r="P517" s="505"/>
      <c r="Q517" s="505"/>
      <c r="R517" s="505" t="s">
        <v>3196</v>
      </c>
      <c r="S517" s="505"/>
      <c r="T517" s="482" t="str">
        <f>VLOOKUP(Таблица3[[#This Row],[№ акта]],$AJ$1:$BJ$691,15,FALSE)</f>
        <v>3.3 Колос</v>
      </c>
      <c r="U517" s="482" t="str">
        <f>VLOOKUP(Таблица3[[#This Row],[№ акта]],$AJ$1:$BJ$691,16,FALSE)</f>
        <v>Фаворит</v>
      </c>
      <c r="V517" s="502">
        <f>VLOOKUP(Таблица3[[#This Row],[№ акта]],$AJ$1:$BJ$691,17,FALSE)</f>
        <v>1.9</v>
      </c>
      <c r="W517" s="502" t="str">
        <f>VLOOKUP(Таблица3[[#This Row],[№ акта]],$AJ$1:$BJ$691,18,FALSE)</f>
        <v>Колос (полив)</v>
      </c>
      <c r="X517" s="516" t="str">
        <f>VLOOKUP(Таблица3[[#This Row],[№ акта]],$AJ$1:$BJ$691,19,FALSE)</f>
        <v>полив</v>
      </c>
      <c r="Y517" s="503">
        <f>VLOOKUP(Таблица3[[#This Row],[№ акта]],$AJ$1:$BJ$691,20,FALSE)</f>
        <v>25</v>
      </c>
      <c r="Z517" s="507">
        <f>VLOOKUP(Таблица3[[#This Row],[№ акта]],$AJ$1:$BJ$691,21,FALSE)</f>
        <v>46201</v>
      </c>
      <c r="AA517" s="516"/>
      <c r="AB517" s="504" t="str">
        <f>IF(VLOOKUP(Таблица3[[#This Row],[№ акта]],$AJ$1:$BJ$691,23,FALSE)&lt;&gt;0,VLOOKUP(Таблица3[[#This Row],[№ акта]],$AJ$1:$BJ$691,23,FALSE),"-")</f>
        <v>-</v>
      </c>
      <c r="AC51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17" s="506" t="s">
        <v>2940</v>
      </c>
      <c r="AE517" s="505">
        <v>529</v>
      </c>
      <c r="AF517" s="507">
        <v>46202</v>
      </c>
      <c r="AG517" s="505">
        <v>41</v>
      </c>
      <c r="AH517" s="505">
        <f>IFERROR(VLOOKUP(Таблица3[[#This Row],[№ акта]],'Степень зрелости 2026'!$H$12:$I$800,2,FALSE),)</f>
        <v>51</v>
      </c>
      <c r="AJ517" s="488">
        <v>512</v>
      </c>
      <c r="AK517" s="519">
        <v>46201</v>
      </c>
      <c r="AL517" s="488">
        <v>657</v>
      </c>
      <c r="AO517" s="488">
        <v>13290</v>
      </c>
      <c r="AP517" s="488">
        <v>11695.2</v>
      </c>
      <c r="AQ517" s="488" t="s">
        <v>3645</v>
      </c>
      <c r="AR517" s="488" t="s">
        <v>909</v>
      </c>
      <c r="AS517" s="488" t="s">
        <v>3122</v>
      </c>
      <c r="AT517" s="488" t="s">
        <v>2967</v>
      </c>
      <c r="AV517" s="488" t="s">
        <v>1810</v>
      </c>
      <c r="AX517" s="488" t="s">
        <v>3122</v>
      </c>
      <c r="AY517" s="488" t="s">
        <v>897</v>
      </c>
      <c r="AZ517" s="488">
        <v>1.9</v>
      </c>
      <c r="BA517" s="488" t="s">
        <v>53</v>
      </c>
      <c r="BB517" s="488" t="s">
        <v>178</v>
      </c>
      <c r="BC517" s="488">
        <v>26</v>
      </c>
      <c r="BD517" s="519">
        <v>46202</v>
      </c>
      <c r="BG517" s="488" t="s">
        <v>724</v>
      </c>
      <c r="BH517" s="488" t="s">
        <v>2940</v>
      </c>
      <c r="BI517" s="488">
        <v>25</v>
      </c>
      <c r="BJ517" s="488">
        <v>53</v>
      </c>
      <c r="BK517" s="508"/>
    </row>
    <row r="518" spans="1:63" s="488" customFormat="1" ht="22.5" hidden="1" x14ac:dyDescent="0.25">
      <c r="A518" s="505"/>
      <c r="B518" s="511"/>
      <c r="C518" s="515">
        <f>Таблица3[[#This Row],[Степень зрелости вспом]]</f>
        <v>56</v>
      </c>
      <c r="D518" s="512">
        <v>676</v>
      </c>
      <c r="E518" s="513"/>
      <c r="F518" s="511"/>
      <c r="G518" s="511">
        <v>13010</v>
      </c>
      <c r="H518" s="514"/>
      <c r="I518" s="511">
        <v>11644</v>
      </c>
      <c r="J518" s="505" t="s">
        <v>3645</v>
      </c>
      <c r="K518" s="505" t="s">
        <v>909</v>
      </c>
      <c r="L518" s="505" t="s">
        <v>3122</v>
      </c>
      <c r="M518" s="505" t="s">
        <v>3623</v>
      </c>
      <c r="N518" s="505"/>
      <c r="O518" s="505"/>
      <c r="P518" s="505"/>
      <c r="Q518" s="505"/>
      <c r="R518" s="505" t="s">
        <v>3679</v>
      </c>
      <c r="S518" s="505"/>
      <c r="T518" s="482" t="str">
        <f>VLOOKUP(Таблица3[[#This Row],[№ акта]],$AJ$1:$BJ$691,15,FALSE)</f>
        <v>3.3 Колос</v>
      </c>
      <c r="U518" s="482" t="str">
        <f>VLOOKUP(Таблица3[[#This Row],[№ акта]],$AJ$1:$BJ$691,16,FALSE)</f>
        <v>Беркут</v>
      </c>
      <c r="V518" s="502">
        <f>67.4*Таблица3[[#This Row],[Регистратор.Вес нетто]]/380500</f>
        <v>2.3045308804204998</v>
      </c>
      <c r="W518" s="502" t="str">
        <f>VLOOKUP(Таблица3[[#This Row],[№ акта]],$AJ$1:$BJ$691,18,FALSE)</f>
        <v>Колос (полив)</v>
      </c>
      <c r="X518" s="516" t="str">
        <f>VLOOKUP(Таблица3[[#This Row],[№ акта]],$AJ$1:$BJ$691,19,FALSE)</f>
        <v>полив</v>
      </c>
      <c r="Y518" s="503">
        <f>VLOOKUP(Таблица3[[#This Row],[№ акта]],$AJ$1:$BJ$691,20,FALSE)</f>
        <v>26</v>
      </c>
      <c r="Z518" s="507">
        <f>VLOOKUP(Таблица3[[#This Row],[№ акта]],$AJ$1:$BJ$691,21,FALSE)</f>
        <v>46202</v>
      </c>
      <c r="AA518" s="516"/>
      <c r="AB518" s="504" t="str">
        <f>IF(VLOOKUP(Таблица3[[#This Row],[№ акта]],$AJ$1:$BJ$691,23,FALSE)&lt;&gt;0,VLOOKUP(Таблица3[[#This Row],[№ акта]],$AJ$1:$BJ$691,23,FALSE),"-")</f>
        <v>-</v>
      </c>
      <c r="AC51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18" s="506" t="s">
        <v>2940</v>
      </c>
      <c r="AE518" s="505">
        <v>530</v>
      </c>
      <c r="AF518" s="507">
        <v>46202</v>
      </c>
      <c r="AG518" s="505">
        <v>42</v>
      </c>
      <c r="AH518" s="505">
        <f>IFERROR(VLOOKUP(Таблица3[[#This Row],[№ акта]],'Степень зрелости 2026'!$H$12:$I$800,2,FALSE),)</f>
        <v>56</v>
      </c>
      <c r="AJ518" s="488">
        <v>513</v>
      </c>
      <c r="AK518" s="519">
        <v>46201</v>
      </c>
      <c r="AL518" s="488">
        <v>658</v>
      </c>
      <c r="AO518" s="488">
        <v>13570</v>
      </c>
      <c r="AP518" s="488">
        <v>11670.2</v>
      </c>
      <c r="AQ518" s="488" t="s">
        <v>3645</v>
      </c>
      <c r="AR518" s="488" t="s">
        <v>909</v>
      </c>
      <c r="AS518" s="488" t="s">
        <v>3122</v>
      </c>
      <c r="AT518" s="488" t="s">
        <v>234</v>
      </c>
      <c r="AV518" s="488" t="s">
        <v>238</v>
      </c>
      <c r="AX518" s="488" t="s">
        <v>3122</v>
      </c>
      <c r="AY518" s="488" t="s">
        <v>897</v>
      </c>
      <c r="AZ518" s="488">
        <v>1.9</v>
      </c>
      <c r="BA518" s="488" t="s">
        <v>53</v>
      </c>
      <c r="BB518" s="488" t="s">
        <v>178</v>
      </c>
      <c r="BC518" s="488">
        <v>26</v>
      </c>
      <c r="BD518" s="519">
        <v>46202</v>
      </c>
      <c r="BG518" s="488" t="s">
        <v>724</v>
      </c>
      <c r="BH518" s="488" t="s">
        <v>2940</v>
      </c>
      <c r="BI518" s="488">
        <v>26</v>
      </c>
      <c r="BJ518" s="488">
        <v>53</v>
      </c>
      <c r="BK518" s="508"/>
    </row>
    <row r="519" spans="1:63" s="488" customFormat="1" ht="22.5" hidden="1" x14ac:dyDescent="0.25">
      <c r="A519" s="505"/>
      <c r="B519" s="511"/>
      <c r="C519" s="515">
        <f>Таблица3[[#This Row],[Степень зрелости вспом]]</f>
        <v>59</v>
      </c>
      <c r="D519" s="512">
        <v>677</v>
      </c>
      <c r="E519" s="513"/>
      <c r="F519" s="511"/>
      <c r="G519" s="511">
        <v>13530</v>
      </c>
      <c r="H519" s="514"/>
      <c r="I519" s="511">
        <v>12447.6</v>
      </c>
      <c r="J519" s="505" t="s">
        <v>3645</v>
      </c>
      <c r="K519" s="505" t="s">
        <v>909</v>
      </c>
      <c r="L519" s="505" t="s">
        <v>3122</v>
      </c>
      <c r="M519" s="505" t="s">
        <v>347</v>
      </c>
      <c r="N519" s="505"/>
      <c r="O519" s="505"/>
      <c r="P519" s="505"/>
      <c r="Q519" s="505"/>
      <c r="R519" s="505" t="s">
        <v>351</v>
      </c>
      <c r="S519" s="505"/>
      <c r="T519" s="482" t="str">
        <f>VLOOKUP(Таблица3[[#This Row],[№ акта]],$AJ$1:$BJ$691,15,FALSE)</f>
        <v>3.3 Колос</v>
      </c>
      <c r="U519" s="482" t="str">
        <f>VLOOKUP(Таблица3[[#This Row],[№ акта]],$AJ$1:$BJ$691,16,FALSE)</f>
        <v>Беркут</v>
      </c>
      <c r="V519" s="502">
        <f>67.4*Таблица3[[#This Row],[Регистратор.Вес нетто]]/380500</f>
        <v>2.3966412614980293</v>
      </c>
      <c r="W519" s="502" t="str">
        <f>VLOOKUP(Таблица3[[#This Row],[№ акта]],$AJ$1:$BJ$691,18,FALSE)</f>
        <v>Колос (полив)</v>
      </c>
      <c r="X519" s="516" t="str">
        <f>VLOOKUP(Таблица3[[#This Row],[№ акта]],$AJ$1:$BJ$691,19,FALSE)</f>
        <v>полив</v>
      </c>
      <c r="Y519" s="503">
        <f>VLOOKUP(Таблица3[[#This Row],[№ акта]],$AJ$1:$BJ$691,20,FALSE)</f>
        <v>26</v>
      </c>
      <c r="Z519" s="507">
        <f>VLOOKUP(Таблица3[[#This Row],[№ акта]],$AJ$1:$BJ$691,21,FALSE)</f>
        <v>46202</v>
      </c>
      <c r="AA519" s="516"/>
      <c r="AB519" s="504" t="str">
        <f>IF(VLOOKUP(Таблица3[[#This Row],[№ акта]],$AJ$1:$BJ$691,23,FALSE)&lt;&gt;0,VLOOKUP(Таблица3[[#This Row],[№ акта]],$AJ$1:$BJ$691,23,FALSE),"-")</f>
        <v>-</v>
      </c>
      <c r="AC51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19" s="506" t="s">
        <v>2940</v>
      </c>
      <c r="AE519" s="505">
        <v>532</v>
      </c>
      <c r="AF519" s="507">
        <v>46202</v>
      </c>
      <c r="AG519" s="505">
        <v>43</v>
      </c>
      <c r="AH519" s="505">
        <f>IFERROR(VLOOKUP(Таблица3[[#This Row],[№ акта]],'Степень зрелости 2026'!$H$12:$I$800,2,FALSE),)</f>
        <v>59</v>
      </c>
      <c r="AJ519" s="488">
        <v>514</v>
      </c>
      <c r="AK519" s="519">
        <v>46201</v>
      </c>
      <c r="AL519" s="488">
        <v>659</v>
      </c>
      <c r="AO519" s="488">
        <v>13020</v>
      </c>
      <c r="AP519" s="488">
        <v>11197.2</v>
      </c>
      <c r="AQ519" s="488" t="s">
        <v>3645</v>
      </c>
      <c r="AR519" s="488" t="s">
        <v>909</v>
      </c>
      <c r="AS519" s="488" t="s">
        <v>3122</v>
      </c>
      <c r="AT519" s="488" t="s">
        <v>335</v>
      </c>
      <c r="AV519" s="488" t="s">
        <v>339</v>
      </c>
      <c r="AX519" s="488" t="s">
        <v>3122</v>
      </c>
      <c r="AY519" s="488" t="s">
        <v>897</v>
      </c>
      <c r="AZ519" s="488">
        <v>1.9</v>
      </c>
      <c r="BA519" s="488" t="s">
        <v>53</v>
      </c>
      <c r="BB519" s="488" t="s">
        <v>178</v>
      </c>
      <c r="BC519" s="488">
        <v>26</v>
      </c>
      <c r="BD519" s="519">
        <v>46202</v>
      </c>
      <c r="BG519" s="488" t="s">
        <v>724</v>
      </c>
      <c r="BH519" s="488" t="s">
        <v>2940</v>
      </c>
      <c r="BI519" s="488">
        <v>27</v>
      </c>
      <c r="BJ519" s="488">
        <v>53</v>
      </c>
      <c r="BK519" s="508"/>
    </row>
    <row r="520" spans="1:63" s="488" customFormat="1" ht="22.5" hidden="1" x14ac:dyDescent="0.25">
      <c r="A520" s="505"/>
      <c r="B520" s="511"/>
      <c r="C520" s="515">
        <f>Таблица3[[#This Row],[Степень зрелости вспом]]</f>
        <v>58</v>
      </c>
      <c r="D520" s="512">
        <v>678</v>
      </c>
      <c r="E520" s="513"/>
      <c r="F520" s="511"/>
      <c r="G520" s="511">
        <v>12940</v>
      </c>
      <c r="H520" s="514"/>
      <c r="I520" s="511">
        <v>11969.5</v>
      </c>
      <c r="J520" s="505" t="s">
        <v>3645</v>
      </c>
      <c r="K520" s="505" t="s">
        <v>909</v>
      </c>
      <c r="L520" s="505" t="s">
        <v>3122</v>
      </c>
      <c r="M520" s="505" t="s">
        <v>2967</v>
      </c>
      <c r="N520" s="505"/>
      <c r="O520" s="505"/>
      <c r="P520" s="505"/>
      <c r="Q520" s="505"/>
      <c r="R520" s="505" t="s">
        <v>1810</v>
      </c>
      <c r="S520" s="505"/>
      <c r="T520" s="482" t="str">
        <f>VLOOKUP(Таблица3[[#This Row],[№ акта]],$AJ$1:$BJ$691,15,FALSE)</f>
        <v>3.3 Колос</v>
      </c>
      <c r="U520" s="482" t="str">
        <f>VLOOKUP(Таблица3[[#This Row],[№ акта]],$AJ$1:$BJ$691,16,FALSE)</f>
        <v>Беркут</v>
      </c>
      <c r="V520" s="502">
        <f>67.4*Таблица3[[#This Row],[Регистратор.Вес нетто]]/380500</f>
        <v>2.2921314060446782</v>
      </c>
      <c r="W520" s="502" t="str">
        <f>VLOOKUP(Таблица3[[#This Row],[№ акта]],$AJ$1:$BJ$691,18,FALSE)</f>
        <v>Колос (полив)</v>
      </c>
      <c r="X520" s="516" t="str">
        <f>VLOOKUP(Таблица3[[#This Row],[№ акта]],$AJ$1:$BJ$691,19,FALSE)</f>
        <v>полив</v>
      </c>
      <c r="Y520" s="503">
        <f>VLOOKUP(Таблица3[[#This Row],[№ акта]],$AJ$1:$BJ$691,20,FALSE)</f>
        <v>26</v>
      </c>
      <c r="Z520" s="507">
        <f>VLOOKUP(Таблица3[[#This Row],[№ акта]],$AJ$1:$BJ$691,21,FALSE)</f>
        <v>46202</v>
      </c>
      <c r="AA520" s="516"/>
      <c r="AB520" s="504" t="str">
        <f>IF(VLOOKUP(Таблица3[[#This Row],[№ акта]],$AJ$1:$BJ$691,23,FALSE)&lt;&gt;0,VLOOKUP(Таблица3[[#This Row],[№ акта]],$AJ$1:$BJ$691,23,FALSE),"-")</f>
        <v>-</v>
      </c>
      <c r="AC52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20" s="506" t="s">
        <v>2940</v>
      </c>
      <c r="AE520" s="505">
        <v>531</v>
      </c>
      <c r="AF520" s="507">
        <v>46202</v>
      </c>
      <c r="AG520" s="505">
        <v>44</v>
      </c>
      <c r="AH520" s="505">
        <f>IFERROR(VLOOKUP(Таблица3[[#This Row],[№ акта]],'Степень зрелости 2026'!$H$12:$I$800,2,FALSE),)</f>
        <v>58</v>
      </c>
      <c r="AJ520" s="488">
        <v>530</v>
      </c>
      <c r="AK520" s="519">
        <v>46202</v>
      </c>
      <c r="AL520" s="488">
        <v>676</v>
      </c>
      <c r="AO520" s="488">
        <v>13010</v>
      </c>
      <c r="AP520" s="488">
        <v>11644</v>
      </c>
      <c r="AQ520" s="488" t="s">
        <v>3645</v>
      </c>
      <c r="AR520" s="488" t="s">
        <v>909</v>
      </c>
      <c r="AS520" s="488" t="s">
        <v>3122</v>
      </c>
      <c r="AT520" s="488" t="s">
        <v>3623</v>
      </c>
      <c r="AV520" s="488" t="s">
        <v>3679</v>
      </c>
      <c r="AX520" s="488" t="s">
        <v>3122</v>
      </c>
      <c r="AY520" s="488" t="s">
        <v>897</v>
      </c>
      <c r="AZ520" s="488">
        <v>1.9</v>
      </c>
      <c r="BA520" s="488" t="s">
        <v>53</v>
      </c>
      <c r="BB520" s="488" t="s">
        <v>178</v>
      </c>
      <c r="BC520" s="488">
        <v>26</v>
      </c>
      <c r="BD520" s="519">
        <v>46202</v>
      </c>
      <c r="BG520" s="488" t="s">
        <v>724</v>
      </c>
      <c r="BH520" s="488" t="s">
        <v>2940</v>
      </c>
      <c r="BI520" s="488">
        <v>42</v>
      </c>
      <c r="BJ520" s="488">
        <v>56</v>
      </c>
      <c r="BK520" s="508"/>
    </row>
    <row r="521" spans="1:63" s="488" customFormat="1" ht="22.5" hidden="1" x14ac:dyDescent="0.25">
      <c r="A521" s="505"/>
      <c r="B521" s="511"/>
      <c r="C521" s="515">
        <f>Таблица3[[#This Row],[Степень зрелости вспом]]</f>
        <v>60</v>
      </c>
      <c r="D521" s="512">
        <v>679</v>
      </c>
      <c r="E521" s="513"/>
      <c r="F521" s="511"/>
      <c r="G521" s="511">
        <v>13030</v>
      </c>
      <c r="H521" s="514"/>
      <c r="I521" s="511">
        <v>12052.8</v>
      </c>
      <c r="J521" s="505" t="s">
        <v>3645</v>
      </c>
      <c r="K521" s="505" t="s">
        <v>909</v>
      </c>
      <c r="L521" s="505" t="s">
        <v>3122</v>
      </c>
      <c r="M521" s="505" t="s">
        <v>1461</v>
      </c>
      <c r="N521" s="505"/>
      <c r="O521" s="505"/>
      <c r="P521" s="505"/>
      <c r="Q521" s="505"/>
      <c r="R521" s="505" t="s">
        <v>149</v>
      </c>
      <c r="S521" s="505"/>
      <c r="T521" s="482" t="str">
        <f>VLOOKUP(Таблица3[[#This Row],[№ акта]],$AJ$1:$BJ$691,15,FALSE)</f>
        <v>3.3 Колос</v>
      </c>
      <c r="U521" s="482" t="str">
        <f>VLOOKUP(Таблица3[[#This Row],[№ акта]],$AJ$1:$BJ$691,16,FALSE)</f>
        <v>Беркут</v>
      </c>
      <c r="V521" s="502">
        <f>67.4*Таблица3[[#This Row],[Регистратор.Вес нетто]]/380500</f>
        <v>2.30807358738502</v>
      </c>
      <c r="W521" s="502" t="str">
        <f>VLOOKUP(Таблица3[[#This Row],[№ акта]],$AJ$1:$BJ$691,18,FALSE)</f>
        <v>Колос (полив)</v>
      </c>
      <c r="X521" s="516" t="str">
        <f>VLOOKUP(Таблица3[[#This Row],[№ акта]],$AJ$1:$BJ$691,19,FALSE)</f>
        <v>полив</v>
      </c>
      <c r="Y521" s="503">
        <f>VLOOKUP(Таблица3[[#This Row],[№ акта]],$AJ$1:$BJ$691,20,FALSE)</f>
        <v>26</v>
      </c>
      <c r="Z521" s="507">
        <f>VLOOKUP(Таблица3[[#This Row],[№ акта]],$AJ$1:$BJ$691,21,FALSE)</f>
        <v>46202</v>
      </c>
      <c r="AA521" s="516"/>
      <c r="AB521" s="504" t="str">
        <f>IF(VLOOKUP(Таблица3[[#This Row],[№ акта]],$AJ$1:$BJ$691,23,FALSE)&lt;&gt;0,VLOOKUP(Таблица3[[#This Row],[№ акта]],$AJ$1:$BJ$691,23,FALSE),"-")</f>
        <v>-</v>
      </c>
      <c r="AC52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21" s="506" t="s">
        <v>2940</v>
      </c>
      <c r="AE521" s="505">
        <v>533</v>
      </c>
      <c r="AF521" s="507">
        <v>46202</v>
      </c>
      <c r="AG521" s="505">
        <v>45</v>
      </c>
      <c r="AH521" s="505">
        <f>IFERROR(VLOOKUP(Таблица3[[#This Row],[№ акта]],'Степень зрелости 2026'!$H$12:$I$800,2,FALSE),)</f>
        <v>60</v>
      </c>
      <c r="AJ521" s="488">
        <v>532</v>
      </c>
      <c r="AK521" s="519">
        <v>46202</v>
      </c>
      <c r="AL521" s="488">
        <v>677</v>
      </c>
      <c r="AO521" s="488">
        <v>13530</v>
      </c>
      <c r="AP521" s="488">
        <v>12447.6</v>
      </c>
      <c r="AQ521" s="488" t="s">
        <v>3645</v>
      </c>
      <c r="AR521" s="488" t="s">
        <v>909</v>
      </c>
      <c r="AS521" s="488" t="s">
        <v>3122</v>
      </c>
      <c r="AT521" s="488" t="s">
        <v>347</v>
      </c>
      <c r="AV521" s="488" t="s">
        <v>351</v>
      </c>
      <c r="AX521" s="488" t="s">
        <v>3122</v>
      </c>
      <c r="AY521" s="488" t="s">
        <v>897</v>
      </c>
      <c r="AZ521" s="488">
        <v>1.9</v>
      </c>
      <c r="BA521" s="488" t="s">
        <v>53</v>
      </c>
      <c r="BB521" s="488" t="s">
        <v>178</v>
      </c>
      <c r="BC521" s="488">
        <v>26</v>
      </c>
      <c r="BD521" s="519">
        <v>46202</v>
      </c>
      <c r="BG521" s="488" t="s">
        <v>724</v>
      </c>
      <c r="BH521" s="488" t="s">
        <v>2940</v>
      </c>
      <c r="BI521" s="488">
        <v>43</v>
      </c>
      <c r="BJ521" s="488">
        <v>59</v>
      </c>
      <c r="BK521" s="508"/>
    </row>
    <row r="522" spans="1:63" s="488" customFormat="1" ht="22.5" hidden="1" x14ac:dyDescent="0.25">
      <c r="A522" s="505"/>
      <c r="B522" s="511"/>
      <c r="C522" s="515">
        <f>Таблица3[[#This Row],[Степень зрелости вспом]]</f>
        <v>57</v>
      </c>
      <c r="D522" s="512">
        <v>680</v>
      </c>
      <c r="E522" s="513"/>
      <c r="F522" s="511"/>
      <c r="G522" s="511">
        <v>13220</v>
      </c>
      <c r="H522" s="514"/>
      <c r="I522" s="511">
        <v>11964.1</v>
      </c>
      <c r="J522" s="505" t="s">
        <v>3645</v>
      </c>
      <c r="K522" s="505" t="s">
        <v>909</v>
      </c>
      <c r="L522" s="505" t="s">
        <v>3122</v>
      </c>
      <c r="M522" s="505" t="s">
        <v>1408</v>
      </c>
      <c r="N522" s="505"/>
      <c r="O522" s="505"/>
      <c r="P522" s="505"/>
      <c r="Q522" s="505"/>
      <c r="R522" s="505" t="s">
        <v>1409</v>
      </c>
      <c r="S522" s="505"/>
      <c r="T522" s="482" t="str">
        <f>VLOOKUP(Таблица3[[#This Row],[№ акта]],$AJ$1:$BJ$691,15,FALSE)</f>
        <v>3.3 Колос</v>
      </c>
      <c r="U522" s="482" t="str">
        <f>VLOOKUP(Таблица3[[#This Row],[№ акта]],$AJ$1:$BJ$691,16,FALSE)</f>
        <v>Беркут</v>
      </c>
      <c r="V522" s="502">
        <f>67.4*Таблица3[[#This Row],[Регистратор.Вес нетто]]/380500</f>
        <v>2.3417293035479636</v>
      </c>
      <c r="W522" s="502" t="str">
        <f>VLOOKUP(Таблица3[[#This Row],[№ акта]],$AJ$1:$BJ$691,18,FALSE)</f>
        <v>Колос (полив)</v>
      </c>
      <c r="X522" s="516" t="str">
        <f>VLOOKUP(Таблица3[[#This Row],[№ акта]],$AJ$1:$BJ$691,19,FALSE)</f>
        <v>полив</v>
      </c>
      <c r="Y522" s="503">
        <f>VLOOKUP(Таблица3[[#This Row],[№ акта]],$AJ$1:$BJ$691,20,FALSE)</f>
        <v>26</v>
      </c>
      <c r="Z522" s="507">
        <f>VLOOKUP(Таблица3[[#This Row],[№ акта]],$AJ$1:$BJ$691,21,FALSE)</f>
        <v>46202</v>
      </c>
      <c r="AA522" s="516"/>
      <c r="AB522" s="504" t="str">
        <f>IF(VLOOKUP(Таблица3[[#This Row],[№ акта]],$AJ$1:$BJ$691,23,FALSE)&lt;&gt;0,VLOOKUP(Таблица3[[#This Row],[№ акта]],$AJ$1:$BJ$691,23,FALSE),"-")</f>
        <v>-</v>
      </c>
      <c r="AC52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22" s="506" t="s">
        <v>2940</v>
      </c>
      <c r="AE522" s="505">
        <v>534</v>
      </c>
      <c r="AF522" s="507">
        <v>46202</v>
      </c>
      <c r="AG522" s="505">
        <v>46</v>
      </c>
      <c r="AH522" s="505">
        <f>IFERROR(VLOOKUP(Таблица3[[#This Row],[№ акта]],'Степень зрелости 2026'!$H$12:$I$800,2,FALSE),)</f>
        <v>57</v>
      </c>
      <c r="AJ522" s="488">
        <v>531</v>
      </c>
      <c r="AK522" s="519">
        <v>46202</v>
      </c>
      <c r="AL522" s="488">
        <v>678</v>
      </c>
      <c r="AO522" s="488">
        <v>12940</v>
      </c>
      <c r="AP522" s="488">
        <v>11969.5</v>
      </c>
      <c r="AQ522" s="488" t="s">
        <v>3645</v>
      </c>
      <c r="AR522" s="488" t="s">
        <v>909</v>
      </c>
      <c r="AS522" s="488" t="s">
        <v>3122</v>
      </c>
      <c r="AT522" s="488" t="s">
        <v>2967</v>
      </c>
      <c r="AV522" s="488" t="s">
        <v>1810</v>
      </c>
      <c r="AX522" s="488" t="s">
        <v>3122</v>
      </c>
      <c r="AY522" s="488" t="s">
        <v>897</v>
      </c>
      <c r="AZ522" s="488">
        <v>1.8</v>
      </c>
      <c r="BA522" s="488" t="s">
        <v>53</v>
      </c>
      <c r="BB522" s="488" t="s">
        <v>178</v>
      </c>
      <c r="BC522" s="488">
        <v>26</v>
      </c>
      <c r="BD522" s="519">
        <v>46202</v>
      </c>
      <c r="BG522" s="488" t="s">
        <v>724</v>
      </c>
      <c r="BH522" s="488" t="s">
        <v>2940</v>
      </c>
      <c r="BI522" s="488">
        <v>44</v>
      </c>
      <c r="BJ522" s="488">
        <v>58</v>
      </c>
      <c r="BK522" s="508"/>
    </row>
    <row r="523" spans="1:63" s="488" customFormat="1" ht="22.5" hidden="1" x14ac:dyDescent="0.25">
      <c r="A523" s="505"/>
      <c r="B523" s="511"/>
      <c r="C523" s="515">
        <f>Таблица3[[#This Row],[Степень зрелости вспом]]</f>
        <v>58</v>
      </c>
      <c r="D523" s="512">
        <v>681</v>
      </c>
      <c r="E523" s="513"/>
      <c r="F523" s="511"/>
      <c r="G523" s="511">
        <v>13040</v>
      </c>
      <c r="H523" s="514"/>
      <c r="I523" s="511">
        <v>11540.4</v>
      </c>
      <c r="J523" s="505" t="s">
        <v>3645</v>
      </c>
      <c r="K523" s="505" t="s">
        <v>909</v>
      </c>
      <c r="L523" s="505" t="s">
        <v>3122</v>
      </c>
      <c r="M523" s="505" t="s">
        <v>311</v>
      </c>
      <c r="N523" s="505"/>
      <c r="O523" s="505"/>
      <c r="P523" s="505"/>
      <c r="Q523" s="505"/>
      <c r="R523" s="505" t="s">
        <v>315</v>
      </c>
      <c r="S523" s="505"/>
      <c r="T523" s="482" t="str">
        <f>VLOOKUP(Таблица3[[#This Row],[№ акта]],$AJ$1:$BJ$691,15,FALSE)</f>
        <v>3.3 Колос</v>
      </c>
      <c r="U523" s="482" t="str">
        <f>VLOOKUP(Таблица3[[#This Row],[№ акта]],$AJ$1:$BJ$691,16,FALSE)</f>
        <v>Беркут</v>
      </c>
      <c r="V523" s="502">
        <f>67.4*Таблица3[[#This Row],[Регистратор.Вес нетто]]/380500</f>
        <v>2.3098449408672801</v>
      </c>
      <c r="W523" s="502" t="str">
        <f>VLOOKUP(Таблица3[[#This Row],[№ акта]],$AJ$1:$BJ$691,18,FALSE)</f>
        <v>Колос (полив)</v>
      </c>
      <c r="X523" s="516" t="str">
        <f>VLOOKUP(Таблица3[[#This Row],[№ акта]],$AJ$1:$BJ$691,19,FALSE)</f>
        <v>полив</v>
      </c>
      <c r="Y523" s="503">
        <f>VLOOKUP(Таблица3[[#This Row],[№ акта]],$AJ$1:$BJ$691,20,FALSE)</f>
        <v>26</v>
      </c>
      <c r="Z523" s="507">
        <f>VLOOKUP(Таблица3[[#This Row],[№ акта]],$AJ$1:$BJ$691,21,FALSE)</f>
        <v>46202</v>
      </c>
      <c r="AA523" s="516"/>
      <c r="AB523" s="504" t="str">
        <f>IF(VLOOKUP(Таблица3[[#This Row],[№ акта]],$AJ$1:$BJ$691,23,FALSE)&lt;&gt;0,VLOOKUP(Таблица3[[#This Row],[№ акта]],$AJ$1:$BJ$691,23,FALSE),"-")</f>
        <v>-</v>
      </c>
      <c r="AC52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23" s="506" t="s">
        <v>2940</v>
      </c>
      <c r="AE523" s="505">
        <v>535</v>
      </c>
      <c r="AF523" s="507">
        <v>46202</v>
      </c>
      <c r="AG523" s="505">
        <v>47</v>
      </c>
      <c r="AH523" s="505">
        <f>IFERROR(VLOOKUP(Таблица3[[#This Row],[№ акта]],'Степень зрелости 2026'!$H$12:$I$800,2,FALSE),)</f>
        <v>58</v>
      </c>
      <c r="AJ523" s="488">
        <v>533</v>
      </c>
      <c r="AK523" s="519">
        <v>46202</v>
      </c>
      <c r="AL523" s="488">
        <v>679</v>
      </c>
      <c r="AO523" s="488">
        <v>13030</v>
      </c>
      <c r="AP523" s="488">
        <v>12052.8</v>
      </c>
      <c r="AQ523" s="488" t="s">
        <v>3645</v>
      </c>
      <c r="AR523" s="488" t="s">
        <v>909</v>
      </c>
      <c r="AS523" s="488" t="s">
        <v>3122</v>
      </c>
      <c r="AT523" s="488" t="s">
        <v>1461</v>
      </c>
      <c r="AV523" s="488" t="s">
        <v>149</v>
      </c>
      <c r="AX523" s="488" t="s">
        <v>3122</v>
      </c>
      <c r="AY523" s="488" t="s">
        <v>897</v>
      </c>
      <c r="AZ523" s="488">
        <v>1.9</v>
      </c>
      <c r="BA523" s="488" t="s">
        <v>53</v>
      </c>
      <c r="BB523" s="488" t="s">
        <v>178</v>
      </c>
      <c r="BC523" s="488">
        <v>26</v>
      </c>
      <c r="BD523" s="519">
        <v>46202</v>
      </c>
      <c r="BG523" s="488" t="s">
        <v>724</v>
      </c>
      <c r="BH523" s="488" t="s">
        <v>2940</v>
      </c>
      <c r="BI523" s="488">
        <v>45</v>
      </c>
      <c r="BJ523" s="488">
        <v>60</v>
      </c>
      <c r="BK523" s="508"/>
    </row>
    <row r="524" spans="1:63" s="488" customFormat="1" ht="22.5" hidden="1" x14ac:dyDescent="0.25">
      <c r="A524" s="505"/>
      <c r="B524" s="511"/>
      <c r="C524" s="515">
        <f>Таблица3[[#This Row],[Степень зрелости вспом]]</f>
        <v>57</v>
      </c>
      <c r="D524" s="512">
        <v>682</v>
      </c>
      <c r="E524" s="513"/>
      <c r="F524" s="511"/>
      <c r="G524" s="511">
        <v>12100</v>
      </c>
      <c r="H524" s="514"/>
      <c r="I524" s="511">
        <v>10950.5</v>
      </c>
      <c r="J524" s="505" t="s">
        <v>3645</v>
      </c>
      <c r="K524" s="505" t="s">
        <v>909</v>
      </c>
      <c r="L524" s="505" t="s">
        <v>3122</v>
      </c>
      <c r="M524" s="505" t="s">
        <v>1151</v>
      </c>
      <c r="N524" s="505"/>
      <c r="O524" s="505"/>
      <c r="P524" s="505"/>
      <c r="Q524" s="505"/>
      <c r="R524" s="505" t="s">
        <v>145</v>
      </c>
      <c r="S524" s="505"/>
      <c r="T524" s="482" t="str">
        <f>VLOOKUP(Таблица3[[#This Row],[№ акта]],$AJ$1:$BJ$691,15,FALSE)</f>
        <v>3.3 Колос</v>
      </c>
      <c r="U524" s="482" t="str">
        <f>VLOOKUP(Таблица3[[#This Row],[№ акта]],$AJ$1:$BJ$691,16,FALSE)</f>
        <v>Беркут</v>
      </c>
      <c r="V524" s="502">
        <f>67.4*Таблица3[[#This Row],[Регистратор.Вес нетто]]/380500</f>
        <v>2.1433377135348231</v>
      </c>
      <c r="W524" s="502" t="str">
        <f>VLOOKUP(Таблица3[[#This Row],[№ акта]],$AJ$1:$BJ$691,18,FALSE)</f>
        <v>Колос (полив)</v>
      </c>
      <c r="X524" s="516" t="str">
        <f>VLOOKUP(Таблица3[[#This Row],[№ акта]],$AJ$1:$BJ$691,19,FALSE)</f>
        <v>полив</v>
      </c>
      <c r="Y524" s="503">
        <f>VLOOKUP(Таблица3[[#This Row],[№ акта]],$AJ$1:$BJ$691,20,FALSE)</f>
        <v>26</v>
      </c>
      <c r="Z524" s="507">
        <f>VLOOKUP(Таблица3[[#This Row],[№ акта]],$AJ$1:$BJ$691,21,FALSE)</f>
        <v>46202</v>
      </c>
      <c r="AA524" s="516"/>
      <c r="AB524" s="504" t="str">
        <f>IF(VLOOKUP(Таблица3[[#This Row],[№ акта]],$AJ$1:$BJ$691,23,FALSE)&lt;&gt;0,VLOOKUP(Таблица3[[#This Row],[№ акта]],$AJ$1:$BJ$691,23,FALSE),"-")</f>
        <v>-</v>
      </c>
      <c r="AC52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24" s="506" t="s">
        <v>2940</v>
      </c>
      <c r="AE524" s="505">
        <v>536</v>
      </c>
      <c r="AF524" s="507">
        <v>46202</v>
      </c>
      <c r="AG524" s="505">
        <v>48</v>
      </c>
      <c r="AH524" s="505">
        <f>IFERROR(VLOOKUP(Таблица3[[#This Row],[№ акта]],'Степень зрелости 2026'!$H$12:$I$800,2,FALSE),)</f>
        <v>57</v>
      </c>
      <c r="AJ524" s="488">
        <v>534</v>
      </c>
      <c r="AK524" s="519">
        <v>46202</v>
      </c>
      <c r="AL524" s="488">
        <v>680</v>
      </c>
      <c r="AO524" s="488">
        <v>13220</v>
      </c>
      <c r="AP524" s="488">
        <v>11964.1</v>
      </c>
      <c r="AQ524" s="488" t="s">
        <v>3645</v>
      </c>
      <c r="AR524" s="488" t="s">
        <v>909</v>
      </c>
      <c r="AS524" s="488" t="s">
        <v>3122</v>
      </c>
      <c r="AT524" s="488" t="s">
        <v>1408</v>
      </c>
      <c r="AV524" s="488" t="s">
        <v>1409</v>
      </c>
      <c r="AX524" s="488" t="s">
        <v>3122</v>
      </c>
      <c r="AY524" s="488" t="s">
        <v>897</v>
      </c>
      <c r="AZ524" s="488">
        <v>1.9</v>
      </c>
      <c r="BA524" s="488" t="s">
        <v>53</v>
      </c>
      <c r="BB524" s="488" t="s">
        <v>178</v>
      </c>
      <c r="BC524" s="488">
        <v>26</v>
      </c>
      <c r="BD524" s="519">
        <v>46202</v>
      </c>
      <c r="BG524" s="488" t="s">
        <v>724</v>
      </c>
      <c r="BH524" s="488" t="s">
        <v>2940</v>
      </c>
      <c r="BI524" s="488">
        <v>46</v>
      </c>
      <c r="BJ524" s="488">
        <v>57</v>
      </c>
      <c r="BK524" s="508"/>
    </row>
    <row r="525" spans="1:63" s="488" customFormat="1" ht="22.5" hidden="1" x14ac:dyDescent="0.25">
      <c r="A525" s="505"/>
      <c r="B525" s="511"/>
      <c r="C525" s="515">
        <f>Таблица3[[#This Row],[Степень зрелости вспом]]</f>
        <v>59</v>
      </c>
      <c r="D525" s="512">
        <v>683</v>
      </c>
      <c r="E525" s="513"/>
      <c r="F525" s="511"/>
      <c r="G525" s="511">
        <v>12830</v>
      </c>
      <c r="H525" s="514"/>
      <c r="I525" s="511">
        <v>11482.9</v>
      </c>
      <c r="J525" s="505" t="s">
        <v>3645</v>
      </c>
      <c r="K525" s="505" t="s">
        <v>909</v>
      </c>
      <c r="L525" s="505" t="s">
        <v>3122</v>
      </c>
      <c r="M525" s="505" t="s">
        <v>239</v>
      </c>
      <c r="N525" s="505"/>
      <c r="O525" s="505"/>
      <c r="P525" s="505"/>
      <c r="Q525" s="505"/>
      <c r="R525" s="505" t="s">
        <v>243</v>
      </c>
      <c r="S525" s="505"/>
      <c r="T525" s="482" t="str">
        <f>VLOOKUP(Таблица3[[#This Row],[№ акта]],$AJ$1:$BJ$691,15,FALSE)</f>
        <v>3.3 Колос</v>
      </c>
      <c r="U525" s="482" t="str">
        <f>VLOOKUP(Таблица3[[#This Row],[№ акта]],$AJ$1:$BJ$691,16,FALSE)</f>
        <v>Беркут</v>
      </c>
      <c r="V525" s="502">
        <f>67.4*Таблица3[[#This Row],[Регистратор.Вес нетто]]/380500</f>
        <v>2.2726465177398163</v>
      </c>
      <c r="W525" s="502" t="str">
        <f>VLOOKUP(Таблица3[[#This Row],[№ акта]],$AJ$1:$BJ$691,18,FALSE)</f>
        <v>Колос (полив)</v>
      </c>
      <c r="X525" s="516" t="str">
        <f>VLOOKUP(Таблица3[[#This Row],[№ акта]],$AJ$1:$BJ$691,19,FALSE)</f>
        <v>полив</v>
      </c>
      <c r="Y525" s="503">
        <f>VLOOKUP(Таблица3[[#This Row],[№ акта]],$AJ$1:$BJ$691,20,FALSE)</f>
        <v>26</v>
      </c>
      <c r="Z525" s="507">
        <f>VLOOKUP(Таблица3[[#This Row],[№ акта]],$AJ$1:$BJ$691,21,FALSE)</f>
        <v>46202</v>
      </c>
      <c r="AA525" s="516"/>
      <c r="AB525" s="504" t="str">
        <f>IF(VLOOKUP(Таблица3[[#This Row],[№ акта]],$AJ$1:$BJ$691,23,FALSE)&lt;&gt;0,VLOOKUP(Таблица3[[#This Row],[№ акта]],$AJ$1:$BJ$691,23,FALSE),"-")</f>
        <v>-</v>
      </c>
      <c r="AC52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25" s="506" t="s">
        <v>2940</v>
      </c>
      <c r="AE525" s="505">
        <v>537</v>
      </c>
      <c r="AF525" s="507">
        <v>46203</v>
      </c>
      <c r="AG525" s="505">
        <v>49</v>
      </c>
      <c r="AH525" s="505">
        <f>IFERROR(VLOOKUP(Таблица3[[#This Row],[№ акта]],'Степень зрелости 2026'!$H$12:$I$800,2,FALSE),)</f>
        <v>59</v>
      </c>
      <c r="AJ525" s="488">
        <v>535</v>
      </c>
      <c r="AK525" s="519">
        <v>46202</v>
      </c>
      <c r="AL525" s="488">
        <v>681</v>
      </c>
      <c r="AO525" s="488">
        <v>13040</v>
      </c>
      <c r="AP525" s="488">
        <v>11540.4</v>
      </c>
      <c r="AQ525" s="488" t="s">
        <v>3645</v>
      </c>
      <c r="AR525" s="488" t="s">
        <v>909</v>
      </c>
      <c r="AS525" s="488" t="s">
        <v>3122</v>
      </c>
      <c r="AT525" s="488" t="s">
        <v>311</v>
      </c>
      <c r="AV525" s="488" t="s">
        <v>315</v>
      </c>
      <c r="AX525" s="488" t="s">
        <v>3122</v>
      </c>
      <c r="AY525" s="488" t="s">
        <v>897</v>
      </c>
      <c r="AZ525" s="488">
        <v>1.9</v>
      </c>
      <c r="BA525" s="488" t="s">
        <v>53</v>
      </c>
      <c r="BB525" s="488" t="s">
        <v>178</v>
      </c>
      <c r="BC525" s="488">
        <v>26</v>
      </c>
      <c r="BD525" s="519">
        <v>46202</v>
      </c>
      <c r="BG525" s="488" t="s">
        <v>724</v>
      </c>
      <c r="BH525" s="488" t="s">
        <v>2940</v>
      </c>
      <c r="BI525" s="488">
        <v>47</v>
      </c>
      <c r="BJ525" s="488">
        <v>58</v>
      </c>
      <c r="BK525" s="508"/>
    </row>
    <row r="526" spans="1:63" s="488" customFormat="1" ht="22.5" hidden="1" x14ac:dyDescent="0.25">
      <c r="A526" s="505"/>
      <c r="B526" s="511"/>
      <c r="C526" s="515">
        <f>Таблица3[[#This Row],[Степень зрелости вспом]]</f>
        <v>60</v>
      </c>
      <c r="D526" s="512">
        <v>684</v>
      </c>
      <c r="E526" s="513"/>
      <c r="F526" s="511"/>
      <c r="G526" s="511">
        <v>13090</v>
      </c>
      <c r="H526" s="514"/>
      <c r="I526" s="511">
        <v>11846.5</v>
      </c>
      <c r="J526" s="505" t="s">
        <v>3645</v>
      </c>
      <c r="K526" s="505" t="s">
        <v>909</v>
      </c>
      <c r="L526" s="505" t="s">
        <v>3122</v>
      </c>
      <c r="M526" s="505" t="s">
        <v>133</v>
      </c>
      <c r="N526" s="505"/>
      <c r="O526" s="505"/>
      <c r="P526" s="505"/>
      <c r="Q526" s="505"/>
      <c r="R526" s="505" t="s">
        <v>137</v>
      </c>
      <c r="S526" s="505"/>
      <c r="T526" s="482" t="str">
        <f>VLOOKUP(Таблица3[[#This Row],[№ акта]],$AJ$1:$BJ$691,15,FALSE)</f>
        <v>3.3 Колос</v>
      </c>
      <c r="U526" s="482" t="str">
        <f>VLOOKUP(Таблица3[[#This Row],[№ акта]],$AJ$1:$BJ$691,16,FALSE)</f>
        <v>Беркут</v>
      </c>
      <c r="V526" s="502">
        <f>67.4*Таблица3[[#This Row],[Регистратор.Вес нетто]]/380500</f>
        <v>2.318701708278581</v>
      </c>
      <c r="W526" s="502" t="str">
        <f>VLOOKUP(Таблица3[[#This Row],[№ акта]],$AJ$1:$BJ$691,18,FALSE)</f>
        <v>Колос (полив)</v>
      </c>
      <c r="X526" s="516" t="str">
        <f>VLOOKUP(Таблица3[[#This Row],[№ акта]],$AJ$1:$BJ$691,19,FALSE)</f>
        <v>полив</v>
      </c>
      <c r="Y526" s="503">
        <f>VLOOKUP(Таблица3[[#This Row],[№ акта]],$AJ$1:$BJ$691,20,FALSE)</f>
        <v>26</v>
      </c>
      <c r="Z526" s="507">
        <f>VLOOKUP(Таблица3[[#This Row],[№ акта]],$AJ$1:$BJ$691,21,FALSE)</f>
        <v>46202</v>
      </c>
      <c r="AA526" s="516"/>
      <c r="AB526" s="504" t="str">
        <f>IF(VLOOKUP(Таблица3[[#This Row],[№ акта]],$AJ$1:$BJ$691,23,FALSE)&lt;&gt;0,VLOOKUP(Таблица3[[#This Row],[№ акта]],$AJ$1:$BJ$691,23,FALSE),"-")</f>
        <v>-</v>
      </c>
      <c r="AC52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26" s="506" t="s">
        <v>2940</v>
      </c>
      <c r="AE526" s="505">
        <v>538</v>
      </c>
      <c r="AF526" s="507">
        <v>46203</v>
      </c>
      <c r="AG526" s="505">
        <v>50</v>
      </c>
      <c r="AH526" s="505">
        <f>IFERROR(VLOOKUP(Таблица3[[#This Row],[№ акта]],'Степень зрелости 2026'!$H$12:$I$800,2,FALSE),)</f>
        <v>60</v>
      </c>
      <c r="AJ526" s="488">
        <v>536</v>
      </c>
      <c r="AK526" s="519">
        <v>46202</v>
      </c>
      <c r="AL526" s="488">
        <v>682</v>
      </c>
      <c r="AO526" s="488">
        <v>12100</v>
      </c>
      <c r="AP526" s="488">
        <v>10950.5</v>
      </c>
      <c r="AQ526" s="488" t="s">
        <v>3645</v>
      </c>
      <c r="AR526" s="488" t="s">
        <v>909</v>
      </c>
      <c r="AS526" s="488" t="s">
        <v>3122</v>
      </c>
      <c r="AT526" s="488" t="s">
        <v>1151</v>
      </c>
      <c r="AV526" s="488" t="s">
        <v>145</v>
      </c>
      <c r="AX526" s="488" t="s">
        <v>3122</v>
      </c>
      <c r="AY526" s="488" t="s">
        <v>897</v>
      </c>
      <c r="AZ526" s="488">
        <v>1.7</v>
      </c>
      <c r="BA526" s="488" t="s">
        <v>53</v>
      </c>
      <c r="BB526" s="488" t="s">
        <v>178</v>
      </c>
      <c r="BC526" s="488">
        <v>26</v>
      </c>
      <c r="BD526" s="519">
        <v>46202</v>
      </c>
      <c r="BG526" s="488" t="s">
        <v>724</v>
      </c>
      <c r="BH526" s="488" t="s">
        <v>2940</v>
      </c>
      <c r="BI526" s="488">
        <v>48</v>
      </c>
      <c r="BJ526" s="488">
        <v>57</v>
      </c>
      <c r="BK526" s="508"/>
    </row>
    <row r="527" spans="1:63" s="488" customFormat="1" ht="22.5" hidden="1" x14ac:dyDescent="0.25">
      <c r="A527" s="505"/>
      <c r="B527" s="511"/>
      <c r="C527" s="515">
        <f>Таблица3[[#This Row],[Степень зрелости вспом]]</f>
        <v>56</v>
      </c>
      <c r="D527" s="512">
        <v>685</v>
      </c>
      <c r="E527" s="513"/>
      <c r="F527" s="511"/>
      <c r="G527" s="511">
        <v>12860</v>
      </c>
      <c r="H527" s="514"/>
      <c r="I527" s="511">
        <v>11895.5</v>
      </c>
      <c r="J527" s="505" t="s">
        <v>3645</v>
      </c>
      <c r="K527" s="505" t="s">
        <v>909</v>
      </c>
      <c r="L527" s="505" t="s">
        <v>3122</v>
      </c>
      <c r="M527" s="505" t="s">
        <v>1376</v>
      </c>
      <c r="N527" s="505"/>
      <c r="O527" s="505"/>
      <c r="P527" s="505"/>
      <c r="Q527" s="505"/>
      <c r="R527" s="505" t="s">
        <v>1377</v>
      </c>
      <c r="S527" s="505"/>
      <c r="T527" s="482" t="str">
        <f>VLOOKUP(Таблица3[[#This Row],[№ акта]],$AJ$1:$BJ$691,15,FALSE)</f>
        <v>3.3 Колос</v>
      </c>
      <c r="U527" s="482" t="str">
        <f>VLOOKUP(Таблица3[[#This Row],[№ акта]],$AJ$1:$BJ$691,16,FALSE)</f>
        <v>Беркут</v>
      </c>
      <c r="V527" s="502">
        <f>67.4*Таблица3[[#This Row],[Регистратор.Вес нетто]]/380500</f>
        <v>2.277960578186597</v>
      </c>
      <c r="W527" s="502" t="str">
        <f>VLOOKUP(Таблица3[[#This Row],[№ акта]],$AJ$1:$BJ$691,18,FALSE)</f>
        <v>Колос (полив)</v>
      </c>
      <c r="X527" s="516" t="str">
        <f>VLOOKUP(Таблица3[[#This Row],[№ акта]],$AJ$1:$BJ$691,19,FALSE)</f>
        <v>полив</v>
      </c>
      <c r="Y527" s="503">
        <f>VLOOKUP(Таблица3[[#This Row],[№ акта]],$AJ$1:$BJ$691,20,FALSE)</f>
        <v>26</v>
      </c>
      <c r="Z527" s="507">
        <f>VLOOKUP(Таблица3[[#This Row],[№ акта]],$AJ$1:$BJ$691,21,FALSE)</f>
        <v>46202</v>
      </c>
      <c r="AA527" s="516"/>
      <c r="AB527" s="504" t="str">
        <f>IF(VLOOKUP(Таблица3[[#This Row],[№ акта]],$AJ$1:$BJ$691,23,FALSE)&lt;&gt;0,VLOOKUP(Таблица3[[#This Row],[№ акта]],$AJ$1:$BJ$691,23,FALSE),"-")</f>
        <v>-</v>
      </c>
      <c r="AC52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27" s="506" t="s">
        <v>2940</v>
      </c>
      <c r="AE527" s="505">
        <v>539</v>
      </c>
      <c r="AF527" s="507">
        <v>46203</v>
      </c>
      <c r="AG527" s="505">
        <v>51</v>
      </c>
      <c r="AH527" s="505">
        <f>IFERROR(VLOOKUP(Таблица3[[#This Row],[№ акта]],'Степень зрелости 2026'!$H$12:$I$800,2,FALSE),)</f>
        <v>56</v>
      </c>
      <c r="AJ527" s="488">
        <v>537</v>
      </c>
      <c r="AK527" s="519">
        <v>46203</v>
      </c>
      <c r="AL527" s="488">
        <v>683</v>
      </c>
      <c r="AO527" s="488">
        <v>12830</v>
      </c>
      <c r="AP527" s="488">
        <v>11482.9</v>
      </c>
      <c r="AQ527" s="488" t="s">
        <v>3645</v>
      </c>
      <c r="AR527" s="488" t="s">
        <v>909</v>
      </c>
      <c r="AS527" s="488" t="s">
        <v>3122</v>
      </c>
      <c r="AT527" s="488" t="s">
        <v>239</v>
      </c>
      <c r="AV527" s="488" t="s">
        <v>243</v>
      </c>
      <c r="AX527" s="488" t="s">
        <v>3122</v>
      </c>
      <c r="AY527" s="488" t="s">
        <v>897</v>
      </c>
      <c r="AZ527" s="488">
        <v>1.8</v>
      </c>
      <c r="BA527" s="488" t="s">
        <v>53</v>
      </c>
      <c r="BB527" s="488" t="s">
        <v>178</v>
      </c>
      <c r="BC527" s="488">
        <v>26</v>
      </c>
      <c r="BD527" s="519">
        <v>46202</v>
      </c>
      <c r="BG527" s="488" t="s">
        <v>724</v>
      </c>
      <c r="BH527" s="488" t="s">
        <v>2940</v>
      </c>
      <c r="BI527" s="488">
        <v>49</v>
      </c>
      <c r="BJ527" s="488">
        <v>59</v>
      </c>
      <c r="BK527" s="508"/>
    </row>
    <row r="528" spans="1:63" s="488" customFormat="1" ht="22.5" hidden="1" x14ac:dyDescent="0.25">
      <c r="A528" s="505"/>
      <c r="B528" s="511"/>
      <c r="C528" s="515">
        <f>Таблица3[[#This Row],[Степень зрелости вспом]]</f>
        <v>57</v>
      </c>
      <c r="D528" s="512">
        <v>686</v>
      </c>
      <c r="E528" s="513"/>
      <c r="F528" s="511"/>
      <c r="G528" s="511">
        <v>12850</v>
      </c>
      <c r="H528" s="514"/>
      <c r="I528" s="511">
        <v>11372.3</v>
      </c>
      <c r="J528" s="505" t="s">
        <v>3645</v>
      </c>
      <c r="K528" s="505" t="s">
        <v>909</v>
      </c>
      <c r="L528" s="505" t="s">
        <v>3122</v>
      </c>
      <c r="M528" s="505" t="s">
        <v>335</v>
      </c>
      <c r="N528" s="505"/>
      <c r="O528" s="505"/>
      <c r="P528" s="505"/>
      <c r="Q528" s="505"/>
      <c r="R528" s="505" t="s">
        <v>339</v>
      </c>
      <c r="S528" s="505"/>
      <c r="T528" s="482" t="str">
        <f>VLOOKUP(Таблица3[[#This Row],[№ акта]],$AJ$1:$BJ$691,15,FALSE)</f>
        <v>3.3 Колос</v>
      </c>
      <c r="U528" s="482" t="str">
        <f>VLOOKUP(Таблица3[[#This Row],[№ акта]],$AJ$1:$BJ$691,16,FALSE)</f>
        <v>Беркут</v>
      </c>
      <c r="V528" s="502">
        <f>67.4*Таблица3[[#This Row],[Регистратор.Вес нетто]]/380500</f>
        <v>2.2761892247043365</v>
      </c>
      <c r="W528" s="502" t="str">
        <f>VLOOKUP(Таблица3[[#This Row],[№ акта]],$AJ$1:$BJ$691,18,FALSE)</f>
        <v>Колос (полив)</v>
      </c>
      <c r="X528" s="516" t="str">
        <f>VLOOKUP(Таблица3[[#This Row],[№ акта]],$AJ$1:$BJ$691,19,FALSE)</f>
        <v>полив</v>
      </c>
      <c r="Y528" s="503">
        <f>VLOOKUP(Таблица3[[#This Row],[№ акта]],$AJ$1:$BJ$691,20,FALSE)</f>
        <v>26</v>
      </c>
      <c r="Z528" s="507">
        <f>VLOOKUP(Таблица3[[#This Row],[№ акта]],$AJ$1:$BJ$691,21,FALSE)</f>
        <v>46202</v>
      </c>
      <c r="AA528" s="516"/>
      <c r="AB528" s="504" t="str">
        <f>IF(VLOOKUP(Таблица3[[#This Row],[№ акта]],$AJ$1:$BJ$691,23,FALSE)&lt;&gt;0,VLOOKUP(Таблица3[[#This Row],[№ акта]],$AJ$1:$BJ$691,23,FALSE),"-")</f>
        <v>-</v>
      </c>
      <c r="AC52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28" s="506" t="s">
        <v>2940</v>
      </c>
      <c r="AE528" s="505">
        <v>540</v>
      </c>
      <c r="AF528" s="507">
        <v>46203</v>
      </c>
      <c r="AG528" s="505">
        <v>52</v>
      </c>
      <c r="AH528" s="505">
        <f>IFERROR(VLOOKUP(Таблица3[[#This Row],[№ акта]],'Степень зрелости 2026'!$H$12:$I$800,2,FALSE),)</f>
        <v>57</v>
      </c>
      <c r="AJ528" s="488">
        <v>538</v>
      </c>
      <c r="AK528" s="519">
        <v>46203</v>
      </c>
      <c r="AL528" s="488">
        <v>684</v>
      </c>
      <c r="AO528" s="488">
        <v>13090</v>
      </c>
      <c r="AP528" s="488">
        <v>11846.5</v>
      </c>
      <c r="AQ528" s="488" t="s">
        <v>3645</v>
      </c>
      <c r="AR528" s="488" t="s">
        <v>909</v>
      </c>
      <c r="AS528" s="488" t="s">
        <v>3122</v>
      </c>
      <c r="AT528" s="488" t="s">
        <v>133</v>
      </c>
      <c r="AV528" s="488" t="s">
        <v>137</v>
      </c>
      <c r="AX528" s="488" t="s">
        <v>3122</v>
      </c>
      <c r="AY528" s="488" t="s">
        <v>897</v>
      </c>
      <c r="AZ528" s="488">
        <v>1.9</v>
      </c>
      <c r="BA528" s="488" t="s">
        <v>53</v>
      </c>
      <c r="BB528" s="488" t="s">
        <v>178</v>
      </c>
      <c r="BC528" s="488">
        <v>26</v>
      </c>
      <c r="BD528" s="519">
        <v>46202</v>
      </c>
      <c r="BG528" s="488" t="s">
        <v>724</v>
      </c>
      <c r="BH528" s="488" t="s">
        <v>2940</v>
      </c>
      <c r="BI528" s="488">
        <v>50</v>
      </c>
      <c r="BJ528" s="488">
        <v>60</v>
      </c>
      <c r="BK528" s="508"/>
    </row>
    <row r="529" spans="1:63" s="488" customFormat="1" ht="22.5" hidden="1" x14ac:dyDescent="0.25">
      <c r="A529" s="505"/>
      <c r="B529" s="511"/>
      <c r="C529" s="515">
        <f>Таблица3[[#This Row],[Степень зрелости вспом]]</f>
        <v>61</v>
      </c>
      <c r="D529" s="512">
        <v>687</v>
      </c>
      <c r="E529" s="513"/>
      <c r="F529" s="511"/>
      <c r="G529" s="511">
        <v>12870</v>
      </c>
      <c r="H529" s="514"/>
      <c r="I529" s="511">
        <v>12033.5</v>
      </c>
      <c r="J529" s="505" t="s">
        <v>3645</v>
      </c>
      <c r="K529" s="505" t="s">
        <v>909</v>
      </c>
      <c r="L529" s="505" t="s">
        <v>3122</v>
      </c>
      <c r="M529" s="505" t="s">
        <v>166</v>
      </c>
      <c r="N529" s="505"/>
      <c r="O529" s="505"/>
      <c r="P529" s="505"/>
      <c r="Q529" s="505"/>
      <c r="R529" s="505" t="s">
        <v>170</v>
      </c>
      <c r="S529" s="505"/>
      <c r="T529" s="482" t="str">
        <f>VLOOKUP(Таблица3[[#This Row],[№ акта]],$AJ$1:$BJ$691,15,FALSE)</f>
        <v>3.3 Колос</v>
      </c>
      <c r="U529" s="482" t="str">
        <f>VLOOKUP(Таблица3[[#This Row],[№ акта]],$AJ$1:$BJ$691,16,FALSE)</f>
        <v>Беркут</v>
      </c>
      <c r="V529" s="502">
        <f>67.4*Таблица3[[#This Row],[Регистратор.Вес нетто]]/380500</f>
        <v>2.2797319316688571</v>
      </c>
      <c r="W529" s="502" t="str">
        <f>VLOOKUP(Таблица3[[#This Row],[№ акта]],$AJ$1:$BJ$691,18,FALSE)</f>
        <v>Колос (полив)</v>
      </c>
      <c r="X529" s="516" t="str">
        <f>VLOOKUP(Таблица3[[#This Row],[№ акта]],$AJ$1:$BJ$691,19,FALSE)</f>
        <v>полив</v>
      </c>
      <c r="Y529" s="503">
        <f>VLOOKUP(Таблица3[[#This Row],[№ акта]],$AJ$1:$BJ$691,20,FALSE)</f>
        <v>26</v>
      </c>
      <c r="Z529" s="507">
        <f>VLOOKUP(Таблица3[[#This Row],[№ акта]],$AJ$1:$BJ$691,21,FALSE)</f>
        <v>46202</v>
      </c>
      <c r="AA529" s="516"/>
      <c r="AB529" s="504" t="str">
        <f>IF(VLOOKUP(Таблица3[[#This Row],[№ акта]],$AJ$1:$BJ$691,23,FALSE)&lt;&gt;0,VLOOKUP(Таблица3[[#This Row],[№ акта]],$AJ$1:$BJ$691,23,FALSE),"-")</f>
        <v>-</v>
      </c>
      <c r="AC52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29" s="506" t="s">
        <v>2940</v>
      </c>
      <c r="AE529" s="505">
        <v>541</v>
      </c>
      <c r="AF529" s="507">
        <v>46203</v>
      </c>
      <c r="AG529" s="505">
        <v>53</v>
      </c>
      <c r="AH529" s="505">
        <f>IFERROR(VLOOKUP(Таблица3[[#This Row],[№ акта]],'Степень зрелости 2026'!$H$12:$I$800,2,FALSE),)</f>
        <v>61</v>
      </c>
      <c r="AJ529" s="488">
        <v>539</v>
      </c>
      <c r="AK529" s="519">
        <v>46203</v>
      </c>
      <c r="AL529" s="488">
        <v>685</v>
      </c>
      <c r="AO529" s="488">
        <v>12860</v>
      </c>
      <c r="AP529" s="488">
        <v>11895.5</v>
      </c>
      <c r="AQ529" s="488" t="s">
        <v>3645</v>
      </c>
      <c r="AR529" s="488" t="s">
        <v>909</v>
      </c>
      <c r="AS529" s="488" t="s">
        <v>3122</v>
      </c>
      <c r="AT529" s="488" t="s">
        <v>1376</v>
      </c>
      <c r="AV529" s="488" t="s">
        <v>1377</v>
      </c>
      <c r="AX529" s="488" t="s">
        <v>3122</v>
      </c>
      <c r="AY529" s="488" t="s">
        <v>897</v>
      </c>
      <c r="AZ529" s="488">
        <v>1.8</v>
      </c>
      <c r="BA529" s="488" t="s">
        <v>53</v>
      </c>
      <c r="BB529" s="488" t="s">
        <v>178</v>
      </c>
      <c r="BC529" s="488">
        <v>26</v>
      </c>
      <c r="BD529" s="519">
        <v>46202</v>
      </c>
      <c r="BG529" s="488" t="s">
        <v>724</v>
      </c>
      <c r="BH529" s="488" t="s">
        <v>2940</v>
      </c>
      <c r="BI529" s="488">
        <v>51</v>
      </c>
      <c r="BJ529" s="488">
        <v>56</v>
      </c>
      <c r="BK529" s="508"/>
    </row>
    <row r="530" spans="1:63" s="488" customFormat="1" ht="22.5" hidden="1" x14ac:dyDescent="0.25">
      <c r="A530" s="505"/>
      <c r="B530" s="511"/>
      <c r="C530" s="515">
        <f>Таблица3[[#This Row],[Степень зрелости вспом]]</f>
        <v>55</v>
      </c>
      <c r="D530" s="512">
        <v>688</v>
      </c>
      <c r="E530" s="513"/>
      <c r="F530" s="511"/>
      <c r="G530" s="511">
        <v>12730</v>
      </c>
      <c r="H530" s="514"/>
      <c r="I530" s="511">
        <v>11393.4</v>
      </c>
      <c r="J530" s="505" t="s">
        <v>3645</v>
      </c>
      <c r="K530" s="505" t="s">
        <v>909</v>
      </c>
      <c r="L530" s="505" t="s">
        <v>3122</v>
      </c>
      <c r="M530" s="505" t="s">
        <v>3623</v>
      </c>
      <c r="N530" s="505"/>
      <c r="O530" s="505"/>
      <c r="P530" s="505"/>
      <c r="Q530" s="505"/>
      <c r="R530" s="505" t="s">
        <v>3679</v>
      </c>
      <c r="S530" s="505"/>
      <c r="T530" s="482" t="str">
        <f>VLOOKUP(Таблица3[[#This Row],[№ акта]],$AJ$1:$BJ$691,15,FALSE)</f>
        <v>3.3 Колос</v>
      </c>
      <c r="U530" s="482" t="str">
        <f>VLOOKUP(Таблица3[[#This Row],[№ акта]],$AJ$1:$BJ$691,16,FALSE)</f>
        <v>Беркут</v>
      </c>
      <c r="V530" s="502">
        <f>67.4*Таблица3[[#This Row],[Регистратор.Вес нетто]]/380500</f>
        <v>2.2549329829172144</v>
      </c>
      <c r="W530" s="502" t="str">
        <f>VLOOKUP(Таблица3[[#This Row],[№ акта]],$AJ$1:$BJ$691,18,FALSE)</f>
        <v>Колос (полив)</v>
      </c>
      <c r="X530" s="516" t="str">
        <f>VLOOKUP(Таблица3[[#This Row],[№ акта]],$AJ$1:$BJ$691,19,FALSE)</f>
        <v>полив</v>
      </c>
      <c r="Y530" s="503">
        <f>VLOOKUP(Таблица3[[#This Row],[№ акта]],$AJ$1:$BJ$691,20,FALSE)</f>
        <v>26</v>
      </c>
      <c r="Z530" s="507">
        <f>VLOOKUP(Таблица3[[#This Row],[№ акта]],$AJ$1:$BJ$691,21,FALSE)</f>
        <v>46202</v>
      </c>
      <c r="AA530" s="516"/>
      <c r="AB530" s="504" t="str">
        <f>IF(VLOOKUP(Таблица3[[#This Row],[№ акта]],$AJ$1:$BJ$691,23,FALSE)&lt;&gt;0,VLOOKUP(Таблица3[[#This Row],[№ акта]],$AJ$1:$BJ$691,23,FALSE),"-")</f>
        <v>-</v>
      </c>
      <c r="AC53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30" s="506" t="s">
        <v>2940</v>
      </c>
      <c r="AE530" s="505">
        <v>542</v>
      </c>
      <c r="AF530" s="507">
        <v>46203</v>
      </c>
      <c r="AG530" s="505">
        <v>54</v>
      </c>
      <c r="AH530" s="505">
        <f>IFERROR(VLOOKUP(Таблица3[[#This Row],[№ акта]],'Степень зрелости 2026'!$H$12:$I$800,2,FALSE),)</f>
        <v>55</v>
      </c>
      <c r="AJ530" s="488">
        <v>540</v>
      </c>
      <c r="AK530" s="519">
        <v>46203</v>
      </c>
      <c r="AL530" s="488">
        <v>686</v>
      </c>
      <c r="AO530" s="488">
        <v>12850</v>
      </c>
      <c r="AP530" s="488">
        <v>11372.3</v>
      </c>
      <c r="AQ530" s="488" t="s">
        <v>3645</v>
      </c>
      <c r="AR530" s="488" t="s">
        <v>909</v>
      </c>
      <c r="AS530" s="488" t="s">
        <v>3122</v>
      </c>
      <c r="AT530" s="488" t="s">
        <v>335</v>
      </c>
      <c r="AV530" s="488" t="s">
        <v>339</v>
      </c>
      <c r="AX530" s="488" t="s">
        <v>3122</v>
      </c>
      <c r="AY530" s="488" t="s">
        <v>897</v>
      </c>
      <c r="AZ530" s="488">
        <v>1.9</v>
      </c>
      <c r="BA530" s="488" t="s">
        <v>53</v>
      </c>
      <c r="BB530" s="488" t="s">
        <v>178</v>
      </c>
      <c r="BC530" s="488">
        <v>26</v>
      </c>
      <c r="BD530" s="519">
        <v>46202</v>
      </c>
      <c r="BG530" s="488" t="s">
        <v>724</v>
      </c>
      <c r="BH530" s="488" t="s">
        <v>2940</v>
      </c>
      <c r="BI530" s="488">
        <v>52</v>
      </c>
      <c r="BJ530" s="488">
        <v>57</v>
      </c>
      <c r="BK530" s="508"/>
    </row>
    <row r="531" spans="1:63" s="488" customFormat="1" ht="22.5" hidden="1" x14ac:dyDescent="0.25">
      <c r="A531" s="505"/>
      <c r="B531" s="511"/>
      <c r="C531" s="515">
        <f>Таблица3[[#This Row],[Степень зрелости вспом]]</f>
        <v>57</v>
      </c>
      <c r="D531" s="512">
        <v>689</v>
      </c>
      <c r="E531" s="513"/>
      <c r="F531" s="511"/>
      <c r="G531" s="511">
        <v>12800</v>
      </c>
      <c r="H531" s="514"/>
      <c r="I531" s="511">
        <v>11456</v>
      </c>
      <c r="J531" s="505" t="s">
        <v>3645</v>
      </c>
      <c r="K531" s="505" t="s">
        <v>909</v>
      </c>
      <c r="L531" s="505" t="s">
        <v>3122</v>
      </c>
      <c r="M531" s="505" t="s">
        <v>1312</v>
      </c>
      <c r="N531" s="505"/>
      <c r="O531" s="505"/>
      <c r="P531" s="505"/>
      <c r="Q531" s="505"/>
      <c r="R531" s="505" t="s">
        <v>320</v>
      </c>
      <c r="S531" s="505"/>
      <c r="T531" s="482" t="str">
        <f>VLOOKUP(Таблица3[[#This Row],[№ акта]],$AJ$1:$BJ$691,15,FALSE)</f>
        <v>3.3 Колос</v>
      </c>
      <c r="U531" s="482" t="str">
        <f>VLOOKUP(Таблица3[[#This Row],[№ акта]],$AJ$1:$BJ$691,16,FALSE)</f>
        <v>Беркут</v>
      </c>
      <c r="V531" s="502">
        <f>67.4*Таблица3[[#This Row],[Регистратор.Вес нетто]]/380500</f>
        <v>2.2673324572930356</v>
      </c>
      <c r="W531" s="502" t="str">
        <f>VLOOKUP(Таблица3[[#This Row],[№ акта]],$AJ$1:$BJ$691,18,FALSE)</f>
        <v>Колос (полив)</v>
      </c>
      <c r="X531" s="516" t="str">
        <f>VLOOKUP(Таблица3[[#This Row],[№ акта]],$AJ$1:$BJ$691,19,FALSE)</f>
        <v>полив</v>
      </c>
      <c r="Y531" s="503">
        <f>VLOOKUP(Таблица3[[#This Row],[№ акта]],$AJ$1:$BJ$691,20,FALSE)</f>
        <v>27</v>
      </c>
      <c r="Z531" s="507">
        <f>VLOOKUP(Таблица3[[#This Row],[№ акта]],$AJ$1:$BJ$691,21,FALSE)</f>
        <v>46203</v>
      </c>
      <c r="AA531" s="516"/>
      <c r="AB531" s="504" t="str">
        <f>IF(VLOOKUP(Таблица3[[#This Row],[№ акта]],$AJ$1:$BJ$691,23,FALSE)&lt;&gt;0,VLOOKUP(Таблица3[[#This Row],[№ акта]],$AJ$1:$BJ$691,23,FALSE),"-")</f>
        <v>-</v>
      </c>
      <c r="AC53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31" s="506" t="s">
        <v>2940</v>
      </c>
      <c r="AE531" s="505">
        <v>543</v>
      </c>
      <c r="AF531" s="507">
        <v>46203</v>
      </c>
      <c r="AG531" s="505">
        <v>55</v>
      </c>
      <c r="AH531" s="505">
        <f>IFERROR(VLOOKUP(Таблица3[[#This Row],[№ акта]],'Степень зрелости 2026'!$H$12:$I$800,2,FALSE),)</f>
        <v>57</v>
      </c>
      <c r="AJ531" s="488">
        <v>541</v>
      </c>
      <c r="AK531" s="519">
        <v>46203</v>
      </c>
      <c r="AL531" s="488">
        <v>687</v>
      </c>
      <c r="AO531" s="488">
        <v>12870</v>
      </c>
      <c r="AP531" s="488">
        <v>12033.5</v>
      </c>
      <c r="AQ531" s="488" t="s">
        <v>3645</v>
      </c>
      <c r="AR531" s="488" t="s">
        <v>909</v>
      </c>
      <c r="AS531" s="488" t="s">
        <v>3122</v>
      </c>
      <c r="AT531" s="488" t="s">
        <v>166</v>
      </c>
      <c r="AV531" s="488" t="s">
        <v>170</v>
      </c>
      <c r="AX531" s="488" t="s">
        <v>3122</v>
      </c>
      <c r="AY531" s="488" t="s">
        <v>897</v>
      </c>
      <c r="AZ531" s="488">
        <v>1.9</v>
      </c>
      <c r="BA531" s="488" t="s">
        <v>53</v>
      </c>
      <c r="BB531" s="488" t="s">
        <v>178</v>
      </c>
      <c r="BC531" s="488">
        <v>26</v>
      </c>
      <c r="BD531" s="519">
        <v>46202</v>
      </c>
      <c r="BG531" s="488" t="s">
        <v>724</v>
      </c>
      <c r="BH531" s="488" t="s">
        <v>2940</v>
      </c>
      <c r="BI531" s="488">
        <v>53</v>
      </c>
      <c r="BJ531" s="488">
        <v>61</v>
      </c>
      <c r="BK531" s="508"/>
    </row>
    <row r="532" spans="1:63" s="488" customFormat="1" ht="22.5" hidden="1" x14ac:dyDescent="0.25">
      <c r="A532" s="505"/>
      <c r="B532" s="511"/>
      <c r="C532" s="515">
        <f>Таблица3[[#This Row],[Степень зрелости вспом]]</f>
        <v>56</v>
      </c>
      <c r="D532" s="512">
        <v>691</v>
      </c>
      <c r="E532" s="513"/>
      <c r="F532" s="511"/>
      <c r="G532" s="511">
        <v>13140</v>
      </c>
      <c r="H532" s="514"/>
      <c r="I532" s="511">
        <v>12154.5</v>
      </c>
      <c r="J532" s="505" t="s">
        <v>3645</v>
      </c>
      <c r="K532" s="505" t="s">
        <v>909</v>
      </c>
      <c r="L532" s="505" t="s">
        <v>3122</v>
      </c>
      <c r="M532" s="505" t="s">
        <v>3377</v>
      </c>
      <c r="N532" s="505"/>
      <c r="O532" s="505"/>
      <c r="P532" s="505"/>
      <c r="Q532" s="505"/>
      <c r="R532" s="505" t="s">
        <v>3196</v>
      </c>
      <c r="S532" s="505"/>
      <c r="T532" s="482" t="str">
        <f>VLOOKUP(Таблица3[[#This Row],[№ акта]],$AJ$1:$BJ$691,15,FALSE)</f>
        <v>3.3 Колос</v>
      </c>
      <c r="U532" s="482" t="str">
        <f>VLOOKUP(Таблица3[[#This Row],[№ акта]],$AJ$1:$BJ$691,16,FALSE)</f>
        <v>Беркут</v>
      </c>
      <c r="V532" s="502">
        <f>67.4*Таблица3[[#This Row],[Регистратор.Вес нетто]]/380500</f>
        <v>2.3275584756898819</v>
      </c>
      <c r="W532" s="502" t="str">
        <f>VLOOKUP(Таблица3[[#This Row],[№ акта]],$AJ$1:$BJ$691,18,FALSE)</f>
        <v>Колос (полив)</v>
      </c>
      <c r="X532" s="516" t="str">
        <f>VLOOKUP(Таблица3[[#This Row],[№ акта]],$AJ$1:$BJ$691,19,FALSE)</f>
        <v>полив</v>
      </c>
      <c r="Y532" s="503">
        <f>VLOOKUP(Таблица3[[#This Row],[№ акта]],$AJ$1:$BJ$691,20,FALSE)</f>
        <v>27</v>
      </c>
      <c r="Z532" s="507">
        <f>VLOOKUP(Таблица3[[#This Row],[№ акта]],$AJ$1:$BJ$691,21,FALSE)</f>
        <v>46203</v>
      </c>
      <c r="AA532" s="516"/>
      <c r="AB532" s="504" t="str">
        <f>IF(VLOOKUP(Таблица3[[#This Row],[№ акта]],$AJ$1:$BJ$691,23,FALSE)&lt;&gt;0,VLOOKUP(Таблица3[[#This Row],[№ акта]],$AJ$1:$BJ$691,23,FALSE),"-")</f>
        <v>-</v>
      </c>
      <c r="AC53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32" s="506" t="s">
        <v>2940</v>
      </c>
      <c r="AE532" s="505">
        <v>544</v>
      </c>
      <c r="AF532" s="507">
        <v>46203</v>
      </c>
      <c r="AG532" s="505">
        <v>56</v>
      </c>
      <c r="AH532" s="505">
        <f>IFERROR(VLOOKUP(Таблица3[[#This Row],[№ акта]],'Степень зрелости 2026'!$H$12:$I$800,2,FALSE),)</f>
        <v>56</v>
      </c>
      <c r="AJ532" s="488">
        <v>542</v>
      </c>
      <c r="AK532" s="519">
        <v>46203</v>
      </c>
      <c r="AL532" s="488">
        <v>688</v>
      </c>
      <c r="AO532" s="488">
        <v>12730</v>
      </c>
      <c r="AP532" s="488">
        <v>11393.4</v>
      </c>
      <c r="AQ532" s="488" t="s">
        <v>3645</v>
      </c>
      <c r="AR532" s="488" t="s">
        <v>909</v>
      </c>
      <c r="AS532" s="488" t="s">
        <v>3122</v>
      </c>
      <c r="AT532" s="488" t="s">
        <v>3623</v>
      </c>
      <c r="AV532" s="488" t="s">
        <v>3679</v>
      </c>
      <c r="AX532" s="488" t="s">
        <v>3122</v>
      </c>
      <c r="AY532" s="488" t="s">
        <v>897</v>
      </c>
      <c r="AZ532" s="488">
        <v>1.9</v>
      </c>
      <c r="BA532" s="488" t="s">
        <v>53</v>
      </c>
      <c r="BB532" s="488" t="s">
        <v>178</v>
      </c>
      <c r="BC532" s="488">
        <v>26</v>
      </c>
      <c r="BD532" s="519">
        <v>46202</v>
      </c>
      <c r="BG532" s="488" t="s">
        <v>724</v>
      </c>
      <c r="BH532" s="488" t="s">
        <v>2940</v>
      </c>
      <c r="BI532" s="488">
        <v>54</v>
      </c>
      <c r="BJ532" s="488">
        <v>55</v>
      </c>
      <c r="BK532" s="508"/>
    </row>
    <row r="533" spans="1:63" s="488" customFormat="1" ht="22.5" hidden="1" x14ac:dyDescent="0.25">
      <c r="A533" s="505"/>
      <c r="B533" s="511"/>
      <c r="C533" s="515">
        <f>Таблица3[[#This Row],[Степень зрелости вспом]]</f>
        <v>59</v>
      </c>
      <c r="D533" s="512">
        <v>694</v>
      </c>
      <c r="E533" s="513"/>
      <c r="F533" s="511"/>
      <c r="G533" s="511">
        <v>12830</v>
      </c>
      <c r="H533" s="514"/>
      <c r="I533" s="511">
        <v>12060.2</v>
      </c>
      <c r="J533" s="505" t="s">
        <v>3645</v>
      </c>
      <c r="K533" s="505" t="s">
        <v>909</v>
      </c>
      <c r="L533" s="505" t="s">
        <v>3122</v>
      </c>
      <c r="M533" s="505" t="s">
        <v>1408</v>
      </c>
      <c r="N533" s="505"/>
      <c r="O533" s="505"/>
      <c r="P533" s="505"/>
      <c r="Q533" s="505"/>
      <c r="R533" s="505" t="s">
        <v>1409</v>
      </c>
      <c r="S533" s="505"/>
      <c r="T533" s="482" t="str">
        <f>VLOOKUP(Таблица3[[#This Row],[№ акта]],$AJ$1:$BJ$691,15,FALSE)</f>
        <v>3.3 Колос</v>
      </c>
      <c r="U533" s="482" t="str">
        <f>VLOOKUP(Таблица3[[#This Row],[№ акта]],$AJ$1:$BJ$691,16,FALSE)</f>
        <v>Фаворит</v>
      </c>
      <c r="V533" s="502">
        <f>VLOOKUP(Таблица3[[#This Row],[№ акта]],$AJ$1:$BJ$691,17,FALSE)</f>
        <v>1.9</v>
      </c>
      <c r="W533" s="502" t="str">
        <f>VLOOKUP(Таблица3[[#This Row],[№ акта]],$AJ$1:$BJ$691,18,FALSE)</f>
        <v>Колос (полив)</v>
      </c>
      <c r="X533" s="516" t="str">
        <f>VLOOKUP(Таблица3[[#This Row],[№ акта]],$AJ$1:$BJ$691,19,FALSE)</f>
        <v>полив</v>
      </c>
      <c r="Y533" s="503">
        <f>VLOOKUP(Таблица3[[#This Row],[№ акта]],$AJ$1:$BJ$691,20,FALSE)</f>
        <v>25</v>
      </c>
      <c r="Z533" s="507">
        <f>VLOOKUP(Таблица3[[#This Row],[№ акта]],$AJ$1:$BJ$691,21,FALSE)</f>
        <v>46201</v>
      </c>
      <c r="AA533" s="496"/>
      <c r="AB533" s="504" t="str">
        <f>IF(VLOOKUP(Таблица3[[#This Row],[№ акта]],$AJ$1:$BJ$691,23,FALSE)&lt;&gt;0,VLOOKUP(Таблица3[[#This Row],[№ акта]],$AJ$1:$BJ$691,23,FALSE),"-")</f>
        <v>-</v>
      </c>
      <c r="AC53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33" s="506" t="s">
        <v>2940</v>
      </c>
      <c r="AE533" s="505">
        <v>545</v>
      </c>
      <c r="AF533" s="507">
        <v>46203</v>
      </c>
      <c r="AG533" s="505">
        <v>57</v>
      </c>
      <c r="AH533" s="505">
        <f>IFERROR(VLOOKUP(Таблица3[[#This Row],[№ акта]],'Степень зрелости 2026'!$H$12:$I$800,2,FALSE),)</f>
        <v>59</v>
      </c>
      <c r="AJ533" s="488">
        <v>550</v>
      </c>
      <c r="AK533" s="519">
        <v>46200</v>
      </c>
      <c r="AO533" s="488">
        <v>17720</v>
      </c>
      <c r="AP533" s="488">
        <v>16071</v>
      </c>
      <c r="AQ533" s="488" t="s">
        <v>3464</v>
      </c>
      <c r="AR533" s="488" t="s">
        <v>909</v>
      </c>
      <c r="AS533" s="488" t="s">
        <v>3115</v>
      </c>
      <c r="AT533" s="488" t="s">
        <v>3600</v>
      </c>
      <c r="AV533" s="488" t="s">
        <v>3741</v>
      </c>
      <c r="AX533" s="488" t="s">
        <v>3116</v>
      </c>
      <c r="AY533" s="488" t="s">
        <v>909</v>
      </c>
      <c r="AZ533" s="488">
        <v>2.6</v>
      </c>
      <c r="BA533" s="488" t="s">
        <v>52</v>
      </c>
      <c r="BB533" s="488" t="s">
        <v>178</v>
      </c>
      <c r="BC533" s="488">
        <v>24</v>
      </c>
      <c r="BD533" s="519">
        <v>46200</v>
      </c>
      <c r="BE533" s="488">
        <v>17720</v>
      </c>
      <c r="BF533" s="488" t="s">
        <v>3206</v>
      </c>
      <c r="BG533" s="488" t="s">
        <v>724</v>
      </c>
      <c r="BH533" s="488" t="s">
        <v>2940</v>
      </c>
      <c r="BI533" s="488" t="s">
        <v>3740</v>
      </c>
      <c r="BJ533" s="488">
        <v>62</v>
      </c>
      <c r="BK533" s="508"/>
    </row>
    <row r="534" spans="1:63" s="522" customFormat="1" hidden="1" x14ac:dyDescent="0.25">
      <c r="A534" s="510"/>
      <c r="B534" s="521"/>
      <c r="C534" s="515">
        <f>Таблица3[[#This Row],[Степень зрелости вспом]]</f>
        <v>55</v>
      </c>
      <c r="D534" s="512">
        <v>695</v>
      </c>
      <c r="E534" s="513">
        <v>46198</v>
      </c>
      <c r="F534" s="511"/>
      <c r="G534" s="511">
        <v>4490</v>
      </c>
      <c r="H534" s="514"/>
      <c r="I534" s="511">
        <v>4108.3999999999996</v>
      </c>
      <c r="J534" s="505" t="s">
        <v>3375</v>
      </c>
      <c r="K534" s="505" t="s">
        <v>747</v>
      </c>
      <c r="L534" s="505" t="s">
        <v>3111</v>
      </c>
      <c r="M534" s="495" t="s">
        <v>127</v>
      </c>
      <c r="N534" s="505"/>
      <c r="O534" s="505"/>
      <c r="P534" s="505"/>
      <c r="Q534" s="505"/>
      <c r="R534" s="501" t="s">
        <v>131</v>
      </c>
      <c r="S534" s="505"/>
      <c r="T534" s="520" t="str">
        <f>VLOOKUP(Таблица3[[#This Row],[№ акта]],$AJ$1:$BJ$691,15,FALSE)</f>
        <v>А-79</v>
      </c>
      <c r="U534" s="482" t="str">
        <f>VLOOKUP(Таблица3[[#This Row],[№ акта]],$AJ$1:$BJ$691,16,FALSE)</f>
        <v>Увертюра</v>
      </c>
      <c r="V534" s="502">
        <f>VLOOKUP(Таблица3[[#This Row],[№ акта]],$AJ$1:$BJ$691,17,FALSE)</f>
        <v>2.2999999999999998</v>
      </c>
      <c r="W534" s="502" t="str">
        <f>VLOOKUP(Таблица3[[#This Row],[№ акта]],$AJ$1:$BJ$691,18,FALSE)</f>
        <v>ГРК (полив)</v>
      </c>
      <c r="X534" s="502" t="str">
        <f>VLOOKUP(Таблица3[[#This Row],[№ акта]],$AJ$1:$BJ$691,19,FALSE)</f>
        <v>полив</v>
      </c>
      <c r="Y534" s="503">
        <f>VLOOKUP(Таблица3[[#This Row],[№ акта]],$AJ$1:$BJ$691,20,FALSE)</f>
        <v>27</v>
      </c>
      <c r="Z534" s="504">
        <f>VLOOKUP(Таблица3[[#This Row],[№ акта]],$AJ$1:$BJ$691,21,FALSE)</f>
        <v>46203</v>
      </c>
      <c r="AA534" s="496"/>
      <c r="AB534" s="504" t="str">
        <f>IF(VLOOKUP(Таблица3[[#This Row],[№ акта]],$AJ$1:$BJ$691,23,FALSE)&lt;&gt;0,VLOOKUP(Таблица3[[#This Row],[№ акта]],$AJ$1:$BJ$691,23,FALSE),"-")</f>
        <v>-</v>
      </c>
      <c r="AC53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34" s="506" t="s">
        <v>2940</v>
      </c>
      <c r="AE534" s="505">
        <v>546</v>
      </c>
      <c r="AF534" s="507">
        <v>46203</v>
      </c>
      <c r="AG534" s="505">
        <v>375</v>
      </c>
      <c r="AH534" s="505">
        <f>IFERROR(VLOOKUP(Таблица3[[#This Row],[№ акта]],'Степень зрелости 2026'!$H$12:$I$800,2,FALSE),)</f>
        <v>55</v>
      </c>
      <c r="AJ534" s="522">
        <v>579</v>
      </c>
      <c r="AK534" s="523"/>
      <c r="AL534" s="522">
        <v>592</v>
      </c>
      <c r="AM534" s="522">
        <v>46198</v>
      </c>
      <c r="AO534" s="522">
        <v>14080</v>
      </c>
      <c r="AP534" s="522">
        <v>12515</v>
      </c>
      <c r="AT534" s="522" t="s">
        <v>305</v>
      </c>
      <c r="AV534" s="522" t="s">
        <v>309</v>
      </c>
      <c r="AX534" s="522" t="s">
        <v>3112</v>
      </c>
      <c r="AY534" s="522" t="s">
        <v>909</v>
      </c>
      <c r="AZ534" s="522">
        <v>2.7</v>
      </c>
      <c r="BA534" s="522" t="s">
        <v>2932</v>
      </c>
      <c r="BB534" s="522" t="s">
        <v>178</v>
      </c>
      <c r="BC534" s="522">
        <v>22</v>
      </c>
      <c r="BD534" s="523">
        <v>46198</v>
      </c>
      <c r="BE534" s="522">
        <v>14080</v>
      </c>
      <c r="BF534" s="522" t="s">
        <v>3206</v>
      </c>
      <c r="BG534" s="522" t="s">
        <v>724</v>
      </c>
      <c r="BJ534" s="522">
        <v>60</v>
      </c>
      <c r="BK534" s="508"/>
    </row>
    <row r="535" spans="1:63" s="522" customFormat="1" ht="22.5" hidden="1" x14ac:dyDescent="0.25">
      <c r="A535" s="510"/>
      <c r="B535" s="521"/>
      <c r="C535" s="497">
        <f>Таблица3[[#This Row],[Степень зрелости вспом]]</f>
        <v>59</v>
      </c>
      <c r="D535" s="498">
        <v>696</v>
      </c>
      <c r="E535" s="499">
        <v>46198</v>
      </c>
      <c r="F535" s="496"/>
      <c r="G535" s="496">
        <v>12820</v>
      </c>
      <c r="H535" s="500"/>
      <c r="I535" s="496">
        <v>11730.3</v>
      </c>
      <c r="J535" s="495" t="s">
        <v>3645</v>
      </c>
      <c r="K535" s="495" t="s">
        <v>909</v>
      </c>
      <c r="L535" s="495" t="s">
        <v>3122</v>
      </c>
      <c r="M535" s="495" t="s">
        <v>1461</v>
      </c>
      <c r="N535" s="495"/>
      <c r="O535" s="495"/>
      <c r="P535" s="495"/>
      <c r="Q535" s="495"/>
      <c r="R535" s="501" t="s">
        <v>149</v>
      </c>
      <c r="S535" s="495"/>
      <c r="T535" s="520" t="str">
        <f>VLOOKUP(Таблица3[[#This Row],[№ акта]],$AJ$1:$BJ$691,15,FALSE)</f>
        <v>3.3 Колос</v>
      </c>
      <c r="U535" s="482" t="str">
        <f>VLOOKUP(Таблица3[[#This Row],[№ акта]],$AJ$1:$BJ$691,16,FALSE)</f>
        <v>Фаворит</v>
      </c>
      <c r="V535" s="502">
        <f>VLOOKUP(Таблица3[[#This Row],[№ акта]],$AJ$1:$BJ$691,17,FALSE)</f>
        <v>1.9</v>
      </c>
      <c r="W535" s="502" t="str">
        <f>VLOOKUP(Таблица3[[#This Row],[№ акта]],$AJ$1:$BJ$691,18,FALSE)</f>
        <v>Колос (полив)</v>
      </c>
      <c r="X535" s="502" t="str">
        <f>VLOOKUP(Таблица3[[#This Row],[№ акта]],$AJ$1:$BJ$691,19,FALSE)</f>
        <v>полив</v>
      </c>
      <c r="Y535" s="503">
        <f>VLOOKUP(Таблица3[[#This Row],[№ акта]],$AJ$1:$BJ$691,20,FALSE)</f>
        <v>25</v>
      </c>
      <c r="Z535" s="504">
        <f>VLOOKUP(Таблица3[[#This Row],[№ акта]],$AJ$1:$BJ$691,21,FALSE)</f>
        <v>46201</v>
      </c>
      <c r="AA535" s="496"/>
      <c r="AB535" s="504" t="str">
        <f>IF(VLOOKUP(Таблица3[[#This Row],[№ акта]],$AJ$1:$BJ$691,23,FALSE)&lt;&gt;0,VLOOKUP(Таблица3[[#This Row],[№ акта]],$AJ$1:$BJ$691,23,FALSE),"-")</f>
        <v>-</v>
      </c>
      <c r="AC53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35" s="506" t="s">
        <v>2940</v>
      </c>
      <c r="AE535" s="505">
        <v>547</v>
      </c>
      <c r="AF535" s="507">
        <v>46203</v>
      </c>
      <c r="AG535" s="505">
        <v>58</v>
      </c>
      <c r="AH535" s="505">
        <f>IFERROR(VLOOKUP(Таблица3[[#This Row],[№ акта]],'Степень зрелости 2026'!$H$12:$I$800,2,FALSE),)</f>
        <v>59</v>
      </c>
      <c r="AJ535" s="522">
        <v>592</v>
      </c>
      <c r="AK535" s="523"/>
      <c r="AL535" s="522">
        <v>595</v>
      </c>
      <c r="AM535" s="522">
        <v>46198</v>
      </c>
      <c r="AO535" s="522">
        <v>13510</v>
      </c>
      <c r="AP535" s="522">
        <v>12510</v>
      </c>
      <c r="AT535" s="522" t="s">
        <v>166</v>
      </c>
      <c r="AV535" s="522" t="s">
        <v>3624</v>
      </c>
      <c r="AX535" s="522" t="s">
        <v>3112</v>
      </c>
      <c r="AY535" s="522" t="s">
        <v>909</v>
      </c>
      <c r="AZ535" s="522">
        <v>2.5</v>
      </c>
      <c r="BA535" s="522" t="s">
        <v>2932</v>
      </c>
      <c r="BB535" s="522" t="s">
        <v>178</v>
      </c>
      <c r="BC535" s="522">
        <v>22</v>
      </c>
      <c r="BD535" s="523">
        <v>46198</v>
      </c>
      <c r="BE535" s="522">
        <v>13510</v>
      </c>
      <c r="BF535" s="522" t="s">
        <v>3206</v>
      </c>
      <c r="BG535" s="522" t="s">
        <v>724</v>
      </c>
      <c r="BJ535" s="522">
        <v>62</v>
      </c>
      <c r="BK535" s="508"/>
    </row>
    <row r="536" spans="1:63" s="522" customFormat="1" ht="22.5" hidden="1" x14ac:dyDescent="0.25">
      <c r="A536" s="510"/>
      <c r="B536" s="521"/>
      <c r="C536" s="515">
        <f>Таблица3[[#This Row],[Степень зрелости вспом]]</f>
        <v>59</v>
      </c>
      <c r="D536" s="512">
        <v>697</v>
      </c>
      <c r="E536" s="513"/>
      <c r="F536" s="511"/>
      <c r="G536" s="511">
        <v>12730</v>
      </c>
      <c r="H536" s="514"/>
      <c r="I536" s="511">
        <v>11648</v>
      </c>
      <c r="J536" s="505" t="s">
        <v>3645</v>
      </c>
      <c r="K536" s="505" t="s">
        <v>909</v>
      </c>
      <c r="L536" s="505" t="s">
        <v>3122</v>
      </c>
      <c r="M536" s="495" t="s">
        <v>1151</v>
      </c>
      <c r="N536" s="505"/>
      <c r="O536" s="505"/>
      <c r="P536" s="505"/>
      <c r="Q536" s="505"/>
      <c r="R536" s="505" t="s">
        <v>145</v>
      </c>
      <c r="S536" s="505"/>
      <c r="T536" s="482" t="str">
        <f>VLOOKUP(Таблица3[[#This Row],[№ акта]],$AJ$1:$BJ$691,15,FALSE)</f>
        <v>3.3 Колос</v>
      </c>
      <c r="U536" s="482" t="str">
        <f>VLOOKUP(Таблица3[[#This Row],[№ акта]],$AJ$1:$BJ$691,16,FALSE)</f>
        <v>Фаворит</v>
      </c>
      <c r="V536" s="516">
        <f>VLOOKUP(Таблица3[[#This Row],[№ акта]],$AJ$1:$BJ$691,17,FALSE)</f>
        <v>1.9</v>
      </c>
      <c r="W536" s="502" t="str">
        <f>VLOOKUP(Таблица3[[#This Row],[№ акта]],$AJ$1:$BJ$691,18,FALSE)</f>
        <v>Колос (полив)</v>
      </c>
      <c r="X536" s="502" t="str">
        <f>VLOOKUP(Таблица3[[#This Row],[№ акта]],$AJ$1:$BJ$691,19,FALSE)</f>
        <v>полив</v>
      </c>
      <c r="Y536" s="503">
        <f>VLOOKUP(Таблица3[[#This Row],[№ акта]],$AJ$1:$BJ$691,20,FALSE)</f>
        <v>25</v>
      </c>
      <c r="Z536" s="504">
        <f>VLOOKUP(Таблица3[[#This Row],[№ акта]],$AJ$1:$BJ$691,21,FALSE)</f>
        <v>46201</v>
      </c>
      <c r="AA536" s="496"/>
      <c r="AB536" s="504" t="str">
        <f>IF(VLOOKUP(Таблица3[[#This Row],[№ акта]],$AJ$1:$BJ$691,23,FALSE)&lt;&gt;0,VLOOKUP(Таблица3[[#This Row],[№ акта]],$AJ$1:$BJ$691,23,FALSE),"-")</f>
        <v>-</v>
      </c>
      <c r="AC53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36" s="506" t="s">
        <v>2940</v>
      </c>
      <c r="AE536" s="505">
        <v>549</v>
      </c>
      <c r="AF536" s="507">
        <v>46203</v>
      </c>
      <c r="AG536" s="505">
        <v>59</v>
      </c>
      <c r="AH536" s="505">
        <f>IFERROR(VLOOKUP(Таблица3[[#This Row],[№ акта]],'Степень зрелости 2026'!$H$12:$I$800,2,FALSE),)</f>
        <v>59</v>
      </c>
      <c r="AJ536" s="522">
        <v>598</v>
      </c>
      <c r="AK536" s="523"/>
      <c r="AO536" s="522">
        <v>13420</v>
      </c>
      <c r="AP536" s="522">
        <v>12305</v>
      </c>
      <c r="AR536" s="522" t="s">
        <v>1755</v>
      </c>
      <c r="AS536" s="522" t="s">
        <v>3115</v>
      </c>
      <c r="AT536" s="522" t="s">
        <v>305</v>
      </c>
      <c r="AV536" s="522" t="s">
        <v>309</v>
      </c>
      <c r="AX536" s="522" t="s">
        <v>3114</v>
      </c>
      <c r="AY536" s="522" t="s">
        <v>1755</v>
      </c>
      <c r="AZ536" s="522">
        <v>2.8</v>
      </c>
      <c r="BA536" s="522" t="s">
        <v>52</v>
      </c>
      <c r="BB536" s="522" t="s">
        <v>178</v>
      </c>
      <c r="BC536" s="522">
        <v>20</v>
      </c>
      <c r="BD536" s="523">
        <v>46196</v>
      </c>
      <c r="BE536" s="522">
        <v>13420</v>
      </c>
      <c r="BF536" s="522" t="s">
        <v>3206</v>
      </c>
      <c r="BG536" s="522" t="s">
        <v>724</v>
      </c>
      <c r="BJ536" s="522">
        <v>54</v>
      </c>
      <c r="BK536" s="508"/>
    </row>
    <row r="537" spans="1:63" s="522" customFormat="1" hidden="1" x14ac:dyDescent="0.25">
      <c r="A537" s="510"/>
      <c r="B537" s="521"/>
      <c r="C537" s="515">
        <f>Таблица3[[#This Row],[Степень зрелости вспом]]</f>
        <v>59</v>
      </c>
      <c r="D537" s="512">
        <v>698</v>
      </c>
      <c r="E537" s="513"/>
      <c r="F537" s="511"/>
      <c r="G537" s="511">
        <v>3910</v>
      </c>
      <c r="H537" s="514"/>
      <c r="I537" s="511">
        <v>3440.8</v>
      </c>
      <c r="J537" s="505" t="s">
        <v>3375</v>
      </c>
      <c r="K537" s="505" t="s">
        <v>747</v>
      </c>
      <c r="L537" s="505" t="s">
        <v>3111</v>
      </c>
      <c r="M537" s="495" t="s">
        <v>762</v>
      </c>
      <c r="N537" s="505"/>
      <c r="O537" s="505"/>
      <c r="P537" s="505"/>
      <c r="Q537" s="505"/>
      <c r="R537" s="505" t="s">
        <v>763</v>
      </c>
      <c r="S537" s="505"/>
      <c r="T537" s="482" t="str">
        <f>VLOOKUP(Таблица3[[#This Row],[№ акта]],$AJ$1:$BJ$691,15,FALSE)</f>
        <v>А-79</v>
      </c>
      <c r="U537" s="482" t="str">
        <f>VLOOKUP(Таблица3[[#This Row],[№ акта]],$AJ$1:$BJ$691,16,FALSE)</f>
        <v>Увертюра</v>
      </c>
      <c r="V537" s="516">
        <f>VLOOKUP(Таблица3[[#This Row],[№ акта]],$AJ$1:$BJ$691,17,FALSE)</f>
        <v>2</v>
      </c>
      <c r="W537" s="502" t="str">
        <f>VLOOKUP(Таблица3[[#This Row],[№ акта]],$AJ$1:$BJ$691,18,FALSE)</f>
        <v>ГРК (полив)</v>
      </c>
      <c r="X537" s="516" t="str">
        <f>VLOOKUP(Таблица3[[#This Row],[№ акта]],$AJ$1:$BJ$691,19,FALSE)</f>
        <v>полив</v>
      </c>
      <c r="Y537" s="503">
        <f>VLOOKUP(Таблица3[[#This Row],[№ акта]],$AJ$1:$BJ$691,20,FALSE)</f>
        <v>27</v>
      </c>
      <c r="Z537" s="504">
        <f>VLOOKUP(Таблица3[[#This Row],[№ акта]],$AJ$1:$BJ$691,21,FALSE)</f>
        <v>46203</v>
      </c>
      <c r="AA537" s="496"/>
      <c r="AB537" s="504" t="str">
        <f>IF(VLOOKUP(Таблица3[[#This Row],[№ акта]],$AJ$1:$BJ$691,23,FALSE)&lt;&gt;0,VLOOKUP(Таблица3[[#This Row],[№ акта]],$AJ$1:$BJ$691,23,FALSE),"-")</f>
        <v>-</v>
      </c>
      <c r="AC53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37" s="506" t="s">
        <v>2940</v>
      </c>
      <c r="AE537" s="505">
        <v>548</v>
      </c>
      <c r="AF537" s="507">
        <v>46203</v>
      </c>
      <c r="AG537" s="505">
        <v>376</v>
      </c>
      <c r="AH537" s="505">
        <f>IFERROR(VLOOKUP(Таблица3[[#This Row],[№ акта]],'Степень зрелости 2026'!$H$12:$I$800,2,FALSE),)</f>
        <v>59</v>
      </c>
      <c r="AJ537" s="522">
        <v>599</v>
      </c>
      <c r="AK537" s="523"/>
      <c r="AO537" s="522">
        <v>13800</v>
      </c>
      <c r="AP537" s="522">
        <v>11387</v>
      </c>
      <c r="AR537" s="522" t="s">
        <v>1755</v>
      </c>
      <c r="AS537" s="522" t="s">
        <v>3115</v>
      </c>
      <c r="AT537" s="522" t="s">
        <v>166</v>
      </c>
      <c r="AV537" s="522" t="s">
        <v>170</v>
      </c>
      <c r="AX537" s="522" t="s">
        <v>3114</v>
      </c>
      <c r="AY537" s="522" t="s">
        <v>1755</v>
      </c>
      <c r="AZ537" s="522">
        <v>2.8</v>
      </c>
      <c r="BA537" s="522" t="s">
        <v>52</v>
      </c>
      <c r="BB537" s="522" t="s">
        <v>178</v>
      </c>
      <c r="BC537" s="522">
        <v>20</v>
      </c>
      <c r="BD537" s="523">
        <v>46196</v>
      </c>
      <c r="BE537" s="522">
        <v>13800</v>
      </c>
      <c r="BF537" s="522" t="s">
        <v>3206</v>
      </c>
      <c r="BG537" s="522" t="s">
        <v>724</v>
      </c>
      <c r="BJ537" s="522">
        <v>54</v>
      </c>
      <c r="BK537" s="508"/>
    </row>
    <row r="538" spans="1:63" s="522" customFormat="1" ht="22.5" hidden="1" x14ac:dyDescent="0.25">
      <c r="A538" s="510"/>
      <c r="B538" s="521"/>
      <c r="C538" s="515">
        <f>Таблица3[[#This Row],[Степень зрелости вспом]]</f>
        <v>60</v>
      </c>
      <c r="D538" s="512">
        <v>699</v>
      </c>
      <c r="E538" s="513"/>
      <c r="F538" s="511"/>
      <c r="G538" s="511">
        <v>13180</v>
      </c>
      <c r="H538" s="514"/>
      <c r="I538" s="511">
        <v>12059.7</v>
      </c>
      <c r="J538" s="505" t="s">
        <v>3645</v>
      </c>
      <c r="K538" s="505" t="s">
        <v>909</v>
      </c>
      <c r="L538" s="505" t="s">
        <v>3122</v>
      </c>
      <c r="M538" s="495" t="s">
        <v>121</v>
      </c>
      <c r="N538" s="505"/>
      <c r="O538" s="505"/>
      <c r="P538" s="505"/>
      <c r="Q538" s="505"/>
      <c r="R538" s="505" t="s">
        <v>125</v>
      </c>
      <c r="S538" s="505"/>
      <c r="T538" s="482" t="str">
        <f>VLOOKUP(Таблица3[[#This Row],[№ акта]],$AJ$1:$BJ$691,15,FALSE)</f>
        <v>3.3 Колос</v>
      </c>
      <c r="U538" s="482" t="str">
        <f>VLOOKUP(Таблица3[[#This Row],[№ акта]],$AJ$1:$BJ$691,16,FALSE)</f>
        <v>Фаворит</v>
      </c>
      <c r="V538" s="516">
        <f>VLOOKUP(Таблица3[[#This Row],[№ акта]],$AJ$1:$BJ$691,17,FALSE)</f>
        <v>2</v>
      </c>
      <c r="W538" s="502" t="str">
        <f>VLOOKUP(Таблица3[[#This Row],[№ акта]],$AJ$1:$BJ$691,18,FALSE)</f>
        <v>Колос (полив)</v>
      </c>
      <c r="X538" s="516" t="str">
        <f>VLOOKUP(Таблица3[[#This Row],[№ акта]],$AJ$1:$BJ$691,19,FALSE)</f>
        <v>полив</v>
      </c>
      <c r="Y538" s="503">
        <f>VLOOKUP(Таблица3[[#This Row],[№ акта]],$AJ$1:$BJ$691,20,FALSE)</f>
        <v>25</v>
      </c>
      <c r="Z538" s="504">
        <f>VLOOKUP(Таблица3[[#This Row],[№ акта]],$AJ$1:$BJ$691,21,FALSE)</f>
        <v>46201</v>
      </c>
      <c r="AA538" s="496"/>
      <c r="AB538" s="504" t="str">
        <f>IF(VLOOKUP(Таблица3[[#This Row],[№ акта]],$AJ$1:$BJ$691,23,FALSE)&lt;&gt;0,VLOOKUP(Таблица3[[#This Row],[№ акта]],$AJ$1:$BJ$691,23,FALSE),"-")</f>
        <v>-</v>
      </c>
      <c r="AC53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38" s="506" t="s">
        <v>2940</v>
      </c>
      <c r="AE538" s="505">
        <v>551</v>
      </c>
      <c r="AF538" s="507">
        <v>46203</v>
      </c>
      <c r="AG538" s="505">
        <v>60</v>
      </c>
      <c r="AH538" s="505">
        <f>IFERROR(VLOOKUP(Таблица3[[#This Row],[№ акта]],'Степень зрелости 2026'!$H$12:$I$800,2,FALSE),)</f>
        <v>60</v>
      </c>
      <c r="AJ538" s="522">
        <v>611</v>
      </c>
      <c r="AK538" s="523"/>
      <c r="AO538" s="522">
        <v>13120</v>
      </c>
      <c r="AP538" s="522">
        <v>11730</v>
      </c>
      <c r="AR538" s="522" t="s">
        <v>1755</v>
      </c>
      <c r="AS538" s="522" t="s">
        <v>3115</v>
      </c>
      <c r="AT538" s="522" t="s">
        <v>305</v>
      </c>
      <c r="AV538" s="522" t="s">
        <v>309</v>
      </c>
      <c r="AX538" s="522" t="s">
        <v>3114</v>
      </c>
      <c r="AY538" s="522" t="s">
        <v>1755</v>
      </c>
      <c r="AZ538" s="522">
        <v>2.7</v>
      </c>
      <c r="BA538" s="522" t="s">
        <v>52</v>
      </c>
      <c r="BB538" s="522" t="s">
        <v>178</v>
      </c>
      <c r="BC538" s="522">
        <v>20</v>
      </c>
      <c r="BD538" s="523">
        <v>46196</v>
      </c>
      <c r="BE538" s="522">
        <v>13120</v>
      </c>
      <c r="BF538" s="522" t="s">
        <v>3206</v>
      </c>
      <c r="BG538" s="522" t="s">
        <v>724</v>
      </c>
      <c r="BJ538" s="522">
        <v>56</v>
      </c>
      <c r="BK538" s="508"/>
    </row>
    <row r="539" spans="1:63" s="522" customFormat="1" ht="22.5" hidden="1" x14ac:dyDescent="0.25">
      <c r="A539" s="510"/>
      <c r="B539" s="521"/>
      <c r="C539" s="515">
        <f>Таблица3[[#This Row],[Степень зрелости вспом]]</f>
        <v>61</v>
      </c>
      <c r="D539" s="512">
        <v>702</v>
      </c>
      <c r="E539" s="513"/>
      <c r="F539" s="511"/>
      <c r="G539" s="511">
        <v>12730</v>
      </c>
      <c r="H539" s="514"/>
      <c r="I539" s="511">
        <v>11775.3</v>
      </c>
      <c r="J539" s="505" t="s">
        <v>3645</v>
      </c>
      <c r="K539" s="505" t="s">
        <v>909</v>
      </c>
      <c r="L539" s="505" t="s">
        <v>3122</v>
      </c>
      <c r="M539" s="495" t="s">
        <v>1376</v>
      </c>
      <c r="N539" s="505"/>
      <c r="O539" s="505"/>
      <c r="P539" s="505"/>
      <c r="Q539" s="505"/>
      <c r="R539" s="505" t="s">
        <v>1377</v>
      </c>
      <c r="S539" s="505"/>
      <c r="T539" s="482" t="str">
        <f>VLOOKUP(Таблица3[[#This Row],[№ акта]],$AJ$1:$BJ$691,15,FALSE)</f>
        <v>3.3 Колос</v>
      </c>
      <c r="U539" s="482" t="str">
        <f>VLOOKUP(Таблица3[[#This Row],[№ акта]],$AJ$1:$BJ$691,16,FALSE)</f>
        <v>Беркут</v>
      </c>
      <c r="V539" s="516">
        <f>67.4*Таблица3[[#This Row],[Регистратор.Вес нетто]]/380500</f>
        <v>2.2549329829172144</v>
      </c>
      <c r="W539" s="502" t="str">
        <f>VLOOKUP(Таблица3[[#This Row],[№ акта]],$AJ$1:$BJ$691,18,FALSE)</f>
        <v>Колос (полив)</v>
      </c>
      <c r="X539" s="516" t="str">
        <f>VLOOKUP(Таблица3[[#This Row],[№ акта]],$AJ$1:$BJ$691,19,FALSE)</f>
        <v>полив</v>
      </c>
      <c r="Y539" s="503">
        <f>VLOOKUP(Таблица3[[#This Row],[№ акта]],$AJ$1:$BJ$691,20,FALSE)</f>
        <v>27</v>
      </c>
      <c r="Z539" s="504">
        <f>VLOOKUP(Таблица3[[#This Row],[№ акта]],$AJ$1:$BJ$691,21,FALSE)</f>
        <v>46203</v>
      </c>
      <c r="AA539" s="496"/>
      <c r="AB539" s="504" t="str">
        <f>IF(VLOOKUP(Таблица3[[#This Row],[№ акта]],$AJ$1:$BJ$691,23,FALSE)&lt;&gt;0,VLOOKUP(Таблица3[[#This Row],[№ акта]],$AJ$1:$BJ$691,23,FALSE),"-")</f>
        <v>-</v>
      </c>
      <c r="AC53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39" s="506" t="s">
        <v>2940</v>
      </c>
      <c r="AE539" s="505">
        <v>552</v>
      </c>
      <c r="AF539" s="507">
        <v>46203</v>
      </c>
      <c r="AG539" s="505">
        <v>61</v>
      </c>
      <c r="AH539" s="505">
        <f>IFERROR(VLOOKUP(Таблица3[[#This Row],[№ акта]],'Степень зрелости 2026'!$H$12:$I$800,2,FALSE),)</f>
        <v>61</v>
      </c>
      <c r="AJ539" s="522">
        <v>625</v>
      </c>
      <c r="AK539" s="523"/>
      <c r="AO539" s="522">
        <v>13320</v>
      </c>
      <c r="AP539" s="522">
        <v>12184</v>
      </c>
      <c r="AR539" s="522" t="s">
        <v>1755</v>
      </c>
      <c r="AS539" s="522" t="s">
        <v>3115</v>
      </c>
      <c r="AT539" s="522" t="s">
        <v>3600</v>
      </c>
      <c r="AV539" s="522" t="s">
        <v>3741</v>
      </c>
      <c r="AX539" s="522" t="s">
        <v>3114</v>
      </c>
      <c r="AY539" s="522" t="s">
        <v>1755</v>
      </c>
      <c r="AZ539" s="522">
        <v>2.7</v>
      </c>
      <c r="BA539" s="522" t="s">
        <v>52</v>
      </c>
      <c r="BB539" s="522" t="s">
        <v>178</v>
      </c>
      <c r="BC539" s="522">
        <v>21</v>
      </c>
      <c r="BD539" s="523">
        <v>46197</v>
      </c>
      <c r="BE539" s="522">
        <v>13320</v>
      </c>
      <c r="BF539" s="522" t="s">
        <v>3206</v>
      </c>
      <c r="BG539" s="522" t="s">
        <v>724</v>
      </c>
      <c r="BJ539" s="522">
        <v>54</v>
      </c>
      <c r="BK539" s="508"/>
    </row>
    <row r="540" spans="1:63" s="522" customFormat="1" ht="22.5" hidden="1" x14ac:dyDescent="0.25">
      <c r="A540" s="510"/>
      <c r="B540" s="521"/>
      <c r="C540" s="515">
        <f>Таблица3[[#This Row],[Степень зрелости вспом]]</f>
        <v>61</v>
      </c>
      <c r="D540" s="512">
        <v>703</v>
      </c>
      <c r="E540" s="513"/>
      <c r="F540" s="511"/>
      <c r="G540" s="511">
        <v>12740</v>
      </c>
      <c r="H540" s="514"/>
      <c r="I540" s="511">
        <v>11911.9</v>
      </c>
      <c r="J540" s="505" t="s">
        <v>3645</v>
      </c>
      <c r="K540" s="505" t="s">
        <v>909</v>
      </c>
      <c r="L540" s="505" t="s">
        <v>3122</v>
      </c>
      <c r="M540" s="495" t="s">
        <v>335</v>
      </c>
      <c r="N540" s="505"/>
      <c r="O540" s="505"/>
      <c r="P540" s="505"/>
      <c r="Q540" s="505"/>
      <c r="R540" s="505" t="s">
        <v>339</v>
      </c>
      <c r="S540" s="505"/>
      <c r="T540" s="482" t="str">
        <f>VLOOKUP(Таблица3[[#This Row],[№ акта]],$AJ$1:$BJ$691,15,FALSE)</f>
        <v>3.3 Колос</v>
      </c>
      <c r="U540" s="482" t="str">
        <f>VLOOKUP(Таблица3[[#This Row],[№ акта]],$AJ$1:$BJ$691,16,FALSE)</f>
        <v>Беркут</v>
      </c>
      <c r="V540" s="516">
        <f>67.4*Таблица3[[#This Row],[Регистратор.Вес нетто]]/380500</f>
        <v>2.2567043363994745</v>
      </c>
      <c r="W540" s="502" t="str">
        <f>VLOOKUP(Таблица3[[#This Row],[№ акта]],$AJ$1:$BJ$691,18,FALSE)</f>
        <v>Колос (полив)</v>
      </c>
      <c r="X540" s="516" t="str">
        <f>VLOOKUP(Таблица3[[#This Row],[№ акта]],$AJ$1:$BJ$691,19,FALSE)</f>
        <v>полив</v>
      </c>
      <c r="Y540" s="503">
        <f>VLOOKUP(Таблица3[[#This Row],[№ акта]],$AJ$1:$BJ$691,20,FALSE)</f>
        <v>27</v>
      </c>
      <c r="Z540" s="504">
        <f>VLOOKUP(Таблица3[[#This Row],[№ акта]],$AJ$1:$BJ$691,21,FALSE)</f>
        <v>46203</v>
      </c>
      <c r="AA540" s="496"/>
      <c r="AB540" s="504" t="str">
        <f>IF(VLOOKUP(Таблица3[[#This Row],[№ акта]],$AJ$1:$BJ$691,23,FALSE)&lt;&gt;0,VLOOKUP(Таблица3[[#This Row],[№ акта]],$AJ$1:$BJ$691,23,FALSE),"-")</f>
        <v>-</v>
      </c>
      <c r="AC54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40" s="506" t="s">
        <v>2940</v>
      </c>
      <c r="AE540" s="505">
        <v>553</v>
      </c>
      <c r="AF540" s="507">
        <v>46203</v>
      </c>
      <c r="AG540" s="505">
        <v>62</v>
      </c>
      <c r="AH540" s="505">
        <f>IFERROR(VLOOKUP(Таблица3[[#This Row],[№ акта]],'Степень зрелости 2026'!$H$12:$I$800,2,FALSE),)</f>
        <v>61</v>
      </c>
      <c r="AJ540" s="522">
        <v>626</v>
      </c>
      <c r="AK540" s="523"/>
      <c r="AO540" s="522">
        <v>13080</v>
      </c>
      <c r="AP540" s="522">
        <v>11661</v>
      </c>
      <c r="AR540" s="522" t="s">
        <v>1755</v>
      </c>
      <c r="AS540" s="522" t="s">
        <v>3115</v>
      </c>
      <c r="AT540" s="522" t="s">
        <v>166</v>
      </c>
      <c r="AV540" s="522" t="s">
        <v>170</v>
      </c>
      <c r="AX540" s="522" t="s">
        <v>3114</v>
      </c>
      <c r="AY540" s="522" t="s">
        <v>1755</v>
      </c>
      <c r="AZ540" s="522">
        <v>2.8</v>
      </c>
      <c r="BA540" s="522" t="s">
        <v>52</v>
      </c>
      <c r="BB540" s="522" t="s">
        <v>178</v>
      </c>
      <c r="BC540" s="522">
        <v>21</v>
      </c>
      <c r="BD540" s="523">
        <v>46197</v>
      </c>
      <c r="BE540" s="522">
        <v>13080</v>
      </c>
      <c r="BF540" s="522" t="s">
        <v>3206</v>
      </c>
      <c r="BG540" s="522" t="s">
        <v>3559</v>
      </c>
      <c r="BJ540" s="522">
        <v>64</v>
      </c>
      <c r="BK540" s="508"/>
    </row>
    <row r="541" spans="1:63" s="522" customFormat="1" hidden="1" x14ac:dyDescent="0.25">
      <c r="A541" s="510"/>
      <c r="B541" s="521"/>
      <c r="C541" s="515">
        <f>Таблица3[[#This Row],[Степень зрелости вспом]]</f>
        <v>59</v>
      </c>
      <c r="D541" s="512">
        <v>704</v>
      </c>
      <c r="E541" s="513"/>
      <c r="F541" s="511"/>
      <c r="G541" s="511">
        <v>8550</v>
      </c>
      <c r="H541" s="514"/>
      <c r="I541" s="511">
        <v>6882.8</v>
      </c>
      <c r="J541" s="505" t="s">
        <v>3375</v>
      </c>
      <c r="K541" s="505" t="s">
        <v>747</v>
      </c>
      <c r="L541" s="505" t="s">
        <v>3111</v>
      </c>
      <c r="M541" s="505" t="s">
        <v>127</v>
      </c>
      <c r="N541" s="505"/>
      <c r="O541" s="505"/>
      <c r="P541" s="505"/>
      <c r="Q541" s="505"/>
      <c r="R541" s="505" t="s">
        <v>131</v>
      </c>
      <c r="S541" s="505"/>
      <c r="T541" s="482" t="str">
        <f>VLOOKUP(Таблица3[[#This Row],[№ акта]],$AJ$1:$BJ$691,15,FALSE)</f>
        <v>А-79</v>
      </c>
      <c r="U541" s="482" t="str">
        <f>VLOOKUP(Таблица3[[#This Row],[№ акта]],$AJ$1:$BJ$691,16,FALSE)</f>
        <v>Увертюра</v>
      </c>
      <c r="V541" s="502">
        <f>VLOOKUP(Таблица3[[#This Row],[№ акта]],$AJ$1:$BJ$691,17,FALSE)</f>
        <v>4.4000000000000004</v>
      </c>
      <c r="W541" s="502" t="str">
        <f>VLOOKUP(Таблица3[[#This Row],[№ акта]],$AJ$1:$BJ$691,18,FALSE)</f>
        <v>ГРК (полив)</v>
      </c>
      <c r="X541" s="516" t="str">
        <f>VLOOKUP(Таблица3[[#This Row],[№ акта]],$AJ$1:$BJ$691,19,FALSE)</f>
        <v>полив</v>
      </c>
      <c r="Y541" s="503">
        <f>VLOOKUP(Таблица3[[#This Row],[№ акта]],$AJ$1:$BJ$691,20,FALSE)</f>
        <v>27</v>
      </c>
      <c r="Z541" s="504">
        <f>VLOOKUP(Таблица3[[#This Row],[№ акта]],$AJ$1:$BJ$691,21,FALSE)</f>
        <v>46203</v>
      </c>
      <c r="AA541" s="496"/>
      <c r="AB541" s="504" t="str">
        <f>IF(VLOOKUP(Таблица3[[#This Row],[№ акта]],$AJ$1:$BJ$691,23,FALSE)&lt;&gt;0,VLOOKUP(Таблица3[[#This Row],[№ акта]],$AJ$1:$BJ$691,23,FALSE),"-")</f>
        <v>-</v>
      </c>
      <c r="AC54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41" s="506" t="s">
        <v>2940</v>
      </c>
      <c r="AE541" s="505">
        <v>554</v>
      </c>
      <c r="AF541" s="507">
        <v>46203</v>
      </c>
      <c r="AG541" s="505">
        <v>377</v>
      </c>
      <c r="AH541" s="505">
        <f>IFERROR(VLOOKUP(Таблица3[[#This Row],[№ акта]],'Степень зрелости 2026'!$H$12:$I$800,2,FALSE),)</f>
        <v>59</v>
      </c>
      <c r="AJ541" s="522">
        <v>632</v>
      </c>
      <c r="AK541" s="523"/>
      <c r="AO541" s="522">
        <v>13220</v>
      </c>
      <c r="AP541" s="522">
        <v>11997</v>
      </c>
      <c r="AS541" s="522" t="s">
        <v>3115</v>
      </c>
      <c r="AT541" s="522" t="s">
        <v>166</v>
      </c>
      <c r="AV541" s="522" t="s">
        <v>170</v>
      </c>
      <c r="AX541" s="522" t="s">
        <v>3116</v>
      </c>
      <c r="AY541" s="522" t="s">
        <v>909</v>
      </c>
      <c r="AZ541" s="522">
        <v>2</v>
      </c>
      <c r="BA541" s="522" t="s">
        <v>52</v>
      </c>
      <c r="BB541" s="522" t="s">
        <v>178</v>
      </c>
      <c r="BC541" s="522">
        <v>22</v>
      </c>
      <c r="BD541" s="523">
        <v>46198</v>
      </c>
      <c r="BE541" s="522">
        <v>13220</v>
      </c>
      <c r="BF541" s="522" t="s">
        <v>3206</v>
      </c>
      <c r="BG541" s="522" t="s">
        <v>724</v>
      </c>
      <c r="BJ541" s="522">
        <v>62</v>
      </c>
      <c r="BK541" s="508"/>
    </row>
    <row r="542" spans="1:63" s="522" customFormat="1" ht="22.5" hidden="1" x14ac:dyDescent="0.25">
      <c r="A542" s="510"/>
      <c r="B542" s="521"/>
      <c r="C542" s="515">
        <f>Таблица3[[#This Row],[Степень зрелости вспом]]</f>
        <v>61</v>
      </c>
      <c r="D542" s="512">
        <v>705</v>
      </c>
      <c r="E542" s="513"/>
      <c r="F542" s="511"/>
      <c r="G542" s="511">
        <v>15180</v>
      </c>
      <c r="H542" s="514"/>
      <c r="I542" s="511">
        <v>14345.1</v>
      </c>
      <c r="J542" s="505" t="s">
        <v>3645</v>
      </c>
      <c r="K542" s="505" t="s">
        <v>909</v>
      </c>
      <c r="L542" s="505" t="s">
        <v>3122</v>
      </c>
      <c r="M542" s="495" t="s">
        <v>2967</v>
      </c>
      <c r="N542" s="505"/>
      <c r="O542" s="505"/>
      <c r="P542" s="505"/>
      <c r="Q542" s="505"/>
      <c r="R542" s="505" t="s">
        <v>1810</v>
      </c>
      <c r="S542" s="505"/>
      <c r="T542" s="482" t="str">
        <f>VLOOKUP(Таблица3[[#This Row],[№ акта]],$AJ$1:$BJ$691,15,FALSE)</f>
        <v>3.3 Колос</v>
      </c>
      <c r="U542" s="482" t="str">
        <f>VLOOKUP(Таблица3[[#This Row],[№ акта]],$AJ$1:$BJ$691,16,FALSE)</f>
        <v>Беркут</v>
      </c>
      <c r="V542" s="502">
        <f>67.4*Таблица3[[#This Row],[Регистратор.Вес нетто]]/380500</f>
        <v>2.6889145860709598</v>
      </c>
      <c r="W542" s="502" t="str">
        <f>VLOOKUP(Таблица3[[#This Row],[№ акта]],$AJ$1:$BJ$691,18,FALSE)</f>
        <v>Колос (полив)</v>
      </c>
      <c r="X542" s="516" t="str">
        <f>VLOOKUP(Таблица3[[#This Row],[№ акта]],$AJ$1:$BJ$691,19,FALSE)</f>
        <v>полив</v>
      </c>
      <c r="Y542" s="503">
        <f>VLOOKUP(Таблица3[[#This Row],[№ акта]],$AJ$1:$BJ$691,20,FALSE)</f>
        <v>27</v>
      </c>
      <c r="Z542" s="504">
        <f>VLOOKUP(Таблица3[[#This Row],[№ акта]],$AJ$1:$BJ$691,21,FALSE)</f>
        <v>46203</v>
      </c>
      <c r="AA542" s="496"/>
      <c r="AB542" s="504" t="str">
        <f>IF(VLOOKUP(Таблица3[[#This Row],[№ акта]],$AJ$1:$BJ$691,23,FALSE)&lt;&gt;0,VLOOKUP(Таблица3[[#This Row],[№ акта]],$AJ$1:$BJ$691,23,FALSE),"-")</f>
        <v>-</v>
      </c>
      <c r="AC54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42" s="506" t="s">
        <v>2940</v>
      </c>
      <c r="AE542" s="505">
        <v>555</v>
      </c>
      <c r="AF542" s="507">
        <v>46203</v>
      </c>
      <c r="AG542" s="505">
        <v>63</v>
      </c>
      <c r="AH542" s="505">
        <f>IFERROR(VLOOKUP(Таблица3[[#This Row],[№ акта]],'Степень зрелости 2026'!$H$12:$I$800,2,FALSE),)</f>
        <v>61</v>
      </c>
      <c r="AJ542" s="522">
        <v>633</v>
      </c>
      <c r="AK542" s="523"/>
      <c r="AO542" s="522">
        <v>13560</v>
      </c>
      <c r="AP542" s="522">
        <v>12078</v>
      </c>
      <c r="AS542" s="522" t="s">
        <v>3115</v>
      </c>
      <c r="AT542" s="522" t="s">
        <v>305</v>
      </c>
      <c r="AV542" s="522" t="s">
        <v>309</v>
      </c>
      <c r="AX542" s="522" t="s">
        <v>3116</v>
      </c>
      <c r="AY542" s="522" t="s">
        <v>909</v>
      </c>
      <c r="AZ542" s="522">
        <v>2.1</v>
      </c>
      <c r="BA542" s="522" t="s">
        <v>52</v>
      </c>
      <c r="BB542" s="522" t="s">
        <v>178</v>
      </c>
      <c r="BC542" s="522">
        <v>22</v>
      </c>
      <c r="BD542" s="523">
        <v>46198</v>
      </c>
      <c r="BE542" s="522">
        <v>13560</v>
      </c>
      <c r="BF542" s="522" t="s">
        <v>3206</v>
      </c>
      <c r="BG542" s="522" t="s">
        <v>724</v>
      </c>
      <c r="BJ542" s="522">
        <v>60</v>
      </c>
      <c r="BK542" s="508"/>
    </row>
    <row r="543" spans="1:63" s="522" customFormat="1" hidden="1" x14ac:dyDescent="0.25">
      <c r="A543" s="510"/>
      <c r="B543" s="521"/>
      <c r="C543" s="515">
        <f>Таблица3[[#This Row],[Степень зрелости вспом]]</f>
        <v>55</v>
      </c>
      <c r="D543" s="512">
        <v>706</v>
      </c>
      <c r="E543" s="513"/>
      <c r="F543" s="511"/>
      <c r="G543" s="511">
        <v>4150</v>
      </c>
      <c r="H543" s="514"/>
      <c r="I543" s="511">
        <v>3382.3</v>
      </c>
      <c r="J543" s="505" t="s">
        <v>3375</v>
      </c>
      <c r="K543" s="505" t="s">
        <v>747</v>
      </c>
      <c r="L543" s="505" t="s">
        <v>3111</v>
      </c>
      <c r="M543" s="505" t="s">
        <v>762</v>
      </c>
      <c r="N543" s="505"/>
      <c r="O543" s="505"/>
      <c r="P543" s="505"/>
      <c r="Q543" s="505"/>
      <c r="R543" s="505" t="s">
        <v>763</v>
      </c>
      <c r="S543" s="505"/>
      <c r="T543" s="482" t="str">
        <f>VLOOKUP(Таблица3[[#This Row],[№ акта]],$AJ$1:$BJ$691,15,FALSE)</f>
        <v>А-79</v>
      </c>
      <c r="U543" s="520" t="str">
        <f>VLOOKUP(Таблица3[[#This Row],[№ акта]],$AJ$1:$BJ$691,16,FALSE)</f>
        <v>Увертюра</v>
      </c>
      <c r="V543" s="502">
        <f>VLOOKUP(Таблица3[[#This Row],[№ акта]],$AJ$1:$BJ$691,17,FALSE)+0.2</f>
        <v>2.3000000000000003</v>
      </c>
      <c r="W543" s="502" t="str">
        <f>VLOOKUP(Таблица3[[#This Row],[№ акта]],$AJ$1:$BJ$691,18,FALSE)</f>
        <v>ГРК (полив)</v>
      </c>
      <c r="X543" s="516" t="str">
        <f>VLOOKUP(Таблица3[[#This Row],[№ акта]],$AJ$1:$BJ$691,19,FALSE)</f>
        <v>полив</v>
      </c>
      <c r="Y543" s="503">
        <f>VLOOKUP(Таблица3[[#This Row],[№ акта]],$AJ$1:$BJ$691,20,FALSE)</f>
        <v>27</v>
      </c>
      <c r="Z543" s="504">
        <f>VLOOKUP(Таблица3[[#This Row],[№ акта]],$AJ$1:$BJ$691,21,FALSE)</f>
        <v>46203</v>
      </c>
      <c r="AA543" s="496"/>
      <c r="AB543" s="504" t="str">
        <f>IF(VLOOKUP(Таблица3[[#This Row],[№ акта]],$AJ$1:$BJ$691,23,FALSE)&lt;&gt;0,VLOOKUP(Таблица3[[#This Row],[№ акта]],$AJ$1:$BJ$691,23,FALSE),"-")</f>
        <v>-</v>
      </c>
      <c r="AC54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43" s="506" t="s">
        <v>2940</v>
      </c>
      <c r="AE543" s="505">
        <v>556</v>
      </c>
      <c r="AF543" s="507">
        <v>46203</v>
      </c>
      <c r="AG543" s="505">
        <v>378</v>
      </c>
      <c r="AH543" s="505">
        <f>IFERROR(VLOOKUP(Таблица3[[#This Row],[№ акта]],'Степень зрелости 2026'!$H$12:$I$800,2,FALSE),)</f>
        <v>55</v>
      </c>
      <c r="AK543" s="523"/>
      <c r="AO543" s="522">
        <v>13400</v>
      </c>
      <c r="AP543" s="522">
        <v>11961</v>
      </c>
      <c r="AS543" s="522" t="s">
        <v>3120</v>
      </c>
      <c r="AT543" s="522" t="s">
        <v>3651</v>
      </c>
      <c r="AV543" s="522" t="s">
        <v>238</v>
      </c>
      <c r="AX543" s="522" t="s">
        <v>3120</v>
      </c>
      <c r="AY543" s="522" t="s">
        <v>901</v>
      </c>
      <c r="AZ543" s="522">
        <v>3.4</v>
      </c>
      <c r="BA543" s="522" t="s">
        <v>53</v>
      </c>
      <c r="BB543" s="522" t="s">
        <v>178</v>
      </c>
      <c r="BC543" s="522">
        <v>22</v>
      </c>
      <c r="BD543" s="523">
        <v>46198</v>
      </c>
      <c r="BE543" s="522">
        <v>13400</v>
      </c>
      <c r="BF543" s="522" t="s">
        <v>3206</v>
      </c>
      <c r="BG543" s="522" t="s">
        <v>3557</v>
      </c>
      <c r="BJ543" s="522">
        <v>50</v>
      </c>
      <c r="BK543" s="508"/>
    </row>
    <row r="544" spans="1:63" s="524" customFormat="1" ht="22.5" hidden="1" x14ac:dyDescent="0.25">
      <c r="A544" s="510"/>
      <c r="B544" s="521"/>
      <c r="C544" s="515">
        <f>Таблица3[[#This Row],[Степень зрелости вспом]]</f>
        <v>48</v>
      </c>
      <c r="D544" s="512">
        <v>707</v>
      </c>
      <c r="E544" s="513"/>
      <c r="F544" s="511"/>
      <c r="G544" s="511">
        <v>13240</v>
      </c>
      <c r="H544" s="514"/>
      <c r="I544" s="511">
        <v>12313.2</v>
      </c>
      <c r="J544" s="505" t="s">
        <v>3645</v>
      </c>
      <c r="K544" s="505" t="s">
        <v>897</v>
      </c>
      <c r="L544" s="505" t="s">
        <v>3122</v>
      </c>
      <c r="M544" s="505" t="s">
        <v>305</v>
      </c>
      <c r="N544" s="505"/>
      <c r="O544" s="505"/>
      <c r="P544" s="505"/>
      <c r="Q544" s="505"/>
      <c r="R544" s="505" t="s">
        <v>309</v>
      </c>
      <c r="S544" s="505"/>
      <c r="T544" s="482" t="str">
        <f>VLOOKUP(Таблица3[[#This Row],[№ акта]],$AJ$1:$BJ$691,15,FALSE)</f>
        <v>3.3 Колос</v>
      </c>
      <c r="U544" s="520" t="str">
        <f>VLOOKUP(Таблица3[[#This Row],[№ акта]],$AJ$1:$BJ$691,16,FALSE)</f>
        <v>Беркут</v>
      </c>
      <c r="V544" s="502">
        <f>67.4*Таблица3[[#This Row],[Регистратор.Вес нетто]]/380500</f>
        <v>2.3452720105124838</v>
      </c>
      <c r="W544" s="502" t="str">
        <f>VLOOKUP(Таблица3[[#This Row],[№ акта]],$AJ$1:$BJ$691,18,FALSE)</f>
        <v>Колос (полив)</v>
      </c>
      <c r="X544" s="516" t="str">
        <f>VLOOKUP(Таблица3[[#This Row],[№ акта]],$AJ$1:$BJ$691,19,FALSE)</f>
        <v>полив</v>
      </c>
      <c r="Y544" s="503">
        <f>VLOOKUP(Таблица3[[#This Row],[№ акта]],$AJ$1:$BJ$691,20,FALSE)</f>
        <v>27</v>
      </c>
      <c r="Z544" s="504">
        <f>VLOOKUP(Таблица3[[#This Row],[№ акта]],$AJ$1:$BJ$691,21,FALSE)</f>
        <v>46203</v>
      </c>
      <c r="AA544" s="496"/>
      <c r="AB544" s="504" t="str">
        <f>IF(VLOOKUP(Таблица3[[#This Row],[№ акта]],$AJ$1:$BJ$691,23,FALSE)&lt;&gt;0,VLOOKUP(Таблица3[[#This Row],[№ акта]],$AJ$1:$BJ$691,23,FALSE),"-")</f>
        <v>-</v>
      </c>
      <c r="AC54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44" s="506" t="s">
        <v>2940</v>
      </c>
      <c r="AE544" s="505">
        <v>557</v>
      </c>
      <c r="AF544" s="507">
        <v>46203</v>
      </c>
      <c r="AG544" s="505">
        <v>66</v>
      </c>
      <c r="AH544" s="505">
        <f>IFERROR(VLOOKUP(Таблица3[[#This Row],[№ акта]],'Степень зрелости 2026'!$H$12:$I$800,2,FALSE),)</f>
        <v>48</v>
      </c>
      <c r="AK544" s="525"/>
      <c r="AO544" s="524">
        <v>14880</v>
      </c>
      <c r="AP544" s="524">
        <v>13200</v>
      </c>
      <c r="AS544" s="524" t="s">
        <v>3120</v>
      </c>
      <c r="AT544" s="524" t="s">
        <v>329</v>
      </c>
      <c r="AV544" s="524" t="s">
        <v>333</v>
      </c>
      <c r="AX544" s="524" t="s">
        <v>3120</v>
      </c>
      <c r="AY544" s="524" t="s">
        <v>901</v>
      </c>
      <c r="AZ544" s="524">
        <v>3.8</v>
      </c>
      <c r="BA544" s="524" t="s">
        <v>53</v>
      </c>
      <c r="BB544" s="524" t="s">
        <v>178</v>
      </c>
      <c r="BC544" s="524">
        <v>22</v>
      </c>
      <c r="BD544" s="525">
        <v>46198</v>
      </c>
      <c r="BE544" s="524">
        <v>14880</v>
      </c>
      <c r="BF544" s="524" t="s">
        <v>3206</v>
      </c>
      <c r="BG544" s="524" t="s">
        <v>3557</v>
      </c>
      <c r="BJ544" s="524">
        <v>47</v>
      </c>
      <c r="BK544" s="508"/>
    </row>
    <row r="545" spans="1:63" s="524" customFormat="1" ht="22.5" hidden="1" x14ac:dyDescent="0.25">
      <c r="A545" s="505"/>
      <c r="B545" s="511"/>
      <c r="C545" s="515">
        <f>Таблица3[[#This Row],[Степень зрелости вспом]]</f>
        <v>46</v>
      </c>
      <c r="D545" s="512">
        <v>708</v>
      </c>
      <c r="E545" s="513">
        <v>46199</v>
      </c>
      <c r="F545" s="511"/>
      <c r="G545" s="511">
        <v>13740</v>
      </c>
      <c r="H545" s="514"/>
      <c r="I545" s="511">
        <v>11679</v>
      </c>
      <c r="J545" s="505" t="s">
        <v>3645</v>
      </c>
      <c r="K545" s="505" t="s">
        <v>901</v>
      </c>
      <c r="L545" s="505" t="s">
        <v>3120</v>
      </c>
      <c r="M545" s="495" t="s">
        <v>329</v>
      </c>
      <c r="N545" s="505"/>
      <c r="O545" s="505"/>
      <c r="P545" s="505"/>
      <c r="Q545" s="505"/>
      <c r="R545" s="505" t="s">
        <v>333</v>
      </c>
      <c r="S545" s="505"/>
      <c r="T545" s="520" t="str">
        <f>VLOOKUP(Таблица3[[#This Row],[№ акта]],$AJ$1:$BJ$691,15,FALSE)</f>
        <v>3.6 Колос</v>
      </c>
      <c r="U545" s="520" t="str">
        <f>VLOOKUP(Таблица3[[#This Row],[№ акта]],$AJ$1:$BJ$691,16,FALSE)</f>
        <v>Фаворит</v>
      </c>
      <c r="V545" s="502">
        <f>56.1*Таблица3[[#This Row],[Регистратор.Вес нетто]]/299630</f>
        <v>2.5725528151386712</v>
      </c>
      <c r="W545" s="502" t="str">
        <f>VLOOKUP(Таблица3[[#This Row],[№ акта]],$AJ$1:$BJ$691,18,FALSE)</f>
        <v>Колос (полив)</v>
      </c>
      <c r="X545" s="516" t="str">
        <f>VLOOKUP(Таблица3[[#This Row],[№ акта]],$AJ$1:$BJ$691,19,FALSE)</f>
        <v>полив</v>
      </c>
      <c r="Y545" s="503">
        <f>VLOOKUP(Таблица3[[#This Row],[№ акта]],$AJ$1:$BJ$691,20,FALSE)</f>
        <v>27</v>
      </c>
      <c r="Z545" s="504">
        <f>VLOOKUP(Таблица3[[#This Row],[№ акта]],$AJ$1:$BJ$691,21,FALSE)</f>
        <v>46203</v>
      </c>
      <c r="AA545" s="496"/>
      <c r="AB545" s="504" t="str">
        <f>IF(VLOOKUP(Таблица3[[#This Row],[№ акта]],$AJ$1:$BJ$691,23,FALSE)&lt;&gt;0,VLOOKUP(Таблица3[[#This Row],[№ акта]],$AJ$1:$BJ$691,23,FALSE),"-")</f>
        <v>-</v>
      </c>
      <c r="AC54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45" s="506" t="s">
        <v>2940</v>
      </c>
      <c r="AE545" s="505">
        <v>558</v>
      </c>
      <c r="AF545" s="507">
        <v>46203</v>
      </c>
      <c r="AG545" s="505">
        <v>64</v>
      </c>
      <c r="AH545" s="505">
        <f>IFERROR(VLOOKUP(Таблица3[[#This Row],[№ акта]],'Степень зрелости 2026'!$H$12:$I$800,2,FALSE),)</f>
        <v>46</v>
      </c>
      <c r="AJ545" s="524">
        <v>634</v>
      </c>
      <c r="AK545" s="525"/>
      <c r="AM545" s="524">
        <v>46199</v>
      </c>
      <c r="AO545" s="524">
        <v>13200</v>
      </c>
      <c r="AP545" s="524">
        <v>12079</v>
      </c>
      <c r="AR545" s="524" t="s">
        <v>909</v>
      </c>
      <c r="AS545" s="524">
        <v>14</v>
      </c>
      <c r="AT545" s="524" t="s">
        <v>305</v>
      </c>
      <c r="AV545" s="524" t="s">
        <v>309</v>
      </c>
      <c r="AX545" s="524" t="s">
        <v>3116</v>
      </c>
      <c r="AY545" s="524" t="s">
        <v>909</v>
      </c>
      <c r="AZ545" s="524">
        <v>3.4</v>
      </c>
      <c r="BA545" s="524" t="s">
        <v>52</v>
      </c>
      <c r="BB545" s="524" t="s">
        <v>178</v>
      </c>
      <c r="BC545" s="524">
        <v>23</v>
      </c>
      <c r="BD545" s="525">
        <v>46199</v>
      </c>
      <c r="BE545" s="524">
        <v>13200</v>
      </c>
      <c r="BF545" s="524" t="s">
        <v>3206</v>
      </c>
      <c r="BG545" s="524" t="s">
        <v>3557</v>
      </c>
      <c r="BJ545" s="524">
        <v>51</v>
      </c>
      <c r="BK545" s="508"/>
    </row>
    <row r="546" spans="1:63" s="522" customFormat="1" hidden="1" x14ac:dyDescent="0.25">
      <c r="A546" s="505"/>
      <c r="B546" s="511"/>
      <c r="C546" s="515">
        <f>Таблица3[[#This Row],[Степень зрелости вспом]]</f>
        <v>57</v>
      </c>
      <c r="D546" s="512">
        <v>709</v>
      </c>
      <c r="E546" s="513">
        <v>46199</v>
      </c>
      <c r="F546" s="511"/>
      <c r="G546" s="511">
        <v>8430</v>
      </c>
      <c r="H546" s="514"/>
      <c r="I546" s="511">
        <v>7587</v>
      </c>
      <c r="J546" s="505" t="s">
        <v>3375</v>
      </c>
      <c r="K546" s="505" t="s">
        <v>747</v>
      </c>
      <c r="L546" s="505" t="s">
        <v>3111</v>
      </c>
      <c r="M546" s="505" t="s">
        <v>127</v>
      </c>
      <c r="N546" s="505"/>
      <c r="O546" s="505"/>
      <c r="P546" s="505"/>
      <c r="Q546" s="505"/>
      <c r="R546" s="505" t="s">
        <v>131</v>
      </c>
      <c r="S546" s="505"/>
      <c r="T546" s="482" t="str">
        <f>VLOOKUP(Таблица3[[#This Row],[№ акта]],$AJ$1:$BJ$691,15,FALSE)</f>
        <v>А-79</v>
      </c>
      <c r="U546" s="520" t="str">
        <f>VLOOKUP(Таблица3[[#This Row],[№ акта]],$AJ$1:$BJ$691,16,FALSE)</f>
        <v>Увертюра</v>
      </c>
      <c r="V546" s="502">
        <f>VLOOKUP(Таблица3[[#This Row],[№ акта]],$AJ$1:$BJ$691,17,FALSE)</f>
        <v>4.3</v>
      </c>
      <c r="W546" s="502" t="str">
        <f>VLOOKUP(Таблица3[[#This Row],[№ акта]],$AJ$1:$BJ$691,18,FALSE)</f>
        <v>ГРК (полив)</v>
      </c>
      <c r="X546" s="516" t="str">
        <f>VLOOKUP(Таблица3[[#This Row],[№ акта]],$AJ$1:$BJ$691,19,FALSE)</f>
        <v>полив</v>
      </c>
      <c r="Y546" s="503">
        <f>VLOOKUP(Таблица3[[#This Row],[№ акта]],$AJ$1:$BJ$691,20,FALSE)</f>
        <v>27</v>
      </c>
      <c r="Z546" s="504">
        <f>VLOOKUP(Таблица3[[#This Row],[№ акта]],$AJ$1:$BJ$691,21,FALSE)</f>
        <v>46203</v>
      </c>
      <c r="AA546" s="496"/>
      <c r="AB546" s="504" t="str">
        <f>IF(VLOOKUP(Таблица3[[#This Row],[№ акта]],$AJ$1:$BJ$691,23,FALSE)&lt;&gt;0,VLOOKUP(Таблица3[[#This Row],[№ акта]],$AJ$1:$BJ$691,23,FALSE),"-")</f>
        <v>-</v>
      </c>
      <c r="AC54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46" s="506" t="s">
        <v>2940</v>
      </c>
      <c r="AE546" s="505">
        <v>559</v>
      </c>
      <c r="AF546" s="507">
        <v>46204</v>
      </c>
      <c r="AG546" s="505">
        <v>379</v>
      </c>
      <c r="AH546" s="505">
        <f>IFERROR(VLOOKUP(Таблица3[[#This Row],[№ акта]],'Степень зрелости 2026'!$H$12:$I$800,2,FALSE),)</f>
        <v>57</v>
      </c>
      <c r="AJ546" s="522">
        <v>608</v>
      </c>
      <c r="AK546" s="523"/>
      <c r="AM546" s="522">
        <v>46199</v>
      </c>
      <c r="AO546" s="522">
        <v>13380</v>
      </c>
      <c r="AP546" s="522">
        <v>12392</v>
      </c>
      <c r="AR546" s="522" t="s">
        <v>909</v>
      </c>
      <c r="AS546" s="522" t="s">
        <v>3115</v>
      </c>
      <c r="AT546" s="522" t="s">
        <v>3745</v>
      </c>
      <c r="AV546" s="522" t="s">
        <v>1802</v>
      </c>
      <c r="AX546" s="522" t="s">
        <v>3116</v>
      </c>
      <c r="AY546" s="522" t="s">
        <v>909</v>
      </c>
      <c r="AZ546" s="522">
        <v>3.5</v>
      </c>
      <c r="BA546" s="522" t="s">
        <v>52</v>
      </c>
      <c r="BB546" s="522" t="s">
        <v>178</v>
      </c>
      <c r="BC546" s="522">
        <v>23</v>
      </c>
      <c r="BD546" s="523">
        <v>46199</v>
      </c>
      <c r="BE546" s="522">
        <v>13380</v>
      </c>
      <c r="BF546" s="522" t="s">
        <v>3206</v>
      </c>
      <c r="BG546" s="522" t="s">
        <v>3559</v>
      </c>
      <c r="BJ546" s="522">
        <v>65</v>
      </c>
      <c r="BK546" s="508"/>
    </row>
    <row r="547" spans="1:63" s="522" customFormat="1" ht="22.5" hidden="1" x14ac:dyDescent="0.25">
      <c r="A547" s="505"/>
      <c r="B547" s="511"/>
      <c r="C547" s="515">
        <f>Таблица3[[#This Row],[Степень зрелости вспом]]</f>
        <v>54</v>
      </c>
      <c r="D547" s="512">
        <v>710</v>
      </c>
      <c r="E547" s="513">
        <v>46199</v>
      </c>
      <c r="F547" s="511"/>
      <c r="G547" s="511">
        <v>13540</v>
      </c>
      <c r="H547" s="514"/>
      <c r="I547" s="511">
        <v>12186</v>
      </c>
      <c r="J547" s="505" t="s">
        <v>3645</v>
      </c>
      <c r="K547" s="505" t="s">
        <v>897</v>
      </c>
      <c r="L547" s="505" t="s">
        <v>3123</v>
      </c>
      <c r="M547" s="505" t="s">
        <v>166</v>
      </c>
      <c r="N547" s="505"/>
      <c r="O547" s="505"/>
      <c r="P547" s="505"/>
      <c r="Q547" s="505"/>
      <c r="R547" s="505" t="s">
        <v>170</v>
      </c>
      <c r="S547" s="505"/>
      <c r="T547" s="520" t="s">
        <v>3123</v>
      </c>
      <c r="U547" s="520" t="str">
        <f>VLOOKUP(Таблица3[[#This Row],[№ акта]],$AJ$1:$BJ$691,16,FALSE)</f>
        <v>Фаворит</v>
      </c>
      <c r="V547" s="502">
        <f>56.1*Таблица3[[#This Row],[Регистратор.Вес нетто]]/299630</f>
        <v>2.5351066315121984</v>
      </c>
      <c r="W547" s="502" t="str">
        <f>VLOOKUP(Таблица3[[#This Row],[№ акта]],$AJ$1:$BJ$691,18,FALSE)</f>
        <v>Колос (полив)</v>
      </c>
      <c r="X547" s="516" t="str">
        <f>VLOOKUP(Таблица3[[#This Row],[№ акта]],$AJ$1:$BJ$691,19,FALSE)</f>
        <v>полив</v>
      </c>
      <c r="Y547" s="503">
        <f>VLOOKUP(Таблица3[[#This Row],[№ акта]],$AJ$1:$BJ$691,20,FALSE)</f>
        <v>27</v>
      </c>
      <c r="Z547" s="504">
        <f>VLOOKUP(Таблица3[[#This Row],[№ акта]],$AJ$1:$BJ$691,21,FALSE)</f>
        <v>46203</v>
      </c>
      <c r="AA547" s="496"/>
      <c r="AB547" s="504" t="str">
        <f>IF(VLOOKUP(Таблица3[[#This Row],[№ акта]],$AJ$1:$BJ$691,23,FALSE)&lt;&gt;0,VLOOKUP(Таблица3[[#This Row],[№ акта]],$AJ$1:$BJ$691,23,FALSE),"-")</f>
        <v>-</v>
      </c>
      <c r="AC54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47" s="506" t="s">
        <v>2940</v>
      </c>
      <c r="AE547" s="505">
        <v>561</v>
      </c>
      <c r="AF547" s="507">
        <v>46204</v>
      </c>
      <c r="AG547" s="505">
        <v>65</v>
      </c>
      <c r="AH547" s="505">
        <f>IFERROR(VLOOKUP(Таблица3[[#This Row],[№ акта]],'Степень зрелости 2026'!$H$12:$I$800,2,FALSE),)</f>
        <v>54</v>
      </c>
      <c r="AJ547" s="522">
        <v>630</v>
      </c>
      <c r="AK547" s="523"/>
      <c r="AM547" s="522">
        <v>46199</v>
      </c>
      <c r="AO547" s="522">
        <v>13520</v>
      </c>
      <c r="AP547" s="522">
        <v>11992</v>
      </c>
      <c r="AR547" s="522" t="s">
        <v>909</v>
      </c>
      <c r="AS547" s="522" t="s">
        <v>3115</v>
      </c>
      <c r="AT547" s="522" t="s">
        <v>3746</v>
      </c>
      <c r="AV547" s="522" t="s">
        <v>333</v>
      </c>
      <c r="AX547" s="522" t="s">
        <v>3116</v>
      </c>
      <c r="AY547" s="522" t="s">
        <v>909</v>
      </c>
      <c r="AZ547" s="522">
        <v>3.5</v>
      </c>
      <c r="BA547" s="522" t="s">
        <v>52</v>
      </c>
      <c r="BB547" s="522" t="s">
        <v>178</v>
      </c>
      <c r="BC547" s="522">
        <v>23</v>
      </c>
      <c r="BD547" s="523">
        <v>46199</v>
      </c>
      <c r="BE547" s="522">
        <v>13520</v>
      </c>
      <c r="BF547" s="522" t="s">
        <v>3206</v>
      </c>
      <c r="BG547" s="522" t="s">
        <v>724</v>
      </c>
      <c r="BJ547" s="522">
        <v>62</v>
      </c>
      <c r="BK547" s="508"/>
    </row>
    <row r="548" spans="1:63" s="522" customFormat="1" hidden="1" x14ac:dyDescent="0.25">
      <c r="A548" s="505"/>
      <c r="B548" s="511"/>
      <c r="C548" s="515">
        <f>Таблица3[[#This Row],[Степень зрелости вспом]]</f>
        <v>53</v>
      </c>
      <c r="D548" s="512">
        <v>711</v>
      </c>
      <c r="E548" s="513">
        <v>46199</v>
      </c>
      <c r="F548" s="511"/>
      <c r="G548" s="511">
        <v>4220</v>
      </c>
      <c r="H548" s="514"/>
      <c r="I548" s="511">
        <v>3776.9</v>
      </c>
      <c r="J548" s="505" t="s">
        <v>3375</v>
      </c>
      <c r="K548" s="505" t="s">
        <v>747</v>
      </c>
      <c r="L548" s="505" t="s">
        <v>3111</v>
      </c>
      <c r="M548" s="505" t="s">
        <v>762</v>
      </c>
      <c r="N548" s="505"/>
      <c r="O548" s="505"/>
      <c r="P548" s="505"/>
      <c r="Q548" s="505"/>
      <c r="R548" s="505" t="s">
        <v>763</v>
      </c>
      <c r="S548" s="505"/>
      <c r="T548" s="520" t="str">
        <f>VLOOKUP(Таблица3[[#This Row],[№ акта]],$AJ$1:$BJ$691,15,FALSE)</f>
        <v>А-79</v>
      </c>
      <c r="U548" s="520" t="str">
        <f>VLOOKUP(Таблица3[[#This Row],[№ акта]],$AJ$1:$BJ$691,16,FALSE)</f>
        <v>Увертюра</v>
      </c>
      <c r="V548" s="502">
        <f>VLOOKUP(Таблица3[[#This Row],[№ акта]],$AJ$1:$BJ$691,17,FALSE)</f>
        <v>2.2000000000000002</v>
      </c>
      <c r="W548" s="502" t="str">
        <f>VLOOKUP(Таблица3[[#This Row],[№ акта]],$AJ$1:$BJ$691,18,FALSE)</f>
        <v>ГРК (полив)</v>
      </c>
      <c r="X548" s="516" t="str">
        <f>VLOOKUP(Таблица3[[#This Row],[№ акта]],$AJ$1:$BJ$691,19,FALSE)</f>
        <v>полив</v>
      </c>
      <c r="Y548" s="503">
        <f>VLOOKUP(Таблица3[[#This Row],[№ акта]],$AJ$1:$BJ$691,20,FALSE)</f>
        <v>27</v>
      </c>
      <c r="Z548" s="504">
        <f>VLOOKUP(Таблица3[[#This Row],[№ акта]],$AJ$1:$BJ$691,21,FALSE)</f>
        <v>46203</v>
      </c>
      <c r="AA548" s="496"/>
      <c r="AB548" s="504" t="str">
        <f>IF(VLOOKUP(Таблица3[[#This Row],[№ акта]],$AJ$1:$BJ$691,23,FALSE)&lt;&gt;0,VLOOKUP(Таблица3[[#This Row],[№ акта]],$AJ$1:$BJ$691,23,FALSE),"-")</f>
        <v>-</v>
      </c>
      <c r="AC54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48" s="506" t="s">
        <v>2940</v>
      </c>
      <c r="AE548" s="505">
        <v>560</v>
      </c>
      <c r="AF548" s="507">
        <v>46204</v>
      </c>
      <c r="AG548" s="505">
        <v>380</v>
      </c>
      <c r="AH548" s="505">
        <f>IFERROR(VLOOKUP(Таблица3[[#This Row],[№ акта]],'Степень зрелости 2026'!$H$12:$I$800,2,FALSE),)</f>
        <v>53</v>
      </c>
      <c r="AJ548" s="522">
        <v>628</v>
      </c>
      <c r="AK548" s="523"/>
      <c r="AM548" s="522">
        <v>46199</v>
      </c>
      <c r="AO548" s="522">
        <v>13240</v>
      </c>
      <c r="AP548" s="522">
        <v>11701</v>
      </c>
      <c r="AR548" s="522" t="s">
        <v>909</v>
      </c>
      <c r="AS548" s="522" t="s">
        <v>3115</v>
      </c>
      <c r="AT548" s="522" t="s">
        <v>166</v>
      </c>
      <c r="AV548" s="522" t="s">
        <v>170</v>
      </c>
      <c r="AX548" s="522" t="s">
        <v>3116</v>
      </c>
      <c r="AY548" s="522" t="s">
        <v>909</v>
      </c>
      <c r="AZ548" s="522">
        <v>3.4</v>
      </c>
      <c r="BA548" s="522" t="s">
        <v>52</v>
      </c>
      <c r="BB548" s="522" t="s">
        <v>178</v>
      </c>
      <c r="BC548" s="522">
        <v>23</v>
      </c>
      <c r="BD548" s="523">
        <v>46199</v>
      </c>
      <c r="BE548" s="522">
        <v>13240</v>
      </c>
      <c r="BF548" s="522" t="s">
        <v>3206</v>
      </c>
      <c r="BG548" s="522" t="s">
        <v>3559</v>
      </c>
      <c r="BJ548" s="522">
        <v>65</v>
      </c>
      <c r="BK548" s="508"/>
    </row>
    <row r="549" spans="1:63" s="522" customFormat="1" ht="22.5" hidden="1" x14ac:dyDescent="0.25">
      <c r="A549" s="505"/>
      <c r="B549" s="511"/>
      <c r="C549" s="515">
        <f>Таблица3[[#This Row],[Степень зрелости вспом]]</f>
        <v>56</v>
      </c>
      <c r="D549" s="512">
        <v>712</v>
      </c>
      <c r="E549" s="513">
        <v>46199</v>
      </c>
      <c r="F549" s="511"/>
      <c r="G549" s="511">
        <v>12440</v>
      </c>
      <c r="H549" s="514"/>
      <c r="I549" s="511">
        <v>11133.8</v>
      </c>
      <c r="J549" s="505" t="s">
        <v>3645</v>
      </c>
      <c r="K549" s="505" t="s">
        <v>897</v>
      </c>
      <c r="L549" s="505" t="s">
        <v>3123</v>
      </c>
      <c r="M549" s="505" t="s">
        <v>3623</v>
      </c>
      <c r="N549" s="505"/>
      <c r="O549" s="505"/>
      <c r="P549" s="505"/>
      <c r="Q549" s="505"/>
      <c r="R549" s="505" t="s">
        <v>3679</v>
      </c>
      <c r="S549" s="505"/>
      <c r="T549" s="520" t="s">
        <v>3123</v>
      </c>
      <c r="U549" s="520" t="str">
        <f>VLOOKUP(Таблица3[[#This Row],[№ акта]],$AJ$1:$BJ$691,16,FALSE)</f>
        <v>Фаворит</v>
      </c>
      <c r="V549" s="502">
        <f>56.1*Таблица3[[#This Row],[Регистратор.Вес нетто]]/299630</f>
        <v>2.3291526215665987</v>
      </c>
      <c r="W549" s="502" t="str">
        <f>VLOOKUP(Таблица3[[#This Row],[№ акта]],$AJ$1:$BJ$691,18,FALSE)</f>
        <v>Колос (полив)</v>
      </c>
      <c r="X549" s="516" t="str">
        <f>VLOOKUP(Таблица3[[#This Row],[№ акта]],$AJ$1:$BJ$691,19,FALSE)</f>
        <v>полив</v>
      </c>
      <c r="Y549" s="503">
        <f>VLOOKUP(Таблица3[[#This Row],[№ акта]],$AJ$1:$BJ$691,20,FALSE)</f>
        <v>27</v>
      </c>
      <c r="Z549" s="504">
        <f>VLOOKUP(Таблица3[[#This Row],[№ акта]],$AJ$1:$BJ$691,21,FALSE)</f>
        <v>46203</v>
      </c>
      <c r="AA549" s="496"/>
      <c r="AB549" s="504" t="str">
        <f>IF(VLOOKUP(Таблица3[[#This Row],[№ акта]],$AJ$1:$BJ$691,23,FALSE)&lt;&gt;0,VLOOKUP(Таблица3[[#This Row],[№ акта]],$AJ$1:$BJ$691,23,FALSE),"-")</f>
        <v>-</v>
      </c>
      <c r="AC54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49" s="506" t="s">
        <v>2940</v>
      </c>
      <c r="AE549" s="505">
        <v>562</v>
      </c>
      <c r="AF549" s="507">
        <v>46204</v>
      </c>
      <c r="AG549" s="505">
        <v>67</v>
      </c>
      <c r="AH549" s="505">
        <f>IFERROR(VLOOKUP(Таблица3[[#This Row],[№ акта]],'Степень зрелости 2026'!$H$12:$I$800,2,FALSE),)</f>
        <v>56</v>
      </c>
      <c r="AJ549" s="522">
        <v>629</v>
      </c>
      <c r="AK549" s="523"/>
      <c r="AM549" s="522">
        <v>46199</v>
      </c>
      <c r="AO549" s="522">
        <v>13320</v>
      </c>
      <c r="AP549" s="522">
        <v>11853</v>
      </c>
      <c r="AR549" s="522" t="s">
        <v>909</v>
      </c>
      <c r="AS549" s="522" t="s">
        <v>3115</v>
      </c>
      <c r="AT549" s="522" t="s">
        <v>3747</v>
      </c>
      <c r="AV549" s="522" t="s">
        <v>3753</v>
      </c>
      <c r="AX549" s="522" t="s">
        <v>3116</v>
      </c>
      <c r="AY549" s="522" t="s">
        <v>909</v>
      </c>
      <c r="AZ549" s="522">
        <v>3.4</v>
      </c>
      <c r="BA549" s="522" t="s">
        <v>52</v>
      </c>
      <c r="BB549" s="522" t="s">
        <v>178</v>
      </c>
      <c r="BC549" s="522">
        <v>23</v>
      </c>
      <c r="BD549" s="523">
        <v>46199</v>
      </c>
      <c r="BE549" s="522">
        <v>13320</v>
      </c>
      <c r="BF549" s="522" t="s">
        <v>3206</v>
      </c>
      <c r="BG549" s="522" t="s">
        <v>724</v>
      </c>
      <c r="BJ549" s="522">
        <v>63</v>
      </c>
      <c r="BK549" s="508"/>
    </row>
    <row r="550" spans="1:63" s="522" customFormat="1" hidden="1" x14ac:dyDescent="0.25">
      <c r="A550" s="505"/>
      <c r="B550" s="511"/>
      <c r="C550" s="515">
        <f>Таблица3[[#This Row],[Степень зрелости вспом]]</f>
        <v>53</v>
      </c>
      <c r="D550" s="512">
        <v>713</v>
      </c>
      <c r="E550" s="513">
        <v>46200</v>
      </c>
      <c r="F550" s="511"/>
      <c r="G550" s="511">
        <v>8260</v>
      </c>
      <c r="H550" s="514"/>
      <c r="I550" s="511">
        <v>7310.1</v>
      </c>
      <c r="J550" s="505" t="s">
        <v>3375</v>
      </c>
      <c r="K550" s="505" t="s">
        <v>747</v>
      </c>
      <c r="L550" s="505" t="s">
        <v>3111</v>
      </c>
      <c r="M550" s="505" t="s">
        <v>127</v>
      </c>
      <c r="N550" s="505"/>
      <c r="O550" s="505"/>
      <c r="P550" s="505"/>
      <c r="Q550" s="505"/>
      <c r="R550" s="505" t="s">
        <v>131</v>
      </c>
      <c r="S550" s="505"/>
      <c r="T550" s="520" t="str">
        <f>VLOOKUP(Таблица3[[#This Row],[№ акта]],$AJ$1:$BJ$691,15,FALSE)</f>
        <v>А-79</v>
      </c>
      <c r="U550" s="520" t="str">
        <f>VLOOKUP(Таблица3[[#This Row],[№ акта]],$AJ$1:$BJ$691,16,FALSE)</f>
        <v>Увертюра</v>
      </c>
      <c r="V550" s="502">
        <f>VLOOKUP(Таблица3[[#This Row],[№ акта]],$AJ$1:$BJ$691,17,FALSE)</f>
        <v>4.2</v>
      </c>
      <c r="W550" s="502" t="str">
        <f>VLOOKUP(Таблица3[[#This Row],[№ акта]],$AJ$1:$BJ$691,18,FALSE)</f>
        <v>ГРК (полив)</v>
      </c>
      <c r="X550" s="516" t="str">
        <f>VLOOKUP(Таблица3[[#This Row],[№ акта]],$AJ$1:$BJ$691,19,FALSE)</f>
        <v>полив</v>
      </c>
      <c r="Y550" s="503">
        <f>VLOOKUP(Таблица3[[#This Row],[№ акта]],$AJ$1:$BJ$691,20,FALSE)</f>
        <v>27</v>
      </c>
      <c r="Z550" s="504">
        <f>VLOOKUP(Таблица3[[#This Row],[№ акта]],$AJ$1:$BJ$691,21,FALSE)</f>
        <v>46203</v>
      </c>
      <c r="AA550" s="496"/>
      <c r="AB550" s="504" t="str">
        <f>IF(VLOOKUP(Таблица3[[#This Row],[№ акта]],$AJ$1:$BJ$691,23,FALSE)&lt;&gt;0,VLOOKUP(Таблица3[[#This Row],[№ акта]],$AJ$1:$BJ$691,23,FALSE),"-")</f>
        <v>-</v>
      </c>
      <c r="AC55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50" s="506" t="s">
        <v>2940</v>
      </c>
      <c r="AE550" s="505">
        <v>563</v>
      </c>
      <c r="AF550" s="507">
        <v>46204</v>
      </c>
      <c r="AG550" s="505">
        <v>381</v>
      </c>
      <c r="AH550" s="505">
        <f>IFERROR(VLOOKUP(Таблица3[[#This Row],[№ акта]],'Степень зрелости 2026'!$H$12:$I$800,2,FALSE),)</f>
        <v>53</v>
      </c>
      <c r="AJ550" s="522">
        <v>574</v>
      </c>
      <c r="AK550" s="523"/>
      <c r="AM550" s="522">
        <v>46200</v>
      </c>
      <c r="AO550" s="522">
        <v>13560</v>
      </c>
      <c r="AP550" s="522">
        <v>11966</v>
      </c>
      <c r="AR550" s="522" t="s">
        <v>909</v>
      </c>
      <c r="AS550" s="522" t="s">
        <v>3115</v>
      </c>
      <c r="AT550" s="522" t="s">
        <v>3748</v>
      </c>
      <c r="AV550" s="522" t="s">
        <v>3754</v>
      </c>
      <c r="AX550" s="522" t="s">
        <v>3116</v>
      </c>
      <c r="AY550" s="522" t="s">
        <v>909</v>
      </c>
      <c r="AZ550" s="522">
        <v>2</v>
      </c>
      <c r="BA550" s="522" t="s">
        <v>52</v>
      </c>
      <c r="BB550" s="522" t="s">
        <v>178</v>
      </c>
      <c r="BC550" s="522">
        <v>24</v>
      </c>
      <c r="BD550" s="523">
        <v>46200</v>
      </c>
      <c r="BE550" s="522">
        <v>13560</v>
      </c>
      <c r="BF550" s="522" t="s">
        <v>3206</v>
      </c>
      <c r="BG550" s="522" t="s">
        <v>724</v>
      </c>
      <c r="BJ550" s="522">
        <v>62</v>
      </c>
      <c r="BK550" s="508"/>
    </row>
    <row r="551" spans="1:63" s="522" customFormat="1" ht="22.5" hidden="1" x14ac:dyDescent="0.25">
      <c r="A551" s="505"/>
      <c r="B551" s="511"/>
      <c r="C551" s="515">
        <f>Таблица3[[#This Row],[Степень зрелости вспом]]</f>
        <v>48</v>
      </c>
      <c r="D551" s="512">
        <v>714</v>
      </c>
      <c r="E551" s="513">
        <v>46200</v>
      </c>
      <c r="F551" s="511"/>
      <c r="G551" s="511">
        <v>11570</v>
      </c>
      <c r="H551" s="514"/>
      <c r="I551" s="511">
        <v>9834.5</v>
      </c>
      <c r="J551" s="505" t="s">
        <v>3645</v>
      </c>
      <c r="K551" s="505" t="s">
        <v>897</v>
      </c>
      <c r="L551" s="505" t="s">
        <v>3123</v>
      </c>
      <c r="M551" s="505" t="s">
        <v>347</v>
      </c>
      <c r="N551" s="505"/>
      <c r="O551" s="505"/>
      <c r="P551" s="505"/>
      <c r="Q551" s="505"/>
      <c r="R551" s="505" t="s">
        <v>351</v>
      </c>
      <c r="S551" s="505"/>
      <c r="T551" s="520" t="s">
        <v>3123</v>
      </c>
      <c r="U551" s="520" t="str">
        <f>VLOOKUP(Таблица3[[#This Row],[№ акта]],$AJ$1:$BJ$691,16,FALSE)</f>
        <v>Фаворит</v>
      </c>
      <c r="V551" s="502">
        <f>56.1*Таблица3[[#This Row],[Регистратор.Вес нетто]]/299630</f>
        <v>2.1662617227914427</v>
      </c>
      <c r="W551" s="502" t="str">
        <f>VLOOKUP(Таблица3[[#This Row],[№ акта]],$AJ$1:$BJ$691,18,FALSE)</f>
        <v>Колос (полив)</v>
      </c>
      <c r="X551" s="516" t="str">
        <f>VLOOKUP(Таблица3[[#This Row],[№ акта]],$AJ$1:$BJ$691,19,FALSE)</f>
        <v>полив</v>
      </c>
      <c r="Y551" s="503">
        <f>VLOOKUP(Таблица3[[#This Row],[№ акта]],$AJ$1:$BJ$691,20,FALSE)</f>
        <v>27</v>
      </c>
      <c r="Z551" s="504">
        <f>VLOOKUP(Таблица3[[#This Row],[№ акта]],$AJ$1:$BJ$691,21,FALSE)</f>
        <v>46203</v>
      </c>
      <c r="AA551" s="496"/>
      <c r="AB551" s="504" t="str">
        <f>IF(VLOOKUP(Таблица3[[#This Row],[№ акта]],$AJ$1:$BJ$691,23,FALSE)&lt;&gt;0,VLOOKUP(Таблица3[[#This Row],[№ акта]],$AJ$1:$BJ$691,23,FALSE),"-")</f>
        <v>-</v>
      </c>
      <c r="AC55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51" s="506" t="s">
        <v>2940</v>
      </c>
      <c r="AE551" s="505">
        <v>564</v>
      </c>
      <c r="AF551" s="507">
        <v>46204</v>
      </c>
      <c r="AG551" s="505">
        <v>68</v>
      </c>
      <c r="AH551" s="505">
        <f>IFERROR(VLOOKUP(Таблица3[[#This Row],[№ акта]],'Степень зрелости 2026'!$H$12:$I$800,2,FALSE),)</f>
        <v>48</v>
      </c>
      <c r="AJ551" s="522">
        <v>573</v>
      </c>
      <c r="AK551" s="523"/>
      <c r="AM551" s="522">
        <v>46200</v>
      </c>
      <c r="AO551" s="522">
        <v>13300</v>
      </c>
      <c r="AP551" s="522">
        <v>12355</v>
      </c>
      <c r="AR551" s="522" t="s">
        <v>909</v>
      </c>
      <c r="AS551" s="522" t="s">
        <v>3115</v>
      </c>
      <c r="AT551" s="522" t="s">
        <v>3749</v>
      </c>
      <c r="AV551" s="522" t="s">
        <v>3755</v>
      </c>
      <c r="AX551" s="522" t="s">
        <v>3116</v>
      </c>
      <c r="AY551" s="522" t="s">
        <v>909</v>
      </c>
      <c r="AZ551" s="522">
        <v>2</v>
      </c>
      <c r="BA551" s="522" t="s">
        <v>52</v>
      </c>
      <c r="BB551" s="522" t="s">
        <v>178</v>
      </c>
      <c r="BC551" s="522">
        <v>24</v>
      </c>
      <c r="BD551" s="523">
        <v>46200</v>
      </c>
      <c r="BE551" s="522">
        <v>13300</v>
      </c>
      <c r="BF551" s="522" t="s">
        <v>3206</v>
      </c>
      <c r="BG551" s="522" t="s">
        <v>724</v>
      </c>
      <c r="BJ551" s="522">
        <v>63</v>
      </c>
      <c r="BK551" s="508"/>
    </row>
    <row r="552" spans="1:63" s="522" customFormat="1" hidden="1" x14ac:dyDescent="0.25">
      <c r="A552" s="505"/>
      <c r="B552" s="511"/>
      <c r="C552" s="515">
        <f>Таблица3[[#This Row],[Степень зрелости вспом]]</f>
        <v>59</v>
      </c>
      <c r="D552" s="512">
        <v>715</v>
      </c>
      <c r="E552" s="513">
        <v>46200</v>
      </c>
      <c r="F552" s="511"/>
      <c r="G552" s="511">
        <v>8360</v>
      </c>
      <c r="H552" s="514"/>
      <c r="I552" s="511">
        <v>7231.4</v>
      </c>
      <c r="J552" s="505" t="s">
        <v>3375</v>
      </c>
      <c r="K552" s="505" t="s">
        <v>747</v>
      </c>
      <c r="L552" s="505" t="s">
        <v>3111</v>
      </c>
      <c r="M552" s="505" t="s">
        <v>329</v>
      </c>
      <c r="N552" s="505"/>
      <c r="O552" s="505"/>
      <c r="P552" s="505"/>
      <c r="Q552" s="505"/>
      <c r="R552" s="505" t="s">
        <v>333</v>
      </c>
      <c r="S552" s="505"/>
      <c r="T552" s="482" t="str">
        <f>VLOOKUP(Таблица3[[#This Row],[№ акта]],$AJ$1:$BJ$691,15,FALSE)</f>
        <v>А-79</v>
      </c>
      <c r="U552" s="520" t="str">
        <f>VLOOKUP(Таблица3[[#This Row],[№ акта]],$AJ$1:$BJ$691,16,FALSE)</f>
        <v>Увертюра</v>
      </c>
      <c r="V552" s="502">
        <f>VLOOKUP(Таблица3[[#This Row],[№ акта]],$AJ$1:$BJ$691,17,FALSE)</f>
        <v>4.3</v>
      </c>
      <c r="W552" s="502" t="str">
        <f>VLOOKUP(Таблица3[[#This Row],[№ акта]],$AJ$1:$BJ$691,18,FALSE)</f>
        <v>ГРК (полив)</v>
      </c>
      <c r="X552" s="516" t="str">
        <f>VLOOKUP(Таблица3[[#This Row],[№ акта]],$AJ$1:$BJ$691,19,FALSE)</f>
        <v>полив</v>
      </c>
      <c r="Y552" s="503">
        <f>VLOOKUP(Таблица3[[#This Row],[№ акта]],$AJ$1:$BJ$691,20,FALSE)</f>
        <v>27</v>
      </c>
      <c r="Z552" s="504">
        <f>VLOOKUP(Таблица3[[#This Row],[№ акта]],$AJ$1:$BJ$691,21,FALSE)</f>
        <v>46203</v>
      </c>
      <c r="AA552" s="496"/>
      <c r="AB552" s="504" t="str">
        <f>IF(VLOOKUP(Таблица3[[#This Row],[№ акта]],$AJ$1:$BJ$691,23,FALSE)&lt;&gt;0,VLOOKUP(Таблица3[[#This Row],[№ акта]],$AJ$1:$BJ$691,23,FALSE),"-")</f>
        <v>-</v>
      </c>
      <c r="AC55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52" s="506" t="s">
        <v>2940</v>
      </c>
      <c r="AE552" s="505">
        <v>565</v>
      </c>
      <c r="AF552" s="507">
        <v>46204</v>
      </c>
      <c r="AG552" s="505">
        <v>382</v>
      </c>
      <c r="AH552" s="505">
        <f>IFERROR(VLOOKUP(Таблица3[[#This Row],[№ акта]],'Степень зрелости 2026'!$H$12:$I$800,2,FALSE),)</f>
        <v>59</v>
      </c>
      <c r="AJ552" s="522">
        <v>572</v>
      </c>
      <c r="AK552" s="523"/>
      <c r="AM552" s="522">
        <v>46200</v>
      </c>
      <c r="AO552" s="522">
        <v>13280</v>
      </c>
      <c r="AP552" s="522">
        <v>11726</v>
      </c>
      <c r="AR552" s="522" t="s">
        <v>909</v>
      </c>
      <c r="AS552" s="522" t="s">
        <v>3115</v>
      </c>
      <c r="AT552" s="522" t="s">
        <v>3750</v>
      </c>
      <c r="AV552" s="522" t="s">
        <v>3601</v>
      </c>
      <c r="AX552" s="522" t="s">
        <v>3116</v>
      </c>
      <c r="AY552" s="522" t="s">
        <v>909</v>
      </c>
      <c r="AZ552" s="522">
        <v>2</v>
      </c>
      <c r="BA552" s="522" t="s">
        <v>52</v>
      </c>
      <c r="BB552" s="522" t="s">
        <v>178</v>
      </c>
      <c r="BC552" s="522">
        <v>24</v>
      </c>
      <c r="BD552" s="523">
        <v>46200</v>
      </c>
      <c r="BE552" s="522">
        <v>13280</v>
      </c>
      <c r="BF552" s="522" t="s">
        <v>3206</v>
      </c>
      <c r="BG552" s="522" t="s">
        <v>3559</v>
      </c>
      <c r="BJ552" s="522">
        <v>65</v>
      </c>
      <c r="BK552" s="508"/>
    </row>
    <row r="553" spans="1:63" s="524" customFormat="1" hidden="1" x14ac:dyDescent="0.25">
      <c r="A553" s="505"/>
      <c r="B553" s="511"/>
      <c r="C553" s="515">
        <f>Таблица3[[#This Row],[Степень зрелости вспом]]</f>
        <v>50</v>
      </c>
      <c r="D553" s="512">
        <v>716</v>
      </c>
      <c r="E553" s="513">
        <v>46200</v>
      </c>
      <c r="F553" s="511"/>
      <c r="G553" s="511">
        <v>4170</v>
      </c>
      <c r="H553" s="514"/>
      <c r="I553" s="511">
        <v>3607.1</v>
      </c>
      <c r="J553" s="505" t="s">
        <v>3375</v>
      </c>
      <c r="K553" s="505" t="s">
        <v>747</v>
      </c>
      <c r="L553" s="505" t="s">
        <v>3111</v>
      </c>
      <c r="M553" s="505" t="s">
        <v>762</v>
      </c>
      <c r="N553" s="505"/>
      <c r="O553" s="505"/>
      <c r="P553" s="505"/>
      <c r="Q553" s="505"/>
      <c r="R553" s="505" t="s">
        <v>763</v>
      </c>
      <c r="S553" s="505"/>
      <c r="T553" s="482" t="str">
        <f>VLOOKUP(Таблица3[[#This Row],[№ акта]],$AJ$1:$BJ$691,15,FALSE)</f>
        <v>А-79</v>
      </c>
      <c r="U553" s="520" t="str">
        <f>VLOOKUP(Таблица3[[#This Row],[№ акта]],$AJ$1:$BJ$691,16,FALSE)</f>
        <v>Увертюра</v>
      </c>
      <c r="V553" s="502">
        <f>VLOOKUP(Таблица3[[#This Row],[№ акта]],$AJ$1:$BJ$691,17,FALSE)</f>
        <v>2.1</v>
      </c>
      <c r="W553" s="502" t="str">
        <f>VLOOKUP(Таблица3[[#This Row],[№ акта]],$AJ$1:$BJ$691,18,FALSE)</f>
        <v>ГРК (полив)</v>
      </c>
      <c r="X553" s="516" t="str">
        <f>VLOOKUP(Таблица3[[#This Row],[№ акта]],$AJ$1:$BJ$691,19,FALSE)</f>
        <v>полив</v>
      </c>
      <c r="Y553" s="503">
        <f>VLOOKUP(Таблица3[[#This Row],[№ акта]],$AJ$1:$BJ$691,20,FALSE)</f>
        <v>27</v>
      </c>
      <c r="Z553" s="504">
        <f>VLOOKUP(Таблица3[[#This Row],[№ акта]],$AJ$1:$BJ$691,21,FALSE)</f>
        <v>46203</v>
      </c>
      <c r="AA553" s="496"/>
      <c r="AB553" s="504" t="str">
        <f>IF(VLOOKUP(Таблица3[[#This Row],[№ акта]],$AJ$1:$BJ$691,23,FALSE)&lt;&gt;0,VLOOKUP(Таблица3[[#This Row],[№ акта]],$AJ$1:$BJ$691,23,FALSE),"-")</f>
        <v>-</v>
      </c>
      <c r="AC55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53" s="506" t="s">
        <v>2940</v>
      </c>
      <c r="AE553" s="505">
        <v>566</v>
      </c>
      <c r="AF553" s="507">
        <v>46204</v>
      </c>
      <c r="AG553" s="505">
        <v>383</v>
      </c>
      <c r="AH553" s="505">
        <f>IFERROR(VLOOKUP(Таблица3[[#This Row],[№ акта]],'Степень зрелости 2026'!$H$12:$I$800,2,FALSE),)</f>
        <v>50</v>
      </c>
      <c r="AJ553" s="524">
        <v>571</v>
      </c>
      <c r="AK553" s="525"/>
      <c r="AM553" s="524">
        <v>46200</v>
      </c>
      <c r="AO553" s="524">
        <v>12900</v>
      </c>
      <c r="AP553" s="524">
        <v>11791</v>
      </c>
      <c r="AR553" s="524" t="s">
        <v>909</v>
      </c>
      <c r="AS553" s="524" t="s">
        <v>3115</v>
      </c>
      <c r="AT553" s="524" t="s">
        <v>166</v>
      </c>
      <c r="AV553" s="524" t="s">
        <v>170</v>
      </c>
      <c r="AX553" s="524" t="s">
        <v>3116</v>
      </c>
      <c r="AY553" s="524" t="s">
        <v>909</v>
      </c>
      <c r="AZ553" s="524">
        <v>1.9</v>
      </c>
      <c r="BA553" s="524" t="s">
        <v>52</v>
      </c>
      <c r="BB553" s="524" t="s">
        <v>178</v>
      </c>
      <c r="BC553" s="524">
        <v>24</v>
      </c>
      <c r="BD553" s="525">
        <v>46200</v>
      </c>
      <c r="BE553" s="524">
        <v>12900</v>
      </c>
      <c r="BF553" s="524" t="s">
        <v>3206</v>
      </c>
      <c r="BG553" s="524" t="s">
        <v>724</v>
      </c>
      <c r="BJ553" s="524">
        <v>59</v>
      </c>
      <c r="BK553" s="508"/>
    </row>
    <row r="554" spans="1:63" s="522" customFormat="1" hidden="1" x14ac:dyDescent="0.25">
      <c r="A554" s="505"/>
      <c r="B554" s="511"/>
      <c r="C554" s="515">
        <f>Таблица3[[#This Row],[Степень зрелости вспом]]</f>
        <v>59</v>
      </c>
      <c r="D554" s="512">
        <v>719</v>
      </c>
      <c r="E554" s="513">
        <v>46200</v>
      </c>
      <c r="F554" s="511"/>
      <c r="G554" s="511">
        <v>7350</v>
      </c>
      <c r="H554" s="514"/>
      <c r="I554" s="511">
        <v>6431.3</v>
      </c>
      <c r="J554" s="505" t="s">
        <v>3375</v>
      </c>
      <c r="K554" s="505" t="s">
        <v>747</v>
      </c>
      <c r="L554" s="505" t="s">
        <v>3111</v>
      </c>
      <c r="M554" s="505" t="s">
        <v>195</v>
      </c>
      <c r="N554" s="505"/>
      <c r="O554" s="505"/>
      <c r="P554" s="505"/>
      <c r="Q554" s="505"/>
      <c r="R554" s="505" t="s">
        <v>199</v>
      </c>
      <c r="S554" s="505"/>
      <c r="T554" s="482" t="str">
        <f>VLOOKUP(Таблица3[[#This Row],[№ акта]],$AJ$1:$BJ$691,15,FALSE)</f>
        <v>А-79</v>
      </c>
      <c r="U554" s="520" t="str">
        <f>VLOOKUP(Таблица3[[#This Row],[№ акта]],$AJ$1:$BJ$691,16,FALSE)</f>
        <v>Увертюра</v>
      </c>
      <c r="V554" s="502">
        <f>VLOOKUP(Таблица3[[#This Row],[№ акта]],$AJ$1:$BJ$691,17,FALSE)</f>
        <v>1.7</v>
      </c>
      <c r="W554" s="502" t="str">
        <f>VLOOKUP(Таблица3[[#This Row],[№ акта]],$AJ$1:$BJ$691,18,FALSE)</f>
        <v>ГРК (полив)</v>
      </c>
      <c r="X554" s="516" t="str">
        <f>VLOOKUP(Таблица3[[#This Row],[№ акта]],$AJ$1:$BJ$691,19,FALSE)</f>
        <v>полив</v>
      </c>
      <c r="Y554" s="503">
        <f>VLOOKUP(Таблица3[[#This Row],[№ акта]],$AJ$1:$BJ$691,20,FALSE)</f>
        <v>28</v>
      </c>
      <c r="Z554" s="504">
        <f>VLOOKUP(Таблица3[[#This Row],[№ акта]],$AJ$1:$BJ$691,21,FALSE)</f>
        <v>46204</v>
      </c>
      <c r="AA554" s="496"/>
      <c r="AB554" s="504" t="str">
        <f>IF(VLOOKUP(Таблица3[[#This Row],[№ акта]],$AJ$1:$BJ$691,23,FALSE)&lt;&gt;0,VLOOKUP(Таблица3[[#This Row],[№ акта]],$AJ$1:$BJ$691,23,FALSE),"-")</f>
        <v>-</v>
      </c>
      <c r="AC55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54" s="506" t="s">
        <v>2940</v>
      </c>
      <c r="AE554" s="505">
        <v>575</v>
      </c>
      <c r="AF554" s="507">
        <v>46204</v>
      </c>
      <c r="AG554" s="505">
        <v>384</v>
      </c>
      <c r="AH554" s="505">
        <f>IFERROR(VLOOKUP(Таблица3[[#This Row],[№ акта]],'Степень зрелости 2026'!$H$12:$I$800,2,FALSE),)</f>
        <v>59</v>
      </c>
      <c r="AJ554" s="522">
        <v>570</v>
      </c>
      <c r="AK554" s="523"/>
      <c r="AM554" s="522">
        <v>46200</v>
      </c>
      <c r="AO554" s="522">
        <v>15140</v>
      </c>
      <c r="AP554" s="522">
        <v>13796</v>
      </c>
      <c r="AR554" s="522" t="s">
        <v>909</v>
      </c>
      <c r="AS554" s="522" t="s">
        <v>3115</v>
      </c>
      <c r="AT554" s="522" t="s">
        <v>3745</v>
      </c>
      <c r="AV554" s="522" t="s">
        <v>1802</v>
      </c>
      <c r="AX554" s="522" t="s">
        <v>3115</v>
      </c>
      <c r="AY554" s="522" t="s">
        <v>909</v>
      </c>
      <c r="AZ554" s="522">
        <v>4.4000000000000004</v>
      </c>
      <c r="BA554" s="522" t="s">
        <v>52</v>
      </c>
      <c r="BB554" s="522" t="s">
        <v>178</v>
      </c>
      <c r="BC554" s="522">
        <v>24</v>
      </c>
      <c r="BD554" s="523">
        <v>46200</v>
      </c>
      <c r="BE554" s="522">
        <v>15140</v>
      </c>
      <c r="BF554" s="522" t="s">
        <v>3206</v>
      </c>
      <c r="BG554" s="522" t="s">
        <v>3559</v>
      </c>
      <c r="BJ554" s="522">
        <v>65</v>
      </c>
      <c r="BK554" s="508"/>
    </row>
    <row r="555" spans="1:63" s="522" customFormat="1" hidden="1" x14ac:dyDescent="0.25">
      <c r="A555" s="505"/>
      <c r="B555" s="511"/>
      <c r="C555" s="515">
        <f>Таблица3[[#This Row],[Степень зрелости вспом]]</f>
        <v>59</v>
      </c>
      <c r="D555" s="512">
        <v>720</v>
      </c>
      <c r="E555" s="513">
        <v>46200</v>
      </c>
      <c r="F555" s="511"/>
      <c r="G555" s="511">
        <v>6900</v>
      </c>
      <c r="H555" s="514"/>
      <c r="I555" s="511">
        <v>5727</v>
      </c>
      <c r="J555" s="505" t="s">
        <v>3375</v>
      </c>
      <c r="K555" s="505" t="s">
        <v>747</v>
      </c>
      <c r="L555" s="505" t="s">
        <v>3111</v>
      </c>
      <c r="M555" s="505" t="s">
        <v>166</v>
      </c>
      <c r="N555" s="505"/>
      <c r="O555" s="505"/>
      <c r="P555" s="505"/>
      <c r="Q555" s="505"/>
      <c r="R555" s="505" t="s">
        <v>170</v>
      </c>
      <c r="S555" s="505"/>
      <c r="T555" s="482" t="str">
        <f>VLOOKUP(Таблица3[[#This Row],[№ акта]],$AJ$1:$BJ$691,15,FALSE)</f>
        <v>А-79</v>
      </c>
      <c r="U555" s="520" t="str">
        <f>VLOOKUP(Таблица3[[#This Row],[№ акта]],$AJ$1:$BJ$691,16,FALSE)</f>
        <v>Увертюра</v>
      </c>
      <c r="V555" s="502">
        <f>VLOOKUP(Таблица3[[#This Row],[№ акта]],$AJ$1:$BJ$691,17,FALSE)</f>
        <v>1.6</v>
      </c>
      <c r="W555" s="502" t="str">
        <f>VLOOKUP(Таблица3[[#This Row],[№ акта]],$AJ$1:$BJ$691,18,FALSE)</f>
        <v>ГРК (полив)</v>
      </c>
      <c r="X555" s="516" t="str">
        <f>VLOOKUP(Таблица3[[#This Row],[№ акта]],$AJ$1:$BJ$691,19,FALSE)</f>
        <v>полив</v>
      </c>
      <c r="Y555" s="503">
        <f>VLOOKUP(Таблица3[[#This Row],[№ акта]],$AJ$1:$BJ$691,20,FALSE)</f>
        <v>28</v>
      </c>
      <c r="Z555" s="504">
        <f>VLOOKUP(Таблица3[[#This Row],[№ акта]],$AJ$1:$BJ$691,21,FALSE)</f>
        <v>46204</v>
      </c>
      <c r="AA555" s="496"/>
      <c r="AB555" s="504" t="str">
        <f>IF(VLOOKUP(Таблица3[[#This Row],[№ акта]],$AJ$1:$BJ$691,23,FALSE)&lt;&gt;0,VLOOKUP(Таблица3[[#This Row],[№ акта]],$AJ$1:$BJ$691,23,FALSE),"-")</f>
        <v>-</v>
      </c>
      <c r="AC55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55" s="506" t="s">
        <v>2940</v>
      </c>
      <c r="AE555" s="505">
        <v>576</v>
      </c>
      <c r="AF555" s="507">
        <v>46204</v>
      </c>
      <c r="AG555" s="505">
        <v>385</v>
      </c>
      <c r="AH555" s="505">
        <f>IFERROR(VLOOKUP(Таблица3[[#This Row],[№ акта]],'Степень зрелости 2026'!$H$12:$I$800,2,FALSE),)</f>
        <v>59</v>
      </c>
      <c r="AJ555" s="522">
        <v>569</v>
      </c>
      <c r="AK555" s="523"/>
      <c r="AM555" s="522">
        <v>46200</v>
      </c>
      <c r="AO555" s="522">
        <v>18080</v>
      </c>
      <c r="AP555" s="522">
        <v>16029</v>
      </c>
      <c r="AR555" s="522" t="s">
        <v>909</v>
      </c>
      <c r="AS555" s="522" t="s">
        <v>3115</v>
      </c>
      <c r="AT555" s="522" t="s">
        <v>3749</v>
      </c>
      <c r="AV555" s="522" t="s">
        <v>3755</v>
      </c>
      <c r="AX555" s="522" t="s">
        <v>3115</v>
      </c>
      <c r="AY555" s="522" t="s">
        <v>909</v>
      </c>
      <c r="AZ555" s="522">
        <v>4.7</v>
      </c>
      <c r="BA555" s="522" t="s">
        <v>52</v>
      </c>
      <c r="BB555" s="522" t="s">
        <v>178</v>
      </c>
      <c r="BC555" s="522">
        <v>24</v>
      </c>
      <c r="BD555" s="523">
        <v>46200</v>
      </c>
      <c r="BE555" s="522">
        <v>18080</v>
      </c>
      <c r="BF555" s="522" t="s">
        <v>3206</v>
      </c>
      <c r="BG555" s="522" t="s">
        <v>3559</v>
      </c>
      <c r="BJ555" s="522">
        <v>66</v>
      </c>
      <c r="BK555" s="508"/>
    </row>
    <row r="556" spans="1:63" s="522" customFormat="1" hidden="1" x14ac:dyDescent="0.25">
      <c r="A556" s="505"/>
      <c r="B556" s="511"/>
      <c r="C556" s="515">
        <f>Таблица3[[#This Row],[Степень зрелости вспом]]</f>
        <v>59</v>
      </c>
      <c r="D556" s="512">
        <v>721</v>
      </c>
      <c r="E556" s="513">
        <v>46200</v>
      </c>
      <c r="F556" s="511"/>
      <c r="G556" s="511">
        <v>6900</v>
      </c>
      <c r="H556" s="514"/>
      <c r="I556" s="511">
        <v>6003</v>
      </c>
      <c r="J556" s="505" t="s">
        <v>3375</v>
      </c>
      <c r="K556" s="505" t="s">
        <v>747</v>
      </c>
      <c r="L556" s="505" t="s">
        <v>3111</v>
      </c>
      <c r="M556" s="505" t="s">
        <v>195</v>
      </c>
      <c r="N556" s="505"/>
      <c r="O556" s="505"/>
      <c r="P556" s="505"/>
      <c r="Q556" s="505"/>
      <c r="R556" s="505" t="s">
        <v>199</v>
      </c>
      <c r="S556" s="505"/>
      <c r="T556" s="482" t="str">
        <f>VLOOKUP(Таблица3[[#This Row],[№ акта]],$AJ$1:$BJ$691,15,FALSE)</f>
        <v>А-79</v>
      </c>
      <c r="U556" s="520" t="str">
        <f>VLOOKUP(Таблица3[[#This Row],[№ акта]],$AJ$1:$BJ$691,16,FALSE)</f>
        <v>Увертюра</v>
      </c>
      <c r="V556" s="502">
        <f>VLOOKUP(Таблица3[[#This Row],[№ акта]],$AJ$1:$BJ$691,17,FALSE)</f>
        <v>1.6</v>
      </c>
      <c r="W556" s="502" t="str">
        <f>VLOOKUP(Таблица3[[#This Row],[№ акта]],$AJ$1:$BJ$691,18,FALSE)</f>
        <v>ГРК (полив)</v>
      </c>
      <c r="X556" s="516" t="str">
        <f>VLOOKUP(Таблица3[[#This Row],[№ акта]],$AJ$1:$BJ$691,19,FALSE)</f>
        <v>полив</v>
      </c>
      <c r="Y556" s="503">
        <f>VLOOKUP(Таблица3[[#This Row],[№ акта]],$AJ$1:$BJ$691,20,FALSE)</f>
        <v>28</v>
      </c>
      <c r="Z556" s="504">
        <f>VLOOKUP(Таблица3[[#This Row],[№ акта]],$AJ$1:$BJ$691,21,FALSE)</f>
        <v>46204</v>
      </c>
      <c r="AA556" s="496"/>
      <c r="AB556" s="504" t="str">
        <f>IF(VLOOKUP(Таблица3[[#This Row],[№ акта]],$AJ$1:$BJ$691,23,FALSE)&lt;&gt;0,VLOOKUP(Таблица3[[#This Row],[№ акта]],$AJ$1:$BJ$691,23,FALSE),"-")</f>
        <v>-</v>
      </c>
      <c r="AC55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56" s="506" t="s">
        <v>2940</v>
      </c>
      <c r="AE556" s="505">
        <v>577</v>
      </c>
      <c r="AF556" s="507">
        <v>46204</v>
      </c>
      <c r="AG556" s="505">
        <v>386</v>
      </c>
      <c r="AH556" s="505">
        <f>IFERROR(VLOOKUP(Таблица3[[#This Row],[№ акта]],'Степень зрелости 2026'!$H$12:$I$800,2,FALSE),)</f>
        <v>59</v>
      </c>
      <c r="AJ556" s="522">
        <v>568</v>
      </c>
      <c r="AK556" s="523"/>
      <c r="AM556" s="522">
        <v>46200</v>
      </c>
      <c r="AO556" s="522">
        <v>17480</v>
      </c>
      <c r="AP556" s="522">
        <v>15818</v>
      </c>
      <c r="AR556" s="522" t="s">
        <v>909</v>
      </c>
      <c r="AS556" s="522" t="s">
        <v>3115</v>
      </c>
      <c r="AT556" s="522" t="s">
        <v>3751</v>
      </c>
      <c r="AV556" s="522" t="s">
        <v>3754</v>
      </c>
      <c r="AX556" s="522" t="s">
        <v>3115</v>
      </c>
      <c r="AY556" s="522" t="s">
        <v>909</v>
      </c>
      <c r="AZ556" s="522">
        <v>4.5</v>
      </c>
      <c r="BA556" s="522" t="s">
        <v>52</v>
      </c>
      <c r="BB556" s="522" t="s">
        <v>178</v>
      </c>
      <c r="BC556" s="522">
        <v>24</v>
      </c>
      <c r="BD556" s="523">
        <v>46200</v>
      </c>
      <c r="BE556" s="522">
        <v>17480</v>
      </c>
      <c r="BF556" s="522" t="s">
        <v>3206</v>
      </c>
      <c r="BG556" s="522" t="s">
        <v>3559</v>
      </c>
      <c r="BJ556" s="522">
        <v>65</v>
      </c>
      <c r="BK556" s="508"/>
    </row>
    <row r="557" spans="1:63" s="522" customFormat="1" ht="22.5" hidden="1" x14ac:dyDescent="0.25">
      <c r="A557" s="505"/>
      <c r="B557" s="511"/>
      <c r="C557" s="515">
        <f>Таблица3[[#This Row],[Степень зрелости вспом]]</f>
        <v>58</v>
      </c>
      <c r="D557" s="512">
        <v>723</v>
      </c>
      <c r="E557" s="513">
        <v>46200</v>
      </c>
      <c r="F557" s="511"/>
      <c r="G557" s="511">
        <v>14000</v>
      </c>
      <c r="H557" s="514"/>
      <c r="I557" s="511">
        <v>12040</v>
      </c>
      <c r="J557" s="505" t="s">
        <v>3645</v>
      </c>
      <c r="K557" s="505" t="s">
        <v>897</v>
      </c>
      <c r="L557" s="505" t="s">
        <v>3121</v>
      </c>
      <c r="M557" s="505" t="s">
        <v>3838</v>
      </c>
      <c r="N557" s="505"/>
      <c r="O557" s="505"/>
      <c r="P557" s="505"/>
      <c r="Q557" s="505"/>
      <c r="R557" s="505" t="s">
        <v>270</v>
      </c>
      <c r="S557" s="505"/>
      <c r="T557" s="482" t="str">
        <f>VLOOKUP(Таблица3[[#This Row],[№ акта]],$AJ$1:$BJ$691,15,FALSE)</f>
        <v>3.1 Колос</v>
      </c>
      <c r="U557" s="520" t="str">
        <f>VLOOKUP(Таблица3[[#This Row],[№ акта]],$AJ$1:$BJ$691,16,FALSE)</f>
        <v>Беркут</v>
      </c>
      <c r="V557" s="502">
        <f>VLOOKUP(Таблица3[[#This Row],[№ акта]],$AJ$1:$BJ$691,17,FALSE)</f>
        <v>2.8</v>
      </c>
      <c r="W557" s="502" t="str">
        <f>VLOOKUP(Таблица3[[#This Row],[№ акта]],$AJ$1:$BJ$691,18,FALSE)</f>
        <v>Колос (полив)</v>
      </c>
      <c r="X557" s="516" t="str">
        <f>VLOOKUP(Таблица3[[#This Row],[№ акта]],$AJ$1:$BJ$691,19,FALSE)</f>
        <v>полив</v>
      </c>
      <c r="Y557" s="503">
        <f>VLOOKUP(Таблица3[[#This Row],[№ акта]],$AJ$1:$BJ$691,20,FALSE)</f>
        <v>28</v>
      </c>
      <c r="Z557" s="504">
        <f>VLOOKUP(Таблица3[[#This Row],[№ акта]],$AJ$1:$BJ$691,21,FALSE)</f>
        <v>46204</v>
      </c>
      <c r="AA557" s="496"/>
      <c r="AB557" s="504" t="str">
        <f>IF(VLOOKUP(Таблица3[[#This Row],[№ акта]],$AJ$1:$BJ$691,23,FALSE)&lt;&gt;0,VLOOKUP(Таблица3[[#This Row],[№ акта]],$AJ$1:$BJ$691,23,FALSE),"-")</f>
        <v>-</v>
      </c>
      <c r="AC55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57" s="506" t="s">
        <v>2940</v>
      </c>
      <c r="AE557" s="505">
        <v>578</v>
      </c>
      <c r="AF557" s="507">
        <v>46204</v>
      </c>
      <c r="AG557" s="505">
        <v>70</v>
      </c>
      <c r="AH557" s="505">
        <f>IFERROR(VLOOKUP(Таблица3[[#This Row],[№ акта]],'Степень зрелости 2026'!$H$12:$I$800,2,FALSE),)</f>
        <v>58</v>
      </c>
      <c r="AJ557" s="522">
        <v>567</v>
      </c>
      <c r="AK557" s="523"/>
      <c r="AM557" s="522">
        <v>46200</v>
      </c>
      <c r="AO557" s="522">
        <v>17680</v>
      </c>
      <c r="AP557" s="522">
        <v>16194</v>
      </c>
      <c r="AR557" s="522" t="s">
        <v>909</v>
      </c>
      <c r="AS557" s="522" t="s">
        <v>3115</v>
      </c>
      <c r="AT557" s="522" t="s">
        <v>3746</v>
      </c>
      <c r="AV557" s="522" t="s">
        <v>333</v>
      </c>
      <c r="AX557" s="522" t="s">
        <v>3115</v>
      </c>
      <c r="AY557" s="522" t="s">
        <v>909</v>
      </c>
      <c r="AZ557" s="522">
        <v>4.5999999999999996</v>
      </c>
      <c r="BA557" s="522" t="s">
        <v>52</v>
      </c>
      <c r="BB557" s="522" t="s">
        <v>178</v>
      </c>
      <c r="BC557" s="522">
        <v>24</v>
      </c>
      <c r="BD557" s="523">
        <v>46200</v>
      </c>
      <c r="BE557" s="522">
        <v>17680</v>
      </c>
      <c r="BF557" s="522" t="s">
        <v>3206</v>
      </c>
      <c r="BG557" s="522" t="s">
        <v>3559</v>
      </c>
      <c r="BJ557" s="522">
        <v>65</v>
      </c>
      <c r="BK557" s="508"/>
    </row>
    <row r="558" spans="1:63" s="522" customFormat="1" x14ac:dyDescent="0.25">
      <c r="A558" s="505"/>
      <c r="B558" s="511"/>
      <c r="C558" s="515">
        <f>Таблица3[[#This Row],[Степень зрелости вспом]]</f>
        <v>54</v>
      </c>
      <c r="D558" s="512">
        <v>724</v>
      </c>
      <c r="E558" s="513">
        <v>46200</v>
      </c>
      <c r="F558" s="511"/>
      <c r="G558" s="511">
        <v>9080</v>
      </c>
      <c r="H558" s="514"/>
      <c r="I558" s="511">
        <v>7672.6</v>
      </c>
      <c r="J558" s="505" t="s">
        <v>3375</v>
      </c>
      <c r="K558" s="505" t="s">
        <v>901</v>
      </c>
      <c r="L558" s="505" t="s">
        <v>3092</v>
      </c>
      <c r="M558" s="505" t="s">
        <v>166</v>
      </c>
      <c r="N558" s="505"/>
      <c r="O558" s="505"/>
      <c r="P558" s="505"/>
      <c r="Q558" s="505"/>
      <c r="R558" s="505" t="s">
        <v>170</v>
      </c>
      <c r="S558" s="505"/>
      <c r="T558" s="482" t="str">
        <f>VLOOKUP(Таблица3[[#This Row],[№ акта]],$AJ$1:$BJ$691,15,FALSE)</f>
        <v>А-104/1</v>
      </c>
      <c r="U558" s="520" t="str">
        <f>VLOOKUP(Таблица3[[#This Row],[№ акта]],$AJ$1:$BJ$691,16,FALSE)</f>
        <v>Фаворит</v>
      </c>
      <c r="V558" s="502">
        <f>49*Таблица3[[#This Row],[Регистратор.Вес нетто]]/125190</f>
        <v>3.5539579838645259</v>
      </c>
      <c r="W558" s="502" t="str">
        <f>VLOOKUP(Таблица3[[#This Row],[№ акта]],$AJ$1:$BJ$691,18,FALSE)</f>
        <v>ГРК (полив)</v>
      </c>
      <c r="X558" s="516" t="str">
        <f>VLOOKUP(Таблица3[[#This Row],[№ акта]],$AJ$1:$BJ$691,19,FALSE)</f>
        <v>полив</v>
      </c>
      <c r="Y558" s="503">
        <f>VLOOKUP(Таблица3[[#This Row],[№ акта]],$AJ$1:$BJ$691,20,FALSE)</f>
        <v>28</v>
      </c>
      <c r="Z558" s="504">
        <f>VLOOKUP(Таблица3[[#This Row],[№ акта]],$AJ$1:$BJ$691,21,FALSE)</f>
        <v>46204</v>
      </c>
      <c r="AA558" s="496"/>
      <c r="AB558" s="504" t="str">
        <f>IF(VLOOKUP(Таблица3[[#This Row],[№ акта]],$AJ$1:$BJ$691,23,FALSE)&lt;&gt;0,VLOOKUP(Таблица3[[#This Row],[№ акта]],$AJ$1:$BJ$691,23,FALSE),"-")</f>
        <v>-</v>
      </c>
      <c r="AC55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58" s="506" t="s">
        <v>2940</v>
      </c>
      <c r="AE558" s="505">
        <v>580</v>
      </c>
      <c r="AF558" s="507">
        <v>46204</v>
      </c>
      <c r="AG558" s="505">
        <v>387</v>
      </c>
      <c r="AH558" s="505">
        <f>IFERROR(VLOOKUP(Таблица3[[#This Row],[№ акта]],'Степень зрелости 2026'!$H$12:$I$800,2,FALSE),)</f>
        <v>54</v>
      </c>
      <c r="AJ558" s="522">
        <v>606</v>
      </c>
      <c r="AK558" s="523"/>
      <c r="AM558" s="522">
        <v>46200</v>
      </c>
      <c r="AO558" s="522">
        <v>17420</v>
      </c>
      <c r="AP558" s="522">
        <v>15990</v>
      </c>
      <c r="AR558" s="522" t="s">
        <v>909</v>
      </c>
      <c r="AS558" s="522" t="s">
        <v>3115</v>
      </c>
      <c r="AT558" s="522" t="s">
        <v>166</v>
      </c>
      <c r="AV558" s="522" t="s">
        <v>170</v>
      </c>
      <c r="AX558" s="522" t="s">
        <v>3115</v>
      </c>
      <c r="AY558" s="522" t="s">
        <v>909</v>
      </c>
      <c r="AZ558" s="522">
        <v>4.5</v>
      </c>
      <c r="BA558" s="522" t="s">
        <v>52</v>
      </c>
      <c r="BB558" s="522" t="s">
        <v>178</v>
      </c>
      <c r="BC558" s="522">
        <v>24</v>
      </c>
      <c r="BD558" s="523">
        <v>46200</v>
      </c>
      <c r="BE558" s="522">
        <v>17420</v>
      </c>
      <c r="BF558" s="522" t="s">
        <v>3206</v>
      </c>
      <c r="BG558" s="522" t="s">
        <v>3559</v>
      </c>
      <c r="BJ558" s="522">
        <v>65</v>
      </c>
      <c r="BK558" s="508"/>
    </row>
    <row r="559" spans="1:63" s="522" customFormat="1" ht="22.5" hidden="1" x14ac:dyDescent="0.25">
      <c r="A559" s="505"/>
      <c r="B559" s="511"/>
      <c r="C559" s="515">
        <f>Таблица3[[#This Row],[Степень зрелости вспом]]</f>
        <v>51</v>
      </c>
      <c r="D559" s="512">
        <v>726</v>
      </c>
      <c r="E559" s="513">
        <v>46200</v>
      </c>
      <c r="F559" s="511"/>
      <c r="G559" s="511">
        <v>13960</v>
      </c>
      <c r="H559" s="514"/>
      <c r="I559" s="511">
        <v>11517</v>
      </c>
      <c r="J559" s="505" t="s">
        <v>3645</v>
      </c>
      <c r="K559" s="505" t="s">
        <v>901</v>
      </c>
      <c r="L559" s="505" t="s">
        <v>3121</v>
      </c>
      <c r="M559" s="505" t="s">
        <v>311</v>
      </c>
      <c r="N559" s="505"/>
      <c r="O559" s="505"/>
      <c r="P559" s="505"/>
      <c r="Q559" s="505"/>
      <c r="R559" s="505" t="s">
        <v>315</v>
      </c>
      <c r="S559" s="505"/>
      <c r="T559" s="482" t="str">
        <f>VLOOKUP(Таблица3[[#This Row],[№ акта]],$AJ$1:$BJ$691,15,FALSE)</f>
        <v>3.1 Колос</v>
      </c>
      <c r="U559" s="520" t="str">
        <f>VLOOKUP(Таблица3[[#This Row],[№ акта]],$AJ$1:$BJ$691,16,FALSE)</f>
        <v>Фаворит</v>
      </c>
      <c r="V559" s="502">
        <f>VLOOKUP(Таблица3[[#This Row],[№ акта]],$AJ$1:$BJ$691,17,FALSE)</f>
        <v>2.8</v>
      </c>
      <c r="W559" s="502" t="str">
        <f>VLOOKUP(Таблица3[[#This Row],[№ акта]],$AJ$1:$BJ$691,18,FALSE)</f>
        <v>Колос (полив)</v>
      </c>
      <c r="X559" s="516" t="str">
        <f>VLOOKUP(Таблица3[[#This Row],[№ акта]],$AJ$1:$BJ$691,19,FALSE)</f>
        <v>полив</v>
      </c>
      <c r="Y559" s="503">
        <f>VLOOKUP(Таблица3[[#This Row],[№ акта]],$AJ$1:$BJ$691,20,FALSE)</f>
        <v>28</v>
      </c>
      <c r="Z559" s="504">
        <f>VLOOKUP(Таблица3[[#This Row],[№ акта]],$AJ$1:$BJ$691,21,FALSE)</f>
        <v>46204</v>
      </c>
      <c r="AA559" s="496"/>
      <c r="AB559" s="504" t="str">
        <f>IF(VLOOKUP(Таблица3[[#This Row],[№ акта]],$AJ$1:$BJ$691,23,FALSE)&lt;&gt;0,VLOOKUP(Таблица3[[#This Row],[№ акта]],$AJ$1:$BJ$691,23,FALSE),"-")</f>
        <v>-</v>
      </c>
      <c r="AC55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59" s="506" t="s">
        <v>2940</v>
      </c>
      <c r="AE559" s="505">
        <v>582</v>
      </c>
      <c r="AF559" s="507">
        <v>46204</v>
      </c>
      <c r="AG559" s="505">
        <v>69</v>
      </c>
      <c r="AH559" s="505">
        <f>IFERROR(VLOOKUP(Таблица3[[#This Row],[№ акта]],'Степень зрелости 2026'!$H$12:$I$800,2,FALSE),)</f>
        <v>51</v>
      </c>
      <c r="AJ559" s="522">
        <v>607</v>
      </c>
      <c r="AK559" s="523"/>
      <c r="AM559" s="522">
        <v>46200</v>
      </c>
      <c r="AO559" s="522">
        <v>17200</v>
      </c>
      <c r="AP559" s="522">
        <v>14465</v>
      </c>
      <c r="AR559" s="522" t="s">
        <v>909</v>
      </c>
      <c r="AS559" s="522" t="s">
        <v>3115</v>
      </c>
      <c r="AT559" s="522" t="s">
        <v>3752</v>
      </c>
      <c r="AV559" s="522" t="s">
        <v>238</v>
      </c>
      <c r="AX559" s="522" t="s">
        <v>3115</v>
      </c>
      <c r="AY559" s="522" t="s">
        <v>909</v>
      </c>
      <c r="AZ559" s="522">
        <v>4.4000000000000004</v>
      </c>
      <c r="BA559" s="522" t="s">
        <v>52</v>
      </c>
      <c r="BB559" s="522" t="s">
        <v>178</v>
      </c>
      <c r="BC559" s="522">
        <v>24</v>
      </c>
      <c r="BD559" s="523">
        <v>46200</v>
      </c>
      <c r="BE559" s="522">
        <v>17200</v>
      </c>
      <c r="BF559" s="522" t="s">
        <v>3206</v>
      </c>
      <c r="BG559" s="522" t="s">
        <v>3559</v>
      </c>
      <c r="BJ559" s="522">
        <v>65</v>
      </c>
      <c r="BK559" s="508"/>
    </row>
    <row r="560" spans="1:63" s="522" customFormat="1" x14ac:dyDescent="0.25">
      <c r="A560" s="505"/>
      <c r="B560" s="511"/>
      <c r="C560" s="515">
        <f>Таблица3[[#This Row],[Степень зрелости вспом]]</f>
        <v>53</v>
      </c>
      <c r="D560" s="512">
        <v>727</v>
      </c>
      <c r="E560" s="513">
        <v>46201</v>
      </c>
      <c r="F560" s="511"/>
      <c r="G560" s="511">
        <v>9030</v>
      </c>
      <c r="H560" s="514"/>
      <c r="I560" s="511">
        <v>7675.5</v>
      </c>
      <c r="J560" s="505" t="s">
        <v>3375</v>
      </c>
      <c r="K560" s="505" t="s">
        <v>901</v>
      </c>
      <c r="L560" s="505" t="s">
        <v>3092</v>
      </c>
      <c r="M560" s="505" t="s">
        <v>195</v>
      </c>
      <c r="N560" s="505"/>
      <c r="O560" s="505"/>
      <c r="P560" s="505"/>
      <c r="Q560" s="505"/>
      <c r="R560" s="505" t="s">
        <v>199</v>
      </c>
      <c r="S560" s="505"/>
      <c r="T560" s="482" t="str">
        <f>VLOOKUP(Таблица3[[#This Row],[№ акта]],$AJ$1:$BJ$691,15,FALSE)</f>
        <v>А-104/1</v>
      </c>
      <c r="U560" s="520" t="str">
        <f>VLOOKUP(Таблица3[[#This Row],[№ акта]],$AJ$1:$BJ$691,16,FALSE)</f>
        <v>Фаворит</v>
      </c>
      <c r="V560" s="502">
        <f>49*Таблица3[[#This Row],[Регистратор.Вес нетто]]/125190</f>
        <v>3.5343877306494127</v>
      </c>
      <c r="W560" s="502" t="str">
        <f>VLOOKUP(Таблица3[[#This Row],[№ акта]],$AJ$1:$BJ$691,18,FALSE)</f>
        <v>ГРК (полив)</v>
      </c>
      <c r="X560" s="516" t="str">
        <f>VLOOKUP(Таблица3[[#This Row],[№ акта]],$AJ$1:$BJ$691,19,FALSE)</f>
        <v>полив</v>
      </c>
      <c r="Y560" s="503">
        <f>VLOOKUP(Таблица3[[#This Row],[№ акта]],$AJ$1:$BJ$691,20,FALSE)</f>
        <v>28</v>
      </c>
      <c r="Z560" s="504">
        <f>VLOOKUP(Таблица3[[#This Row],[№ акта]],$AJ$1:$BJ$691,21,FALSE)</f>
        <v>46204</v>
      </c>
      <c r="AA560" s="496"/>
      <c r="AB560" s="504" t="str">
        <f>IF(VLOOKUP(Таблица3[[#This Row],[№ акта]],$AJ$1:$BJ$691,23,FALSE)&lt;&gt;0,VLOOKUP(Таблица3[[#This Row],[№ акта]],$AJ$1:$BJ$691,23,FALSE),"-")</f>
        <v>-</v>
      </c>
      <c r="AC56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60" s="506" t="s">
        <v>2940</v>
      </c>
      <c r="AE560" s="505">
        <v>581</v>
      </c>
      <c r="AF560" s="507">
        <v>46204</v>
      </c>
      <c r="AG560" s="505">
        <v>388</v>
      </c>
      <c r="AH560" s="505">
        <f>IFERROR(VLOOKUP(Таблица3[[#This Row],[№ акта]],'Степень зрелости 2026'!$H$12:$I$800,2,FALSE),)</f>
        <v>53</v>
      </c>
      <c r="AJ560" s="522">
        <v>635</v>
      </c>
      <c r="AK560" s="523"/>
      <c r="AM560" s="522">
        <v>46201</v>
      </c>
      <c r="AO560" s="522">
        <v>17500</v>
      </c>
      <c r="AP560" s="522">
        <v>15931</v>
      </c>
      <c r="AR560" s="522" t="s">
        <v>909</v>
      </c>
      <c r="AS560" s="522" t="s">
        <v>3115</v>
      </c>
      <c r="AT560" s="522" t="s">
        <v>3745</v>
      </c>
      <c r="AV560" s="522" t="s">
        <v>1802</v>
      </c>
      <c r="AX560" s="522" t="s">
        <v>3115</v>
      </c>
      <c r="AY560" s="522" t="s">
        <v>909</v>
      </c>
      <c r="AZ560" s="522">
        <v>4.5</v>
      </c>
      <c r="BA560" s="522" t="s">
        <v>52</v>
      </c>
      <c r="BB560" s="522" t="s">
        <v>178</v>
      </c>
      <c r="BC560" s="522">
        <v>25</v>
      </c>
      <c r="BD560" s="523">
        <v>46201</v>
      </c>
      <c r="BE560" s="522">
        <v>17500</v>
      </c>
      <c r="BF560" s="522" t="s">
        <v>3206</v>
      </c>
      <c r="BG560" s="522" t="s">
        <v>3559</v>
      </c>
      <c r="BJ560" s="522">
        <v>66</v>
      </c>
      <c r="BK560" s="508"/>
    </row>
    <row r="561" spans="1:63" s="522" customFormat="1" ht="22.5" hidden="1" x14ac:dyDescent="0.25">
      <c r="A561" s="505"/>
      <c r="B561" s="511"/>
      <c r="C561" s="515">
        <f>Таблица3[[#This Row],[Степень зрелости вспом]]</f>
        <v>50</v>
      </c>
      <c r="D561" s="512">
        <v>728</v>
      </c>
      <c r="E561" s="513">
        <v>46201</v>
      </c>
      <c r="F561" s="511"/>
      <c r="G561" s="511">
        <v>13900</v>
      </c>
      <c r="H561" s="514"/>
      <c r="I561" s="511">
        <v>11745.5</v>
      </c>
      <c r="J561" s="505" t="s">
        <v>3645</v>
      </c>
      <c r="K561" s="505" t="s">
        <v>901</v>
      </c>
      <c r="L561" s="505" t="s">
        <v>3121</v>
      </c>
      <c r="M561" s="505" t="s">
        <v>3377</v>
      </c>
      <c r="N561" s="505"/>
      <c r="O561" s="505"/>
      <c r="P561" s="505"/>
      <c r="Q561" s="505"/>
      <c r="R561" s="505" t="s">
        <v>3196</v>
      </c>
      <c r="S561" s="505"/>
      <c r="T561" s="482" t="str">
        <f>VLOOKUP(Таблица3[[#This Row],[№ акта]],$AJ$1:$BJ$691,15,FALSE)</f>
        <v>3.1 Колос</v>
      </c>
      <c r="U561" s="520" t="str">
        <f>VLOOKUP(Таблица3[[#This Row],[№ акта]],$AJ$1:$BJ$691,16,FALSE)</f>
        <v>Фаворит</v>
      </c>
      <c r="V561" s="502">
        <f>VLOOKUP(Таблица3[[#This Row],[№ акта]],$AJ$1:$BJ$691,17,FALSE)</f>
        <v>2.8</v>
      </c>
      <c r="W561" s="502" t="str">
        <f>VLOOKUP(Таблица3[[#This Row],[№ акта]],$AJ$1:$BJ$691,18,FALSE)</f>
        <v>Колос (полив)</v>
      </c>
      <c r="X561" s="516" t="str">
        <f>VLOOKUP(Таблица3[[#This Row],[№ акта]],$AJ$1:$BJ$691,19,FALSE)</f>
        <v>полив</v>
      </c>
      <c r="Y561" s="503">
        <f>VLOOKUP(Таблица3[[#This Row],[№ акта]],$AJ$1:$BJ$691,20,FALSE)</f>
        <v>28</v>
      </c>
      <c r="Z561" s="504">
        <f>VLOOKUP(Таблица3[[#This Row],[№ акта]],$AJ$1:$BJ$691,21,FALSE)</f>
        <v>46204</v>
      </c>
      <c r="AA561" s="496"/>
      <c r="AB561" s="504" t="str">
        <f>IF(VLOOKUP(Таблица3[[#This Row],[№ акта]],$AJ$1:$BJ$691,23,FALSE)&lt;&gt;0,VLOOKUP(Таблица3[[#This Row],[№ акта]],$AJ$1:$BJ$691,23,FALSE),"-")</f>
        <v>-</v>
      </c>
      <c r="AC56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61" s="506" t="s">
        <v>2940</v>
      </c>
      <c r="AE561" s="505">
        <v>583</v>
      </c>
      <c r="AF561" s="507">
        <v>46204</v>
      </c>
      <c r="AG561" s="505">
        <v>72</v>
      </c>
      <c r="AH561" s="505">
        <f>IFERROR(VLOOKUP(Таблица3[[#This Row],[№ акта]],'Степень зрелости 2026'!$H$12:$I$800,2,FALSE),)</f>
        <v>50</v>
      </c>
      <c r="AJ561" s="522">
        <v>597</v>
      </c>
      <c r="AK561" s="523"/>
      <c r="AM561" s="522">
        <v>46201</v>
      </c>
      <c r="AO561" s="522">
        <v>15000</v>
      </c>
      <c r="AP561" s="522">
        <v>13724</v>
      </c>
      <c r="AR561" s="522" t="s">
        <v>909</v>
      </c>
      <c r="AS561" s="522" t="s">
        <v>3115</v>
      </c>
      <c r="AT561" s="522" t="s">
        <v>3749</v>
      </c>
      <c r="AV561" s="522" t="s">
        <v>3755</v>
      </c>
      <c r="AX561" s="522" t="s">
        <v>3115</v>
      </c>
      <c r="AY561" s="522" t="s">
        <v>909</v>
      </c>
      <c r="AZ561" s="522">
        <v>3.9</v>
      </c>
      <c r="BA561" s="522" t="s">
        <v>52</v>
      </c>
      <c r="BB561" s="522" t="s">
        <v>178</v>
      </c>
      <c r="BC561" s="522">
        <v>25</v>
      </c>
      <c r="BD561" s="523">
        <v>46201</v>
      </c>
      <c r="BE561" s="522">
        <v>15000</v>
      </c>
      <c r="BF561" s="522" t="s">
        <v>3206</v>
      </c>
      <c r="BG561" s="522" t="s">
        <v>3559</v>
      </c>
      <c r="BJ561" s="522">
        <v>65</v>
      </c>
      <c r="BK561" s="508"/>
    </row>
    <row r="562" spans="1:63" s="522" customFormat="1" ht="22.5" hidden="1" x14ac:dyDescent="0.25">
      <c r="A562" s="505"/>
      <c r="B562" s="511"/>
      <c r="C562" s="515">
        <f>Таблица3[[#This Row],[Степень зрелости вспом]]</f>
        <v>51</v>
      </c>
      <c r="D562" s="512">
        <v>729</v>
      </c>
      <c r="E562" s="513">
        <v>46201</v>
      </c>
      <c r="F562" s="511"/>
      <c r="G562" s="511">
        <v>13720</v>
      </c>
      <c r="H562" s="514"/>
      <c r="I562" s="511">
        <v>11456.2</v>
      </c>
      <c r="J562" s="505" t="s">
        <v>3645</v>
      </c>
      <c r="K562" s="505" t="s">
        <v>901</v>
      </c>
      <c r="L562" s="505" t="s">
        <v>3121</v>
      </c>
      <c r="M562" s="505" t="s">
        <v>1151</v>
      </c>
      <c r="N562" s="505"/>
      <c r="O562" s="505"/>
      <c r="P562" s="505"/>
      <c r="Q562" s="505"/>
      <c r="R562" s="505" t="s">
        <v>145</v>
      </c>
      <c r="S562" s="505"/>
      <c r="T562" s="482" t="str">
        <f>VLOOKUP(Таблица3[[#This Row],[№ акта]],$AJ$1:$BJ$691,15,FALSE)</f>
        <v>3.1 Колос</v>
      </c>
      <c r="U562" s="520" t="str">
        <f>VLOOKUP(Таблица3[[#This Row],[№ акта]],$AJ$1:$BJ$691,16,FALSE)</f>
        <v>Фаворит</v>
      </c>
      <c r="V562" s="502">
        <f>VLOOKUP(Таблица3[[#This Row],[№ акта]],$AJ$1:$BJ$691,17,FALSE)</f>
        <v>2.8</v>
      </c>
      <c r="W562" s="502" t="str">
        <f>VLOOKUP(Таблица3[[#This Row],[№ акта]],$AJ$1:$BJ$691,18,FALSE)</f>
        <v>Колос (полив)</v>
      </c>
      <c r="X562" s="516" t="str">
        <f>VLOOKUP(Таблица3[[#This Row],[№ акта]],$AJ$1:$BJ$691,19,FALSE)</f>
        <v>полив</v>
      </c>
      <c r="Y562" s="503">
        <f>VLOOKUP(Таблица3[[#This Row],[№ акта]],$AJ$1:$BJ$691,20,FALSE)</f>
        <v>28</v>
      </c>
      <c r="Z562" s="504">
        <f>VLOOKUP(Таблица3[[#This Row],[№ акта]],$AJ$1:$BJ$691,21,FALSE)</f>
        <v>46204</v>
      </c>
      <c r="AA562" s="496"/>
      <c r="AB562" s="504" t="str">
        <f>IF(VLOOKUP(Таблица3[[#This Row],[№ акта]],$AJ$1:$BJ$691,23,FALSE)&lt;&gt;0,VLOOKUP(Таблица3[[#This Row],[№ акта]],$AJ$1:$BJ$691,23,FALSE),"-")</f>
        <v>-</v>
      </c>
      <c r="AC56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62" s="506" t="s">
        <v>2940</v>
      </c>
      <c r="AE562" s="505">
        <v>584</v>
      </c>
      <c r="AF562" s="507">
        <v>46204</v>
      </c>
      <c r="AG562" s="505">
        <v>73</v>
      </c>
      <c r="AH562" s="505">
        <f>IFERROR(VLOOKUP(Таблица3[[#This Row],[№ акта]],'Степень зрелости 2026'!$H$12:$I$800,2,FALSE),)</f>
        <v>51</v>
      </c>
      <c r="AJ562" s="522">
        <v>595</v>
      </c>
      <c r="AK562" s="523"/>
      <c r="AM562" s="522">
        <v>46201</v>
      </c>
      <c r="AO562" s="522">
        <v>16840</v>
      </c>
      <c r="AP562" s="522">
        <v>15410</v>
      </c>
      <c r="AR562" s="522" t="s">
        <v>909</v>
      </c>
      <c r="AS562" s="522" t="s">
        <v>3115</v>
      </c>
      <c r="AT562" s="522" t="s">
        <v>3746</v>
      </c>
      <c r="AV562" s="522" t="s">
        <v>333</v>
      </c>
      <c r="AX562" s="522" t="s">
        <v>3115</v>
      </c>
      <c r="AY562" s="522" t="s">
        <v>909</v>
      </c>
      <c r="AZ562" s="522">
        <v>4.3</v>
      </c>
      <c r="BA562" s="522" t="s">
        <v>52</v>
      </c>
      <c r="BB562" s="522" t="s">
        <v>178</v>
      </c>
      <c r="BC562" s="522">
        <v>25</v>
      </c>
      <c r="BD562" s="523">
        <v>46201</v>
      </c>
      <c r="BE562" s="522">
        <v>16840</v>
      </c>
      <c r="BF562" s="522" t="s">
        <v>3206</v>
      </c>
      <c r="BG562" s="522" t="s">
        <v>420</v>
      </c>
      <c r="BJ562" s="522">
        <v>67</v>
      </c>
      <c r="BK562" s="508"/>
    </row>
    <row r="563" spans="1:63" s="522" customFormat="1" x14ac:dyDescent="0.25">
      <c r="A563" s="505"/>
      <c r="B563" s="511"/>
      <c r="C563" s="515">
        <f>Таблица3[[#This Row],[Степень зрелости вспом]]</f>
        <v>55</v>
      </c>
      <c r="D563" s="512">
        <v>730</v>
      </c>
      <c r="E563" s="513">
        <v>46201</v>
      </c>
      <c r="F563" s="511"/>
      <c r="G563" s="511">
        <v>13590</v>
      </c>
      <c r="H563" s="514"/>
      <c r="I563" s="511">
        <v>10260.5</v>
      </c>
      <c r="J563" s="505" t="s">
        <v>3375</v>
      </c>
      <c r="K563" s="505" t="s">
        <v>901</v>
      </c>
      <c r="L563" s="505" t="s">
        <v>3092</v>
      </c>
      <c r="M563" s="505" t="s">
        <v>166</v>
      </c>
      <c r="N563" s="505"/>
      <c r="O563" s="505"/>
      <c r="P563" s="505"/>
      <c r="Q563" s="505"/>
      <c r="R563" s="505" t="s">
        <v>170</v>
      </c>
      <c r="S563" s="505"/>
      <c r="T563" s="482" t="str">
        <f>VLOOKUP(Таблица3[[#This Row],[№ акта]],$AJ$1:$BJ$691,15,FALSE)</f>
        <v>А-104/1</v>
      </c>
      <c r="U563" s="520" t="str">
        <f>VLOOKUP(Таблица3[[#This Row],[№ акта]],$AJ$1:$BJ$691,16,FALSE)</f>
        <v>Фаворит</v>
      </c>
      <c r="V563" s="502">
        <f>49*Таблица3[[#This Row],[Регистратор.Вес нетто]]/125190</f>
        <v>5.3191948238677211</v>
      </c>
      <c r="W563" s="502" t="str">
        <f>VLOOKUP(Таблица3[[#This Row],[№ акта]],$AJ$1:$BJ$691,18,FALSE)</f>
        <v>ГРК (полив)</v>
      </c>
      <c r="X563" s="516" t="str">
        <f>VLOOKUP(Таблица3[[#This Row],[№ акта]],$AJ$1:$BJ$691,19,FALSE)</f>
        <v>полив</v>
      </c>
      <c r="Y563" s="503">
        <f>VLOOKUP(Таблица3[[#This Row],[№ акта]],$AJ$1:$BJ$691,20,FALSE)</f>
        <v>28</v>
      </c>
      <c r="Z563" s="504">
        <f>VLOOKUP(Таблица3[[#This Row],[№ акта]],$AJ$1:$BJ$691,21,FALSE)</f>
        <v>46204</v>
      </c>
      <c r="AA563" s="496"/>
      <c r="AB563" s="504" t="str">
        <f>IF(VLOOKUP(Таблица3[[#This Row],[№ акта]],$AJ$1:$BJ$691,23,FALSE)&lt;&gt;0,VLOOKUP(Таблица3[[#This Row],[№ акта]],$AJ$1:$BJ$691,23,FALSE),"-")</f>
        <v>-</v>
      </c>
      <c r="AC56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63" s="506" t="s">
        <v>2940</v>
      </c>
      <c r="AE563" s="505">
        <v>585</v>
      </c>
      <c r="AF563" s="507">
        <v>46204</v>
      </c>
      <c r="AG563" s="505">
        <v>389</v>
      </c>
      <c r="AH563" s="505">
        <f>IFERROR(VLOOKUP(Таблица3[[#This Row],[№ акта]],'Степень зрелости 2026'!$H$12:$I$800,2,FALSE),)</f>
        <v>55</v>
      </c>
      <c r="AJ563" s="522">
        <v>594</v>
      </c>
      <c r="AK563" s="523"/>
      <c r="AM563" s="522">
        <v>46201</v>
      </c>
      <c r="AO563" s="522">
        <v>16040</v>
      </c>
      <c r="AP563" s="522">
        <v>14620</v>
      </c>
      <c r="AR563" s="522" t="s">
        <v>909</v>
      </c>
      <c r="AS563" s="522" t="s">
        <v>3115</v>
      </c>
      <c r="AT563" s="522" t="s">
        <v>3751</v>
      </c>
      <c r="AV563" s="522" t="s">
        <v>3754</v>
      </c>
      <c r="AX563" s="522" t="s">
        <v>3115</v>
      </c>
      <c r="AY563" s="522" t="s">
        <v>909</v>
      </c>
      <c r="AZ563" s="522">
        <v>2.6</v>
      </c>
      <c r="BA563" s="522" t="s">
        <v>52</v>
      </c>
      <c r="BB563" s="522" t="s">
        <v>178</v>
      </c>
      <c r="BC563" s="522">
        <v>25</v>
      </c>
      <c r="BD563" s="523">
        <v>46201</v>
      </c>
      <c r="BE563" s="522">
        <v>16040</v>
      </c>
      <c r="BF563" s="522" t="s">
        <v>3206</v>
      </c>
      <c r="BG563" s="522" t="s">
        <v>3559</v>
      </c>
      <c r="BJ563" s="522">
        <v>66</v>
      </c>
      <c r="BK563" s="508"/>
    </row>
    <row r="564" spans="1:63" s="524" customFormat="1" ht="22.5" hidden="1" x14ac:dyDescent="0.25">
      <c r="A564" s="505"/>
      <c r="B564" s="511"/>
      <c r="C564" s="515">
        <f>Таблица3[[#This Row],[Степень зрелости вспом]]</f>
        <v>55</v>
      </c>
      <c r="D564" s="512">
        <v>731</v>
      </c>
      <c r="E564" s="513"/>
      <c r="F564" s="511"/>
      <c r="G564" s="511">
        <v>13920</v>
      </c>
      <c r="H564" s="514"/>
      <c r="I564" s="511">
        <v>11623.2</v>
      </c>
      <c r="J564" s="505" t="s">
        <v>3645</v>
      </c>
      <c r="K564" s="505" t="s">
        <v>901</v>
      </c>
      <c r="L564" s="505" t="s">
        <v>3121</v>
      </c>
      <c r="M564" s="505" t="s">
        <v>133</v>
      </c>
      <c r="N564" s="505"/>
      <c r="O564" s="505"/>
      <c r="P564" s="505"/>
      <c r="Q564" s="505"/>
      <c r="R564" s="505" t="s">
        <v>137</v>
      </c>
      <c r="S564" s="505"/>
      <c r="T564" s="482" t="str">
        <f>VLOOKUP(Таблица3[[#This Row],[№ акта]],$AJ$1:$BJ$691,15,FALSE)</f>
        <v>3.1 Колос</v>
      </c>
      <c r="U564" s="520" t="str">
        <f>VLOOKUP(Таблица3[[#This Row],[№ акта]],$AJ$1:$BJ$691,16,FALSE)</f>
        <v>Фаворит</v>
      </c>
      <c r="V564" s="502">
        <f>VLOOKUP(Таблица3[[#This Row],[№ акта]],$AJ$1:$BJ$691,17,FALSE)</f>
        <v>2.8</v>
      </c>
      <c r="W564" s="502" t="str">
        <f>VLOOKUP(Таблица3[[#This Row],[№ акта]],$AJ$1:$BJ$691,18,FALSE)</f>
        <v>Колос (полив)</v>
      </c>
      <c r="X564" s="516" t="str">
        <f>VLOOKUP(Таблица3[[#This Row],[№ акта]],$AJ$1:$BJ$691,19,FALSE)</f>
        <v>полив</v>
      </c>
      <c r="Y564" s="503">
        <f>VLOOKUP(Таблица3[[#This Row],[№ акта]],$AJ$1:$BJ$691,20,FALSE)</f>
        <v>28</v>
      </c>
      <c r="Z564" s="504">
        <f>VLOOKUP(Таблица3[[#This Row],[№ акта]],$AJ$1:$BJ$691,21,FALSE)</f>
        <v>46204</v>
      </c>
      <c r="AA564" s="496"/>
      <c r="AB564" s="504" t="str">
        <f>IF(VLOOKUP(Таблица3[[#This Row],[№ акта]],$AJ$1:$BJ$691,23,FALSE)&lt;&gt;0,VLOOKUP(Таблица3[[#This Row],[№ акта]],$AJ$1:$BJ$691,23,FALSE),"-")</f>
        <v>-</v>
      </c>
      <c r="AC56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64" s="506" t="s">
        <v>2940</v>
      </c>
      <c r="AE564" s="505">
        <v>586</v>
      </c>
      <c r="AF564" s="507">
        <v>46204</v>
      </c>
      <c r="AG564" s="505">
        <v>74</v>
      </c>
      <c r="AH564" s="505">
        <f>IFERROR(VLOOKUP(Таблица3[[#This Row],[№ акта]],'Степень зрелости 2026'!$H$12:$I$800,2,FALSE),)</f>
        <v>55</v>
      </c>
      <c r="AK564" s="525"/>
      <c r="AO564" s="524">
        <v>11700</v>
      </c>
      <c r="AP564" s="524">
        <v>9898</v>
      </c>
      <c r="AS564" s="524" t="s">
        <v>3120</v>
      </c>
      <c r="AT564" s="524" t="s">
        <v>3751</v>
      </c>
      <c r="AV564" s="524" t="s">
        <v>3756</v>
      </c>
      <c r="AX564" s="524" t="s">
        <v>3120</v>
      </c>
      <c r="AY564" s="524" t="s">
        <v>901</v>
      </c>
      <c r="AZ564" s="524">
        <v>3</v>
      </c>
      <c r="BA564" s="524" t="s">
        <v>53</v>
      </c>
      <c r="BB564" s="524" t="s">
        <v>178</v>
      </c>
      <c r="BC564" s="524">
        <v>22</v>
      </c>
      <c r="BD564" s="525">
        <v>46198</v>
      </c>
      <c r="BE564" s="524">
        <v>11700</v>
      </c>
      <c r="BF564" s="524" t="s">
        <v>3206</v>
      </c>
      <c r="BG564" s="524" t="s">
        <v>3557</v>
      </c>
      <c r="BJ564" s="524">
        <v>46</v>
      </c>
      <c r="BK564" s="508"/>
    </row>
    <row r="565" spans="1:63" s="524" customFormat="1" x14ac:dyDescent="0.25">
      <c r="A565" s="505"/>
      <c r="B565" s="511"/>
      <c r="C565" s="515">
        <f>Таблица3[[#This Row],[Степень зрелости вспом]]</f>
        <v>59</v>
      </c>
      <c r="D565" s="512">
        <v>732</v>
      </c>
      <c r="E565" s="513"/>
      <c r="F565" s="511"/>
      <c r="G565" s="511">
        <v>13170</v>
      </c>
      <c r="H565" s="514"/>
      <c r="I565" s="511">
        <v>10601.9</v>
      </c>
      <c r="J565" s="505" t="s">
        <v>3375</v>
      </c>
      <c r="K565" s="505" t="s">
        <v>901</v>
      </c>
      <c r="L565" s="505" t="s">
        <v>3092</v>
      </c>
      <c r="M565" s="505" t="s">
        <v>195</v>
      </c>
      <c r="N565" s="505"/>
      <c r="O565" s="505"/>
      <c r="P565" s="505"/>
      <c r="Q565" s="505"/>
      <c r="R565" s="505" t="s">
        <v>199</v>
      </c>
      <c r="S565" s="505"/>
      <c r="T565" s="482" t="str">
        <f>VLOOKUP(Таблица3[[#This Row],[№ акта]],$AJ$1:$BJ$691,15,FALSE)</f>
        <v>А-104/1</v>
      </c>
      <c r="U565" s="520" t="str">
        <f>VLOOKUP(Таблица3[[#This Row],[№ акта]],$AJ$1:$BJ$691,16,FALSE)</f>
        <v>Фаворит</v>
      </c>
      <c r="V565" s="502">
        <f>49*Таблица3[[#This Row],[Регистратор.Вес нетто]]/125190</f>
        <v>5.1548046968607713</v>
      </c>
      <c r="W565" s="502" t="str">
        <f>VLOOKUP(Таблица3[[#This Row],[№ акта]],$AJ$1:$BJ$691,18,FALSE)</f>
        <v>ГРК (полив)</v>
      </c>
      <c r="X565" s="516" t="str">
        <f>VLOOKUP(Таблица3[[#This Row],[№ акта]],$AJ$1:$BJ$691,19,FALSE)</f>
        <v>полив</v>
      </c>
      <c r="Y565" s="503">
        <f>VLOOKUP(Таблица3[[#This Row],[№ акта]],$AJ$1:$BJ$691,20,FALSE)</f>
        <v>28</v>
      </c>
      <c r="Z565" s="504">
        <f>VLOOKUP(Таблица3[[#This Row],[№ акта]],$AJ$1:$BJ$691,21,FALSE)</f>
        <v>46204</v>
      </c>
      <c r="AA565" s="496"/>
      <c r="AB565" s="504" t="str">
        <f>IF(VLOOKUP(Таблица3[[#This Row],[№ акта]],$AJ$1:$BJ$691,23,FALSE)&lt;&gt;0,VLOOKUP(Таблица3[[#This Row],[№ акта]],$AJ$1:$BJ$691,23,FALSE),"-")</f>
        <v>-</v>
      </c>
      <c r="AC56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65" s="506" t="s">
        <v>2940</v>
      </c>
      <c r="AE565" s="505">
        <v>587</v>
      </c>
      <c r="AF565" s="507">
        <v>46204</v>
      </c>
      <c r="AG565" s="505">
        <v>390</v>
      </c>
      <c r="AH565" s="505">
        <f>IFERROR(VLOOKUP(Таблица3[[#This Row],[№ акта]],'Степень зрелости 2026'!$H$12:$I$800,2,FALSE),)</f>
        <v>59</v>
      </c>
      <c r="AK565" s="525"/>
      <c r="AO565" s="524">
        <v>11360</v>
      </c>
      <c r="AP565" s="524">
        <v>9467</v>
      </c>
      <c r="AS565" s="524" t="s">
        <v>3120</v>
      </c>
      <c r="AT565" s="524" t="s">
        <v>3745</v>
      </c>
      <c r="AV565" s="524" t="s">
        <v>1802</v>
      </c>
      <c r="AX565" s="524" t="s">
        <v>3120</v>
      </c>
      <c r="AY565" s="524" t="s">
        <v>901</v>
      </c>
      <c r="AZ565" s="524">
        <v>2.8</v>
      </c>
      <c r="BA565" s="524" t="s">
        <v>53</v>
      </c>
      <c r="BB565" s="524" t="s">
        <v>178</v>
      </c>
      <c r="BC565" s="524">
        <v>22</v>
      </c>
      <c r="BD565" s="525">
        <v>46198</v>
      </c>
      <c r="BE565" s="524">
        <v>11360</v>
      </c>
      <c r="BF565" s="524" t="s">
        <v>3206</v>
      </c>
      <c r="BG565" s="524" t="s">
        <v>3557</v>
      </c>
      <c r="BJ565" s="524">
        <v>46</v>
      </c>
      <c r="BK565" s="508"/>
    </row>
    <row r="566" spans="1:63" s="524" customFormat="1" ht="22.5" hidden="1" x14ac:dyDescent="0.25">
      <c r="A566" s="505"/>
      <c r="B566" s="511"/>
      <c r="C566" s="515">
        <f>Таблица3[[#This Row],[Степень зрелости вспом]]</f>
        <v>53</v>
      </c>
      <c r="D566" s="512">
        <v>733</v>
      </c>
      <c r="E566" s="513"/>
      <c r="F566" s="511"/>
      <c r="G566" s="511">
        <v>13470</v>
      </c>
      <c r="H566" s="514"/>
      <c r="I566" s="511">
        <v>11651.6</v>
      </c>
      <c r="J566" s="505" t="s">
        <v>3645</v>
      </c>
      <c r="K566" s="505" t="s">
        <v>901</v>
      </c>
      <c r="L566" s="505" t="s">
        <v>3121</v>
      </c>
      <c r="M566" s="505" t="s">
        <v>239</v>
      </c>
      <c r="N566" s="505"/>
      <c r="O566" s="505"/>
      <c r="P566" s="505"/>
      <c r="Q566" s="505"/>
      <c r="R566" s="505" t="s">
        <v>243</v>
      </c>
      <c r="S566" s="505"/>
      <c r="T566" s="482" t="str">
        <f>VLOOKUP(Таблица3[[#This Row],[№ акта]],$AJ$1:$BJ$691,15,FALSE)</f>
        <v>3.1 Колос</v>
      </c>
      <c r="U566" s="520" t="str">
        <f>VLOOKUP(Таблица3[[#This Row],[№ акта]],$AJ$1:$BJ$691,16,FALSE)</f>
        <v>Фаворит</v>
      </c>
      <c r="V566" s="502">
        <f>VLOOKUP(Таблица3[[#This Row],[№ акта]],$AJ$1:$BJ$691,17,FALSE)</f>
        <v>2.7</v>
      </c>
      <c r="W566" s="502" t="str">
        <f>VLOOKUP(Таблица3[[#This Row],[№ акта]],$AJ$1:$BJ$691,18,FALSE)</f>
        <v>Колос (полив)</v>
      </c>
      <c r="X566" s="516" t="str">
        <f>VLOOKUP(Таблица3[[#This Row],[№ акта]],$AJ$1:$BJ$691,19,FALSE)</f>
        <v>полив</v>
      </c>
      <c r="Y566" s="503">
        <f>VLOOKUP(Таблица3[[#This Row],[№ акта]],$AJ$1:$BJ$691,20,FALSE)</f>
        <v>28</v>
      </c>
      <c r="Z566" s="504">
        <f>VLOOKUP(Таблица3[[#This Row],[№ акта]],$AJ$1:$BJ$691,21,FALSE)</f>
        <v>46204</v>
      </c>
      <c r="AA566" s="496"/>
      <c r="AB566" s="504" t="str">
        <f>IF(VLOOKUP(Таблица3[[#This Row],[№ акта]],$AJ$1:$BJ$691,23,FALSE)&lt;&gt;0,VLOOKUP(Таблица3[[#This Row],[№ акта]],$AJ$1:$BJ$691,23,FALSE),"-")</f>
        <v>-</v>
      </c>
      <c r="AC56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66" s="506" t="s">
        <v>2940</v>
      </c>
      <c r="AE566" s="505">
        <v>588</v>
      </c>
      <c r="AF566" s="507">
        <v>46204</v>
      </c>
      <c r="AG566" s="505">
        <v>75</v>
      </c>
      <c r="AH566" s="505">
        <f>IFERROR(VLOOKUP(Таблица3[[#This Row],[№ акта]],'Степень зрелости 2026'!$H$12:$I$800,2,FALSE),)</f>
        <v>53</v>
      </c>
      <c r="AJ566" s="524">
        <v>546</v>
      </c>
      <c r="AK566" s="525">
        <v>46203</v>
      </c>
      <c r="AL566" s="524">
        <v>695</v>
      </c>
      <c r="AO566" s="524">
        <v>4490</v>
      </c>
      <c r="AP566" s="524">
        <v>4108.3999999999996</v>
      </c>
      <c r="AQ566" s="524" t="s">
        <v>3375</v>
      </c>
      <c r="AR566" s="524" t="s">
        <v>747</v>
      </c>
      <c r="AT566" s="524" t="s">
        <v>127</v>
      </c>
      <c r="AV566" s="524" t="s">
        <v>131</v>
      </c>
      <c r="AX566" s="524" t="s">
        <v>3111</v>
      </c>
      <c r="AY566" s="524" t="s">
        <v>747</v>
      </c>
      <c r="AZ566" s="524">
        <v>2.2999999999999998</v>
      </c>
      <c r="BA566" s="524" t="s">
        <v>2932</v>
      </c>
      <c r="BB566" s="524" t="s">
        <v>178</v>
      </c>
      <c r="BC566" s="524">
        <v>27</v>
      </c>
      <c r="BD566" s="525">
        <v>46203</v>
      </c>
      <c r="BG566" s="524" t="s">
        <v>724</v>
      </c>
      <c r="BH566" s="524" t="s">
        <v>2940</v>
      </c>
      <c r="BI566" s="524">
        <v>375</v>
      </c>
      <c r="BJ566" s="524">
        <v>55</v>
      </c>
      <c r="BK566" s="508"/>
    </row>
    <row r="567" spans="1:63" s="524" customFormat="1" x14ac:dyDescent="0.25">
      <c r="A567" s="505"/>
      <c r="B567" s="511"/>
      <c r="C567" s="515">
        <f>Таблица3[[#This Row],[Степень зрелости вспом]]</f>
        <v>55</v>
      </c>
      <c r="D567" s="512">
        <v>734</v>
      </c>
      <c r="E567" s="513"/>
      <c r="F567" s="511"/>
      <c r="G567" s="511">
        <v>13100</v>
      </c>
      <c r="H567" s="514"/>
      <c r="I567" s="511">
        <v>10152.5</v>
      </c>
      <c r="J567" s="505" t="s">
        <v>3375</v>
      </c>
      <c r="K567" s="505" t="s">
        <v>901</v>
      </c>
      <c r="L567" s="505" t="s">
        <v>3092</v>
      </c>
      <c r="M567" s="505" t="s">
        <v>166</v>
      </c>
      <c r="N567" s="505"/>
      <c r="O567" s="505"/>
      <c r="P567" s="505"/>
      <c r="Q567" s="505"/>
      <c r="R567" s="505" t="s">
        <v>170</v>
      </c>
      <c r="S567" s="505"/>
      <c r="T567" s="482" t="str">
        <f>VLOOKUP(Таблица3[[#This Row],[№ акта]],$AJ$1:$BJ$691,15,FALSE)</f>
        <v>А-104/1</v>
      </c>
      <c r="U567" s="520" t="str">
        <f>VLOOKUP(Таблица3[[#This Row],[№ акта]],$AJ$1:$BJ$691,16,FALSE)</f>
        <v>Фаворит</v>
      </c>
      <c r="V567" s="502">
        <f>49*Таблица3[[#This Row],[Регистратор.Вес нетто]]/125190</f>
        <v>5.1274063423596132</v>
      </c>
      <c r="W567" s="502" t="str">
        <f>VLOOKUP(Таблица3[[#This Row],[№ акта]],$AJ$1:$BJ$691,18,FALSE)</f>
        <v>ГРК (полив)</v>
      </c>
      <c r="X567" s="516" t="str">
        <f>VLOOKUP(Таблица3[[#This Row],[№ акта]],$AJ$1:$BJ$691,19,FALSE)</f>
        <v>полив</v>
      </c>
      <c r="Y567" s="503">
        <f>VLOOKUP(Таблица3[[#This Row],[№ акта]],$AJ$1:$BJ$691,20,FALSE)</f>
        <v>28</v>
      </c>
      <c r="Z567" s="504">
        <f>VLOOKUP(Таблица3[[#This Row],[№ акта]],$AJ$1:$BJ$691,21,FALSE)</f>
        <v>46204</v>
      </c>
      <c r="AA567" s="496"/>
      <c r="AB567" s="504" t="str">
        <f>IF(VLOOKUP(Таблица3[[#This Row],[№ акта]],$AJ$1:$BJ$691,23,FALSE)&lt;&gt;0,VLOOKUP(Таблица3[[#This Row],[№ акта]],$AJ$1:$BJ$691,23,FALSE),"-")</f>
        <v>-</v>
      </c>
      <c r="AC56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67" s="506" t="s">
        <v>2940</v>
      </c>
      <c r="AE567" s="505">
        <v>589</v>
      </c>
      <c r="AF567" s="507">
        <v>46205</v>
      </c>
      <c r="AG567" s="505">
        <v>391</v>
      </c>
      <c r="AH567" s="505">
        <f>IFERROR(VLOOKUP(Таблица3[[#This Row],[№ акта]],'Степень зрелости 2026'!$H$12:$I$800,2,FALSE),)</f>
        <v>55</v>
      </c>
      <c r="AJ567" s="524">
        <v>548</v>
      </c>
      <c r="AK567" s="525">
        <v>46203</v>
      </c>
      <c r="AL567" s="524">
        <v>698</v>
      </c>
      <c r="AO567" s="524">
        <v>3910</v>
      </c>
      <c r="AP567" s="524">
        <v>3440.8</v>
      </c>
      <c r="AQ567" s="524" t="s">
        <v>3375</v>
      </c>
      <c r="AR567" s="524" t="s">
        <v>747</v>
      </c>
      <c r="AT567" s="524" t="s">
        <v>762</v>
      </c>
      <c r="AV567" s="524" t="s">
        <v>763</v>
      </c>
      <c r="AX567" s="524" t="s">
        <v>3111</v>
      </c>
      <c r="AY567" s="524" t="s">
        <v>747</v>
      </c>
      <c r="AZ567" s="524">
        <v>2</v>
      </c>
      <c r="BA567" s="524" t="s">
        <v>2932</v>
      </c>
      <c r="BB567" s="524" t="s">
        <v>178</v>
      </c>
      <c r="BC567" s="524">
        <v>27</v>
      </c>
      <c r="BD567" s="525">
        <v>46203</v>
      </c>
      <c r="BG567" s="524" t="s">
        <v>724</v>
      </c>
      <c r="BH567" s="524" t="s">
        <v>2940</v>
      </c>
      <c r="BI567" s="524">
        <v>376</v>
      </c>
      <c r="BJ567" s="524">
        <v>59</v>
      </c>
      <c r="BK567" s="508"/>
    </row>
    <row r="568" spans="1:63" s="524" customFormat="1" ht="22.5" hidden="1" x14ac:dyDescent="0.25">
      <c r="A568" s="505"/>
      <c r="B568" s="511"/>
      <c r="C568" s="515">
        <f>Таблица3[[#This Row],[Степень зрелости вспом]]</f>
        <v>53</v>
      </c>
      <c r="D568" s="512">
        <v>735</v>
      </c>
      <c r="E568" s="513"/>
      <c r="F568" s="511"/>
      <c r="G568" s="511">
        <v>13070</v>
      </c>
      <c r="H568" s="514"/>
      <c r="I568" s="511">
        <v>11632.3</v>
      </c>
      <c r="J568" s="505" t="s">
        <v>3645</v>
      </c>
      <c r="K568" s="505" t="s">
        <v>901</v>
      </c>
      <c r="L568" s="505" t="s">
        <v>3121</v>
      </c>
      <c r="M568" s="505" t="s">
        <v>3554</v>
      </c>
      <c r="N568" s="505"/>
      <c r="O568" s="505"/>
      <c r="P568" s="505"/>
      <c r="Q568" s="505"/>
      <c r="R568" s="505" t="s">
        <v>3555</v>
      </c>
      <c r="S568" s="505"/>
      <c r="T568" s="482" t="str">
        <f>VLOOKUP(Таблица3[[#This Row],[№ акта]],$AJ$1:$BJ$691,15,FALSE)</f>
        <v>3.1 Колос</v>
      </c>
      <c r="U568" s="520" t="str">
        <f>VLOOKUP(Таблица3[[#This Row],[№ акта]],$AJ$1:$BJ$691,16,FALSE)</f>
        <v>Фаворит</v>
      </c>
      <c r="V568" s="502">
        <f>VLOOKUP(Таблица3[[#This Row],[№ акта]],$AJ$1:$BJ$691,17,FALSE)</f>
        <v>2.6</v>
      </c>
      <c r="W568" s="502" t="str">
        <f>VLOOKUP(Таблица3[[#This Row],[№ акта]],$AJ$1:$BJ$691,18,FALSE)</f>
        <v>Колос (полив)</v>
      </c>
      <c r="X568" s="516" t="str">
        <f>VLOOKUP(Таблица3[[#This Row],[№ акта]],$AJ$1:$BJ$691,19,FALSE)</f>
        <v>полив</v>
      </c>
      <c r="Y568" s="503">
        <f>VLOOKUP(Таблица3[[#This Row],[№ акта]],$AJ$1:$BJ$691,20,FALSE)</f>
        <v>28</v>
      </c>
      <c r="Z568" s="504">
        <f>VLOOKUP(Таблица3[[#This Row],[№ акта]],$AJ$1:$BJ$691,21,FALSE)</f>
        <v>46204</v>
      </c>
      <c r="AA568" s="496"/>
      <c r="AB568" s="504" t="str">
        <f>IF(VLOOKUP(Таблица3[[#This Row],[№ акта]],$AJ$1:$BJ$691,23,FALSE)&lt;&gt;0,VLOOKUP(Таблица3[[#This Row],[№ акта]],$AJ$1:$BJ$691,23,FALSE),"-")</f>
        <v>-</v>
      </c>
      <c r="AC56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68" s="506" t="s">
        <v>2940</v>
      </c>
      <c r="AE568" s="505">
        <v>590</v>
      </c>
      <c r="AF568" s="507">
        <v>46205</v>
      </c>
      <c r="AG568" s="505">
        <v>76</v>
      </c>
      <c r="AH568" s="505">
        <f>IFERROR(VLOOKUP(Таблица3[[#This Row],[№ акта]],'Степень зрелости 2026'!$H$12:$I$800,2,FALSE),)</f>
        <v>53</v>
      </c>
      <c r="AJ568" s="524">
        <v>554</v>
      </c>
      <c r="AK568" s="525">
        <v>46203</v>
      </c>
      <c r="AL568" s="524">
        <v>704</v>
      </c>
      <c r="AO568" s="524">
        <v>8550</v>
      </c>
      <c r="AP568" s="524">
        <v>6882.8</v>
      </c>
      <c r="AQ568" s="524" t="s">
        <v>3375</v>
      </c>
      <c r="AR568" s="524" t="s">
        <v>747</v>
      </c>
      <c r="AT568" s="524" t="s">
        <v>127</v>
      </c>
      <c r="AV568" s="524" t="s">
        <v>131</v>
      </c>
      <c r="AX568" s="524" t="s">
        <v>3111</v>
      </c>
      <c r="AY568" s="524" t="s">
        <v>747</v>
      </c>
      <c r="AZ568" s="524">
        <v>4.4000000000000004</v>
      </c>
      <c r="BA568" s="524" t="s">
        <v>2932</v>
      </c>
      <c r="BB568" s="524" t="s">
        <v>178</v>
      </c>
      <c r="BC568" s="524">
        <v>27</v>
      </c>
      <c r="BD568" s="525">
        <v>46203</v>
      </c>
      <c r="BG568" s="524" t="s">
        <v>724</v>
      </c>
      <c r="BH568" s="524" t="s">
        <v>2940</v>
      </c>
      <c r="BI568" s="524">
        <v>377</v>
      </c>
      <c r="BJ568" s="524">
        <v>59</v>
      </c>
      <c r="BK568" s="508"/>
    </row>
    <row r="569" spans="1:63" s="524" customFormat="1" ht="22.5" hidden="1" x14ac:dyDescent="0.25">
      <c r="A569" s="505"/>
      <c r="B569" s="511"/>
      <c r="C569" s="515">
        <f>Таблица3[[#This Row],[Степень зрелости вспом]]</f>
        <v>50</v>
      </c>
      <c r="D569" s="512">
        <v>736</v>
      </c>
      <c r="E569" s="513"/>
      <c r="F569" s="511"/>
      <c r="G569" s="511">
        <v>13210</v>
      </c>
      <c r="H569" s="514"/>
      <c r="I569" s="511">
        <v>11294.6</v>
      </c>
      <c r="J569" s="505" t="s">
        <v>3645</v>
      </c>
      <c r="K569" s="505" t="s">
        <v>901</v>
      </c>
      <c r="L569" s="505" t="s">
        <v>3121</v>
      </c>
      <c r="M569" s="505" t="s">
        <v>335</v>
      </c>
      <c r="N569" s="505"/>
      <c r="O569" s="505"/>
      <c r="P569" s="505"/>
      <c r="Q569" s="505"/>
      <c r="R569" s="505" t="s">
        <v>339</v>
      </c>
      <c r="S569" s="505"/>
      <c r="T569" s="482" t="str">
        <f>VLOOKUP(Таблица3[[#This Row],[№ акта]],$AJ$1:$BJ$691,15,FALSE)</f>
        <v>3.1 Колос</v>
      </c>
      <c r="U569" s="520" t="str">
        <f>VLOOKUP(Таблица3[[#This Row],[№ акта]],$AJ$1:$BJ$691,16,FALSE)</f>
        <v>Фаворит</v>
      </c>
      <c r="V569" s="502">
        <f>VLOOKUP(Таблица3[[#This Row],[№ акта]],$AJ$1:$BJ$691,17,FALSE)</f>
        <v>2.7</v>
      </c>
      <c r="W569" s="502" t="str">
        <f>VLOOKUP(Таблица3[[#This Row],[№ акта]],$AJ$1:$BJ$691,18,FALSE)</f>
        <v>Колос (полив)</v>
      </c>
      <c r="X569" s="516" t="str">
        <f>VLOOKUP(Таблица3[[#This Row],[№ акта]],$AJ$1:$BJ$691,19,FALSE)</f>
        <v>полив</v>
      </c>
      <c r="Y569" s="503">
        <f>VLOOKUP(Таблица3[[#This Row],[№ акта]],$AJ$1:$BJ$691,20,FALSE)</f>
        <v>28</v>
      </c>
      <c r="Z569" s="504">
        <f>VLOOKUP(Таблица3[[#This Row],[№ акта]],$AJ$1:$BJ$691,21,FALSE)</f>
        <v>46204</v>
      </c>
      <c r="AA569" s="496"/>
      <c r="AB569" s="504" t="str">
        <f>IF(VLOOKUP(Таблица3[[#This Row],[№ акта]],$AJ$1:$BJ$691,23,FALSE)&lt;&gt;0,VLOOKUP(Таблица3[[#This Row],[№ акта]],$AJ$1:$BJ$691,23,FALSE),"-")</f>
        <v>-</v>
      </c>
      <c r="AC56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69" s="506" t="s">
        <v>2940</v>
      </c>
      <c r="AE569" s="505">
        <v>591</v>
      </c>
      <c r="AF569" s="507">
        <v>46205</v>
      </c>
      <c r="AG569" s="505">
        <v>77</v>
      </c>
      <c r="AH569" s="505">
        <f>IFERROR(VLOOKUP(Таблица3[[#This Row],[№ акта]],'Степень зрелости 2026'!$H$12:$I$800,2,FALSE),)</f>
        <v>50</v>
      </c>
      <c r="AJ569" s="524">
        <v>556</v>
      </c>
      <c r="AK569" s="525">
        <v>46203</v>
      </c>
      <c r="AL569" s="524">
        <v>706</v>
      </c>
      <c r="AO569" s="524">
        <v>4150</v>
      </c>
      <c r="AP569" s="524">
        <v>3382.3</v>
      </c>
      <c r="AQ569" s="524" t="s">
        <v>3375</v>
      </c>
      <c r="AR569" s="524" t="s">
        <v>747</v>
      </c>
      <c r="AT569" s="524" t="s">
        <v>762</v>
      </c>
      <c r="AV569" s="524" t="s">
        <v>763</v>
      </c>
      <c r="AX569" s="524" t="s">
        <v>3111</v>
      </c>
      <c r="AY569" s="524" t="s">
        <v>747</v>
      </c>
      <c r="AZ569" s="524">
        <v>2.1</v>
      </c>
      <c r="BA569" s="524" t="s">
        <v>2932</v>
      </c>
      <c r="BB569" s="524" t="s">
        <v>178</v>
      </c>
      <c r="BC569" s="524">
        <v>27</v>
      </c>
      <c r="BD569" s="525">
        <v>46203</v>
      </c>
      <c r="BG569" s="524" t="s">
        <v>724</v>
      </c>
      <c r="BH569" s="524" t="s">
        <v>2940</v>
      </c>
      <c r="BI569" s="524">
        <v>378</v>
      </c>
      <c r="BJ569" s="524">
        <v>55</v>
      </c>
      <c r="BK569" s="508"/>
    </row>
    <row r="570" spans="1:63" s="524" customFormat="1" x14ac:dyDescent="0.25">
      <c r="A570" s="505"/>
      <c r="B570" s="511"/>
      <c r="C570" s="515">
        <f>Таблица3[[#This Row],[Степень зрелости вспом]]</f>
        <v>57</v>
      </c>
      <c r="D570" s="512">
        <v>737</v>
      </c>
      <c r="E570" s="513"/>
      <c r="F570" s="511"/>
      <c r="G570" s="511">
        <v>13080</v>
      </c>
      <c r="H570" s="514"/>
      <c r="I570" s="511">
        <v>11052.6</v>
      </c>
      <c r="J570" s="505" t="s">
        <v>3375</v>
      </c>
      <c r="K570" s="505" t="s">
        <v>901</v>
      </c>
      <c r="L570" s="505" t="s">
        <v>3092</v>
      </c>
      <c r="M570" s="505" t="s">
        <v>195</v>
      </c>
      <c r="N570" s="505"/>
      <c r="O570" s="505"/>
      <c r="P570" s="505"/>
      <c r="Q570" s="505"/>
      <c r="R570" s="505" t="s">
        <v>199</v>
      </c>
      <c r="S570" s="505"/>
      <c r="T570" s="482" t="str">
        <f>VLOOKUP(Таблица3[[#This Row],[№ акта]],$AJ$1:$BJ$691,15,FALSE)</f>
        <v>А-104/1</v>
      </c>
      <c r="U570" s="520" t="str">
        <f>VLOOKUP(Таблица3[[#This Row],[№ акта]],$AJ$1:$BJ$691,16,FALSE)</f>
        <v>Фаворит</v>
      </c>
      <c r="V570" s="502">
        <f>49*Таблица3[[#This Row],[Регистратор.Вес нетто]]/125190</f>
        <v>5.119578241073568</v>
      </c>
      <c r="W570" s="502" t="str">
        <f>VLOOKUP(Таблица3[[#This Row],[№ акта]],$AJ$1:$BJ$691,18,FALSE)</f>
        <v>ГРК (полив)</v>
      </c>
      <c r="X570" s="502" t="str">
        <f>VLOOKUP(Таблица3[[#This Row],[№ акта]],$AJ$1:$BJ$691,19,FALSE)</f>
        <v>полив</v>
      </c>
      <c r="Y570" s="503">
        <f>VLOOKUP(Таблица3[[#This Row],[№ акта]],$AJ$1:$BJ$691,20,FALSE)</f>
        <v>28</v>
      </c>
      <c r="Z570" s="504">
        <f>VLOOKUP(Таблица3[[#This Row],[№ акта]],$AJ$1:$BJ$691,21,FALSE)</f>
        <v>46204</v>
      </c>
      <c r="AA570" s="496"/>
      <c r="AB570" s="504" t="str">
        <f>IF(VLOOKUP(Таблица3[[#This Row],[№ акта]],$AJ$1:$BJ$691,23,FALSE)&lt;&gt;0,VLOOKUP(Таблица3[[#This Row],[№ акта]],$AJ$1:$BJ$691,23,FALSE),"-")</f>
        <v>-</v>
      </c>
      <c r="AC57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70" s="506" t="s">
        <v>2940</v>
      </c>
      <c r="AE570" s="505">
        <v>593</v>
      </c>
      <c r="AF570" s="507">
        <v>46205</v>
      </c>
      <c r="AG570" s="505">
        <v>392</v>
      </c>
      <c r="AH570" s="505">
        <f>IFERROR(VLOOKUP(Таблица3[[#This Row],[№ акта]],'Степень зрелости 2026'!$H$12:$I$800,2,FALSE),)</f>
        <v>57</v>
      </c>
      <c r="AJ570" s="524">
        <v>543</v>
      </c>
      <c r="AK570" s="525">
        <v>46203</v>
      </c>
      <c r="AL570" s="524">
        <v>689</v>
      </c>
      <c r="AO570" s="524">
        <v>12800</v>
      </c>
      <c r="AP570" s="524">
        <v>11456</v>
      </c>
      <c r="AQ570" s="524" t="s">
        <v>3645</v>
      </c>
      <c r="AR570" s="524" t="s">
        <v>909</v>
      </c>
      <c r="AT570" s="524" t="s">
        <v>1312</v>
      </c>
      <c r="AV570" s="524" t="s">
        <v>320</v>
      </c>
      <c r="AX570" s="524" t="s">
        <v>3122</v>
      </c>
      <c r="AY570" s="524" t="s">
        <v>897</v>
      </c>
      <c r="AZ570" s="524">
        <v>2.4</v>
      </c>
      <c r="BA570" s="524" t="s">
        <v>53</v>
      </c>
      <c r="BB570" s="524" t="s">
        <v>178</v>
      </c>
      <c r="BC570" s="524">
        <v>27</v>
      </c>
      <c r="BD570" s="525">
        <v>46203</v>
      </c>
      <c r="BG570" s="524" t="s">
        <v>724</v>
      </c>
      <c r="BH570" s="524" t="s">
        <v>2940</v>
      </c>
      <c r="BI570" s="524">
        <v>55</v>
      </c>
      <c r="BJ570" s="524">
        <v>57</v>
      </c>
      <c r="BK570" s="508"/>
    </row>
    <row r="571" spans="1:63" s="524" customFormat="1" ht="22.5" hidden="1" x14ac:dyDescent="0.25">
      <c r="A571" s="505"/>
      <c r="B571" s="511"/>
      <c r="C571" s="515">
        <f>Таблица3[[#This Row],[Степень зрелости вспом]]</f>
        <v>51</v>
      </c>
      <c r="D571" s="512">
        <v>738</v>
      </c>
      <c r="E571" s="513"/>
      <c r="F571" s="511"/>
      <c r="G571" s="511">
        <v>13110</v>
      </c>
      <c r="H571" s="514"/>
      <c r="I571" s="511">
        <v>11012.4</v>
      </c>
      <c r="J571" s="505" t="s">
        <v>3645</v>
      </c>
      <c r="K571" s="505" t="s">
        <v>901</v>
      </c>
      <c r="L571" s="505" t="s">
        <v>3121</v>
      </c>
      <c r="M571" s="505" t="s">
        <v>347</v>
      </c>
      <c r="N571" s="505"/>
      <c r="O571" s="505"/>
      <c r="P571" s="505"/>
      <c r="Q571" s="505"/>
      <c r="R571" s="505" t="s">
        <v>351</v>
      </c>
      <c r="S571" s="505"/>
      <c r="T571" s="482" t="str">
        <f>VLOOKUP(Таблица3[[#This Row],[№ акта]],$AJ$1:$BJ$691,15,FALSE)</f>
        <v>3.1 Колос</v>
      </c>
      <c r="U571" s="520" t="str">
        <f>VLOOKUP(Таблица3[[#This Row],[№ акта]],$AJ$1:$BJ$691,16,FALSE)</f>
        <v>Фаворит</v>
      </c>
      <c r="V571" s="502">
        <f>VLOOKUP(Таблица3[[#This Row],[№ акта]],$AJ$1:$BJ$691,17,FALSE)</f>
        <v>2.6</v>
      </c>
      <c r="W571" s="502" t="str">
        <f>VLOOKUP(Таблица3[[#This Row],[№ акта]],$AJ$1:$BJ$691,18,FALSE)</f>
        <v>Колос (полив)</v>
      </c>
      <c r="X571" s="502" t="str">
        <f>VLOOKUP(Таблица3[[#This Row],[№ акта]],$AJ$1:$BJ$691,19,FALSE)</f>
        <v>полив</v>
      </c>
      <c r="Y571" s="503">
        <f>VLOOKUP(Таблица3[[#This Row],[№ акта]],$AJ$1:$BJ$691,20,FALSE)</f>
        <v>28</v>
      </c>
      <c r="Z571" s="504">
        <f>VLOOKUP(Таблица3[[#This Row],[№ акта]],$AJ$1:$BJ$691,21,FALSE)</f>
        <v>46204</v>
      </c>
      <c r="AA571" s="496"/>
      <c r="AB571" s="504" t="str">
        <f>IF(VLOOKUP(Таблица3[[#This Row],[№ акта]],$AJ$1:$BJ$691,23,FALSE)&lt;&gt;0,VLOOKUP(Таблица3[[#This Row],[№ акта]],$AJ$1:$BJ$691,23,FALSE),"-")</f>
        <v>-</v>
      </c>
      <c r="AC57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71" s="506" t="s">
        <v>2940</v>
      </c>
      <c r="AE571" s="505">
        <v>596</v>
      </c>
      <c r="AF571" s="507">
        <v>46205</v>
      </c>
      <c r="AG571" s="505">
        <v>78</v>
      </c>
      <c r="AH571" s="505">
        <f>IFERROR(VLOOKUP(Таблица3[[#This Row],[№ акта]],'Степень зрелости 2026'!$H$12:$I$800,2,FALSE),)</f>
        <v>51</v>
      </c>
      <c r="AJ571" s="524">
        <v>544</v>
      </c>
      <c r="AK571" s="525">
        <v>46203</v>
      </c>
      <c r="AL571" s="524">
        <v>691</v>
      </c>
      <c r="AO571" s="524">
        <v>13140</v>
      </c>
      <c r="AP571" s="524">
        <v>12154.5</v>
      </c>
      <c r="AQ571" s="524" t="s">
        <v>3645</v>
      </c>
      <c r="AR571" s="524" t="s">
        <v>909</v>
      </c>
      <c r="AT571" s="524" t="s">
        <v>3377</v>
      </c>
      <c r="AV571" s="524" t="s">
        <v>3196</v>
      </c>
      <c r="AX571" s="524" t="s">
        <v>3122</v>
      </c>
      <c r="AY571" s="524" t="s">
        <v>897</v>
      </c>
      <c r="AZ571" s="524">
        <v>2.5</v>
      </c>
      <c r="BA571" s="524" t="s">
        <v>53</v>
      </c>
      <c r="BB571" s="524" t="s">
        <v>178</v>
      </c>
      <c r="BC571" s="524">
        <v>27</v>
      </c>
      <c r="BD571" s="525">
        <v>46203</v>
      </c>
      <c r="BG571" s="524" t="s">
        <v>724</v>
      </c>
      <c r="BH571" s="524" t="s">
        <v>2940</v>
      </c>
      <c r="BI571" s="524">
        <v>56</v>
      </c>
      <c r="BJ571" s="524">
        <v>56</v>
      </c>
      <c r="BK571" s="508"/>
    </row>
    <row r="572" spans="1:63" s="524" customFormat="1" ht="22.5" hidden="1" x14ac:dyDescent="0.25">
      <c r="A572" s="505"/>
      <c r="B572" s="511"/>
      <c r="C572" s="515">
        <f>Таблица3[[#This Row],[Степень зрелости вспом]]</f>
        <v>55</v>
      </c>
      <c r="D572" s="512">
        <v>739</v>
      </c>
      <c r="E572" s="513"/>
      <c r="F572" s="511"/>
      <c r="G572" s="511">
        <v>13130</v>
      </c>
      <c r="H572" s="514"/>
      <c r="I572" s="511">
        <v>11882.6</v>
      </c>
      <c r="J572" s="505" t="s">
        <v>3645</v>
      </c>
      <c r="K572" s="505" t="s">
        <v>901</v>
      </c>
      <c r="L572" s="505" t="s">
        <v>3121</v>
      </c>
      <c r="M572" s="505" t="s">
        <v>3838</v>
      </c>
      <c r="N572" s="505"/>
      <c r="O572" s="505"/>
      <c r="P572" s="505"/>
      <c r="Q572" s="505"/>
      <c r="R572" s="505" t="s">
        <v>270</v>
      </c>
      <c r="S572" s="505"/>
      <c r="T572" s="482" t="str">
        <f>VLOOKUP(Таблица3[[#This Row],[№ акта]],$AJ$1:$BJ$691,15,FALSE)</f>
        <v>3.1 Колос</v>
      </c>
      <c r="U572" s="520" t="str">
        <f>VLOOKUP(Таблица3[[#This Row],[№ акта]],$AJ$1:$BJ$691,16,FALSE)</f>
        <v>Фаворит</v>
      </c>
      <c r="V572" s="502">
        <f>VLOOKUP(Таблица3[[#This Row],[№ акта]],$AJ$1:$BJ$691,17,FALSE)</f>
        <v>2.6</v>
      </c>
      <c r="W572" s="502" t="str">
        <f>VLOOKUP(Таблица3[[#This Row],[№ акта]],$AJ$1:$BJ$691,18,FALSE)</f>
        <v>Колос (полив)</v>
      </c>
      <c r="X572" s="502" t="str">
        <f>VLOOKUP(Таблица3[[#This Row],[№ акта]],$AJ$1:$BJ$691,19,FALSE)</f>
        <v>полив</v>
      </c>
      <c r="Y572" s="503">
        <f>VLOOKUP(Таблица3[[#This Row],[№ акта]],$AJ$1:$BJ$691,20,FALSE)</f>
        <v>28</v>
      </c>
      <c r="Z572" s="504">
        <f>VLOOKUP(Таблица3[[#This Row],[№ акта]],$AJ$1:$BJ$691,21,FALSE)</f>
        <v>46204</v>
      </c>
      <c r="AA572" s="496"/>
      <c r="AB572" s="504" t="str">
        <f>IF(VLOOKUP(Таблица3[[#This Row],[№ акта]],$AJ$1:$BJ$691,23,FALSE)&lt;&gt;0,VLOOKUP(Таблица3[[#This Row],[№ акта]],$AJ$1:$BJ$691,23,FALSE),"-")</f>
        <v>-</v>
      </c>
      <c r="AC57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72" s="506" t="s">
        <v>2940</v>
      </c>
      <c r="AE572" s="505">
        <v>600</v>
      </c>
      <c r="AF572" s="507">
        <v>46205</v>
      </c>
      <c r="AG572" s="505">
        <v>79</v>
      </c>
      <c r="AH572" s="505">
        <f>IFERROR(VLOOKUP(Таблица3[[#This Row],[№ акта]],'Степень зрелости 2026'!$H$12:$I$800,2,FALSE),)</f>
        <v>55</v>
      </c>
      <c r="AJ572" s="524">
        <v>552</v>
      </c>
      <c r="AK572" s="525">
        <v>46203</v>
      </c>
      <c r="AL572" s="524">
        <v>702</v>
      </c>
      <c r="AO572" s="524">
        <v>12730</v>
      </c>
      <c r="AP572" s="524">
        <v>11775.3</v>
      </c>
      <c r="AQ572" s="524" t="s">
        <v>3645</v>
      </c>
      <c r="AR572" s="524" t="s">
        <v>909</v>
      </c>
      <c r="AT572" s="524" t="s">
        <v>1376</v>
      </c>
      <c r="AV572" s="524" t="s">
        <v>1377</v>
      </c>
      <c r="AX572" s="524" t="s">
        <v>3122</v>
      </c>
      <c r="AY572" s="524" t="s">
        <v>897</v>
      </c>
      <c r="AZ572" s="524">
        <v>2.4</v>
      </c>
      <c r="BA572" s="524" t="s">
        <v>53</v>
      </c>
      <c r="BB572" s="524" t="s">
        <v>178</v>
      </c>
      <c r="BC572" s="524">
        <v>27</v>
      </c>
      <c r="BD572" s="525">
        <v>46203</v>
      </c>
      <c r="BG572" s="524" t="s">
        <v>724</v>
      </c>
      <c r="BH572" s="524" t="s">
        <v>2940</v>
      </c>
      <c r="BI572" s="524">
        <v>61</v>
      </c>
      <c r="BJ572" s="524">
        <v>61</v>
      </c>
      <c r="BK572" s="508"/>
    </row>
    <row r="573" spans="1:63" s="524" customFormat="1" x14ac:dyDescent="0.25">
      <c r="A573" s="505"/>
      <c r="B573" s="511"/>
      <c r="C573" s="515">
        <f>Таблица3[[#This Row],[Степень зрелости вспом]]</f>
        <v>56</v>
      </c>
      <c r="D573" s="512">
        <v>740</v>
      </c>
      <c r="E573" s="513"/>
      <c r="F573" s="511"/>
      <c r="G573" s="511">
        <v>13360</v>
      </c>
      <c r="H573" s="514"/>
      <c r="I573" s="511">
        <v>11422.8</v>
      </c>
      <c r="J573" s="505" t="s">
        <v>3375</v>
      </c>
      <c r="K573" s="505" t="s">
        <v>901</v>
      </c>
      <c r="L573" s="505" t="s">
        <v>3092</v>
      </c>
      <c r="M573" s="505" t="s">
        <v>166</v>
      </c>
      <c r="N573" s="505"/>
      <c r="O573" s="505"/>
      <c r="P573" s="505"/>
      <c r="Q573" s="505"/>
      <c r="R573" s="505" t="s">
        <v>170</v>
      </c>
      <c r="S573" s="505"/>
      <c r="T573" s="482" t="str">
        <f>VLOOKUP(Таблица3[[#This Row],[№ акта]],$AJ$1:$BJ$691,15,FALSE)</f>
        <v>А-104/1</v>
      </c>
      <c r="U573" s="520" t="str">
        <f>VLOOKUP(Таблица3[[#This Row],[№ акта]],$AJ$1:$BJ$691,16,FALSE)</f>
        <v>Фаворит</v>
      </c>
      <c r="V573" s="502">
        <f>49*Таблица3[[#This Row],[Регистратор.Вес нетто]]/125190</f>
        <v>5.2291716590782009</v>
      </c>
      <c r="W573" s="502" t="str">
        <f>VLOOKUP(Таблица3[[#This Row],[№ акта]],$AJ$1:$BJ$691,18,FALSE)</f>
        <v>ГРК (полив)</v>
      </c>
      <c r="X573" s="502" t="str">
        <f>VLOOKUP(Таблица3[[#This Row],[№ акта]],$AJ$1:$BJ$691,19,FALSE)</f>
        <v>полив</v>
      </c>
      <c r="Y573" s="503">
        <f>VLOOKUP(Таблица3[[#This Row],[№ акта]],$AJ$1:$BJ$691,20,FALSE)</f>
        <v>28</v>
      </c>
      <c r="Z573" s="504">
        <f>VLOOKUP(Таблица3[[#This Row],[№ акта]],$AJ$1:$BJ$691,21,FALSE)</f>
        <v>46204</v>
      </c>
      <c r="AA573" s="496"/>
      <c r="AB573" s="504" t="str">
        <f>IF(VLOOKUP(Таблица3[[#This Row],[№ акта]],$AJ$1:$BJ$691,23,FALSE)&lt;&gt;0,VLOOKUP(Таблица3[[#This Row],[№ акта]],$AJ$1:$BJ$691,23,FALSE),"-")</f>
        <v>-</v>
      </c>
      <c r="AC57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73" s="506" t="s">
        <v>2940</v>
      </c>
      <c r="AE573" s="505">
        <v>601</v>
      </c>
      <c r="AF573" s="507">
        <v>46205</v>
      </c>
      <c r="AG573" s="505">
        <v>393</v>
      </c>
      <c r="AH573" s="505">
        <f>IFERROR(VLOOKUP(Таблица3[[#This Row],[№ акта]],'Степень зрелости 2026'!$H$12:$I$800,2,FALSE),)</f>
        <v>56</v>
      </c>
      <c r="AJ573" s="524">
        <v>553</v>
      </c>
      <c r="AK573" s="525">
        <v>46203</v>
      </c>
      <c r="AL573" s="524">
        <v>703</v>
      </c>
      <c r="AO573" s="524">
        <v>12740</v>
      </c>
      <c r="AP573" s="524">
        <v>11911.9</v>
      </c>
      <c r="AQ573" s="524" t="s">
        <v>3645</v>
      </c>
      <c r="AR573" s="524" t="s">
        <v>909</v>
      </c>
      <c r="AT573" s="524" t="s">
        <v>335</v>
      </c>
      <c r="AV573" s="524" t="s">
        <v>339</v>
      </c>
      <c r="AX573" s="524" t="s">
        <v>3122</v>
      </c>
      <c r="AY573" s="524" t="s">
        <v>897</v>
      </c>
      <c r="AZ573" s="524">
        <v>2.4</v>
      </c>
      <c r="BA573" s="524" t="s">
        <v>53</v>
      </c>
      <c r="BB573" s="524" t="s">
        <v>178</v>
      </c>
      <c r="BC573" s="524">
        <v>27</v>
      </c>
      <c r="BD573" s="525">
        <v>46203</v>
      </c>
      <c r="BG573" s="524" t="s">
        <v>724</v>
      </c>
      <c r="BH573" s="524" t="s">
        <v>2940</v>
      </c>
      <c r="BI573" s="524">
        <v>62</v>
      </c>
      <c r="BJ573" s="524">
        <v>61</v>
      </c>
      <c r="BK573" s="508"/>
    </row>
    <row r="574" spans="1:63" s="524" customFormat="1" ht="22.5" hidden="1" x14ac:dyDescent="0.25">
      <c r="A574" s="505"/>
      <c r="B574" s="511"/>
      <c r="C574" s="515">
        <f>Таблица3[[#This Row],[Степень зрелости вспом]]</f>
        <v>54</v>
      </c>
      <c r="D574" s="512">
        <v>741</v>
      </c>
      <c r="E574" s="513"/>
      <c r="F574" s="511"/>
      <c r="G574" s="511">
        <v>13520</v>
      </c>
      <c r="H574" s="514"/>
      <c r="I574" s="511">
        <v>11965.2</v>
      </c>
      <c r="J574" s="505" t="s">
        <v>3645</v>
      </c>
      <c r="K574" s="505" t="s">
        <v>901</v>
      </c>
      <c r="L574" s="505" t="s">
        <v>3121</v>
      </c>
      <c r="M574" s="505" t="s">
        <v>894</v>
      </c>
      <c r="N574" s="505"/>
      <c r="O574" s="505"/>
      <c r="P574" s="505"/>
      <c r="Q574" s="505"/>
      <c r="R574" s="505" t="s">
        <v>895</v>
      </c>
      <c r="S574" s="505"/>
      <c r="T574" s="482" t="str">
        <f>VLOOKUP(Таблица3[[#This Row],[№ акта]],$AJ$1:$BJ$691,15,FALSE)</f>
        <v>3.1 Колос</v>
      </c>
      <c r="U574" s="520" t="str">
        <f>VLOOKUP(Таблица3[[#This Row],[№ акта]],$AJ$1:$BJ$691,16,FALSE)</f>
        <v>Фаворит</v>
      </c>
      <c r="V574" s="502">
        <f>VLOOKUP(Таблица3[[#This Row],[№ акта]],$AJ$1:$BJ$691,17,FALSE)</f>
        <v>2.7</v>
      </c>
      <c r="W574" s="502" t="str">
        <f>VLOOKUP(Таблица3[[#This Row],[№ акта]],$AJ$1:$BJ$691,18,FALSE)</f>
        <v>Колос (полив)</v>
      </c>
      <c r="X574" s="502" t="str">
        <f>VLOOKUP(Таблица3[[#This Row],[№ акта]],$AJ$1:$BJ$691,19,FALSE)</f>
        <v>полив</v>
      </c>
      <c r="Y574" s="503">
        <f>VLOOKUP(Таблица3[[#This Row],[№ акта]],$AJ$1:$BJ$691,20,FALSE)</f>
        <v>28</v>
      </c>
      <c r="Z574" s="504">
        <f>VLOOKUP(Таблица3[[#This Row],[№ акта]],$AJ$1:$BJ$691,21,FALSE)</f>
        <v>46204</v>
      </c>
      <c r="AA574" s="496"/>
      <c r="AB574" s="504" t="str">
        <f>IF(VLOOKUP(Таблица3[[#This Row],[№ акта]],$AJ$1:$BJ$691,23,FALSE)&lt;&gt;0,VLOOKUP(Таблица3[[#This Row],[№ акта]],$AJ$1:$BJ$691,23,FALSE),"-")</f>
        <v>-</v>
      </c>
      <c r="AC57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74" s="506" t="s">
        <v>2940</v>
      </c>
      <c r="AE574" s="505">
        <v>602</v>
      </c>
      <c r="AF574" s="507">
        <v>46205</v>
      </c>
      <c r="AG574" s="505">
        <v>81</v>
      </c>
      <c r="AH574" s="505">
        <f>IFERROR(VLOOKUP(Таблица3[[#This Row],[№ акта]],'Степень зрелости 2026'!$H$12:$I$800,2,FALSE),)</f>
        <v>54</v>
      </c>
      <c r="AJ574" s="524">
        <v>555</v>
      </c>
      <c r="AK574" s="525">
        <v>46203</v>
      </c>
      <c r="AL574" s="524">
        <v>705</v>
      </c>
      <c r="AO574" s="524">
        <v>15180</v>
      </c>
      <c r="AP574" s="524">
        <v>14345.1</v>
      </c>
      <c r="AQ574" s="524" t="s">
        <v>3645</v>
      </c>
      <c r="AR574" s="524" t="s">
        <v>909</v>
      </c>
      <c r="AT574" s="524" t="s">
        <v>2967</v>
      </c>
      <c r="AV574" s="524" t="s">
        <v>1810</v>
      </c>
      <c r="AX574" s="524" t="s">
        <v>3122</v>
      </c>
      <c r="AY574" s="524" t="s">
        <v>897</v>
      </c>
      <c r="AZ574" s="524">
        <v>2.9</v>
      </c>
      <c r="BA574" s="524" t="s">
        <v>53</v>
      </c>
      <c r="BB574" s="524" t="s">
        <v>178</v>
      </c>
      <c r="BC574" s="524">
        <v>27</v>
      </c>
      <c r="BD574" s="525">
        <v>46203</v>
      </c>
      <c r="BG574" s="524" t="s">
        <v>724</v>
      </c>
      <c r="BH574" s="524" t="s">
        <v>2940</v>
      </c>
      <c r="BI574" s="524">
        <v>63</v>
      </c>
      <c r="BJ574" s="524">
        <v>61</v>
      </c>
      <c r="BK574" s="508"/>
    </row>
    <row r="575" spans="1:63" s="524" customFormat="1" hidden="1" x14ac:dyDescent="0.25">
      <c r="A575" s="505"/>
      <c r="B575" s="511"/>
      <c r="C575" s="515">
        <f>Таблица3[[#This Row],[Степень зрелости вспом]]</f>
        <v>50</v>
      </c>
      <c r="D575" s="512">
        <v>760</v>
      </c>
      <c r="E575" s="513"/>
      <c r="F575" s="511"/>
      <c r="G575" s="511">
        <v>13490</v>
      </c>
      <c r="H575" s="514"/>
      <c r="I575" s="511">
        <v>11938.7</v>
      </c>
      <c r="J575" s="505" t="s">
        <v>3375</v>
      </c>
      <c r="K575" s="505" t="s">
        <v>901</v>
      </c>
      <c r="L575" s="505" t="s">
        <v>3110</v>
      </c>
      <c r="M575" s="505" t="s">
        <v>212</v>
      </c>
      <c r="N575" s="505"/>
      <c r="O575" s="505"/>
      <c r="P575" s="505"/>
      <c r="Q575" s="505"/>
      <c r="R575" s="505" t="s">
        <v>2965</v>
      </c>
      <c r="S575" s="505"/>
      <c r="T575" s="482" t="str">
        <f>VLOOKUP(Таблица3[[#This Row],[№ акта]],$AJ$1:$BJ$691,15,FALSE)</f>
        <v>А-113/1</v>
      </c>
      <c r="U575" s="520" t="str">
        <f>VLOOKUP(Таблица3[[#This Row],[№ акта]],$AJ$1:$BJ$691,16,FALSE)</f>
        <v>Фаворит</v>
      </c>
      <c r="V575" s="502">
        <f>VLOOKUP(Таблица3[[#This Row],[№ акта]],$AJ$1:$BJ$691,17,FALSE)</f>
        <v>5.4</v>
      </c>
      <c r="W575" s="502" t="str">
        <f>VLOOKUP(Таблица3[[#This Row],[№ акта]],$AJ$1:$BJ$691,18,FALSE)</f>
        <v>ГРК (полив)</v>
      </c>
      <c r="X575" s="502" t="str">
        <f>VLOOKUP(Таблица3[[#This Row],[№ акта]],$AJ$1:$BJ$691,19,FALSE)</f>
        <v>полив</v>
      </c>
      <c r="Y575" s="503">
        <f>VLOOKUP(Таблица3[[#This Row],[№ акта]],$AJ$1:$BJ$691,20,FALSE)</f>
        <v>29</v>
      </c>
      <c r="Z575" s="504">
        <f>VLOOKUP(Таблица3[[#This Row],[№ акта]],$AJ$1:$BJ$691,21,FALSE)</f>
        <v>46205</v>
      </c>
      <c r="AA575" s="496"/>
      <c r="AB575" s="504" t="str">
        <f>IF(VLOOKUP(Таблица3[[#This Row],[№ акта]],$AJ$1:$BJ$691,23,FALSE)&lt;&gt;0,VLOOKUP(Таблица3[[#This Row],[№ акта]],$AJ$1:$BJ$691,23,FALSE),"-")</f>
        <v>-</v>
      </c>
      <c r="AC57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75" s="506" t="s">
        <v>2940</v>
      </c>
      <c r="AE575" s="505">
        <v>619</v>
      </c>
      <c r="AF575" s="507">
        <v>46205</v>
      </c>
      <c r="AG575" s="505">
        <v>400</v>
      </c>
      <c r="AH575" s="505">
        <f>IFERROR(VLOOKUP(Таблица3[[#This Row],[№ акта]],'Степень зрелости 2026'!$H$12:$I$800,2,FALSE),)</f>
        <v>50</v>
      </c>
      <c r="AJ575" s="524">
        <v>557</v>
      </c>
      <c r="AK575" s="525">
        <v>46203</v>
      </c>
      <c r="AL575" s="524">
        <v>707</v>
      </c>
      <c r="AO575" s="524">
        <v>13240</v>
      </c>
      <c r="AP575" s="524">
        <v>12313.2</v>
      </c>
      <c r="AQ575" s="524" t="s">
        <v>3645</v>
      </c>
      <c r="AR575" s="524" t="s">
        <v>897</v>
      </c>
      <c r="AT575" s="524" t="s">
        <v>305</v>
      </c>
      <c r="AV575" s="524" t="s">
        <v>309</v>
      </c>
      <c r="AX575" s="524" t="s">
        <v>3122</v>
      </c>
      <c r="AY575" s="524" t="s">
        <v>897</v>
      </c>
      <c r="AZ575" s="524">
        <v>2.5</v>
      </c>
      <c r="BA575" s="524" t="s">
        <v>53</v>
      </c>
      <c r="BB575" s="524" t="s">
        <v>178</v>
      </c>
      <c r="BC575" s="524">
        <v>27</v>
      </c>
      <c r="BD575" s="525">
        <v>46203</v>
      </c>
      <c r="BG575" s="524" t="s">
        <v>3557</v>
      </c>
      <c r="BH575" s="524" t="s">
        <v>2940</v>
      </c>
      <c r="BI575" s="524">
        <v>66</v>
      </c>
      <c r="BJ575" s="524">
        <v>48</v>
      </c>
      <c r="BK575" s="508"/>
    </row>
    <row r="576" spans="1:63" s="524" customFormat="1" ht="22.5" hidden="1" x14ac:dyDescent="0.25">
      <c r="A576" s="505"/>
      <c r="B576" s="511"/>
      <c r="C576" s="515">
        <f>Таблица3[[#This Row],[Степень зрелости вспом]]</f>
        <v>55</v>
      </c>
      <c r="D576" s="512">
        <v>761</v>
      </c>
      <c r="E576" s="513"/>
      <c r="F576" s="511"/>
      <c r="G576" s="511">
        <v>13880</v>
      </c>
      <c r="H576" s="514"/>
      <c r="I576" s="511">
        <v>11867.4</v>
      </c>
      <c r="J576" s="505" t="s">
        <v>3645</v>
      </c>
      <c r="K576" s="505" t="s">
        <v>901</v>
      </c>
      <c r="L576" s="482" t="s">
        <v>3118</v>
      </c>
      <c r="M576" s="505" t="s">
        <v>347</v>
      </c>
      <c r="N576" s="505"/>
      <c r="O576" s="505"/>
      <c r="P576" s="505"/>
      <c r="Q576" s="505"/>
      <c r="R576" s="505" t="s">
        <v>351</v>
      </c>
      <c r="S576" s="505"/>
      <c r="T576" s="482" t="str">
        <f>VLOOKUP(Таблица3[[#This Row],[№ акта]],$AJ$1:$BJ$691,15,FALSE)</f>
        <v>1.6 Колос</v>
      </c>
      <c r="U576" s="520" t="str">
        <f>VLOOKUP(Таблица3[[#This Row],[№ акта]],$AJ$1:$BJ$691,16,FALSE)</f>
        <v>Фаворит</v>
      </c>
      <c r="V576" s="502">
        <f>VLOOKUP(Таблица3[[#This Row],[№ акта]],$AJ$1:$BJ$691,17,FALSE)</f>
        <v>4.2</v>
      </c>
      <c r="W576" s="502" t="str">
        <f>VLOOKUP(Таблица3[[#This Row],[№ акта]],$AJ$1:$BJ$691,18,FALSE)</f>
        <v>Колос (полив)</v>
      </c>
      <c r="X576" s="502" t="str">
        <f>VLOOKUP(Таблица3[[#This Row],[№ акта]],$AJ$1:$BJ$691,19,FALSE)</f>
        <v>полив</v>
      </c>
      <c r="Y576" s="503">
        <f>VLOOKUP(Таблица3[[#This Row],[№ акта]],$AJ$1:$BJ$691,20,FALSE)</f>
        <v>29</v>
      </c>
      <c r="Z576" s="504">
        <f>VLOOKUP(Таблица3[[#This Row],[№ акта]],$AJ$1:$BJ$691,21,FALSE)</f>
        <v>46205</v>
      </c>
      <c r="AA576" s="496"/>
      <c r="AB576" s="504" t="str">
        <f>IF(VLOOKUP(Таблица3[[#This Row],[№ акта]],$AJ$1:$BJ$691,23,FALSE)&lt;&gt;0,VLOOKUP(Таблица3[[#This Row],[№ акта]],$AJ$1:$BJ$691,23,FALSE),"-")</f>
        <v>-</v>
      </c>
      <c r="AC57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76" s="506" t="s">
        <v>2940</v>
      </c>
      <c r="AE576" s="505">
        <v>620</v>
      </c>
      <c r="AF576" s="507">
        <v>46205</v>
      </c>
      <c r="AG576" s="505">
        <v>87</v>
      </c>
      <c r="AH576" s="505">
        <f>IFERROR(VLOOKUP(Таблица3[[#This Row],[№ акта]],'Степень зрелости 2026'!$H$12:$I$800,2,FALSE),)</f>
        <v>55</v>
      </c>
      <c r="AJ576" s="524">
        <v>558</v>
      </c>
      <c r="AK576" s="525">
        <v>46203</v>
      </c>
      <c r="AL576" s="524">
        <v>708</v>
      </c>
      <c r="AO576" s="524">
        <v>13740</v>
      </c>
      <c r="AP576" s="524">
        <v>11679</v>
      </c>
      <c r="AQ576" s="524" t="s">
        <v>3645</v>
      </c>
      <c r="AR576" s="524" t="s">
        <v>901</v>
      </c>
      <c r="AS576" s="524" t="s">
        <v>3120</v>
      </c>
      <c r="AT576" s="524" t="s">
        <v>329</v>
      </c>
      <c r="AV576" s="524" t="s">
        <v>333</v>
      </c>
      <c r="AX576" s="524" t="s">
        <v>3123</v>
      </c>
      <c r="AY576" s="524" t="s">
        <v>901</v>
      </c>
      <c r="AZ576" s="524">
        <v>4</v>
      </c>
      <c r="BA576" s="524" t="s">
        <v>53</v>
      </c>
      <c r="BB576" s="524" t="s">
        <v>178</v>
      </c>
      <c r="BC576" s="524">
        <v>27</v>
      </c>
      <c r="BD576" s="525">
        <v>46203</v>
      </c>
      <c r="BG576" s="524" t="s">
        <v>3557</v>
      </c>
      <c r="BH576" s="524" t="s">
        <v>2940</v>
      </c>
      <c r="BI576" s="524">
        <v>64</v>
      </c>
      <c r="BJ576" s="524">
        <v>46</v>
      </c>
      <c r="BK576" s="508"/>
    </row>
    <row r="577" spans="1:63" s="524" customFormat="1" hidden="1" x14ac:dyDescent="0.25">
      <c r="A577" s="505"/>
      <c r="B577" s="511"/>
      <c r="C577" s="515">
        <f>Таблица3[[#This Row],[Степень зрелости вспом]]</f>
        <v>50</v>
      </c>
      <c r="D577" s="512">
        <v>762</v>
      </c>
      <c r="E577" s="513"/>
      <c r="F577" s="511"/>
      <c r="G577" s="511">
        <v>13140</v>
      </c>
      <c r="H577" s="514"/>
      <c r="I577" s="511">
        <v>11103.3</v>
      </c>
      <c r="J577" s="505" t="s">
        <v>3375</v>
      </c>
      <c r="K577" s="505" t="s">
        <v>901</v>
      </c>
      <c r="L577" s="505" t="s">
        <v>3110</v>
      </c>
      <c r="M577" s="505" t="s">
        <v>311</v>
      </c>
      <c r="N577" s="505"/>
      <c r="O577" s="505"/>
      <c r="P577" s="505"/>
      <c r="Q577" s="505"/>
      <c r="R577" s="505" t="s">
        <v>315</v>
      </c>
      <c r="S577" s="505"/>
      <c r="T577" s="482" t="str">
        <f>VLOOKUP(Таблица3[[#This Row],[№ акта]],$AJ$1:$BJ$691,15,FALSE)</f>
        <v>А-113/1</v>
      </c>
      <c r="U577" s="520" t="str">
        <f>VLOOKUP(Таблица3[[#This Row],[№ акта]],$AJ$1:$BJ$691,16,FALSE)</f>
        <v>Фаворит</v>
      </c>
      <c r="V577" s="502">
        <f>VLOOKUP(Таблица3[[#This Row],[№ акта]],$AJ$1:$BJ$691,17,FALSE)</f>
        <v>5.3</v>
      </c>
      <c r="W577" s="502" t="str">
        <f>VLOOKUP(Таблица3[[#This Row],[№ акта]],$AJ$1:$BJ$691,18,FALSE)</f>
        <v>ГРК (полив)</v>
      </c>
      <c r="X577" s="502" t="str">
        <f>VLOOKUP(Таблица3[[#This Row],[№ акта]],$AJ$1:$BJ$691,19,FALSE)</f>
        <v>полив</v>
      </c>
      <c r="Y577" s="503">
        <f>VLOOKUP(Таблица3[[#This Row],[№ акта]],$AJ$1:$BJ$691,20,FALSE)</f>
        <v>29</v>
      </c>
      <c r="Z577" s="504">
        <f>VLOOKUP(Таблица3[[#This Row],[№ акта]],$AJ$1:$BJ$691,21,FALSE)</f>
        <v>46205</v>
      </c>
      <c r="AA577" s="496"/>
      <c r="AB577" s="504" t="str">
        <f>IF(VLOOKUP(Таблица3[[#This Row],[№ акта]],$AJ$1:$BJ$691,23,FALSE)&lt;&gt;0,VLOOKUP(Таблица3[[#This Row],[№ акта]],$AJ$1:$BJ$691,23,FALSE),"-")</f>
        <v>-</v>
      </c>
      <c r="AC57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77" s="506" t="s">
        <v>2940</v>
      </c>
      <c r="AE577" s="505">
        <v>621</v>
      </c>
      <c r="AF577" s="507">
        <v>46206</v>
      </c>
      <c r="AG577" s="505">
        <v>401</v>
      </c>
      <c r="AH577" s="505">
        <f>IFERROR(VLOOKUP(Таблица3[[#This Row],[№ акта]],'Степень зрелости 2026'!$H$12:$I$800,2,FALSE),)</f>
        <v>50</v>
      </c>
      <c r="AJ577" s="524">
        <v>559</v>
      </c>
      <c r="AK577" s="525"/>
      <c r="AL577" s="524">
        <v>709</v>
      </c>
      <c r="AO577" s="524">
        <v>8430</v>
      </c>
      <c r="AP577" s="524">
        <v>7587</v>
      </c>
      <c r="AQ577" s="524" t="s">
        <v>3375</v>
      </c>
      <c r="AR577" s="524" t="s">
        <v>747</v>
      </c>
      <c r="AS577" s="524" t="s">
        <v>3111</v>
      </c>
      <c r="AT577" s="524" t="s">
        <v>127</v>
      </c>
      <c r="AV577" s="524" t="s">
        <v>131</v>
      </c>
      <c r="AX577" s="524" t="s">
        <v>3111</v>
      </c>
      <c r="AY577" s="524" t="s">
        <v>747</v>
      </c>
      <c r="AZ577" s="524">
        <v>4.3</v>
      </c>
      <c r="BA577" s="524" t="s">
        <v>2932</v>
      </c>
      <c r="BB577" s="524" t="s">
        <v>178</v>
      </c>
      <c r="BC577" s="524">
        <v>27</v>
      </c>
      <c r="BD577" s="525">
        <v>46203</v>
      </c>
      <c r="BG577" s="524" t="s">
        <v>724</v>
      </c>
      <c r="BJ577" s="524">
        <v>57</v>
      </c>
      <c r="BK577" s="508"/>
    </row>
    <row r="578" spans="1:63" s="524" customFormat="1" ht="22.5" hidden="1" x14ac:dyDescent="0.25">
      <c r="A578" s="505"/>
      <c r="B578" s="511"/>
      <c r="C578" s="515">
        <f>Таблица3[[#This Row],[Степень зрелости вспом]]</f>
        <v>57</v>
      </c>
      <c r="D578" s="512">
        <v>763</v>
      </c>
      <c r="E578" s="513"/>
      <c r="F578" s="511"/>
      <c r="G578" s="511">
        <v>13460</v>
      </c>
      <c r="H578" s="514"/>
      <c r="I578" s="511">
        <v>12181.3</v>
      </c>
      <c r="J578" s="505" t="s">
        <v>3645</v>
      </c>
      <c r="K578" s="505" t="s">
        <v>901</v>
      </c>
      <c r="L578" s="505" t="s">
        <v>3119</v>
      </c>
      <c r="M578" s="505" t="s">
        <v>3838</v>
      </c>
      <c r="N578" s="505"/>
      <c r="O578" s="505"/>
      <c r="P578" s="505"/>
      <c r="Q578" s="505"/>
      <c r="R578" s="505" t="s">
        <v>270</v>
      </c>
      <c r="S578" s="505"/>
      <c r="T578" s="482" t="str">
        <f>VLOOKUP(Таблица3[[#This Row],[№ акта]],$AJ$1:$BJ$691,15,FALSE)</f>
        <v>1.7 Колос</v>
      </c>
      <c r="U578" s="520" t="str">
        <f>VLOOKUP(Таблица3[[#This Row],[№ акта]],$AJ$1:$BJ$691,16,FALSE)</f>
        <v>Фаворит</v>
      </c>
      <c r="V578" s="502">
        <f>55*Таблица3[[#This Row],[Регистратор.Вес нетто]]/165970</f>
        <v>4.4604446586732545</v>
      </c>
      <c r="W578" s="502" t="str">
        <f>VLOOKUP(Таблица3[[#This Row],[№ акта]],$AJ$1:$BJ$691,18,FALSE)</f>
        <v>Колос (полив)</v>
      </c>
      <c r="X578" s="502" t="str">
        <f>VLOOKUP(Таблица3[[#This Row],[№ акта]],$AJ$1:$BJ$691,19,FALSE)</f>
        <v>полив</v>
      </c>
      <c r="Y578" s="503">
        <f>VLOOKUP(Таблица3[[#This Row],[№ акта]],$AJ$1:$BJ$691,20,FALSE)</f>
        <v>29</v>
      </c>
      <c r="Z578" s="504">
        <f>VLOOKUP(Таблица3[[#This Row],[№ акта]],$AJ$1:$BJ$691,21,FALSE)</f>
        <v>46205</v>
      </c>
      <c r="AA578" s="496"/>
      <c r="AB578" s="504" t="str">
        <f>IF(VLOOKUP(Таблица3[[#This Row],[№ акта]],$AJ$1:$BJ$691,23,FALSE)&lt;&gt;0,VLOOKUP(Таблица3[[#This Row],[№ акта]],$AJ$1:$BJ$691,23,FALSE),"-")</f>
        <v>-</v>
      </c>
      <c r="AC57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78" s="506" t="s">
        <v>2940</v>
      </c>
      <c r="AE578" s="505">
        <v>622</v>
      </c>
      <c r="AF578" s="507">
        <v>46206</v>
      </c>
      <c r="AG578" s="505">
        <v>88</v>
      </c>
      <c r="AH578" s="505">
        <f>IFERROR(VLOOKUP(Таблица3[[#This Row],[№ акта]],'Степень зрелости 2026'!$H$12:$I$800,2,FALSE),)</f>
        <v>57</v>
      </c>
      <c r="AJ578" s="524">
        <v>561</v>
      </c>
      <c r="AK578" s="525">
        <v>46204</v>
      </c>
      <c r="AL578" s="524">
        <v>710</v>
      </c>
      <c r="AO578" s="524">
        <v>13540</v>
      </c>
      <c r="AP578" s="524">
        <v>12186</v>
      </c>
      <c r="AQ578" s="524" t="s">
        <v>3645</v>
      </c>
      <c r="AR578" s="524" t="s">
        <v>897</v>
      </c>
      <c r="AT578" s="524" t="s">
        <v>166</v>
      </c>
      <c r="AV578" s="524" t="s">
        <v>170</v>
      </c>
      <c r="AX578" s="524" t="s">
        <v>3123</v>
      </c>
      <c r="AY578" s="524" t="s">
        <v>901</v>
      </c>
      <c r="AZ578" s="524">
        <v>5</v>
      </c>
      <c r="BA578" s="524" t="s">
        <v>53</v>
      </c>
      <c r="BB578" s="524" t="s">
        <v>178</v>
      </c>
      <c r="BC578" s="524">
        <v>27</v>
      </c>
      <c r="BD578" s="525">
        <v>46203</v>
      </c>
      <c r="BG578" s="524" t="s">
        <v>724</v>
      </c>
      <c r="BH578" s="524" t="s">
        <v>2940</v>
      </c>
      <c r="BI578" s="524">
        <v>65</v>
      </c>
      <c r="BJ578" s="524">
        <v>54</v>
      </c>
      <c r="BK578" s="508"/>
    </row>
    <row r="579" spans="1:63" s="524" customFormat="1" hidden="1" x14ac:dyDescent="0.25">
      <c r="A579" s="505"/>
      <c r="B579" s="511"/>
      <c r="C579" s="515">
        <f>Таблица3[[#This Row],[Степень зрелости вспом]]</f>
        <v>53</v>
      </c>
      <c r="D579" s="512">
        <v>764</v>
      </c>
      <c r="E579" s="513"/>
      <c r="F579" s="511"/>
      <c r="G579" s="511">
        <v>13550</v>
      </c>
      <c r="H579" s="514"/>
      <c r="I579" s="511">
        <v>11043.3</v>
      </c>
      <c r="J579" s="505" t="s">
        <v>3375</v>
      </c>
      <c r="K579" s="505" t="s">
        <v>901</v>
      </c>
      <c r="L579" s="505" t="s">
        <v>3110</v>
      </c>
      <c r="M579" s="505" t="s">
        <v>212</v>
      </c>
      <c r="N579" s="505"/>
      <c r="O579" s="505"/>
      <c r="P579" s="505"/>
      <c r="Q579" s="505"/>
      <c r="R579" s="505" t="s">
        <v>2965</v>
      </c>
      <c r="S579" s="505"/>
      <c r="T579" s="482" t="str">
        <f>VLOOKUP(Таблица3[[#This Row],[№ акта]],$AJ$1:$BJ$691,15,FALSE)</f>
        <v>А-113/1</v>
      </c>
      <c r="U579" s="520" t="str">
        <f>VLOOKUP(Таблица3[[#This Row],[№ акта]],$AJ$1:$BJ$691,16,FALSE)</f>
        <v>Фаворит</v>
      </c>
      <c r="V579" s="502">
        <f>VLOOKUP(Таблица3[[#This Row],[№ акта]],$AJ$1:$BJ$691,17,FALSE)</f>
        <v>5.4</v>
      </c>
      <c r="W579" s="502" t="str">
        <f>VLOOKUP(Таблица3[[#This Row],[№ акта]],$AJ$1:$BJ$691,18,FALSE)</f>
        <v>ГРК (полив)</v>
      </c>
      <c r="X579" s="516" t="str">
        <f>VLOOKUP(Таблица3[[#This Row],[№ акта]],$AJ$1:$BJ$691,19,FALSE)</f>
        <v>полив</v>
      </c>
      <c r="Y579" s="503">
        <f>VLOOKUP(Таблица3[[#This Row],[№ акта]],$AJ$1:$BJ$691,20,FALSE)</f>
        <v>29</v>
      </c>
      <c r="Z579" s="504">
        <f>VLOOKUP(Таблица3[[#This Row],[№ акта]],$AJ$1:$BJ$691,21,FALSE)</f>
        <v>46205</v>
      </c>
      <c r="AA579" s="496"/>
      <c r="AB579" s="504" t="str">
        <f>IF(VLOOKUP(Таблица3[[#This Row],[№ акта]],$AJ$1:$BJ$691,23,FALSE)&lt;&gt;0,VLOOKUP(Таблица3[[#This Row],[№ акта]],$AJ$1:$BJ$691,23,FALSE),"-")</f>
        <v>-</v>
      </c>
      <c r="AC57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79" s="506" t="s">
        <v>2940</v>
      </c>
      <c r="AE579" s="505">
        <v>623</v>
      </c>
      <c r="AF579" s="507">
        <v>46206</v>
      </c>
      <c r="AG579" s="505">
        <v>402</v>
      </c>
      <c r="AH579" s="505">
        <f>IFERROR(VLOOKUP(Таблица3[[#This Row],[№ акта]],'Степень зрелости 2026'!$H$12:$I$800,2,FALSE),)</f>
        <v>53</v>
      </c>
      <c r="AJ579" s="524">
        <v>560</v>
      </c>
      <c r="AK579" s="525">
        <v>46204</v>
      </c>
      <c r="AL579" s="524">
        <v>711</v>
      </c>
      <c r="AO579" s="524">
        <v>4220</v>
      </c>
      <c r="AP579" s="524">
        <v>3776.9</v>
      </c>
      <c r="AQ579" s="524" t="s">
        <v>3375</v>
      </c>
      <c r="AR579" s="524" t="s">
        <v>747</v>
      </c>
      <c r="AT579" s="524" t="s">
        <v>762</v>
      </c>
      <c r="AV579" s="524" t="s">
        <v>763</v>
      </c>
      <c r="AX579" s="524" t="s">
        <v>3111</v>
      </c>
      <c r="AY579" s="524" t="s">
        <v>747</v>
      </c>
      <c r="AZ579" s="524">
        <v>2.2000000000000002</v>
      </c>
      <c r="BA579" s="524" t="s">
        <v>2932</v>
      </c>
      <c r="BB579" s="524" t="s">
        <v>178</v>
      </c>
      <c r="BC579" s="524">
        <v>27</v>
      </c>
      <c r="BD579" s="525">
        <v>46203</v>
      </c>
      <c r="BG579" s="524" t="s">
        <v>724</v>
      </c>
      <c r="BH579" s="524" t="s">
        <v>2940</v>
      </c>
      <c r="BI579" s="524">
        <v>380</v>
      </c>
      <c r="BJ579" s="524">
        <v>53</v>
      </c>
      <c r="BK579" s="508"/>
    </row>
    <row r="580" spans="1:63" s="524" customFormat="1" ht="22.5" hidden="1" x14ac:dyDescent="0.25">
      <c r="A580" s="505"/>
      <c r="B580" s="511"/>
      <c r="C580" s="515">
        <f>Таблица3[[#This Row],[Степень зрелости вспом]]</f>
        <v>57</v>
      </c>
      <c r="D580" s="512">
        <v>765</v>
      </c>
      <c r="E580" s="513"/>
      <c r="F580" s="511"/>
      <c r="G580" s="511">
        <v>13800</v>
      </c>
      <c r="H580" s="514"/>
      <c r="I580" s="511">
        <v>11868</v>
      </c>
      <c r="J580" s="505" t="s">
        <v>3645</v>
      </c>
      <c r="K580" s="505" t="s">
        <v>901</v>
      </c>
      <c r="L580" s="505" t="s">
        <v>3119</v>
      </c>
      <c r="M580" s="505" t="s">
        <v>2967</v>
      </c>
      <c r="N580" s="505"/>
      <c r="O580" s="505"/>
      <c r="P580" s="505"/>
      <c r="Q580" s="505"/>
      <c r="R580" s="505" t="s">
        <v>1810</v>
      </c>
      <c r="S580" s="505"/>
      <c r="T580" s="482" t="str">
        <f>VLOOKUP(Таблица3[[#This Row],[№ акта]],$AJ$1:$BJ$691,15,FALSE)</f>
        <v>1.7 Колос</v>
      </c>
      <c r="U580" s="520" t="str">
        <f>VLOOKUP(Таблица3[[#This Row],[№ акта]],$AJ$1:$BJ$691,16,FALSE)</f>
        <v>Фаворит</v>
      </c>
      <c r="V580" s="502">
        <f>55*Таблица3[[#This Row],[Регистратор.Вес нетто]]/165970</f>
        <v>4.5731156233054167</v>
      </c>
      <c r="W580" s="502" t="str">
        <f>VLOOKUP(Таблица3[[#This Row],[№ акта]],$AJ$1:$BJ$691,18,FALSE)</f>
        <v>Колос (полив)</v>
      </c>
      <c r="X580" s="502" t="str">
        <f>VLOOKUP(Таблица3[[#This Row],[№ акта]],$AJ$1:$BJ$691,19,FALSE)</f>
        <v>полив</v>
      </c>
      <c r="Y580" s="503">
        <f>VLOOKUP(Таблица3[[#This Row],[№ акта]],$AJ$1:$BJ$691,20,FALSE)</f>
        <v>29</v>
      </c>
      <c r="Z580" s="504">
        <f>VLOOKUP(Таблица3[[#This Row],[№ акта]],$AJ$1:$BJ$691,21,FALSE)</f>
        <v>46205</v>
      </c>
      <c r="AA580" s="496"/>
      <c r="AB580" s="504" t="str">
        <f>IF(VLOOKUP(Таблица3[[#This Row],[№ акта]],$AJ$1:$BJ$691,23,FALSE)&lt;&gt;0,VLOOKUP(Таблица3[[#This Row],[№ акта]],$AJ$1:$BJ$691,23,FALSE),"-")</f>
        <v>-</v>
      </c>
      <c r="AC580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80" s="506" t="s">
        <v>2940</v>
      </c>
      <c r="AE580" s="505">
        <v>624</v>
      </c>
      <c r="AF580" s="507">
        <v>46206</v>
      </c>
      <c r="AG580" s="505">
        <v>89</v>
      </c>
      <c r="AH580" s="505">
        <f>IFERROR(VLOOKUP(Таблица3[[#This Row],[№ акта]],'Степень зрелости 2026'!$H$12:$I$800,2,FALSE),)</f>
        <v>57</v>
      </c>
      <c r="AJ580" s="524">
        <v>562</v>
      </c>
      <c r="AK580" s="525">
        <v>46204</v>
      </c>
      <c r="AL580" s="524">
        <v>712</v>
      </c>
      <c r="AO580" s="524">
        <v>12440</v>
      </c>
      <c r="AP580" s="524">
        <v>11133.8</v>
      </c>
      <c r="AQ580" s="524" t="s">
        <v>3645</v>
      </c>
      <c r="AR580" s="524" t="s">
        <v>897</v>
      </c>
      <c r="AT580" s="524" t="s">
        <v>3623</v>
      </c>
      <c r="AV580" s="524" t="s">
        <v>3679</v>
      </c>
      <c r="AX580" s="524" t="s">
        <v>3123</v>
      </c>
      <c r="AY580" s="524" t="s">
        <v>901</v>
      </c>
      <c r="AZ580" s="524">
        <v>4.5999999999999996</v>
      </c>
      <c r="BA580" s="524" t="s">
        <v>53</v>
      </c>
      <c r="BB580" s="524" t="s">
        <v>178</v>
      </c>
      <c r="BC580" s="524">
        <v>27</v>
      </c>
      <c r="BD580" s="525">
        <v>46203</v>
      </c>
      <c r="BG580" s="524" t="s">
        <v>724</v>
      </c>
      <c r="BH580" s="524" t="s">
        <v>2940</v>
      </c>
      <c r="BI580" s="524">
        <v>67</v>
      </c>
      <c r="BJ580" s="524">
        <v>56</v>
      </c>
      <c r="BK580" s="508"/>
    </row>
    <row r="581" spans="1:63" s="524" customFormat="1" hidden="1" x14ac:dyDescent="0.25">
      <c r="A581" s="505"/>
      <c r="B581" s="511"/>
      <c r="C581" s="515">
        <f>Таблица3[[#This Row],[Степень зрелости вспом]]</f>
        <v>51</v>
      </c>
      <c r="D581" s="512">
        <v>766</v>
      </c>
      <c r="E581" s="513"/>
      <c r="F581" s="511"/>
      <c r="G581" s="511">
        <v>13050</v>
      </c>
      <c r="H581" s="514"/>
      <c r="I581" s="511">
        <v>11288.3</v>
      </c>
      <c r="J581" s="505" t="s">
        <v>3375</v>
      </c>
      <c r="K581" s="505" t="s">
        <v>901</v>
      </c>
      <c r="L581" s="505" t="s">
        <v>3110</v>
      </c>
      <c r="M581" s="505" t="s">
        <v>311</v>
      </c>
      <c r="N581" s="505"/>
      <c r="O581" s="505"/>
      <c r="P581" s="505"/>
      <c r="Q581" s="505"/>
      <c r="R581" s="505" t="s">
        <v>315</v>
      </c>
      <c r="S581" s="505"/>
      <c r="T581" s="482" t="str">
        <f>VLOOKUP(Таблица3[[#This Row],[№ акта]],$AJ$1:$BJ$691,15,FALSE)</f>
        <v>А-113/1</v>
      </c>
      <c r="U581" s="520" t="str">
        <f>VLOOKUP(Таблица3[[#This Row],[№ акта]],$AJ$1:$BJ$691,16,FALSE)</f>
        <v>Фаворит</v>
      </c>
      <c r="V581" s="502">
        <f>VLOOKUP(Таблица3[[#This Row],[№ акта]],$AJ$1:$BJ$691,17,FALSE)</f>
        <v>5.2</v>
      </c>
      <c r="W581" s="502" t="str">
        <f>VLOOKUP(Таблица3[[#This Row],[№ акта]],$AJ$1:$BJ$691,18,FALSE)</f>
        <v>ГРК (полив)</v>
      </c>
      <c r="X581" s="516" t="str">
        <f>VLOOKUP(Таблица3[[#This Row],[№ акта]],$AJ$1:$BJ$691,19,FALSE)</f>
        <v>полив</v>
      </c>
      <c r="Y581" s="503">
        <f>VLOOKUP(Таблица3[[#This Row],[№ акта]],$AJ$1:$BJ$691,20,FALSE)</f>
        <v>29</v>
      </c>
      <c r="Z581" s="504">
        <f>VLOOKUP(Таблица3[[#This Row],[№ акта]],$AJ$1:$BJ$691,21,FALSE)</f>
        <v>46205</v>
      </c>
      <c r="AA581" s="496"/>
      <c r="AB581" s="504" t="str">
        <f>IF(VLOOKUP(Таблица3[[#This Row],[№ акта]],$AJ$1:$BJ$691,23,FALSE)&lt;&gt;0,VLOOKUP(Таблица3[[#This Row],[№ акта]],$AJ$1:$BJ$691,23,FALSE),"-")</f>
        <v>-</v>
      </c>
      <c r="AC581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81" s="506" t="s">
        <v>2940</v>
      </c>
      <c r="AE581" s="505">
        <v>627</v>
      </c>
      <c r="AF581" s="507">
        <v>46206</v>
      </c>
      <c r="AG581" s="505">
        <v>403</v>
      </c>
      <c r="AH581" s="505">
        <f>IFERROR(VLOOKUP(Таблица3[[#This Row],[№ акта]],'Степень зрелости 2026'!$H$12:$I$800,2,FALSE),)</f>
        <v>51</v>
      </c>
      <c r="AJ581" s="524">
        <v>563</v>
      </c>
      <c r="AK581" s="525">
        <v>46204</v>
      </c>
      <c r="AL581" s="524">
        <v>713</v>
      </c>
      <c r="AO581" s="524">
        <v>8260</v>
      </c>
      <c r="AP581" s="524">
        <v>7310.1</v>
      </c>
      <c r="AQ581" s="524" t="s">
        <v>3375</v>
      </c>
      <c r="AR581" s="524" t="s">
        <v>747</v>
      </c>
      <c r="AT581" s="524" t="s">
        <v>127</v>
      </c>
      <c r="AV581" s="524" t="s">
        <v>131</v>
      </c>
      <c r="AX581" s="524" t="s">
        <v>3111</v>
      </c>
      <c r="AY581" s="524" t="s">
        <v>747</v>
      </c>
      <c r="AZ581" s="524">
        <v>4.2</v>
      </c>
      <c r="BA581" s="524" t="s">
        <v>2932</v>
      </c>
      <c r="BB581" s="524" t="s">
        <v>178</v>
      </c>
      <c r="BC581" s="524">
        <v>27</v>
      </c>
      <c r="BD581" s="525">
        <v>46203</v>
      </c>
      <c r="BG581" s="524" t="s">
        <v>724</v>
      </c>
      <c r="BH581" s="524" t="s">
        <v>2940</v>
      </c>
      <c r="BI581" s="524">
        <v>381</v>
      </c>
      <c r="BJ581" s="524">
        <v>53</v>
      </c>
      <c r="BK581" s="508"/>
    </row>
    <row r="582" spans="1:63" s="524" customFormat="1" ht="22.5" hidden="1" x14ac:dyDescent="0.25">
      <c r="A582" s="505"/>
      <c r="B582" s="511"/>
      <c r="C582" s="515">
        <f>Таблица3[[#This Row],[Степень зрелости вспом]]</f>
        <v>58</v>
      </c>
      <c r="D582" s="512">
        <v>767</v>
      </c>
      <c r="E582" s="513"/>
      <c r="F582" s="511"/>
      <c r="G582" s="511">
        <v>13850</v>
      </c>
      <c r="H582" s="514"/>
      <c r="I582" s="511">
        <v>12534.3</v>
      </c>
      <c r="J582" s="505" t="s">
        <v>3645</v>
      </c>
      <c r="K582" s="505" t="s">
        <v>901</v>
      </c>
      <c r="L582" s="505" t="s">
        <v>3119</v>
      </c>
      <c r="M582" s="505" t="s">
        <v>3853</v>
      </c>
      <c r="N582" s="505"/>
      <c r="O582" s="505"/>
      <c r="P582" s="505"/>
      <c r="Q582" s="505"/>
      <c r="R582" s="505" t="s">
        <v>3854</v>
      </c>
      <c r="S582" s="505"/>
      <c r="T582" s="482" t="str">
        <f>VLOOKUP(Таблица3[[#This Row],[№ акта]],$AJ$1:$BJ$691,15,FALSE)</f>
        <v>1.7 Колос</v>
      </c>
      <c r="U582" s="520" t="str">
        <f>VLOOKUP(Таблица3[[#This Row],[№ акта]],$AJ$1:$BJ$691,16,FALSE)</f>
        <v>Фаворит</v>
      </c>
      <c r="V582" s="502">
        <f>55*Таблица3[[#This Row],[Регистратор.Вес нетто]]/165970</f>
        <v>4.589684882810146</v>
      </c>
      <c r="W582" s="502" t="str">
        <f>VLOOKUP(Таблица3[[#This Row],[№ акта]],$AJ$1:$BJ$691,18,FALSE)</f>
        <v>Колос (полив)</v>
      </c>
      <c r="X582" s="502" t="str">
        <f>VLOOKUP(Таблица3[[#This Row],[№ акта]],$AJ$1:$BJ$691,19,FALSE)</f>
        <v>полив</v>
      </c>
      <c r="Y582" s="503">
        <f>VLOOKUP(Таблица3[[#This Row],[№ акта]],$AJ$1:$BJ$691,20,FALSE)</f>
        <v>29</v>
      </c>
      <c r="Z582" s="504">
        <f>VLOOKUP(Таблица3[[#This Row],[№ акта]],$AJ$1:$BJ$691,21,FALSE)</f>
        <v>46205</v>
      </c>
      <c r="AA582" s="496"/>
      <c r="AB582" s="504" t="str">
        <f>IF(VLOOKUP(Таблица3[[#This Row],[№ акта]],$AJ$1:$BJ$691,23,FALSE)&lt;&gt;0,VLOOKUP(Таблица3[[#This Row],[№ акта]],$AJ$1:$BJ$691,23,FALSE),"-")</f>
        <v>-</v>
      </c>
      <c r="AC582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82" s="506" t="s">
        <v>2940</v>
      </c>
      <c r="AE582" s="505">
        <v>631</v>
      </c>
      <c r="AF582" s="507">
        <v>46206</v>
      </c>
      <c r="AG582" s="505">
        <v>90</v>
      </c>
      <c r="AH582" s="505">
        <f>IFERROR(VLOOKUP(Таблица3[[#This Row],[№ акта]],'Степень зрелости 2026'!$H$12:$I$800,2,FALSE),)</f>
        <v>58</v>
      </c>
      <c r="AJ582" s="524">
        <v>564</v>
      </c>
      <c r="AK582" s="525">
        <v>46204</v>
      </c>
      <c r="AL582" s="524">
        <v>714</v>
      </c>
      <c r="AO582" s="524">
        <v>11570</v>
      </c>
      <c r="AP582" s="524">
        <v>9834.5</v>
      </c>
      <c r="AQ582" s="524" t="s">
        <v>3645</v>
      </c>
      <c r="AR582" s="524" t="s">
        <v>897</v>
      </c>
      <c r="AT582" s="524" t="s">
        <v>347</v>
      </c>
      <c r="AV582" s="524" t="s">
        <v>351</v>
      </c>
      <c r="AX582" s="524" t="s">
        <v>3123</v>
      </c>
      <c r="AY582" s="524" t="s">
        <v>901</v>
      </c>
      <c r="AZ582" s="524">
        <v>4.3</v>
      </c>
      <c r="BA582" s="524" t="s">
        <v>53</v>
      </c>
      <c r="BB582" s="524" t="s">
        <v>178</v>
      </c>
      <c r="BC582" s="524">
        <v>27</v>
      </c>
      <c r="BD582" s="525">
        <v>46203</v>
      </c>
      <c r="BG582" s="524" t="s">
        <v>3557</v>
      </c>
      <c r="BH582" s="524" t="s">
        <v>2940</v>
      </c>
      <c r="BI582" s="524">
        <v>68</v>
      </c>
      <c r="BJ582" s="524">
        <v>48</v>
      </c>
      <c r="BK582" s="508"/>
    </row>
    <row r="583" spans="1:63" s="524" customFormat="1" ht="22.5" hidden="1" x14ac:dyDescent="0.25">
      <c r="A583" s="505"/>
      <c r="B583" s="511"/>
      <c r="C583" s="515">
        <f>Таблица3[[#This Row],[Степень зрелости вспом]]</f>
        <v>58</v>
      </c>
      <c r="D583" s="512">
        <v>769</v>
      </c>
      <c r="E583" s="513"/>
      <c r="F583" s="511"/>
      <c r="G583" s="511">
        <v>13830</v>
      </c>
      <c r="H583" s="514"/>
      <c r="I583" s="511">
        <v>11686.4</v>
      </c>
      <c r="J583" s="505" t="s">
        <v>3645</v>
      </c>
      <c r="K583" s="505" t="s">
        <v>901</v>
      </c>
      <c r="L583" s="505" t="s">
        <v>3119</v>
      </c>
      <c r="M583" s="505" t="s">
        <v>3623</v>
      </c>
      <c r="N583" s="505"/>
      <c r="O583" s="505"/>
      <c r="P583" s="505"/>
      <c r="Q583" s="505"/>
      <c r="R583" s="505" t="s">
        <v>3679</v>
      </c>
      <c r="S583" s="505"/>
      <c r="T583" s="482" t="str">
        <f>VLOOKUP(Таблица3[[#This Row],[№ акта]],$AJ$1:$BJ$691,15,FALSE)</f>
        <v>1.7 Колос</v>
      </c>
      <c r="U583" s="520" t="str">
        <f>VLOOKUP(Таблица3[[#This Row],[№ акта]],$AJ$1:$BJ$691,16,FALSE)</f>
        <v>Фаворит</v>
      </c>
      <c r="V583" s="502">
        <f>55*Таблица3[[#This Row],[Регистратор.Вес нетто]]/165970</f>
        <v>4.5830571790082546</v>
      </c>
      <c r="W583" s="502" t="str">
        <f>VLOOKUP(Таблица3[[#This Row],[№ акта]],$AJ$1:$BJ$691,18,FALSE)</f>
        <v>Колос (полив)</v>
      </c>
      <c r="X583" s="516" t="str">
        <f>VLOOKUP(Таблица3[[#This Row],[№ акта]],$AJ$1:$BJ$691,19,FALSE)</f>
        <v>полив</v>
      </c>
      <c r="Y583" s="503">
        <f>VLOOKUP(Таблица3[[#This Row],[№ акта]],$AJ$1:$BJ$691,20,FALSE)</f>
        <v>29</v>
      </c>
      <c r="Z583" s="504">
        <f>VLOOKUP(Таблица3[[#This Row],[№ акта]],$AJ$1:$BJ$691,21,FALSE)</f>
        <v>46205</v>
      </c>
      <c r="AA583" s="496"/>
      <c r="AB583" s="504" t="str">
        <f>IF(VLOOKUP(Таблица3[[#This Row],[№ акта]],$AJ$1:$BJ$691,23,FALSE)&lt;&gt;0,VLOOKUP(Таблица3[[#This Row],[№ акта]],$AJ$1:$BJ$691,23,FALSE),"-")</f>
        <v>-</v>
      </c>
      <c r="AC583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83" s="506" t="s">
        <v>2940</v>
      </c>
      <c r="AE583" s="505">
        <v>636</v>
      </c>
      <c r="AF583" s="507">
        <v>46206</v>
      </c>
      <c r="AG583" s="505">
        <v>91</v>
      </c>
      <c r="AH583" s="505">
        <f>IFERROR(VLOOKUP(Таблица3[[#This Row],[№ акта]],'Степень зрелости 2026'!$H$12:$I$800,2,FALSE),)</f>
        <v>58</v>
      </c>
      <c r="AJ583" s="524">
        <v>565</v>
      </c>
      <c r="AK583" s="525">
        <v>46204</v>
      </c>
      <c r="AL583" s="524">
        <v>715</v>
      </c>
      <c r="AO583" s="524">
        <v>8360</v>
      </c>
      <c r="AP583" s="524">
        <v>7231.4</v>
      </c>
      <c r="AQ583" s="524" t="s">
        <v>3375</v>
      </c>
      <c r="AR583" s="524" t="s">
        <v>747</v>
      </c>
      <c r="AT583" s="524" t="s">
        <v>329</v>
      </c>
      <c r="AV583" s="524" t="s">
        <v>333</v>
      </c>
      <c r="AX583" s="524" t="s">
        <v>3111</v>
      </c>
      <c r="AY583" s="524" t="s">
        <v>747</v>
      </c>
      <c r="AZ583" s="524">
        <v>4.3</v>
      </c>
      <c r="BA583" s="524" t="s">
        <v>2932</v>
      </c>
      <c r="BB583" s="524" t="s">
        <v>178</v>
      </c>
      <c r="BC583" s="524">
        <v>27</v>
      </c>
      <c r="BD583" s="525">
        <v>46203</v>
      </c>
      <c r="BG583" s="524" t="s">
        <v>724</v>
      </c>
      <c r="BH583" s="524" t="s">
        <v>2940</v>
      </c>
      <c r="BI583" s="524">
        <v>382</v>
      </c>
      <c r="BJ583" s="524">
        <v>59</v>
      </c>
      <c r="BK583" s="508"/>
    </row>
    <row r="584" spans="1:63" s="524" customFormat="1" hidden="1" x14ac:dyDescent="0.25">
      <c r="A584" s="505"/>
      <c r="B584" s="511"/>
      <c r="C584" s="515">
        <f>Таблица3[[#This Row],[Степень зрелости вспом]]</f>
        <v>50</v>
      </c>
      <c r="D584" s="512">
        <v>770</v>
      </c>
      <c r="E584" s="513"/>
      <c r="F584" s="511"/>
      <c r="G584" s="511">
        <v>13740</v>
      </c>
      <c r="H584" s="514"/>
      <c r="I584" s="511">
        <v>11610.3</v>
      </c>
      <c r="J584" s="505" t="s">
        <v>3375</v>
      </c>
      <c r="K584" s="505" t="s">
        <v>901</v>
      </c>
      <c r="L584" s="505" t="s">
        <v>3110</v>
      </c>
      <c r="M584" s="505" t="s">
        <v>212</v>
      </c>
      <c r="N584" s="505"/>
      <c r="O584" s="505"/>
      <c r="P584" s="505"/>
      <c r="Q584" s="505"/>
      <c r="R584" s="505" t="s">
        <v>2965</v>
      </c>
      <c r="S584" s="505"/>
      <c r="T584" s="482" t="str">
        <f>VLOOKUP(Таблица3[[#This Row],[№ акта]],$AJ$1:$BJ$691,15,FALSE)</f>
        <v>А-113/1</v>
      </c>
      <c r="U584" s="520" t="str">
        <f>VLOOKUP(Таблица3[[#This Row],[№ акта]],$AJ$1:$BJ$691,16,FALSE)</f>
        <v>Фаворит</v>
      </c>
      <c r="V584" s="502">
        <f>VLOOKUP(Таблица3[[#This Row],[№ акта]],$AJ$1:$BJ$691,17,FALSE)</f>
        <v>5.5</v>
      </c>
      <c r="W584" s="502" t="str">
        <f>VLOOKUP(Таблица3[[#This Row],[№ акта]],$AJ$1:$BJ$691,18,FALSE)</f>
        <v>ГРК (полив)</v>
      </c>
      <c r="X584" s="516" t="str">
        <f>VLOOKUP(Таблица3[[#This Row],[№ акта]],$AJ$1:$BJ$691,19,FALSE)</f>
        <v>полив</v>
      </c>
      <c r="Y584" s="503">
        <f>VLOOKUP(Таблица3[[#This Row],[№ акта]],$AJ$1:$BJ$691,20,FALSE)</f>
        <v>29</v>
      </c>
      <c r="Z584" s="504">
        <f>VLOOKUP(Таблица3[[#This Row],[№ акта]],$AJ$1:$BJ$691,21,FALSE)</f>
        <v>46205</v>
      </c>
      <c r="AA584" s="496"/>
      <c r="AB584" s="504" t="str">
        <f>IF(VLOOKUP(Таблица3[[#This Row],[№ акта]],$AJ$1:$BJ$691,23,FALSE)&lt;&gt;0,VLOOKUP(Таблица3[[#This Row],[№ акта]],$AJ$1:$BJ$691,23,FALSE),"-")</f>
        <v>-</v>
      </c>
      <c r="AC584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84" s="506" t="s">
        <v>2940</v>
      </c>
      <c r="AE584" s="505">
        <v>637</v>
      </c>
      <c r="AF584" s="507">
        <v>46206</v>
      </c>
      <c r="AG584" s="505">
        <v>404</v>
      </c>
      <c r="AH584" s="505">
        <f>IFERROR(VLOOKUP(Таблица3[[#This Row],[№ акта]],'Степень зрелости 2026'!$H$12:$I$800,2,FALSE),)</f>
        <v>50</v>
      </c>
      <c r="AJ584" s="524">
        <v>566</v>
      </c>
      <c r="AK584" s="525">
        <v>46204</v>
      </c>
      <c r="AL584" s="524">
        <v>716</v>
      </c>
      <c r="AO584" s="524">
        <v>4170</v>
      </c>
      <c r="AP584" s="524">
        <v>3607.1</v>
      </c>
      <c r="AQ584" s="524" t="s">
        <v>3375</v>
      </c>
      <c r="AR584" s="524" t="s">
        <v>747</v>
      </c>
      <c r="AT584" s="524" t="s">
        <v>762</v>
      </c>
      <c r="AV584" s="524" t="s">
        <v>763</v>
      </c>
      <c r="AX584" s="524" t="s">
        <v>3111</v>
      </c>
      <c r="AY584" s="524" t="s">
        <v>747</v>
      </c>
      <c r="AZ584" s="524">
        <v>2.1</v>
      </c>
      <c r="BA584" s="524" t="s">
        <v>2932</v>
      </c>
      <c r="BB584" s="524" t="s">
        <v>178</v>
      </c>
      <c r="BC584" s="524">
        <v>27</v>
      </c>
      <c r="BD584" s="525">
        <v>46203</v>
      </c>
      <c r="BG584" s="524" t="s">
        <v>3557</v>
      </c>
      <c r="BH584" s="524" t="s">
        <v>2940</v>
      </c>
      <c r="BI584" s="524">
        <v>383</v>
      </c>
      <c r="BJ584" s="524">
        <v>50</v>
      </c>
      <c r="BK584" s="508"/>
    </row>
    <row r="585" spans="1:63" s="524" customFormat="1" hidden="1" x14ac:dyDescent="0.25">
      <c r="A585" s="505"/>
      <c r="B585" s="511"/>
      <c r="C585" s="515">
        <f>Таблица3[[#This Row],[Степень зрелости вспом]]</f>
        <v>49</v>
      </c>
      <c r="D585" s="512">
        <v>771</v>
      </c>
      <c r="E585" s="513"/>
      <c r="F585" s="511"/>
      <c r="G585" s="511">
        <v>4550</v>
      </c>
      <c r="H585" s="514"/>
      <c r="I585" s="511">
        <v>3890.3</v>
      </c>
      <c r="J585" s="505" t="s">
        <v>3375</v>
      </c>
      <c r="K585" s="505" t="s">
        <v>901</v>
      </c>
      <c r="L585" s="505" t="s">
        <v>3110</v>
      </c>
      <c r="M585" s="505" t="s">
        <v>762</v>
      </c>
      <c r="N585" s="505"/>
      <c r="O585" s="505"/>
      <c r="P585" s="505"/>
      <c r="Q585" s="505"/>
      <c r="R585" s="505" t="s">
        <v>763</v>
      </c>
      <c r="S585" s="505"/>
      <c r="T585" s="482" t="str">
        <f>VLOOKUP(Таблица3[[#This Row],[№ акта]],$AJ$1:$BJ$691,15,FALSE)</f>
        <v>А-113/1</v>
      </c>
      <c r="U585" s="520" t="str">
        <f>VLOOKUP(Таблица3[[#This Row],[№ акта]],$AJ$1:$BJ$691,16,FALSE)</f>
        <v>Фаворит</v>
      </c>
      <c r="V585" s="502">
        <f>VLOOKUP(Таблица3[[#This Row],[№ акта]],$AJ$1:$BJ$691,17,FALSE)</f>
        <v>1.8</v>
      </c>
      <c r="W585" s="502" t="str">
        <f>VLOOKUP(Таблица3[[#This Row],[№ акта]],$AJ$1:$BJ$691,18,FALSE)</f>
        <v>ГРК (полив)</v>
      </c>
      <c r="X585" s="516" t="str">
        <f>VLOOKUP(Таблица3[[#This Row],[№ акта]],$AJ$1:$BJ$691,19,FALSE)</f>
        <v>полив</v>
      </c>
      <c r="Y585" s="503">
        <f>VLOOKUP(Таблица3[[#This Row],[№ акта]],$AJ$1:$BJ$691,20,FALSE)</f>
        <v>29</v>
      </c>
      <c r="Z585" s="504">
        <f>VLOOKUP(Таблица3[[#This Row],[№ акта]],$AJ$1:$BJ$691,21,FALSE)</f>
        <v>46205</v>
      </c>
      <c r="AA585" s="496"/>
      <c r="AB585" s="504" t="str">
        <f>IF(VLOOKUP(Таблица3[[#This Row],[№ акта]],$AJ$1:$BJ$691,23,FALSE)&lt;&gt;0,VLOOKUP(Таблица3[[#This Row],[№ акта]],$AJ$1:$BJ$691,23,FALSE),"-")</f>
        <v>-</v>
      </c>
      <c r="AC585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85" s="506" t="s">
        <v>2940</v>
      </c>
      <c r="AE585" s="505">
        <v>638</v>
      </c>
      <c r="AF585" s="507">
        <v>46206</v>
      </c>
      <c r="AG585" s="505">
        <v>405</v>
      </c>
      <c r="AH585" s="505">
        <f>IFERROR(VLOOKUP(Таблица3[[#This Row],[№ акта]],'Степень зрелости 2026'!$H$12:$I$800,2,FALSE),)</f>
        <v>49</v>
      </c>
      <c r="AJ585" s="524">
        <v>575</v>
      </c>
      <c r="AK585" s="525">
        <v>46204</v>
      </c>
      <c r="AL585" s="524">
        <v>719</v>
      </c>
      <c r="AO585" s="524">
        <v>7350</v>
      </c>
      <c r="AP585" s="524">
        <v>6431.3</v>
      </c>
      <c r="AQ585" s="524" t="s">
        <v>3375</v>
      </c>
      <c r="AR585" s="524" t="s">
        <v>747</v>
      </c>
      <c r="AS585" s="524" t="s">
        <v>3111</v>
      </c>
      <c r="AT585" s="524" t="s">
        <v>195</v>
      </c>
      <c r="AV585" s="524" t="s">
        <v>199</v>
      </c>
      <c r="AX585" s="524" t="s">
        <v>3111</v>
      </c>
      <c r="AY585" s="524" t="s">
        <v>747</v>
      </c>
      <c r="AZ585" s="524">
        <v>1.7</v>
      </c>
      <c r="BA585" s="524" t="s">
        <v>2932</v>
      </c>
      <c r="BB585" s="524" t="s">
        <v>178</v>
      </c>
      <c r="BC585" s="524">
        <v>28</v>
      </c>
      <c r="BD585" s="525">
        <v>46204</v>
      </c>
      <c r="BG585" s="524" t="s">
        <v>724</v>
      </c>
      <c r="BH585" s="524" t="s">
        <v>2940</v>
      </c>
      <c r="BI585" s="524">
        <v>384</v>
      </c>
      <c r="BJ585" s="524">
        <v>59</v>
      </c>
      <c r="BK585" s="508"/>
    </row>
    <row r="586" spans="1:63" s="524" customFormat="1" hidden="1" x14ac:dyDescent="0.25">
      <c r="A586" s="505"/>
      <c r="B586" s="511"/>
      <c r="C586" s="515">
        <f>Таблица3[[#This Row],[Степень зрелости вспом]]</f>
        <v>52</v>
      </c>
      <c r="D586" s="512">
        <v>772</v>
      </c>
      <c r="E586" s="513"/>
      <c r="F586" s="511"/>
      <c r="G586" s="511">
        <v>9140</v>
      </c>
      <c r="H586" s="514"/>
      <c r="I586" s="511">
        <v>8043.2</v>
      </c>
      <c r="J586" s="505" t="s">
        <v>3375</v>
      </c>
      <c r="K586" s="505" t="s">
        <v>901</v>
      </c>
      <c r="L586" s="505" t="s">
        <v>3110</v>
      </c>
      <c r="M586" s="505" t="s">
        <v>2967</v>
      </c>
      <c r="N586" s="505"/>
      <c r="O586" s="505"/>
      <c r="P586" s="505"/>
      <c r="Q586" s="505"/>
      <c r="R586" s="505" t="s">
        <v>1810</v>
      </c>
      <c r="S586" s="505"/>
      <c r="T586" s="482" t="str">
        <f>VLOOKUP(Таблица3[[#This Row],[№ акта]],$AJ$1:$BJ$691,15,FALSE)</f>
        <v>А-113/1</v>
      </c>
      <c r="U586" s="520" t="str">
        <f>VLOOKUP(Таблица3[[#This Row],[№ акта]],$AJ$1:$BJ$691,16,FALSE)</f>
        <v>Фаворит</v>
      </c>
      <c r="V586" s="502">
        <f>VLOOKUP(Таблица3[[#This Row],[№ акта]],$AJ$1:$BJ$691,17,FALSE)</f>
        <v>3.7</v>
      </c>
      <c r="W586" s="502" t="str">
        <f>VLOOKUP(Таблица3[[#This Row],[№ акта]],$AJ$1:$BJ$691,18,FALSE)</f>
        <v>ГРК (полив)</v>
      </c>
      <c r="X586" s="516" t="str">
        <f>VLOOKUP(Таблица3[[#This Row],[№ акта]],$AJ$1:$BJ$691,19,FALSE)</f>
        <v>полив</v>
      </c>
      <c r="Y586" s="503">
        <f>VLOOKUP(Таблица3[[#This Row],[№ акта]],$AJ$1:$BJ$691,20,FALSE)</f>
        <v>30</v>
      </c>
      <c r="Z586" s="504">
        <f>VLOOKUP(Таблица3[[#This Row],[№ акта]],$AJ$1:$BJ$691,21,FALSE)</f>
        <v>46206</v>
      </c>
      <c r="AA586" s="496"/>
      <c r="AB586" s="504" t="str">
        <f>IF(VLOOKUP(Таблица3[[#This Row],[№ акта]],$AJ$1:$BJ$691,23,FALSE)&lt;&gt;0,VLOOKUP(Таблица3[[#This Row],[№ акта]],$AJ$1:$BJ$691,23,FALSE),"-")</f>
        <v>-</v>
      </c>
      <c r="AC586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586" s="506" t="s">
        <v>2940</v>
      </c>
      <c r="AE586" s="505">
        <v>639</v>
      </c>
      <c r="AF586" s="507">
        <v>46206</v>
      </c>
      <c r="AG586" s="505">
        <v>406</v>
      </c>
      <c r="AH586" s="505">
        <f>IFERROR(VLOOKUP(Таблица3[[#This Row],[№ акта]],'Степень зрелости 2026'!$H$12:$I$800,2,FALSE),)</f>
        <v>52</v>
      </c>
      <c r="AJ586" s="524">
        <v>576</v>
      </c>
      <c r="AK586" s="525">
        <v>46204</v>
      </c>
      <c r="AL586" s="524">
        <v>720</v>
      </c>
      <c r="AO586" s="524">
        <v>6900</v>
      </c>
      <c r="AP586" s="524">
        <v>5727</v>
      </c>
      <c r="AQ586" s="524" t="s">
        <v>3375</v>
      </c>
      <c r="AR586" s="524" t="s">
        <v>747</v>
      </c>
      <c r="AS586" s="524" t="s">
        <v>3111</v>
      </c>
      <c r="AT586" s="524" t="s">
        <v>166</v>
      </c>
      <c r="AV586" s="524" t="s">
        <v>170</v>
      </c>
      <c r="AX586" s="524" t="s">
        <v>3111</v>
      </c>
      <c r="AY586" s="524" t="s">
        <v>747</v>
      </c>
      <c r="AZ586" s="524">
        <v>1.6</v>
      </c>
      <c r="BA586" s="524" t="s">
        <v>2932</v>
      </c>
      <c r="BB586" s="524" t="s">
        <v>178</v>
      </c>
      <c r="BC586" s="524">
        <v>28</v>
      </c>
      <c r="BD586" s="525">
        <v>46204</v>
      </c>
      <c r="BG586" s="524" t="s">
        <v>724</v>
      </c>
      <c r="BH586" s="524" t="s">
        <v>2940</v>
      </c>
      <c r="BI586" s="524">
        <v>385</v>
      </c>
      <c r="BJ586" s="524">
        <v>59</v>
      </c>
      <c r="BK586" s="508"/>
    </row>
    <row r="587" spans="1:63" s="524" customFormat="1" ht="22.5" hidden="1" x14ac:dyDescent="0.25">
      <c r="A587" s="505"/>
      <c r="B587" s="511"/>
      <c r="C587" s="515">
        <f>Таблица3[[#This Row],[Степень зрелости вспом]]</f>
        <v>60</v>
      </c>
      <c r="D587" s="512">
        <v>774</v>
      </c>
      <c r="E587" s="513"/>
      <c r="F587" s="511"/>
      <c r="G587" s="511">
        <v>13600</v>
      </c>
      <c r="H587" s="514"/>
      <c r="I587" s="511">
        <v>12580</v>
      </c>
      <c r="J587" s="505" t="s">
        <v>3645</v>
      </c>
      <c r="K587" s="505" t="s">
        <v>901</v>
      </c>
      <c r="L587" s="505" t="s">
        <v>3119</v>
      </c>
      <c r="M587" s="505" t="s">
        <v>3377</v>
      </c>
      <c r="N587" s="505"/>
      <c r="O587" s="505"/>
      <c r="P587" s="505"/>
      <c r="Q587" s="505"/>
      <c r="R587" s="505" t="s">
        <v>3196</v>
      </c>
      <c r="S587" s="505"/>
      <c r="T587" s="482" t="str">
        <f>VLOOKUP(Таблица3[[#This Row],[№ акта]],$AJ$1:$BJ$691,15,FALSE)</f>
        <v>1.7 Колос</v>
      </c>
      <c r="U587" s="520" t="str">
        <f>VLOOKUP(Таблица3[[#This Row],[№ акта]],$AJ$1:$BJ$691,16,FALSE)</f>
        <v>Фаворит</v>
      </c>
      <c r="V587" s="502">
        <f>55*Таблица3[[#This Row],[Регистратор.Вес нетто]]/165970</f>
        <v>4.5068385852864976</v>
      </c>
      <c r="W587" s="502" t="str">
        <f>VLOOKUP(Таблица3[[#This Row],[№ акта]],$AJ$1:$BJ$691,18,FALSE)</f>
        <v>Колос (полив)</v>
      </c>
      <c r="X587" s="516" t="str">
        <f>VLOOKUP(Таблица3[[#This Row],[№ акта]],$AJ$1:$BJ$691,19,FALSE)</f>
        <v>полив</v>
      </c>
      <c r="Y587" s="503">
        <f>VLOOKUP(Таблица3[[#This Row],[№ акта]],$AJ$1:$BJ$691,20,FALSE)</f>
        <v>30</v>
      </c>
      <c r="Z587" s="504">
        <f>VLOOKUP(Таблица3[[#This Row],[№ акта]],$AJ$1:$BJ$691,21,FALSE)</f>
        <v>46206</v>
      </c>
      <c r="AA587" s="496"/>
      <c r="AB587" s="504" t="str">
        <f>IF(VLOOKUP(Таблица3[[#This Row],[№ акта]],$AJ$1:$BJ$691,23,FALSE)&lt;&gt;0,VLOOKUP(Таблица3[[#This Row],[№ акта]],$AJ$1:$BJ$691,23,FALSE),"-")</f>
        <v>-</v>
      </c>
      <c r="AC587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87" s="506" t="s">
        <v>2940</v>
      </c>
      <c r="AE587" s="505">
        <v>640</v>
      </c>
      <c r="AF587" s="507">
        <v>46206</v>
      </c>
      <c r="AG587" s="505">
        <v>92</v>
      </c>
      <c r="AH587" s="505">
        <f>IFERROR(VLOOKUP(Таблица3[[#This Row],[№ акта]],'Степень зрелости 2026'!$H$12:$I$800,2,FALSE),)</f>
        <v>60</v>
      </c>
      <c r="AJ587" s="524">
        <v>577</v>
      </c>
      <c r="AK587" s="525">
        <v>46204</v>
      </c>
      <c r="AL587" s="524">
        <v>721</v>
      </c>
      <c r="AO587" s="524">
        <v>6900</v>
      </c>
      <c r="AP587" s="524">
        <v>6003</v>
      </c>
      <c r="AQ587" s="524" t="s">
        <v>3375</v>
      </c>
      <c r="AR587" s="524" t="s">
        <v>747</v>
      </c>
      <c r="AS587" s="524" t="s">
        <v>3111</v>
      </c>
      <c r="AT587" s="524" t="s">
        <v>195</v>
      </c>
      <c r="AV587" s="524" t="s">
        <v>199</v>
      </c>
      <c r="AX587" s="524" t="s">
        <v>3111</v>
      </c>
      <c r="AY587" s="524" t="s">
        <v>747</v>
      </c>
      <c r="AZ587" s="524">
        <v>1.6</v>
      </c>
      <c r="BA587" s="524" t="s">
        <v>2932</v>
      </c>
      <c r="BB587" s="524" t="s">
        <v>178</v>
      </c>
      <c r="BC587" s="524">
        <v>28</v>
      </c>
      <c r="BD587" s="525">
        <v>46204</v>
      </c>
      <c r="BG587" s="524" t="s">
        <v>724</v>
      </c>
      <c r="BH587" s="524" t="s">
        <v>2940</v>
      </c>
      <c r="BI587" s="524">
        <v>386</v>
      </c>
      <c r="BJ587" s="524">
        <v>59</v>
      </c>
      <c r="BK587" s="508"/>
    </row>
    <row r="588" spans="1:63" s="524" customFormat="1" ht="22.5" hidden="1" x14ac:dyDescent="0.25">
      <c r="A588" s="505"/>
      <c r="B588" s="511"/>
      <c r="C588" s="515">
        <f>Таблица3[[#This Row],[Степень зрелости вспом]]</f>
        <v>61</v>
      </c>
      <c r="D588" s="512">
        <v>775</v>
      </c>
      <c r="E588" s="513"/>
      <c r="F588" s="511"/>
      <c r="G588" s="511">
        <v>13970</v>
      </c>
      <c r="H588" s="514"/>
      <c r="I588" s="511">
        <v>12642.9</v>
      </c>
      <c r="J588" s="505" t="s">
        <v>3645</v>
      </c>
      <c r="K588" s="505" t="s">
        <v>901</v>
      </c>
      <c r="L588" s="505" t="s">
        <v>3119</v>
      </c>
      <c r="M588" s="505" t="s">
        <v>1151</v>
      </c>
      <c r="N588" s="505"/>
      <c r="O588" s="505"/>
      <c r="P588" s="505"/>
      <c r="Q588" s="505"/>
      <c r="R588" s="505" t="s">
        <v>145</v>
      </c>
      <c r="S588" s="505"/>
      <c r="T588" s="482" t="str">
        <f>VLOOKUP(Таблица3[[#This Row],[№ акта]],$AJ$1:$BJ$691,15,FALSE)</f>
        <v>1.7 Колос</v>
      </c>
      <c r="U588" s="520" t="str">
        <f>VLOOKUP(Таблица3[[#This Row],[№ акта]],$AJ$1:$BJ$691,16,FALSE)</f>
        <v>Фаворит</v>
      </c>
      <c r="V588" s="502">
        <f>55*Таблица3[[#This Row],[Регистратор.Вес нетто]]/165970</f>
        <v>4.6294511056214978</v>
      </c>
      <c r="W588" s="502" t="str">
        <f>VLOOKUP(Таблица3[[#This Row],[№ акта]],$AJ$1:$BJ$691,18,FALSE)</f>
        <v>Колос (полив)</v>
      </c>
      <c r="X588" s="516" t="str">
        <f>VLOOKUP(Таблица3[[#This Row],[№ акта]],$AJ$1:$BJ$691,19,FALSE)</f>
        <v>полив</v>
      </c>
      <c r="Y588" s="503">
        <f>VLOOKUP(Таблица3[[#This Row],[№ акта]],$AJ$1:$BJ$691,20,FALSE)</f>
        <v>30</v>
      </c>
      <c r="Z588" s="504">
        <f>VLOOKUP(Таблица3[[#This Row],[№ акта]],$AJ$1:$BJ$691,21,FALSE)</f>
        <v>46206</v>
      </c>
      <c r="AA588" s="496"/>
      <c r="AB588" s="504" t="str">
        <f>IF(VLOOKUP(Таблица3[[#This Row],[№ акта]],$AJ$1:$BJ$691,23,FALSE)&lt;&gt;0,VLOOKUP(Таблица3[[#This Row],[№ акта]],$AJ$1:$BJ$691,23,FALSE),"-")</f>
        <v>-</v>
      </c>
      <c r="AC588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88" s="506" t="s">
        <v>2940</v>
      </c>
      <c r="AE588" s="505">
        <v>642</v>
      </c>
      <c r="AF588" s="507">
        <v>46206</v>
      </c>
      <c r="AG588" s="505">
        <v>93</v>
      </c>
      <c r="AH588" s="505">
        <f>IFERROR(VLOOKUP(Таблица3[[#This Row],[№ акта]],'Степень зрелости 2026'!$H$12:$I$800,2,FALSE),)</f>
        <v>61</v>
      </c>
      <c r="AJ588" s="524">
        <v>578</v>
      </c>
      <c r="AK588" s="525">
        <v>46204</v>
      </c>
      <c r="AL588" s="524">
        <v>723</v>
      </c>
      <c r="AO588" s="524">
        <v>14000</v>
      </c>
      <c r="AP588" s="524">
        <v>12040</v>
      </c>
      <c r="AQ588" s="524" t="s">
        <v>3645</v>
      </c>
      <c r="AR588" s="524" t="s">
        <v>897</v>
      </c>
      <c r="AS588" s="524" t="s">
        <v>3121</v>
      </c>
      <c r="AT588" s="524" t="s">
        <v>3838</v>
      </c>
      <c r="AV588" s="524" t="s">
        <v>270</v>
      </c>
      <c r="AX588" s="524" t="s">
        <v>3121</v>
      </c>
      <c r="AY588" s="524" t="s">
        <v>897</v>
      </c>
      <c r="AZ588" s="524">
        <v>2.8</v>
      </c>
      <c r="BA588" s="524" t="s">
        <v>53</v>
      </c>
      <c r="BB588" s="524" t="s">
        <v>178</v>
      </c>
      <c r="BC588" s="524">
        <v>28</v>
      </c>
      <c r="BD588" s="525">
        <v>46204</v>
      </c>
      <c r="BG588" s="524" t="s">
        <v>724</v>
      </c>
      <c r="BH588" s="524" t="s">
        <v>2940</v>
      </c>
      <c r="BI588" s="524">
        <v>70</v>
      </c>
      <c r="BJ588" s="524">
        <v>58</v>
      </c>
      <c r="BK588" s="508"/>
    </row>
    <row r="589" spans="1:63" s="524" customFormat="1" hidden="1" x14ac:dyDescent="0.25">
      <c r="A589" s="505"/>
      <c r="B589" s="511"/>
      <c r="C589" s="515">
        <f>Таблица3[[#This Row],[Степень зрелости вспом]]</f>
        <v>55</v>
      </c>
      <c r="D589" s="512">
        <v>776</v>
      </c>
      <c r="E589" s="513"/>
      <c r="F589" s="511"/>
      <c r="G589" s="511">
        <v>13670</v>
      </c>
      <c r="H589" s="514"/>
      <c r="I589" s="511">
        <v>12508.1</v>
      </c>
      <c r="J589" s="505" t="s">
        <v>3375</v>
      </c>
      <c r="K589" s="505" t="s">
        <v>901</v>
      </c>
      <c r="L589" s="505" t="s">
        <v>3110</v>
      </c>
      <c r="M589" s="505" t="s">
        <v>894</v>
      </c>
      <c r="N589" s="505"/>
      <c r="O589" s="505"/>
      <c r="P589" s="505"/>
      <c r="Q589" s="505"/>
      <c r="R589" s="505" t="s">
        <v>895</v>
      </c>
      <c r="S589" s="505"/>
      <c r="T589" s="482" t="str">
        <f>VLOOKUP(Таблица3[[#This Row],[№ акта]],$AJ$1:$BJ$691,15,FALSE)</f>
        <v>А-113/1</v>
      </c>
      <c r="U589" s="520" t="str">
        <f>VLOOKUP(Таблица3[[#This Row],[№ акта]],$AJ$1:$BJ$691,16,FALSE)</f>
        <v>Фаворит</v>
      </c>
      <c r="V589" s="502">
        <f>VLOOKUP(Таблица3[[#This Row],[№ акта]],$AJ$1:$BJ$691,17,FALSE)</f>
        <v>5.5</v>
      </c>
      <c r="W589" s="502" t="str">
        <f>VLOOKUP(Таблица3[[#This Row],[№ акта]],$AJ$1:$BJ$691,18,FALSE)</f>
        <v>ГРК (полив)</v>
      </c>
      <c r="X589" s="516" t="str">
        <f>VLOOKUP(Таблица3[[#This Row],[№ акта]],$AJ$1:$BJ$691,19,FALSE)</f>
        <v>полив</v>
      </c>
      <c r="Y589" s="503">
        <f>VLOOKUP(Таблица3[[#This Row],[№ акта]],$AJ$1:$BJ$691,20,FALSE)</f>
        <v>30</v>
      </c>
      <c r="Z589" s="504">
        <f>VLOOKUP(Таблица3[[#This Row],[№ акта]],$AJ$1:$BJ$691,21,FALSE)</f>
        <v>46206</v>
      </c>
      <c r="AA589" s="496"/>
      <c r="AB589" s="504" t="str">
        <f>IF(VLOOKUP(Таблица3[[#This Row],[№ акта]],$AJ$1:$BJ$691,23,FALSE)&lt;&gt;0,VLOOKUP(Таблица3[[#This Row],[№ акта]],$AJ$1:$BJ$691,23,FALSE),"-")</f>
        <v>-</v>
      </c>
      <c r="AC589" s="505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89" s="506" t="s">
        <v>2940</v>
      </c>
      <c r="AE589" s="505">
        <v>641</v>
      </c>
      <c r="AF589" s="507">
        <v>46206</v>
      </c>
      <c r="AG589" s="505">
        <v>407</v>
      </c>
      <c r="AH589" s="505">
        <f>IFERROR(VLOOKUP(Таблица3[[#This Row],[№ акта]],'Степень зрелости 2026'!$H$12:$I$800,2,FALSE),)</f>
        <v>55</v>
      </c>
      <c r="AJ589" s="524">
        <v>580</v>
      </c>
      <c r="AK589" s="525">
        <v>46204</v>
      </c>
      <c r="AL589" s="524">
        <v>724</v>
      </c>
      <c r="AO589" s="524">
        <v>9080</v>
      </c>
      <c r="AP589" s="524">
        <v>7672.6</v>
      </c>
      <c r="AQ589" s="524" t="s">
        <v>3375</v>
      </c>
      <c r="AR589" s="524" t="s">
        <v>901</v>
      </c>
      <c r="AS589" s="524" t="s">
        <v>3092</v>
      </c>
      <c r="AT589" s="524" t="s">
        <v>166</v>
      </c>
      <c r="AV589" s="524" t="s">
        <v>170</v>
      </c>
      <c r="AX589" s="524" t="s">
        <v>3092</v>
      </c>
      <c r="AY589" s="524" t="s">
        <v>901</v>
      </c>
      <c r="AZ589" s="524">
        <v>3.7</v>
      </c>
      <c r="BA589" s="524" t="s">
        <v>2932</v>
      </c>
      <c r="BB589" s="524" t="s">
        <v>178</v>
      </c>
      <c r="BC589" s="524">
        <v>28</v>
      </c>
      <c r="BD589" s="525">
        <v>46204</v>
      </c>
      <c r="BG589" s="524" t="s">
        <v>724</v>
      </c>
      <c r="BH589" s="524" t="s">
        <v>2940</v>
      </c>
      <c r="BI589" s="524">
        <v>387</v>
      </c>
      <c r="BJ589" s="524">
        <v>54</v>
      </c>
      <c r="BK589" s="508"/>
    </row>
    <row r="590" spans="1:63" s="470" customFormat="1" hidden="1" x14ac:dyDescent="0.25">
      <c r="A590" s="40"/>
      <c r="B590" s="41"/>
      <c r="C590" s="121">
        <f>Таблица3[[#This Row],[Степень зрелости вспом]]</f>
        <v>59</v>
      </c>
      <c r="D590" s="42">
        <v>795</v>
      </c>
      <c r="E590" s="147"/>
      <c r="F590" s="41"/>
      <c r="G590" s="41">
        <v>12950</v>
      </c>
      <c r="H590" s="69"/>
      <c r="I590" s="41">
        <v>10683.8</v>
      </c>
      <c r="J590" s="40" t="s">
        <v>2939</v>
      </c>
      <c r="K590" s="40" t="s">
        <v>901</v>
      </c>
      <c r="L590" s="40" t="s">
        <v>3098</v>
      </c>
      <c r="M590" s="40" t="s">
        <v>212</v>
      </c>
      <c r="N590" s="40"/>
      <c r="O590" s="40"/>
      <c r="P590" s="40"/>
      <c r="Q590" s="40"/>
      <c r="R590" s="40" t="s">
        <v>2965</v>
      </c>
      <c r="S590" s="40"/>
      <c r="T590" s="68" t="str">
        <f>VLOOKUP(Таблица3[[#This Row],[№ акта]],$AJ$1:$BJ$691,15,FALSE)</f>
        <v>А-116/1</v>
      </c>
      <c r="U590" s="70" t="str">
        <f>VLOOKUP(Таблица3[[#This Row],[№ акта]],$AJ$1:$BJ$691,16,FALSE)</f>
        <v>Фаворит</v>
      </c>
      <c r="V590" s="44">
        <f>VLOOKUP(Таблица3[[#This Row],[№ акта]],$AJ$1:$BJ$691,17,FALSE)</f>
        <v>2.5</v>
      </c>
      <c r="W590" s="44" t="str">
        <f>VLOOKUP(Таблица3[[#This Row],[№ акта]],$AJ$1:$BJ$691,18,FALSE)</f>
        <v>ГРК (богара)</v>
      </c>
      <c r="X590" s="45" t="str">
        <f>VLOOKUP(Таблица3[[#This Row],[№ акта]],$AJ$1:$BJ$691,19,FALSE)</f>
        <v>богара</v>
      </c>
      <c r="Y590" s="485">
        <f>VLOOKUP(Таблица3[[#This Row],[№ акта]],$AJ$1:$BJ$691,20,FALSE)</f>
        <v>31</v>
      </c>
      <c r="Z590" s="43">
        <f>VLOOKUP(Таблица3[[#This Row],[№ акта]],$AJ$1:$BJ$691,21,FALSE)</f>
        <v>46207</v>
      </c>
      <c r="AA590" s="36"/>
      <c r="AB590" s="43" t="str">
        <f>IF(VLOOKUP(Таблица3[[#This Row],[№ акта]],$AJ$1:$BJ$691,23,FALSE)&lt;&gt;0,VLOOKUP(Таблица3[[#This Row],[№ акта]],$AJ$1:$BJ$691,23,FALSE),"-")</f>
        <v>-</v>
      </c>
      <c r="AC590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90" s="360" t="s">
        <v>2940</v>
      </c>
      <c r="AE590" s="40">
        <v>660</v>
      </c>
      <c r="AF590" s="103">
        <v>46207</v>
      </c>
      <c r="AG590" s="40">
        <v>416</v>
      </c>
      <c r="AH590" s="40">
        <f>IFERROR(VLOOKUP(Таблица3[[#This Row],[№ акта]],'Степень зрелости 2026'!$H$12:$I$800,2,FALSE),)</f>
        <v>59</v>
      </c>
      <c r="AJ590" s="470">
        <v>581</v>
      </c>
      <c r="AK590" s="479">
        <v>46204</v>
      </c>
      <c r="AL590" s="470">
        <v>727</v>
      </c>
      <c r="AO590" s="470">
        <v>9030</v>
      </c>
      <c r="AP590" s="470">
        <v>7675.5</v>
      </c>
      <c r="AQ590" s="470" t="s">
        <v>3375</v>
      </c>
      <c r="AR590" s="470" t="s">
        <v>901</v>
      </c>
      <c r="AS590" s="470" t="s">
        <v>3092</v>
      </c>
      <c r="AT590" s="470" t="s">
        <v>195</v>
      </c>
      <c r="AV590" s="470" t="s">
        <v>199</v>
      </c>
      <c r="AX590" s="470" t="s">
        <v>3092</v>
      </c>
      <c r="AY590" s="470" t="s">
        <v>901</v>
      </c>
      <c r="AZ590" s="470">
        <v>3.6</v>
      </c>
      <c r="BA590" s="470" t="s">
        <v>2932</v>
      </c>
      <c r="BB590" s="470" t="s">
        <v>178</v>
      </c>
      <c r="BC590" s="470">
        <v>28</v>
      </c>
      <c r="BD590" s="479">
        <v>46204</v>
      </c>
      <c r="BG590" s="470" t="s">
        <v>724</v>
      </c>
      <c r="BH590" s="470" t="s">
        <v>2940</v>
      </c>
      <c r="BI590" s="470">
        <v>388</v>
      </c>
      <c r="BJ590" s="470">
        <v>53</v>
      </c>
      <c r="BK590" s="466"/>
    </row>
    <row r="591" spans="1:63" s="470" customFormat="1" hidden="1" x14ac:dyDescent="0.25">
      <c r="A591" s="40"/>
      <c r="B591" s="41"/>
      <c r="C591" s="121">
        <f>Таблица3[[#This Row],[Степень зрелости вспом]]</f>
        <v>56</v>
      </c>
      <c r="D591" s="42">
        <v>796</v>
      </c>
      <c r="E591" s="147"/>
      <c r="F591" s="41"/>
      <c r="G591" s="41">
        <v>12910</v>
      </c>
      <c r="H591" s="69"/>
      <c r="I591" s="41">
        <v>9747.1</v>
      </c>
      <c r="J591" s="40" t="s">
        <v>2939</v>
      </c>
      <c r="K591" s="40" t="s">
        <v>901</v>
      </c>
      <c r="L591" s="40" t="s">
        <v>3098</v>
      </c>
      <c r="M591" s="40" t="s">
        <v>2967</v>
      </c>
      <c r="N591" s="40"/>
      <c r="O591" s="40"/>
      <c r="P591" s="40"/>
      <c r="Q591" s="40"/>
      <c r="R591" s="40" t="s">
        <v>1810</v>
      </c>
      <c r="S591" s="40"/>
      <c r="T591" s="68" t="str">
        <f>VLOOKUP(Таблица3[[#This Row],[№ акта]],$AJ$1:$BJ$691,15,FALSE)</f>
        <v>А-116/1</v>
      </c>
      <c r="U591" s="70" t="str">
        <f>VLOOKUP(Таблица3[[#This Row],[№ акта]],$AJ$1:$BJ$691,16,FALSE)</f>
        <v>Фаворит</v>
      </c>
      <c r="V591" s="44">
        <f>VLOOKUP(Таблица3[[#This Row],[№ акта]],$AJ$1:$BJ$691,17,FALSE)</f>
        <v>2.5</v>
      </c>
      <c r="W591" s="44" t="str">
        <f>VLOOKUP(Таблица3[[#This Row],[№ акта]],$AJ$1:$BJ$691,18,FALSE)</f>
        <v>ГРК (богара)</v>
      </c>
      <c r="X591" s="45" t="str">
        <f>VLOOKUP(Таблица3[[#This Row],[№ акта]],$AJ$1:$BJ$691,19,FALSE)</f>
        <v>богара</v>
      </c>
      <c r="Y591" s="485">
        <f>VLOOKUP(Таблица3[[#This Row],[№ акта]],$AJ$1:$BJ$691,20,FALSE)</f>
        <v>31</v>
      </c>
      <c r="Z591" s="43">
        <f>VLOOKUP(Таблица3[[#This Row],[№ акта]],$AJ$1:$BJ$691,21,FALSE)</f>
        <v>46207</v>
      </c>
      <c r="AA591" s="36"/>
      <c r="AB591" s="43" t="str">
        <f>IF(VLOOKUP(Таблица3[[#This Row],[№ акта]],$AJ$1:$BJ$691,23,FALSE)&lt;&gt;0,VLOOKUP(Таблица3[[#This Row],[№ акта]],$AJ$1:$BJ$691,23,FALSE),"-")</f>
        <v>-</v>
      </c>
      <c r="AC591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91" s="360" t="s">
        <v>2940</v>
      </c>
      <c r="AE591" s="40">
        <v>661</v>
      </c>
      <c r="AF591" s="103">
        <v>46207</v>
      </c>
      <c r="AG591" s="40">
        <v>417</v>
      </c>
      <c r="AH591" s="40">
        <f>IFERROR(VLOOKUP(Таблица3[[#This Row],[№ акта]],'Степень зрелости 2026'!$H$12:$I$800,2,FALSE),)</f>
        <v>56</v>
      </c>
      <c r="AJ591" s="470">
        <v>587</v>
      </c>
      <c r="AK591" s="479">
        <v>46204</v>
      </c>
      <c r="AL591" s="470">
        <v>732</v>
      </c>
      <c r="AO591" s="470">
        <v>13170</v>
      </c>
      <c r="AP591" s="470">
        <v>10601.9</v>
      </c>
      <c r="AQ591" s="470" t="s">
        <v>3375</v>
      </c>
      <c r="AR591" s="470" t="s">
        <v>901</v>
      </c>
      <c r="AS591" s="470" t="s">
        <v>3092</v>
      </c>
      <c r="AT591" s="470" t="s">
        <v>195</v>
      </c>
      <c r="AV591" s="470" t="s">
        <v>199</v>
      </c>
      <c r="AX591" s="470" t="s">
        <v>3092</v>
      </c>
      <c r="AY591" s="470" t="s">
        <v>901</v>
      </c>
      <c r="AZ591" s="470">
        <v>5.3</v>
      </c>
      <c r="BA591" s="470" t="s">
        <v>2932</v>
      </c>
      <c r="BB591" s="470" t="s">
        <v>178</v>
      </c>
      <c r="BC591" s="470">
        <v>28</v>
      </c>
      <c r="BD591" s="479">
        <v>46204</v>
      </c>
      <c r="BG591" s="470" t="s">
        <v>724</v>
      </c>
      <c r="BH591" s="470" t="s">
        <v>2940</v>
      </c>
      <c r="BI591" s="470">
        <v>390</v>
      </c>
      <c r="BJ591" s="470">
        <v>59</v>
      </c>
      <c r="BK591" s="466"/>
    </row>
    <row r="592" spans="1:63" s="470" customFormat="1" hidden="1" x14ac:dyDescent="0.25">
      <c r="A592" s="40"/>
      <c r="B592" s="41"/>
      <c r="C592" s="121">
        <f>Таблица3[[#This Row],[Степень зрелости вспом]]</f>
        <v>54</v>
      </c>
      <c r="D592" s="42">
        <v>798</v>
      </c>
      <c r="E592" s="147"/>
      <c r="F592" s="41"/>
      <c r="G592" s="41">
        <v>4400</v>
      </c>
      <c r="H592" s="69"/>
      <c r="I592" s="41">
        <v>3586</v>
      </c>
      <c r="J592" s="40" t="s">
        <v>2939</v>
      </c>
      <c r="K592" s="40" t="s">
        <v>901</v>
      </c>
      <c r="L592" s="40" t="s">
        <v>3098</v>
      </c>
      <c r="M592" s="40" t="s">
        <v>737</v>
      </c>
      <c r="N592" s="40"/>
      <c r="O592" s="40"/>
      <c r="P592" s="40"/>
      <c r="Q592" s="40"/>
      <c r="R592" s="40" t="s">
        <v>738</v>
      </c>
      <c r="S592" s="40"/>
      <c r="T592" s="68" t="str">
        <f>VLOOKUP(Таблица3[[#This Row],[№ акта]],$AJ$1:$BJ$691,15,FALSE)</f>
        <v>А-116/1</v>
      </c>
      <c r="U592" s="70" t="str">
        <f>VLOOKUP(Таблица3[[#This Row],[№ акта]],$AJ$1:$BJ$691,16,FALSE)</f>
        <v>Фаворит</v>
      </c>
      <c r="V592" s="44">
        <f>VLOOKUP(Таблица3[[#This Row],[№ акта]],$AJ$1:$BJ$691,17,FALSE)</f>
        <v>0.8</v>
      </c>
      <c r="W592" s="44" t="str">
        <f>VLOOKUP(Таблица3[[#This Row],[№ акта]],$AJ$1:$BJ$691,18,FALSE)</f>
        <v>ГРК (богара)</v>
      </c>
      <c r="X592" s="45" t="str">
        <f>VLOOKUP(Таблица3[[#This Row],[№ акта]],$AJ$1:$BJ$691,19,FALSE)</f>
        <v>богара</v>
      </c>
      <c r="Y592" s="485">
        <f>VLOOKUP(Таблица3[[#This Row],[№ акта]],$AJ$1:$BJ$691,20,FALSE)</f>
        <v>31</v>
      </c>
      <c r="Z592" s="43">
        <f>VLOOKUP(Таблица3[[#This Row],[№ акта]],$AJ$1:$BJ$691,21,FALSE)</f>
        <v>46207</v>
      </c>
      <c r="AA592" s="36"/>
      <c r="AB592" s="43" t="str">
        <f>IF(VLOOKUP(Таблица3[[#This Row],[№ акта]],$AJ$1:$BJ$691,23,FALSE)&lt;&gt;0,VLOOKUP(Таблица3[[#This Row],[№ акта]],$AJ$1:$BJ$691,23,FALSE),"-")</f>
        <v>-</v>
      </c>
      <c r="AC592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92" s="360" t="s">
        <v>2940</v>
      </c>
      <c r="AE592" s="40">
        <v>662</v>
      </c>
      <c r="AF592" s="103">
        <v>46207</v>
      </c>
      <c r="AG592" s="40">
        <v>418</v>
      </c>
      <c r="AH592" s="40">
        <f>IFERROR(VLOOKUP(Таблица3[[#This Row],[№ акта]],'Степень зрелости 2026'!$H$12:$I$800,2,FALSE),)</f>
        <v>54</v>
      </c>
      <c r="AJ592" s="470">
        <v>582</v>
      </c>
      <c r="AK592" s="479">
        <v>46204</v>
      </c>
      <c r="AL592" s="470">
        <v>726</v>
      </c>
      <c r="AO592" s="470">
        <v>13960</v>
      </c>
      <c r="AP592" s="470">
        <v>11517</v>
      </c>
      <c r="AQ592" s="470" t="s">
        <v>3645</v>
      </c>
      <c r="AR592" s="470" t="s">
        <v>901</v>
      </c>
      <c r="AS592" s="470" t="s">
        <v>3121</v>
      </c>
      <c r="AT592" s="470" t="s">
        <v>311</v>
      </c>
      <c r="AV592" s="470" t="s">
        <v>315</v>
      </c>
      <c r="AX592" s="470" t="s">
        <v>3121</v>
      </c>
      <c r="AY592" s="470" t="s">
        <v>901</v>
      </c>
      <c r="AZ592" s="470">
        <v>2.8</v>
      </c>
      <c r="BA592" s="470" t="s">
        <v>53</v>
      </c>
      <c r="BB592" s="470" t="s">
        <v>178</v>
      </c>
      <c r="BC592" s="470">
        <v>28</v>
      </c>
      <c r="BD592" s="479">
        <v>46204</v>
      </c>
      <c r="BG592" s="470" t="s">
        <v>3557</v>
      </c>
      <c r="BH592" s="470" t="s">
        <v>2940</v>
      </c>
      <c r="BI592" s="470">
        <v>69</v>
      </c>
      <c r="BJ592" s="470">
        <v>51</v>
      </c>
      <c r="BK592" s="466"/>
    </row>
    <row r="593" spans="1:63" ht="22.5" hidden="1" x14ac:dyDescent="0.25">
      <c r="A593" s="40"/>
      <c r="B593" s="41"/>
      <c r="C593" s="121">
        <f>Таблица3[[#This Row],[Степень зрелости вспом]]</f>
        <v>56</v>
      </c>
      <c r="D593" s="42">
        <v>799</v>
      </c>
      <c r="E593" s="147"/>
      <c r="F593" s="41"/>
      <c r="G593" s="41">
        <v>7390</v>
      </c>
      <c r="H593" s="69"/>
      <c r="I593" s="41">
        <v>6577.1</v>
      </c>
      <c r="J593" s="40" t="s">
        <v>3645</v>
      </c>
      <c r="K593" s="40" t="s">
        <v>897</v>
      </c>
      <c r="L593" s="40" t="s">
        <v>3123</v>
      </c>
      <c r="M593" s="40" t="s">
        <v>3377</v>
      </c>
      <c r="N593" s="40"/>
      <c r="O593" s="40"/>
      <c r="P593" s="40"/>
      <c r="Q593" s="40"/>
      <c r="R593" s="40" t="s">
        <v>3196</v>
      </c>
      <c r="S593" s="40"/>
      <c r="T593" s="70" t="s">
        <v>3123</v>
      </c>
      <c r="U593" s="70" t="str">
        <f>VLOOKUP(Таблица3[[#This Row],[№ акта]],$AJ$1:$BJ$691,16,FALSE)</f>
        <v>Фаворит</v>
      </c>
      <c r="V593" s="44">
        <f>56.1*Таблица3[[#This Row],[Регистратор.Вес нетто]]/299630</f>
        <v>1.3836364849981644</v>
      </c>
      <c r="W593" s="44" t="str">
        <f>VLOOKUP(Таблица3[[#This Row],[№ акта]],$AJ$1:$BJ$691,18,FALSE)</f>
        <v>Колос (полив)</v>
      </c>
      <c r="X593" s="45" t="str">
        <f>VLOOKUP(Таблица3[[#This Row],[№ акта]],$AJ$1:$BJ$691,19,FALSE)</f>
        <v>полив</v>
      </c>
      <c r="Y593" s="485">
        <f>VLOOKUP(Таблица3[[#This Row],[№ акта]],$AJ$1:$BJ$691,20,FALSE)</f>
        <v>31</v>
      </c>
      <c r="Z593" s="43">
        <f>VLOOKUP(Таблица3[[#This Row],[№ акта]],$AJ$1:$BJ$691,21,FALSE)</f>
        <v>46207</v>
      </c>
      <c r="AA593" s="466"/>
      <c r="AB593" s="43" t="str">
        <f>IF(VLOOKUP(Таблица3[[#This Row],[№ акта]],$AJ$1:$BJ$691,23,FALSE)&lt;&gt;0,VLOOKUP(Таблица3[[#This Row],[№ акта]],$AJ$1:$BJ$691,23,FALSE),"-")</f>
        <v>-</v>
      </c>
      <c r="AC593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93" s="360" t="s">
        <v>2940</v>
      </c>
      <c r="AE593" s="40">
        <v>663</v>
      </c>
      <c r="AF593" s="103">
        <v>46207</v>
      </c>
      <c r="AG593" s="40">
        <v>103</v>
      </c>
      <c r="AH593" s="40">
        <f>IFERROR(VLOOKUP(Таблица3[[#This Row],[№ акта]],'Степень зрелости 2026'!$H$12:$I$800,2,FALSE),)</f>
        <v>56</v>
      </c>
      <c r="AJ593">
        <v>583</v>
      </c>
      <c r="AK593" s="34">
        <v>46204</v>
      </c>
      <c r="AL593">
        <v>728</v>
      </c>
      <c r="AO593">
        <v>13900</v>
      </c>
      <c r="AP593">
        <v>11745.5</v>
      </c>
      <c r="AQ593" t="s">
        <v>3645</v>
      </c>
      <c r="AR593" t="s">
        <v>901</v>
      </c>
      <c r="AS593" t="s">
        <v>3121</v>
      </c>
      <c r="AT593" t="s">
        <v>3377</v>
      </c>
      <c r="AV593" t="s">
        <v>3196</v>
      </c>
      <c r="AX593" t="s">
        <v>3121</v>
      </c>
      <c r="AY593" t="s">
        <v>901</v>
      </c>
      <c r="AZ593">
        <v>2.8</v>
      </c>
      <c r="BA593" t="s">
        <v>53</v>
      </c>
      <c r="BB593" t="s">
        <v>178</v>
      </c>
      <c r="BC593">
        <v>28</v>
      </c>
      <c r="BD593" s="34">
        <v>46204</v>
      </c>
      <c r="BG593" t="s">
        <v>3557</v>
      </c>
      <c r="BH593" t="s">
        <v>2940</v>
      </c>
      <c r="BI593">
        <v>72</v>
      </c>
      <c r="BJ593">
        <v>50</v>
      </c>
      <c r="BK593" s="466"/>
    </row>
    <row r="594" spans="1:63" hidden="1" x14ac:dyDescent="0.25">
      <c r="A594" s="40"/>
      <c r="B594" s="41"/>
      <c r="C594" s="121">
        <f>Таблица3[[#This Row],[Степень зрелости вспом]]</f>
        <v>58</v>
      </c>
      <c r="D594" s="42">
        <v>800</v>
      </c>
      <c r="E594" s="147"/>
      <c r="F594" s="41"/>
      <c r="G594" s="41">
        <v>12810</v>
      </c>
      <c r="H594" s="69"/>
      <c r="I594" s="41">
        <v>10952.6</v>
      </c>
      <c r="J594" s="40" t="s">
        <v>2939</v>
      </c>
      <c r="K594" s="40" t="s">
        <v>901</v>
      </c>
      <c r="L594" s="40" t="s">
        <v>3098</v>
      </c>
      <c r="M594" s="40" t="s">
        <v>212</v>
      </c>
      <c r="N594" s="40"/>
      <c r="O594" s="40"/>
      <c r="P594" s="40"/>
      <c r="Q594" s="40"/>
      <c r="R594" s="40" t="s">
        <v>2965</v>
      </c>
      <c r="S594" s="40"/>
      <c r="T594" s="70" t="str">
        <f>VLOOKUP(Таблица3[[#This Row],[№ акта]],$AJ$1:$BJ$691,15,FALSE)</f>
        <v>А-116/1</v>
      </c>
      <c r="U594" s="70" t="str">
        <f>VLOOKUP(Таблица3[[#This Row],[№ акта]],$AJ$1:$BJ$691,16,FALSE)</f>
        <v>Фаворит</v>
      </c>
      <c r="V594" s="44">
        <f>VLOOKUP(Таблица3[[#This Row],[№ акта]],$AJ$1:$BJ$691,17,FALSE)</f>
        <v>2.5</v>
      </c>
      <c r="W594" s="44" t="str">
        <f>VLOOKUP(Таблица3[[#This Row],[№ акта]],$AJ$1:$BJ$691,18,FALSE)</f>
        <v>ГРК (богара)</v>
      </c>
      <c r="X594" s="45" t="str">
        <f>VLOOKUP(Таблица3[[#This Row],[№ акта]],$AJ$1:$BJ$691,19,FALSE)</f>
        <v>богара</v>
      </c>
      <c r="Y594" s="485">
        <f>VLOOKUP(Таблица3[[#This Row],[№ акта]],$AJ$1:$BJ$691,20,FALSE)</f>
        <v>31</v>
      </c>
      <c r="Z594" s="43">
        <f>VLOOKUP(Таблица3[[#This Row],[№ акта]],$AJ$1:$BJ$691,21,FALSE)</f>
        <v>46207</v>
      </c>
      <c r="AA594" s="45"/>
      <c r="AB594" s="43" t="str">
        <f>IF(VLOOKUP(Таблица3[[#This Row],[№ акта]],$AJ$1:$BJ$691,23,FALSE)&lt;&gt;0,VLOOKUP(Таблица3[[#This Row],[№ акта]],$AJ$1:$BJ$691,23,FALSE),"-")</f>
        <v>-</v>
      </c>
      <c r="AC594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94" s="360" t="s">
        <v>2940</v>
      </c>
      <c r="AE594" s="40">
        <v>664</v>
      </c>
      <c r="AF594" s="103">
        <v>46207</v>
      </c>
      <c r="AG594" s="40">
        <v>419</v>
      </c>
      <c r="AH594" s="40">
        <f>IFERROR(VLOOKUP(Таблица3[[#This Row],[№ акта]],'Степень зрелости 2026'!$H$12:$I$800,2,FALSE),)</f>
        <v>58</v>
      </c>
      <c r="AJ594">
        <v>584</v>
      </c>
      <c r="AK594" s="34">
        <v>46204</v>
      </c>
      <c r="AL594">
        <v>729</v>
      </c>
      <c r="AO594">
        <v>13720</v>
      </c>
      <c r="AP594">
        <v>11456.2</v>
      </c>
      <c r="AQ594" t="s">
        <v>3645</v>
      </c>
      <c r="AR594" t="s">
        <v>901</v>
      </c>
      <c r="AS594" t="s">
        <v>3121</v>
      </c>
      <c r="AT594" t="s">
        <v>1151</v>
      </c>
      <c r="AV594" t="s">
        <v>145</v>
      </c>
      <c r="AX594" t="s">
        <v>3121</v>
      </c>
      <c r="AY594" t="s">
        <v>901</v>
      </c>
      <c r="AZ594">
        <v>2.8</v>
      </c>
      <c r="BA594" t="s">
        <v>53</v>
      </c>
      <c r="BB594" t="s">
        <v>178</v>
      </c>
      <c r="BC594">
        <v>28</v>
      </c>
      <c r="BD594" s="34">
        <v>46204</v>
      </c>
      <c r="BG594" t="s">
        <v>3557</v>
      </c>
      <c r="BH594" t="s">
        <v>2940</v>
      </c>
      <c r="BI594">
        <v>73</v>
      </c>
      <c r="BJ594">
        <v>51</v>
      </c>
      <c r="BK594" s="466"/>
    </row>
    <row r="595" spans="1:63" hidden="1" x14ac:dyDescent="0.25">
      <c r="A595" s="40"/>
      <c r="B595" s="41"/>
      <c r="C595" s="121">
        <f>Таблица3[[#This Row],[Степень зрелости вспом]]</f>
        <v>62</v>
      </c>
      <c r="D595" s="42">
        <v>801</v>
      </c>
      <c r="E595" s="147"/>
      <c r="F595" s="41"/>
      <c r="G595" s="41">
        <v>12920</v>
      </c>
      <c r="H595" s="69"/>
      <c r="I595" s="41">
        <v>10271.4</v>
      </c>
      <c r="J595" s="40" t="s">
        <v>2939</v>
      </c>
      <c r="K595" s="40" t="s">
        <v>901</v>
      </c>
      <c r="L595" s="40" t="s">
        <v>3098</v>
      </c>
      <c r="M595" s="40" t="s">
        <v>2967</v>
      </c>
      <c r="N595" s="40"/>
      <c r="O595" s="40"/>
      <c r="P595" s="40"/>
      <c r="Q595" s="40"/>
      <c r="R595" s="40" t="s">
        <v>1810</v>
      </c>
      <c r="S595" s="40"/>
      <c r="T595" s="70" t="str">
        <f>VLOOKUP(Таблица3[[#This Row],[№ акта]],$AJ$1:$BJ$691,15,FALSE)</f>
        <v>А-116/1</v>
      </c>
      <c r="U595" s="70" t="str">
        <f>VLOOKUP(Таблица3[[#This Row],[№ акта]],$AJ$1:$BJ$691,16,FALSE)</f>
        <v>Фаворит</v>
      </c>
      <c r="V595" s="44">
        <f>VLOOKUP(Таблица3[[#This Row],[№ акта]],$AJ$1:$BJ$691,17,FALSE)</f>
        <v>2.5</v>
      </c>
      <c r="W595" s="44" t="str">
        <f>VLOOKUP(Таблица3[[#This Row],[№ акта]],$AJ$1:$BJ$691,18,FALSE)</f>
        <v>ГРК (богара)</v>
      </c>
      <c r="X595" s="45" t="str">
        <f>VLOOKUP(Таблица3[[#This Row],[№ акта]],$AJ$1:$BJ$691,19,FALSE)</f>
        <v>богара</v>
      </c>
      <c r="Y595" s="485">
        <f>VLOOKUP(Таблица3[[#This Row],[№ акта]],$AJ$1:$BJ$691,20,FALSE)</f>
        <v>31</v>
      </c>
      <c r="Z595" s="43">
        <f>VLOOKUP(Таблица3[[#This Row],[№ акта]],$AJ$1:$BJ$691,21,FALSE)</f>
        <v>46207</v>
      </c>
      <c r="AA595" s="45"/>
      <c r="AB595" s="43" t="str">
        <f>IF(VLOOKUP(Таблица3[[#This Row],[№ акта]],$AJ$1:$BJ$691,23,FALSE)&lt;&gt;0,VLOOKUP(Таблица3[[#This Row],[№ акта]],$AJ$1:$BJ$691,23,FALSE),"-")</f>
        <v>-</v>
      </c>
      <c r="AC595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95" s="360" t="s">
        <v>2940</v>
      </c>
      <c r="AE595" s="40">
        <v>665</v>
      </c>
      <c r="AF595" s="103">
        <v>46207</v>
      </c>
      <c r="AG595" s="40">
        <v>420</v>
      </c>
      <c r="AH595" s="40">
        <f>IFERROR(VLOOKUP(Таблица3[[#This Row],[№ акта]],'Степень зрелости 2026'!$H$12:$I$800,2,FALSE),)</f>
        <v>62</v>
      </c>
      <c r="AJ595">
        <v>585</v>
      </c>
      <c r="AK595" s="34">
        <v>46204</v>
      </c>
      <c r="AL595">
        <v>730</v>
      </c>
      <c r="AO595">
        <v>13590</v>
      </c>
      <c r="AP595">
        <v>10260.5</v>
      </c>
      <c r="AQ595" t="s">
        <v>3375</v>
      </c>
      <c r="AR595" t="s">
        <v>901</v>
      </c>
      <c r="AS595" t="s">
        <v>3092</v>
      </c>
      <c r="AT595" t="s">
        <v>166</v>
      </c>
      <c r="AV595" t="s">
        <v>170</v>
      </c>
      <c r="AX595" t="s">
        <v>3092</v>
      </c>
      <c r="AY595" t="s">
        <v>901</v>
      </c>
      <c r="AZ595">
        <v>5.5</v>
      </c>
      <c r="BA595" t="s">
        <v>2932</v>
      </c>
      <c r="BB595" t="s">
        <v>178</v>
      </c>
      <c r="BC595">
        <v>28</v>
      </c>
      <c r="BD595" s="34">
        <v>46204</v>
      </c>
      <c r="BG595" t="s">
        <v>724</v>
      </c>
      <c r="BH595" t="s">
        <v>2940</v>
      </c>
      <c r="BI595">
        <v>389</v>
      </c>
      <c r="BJ595">
        <v>55</v>
      </c>
      <c r="BK595" s="466"/>
    </row>
    <row r="596" spans="1:63" hidden="1" x14ac:dyDescent="0.25">
      <c r="A596" s="40"/>
      <c r="B596" s="41"/>
      <c r="C596" s="121">
        <f>Таблица3[[#This Row],[Степень зрелости вспом]]</f>
        <v>64</v>
      </c>
      <c r="D596" s="42">
        <v>802</v>
      </c>
      <c r="E596" s="147"/>
      <c r="F596" s="41"/>
      <c r="G596" s="41">
        <v>4170</v>
      </c>
      <c r="H596" s="69"/>
      <c r="I596" s="41">
        <v>3899</v>
      </c>
      <c r="J596" s="40" t="s">
        <v>2939</v>
      </c>
      <c r="K596" s="40" t="s">
        <v>901</v>
      </c>
      <c r="L596" s="40" t="s">
        <v>3098</v>
      </c>
      <c r="M596" s="40" t="s">
        <v>737</v>
      </c>
      <c r="N596" s="40"/>
      <c r="O596" s="40"/>
      <c r="P596" s="40"/>
      <c r="Q596" s="40"/>
      <c r="R596" s="40" t="s">
        <v>738</v>
      </c>
      <c r="S596" s="40"/>
      <c r="T596" s="70" t="str">
        <f>VLOOKUP(Таблица3[[#This Row],[№ акта]],$AJ$1:$BJ$691,15,FALSE)</f>
        <v>А-116/1</v>
      </c>
      <c r="U596" s="70" t="str">
        <f>VLOOKUP(Таблица3[[#This Row],[№ акта]],$AJ$1:$BJ$691,16,FALSE)</f>
        <v>Фаворит</v>
      </c>
      <c r="V596" s="44">
        <f>VLOOKUP(Таблица3[[#This Row],[№ акта]],$AJ$1:$BJ$691,17,FALSE)</f>
        <v>0.8</v>
      </c>
      <c r="W596" s="44" t="str">
        <f>VLOOKUP(Таблица3[[#This Row],[№ акта]],$AJ$1:$BJ$691,18,FALSE)</f>
        <v>ГРК (богара)</v>
      </c>
      <c r="X596" s="45" t="str">
        <f>VLOOKUP(Таблица3[[#This Row],[№ акта]],$AJ$1:$BJ$691,19,FALSE)</f>
        <v>богара</v>
      </c>
      <c r="Y596" s="485">
        <f>VLOOKUP(Таблица3[[#This Row],[№ акта]],$AJ$1:$BJ$691,20,FALSE)</f>
        <v>31</v>
      </c>
      <c r="Z596" s="43">
        <f>VLOOKUP(Таблица3[[#This Row],[№ акта]],$AJ$1:$BJ$691,21,FALSE)</f>
        <v>46207</v>
      </c>
      <c r="AA596" s="45"/>
      <c r="AB596" s="43" t="str">
        <f>IF(VLOOKUP(Таблица3[[#This Row],[№ акта]],$AJ$1:$BJ$691,23,FALSE)&lt;&gt;0,VLOOKUP(Таблица3[[#This Row],[№ акта]],$AJ$1:$BJ$691,23,FALSE),"-")</f>
        <v>-</v>
      </c>
      <c r="AC596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596" s="360" t="s">
        <v>3230</v>
      </c>
      <c r="AE596" s="40">
        <v>666</v>
      </c>
      <c r="AF596" s="103">
        <v>46207</v>
      </c>
      <c r="AG596" s="40">
        <v>421</v>
      </c>
      <c r="AH596" s="40">
        <f>IFERROR(VLOOKUP(Таблица3[[#This Row],[№ акта]],'Степень зрелости 2026'!$H$12:$I$800,2,FALSE),)</f>
        <v>64</v>
      </c>
      <c r="AJ596">
        <v>586</v>
      </c>
      <c r="AK596" s="34">
        <v>46204</v>
      </c>
      <c r="AL596">
        <v>731</v>
      </c>
      <c r="AO596">
        <v>13920</v>
      </c>
      <c r="AP596">
        <v>11623.2</v>
      </c>
      <c r="AQ596" t="s">
        <v>3645</v>
      </c>
      <c r="AR596" t="s">
        <v>901</v>
      </c>
      <c r="AS596" t="s">
        <v>3121</v>
      </c>
      <c r="AT596" t="s">
        <v>133</v>
      </c>
      <c r="AV596" t="s">
        <v>137</v>
      </c>
      <c r="AX596" t="s">
        <v>3121</v>
      </c>
      <c r="AY596" t="s">
        <v>901</v>
      </c>
      <c r="AZ596">
        <v>2.8</v>
      </c>
      <c r="BA596" t="s">
        <v>53</v>
      </c>
      <c r="BB596" t="s">
        <v>178</v>
      </c>
      <c r="BC596">
        <v>28</v>
      </c>
      <c r="BD596" s="34">
        <v>46204</v>
      </c>
      <c r="BG596" t="s">
        <v>724</v>
      </c>
      <c r="BH596" t="s">
        <v>2940</v>
      </c>
      <c r="BI596">
        <v>74</v>
      </c>
      <c r="BJ596">
        <v>55</v>
      </c>
      <c r="BK596" s="466"/>
    </row>
    <row r="597" spans="1:63" hidden="1" x14ac:dyDescent="0.25">
      <c r="A597" s="40"/>
      <c r="B597" s="41"/>
      <c r="C597" s="121">
        <f>Таблица3[[#This Row],[Степень зрелости вспом]]</f>
        <v>59</v>
      </c>
      <c r="D597" s="42">
        <v>803</v>
      </c>
      <c r="E597" s="147"/>
      <c r="F597" s="41"/>
      <c r="G597" s="41">
        <v>13150</v>
      </c>
      <c r="H597" s="69"/>
      <c r="I597" s="41">
        <v>11900.8</v>
      </c>
      <c r="J597" s="40" t="s">
        <v>2939</v>
      </c>
      <c r="K597" s="40" t="s">
        <v>901</v>
      </c>
      <c r="L597" s="40" t="s">
        <v>3098</v>
      </c>
      <c r="M597" s="40" t="s">
        <v>3377</v>
      </c>
      <c r="N597" s="40"/>
      <c r="O597" s="40"/>
      <c r="P597" s="40"/>
      <c r="Q597" s="40"/>
      <c r="R597" s="40" t="s">
        <v>3196</v>
      </c>
      <c r="S597" s="40"/>
      <c r="T597" s="70" t="str">
        <f>VLOOKUP(Таблица3[[#This Row],[№ акта]],$AJ$1:$BJ$691,15,FALSE)</f>
        <v>А-116/1</v>
      </c>
      <c r="U597" s="70" t="str">
        <f>VLOOKUP(Таблица3[[#This Row],[№ акта]],$AJ$1:$BJ$691,16,FALSE)</f>
        <v>Фаворит</v>
      </c>
      <c r="V597" s="44">
        <f>VLOOKUP(Таблица3[[#This Row],[№ акта]],$AJ$1:$BJ$691,17,FALSE)</f>
        <v>2.5</v>
      </c>
      <c r="W597" s="44" t="str">
        <f>VLOOKUP(Таблица3[[#This Row],[№ акта]],$AJ$1:$BJ$691,18,FALSE)</f>
        <v>ГРК (богара)</v>
      </c>
      <c r="X597" s="45" t="str">
        <f>VLOOKUP(Таблица3[[#This Row],[№ акта]],$AJ$1:$BJ$691,19,FALSE)</f>
        <v>богара</v>
      </c>
      <c r="Y597" s="485">
        <f>VLOOKUP(Таблица3[[#This Row],[№ акта]],$AJ$1:$BJ$691,20,FALSE)</f>
        <v>31</v>
      </c>
      <c r="Z597" s="43">
        <f>VLOOKUP(Таблица3[[#This Row],[№ акта]],$AJ$1:$BJ$691,21,FALSE)</f>
        <v>46207</v>
      </c>
      <c r="AA597" s="45"/>
      <c r="AB597" s="43" t="str">
        <f>IF(VLOOKUP(Таблица3[[#This Row],[№ акта]],$AJ$1:$BJ$691,23,FALSE)&lt;&gt;0,VLOOKUP(Таблица3[[#This Row],[№ акта]],$AJ$1:$BJ$691,23,FALSE),"-")</f>
        <v>-</v>
      </c>
      <c r="AC597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97" s="360" t="s">
        <v>2940</v>
      </c>
      <c r="AE597" s="40">
        <v>667</v>
      </c>
      <c r="AF597" s="103">
        <v>46207</v>
      </c>
      <c r="AG597" s="40">
        <v>422</v>
      </c>
      <c r="AH597" s="40">
        <f>IFERROR(VLOOKUP(Таблица3[[#This Row],[№ акта]],'Степень зрелости 2026'!$H$12:$I$800,2,FALSE),)</f>
        <v>59</v>
      </c>
      <c r="AJ597">
        <v>588</v>
      </c>
      <c r="AK597" s="34">
        <v>46204</v>
      </c>
      <c r="AL597">
        <v>733</v>
      </c>
      <c r="AO597">
        <v>13470</v>
      </c>
      <c r="AP597">
        <v>11651.6</v>
      </c>
      <c r="AQ597" t="s">
        <v>3645</v>
      </c>
      <c r="AR597" t="s">
        <v>901</v>
      </c>
      <c r="AS597" t="s">
        <v>3121</v>
      </c>
      <c r="AT597" t="s">
        <v>239</v>
      </c>
      <c r="AV597" t="s">
        <v>243</v>
      </c>
      <c r="AX597" t="s">
        <v>3121</v>
      </c>
      <c r="AY597" t="s">
        <v>901</v>
      </c>
      <c r="AZ597">
        <v>2.7</v>
      </c>
      <c r="BA597" t="s">
        <v>53</v>
      </c>
      <c r="BB597" t="s">
        <v>178</v>
      </c>
      <c r="BC597">
        <v>28</v>
      </c>
      <c r="BD597" s="34">
        <v>46204</v>
      </c>
      <c r="BG597" t="s">
        <v>724</v>
      </c>
      <c r="BH597" t="s">
        <v>2940</v>
      </c>
      <c r="BI597">
        <v>75</v>
      </c>
      <c r="BJ597">
        <v>53</v>
      </c>
      <c r="BK597" s="466"/>
    </row>
    <row r="598" spans="1:63" ht="22.5" hidden="1" x14ac:dyDescent="0.25">
      <c r="A598" s="40"/>
      <c r="B598" s="41"/>
      <c r="C598" s="121">
        <f>Таблица3[[#This Row],[Степень зрелости вспом]]</f>
        <v>61</v>
      </c>
      <c r="D598" s="42">
        <v>804</v>
      </c>
      <c r="E598" s="147"/>
      <c r="F598" s="41"/>
      <c r="G598" s="41">
        <v>3060</v>
      </c>
      <c r="H598" s="69"/>
      <c r="I598" s="41">
        <v>2845.8</v>
      </c>
      <c r="J598" s="40" t="s">
        <v>3645</v>
      </c>
      <c r="K598" s="40" t="s">
        <v>897</v>
      </c>
      <c r="L598" s="40" t="s">
        <v>3123</v>
      </c>
      <c r="M598" s="40" t="s">
        <v>1461</v>
      </c>
      <c r="N598" s="40"/>
      <c r="O598" s="40"/>
      <c r="P598" s="40"/>
      <c r="Q598" s="40"/>
      <c r="R598" s="40" t="s">
        <v>149</v>
      </c>
      <c r="S598" s="40"/>
      <c r="T598" s="70" t="s">
        <v>3123</v>
      </c>
      <c r="U598" s="70" t="str">
        <f>VLOOKUP(Таблица3[[#This Row],[№ акта]],$AJ$1:$BJ$691,16,FALSE)</f>
        <v>Фаворит</v>
      </c>
      <c r="V598" s="44">
        <f>56.1*Таблица3[[#This Row],[Регистратор.Вес нетто]]/299630</f>
        <v>0.57292660948503149</v>
      </c>
      <c r="W598" s="44" t="str">
        <f>VLOOKUP(Таблица3[[#This Row],[№ акта]],$AJ$1:$BJ$691,18,FALSE)</f>
        <v>Колос (полив)</v>
      </c>
      <c r="X598" s="45" t="str">
        <f>VLOOKUP(Таблица3[[#This Row],[№ акта]],$AJ$1:$BJ$691,19,FALSE)</f>
        <v>полив</v>
      </c>
      <c r="Y598" s="485">
        <f>VLOOKUP(Таблица3[[#This Row],[№ акта]],$AJ$1:$BJ$691,20,FALSE)</f>
        <v>31</v>
      </c>
      <c r="Z598" s="43">
        <f>VLOOKUP(Таблица3[[#This Row],[№ акта]],$AJ$1:$BJ$691,21,FALSE)</f>
        <v>46207</v>
      </c>
      <c r="AA598" s="45"/>
      <c r="AB598" s="43" t="str">
        <f>IF(VLOOKUP(Таблица3[[#This Row],[№ акта]],$AJ$1:$BJ$691,23,FALSE)&lt;&gt;0,VLOOKUP(Таблица3[[#This Row],[№ акта]],$AJ$1:$BJ$691,23,FALSE),"-")</f>
        <v>-</v>
      </c>
      <c r="AC598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98" s="360" t="s">
        <v>2940</v>
      </c>
      <c r="AE598" s="40">
        <v>668</v>
      </c>
      <c r="AF598" s="103">
        <v>46207</v>
      </c>
      <c r="AG598" s="40">
        <v>104</v>
      </c>
      <c r="AH598" s="40">
        <f>IFERROR(VLOOKUP(Таблица3[[#This Row],[№ акта]],'Степень зрелости 2026'!$H$12:$I$800,2,FALSE),)</f>
        <v>61</v>
      </c>
      <c r="AJ598">
        <v>589</v>
      </c>
      <c r="AK598" s="34">
        <v>46205</v>
      </c>
      <c r="AL598">
        <v>734</v>
      </c>
      <c r="AO598">
        <v>13100</v>
      </c>
      <c r="AP598">
        <v>10152.5</v>
      </c>
      <c r="AQ598" t="s">
        <v>3375</v>
      </c>
      <c r="AR598" t="s">
        <v>901</v>
      </c>
      <c r="AS598" t="s">
        <v>3092</v>
      </c>
      <c r="AT598" t="s">
        <v>166</v>
      </c>
      <c r="AV598" t="s">
        <v>170</v>
      </c>
      <c r="AX598" t="s">
        <v>3092</v>
      </c>
      <c r="AY598" t="s">
        <v>901</v>
      </c>
      <c r="AZ598">
        <v>5.3</v>
      </c>
      <c r="BA598" t="s">
        <v>2932</v>
      </c>
      <c r="BB598" t="s">
        <v>178</v>
      </c>
      <c r="BC598">
        <v>28</v>
      </c>
      <c r="BD598" s="34">
        <v>46204</v>
      </c>
      <c r="BG598" t="s">
        <v>724</v>
      </c>
      <c r="BH598" t="s">
        <v>2940</v>
      </c>
      <c r="BI598">
        <v>391</v>
      </c>
      <c r="BJ598">
        <v>55</v>
      </c>
      <c r="BK598" s="466"/>
    </row>
    <row r="599" spans="1:63" hidden="1" x14ac:dyDescent="0.25">
      <c r="A599" s="40"/>
      <c r="B599" s="41"/>
      <c r="C599" s="121">
        <f>Таблица3[[#This Row],[Степень зрелости вспом]]</f>
        <v>61</v>
      </c>
      <c r="D599" s="42">
        <v>805</v>
      </c>
      <c r="E599" s="147"/>
      <c r="F599" s="41"/>
      <c r="G599" s="41">
        <v>12950</v>
      </c>
      <c r="H599" s="69"/>
      <c r="I599" s="41">
        <v>11978.8</v>
      </c>
      <c r="J599" s="40" t="s">
        <v>2939</v>
      </c>
      <c r="K599" s="40" t="s">
        <v>901</v>
      </c>
      <c r="L599" s="40" t="s">
        <v>3098</v>
      </c>
      <c r="M599" s="40" t="s">
        <v>212</v>
      </c>
      <c r="N599" s="40"/>
      <c r="O599" s="40"/>
      <c r="P599" s="40"/>
      <c r="Q599" s="40"/>
      <c r="R599" s="40" t="s">
        <v>2965</v>
      </c>
      <c r="S599" s="40"/>
      <c r="T599" s="70" t="str">
        <f>VLOOKUP(Таблица3[[#This Row],[№ акта]],$AJ$1:$BJ$691,15,FALSE)</f>
        <v>А-116/1</v>
      </c>
      <c r="U599" s="70" t="str">
        <f>VLOOKUP(Таблица3[[#This Row],[№ акта]],$AJ$1:$BJ$691,16,FALSE)</f>
        <v>Фаворит</v>
      </c>
      <c r="V599" s="44">
        <f>VLOOKUP(Таблица3[[#This Row],[№ акта]],$AJ$1:$BJ$691,17,FALSE)</f>
        <v>2.5</v>
      </c>
      <c r="W599" s="44" t="str">
        <f>VLOOKUP(Таблица3[[#This Row],[№ акта]],$AJ$1:$BJ$691,18,FALSE)</f>
        <v>ГРК (богара)</v>
      </c>
      <c r="X599" s="45" t="str">
        <f>VLOOKUP(Таблица3[[#This Row],[№ акта]],$AJ$1:$BJ$691,19,FALSE)</f>
        <v>богара</v>
      </c>
      <c r="Y599" s="485">
        <f>VLOOKUP(Таблица3[[#This Row],[№ акта]],$AJ$1:$BJ$691,20,FALSE)</f>
        <v>31</v>
      </c>
      <c r="Z599" s="43">
        <f>VLOOKUP(Таблица3[[#This Row],[№ акта]],$AJ$1:$BJ$691,21,FALSE)</f>
        <v>46207</v>
      </c>
      <c r="AA599" s="45"/>
      <c r="AB599" s="43" t="str">
        <f>IF(VLOOKUP(Таблица3[[#This Row],[№ акта]],$AJ$1:$BJ$691,23,FALSE)&lt;&gt;0,VLOOKUP(Таблица3[[#This Row],[№ акта]],$AJ$1:$BJ$691,23,FALSE),"-")</f>
        <v>-</v>
      </c>
      <c r="AC599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599" s="360" t="s">
        <v>2940</v>
      </c>
      <c r="AE599" s="40">
        <v>669</v>
      </c>
      <c r="AF599" s="103">
        <v>46207</v>
      </c>
      <c r="AG599" s="40">
        <v>423</v>
      </c>
      <c r="AH599" s="40">
        <f>IFERROR(VLOOKUP(Таблица3[[#This Row],[№ акта]],'Степень зрелости 2026'!$H$12:$I$800,2,FALSE),)</f>
        <v>61</v>
      </c>
      <c r="AJ599">
        <v>590</v>
      </c>
      <c r="AK599" s="34">
        <v>46205</v>
      </c>
      <c r="AL599">
        <v>735</v>
      </c>
      <c r="AO599">
        <v>13070</v>
      </c>
      <c r="AP599">
        <v>11632.3</v>
      </c>
      <c r="AQ599" t="s">
        <v>3645</v>
      </c>
      <c r="AR599" t="s">
        <v>901</v>
      </c>
      <c r="AS599" t="s">
        <v>3121</v>
      </c>
      <c r="AT599" t="s">
        <v>3554</v>
      </c>
      <c r="AV599" t="s">
        <v>3555</v>
      </c>
      <c r="AX599" t="s">
        <v>3121</v>
      </c>
      <c r="AY599" t="s">
        <v>901</v>
      </c>
      <c r="AZ599">
        <v>2.6</v>
      </c>
      <c r="BA599" t="s">
        <v>53</v>
      </c>
      <c r="BB599" t="s">
        <v>178</v>
      </c>
      <c r="BC599">
        <v>28</v>
      </c>
      <c r="BD599" s="34">
        <v>46204</v>
      </c>
      <c r="BG599" t="s">
        <v>724</v>
      </c>
      <c r="BH599" t="s">
        <v>2940</v>
      </c>
      <c r="BI599">
        <v>76</v>
      </c>
      <c r="BJ599">
        <v>53</v>
      </c>
      <c r="BK599" s="466"/>
    </row>
    <row r="600" spans="1:63" hidden="1" x14ac:dyDescent="0.25">
      <c r="A600" s="40"/>
      <c r="B600" s="41"/>
      <c r="C600" s="121">
        <f>Таблица3[[#This Row],[Степень зрелости вспом]]</f>
        <v>59</v>
      </c>
      <c r="D600" s="42">
        <v>806</v>
      </c>
      <c r="E600" s="147"/>
      <c r="F600" s="41"/>
      <c r="G600" s="41">
        <v>13120</v>
      </c>
      <c r="H600" s="69"/>
      <c r="I600" s="41">
        <v>11611.2</v>
      </c>
      <c r="J600" s="40" t="s">
        <v>2939</v>
      </c>
      <c r="K600" s="40" t="s">
        <v>901</v>
      </c>
      <c r="L600" s="40" t="s">
        <v>3098</v>
      </c>
      <c r="M600" s="40" t="s">
        <v>2967</v>
      </c>
      <c r="N600" s="40"/>
      <c r="O600" s="40"/>
      <c r="P600" s="40"/>
      <c r="Q600" s="40"/>
      <c r="R600" s="40" t="s">
        <v>1810</v>
      </c>
      <c r="S600" s="40"/>
      <c r="T600" s="70" t="str">
        <f>VLOOKUP(Таблица3[[#This Row],[№ акта]],$AJ$1:$BJ$691,15,FALSE)</f>
        <v>А-116/1</v>
      </c>
      <c r="U600" s="70" t="str">
        <f>VLOOKUP(Таблица3[[#This Row],[№ акта]],$AJ$1:$BJ$691,16,FALSE)</f>
        <v>Фаворит</v>
      </c>
      <c r="V600" s="44">
        <f>VLOOKUP(Таблица3[[#This Row],[№ акта]],$AJ$1:$BJ$691,17,FALSE)</f>
        <v>2.5</v>
      </c>
      <c r="W600" s="44" t="str">
        <f>VLOOKUP(Таблица3[[#This Row],[№ акта]],$AJ$1:$BJ$691,18,FALSE)</f>
        <v>ГРК (богара)</v>
      </c>
      <c r="X600" s="45" t="str">
        <f>VLOOKUP(Таблица3[[#This Row],[№ акта]],$AJ$1:$BJ$691,19,FALSE)</f>
        <v>богара</v>
      </c>
      <c r="Y600" s="485">
        <f>VLOOKUP(Таблица3[[#This Row],[№ акта]],$AJ$1:$BJ$691,20,FALSE)</f>
        <v>31</v>
      </c>
      <c r="Z600" s="43">
        <f>VLOOKUP(Таблица3[[#This Row],[№ акта]],$AJ$1:$BJ$691,21,FALSE)</f>
        <v>46207</v>
      </c>
      <c r="AA600" s="45"/>
      <c r="AB600" s="43" t="str">
        <f>IF(VLOOKUP(Таблица3[[#This Row],[№ акта]],$AJ$1:$BJ$691,23,FALSE)&lt;&gt;0,VLOOKUP(Таблица3[[#This Row],[№ акта]],$AJ$1:$BJ$691,23,FALSE),"-")</f>
        <v>-</v>
      </c>
      <c r="AC600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00" s="360" t="s">
        <v>2940</v>
      </c>
      <c r="AE600" s="40">
        <v>671</v>
      </c>
      <c r="AF600" s="103">
        <v>46207</v>
      </c>
      <c r="AG600" s="40">
        <v>424</v>
      </c>
      <c r="AH600" s="40">
        <f>IFERROR(VLOOKUP(Таблица3[[#This Row],[№ акта]],'Степень зрелости 2026'!$H$12:$I$800,2,FALSE),)</f>
        <v>59</v>
      </c>
      <c r="AJ600">
        <v>591</v>
      </c>
      <c r="AK600" s="34">
        <v>46205</v>
      </c>
      <c r="AL600">
        <v>736</v>
      </c>
      <c r="AO600">
        <v>13210</v>
      </c>
      <c r="AP600">
        <v>11294.6</v>
      </c>
      <c r="AQ600" t="s">
        <v>3645</v>
      </c>
      <c r="AR600" t="s">
        <v>901</v>
      </c>
      <c r="AS600" t="s">
        <v>3121</v>
      </c>
      <c r="AT600" t="s">
        <v>335</v>
      </c>
      <c r="AV600" t="s">
        <v>339</v>
      </c>
      <c r="AX600" t="s">
        <v>3121</v>
      </c>
      <c r="AY600" t="s">
        <v>901</v>
      </c>
      <c r="AZ600">
        <v>2.7</v>
      </c>
      <c r="BA600" t="s">
        <v>53</v>
      </c>
      <c r="BB600" t="s">
        <v>178</v>
      </c>
      <c r="BC600">
        <v>28</v>
      </c>
      <c r="BD600" s="34">
        <v>46204</v>
      </c>
      <c r="BG600" t="s">
        <v>3557</v>
      </c>
      <c r="BH600" t="s">
        <v>2940</v>
      </c>
      <c r="BI600">
        <v>77</v>
      </c>
      <c r="BJ600">
        <v>50</v>
      </c>
      <c r="BK600" s="466"/>
    </row>
    <row r="601" spans="1:63" hidden="1" x14ac:dyDescent="0.25">
      <c r="A601" s="40"/>
      <c r="B601" s="41"/>
      <c r="C601" s="121">
        <f>Таблица3[[#This Row],[Степень зрелости вспом]]</f>
        <v>60</v>
      </c>
      <c r="D601" s="42">
        <v>807</v>
      </c>
      <c r="E601" s="147"/>
      <c r="F601" s="41"/>
      <c r="G601" s="41">
        <v>4390</v>
      </c>
      <c r="H601" s="69"/>
      <c r="I601" s="41">
        <v>3841.3</v>
      </c>
      <c r="J601" s="40" t="s">
        <v>2939</v>
      </c>
      <c r="K601" s="40" t="s">
        <v>901</v>
      </c>
      <c r="L601" s="40" t="s">
        <v>3098</v>
      </c>
      <c r="M601" s="40" t="s">
        <v>737</v>
      </c>
      <c r="N601" s="40"/>
      <c r="O601" s="40"/>
      <c r="P601" s="40"/>
      <c r="Q601" s="40"/>
      <c r="R601" s="40" t="s">
        <v>738</v>
      </c>
      <c r="S601" s="40"/>
      <c r="T601" s="70" t="str">
        <f>VLOOKUP(Таблица3[[#This Row],[№ акта]],$AJ$1:$BJ$691,15,FALSE)</f>
        <v>А-116/1</v>
      </c>
      <c r="U601" s="70" t="str">
        <f>VLOOKUP(Таблица3[[#This Row],[№ акта]],$AJ$1:$BJ$691,16,FALSE)</f>
        <v>Фаворит</v>
      </c>
      <c r="V601" s="44">
        <f>VLOOKUP(Таблица3[[#This Row],[№ акта]],$AJ$1:$BJ$691,17,FALSE)</f>
        <v>0.8</v>
      </c>
      <c r="W601" s="44" t="str">
        <f>VLOOKUP(Таблица3[[#This Row],[№ акта]],$AJ$1:$BJ$691,18,FALSE)</f>
        <v>ГРК (богара)</v>
      </c>
      <c r="X601" s="45" t="str">
        <f>VLOOKUP(Таблица3[[#This Row],[№ акта]],$AJ$1:$BJ$691,19,FALSE)</f>
        <v>богара</v>
      </c>
      <c r="Y601" s="485">
        <f>VLOOKUP(Таблица3[[#This Row],[№ акта]],$AJ$1:$BJ$691,20,FALSE)</f>
        <v>31</v>
      </c>
      <c r="Z601" s="43">
        <f>VLOOKUP(Таблица3[[#This Row],[№ акта]],$AJ$1:$BJ$691,21,FALSE)</f>
        <v>46207</v>
      </c>
      <c r="AA601" s="45"/>
      <c r="AB601" s="43" t="str">
        <f>IF(VLOOKUP(Таблица3[[#This Row],[№ акта]],$AJ$1:$BJ$691,23,FALSE)&lt;&gt;0,VLOOKUP(Таблица3[[#This Row],[№ акта]],$AJ$1:$BJ$691,23,FALSE),"-")</f>
        <v>-</v>
      </c>
      <c r="AC601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01" s="360" t="s">
        <v>2940</v>
      </c>
      <c r="AE601" s="40">
        <v>670</v>
      </c>
      <c r="AF601" s="103">
        <v>46207</v>
      </c>
      <c r="AG601" s="40">
        <v>425</v>
      </c>
      <c r="AH601" s="40">
        <f>IFERROR(VLOOKUP(Таблица3[[#This Row],[№ акта]],'Степень зрелости 2026'!$H$12:$I$800,2,FALSE),)</f>
        <v>60</v>
      </c>
      <c r="AJ601">
        <v>593</v>
      </c>
      <c r="AK601" s="34">
        <v>46205</v>
      </c>
      <c r="AL601">
        <v>737</v>
      </c>
      <c r="AO601">
        <v>13080</v>
      </c>
      <c r="AP601">
        <v>11052.6</v>
      </c>
      <c r="AQ601" t="s">
        <v>3375</v>
      </c>
      <c r="AR601" t="s">
        <v>901</v>
      </c>
      <c r="AS601" t="s">
        <v>3092</v>
      </c>
      <c r="AT601" t="s">
        <v>195</v>
      </c>
      <c r="AV601" t="s">
        <v>199</v>
      </c>
      <c r="AX601" t="s">
        <v>3092</v>
      </c>
      <c r="AY601" t="s">
        <v>901</v>
      </c>
      <c r="AZ601">
        <v>5.3</v>
      </c>
      <c r="BA601" t="s">
        <v>2932</v>
      </c>
      <c r="BB601" t="s">
        <v>178</v>
      </c>
      <c r="BC601">
        <v>28</v>
      </c>
      <c r="BD601" s="34">
        <v>46204</v>
      </c>
      <c r="BG601" t="s">
        <v>724</v>
      </c>
      <c r="BH601" t="s">
        <v>2940</v>
      </c>
      <c r="BI601">
        <v>392</v>
      </c>
      <c r="BJ601">
        <v>57</v>
      </c>
      <c r="BK601" s="466"/>
    </row>
    <row r="602" spans="1:63" hidden="1" x14ac:dyDescent="0.25">
      <c r="A602" s="40"/>
      <c r="B602" s="41"/>
      <c r="C602" s="121">
        <f>Таблица3[[#This Row],[Степень зрелости вспом]]</f>
        <v>67</v>
      </c>
      <c r="D602" s="42">
        <v>808</v>
      </c>
      <c r="E602" s="147"/>
      <c r="F602" s="41"/>
      <c r="G602" s="41">
        <v>13050</v>
      </c>
      <c r="H602" s="69"/>
      <c r="I602" s="41">
        <v>12071.2</v>
      </c>
      <c r="J602" s="40" t="s">
        <v>2939</v>
      </c>
      <c r="K602" s="40" t="s">
        <v>901</v>
      </c>
      <c r="L602" s="40" t="s">
        <v>3098</v>
      </c>
      <c r="M602" s="40" t="s">
        <v>212</v>
      </c>
      <c r="N602" s="40"/>
      <c r="O602" s="40"/>
      <c r="P602" s="40"/>
      <c r="Q602" s="40"/>
      <c r="R602" s="40" t="s">
        <v>2965</v>
      </c>
      <c r="S602" s="40"/>
      <c r="T602" s="70" t="str">
        <f>VLOOKUP(Таблица3[[#This Row],[№ акта]],$AJ$1:$BJ$691,15,FALSE)</f>
        <v>А-116/1</v>
      </c>
      <c r="U602" s="70" t="str">
        <f>VLOOKUP(Таблица3[[#This Row],[№ акта]],$AJ$1:$BJ$691,16,FALSE)</f>
        <v>Фаворит</v>
      </c>
      <c r="V602" s="44">
        <f>VLOOKUP(Таблица3[[#This Row],[№ акта]],$AJ$1:$BJ$691,17,FALSE)</f>
        <v>2.5</v>
      </c>
      <c r="W602" s="44" t="str">
        <f>VLOOKUP(Таблица3[[#This Row],[№ акта]],$AJ$1:$BJ$691,18,FALSE)</f>
        <v>ГРК (богара)</v>
      </c>
      <c r="X602" s="45" t="str">
        <f>VLOOKUP(Таблица3[[#This Row],[№ акта]],$AJ$1:$BJ$691,19,FALSE)</f>
        <v>богара</v>
      </c>
      <c r="Y602" s="485">
        <f>VLOOKUP(Таблица3[[#This Row],[№ акта]],$AJ$1:$BJ$691,20,FALSE)</f>
        <v>31</v>
      </c>
      <c r="Z602" s="43">
        <f>VLOOKUP(Таблица3[[#This Row],[№ акта]],$AJ$1:$BJ$691,21,FALSE)</f>
        <v>46207</v>
      </c>
      <c r="AA602" s="45"/>
      <c r="AB602" s="43" t="str">
        <f>IF(VLOOKUP(Таблица3[[#This Row],[№ акта]],$AJ$1:$BJ$691,23,FALSE)&lt;&gt;0,VLOOKUP(Таблица3[[#This Row],[№ акта]],$AJ$1:$BJ$691,23,FALSE),"-")</f>
        <v>-</v>
      </c>
      <c r="AC602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02" s="360" t="s">
        <v>2940</v>
      </c>
      <c r="AE602" s="40">
        <v>673</v>
      </c>
      <c r="AF602" s="103">
        <v>46207</v>
      </c>
      <c r="AG602" s="40">
        <v>426</v>
      </c>
      <c r="AH602" s="40">
        <f>IFERROR(VLOOKUP(Таблица3[[#This Row],[№ акта]],'Степень зрелости 2026'!$H$12:$I$800,2,FALSE),)</f>
        <v>67</v>
      </c>
      <c r="AJ602">
        <v>596</v>
      </c>
      <c r="AK602" s="34">
        <v>46205</v>
      </c>
      <c r="AL602">
        <v>738</v>
      </c>
      <c r="AO602">
        <v>13110</v>
      </c>
      <c r="AP602">
        <v>11012.4</v>
      </c>
      <c r="AQ602" t="s">
        <v>3645</v>
      </c>
      <c r="AR602" t="s">
        <v>901</v>
      </c>
      <c r="AS602" t="s">
        <v>3121</v>
      </c>
      <c r="AT602" t="s">
        <v>347</v>
      </c>
      <c r="AV602" t="s">
        <v>351</v>
      </c>
      <c r="AX602" t="s">
        <v>3121</v>
      </c>
      <c r="AY602" t="s">
        <v>901</v>
      </c>
      <c r="AZ602">
        <v>2.6</v>
      </c>
      <c r="BA602" t="s">
        <v>53</v>
      </c>
      <c r="BB602" t="s">
        <v>178</v>
      </c>
      <c r="BC602">
        <v>28</v>
      </c>
      <c r="BD602" s="34">
        <v>46204</v>
      </c>
      <c r="BG602" t="s">
        <v>3557</v>
      </c>
      <c r="BH602" t="s">
        <v>2940</v>
      </c>
      <c r="BI602">
        <v>78</v>
      </c>
      <c r="BJ602">
        <v>51</v>
      </c>
      <c r="BK602" s="466"/>
    </row>
    <row r="603" spans="1:63" hidden="1" x14ac:dyDescent="0.25">
      <c r="A603" s="40"/>
      <c r="B603" s="41"/>
      <c r="C603" s="121">
        <f>Таблица3[[#This Row],[Степень зрелости вспом]]</f>
        <v>57</v>
      </c>
      <c r="D603" s="42">
        <v>809</v>
      </c>
      <c r="E603" s="147"/>
      <c r="F603" s="41"/>
      <c r="G603" s="41">
        <v>4300</v>
      </c>
      <c r="H603" s="69"/>
      <c r="I603" s="41">
        <v>3977.5</v>
      </c>
      <c r="J603" s="40" t="s">
        <v>2939</v>
      </c>
      <c r="K603" s="40" t="s">
        <v>901</v>
      </c>
      <c r="L603" s="40" t="s">
        <v>3098</v>
      </c>
      <c r="M603" s="40" t="s">
        <v>737</v>
      </c>
      <c r="N603" s="40"/>
      <c r="O603" s="40"/>
      <c r="P603" s="40"/>
      <c r="Q603" s="40"/>
      <c r="R603" s="40" t="s">
        <v>738</v>
      </c>
      <c r="S603" s="40"/>
      <c r="T603" s="70" t="str">
        <f>VLOOKUP(Таблица3[[#This Row],[№ акта]],$AJ$1:$BJ$691,15,FALSE)</f>
        <v>А-116/1</v>
      </c>
      <c r="U603" s="70" t="str">
        <f>VLOOKUP(Таблица3[[#This Row],[№ акта]],$AJ$1:$BJ$691,16,FALSE)</f>
        <v>Фаворит</v>
      </c>
      <c r="V603" s="44">
        <f>VLOOKUP(Таблица3[[#This Row],[№ акта]],$AJ$1:$BJ$691,17,FALSE)+0.1</f>
        <v>0.9</v>
      </c>
      <c r="W603" s="44" t="str">
        <f>VLOOKUP(Таблица3[[#This Row],[№ акта]],$AJ$1:$BJ$691,18,FALSE)</f>
        <v>ГРК (богара)</v>
      </c>
      <c r="X603" s="45" t="str">
        <f>VLOOKUP(Таблица3[[#This Row],[№ акта]],$AJ$1:$BJ$691,19,FALSE)</f>
        <v>богара</v>
      </c>
      <c r="Y603" s="485">
        <f>VLOOKUP(Таблица3[[#This Row],[№ акта]],$AJ$1:$BJ$691,20,FALSE)</f>
        <v>31</v>
      </c>
      <c r="Z603" s="43">
        <f>VLOOKUP(Таблица3[[#This Row],[№ акта]],$AJ$1:$BJ$691,21,FALSE)</f>
        <v>46207</v>
      </c>
      <c r="AA603" s="45"/>
      <c r="AB603" s="43" t="str">
        <f>IF(VLOOKUP(Таблица3[[#This Row],[№ акта]],$AJ$1:$BJ$691,23,FALSE)&lt;&gt;0,VLOOKUP(Таблица3[[#This Row],[№ акта]],$AJ$1:$BJ$691,23,FALSE),"-")</f>
        <v>-</v>
      </c>
      <c r="AC603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03" s="360" t="s">
        <v>2940</v>
      </c>
      <c r="AE603" s="40">
        <v>672</v>
      </c>
      <c r="AF603" s="103">
        <v>46208</v>
      </c>
      <c r="AG603" s="40">
        <v>427</v>
      </c>
      <c r="AH603" s="40">
        <f>IFERROR(VLOOKUP(Таблица3[[#This Row],[№ акта]],'Степень зрелости 2026'!$H$12:$I$800,2,FALSE),)</f>
        <v>57</v>
      </c>
      <c r="AJ603">
        <v>600</v>
      </c>
      <c r="AK603" s="34">
        <v>46205</v>
      </c>
      <c r="AL603">
        <v>739</v>
      </c>
      <c r="AO603">
        <v>13130</v>
      </c>
      <c r="AP603">
        <v>11882.6</v>
      </c>
      <c r="AQ603" t="s">
        <v>3645</v>
      </c>
      <c r="AR603" t="s">
        <v>901</v>
      </c>
      <c r="AS603" t="s">
        <v>3121</v>
      </c>
      <c r="AT603" t="s">
        <v>3838</v>
      </c>
      <c r="AV603" t="s">
        <v>270</v>
      </c>
      <c r="AX603" t="s">
        <v>3121</v>
      </c>
      <c r="AY603" t="s">
        <v>901</v>
      </c>
      <c r="AZ603">
        <v>2.6</v>
      </c>
      <c r="BA603" t="s">
        <v>53</v>
      </c>
      <c r="BB603" t="s">
        <v>178</v>
      </c>
      <c r="BC603">
        <v>28</v>
      </c>
      <c r="BD603" s="34">
        <v>46204</v>
      </c>
      <c r="BG603" t="s">
        <v>724</v>
      </c>
      <c r="BH603" t="s">
        <v>2940</v>
      </c>
      <c r="BI603">
        <v>79</v>
      </c>
      <c r="BJ603">
        <v>55</v>
      </c>
      <c r="BK603" s="466"/>
    </row>
    <row r="604" spans="1:63" hidden="1" x14ac:dyDescent="0.25">
      <c r="A604" s="40"/>
      <c r="B604" s="41"/>
      <c r="C604" s="121">
        <f>Таблица3[[#This Row],[Степень зрелости вспом]]</f>
        <v>64</v>
      </c>
      <c r="D604" s="42">
        <v>810</v>
      </c>
      <c r="E604" s="147"/>
      <c r="F604" s="41"/>
      <c r="G604" s="41">
        <v>12950</v>
      </c>
      <c r="H604" s="69"/>
      <c r="I604" s="41">
        <v>11590.3</v>
      </c>
      <c r="J604" s="40" t="s">
        <v>2939</v>
      </c>
      <c r="K604" s="40" t="s">
        <v>901</v>
      </c>
      <c r="L604" s="40" t="s">
        <v>3098</v>
      </c>
      <c r="M604" s="40" t="s">
        <v>2967</v>
      </c>
      <c r="N604" s="40"/>
      <c r="O604" s="40"/>
      <c r="P604" s="40"/>
      <c r="Q604" s="40"/>
      <c r="R604" s="40" t="s">
        <v>1810</v>
      </c>
      <c r="S604" s="40"/>
      <c r="T604" s="70" t="str">
        <f>VLOOKUP(Таблица3[[#This Row],[№ акта]],$AJ$1:$BJ$691,15,FALSE)</f>
        <v>А-116/1</v>
      </c>
      <c r="U604" s="70" t="str">
        <f>VLOOKUP(Таблица3[[#This Row],[№ акта]],$AJ$1:$BJ$691,16,FALSE)</f>
        <v>Фаворит</v>
      </c>
      <c r="V604" s="44">
        <f>VLOOKUP(Таблица3[[#This Row],[№ акта]],$AJ$1:$BJ$691,17,FALSE)</f>
        <v>2.5</v>
      </c>
      <c r="W604" s="44" t="str">
        <f>VLOOKUP(Таблица3[[#This Row],[№ акта]],$AJ$1:$BJ$691,18,FALSE)</f>
        <v>ГРК (богара)</v>
      </c>
      <c r="X604" s="45" t="str">
        <f>VLOOKUP(Таблица3[[#This Row],[№ акта]],$AJ$1:$BJ$691,19,FALSE)</f>
        <v>богара</v>
      </c>
      <c r="Y604" s="485">
        <f>VLOOKUP(Таблица3[[#This Row],[№ акта]],$AJ$1:$BJ$691,20,FALSE)</f>
        <v>31</v>
      </c>
      <c r="Z604" s="43">
        <f>VLOOKUP(Таблица3[[#This Row],[№ акта]],$AJ$1:$BJ$691,21,FALSE)</f>
        <v>46207</v>
      </c>
      <c r="AA604" s="45"/>
      <c r="AB604" s="43" t="str">
        <f>IF(VLOOKUP(Таблица3[[#This Row],[№ акта]],$AJ$1:$BJ$691,23,FALSE)&lt;&gt;0,VLOOKUP(Таблица3[[#This Row],[№ акта]],$AJ$1:$BJ$691,23,FALSE),"-")</f>
        <v>-</v>
      </c>
      <c r="AC604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04" s="360" t="s">
        <v>3230</v>
      </c>
      <c r="AE604" s="40">
        <v>674</v>
      </c>
      <c r="AF604" s="103">
        <v>46208</v>
      </c>
      <c r="AG604" s="40">
        <v>428</v>
      </c>
      <c r="AH604" s="40">
        <f>IFERROR(VLOOKUP(Таблица3[[#This Row],[№ акта]],'Степень зрелости 2026'!$H$12:$I$800,2,FALSE),)</f>
        <v>64</v>
      </c>
      <c r="AJ604">
        <v>601</v>
      </c>
      <c r="AK604" s="34">
        <v>46205</v>
      </c>
      <c r="AL604">
        <v>740</v>
      </c>
      <c r="AO604">
        <v>13360</v>
      </c>
      <c r="AP604">
        <v>11422.8</v>
      </c>
      <c r="AQ604" t="s">
        <v>3375</v>
      </c>
      <c r="AR604" t="s">
        <v>901</v>
      </c>
      <c r="AS604" t="s">
        <v>3092</v>
      </c>
      <c r="AT604" t="s">
        <v>166</v>
      </c>
      <c r="AV604" t="s">
        <v>170</v>
      </c>
      <c r="AX604" t="s">
        <v>3092</v>
      </c>
      <c r="AY604" t="s">
        <v>901</v>
      </c>
      <c r="AZ604">
        <v>5.4</v>
      </c>
      <c r="BA604" t="s">
        <v>2932</v>
      </c>
      <c r="BB604" t="s">
        <v>178</v>
      </c>
      <c r="BC604">
        <v>28</v>
      </c>
      <c r="BD604" s="34">
        <v>46204</v>
      </c>
      <c r="BG604" t="s">
        <v>724</v>
      </c>
      <c r="BH604" t="s">
        <v>2940</v>
      </c>
      <c r="BI604">
        <v>393</v>
      </c>
      <c r="BJ604">
        <v>56</v>
      </c>
      <c r="BK604" s="466"/>
    </row>
    <row r="605" spans="1:63" ht="22.5" hidden="1" customHeight="1" x14ac:dyDescent="0.25">
      <c r="A605" s="40"/>
      <c r="B605" s="41"/>
      <c r="C605" s="121">
        <f>Таблица3[[#This Row],[Степень зрелости вспом]]</f>
        <v>64</v>
      </c>
      <c r="D605" s="42">
        <v>829</v>
      </c>
      <c r="E605" s="147"/>
      <c r="F605" s="41"/>
      <c r="G605" s="41">
        <v>13640</v>
      </c>
      <c r="H605" s="69"/>
      <c r="I605" s="41">
        <v>11798.6</v>
      </c>
      <c r="J605" s="40" t="s">
        <v>3375</v>
      </c>
      <c r="K605" s="40" t="s">
        <v>900</v>
      </c>
      <c r="L605" s="40" t="s">
        <v>3108</v>
      </c>
      <c r="M605" s="40" t="s">
        <v>1312</v>
      </c>
      <c r="N605" s="40"/>
      <c r="O605" s="40"/>
      <c r="P605" s="40"/>
      <c r="Q605" s="40"/>
      <c r="R605" s="40" t="s">
        <v>320</v>
      </c>
      <c r="S605" s="40"/>
      <c r="T605" s="70" t="str">
        <f>VLOOKUP(Таблица3[[#This Row],[№ акта]],$AJ$1:$BJ$691,15,FALSE)</f>
        <v>А-108/7</v>
      </c>
      <c r="U605" s="70" t="str">
        <f>VLOOKUP(Таблица3[[#This Row],[№ акта]],$AJ$1:$BJ$691,16,FALSE)</f>
        <v>Патриот</v>
      </c>
      <c r="V605" s="44">
        <f>VLOOKUP(Таблица3[[#This Row],[№ акта]],$AJ$1:$BJ$691,17,FALSE)</f>
        <v>4.3</v>
      </c>
      <c r="W605" s="44" t="str">
        <f>VLOOKUP(Таблица3[[#This Row],[№ акта]],$AJ$1:$BJ$691,18,FALSE)</f>
        <v>ГРК (полив)</v>
      </c>
      <c r="X605" s="45" t="str">
        <f>VLOOKUP(Таблица3[[#This Row],[№ акта]],$AJ$1:$BJ$691,19,FALSE)</f>
        <v>полив</v>
      </c>
      <c r="Y605" s="485">
        <f>VLOOKUP(Таблица3[[#This Row],[№ акта]],$AJ$1:$BJ$691,20,FALSE)</f>
        <v>32</v>
      </c>
      <c r="Z605" s="43">
        <f>VLOOKUP(Таблица3[[#This Row],[№ акта]],$AJ$1:$BJ$691,21,FALSE)</f>
        <v>46208</v>
      </c>
      <c r="AA605" s="45"/>
      <c r="AB605" s="43" t="str">
        <f>IF(VLOOKUP(Таблица3[[#This Row],[№ акта]],$AJ$1:$BJ$691,23,FALSE)&lt;&gt;0,VLOOKUP(Таблица3[[#This Row],[№ акта]],$AJ$1:$BJ$691,23,FALSE),"-")</f>
        <v>-</v>
      </c>
      <c r="AC605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05" s="360" t="s">
        <v>3230</v>
      </c>
      <c r="AE605" s="40">
        <v>689</v>
      </c>
      <c r="AF605" s="103">
        <v>46208</v>
      </c>
      <c r="AG605" s="40">
        <v>437</v>
      </c>
      <c r="AH605" s="40">
        <f>IFERROR(VLOOKUP(Таблица3[[#This Row],[№ акта]],'Степень зрелости 2026'!$H$12:$I$800,2,FALSE),)</f>
        <v>64</v>
      </c>
      <c r="AJ605">
        <v>602</v>
      </c>
      <c r="AK605" s="34">
        <v>46205</v>
      </c>
      <c r="AL605">
        <v>741</v>
      </c>
      <c r="AO605">
        <v>13520</v>
      </c>
      <c r="AP605">
        <v>11965.2</v>
      </c>
      <c r="AQ605" t="s">
        <v>3645</v>
      </c>
      <c r="AR605" t="s">
        <v>901</v>
      </c>
      <c r="AS605" t="s">
        <v>3121</v>
      </c>
      <c r="AT605" t="s">
        <v>894</v>
      </c>
      <c r="AV605" t="s">
        <v>895</v>
      </c>
      <c r="AX605" t="s">
        <v>3121</v>
      </c>
      <c r="AY605" t="s">
        <v>901</v>
      </c>
      <c r="AZ605">
        <v>2.7</v>
      </c>
      <c r="BA605" t="s">
        <v>53</v>
      </c>
      <c r="BB605" t="s">
        <v>178</v>
      </c>
      <c r="BC605">
        <v>28</v>
      </c>
      <c r="BD605" s="34">
        <v>46204</v>
      </c>
      <c r="BG605" t="s">
        <v>724</v>
      </c>
      <c r="BH605" t="s">
        <v>2940</v>
      </c>
      <c r="BI605">
        <v>81</v>
      </c>
      <c r="BJ605">
        <v>54</v>
      </c>
      <c r="BK605" s="466"/>
    </row>
    <row r="606" spans="1:63" ht="22.5" hidden="1" customHeight="1" x14ac:dyDescent="0.25">
      <c r="A606" s="40"/>
      <c r="B606" s="41"/>
      <c r="C606" s="121">
        <f>Таблица3[[#This Row],[Степень зрелости вспом]]</f>
        <v>66</v>
      </c>
      <c r="D606" s="42">
        <v>830</v>
      </c>
      <c r="E606" s="147"/>
      <c r="F606" s="41"/>
      <c r="G606" s="41">
        <v>4430</v>
      </c>
      <c r="H606" s="69"/>
      <c r="I606" s="41">
        <v>3942.7</v>
      </c>
      <c r="J606" s="40" t="s">
        <v>3375</v>
      </c>
      <c r="K606" s="40" t="s">
        <v>900</v>
      </c>
      <c r="L606" s="40" t="s">
        <v>3108</v>
      </c>
      <c r="M606" s="40" t="s">
        <v>762</v>
      </c>
      <c r="N606" s="40"/>
      <c r="O606" s="40"/>
      <c r="P606" s="40"/>
      <c r="Q606" s="40"/>
      <c r="R606" s="40" t="s">
        <v>763</v>
      </c>
      <c r="S606" s="40"/>
      <c r="T606" s="70" t="str">
        <f>VLOOKUP(Таблица3[[#This Row],[№ акта]],$AJ$1:$BJ$691,15,FALSE)</f>
        <v>А-108/7</v>
      </c>
      <c r="U606" s="70" t="str">
        <f>VLOOKUP(Таблица3[[#This Row],[№ акта]],$AJ$1:$BJ$691,16,FALSE)</f>
        <v>Патриот</v>
      </c>
      <c r="V606" s="44">
        <f>VLOOKUP(Таблица3[[#This Row],[№ акта]],$AJ$1:$BJ$691,17,FALSE)</f>
        <v>1.4</v>
      </c>
      <c r="W606" s="44" t="str">
        <f>VLOOKUP(Таблица3[[#This Row],[№ акта]],$AJ$1:$BJ$691,18,FALSE)</f>
        <v>ГРК (полив)</v>
      </c>
      <c r="X606" s="45" t="str">
        <f>VLOOKUP(Таблица3[[#This Row],[№ акта]],$AJ$1:$BJ$691,19,FALSE)</f>
        <v>полив</v>
      </c>
      <c r="Y606" s="485">
        <f>VLOOKUP(Таблица3[[#This Row],[№ акта]],$AJ$1:$BJ$691,20,FALSE)</f>
        <v>32</v>
      </c>
      <c r="Z606" s="43">
        <f>VLOOKUP(Таблица3[[#This Row],[№ акта]],$AJ$1:$BJ$691,21,FALSE)</f>
        <v>46208</v>
      </c>
      <c r="AA606" s="45"/>
      <c r="AB606" s="43" t="str">
        <f>IF(VLOOKUP(Таблица3[[#This Row],[№ акта]],$AJ$1:$BJ$691,23,FALSE)&lt;&gt;0,VLOOKUP(Таблица3[[#This Row],[№ акта]],$AJ$1:$BJ$691,23,FALSE),"-")</f>
        <v>-</v>
      </c>
      <c r="AC606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06" s="360" t="s">
        <v>3230</v>
      </c>
      <c r="AE606" s="40">
        <v>690</v>
      </c>
      <c r="AF606" s="103">
        <v>46208</v>
      </c>
      <c r="AG606" s="40">
        <v>438</v>
      </c>
      <c r="AH606" s="40">
        <f>IFERROR(VLOOKUP(Таблица3[[#This Row],[№ акта]],'Степень зрелости 2026'!$H$12:$I$800,2,FALSE),)</f>
        <v>66</v>
      </c>
      <c r="AJ606">
        <v>620</v>
      </c>
      <c r="AK606" s="34">
        <v>46205</v>
      </c>
      <c r="AL606">
        <v>744</v>
      </c>
      <c r="AO606">
        <v>11150</v>
      </c>
      <c r="AP606">
        <v>9812</v>
      </c>
      <c r="AQ606" t="s">
        <v>3645</v>
      </c>
      <c r="AR606" t="s">
        <v>901</v>
      </c>
      <c r="AS606" t="s">
        <v>3118</v>
      </c>
      <c r="AT606" t="s">
        <v>1312</v>
      </c>
      <c r="AV606" t="s">
        <v>320</v>
      </c>
      <c r="AX606" t="s">
        <v>3118</v>
      </c>
      <c r="AY606" t="s">
        <v>901</v>
      </c>
      <c r="AZ606">
        <v>4.2</v>
      </c>
      <c r="BA606" t="s">
        <v>53</v>
      </c>
      <c r="BB606" t="s">
        <v>178</v>
      </c>
      <c r="BC606">
        <v>29</v>
      </c>
      <c r="BD606" s="34">
        <v>46205</v>
      </c>
      <c r="BG606" t="s">
        <v>724</v>
      </c>
      <c r="BH606" t="s">
        <v>2940</v>
      </c>
      <c r="BI606">
        <v>87</v>
      </c>
      <c r="BJ606">
        <v>55</v>
      </c>
      <c r="BK606" s="466"/>
    </row>
    <row r="607" spans="1:63" ht="22.5" hidden="1" customHeight="1" x14ac:dyDescent="0.25">
      <c r="A607" s="40"/>
      <c r="B607" s="41"/>
      <c r="C607" s="121">
        <v>57</v>
      </c>
      <c r="D607" s="42">
        <v>831</v>
      </c>
      <c r="E607" s="147"/>
      <c r="F607" s="41"/>
      <c r="G607" s="41">
        <v>13410</v>
      </c>
      <c r="H607" s="69"/>
      <c r="I607" s="41">
        <v>12538.4</v>
      </c>
      <c r="J607" s="40" t="s">
        <v>3645</v>
      </c>
      <c r="K607" s="40" t="s">
        <v>897</v>
      </c>
      <c r="L607" s="40" t="s">
        <v>3123</v>
      </c>
      <c r="M607" s="40" t="s">
        <v>335</v>
      </c>
      <c r="N607" s="40"/>
      <c r="O607" s="40"/>
      <c r="P607" s="40"/>
      <c r="Q607" s="40"/>
      <c r="R607" s="40" t="s">
        <v>339</v>
      </c>
      <c r="S607" s="40"/>
      <c r="T607" s="70" t="s">
        <v>3123</v>
      </c>
      <c r="U607" s="70" t="str">
        <f>VLOOKUP(Таблица3[[#This Row],[№ акта]],$AJ$1:$BJ$691,16,FALSE)</f>
        <v>Фаворит</v>
      </c>
      <c r="V607" s="44">
        <f>56.1*Таблица3[[#This Row],[Регистратор.Вес нетто]]/299630</f>
        <v>2.510766612154991</v>
      </c>
      <c r="W607" s="44" t="str">
        <f>VLOOKUP(Таблица3[[#This Row],[№ акта]],$AJ$1:$BJ$691,18,FALSE)</f>
        <v>Колос (полив)</v>
      </c>
      <c r="X607" s="45" t="str">
        <f>VLOOKUP(Таблица3[[#This Row],[№ акта]],$AJ$1:$BJ$691,19,FALSE)</f>
        <v>полив</v>
      </c>
      <c r="Y607" s="485">
        <f>VLOOKUP(Таблица3[[#This Row],[№ акта]],$AJ$1:$BJ$691,20,FALSE)</f>
        <v>32</v>
      </c>
      <c r="Z607" s="43">
        <f>VLOOKUP(Таблица3[[#This Row],[№ акта]],$AJ$1:$BJ$691,21,FALSE)</f>
        <v>46208</v>
      </c>
      <c r="AA607" s="45"/>
      <c r="AB607" s="43" t="str">
        <f>IF(VLOOKUP(Таблица3[[#This Row],[№ акта]],$AJ$1:$BJ$691,23,FALSE)&lt;&gt;0,VLOOKUP(Таблица3[[#This Row],[№ акта]],$AJ$1:$BJ$691,23,FALSE),"-")</f>
        <v>-</v>
      </c>
      <c r="AC607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07" s="360" t="s">
        <v>3230</v>
      </c>
      <c r="AE607" s="40">
        <v>691</v>
      </c>
      <c r="AF607" s="103">
        <v>46208</v>
      </c>
      <c r="AG607" s="40">
        <v>105</v>
      </c>
      <c r="AH607" s="40">
        <f>IFERROR(VLOOKUP(Таблица3[[#This Row],[№ акта]],'Степень зрелости 2026'!$H$12:$I$800,2,FALSE),)</f>
        <v>64</v>
      </c>
      <c r="AJ607">
        <v>604</v>
      </c>
      <c r="AK607" s="34">
        <v>46205</v>
      </c>
      <c r="AL607">
        <v>745</v>
      </c>
      <c r="AO607">
        <v>12670</v>
      </c>
      <c r="AP607">
        <v>10832.9</v>
      </c>
      <c r="AQ607" t="s">
        <v>3375</v>
      </c>
      <c r="AR607" t="s">
        <v>901</v>
      </c>
      <c r="AS607" t="s">
        <v>3092</v>
      </c>
      <c r="AT607" t="s">
        <v>311</v>
      </c>
      <c r="AV607" t="s">
        <v>315</v>
      </c>
      <c r="AX607" t="s">
        <v>3092</v>
      </c>
      <c r="AY607" t="s">
        <v>901</v>
      </c>
      <c r="AZ607">
        <v>3.3</v>
      </c>
      <c r="BA607" t="s">
        <v>2932</v>
      </c>
      <c r="BB607" t="s">
        <v>178</v>
      </c>
      <c r="BC607">
        <v>29</v>
      </c>
      <c r="BD607" s="34">
        <v>46205</v>
      </c>
      <c r="BG607" t="s">
        <v>724</v>
      </c>
      <c r="BH607" t="s">
        <v>2940</v>
      </c>
      <c r="BI607">
        <v>394</v>
      </c>
      <c r="BJ607">
        <v>57</v>
      </c>
      <c r="BK607" s="466"/>
    </row>
    <row r="608" spans="1:63" ht="22.5" hidden="1" customHeight="1" x14ac:dyDescent="0.25">
      <c r="A608" s="40"/>
      <c r="B608" s="41"/>
      <c r="C608" s="121">
        <v>59</v>
      </c>
      <c r="D608" s="42">
        <v>833</v>
      </c>
      <c r="E608" s="147"/>
      <c r="F608" s="41"/>
      <c r="G608" s="41">
        <v>12910</v>
      </c>
      <c r="H608" s="69"/>
      <c r="I608" s="41">
        <v>12070.9</v>
      </c>
      <c r="J608" s="40" t="s">
        <v>3645</v>
      </c>
      <c r="K608" s="40" t="s">
        <v>897</v>
      </c>
      <c r="L608" s="40" t="s">
        <v>3123</v>
      </c>
      <c r="M608" s="40" t="s">
        <v>1461</v>
      </c>
      <c r="N608" s="40"/>
      <c r="O608" s="40"/>
      <c r="P608" s="40"/>
      <c r="Q608" s="40"/>
      <c r="R608" s="40" t="s">
        <v>149</v>
      </c>
      <c r="S608" s="40"/>
      <c r="T608" s="70" t="s">
        <v>3123</v>
      </c>
      <c r="U608" s="70" t="str">
        <f>VLOOKUP(Таблица3[[#This Row],[№ акта]],$AJ$1:$BJ$691,16,FALSE)</f>
        <v>Фаворит</v>
      </c>
      <c r="V608" s="44">
        <f>56.1*Таблица3[[#This Row],[Регистратор.Вес нетто]]/299630</f>
        <v>2.4171511530888097</v>
      </c>
      <c r="W608" s="44" t="str">
        <f>VLOOKUP(Таблица3[[#This Row],[№ акта]],$AJ$1:$BJ$691,18,FALSE)</f>
        <v>Колос (полив)</v>
      </c>
      <c r="X608" s="45" t="str">
        <f>VLOOKUP(Таблица3[[#This Row],[№ акта]],$AJ$1:$BJ$691,19,FALSE)</f>
        <v>полив</v>
      </c>
      <c r="Y608" s="485">
        <f>VLOOKUP(Таблица3[[#This Row],[№ акта]],$AJ$1:$BJ$691,20,FALSE)</f>
        <v>32</v>
      </c>
      <c r="Z608" s="43">
        <f>VLOOKUP(Таблица3[[#This Row],[№ акта]],$AJ$1:$BJ$691,21,FALSE)</f>
        <v>46208</v>
      </c>
      <c r="AA608" s="45"/>
      <c r="AB608" s="43" t="str">
        <f>IF(VLOOKUP(Таблица3[[#This Row],[№ акта]],$AJ$1:$BJ$691,23,FALSE)&lt;&gt;0,VLOOKUP(Таблица3[[#This Row],[№ акта]],$AJ$1:$BJ$691,23,FALSE),"-")</f>
        <v>-</v>
      </c>
      <c r="AC608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08" s="360" t="s">
        <v>3230</v>
      </c>
      <c r="AE608" s="40">
        <v>692</v>
      </c>
      <c r="AF608" s="103">
        <v>46208</v>
      </c>
      <c r="AG608" s="40">
        <v>112</v>
      </c>
      <c r="AH608" s="40">
        <f>IFERROR(VLOOKUP(Таблица3[[#This Row],[№ акта]],'Степень зрелости 2026'!$H$12:$I$800,2,FALSE),)</f>
        <v>65</v>
      </c>
      <c r="AJ608">
        <v>605</v>
      </c>
      <c r="AK608" s="34">
        <v>46205</v>
      </c>
      <c r="AL608">
        <v>747</v>
      </c>
      <c r="AO608">
        <v>13500</v>
      </c>
      <c r="AP608">
        <v>10192.5</v>
      </c>
      <c r="AQ608" t="s">
        <v>3375</v>
      </c>
      <c r="AR608" t="s">
        <v>901</v>
      </c>
      <c r="AS608" t="s">
        <v>3092</v>
      </c>
      <c r="AT608" t="s">
        <v>239</v>
      </c>
      <c r="AV608" t="s">
        <v>243</v>
      </c>
      <c r="AX608" t="s">
        <v>3092</v>
      </c>
      <c r="AY608" t="s">
        <v>901</v>
      </c>
      <c r="AZ608">
        <v>3.2</v>
      </c>
      <c r="BA608" t="s">
        <v>2932</v>
      </c>
      <c r="BB608" t="s">
        <v>178</v>
      </c>
      <c r="BC608">
        <v>29</v>
      </c>
      <c r="BD608" s="34">
        <v>46205</v>
      </c>
      <c r="BG608" t="s">
        <v>724</v>
      </c>
      <c r="BH608" t="s">
        <v>2940</v>
      </c>
      <c r="BI608">
        <v>395</v>
      </c>
      <c r="BJ608">
        <v>59</v>
      </c>
      <c r="BK608" s="466"/>
    </row>
    <row r="609" spans="1:63" ht="22.5" hidden="1" customHeight="1" x14ac:dyDescent="0.25">
      <c r="A609" s="40"/>
      <c r="B609" s="41"/>
      <c r="C609" s="121">
        <v>53</v>
      </c>
      <c r="D609" s="42">
        <v>834</v>
      </c>
      <c r="E609" s="147"/>
      <c r="F609" s="41"/>
      <c r="G609" s="41">
        <v>13460</v>
      </c>
      <c r="H609" s="69"/>
      <c r="I609" s="41">
        <v>11575.6</v>
      </c>
      <c r="J609" s="40" t="s">
        <v>3375</v>
      </c>
      <c r="K609" s="40" t="s">
        <v>900</v>
      </c>
      <c r="L609" s="40" t="s">
        <v>3108</v>
      </c>
      <c r="M609" s="40" t="s">
        <v>894</v>
      </c>
      <c r="N609" s="40"/>
      <c r="O609" s="40"/>
      <c r="P609" s="40"/>
      <c r="Q609" s="40"/>
      <c r="R609" s="40" t="s">
        <v>895</v>
      </c>
      <c r="S609" s="40"/>
      <c r="T609" s="70" t="str">
        <f>VLOOKUP(Таблица3[[#This Row],[№ акта]],$AJ$1:$BJ$691,15,FALSE)</f>
        <v>А-108/7</v>
      </c>
      <c r="U609" s="70" t="str">
        <f>VLOOKUP(Таблица3[[#This Row],[№ акта]],$AJ$1:$BJ$691,16,FALSE)</f>
        <v>Патриот</v>
      </c>
      <c r="V609" s="44">
        <f>VLOOKUP(Таблица3[[#This Row],[№ акта]],$AJ$1:$BJ$691,17,FALSE)</f>
        <v>4.3</v>
      </c>
      <c r="W609" s="44" t="str">
        <f>VLOOKUP(Таблица3[[#This Row],[№ акта]],$AJ$1:$BJ$691,18,FALSE)</f>
        <v>ГРК (полив)</v>
      </c>
      <c r="X609" s="45" t="str">
        <f>VLOOKUP(Таблица3[[#This Row],[№ акта]],$AJ$1:$BJ$691,19,FALSE)</f>
        <v>полив</v>
      </c>
      <c r="Y609" s="485">
        <f>VLOOKUP(Таблица3[[#This Row],[№ акта]],$AJ$1:$BJ$691,20,FALSE)</f>
        <v>32</v>
      </c>
      <c r="Z609" s="43">
        <f>VLOOKUP(Таблица3[[#This Row],[№ акта]],$AJ$1:$BJ$691,21,FALSE)</f>
        <v>46208</v>
      </c>
      <c r="AA609" s="45"/>
      <c r="AB609" s="43" t="str">
        <f>IF(VLOOKUP(Таблица3[[#This Row],[№ акта]],$AJ$1:$BJ$691,23,FALSE)&lt;&gt;0,VLOOKUP(Таблица3[[#This Row],[№ акта]],$AJ$1:$BJ$691,23,FALSE),"-")</f>
        <v>-</v>
      </c>
      <c r="AC609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09" s="360" t="s">
        <v>3230</v>
      </c>
      <c r="AE609" s="40">
        <v>693</v>
      </c>
      <c r="AF609" s="103">
        <v>46208</v>
      </c>
      <c r="AG609" s="40">
        <v>439</v>
      </c>
      <c r="AH609" s="40">
        <f>IFERROR(VLOOKUP(Таблица3[[#This Row],[№ акта]],'Степень зрелости 2026'!$H$12:$I$800,2,FALSE),)</f>
        <v>64</v>
      </c>
      <c r="AJ609">
        <v>603</v>
      </c>
      <c r="AK609" s="34">
        <v>46205</v>
      </c>
      <c r="AL609">
        <v>748</v>
      </c>
      <c r="AO609">
        <v>15040</v>
      </c>
      <c r="AP609">
        <v>13536</v>
      </c>
      <c r="AQ609" t="s">
        <v>3645</v>
      </c>
      <c r="AR609" t="s">
        <v>901</v>
      </c>
      <c r="AS609" t="s">
        <v>3118</v>
      </c>
      <c r="AT609" t="s">
        <v>3377</v>
      </c>
      <c r="AV609" t="s">
        <v>3196</v>
      </c>
      <c r="AX609" t="s">
        <v>3118</v>
      </c>
      <c r="AY609" t="s">
        <v>901</v>
      </c>
      <c r="AZ609">
        <v>5.7</v>
      </c>
      <c r="BA609" t="s">
        <v>53</v>
      </c>
      <c r="BB609" t="s">
        <v>178</v>
      </c>
      <c r="BC609">
        <v>29</v>
      </c>
      <c r="BD609" s="34">
        <v>46205</v>
      </c>
      <c r="BG609" t="s">
        <v>724</v>
      </c>
      <c r="BH609" t="s">
        <v>2940</v>
      </c>
      <c r="BI609">
        <v>80</v>
      </c>
      <c r="BJ609">
        <v>59</v>
      </c>
      <c r="BK609" s="466"/>
    </row>
    <row r="610" spans="1:63" ht="22.5" hidden="1" x14ac:dyDescent="0.25">
      <c r="A610" s="40"/>
      <c r="B610" s="41"/>
      <c r="C610" s="121">
        <v>60</v>
      </c>
      <c r="D610" s="42">
        <v>835</v>
      </c>
      <c r="E610" s="147"/>
      <c r="F610" s="41"/>
      <c r="G610" s="41">
        <v>12930</v>
      </c>
      <c r="H610" s="69"/>
      <c r="I610" s="41">
        <v>12283.5</v>
      </c>
      <c r="J610" s="40" t="s">
        <v>3645</v>
      </c>
      <c r="K610" s="40" t="s">
        <v>897</v>
      </c>
      <c r="L610" s="40" t="s">
        <v>3123</v>
      </c>
      <c r="M610" s="40" t="s">
        <v>3838</v>
      </c>
      <c r="N610" s="40"/>
      <c r="O610" s="40"/>
      <c r="P610" s="40"/>
      <c r="Q610" s="40"/>
      <c r="R610" s="40" t="s">
        <v>270</v>
      </c>
      <c r="S610" s="40"/>
      <c r="T610" s="70" t="s">
        <v>3123</v>
      </c>
      <c r="U610" s="70" t="str">
        <f>VLOOKUP(Таблица3[[#This Row],[№ акта]],$AJ$1:$BJ$691,16,FALSE)</f>
        <v>Фаворит</v>
      </c>
      <c r="V610" s="44">
        <f>56.1*Таблица3[[#This Row],[Регистратор.Вес нетто]]/299630</f>
        <v>2.4208957714514567</v>
      </c>
      <c r="W610" s="44" t="str">
        <f>VLOOKUP(Таблица3[[#This Row],[№ акта]],$AJ$1:$BJ$691,18,FALSE)</f>
        <v>Колос (полив)</v>
      </c>
      <c r="X610" s="45" t="str">
        <f>VLOOKUP(Таблица3[[#This Row],[№ акта]],$AJ$1:$BJ$691,19,FALSE)</f>
        <v>полив</v>
      </c>
      <c r="Y610" s="485">
        <f>VLOOKUP(Таблица3[[#This Row],[№ акта]],$AJ$1:$BJ$691,20,FALSE)</f>
        <v>32</v>
      </c>
      <c r="Z610" s="103">
        <f>VLOOKUP(Таблица3[[#This Row],[№ акта]],$AJ$1:$BJ$691,21,FALSE)</f>
        <v>46208</v>
      </c>
      <c r="AA610" s="466"/>
      <c r="AB610" s="43" t="str">
        <f>IF(VLOOKUP(Таблица3[[#This Row],[№ акта]],$AJ$1:$BJ$691,23,FALSE)&lt;&gt;0,VLOOKUP(Таблица3[[#This Row],[№ акта]],$AJ$1:$BJ$691,23,FALSE),"-")</f>
        <v>-</v>
      </c>
      <c r="AC610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10" s="360" t="s">
        <v>3230</v>
      </c>
      <c r="AE610" s="40">
        <v>694</v>
      </c>
      <c r="AF610" s="103">
        <v>46208</v>
      </c>
      <c r="AG610" s="40">
        <v>113</v>
      </c>
      <c r="AH610" s="40">
        <f>IFERROR(VLOOKUP(Таблица3[[#This Row],[№ акта]],'Степень зрелости 2026'!$H$12:$I$800,2,FALSE),)</f>
        <v>64</v>
      </c>
      <c r="AJ610">
        <v>610</v>
      </c>
      <c r="AK610" s="34">
        <v>46205</v>
      </c>
      <c r="AL610">
        <v>752</v>
      </c>
      <c r="AO610">
        <v>14610</v>
      </c>
      <c r="AP610">
        <v>13514.2</v>
      </c>
      <c r="AQ610" t="s">
        <v>3375</v>
      </c>
      <c r="AR610" t="s">
        <v>901</v>
      </c>
      <c r="AS610" t="s">
        <v>3092</v>
      </c>
      <c r="AT610" t="s">
        <v>1312</v>
      </c>
      <c r="AV610" t="s">
        <v>320</v>
      </c>
      <c r="AX610" t="s">
        <v>3092</v>
      </c>
      <c r="AY610" t="s">
        <v>901</v>
      </c>
      <c r="AZ610">
        <v>3.5</v>
      </c>
      <c r="BA610" t="s">
        <v>2932</v>
      </c>
      <c r="BB610" t="s">
        <v>178</v>
      </c>
      <c r="BC610">
        <v>29</v>
      </c>
      <c r="BD610" s="34">
        <v>46205</v>
      </c>
      <c r="BG610" t="s">
        <v>724</v>
      </c>
      <c r="BH610" t="s">
        <v>2940</v>
      </c>
      <c r="BI610">
        <v>396</v>
      </c>
      <c r="BJ610">
        <v>60</v>
      </c>
      <c r="BK610" s="466"/>
    </row>
    <row r="611" spans="1:63" hidden="1" x14ac:dyDescent="0.25">
      <c r="A611" s="40"/>
      <c r="B611" s="41"/>
      <c r="C611" s="121">
        <f>Таблица3[[#This Row],[Степень зрелости вспом]]</f>
        <v>70</v>
      </c>
      <c r="D611" s="42">
        <v>836</v>
      </c>
      <c r="E611" s="147"/>
      <c r="F611" s="41"/>
      <c r="G611" s="41">
        <v>13250</v>
      </c>
      <c r="H611" s="69"/>
      <c r="I611" s="41">
        <v>12057.5</v>
      </c>
      <c r="J611" s="40" t="s">
        <v>3375</v>
      </c>
      <c r="K611" s="40" t="s">
        <v>900</v>
      </c>
      <c r="L611" s="40" t="s">
        <v>3108</v>
      </c>
      <c r="M611" s="40" t="s">
        <v>1312</v>
      </c>
      <c r="N611" s="40"/>
      <c r="O611" s="40"/>
      <c r="P611" s="40"/>
      <c r="Q611" s="40"/>
      <c r="R611" s="40" t="s">
        <v>320</v>
      </c>
      <c r="S611" s="40"/>
      <c r="T611" s="70" t="str">
        <f>VLOOKUP(Таблица3[[#This Row],[№ акта]],$AJ$1:$BJ$691,15,FALSE)</f>
        <v>А-108/7</v>
      </c>
      <c r="U611" s="70" t="str">
        <f>VLOOKUP(Таблица3[[#This Row],[№ акта]],$AJ$1:$BJ$691,16,FALSE)</f>
        <v>Патриот</v>
      </c>
      <c r="V611" s="44">
        <f>VLOOKUP(Таблица3[[#This Row],[№ акта]],$AJ$1:$BJ$691,17,FALSE)</f>
        <v>4.2</v>
      </c>
      <c r="W611" s="44" t="str">
        <f>VLOOKUP(Таблица3[[#This Row],[№ акта]],$AJ$1:$BJ$691,18,FALSE)</f>
        <v>ГРК (полив)</v>
      </c>
      <c r="X611" s="45" t="str">
        <f>VLOOKUP(Таблица3[[#This Row],[№ акта]],$AJ$1:$BJ$691,19,FALSE)</f>
        <v>полив</v>
      </c>
      <c r="Y611" s="485">
        <f>VLOOKUP(Таблица3[[#This Row],[№ акта]],$AJ$1:$BJ$691,20,FALSE)</f>
        <v>32</v>
      </c>
      <c r="Z611" s="103">
        <f>VLOOKUP(Таблица3[[#This Row],[№ акта]],$AJ$1:$BJ$691,21,FALSE)</f>
        <v>46208</v>
      </c>
      <c r="AA611" s="45"/>
      <c r="AB611" s="43" t="str">
        <f>IF(VLOOKUP(Таблица3[[#This Row],[№ акта]],$AJ$1:$BJ$691,23,FALSE)&lt;&gt;0,VLOOKUP(Таблица3[[#This Row],[№ акта]],$AJ$1:$BJ$691,23,FALSE),"-")</f>
        <v>-</v>
      </c>
      <c r="AC611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11" s="360" t="s">
        <v>3230</v>
      </c>
      <c r="AE611" s="40">
        <v>695</v>
      </c>
      <c r="AF611" s="103">
        <v>46208</v>
      </c>
      <c r="AG611" s="40">
        <v>440</v>
      </c>
      <c r="AH611" s="40">
        <f>IFERROR(VLOOKUP(Таблица3[[#This Row],[№ акта]],'Степень зрелости 2026'!$H$12:$I$800,2,FALSE),)</f>
        <v>70</v>
      </c>
      <c r="AJ611">
        <v>614</v>
      </c>
      <c r="AK611" s="34">
        <v>46205</v>
      </c>
      <c r="AL611">
        <v>754</v>
      </c>
      <c r="AO611">
        <v>12820</v>
      </c>
      <c r="AP611">
        <v>10191.9</v>
      </c>
      <c r="AQ611" t="s">
        <v>3375</v>
      </c>
      <c r="AR611" t="s">
        <v>901</v>
      </c>
      <c r="AS611" t="s">
        <v>3108</v>
      </c>
      <c r="AT611" t="s">
        <v>894</v>
      </c>
      <c r="AV611" t="s">
        <v>895</v>
      </c>
      <c r="AX611" t="s">
        <v>3108</v>
      </c>
      <c r="AY611" t="s">
        <v>900</v>
      </c>
      <c r="AZ611">
        <v>2.7</v>
      </c>
      <c r="BA611" t="s">
        <v>2932</v>
      </c>
      <c r="BB611" t="s">
        <v>178</v>
      </c>
      <c r="BC611">
        <v>29</v>
      </c>
      <c r="BD611" s="34">
        <v>46205</v>
      </c>
      <c r="BG611" t="s">
        <v>724</v>
      </c>
      <c r="BH611" t="s">
        <v>2940</v>
      </c>
      <c r="BI611">
        <v>397</v>
      </c>
      <c r="BJ611">
        <v>56</v>
      </c>
      <c r="BK611" s="466"/>
    </row>
    <row r="612" spans="1:63" ht="22.5" hidden="1" x14ac:dyDescent="0.25">
      <c r="A612" s="40"/>
      <c r="B612" s="41"/>
      <c r="C612" s="121">
        <v>58</v>
      </c>
      <c r="D612" s="42">
        <v>837</v>
      </c>
      <c r="E612" s="147"/>
      <c r="F612" s="41"/>
      <c r="G612" s="41">
        <v>13370</v>
      </c>
      <c r="H612" s="69"/>
      <c r="I612" s="41">
        <v>12434.1</v>
      </c>
      <c r="J612" s="40" t="s">
        <v>3645</v>
      </c>
      <c r="K612" s="40" t="s">
        <v>897</v>
      </c>
      <c r="L612" s="40" t="s">
        <v>3123</v>
      </c>
      <c r="M612" s="40" t="s">
        <v>347</v>
      </c>
      <c r="N612" s="40"/>
      <c r="O612" s="40"/>
      <c r="P612" s="40"/>
      <c r="Q612" s="40"/>
      <c r="R612" s="40" t="s">
        <v>351</v>
      </c>
      <c r="S612" s="40"/>
      <c r="T612" s="70" t="s">
        <v>3123</v>
      </c>
      <c r="U612" s="70" t="str">
        <f>VLOOKUP(Таблица3[[#This Row],[№ акта]],$AJ$1:$BJ$691,16,FALSE)</f>
        <v>Фаворит</v>
      </c>
      <c r="V612" s="44">
        <f>56.1*Таблица3[[#This Row],[Регистратор.Вес нетто]]/299630</f>
        <v>2.5032773754296964</v>
      </c>
      <c r="W612" s="44" t="str">
        <f>VLOOKUP(Таблица3[[#This Row],[№ акта]],$AJ$1:$BJ$691,18,FALSE)</f>
        <v>Колос (полив)</v>
      </c>
      <c r="X612" s="45" t="str">
        <f>VLOOKUP(Таблица3[[#This Row],[№ акта]],$AJ$1:$BJ$691,19,FALSE)</f>
        <v>полив</v>
      </c>
      <c r="Y612" s="485">
        <f>VLOOKUP(Таблица3[[#This Row],[№ акта]],$AJ$1:$BJ$691,20,FALSE)</f>
        <v>32</v>
      </c>
      <c r="Z612" s="103">
        <f>VLOOKUP(Таблица3[[#This Row],[№ акта]],$AJ$1:$BJ$691,21,FALSE)</f>
        <v>46208</v>
      </c>
      <c r="AA612" s="45"/>
      <c r="AB612" s="43" t="str">
        <f>IF(VLOOKUP(Таблица3[[#This Row],[№ акта]],$AJ$1:$BJ$691,23,FALSE)&lt;&gt;0,VLOOKUP(Таблица3[[#This Row],[№ акта]],$AJ$1:$BJ$691,23,FALSE),"-")</f>
        <v>-</v>
      </c>
      <c r="AC612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12" s="360" t="s">
        <v>3230</v>
      </c>
      <c r="AE612" s="40">
        <v>697</v>
      </c>
      <c r="AF612" s="103">
        <v>46208</v>
      </c>
      <c r="AG612" s="40">
        <v>114</v>
      </c>
      <c r="AH612" s="40">
        <f>IFERROR(VLOOKUP(Таблица3[[#This Row],[№ акта]],'Степень зрелости 2026'!$H$12:$I$800,2,FALSE),)</f>
        <v>67</v>
      </c>
      <c r="AJ612">
        <v>609</v>
      </c>
      <c r="AK612" s="34">
        <v>46205</v>
      </c>
      <c r="AL612">
        <v>753</v>
      </c>
      <c r="AO612">
        <v>9250</v>
      </c>
      <c r="AP612">
        <v>8741.2999999999993</v>
      </c>
      <c r="AQ612" t="s">
        <v>3645</v>
      </c>
      <c r="AR612" t="s">
        <v>901</v>
      </c>
      <c r="AS612" t="s">
        <v>3118</v>
      </c>
      <c r="AT612" t="s">
        <v>1151</v>
      </c>
      <c r="AV612" t="s">
        <v>145</v>
      </c>
      <c r="AX612" t="s">
        <v>3118</v>
      </c>
      <c r="AY612" t="s">
        <v>901</v>
      </c>
      <c r="AZ612">
        <v>3.5</v>
      </c>
      <c r="BA612" t="s">
        <v>53</v>
      </c>
      <c r="BB612" t="s">
        <v>178</v>
      </c>
      <c r="BC612">
        <v>29</v>
      </c>
      <c r="BD612" s="34">
        <v>46205</v>
      </c>
      <c r="BG612" t="s">
        <v>724</v>
      </c>
      <c r="BH612" t="s">
        <v>2940</v>
      </c>
      <c r="BI612">
        <v>72</v>
      </c>
      <c r="BJ612">
        <v>53</v>
      </c>
      <c r="BK612" s="466"/>
    </row>
    <row r="613" spans="1:63" hidden="1" x14ac:dyDescent="0.25">
      <c r="A613" s="40"/>
      <c r="B613" s="41"/>
      <c r="C613" s="121">
        <f>Таблица3[[#This Row],[Степень зрелости вспом]]</f>
        <v>70</v>
      </c>
      <c r="D613" s="42">
        <v>838</v>
      </c>
      <c r="E613" s="147"/>
      <c r="F613" s="41"/>
      <c r="G613" s="41">
        <v>4390</v>
      </c>
      <c r="H613" s="69"/>
      <c r="I613" s="41">
        <v>3907.1</v>
      </c>
      <c r="J613" s="40" t="s">
        <v>3375</v>
      </c>
      <c r="K613" s="40" t="s">
        <v>900</v>
      </c>
      <c r="L613" s="40" t="s">
        <v>3108</v>
      </c>
      <c r="M613" s="40" t="s">
        <v>762</v>
      </c>
      <c r="N613" s="40"/>
      <c r="O613" s="40"/>
      <c r="P613" s="40"/>
      <c r="Q613" s="40"/>
      <c r="R613" s="40" t="s">
        <v>763</v>
      </c>
      <c r="S613" s="40"/>
      <c r="T613" s="70" t="str">
        <f>VLOOKUP(Таблица3[[#This Row],[№ акта]],$AJ$1:$BJ$691,15,FALSE)</f>
        <v>А-108/7</v>
      </c>
      <c r="U613" s="70" t="str">
        <f>VLOOKUP(Таблица3[[#This Row],[№ акта]],$AJ$1:$BJ$691,16,FALSE)</f>
        <v>Патриот</v>
      </c>
      <c r="V613" s="44">
        <f>VLOOKUP(Таблица3[[#This Row],[№ акта]],$AJ$1:$BJ$691,17,FALSE)</f>
        <v>1.4</v>
      </c>
      <c r="W613" s="44" t="str">
        <f>VLOOKUP(Таблица3[[#This Row],[№ акта]],$AJ$1:$BJ$691,18,FALSE)</f>
        <v>ГРК (полив)</v>
      </c>
      <c r="X613" s="45" t="str">
        <f>VLOOKUP(Таблица3[[#This Row],[№ акта]],$AJ$1:$BJ$691,19,FALSE)</f>
        <v>полив</v>
      </c>
      <c r="Y613" s="485">
        <f>VLOOKUP(Таблица3[[#This Row],[№ акта]],$AJ$1:$BJ$691,20,FALSE)</f>
        <v>32</v>
      </c>
      <c r="Z613" s="103">
        <f>VLOOKUP(Таблица3[[#This Row],[№ акта]],$AJ$1:$BJ$691,21,FALSE)</f>
        <v>46208</v>
      </c>
      <c r="AA613" s="45"/>
      <c r="AB613" s="43" t="str">
        <f>IF(VLOOKUP(Таблица3[[#This Row],[№ акта]],$AJ$1:$BJ$691,23,FALSE)&lt;&gt;0,VLOOKUP(Таблица3[[#This Row],[№ акта]],$AJ$1:$BJ$691,23,FALSE),"-")</f>
        <v>-</v>
      </c>
      <c r="AC613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13" s="360" t="s">
        <v>3230</v>
      </c>
      <c r="AE613" s="40">
        <v>696</v>
      </c>
      <c r="AF613" s="103">
        <v>46208</v>
      </c>
      <c r="AG613" s="40">
        <v>441</v>
      </c>
      <c r="AH613" s="40">
        <f>IFERROR(VLOOKUP(Таблица3[[#This Row],[№ акта]],'Степень зрелости 2026'!$H$12:$I$800,2,FALSE),)</f>
        <v>70</v>
      </c>
      <c r="AJ613">
        <v>612</v>
      </c>
      <c r="AK613" s="34">
        <v>46205</v>
      </c>
      <c r="AL613">
        <v>755</v>
      </c>
      <c r="AO613">
        <v>9180</v>
      </c>
      <c r="AP613">
        <v>8399.7000000000007</v>
      </c>
      <c r="AQ613" t="s">
        <v>3645</v>
      </c>
      <c r="AR613" t="s">
        <v>901</v>
      </c>
      <c r="AS613" t="s">
        <v>3118</v>
      </c>
      <c r="AT613" t="s">
        <v>3623</v>
      </c>
      <c r="AV613" t="s">
        <v>3679</v>
      </c>
      <c r="AX613" t="s">
        <v>3118</v>
      </c>
      <c r="AY613" t="s">
        <v>901</v>
      </c>
      <c r="AZ613">
        <v>3.5</v>
      </c>
      <c r="BA613" t="s">
        <v>53</v>
      </c>
      <c r="BB613" t="s">
        <v>178</v>
      </c>
      <c r="BC613">
        <v>29</v>
      </c>
      <c r="BD613" s="34">
        <v>46205</v>
      </c>
      <c r="BG613" t="s">
        <v>724</v>
      </c>
      <c r="BH613" t="s">
        <v>2940</v>
      </c>
      <c r="BI613">
        <v>83</v>
      </c>
      <c r="BJ613">
        <v>58</v>
      </c>
      <c r="BK613" s="466"/>
    </row>
    <row r="614" spans="1:63" hidden="1" x14ac:dyDescent="0.25">
      <c r="A614" s="40"/>
      <c r="B614" s="41"/>
      <c r="C614" s="121">
        <v>60</v>
      </c>
      <c r="D614" s="42">
        <v>839</v>
      </c>
      <c r="E614" s="147"/>
      <c r="F614" s="41"/>
      <c r="G614" s="41">
        <v>13130</v>
      </c>
      <c r="H614" s="69"/>
      <c r="I614" s="41">
        <v>12079.6</v>
      </c>
      <c r="J614" s="40" t="s">
        <v>3375</v>
      </c>
      <c r="K614" s="40" t="s">
        <v>900</v>
      </c>
      <c r="L614" s="40" t="s">
        <v>3108</v>
      </c>
      <c r="M614" s="40" t="s">
        <v>894</v>
      </c>
      <c r="N614" s="40"/>
      <c r="O614" s="40"/>
      <c r="P614" s="40"/>
      <c r="Q614" s="40"/>
      <c r="R614" s="40" t="s">
        <v>895</v>
      </c>
      <c r="S614" s="40"/>
      <c r="T614" s="70" t="str">
        <f>VLOOKUP(Таблица3[[#This Row],[№ акта]],$AJ$1:$BJ$691,15,FALSE)</f>
        <v>А-108/7</v>
      </c>
      <c r="U614" s="70" t="str">
        <f>VLOOKUP(Таблица3[[#This Row],[№ акта]],$AJ$1:$BJ$691,16,FALSE)</f>
        <v>Патриот</v>
      </c>
      <c r="V614" s="44">
        <f>VLOOKUP(Таблица3[[#This Row],[№ акта]],$AJ$1:$BJ$691,17,FALSE)</f>
        <v>4.2</v>
      </c>
      <c r="W614" s="44" t="str">
        <f>VLOOKUP(Таблица3[[#This Row],[№ акта]],$AJ$1:$BJ$691,18,FALSE)</f>
        <v>ГРК (полив)</v>
      </c>
      <c r="X614" s="45" t="str">
        <f>VLOOKUP(Таблица3[[#This Row],[№ акта]],$AJ$1:$BJ$691,19,FALSE)</f>
        <v>полив</v>
      </c>
      <c r="Y614" s="485">
        <f>VLOOKUP(Таблица3[[#This Row],[№ акта]],$AJ$1:$BJ$691,20,FALSE)</f>
        <v>32</v>
      </c>
      <c r="Z614" s="103">
        <f>VLOOKUP(Таблица3[[#This Row],[№ акта]],$AJ$1:$BJ$691,21,FALSE)</f>
        <v>46208</v>
      </c>
      <c r="AA614" s="45"/>
      <c r="AB614" s="43" t="str">
        <f>IF(VLOOKUP(Таблица3[[#This Row],[№ акта]],$AJ$1:$BJ$691,23,FALSE)&lt;&gt;0,VLOOKUP(Таблица3[[#This Row],[№ акта]],$AJ$1:$BJ$691,23,FALSE),"-")</f>
        <v>-</v>
      </c>
      <c r="AC614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14" s="360" t="s">
        <v>3230</v>
      </c>
      <c r="AE614" s="40">
        <v>699</v>
      </c>
      <c r="AF614" s="103">
        <v>46209</v>
      </c>
      <c r="AG614" s="40">
        <v>442</v>
      </c>
      <c r="AH614" s="40">
        <f>IFERROR(VLOOKUP(Таблица3[[#This Row],[№ акта]],'Степень зрелости 2026'!$H$12:$I$800,2,FALSE),)</f>
        <v>70</v>
      </c>
      <c r="AJ614">
        <v>616</v>
      </c>
      <c r="AK614" s="34">
        <v>46205</v>
      </c>
      <c r="AL614">
        <v>758</v>
      </c>
      <c r="AO614">
        <v>13150</v>
      </c>
      <c r="AP614">
        <v>12032.3</v>
      </c>
      <c r="AQ614" t="s">
        <v>3375</v>
      </c>
      <c r="AR614" t="s">
        <v>901</v>
      </c>
      <c r="AS614" t="s">
        <v>3108</v>
      </c>
      <c r="AT614" t="s">
        <v>239</v>
      </c>
      <c r="AV614" t="s">
        <v>243</v>
      </c>
      <c r="AX614" t="s">
        <v>3108</v>
      </c>
      <c r="AY614" t="s">
        <v>900</v>
      </c>
      <c r="AZ614">
        <v>3.1</v>
      </c>
      <c r="BA614" t="s">
        <v>2932</v>
      </c>
      <c r="BB614" t="s">
        <v>178</v>
      </c>
      <c r="BC614">
        <v>29</v>
      </c>
      <c r="BD614" s="34">
        <v>46205</v>
      </c>
      <c r="BG614" t="s">
        <v>724</v>
      </c>
      <c r="BH614" t="s">
        <v>2940</v>
      </c>
      <c r="BI614">
        <v>398</v>
      </c>
      <c r="BJ614">
        <v>59</v>
      </c>
      <c r="BK614" s="466"/>
    </row>
    <row r="615" spans="1:63" ht="22.5" hidden="1" x14ac:dyDescent="0.25">
      <c r="A615" s="40"/>
      <c r="B615" s="41"/>
      <c r="C615" s="121">
        <v>55</v>
      </c>
      <c r="D615" s="42">
        <v>840</v>
      </c>
      <c r="E615" s="147"/>
      <c r="F615" s="41"/>
      <c r="G615" s="41">
        <v>13340</v>
      </c>
      <c r="H615" s="69"/>
      <c r="I615" s="41">
        <v>12539.6</v>
      </c>
      <c r="J615" s="40" t="s">
        <v>3645</v>
      </c>
      <c r="K615" s="40" t="s">
        <v>897</v>
      </c>
      <c r="L615" s="40" t="s">
        <v>3123</v>
      </c>
      <c r="M615" s="40" t="s">
        <v>3377</v>
      </c>
      <c r="N615" s="40"/>
      <c r="O615" s="40"/>
      <c r="P615" s="40"/>
      <c r="Q615" s="40"/>
      <c r="R615" s="40" t="s">
        <v>3196</v>
      </c>
      <c r="S615" s="40"/>
      <c r="T615" s="70" t="s">
        <v>3123</v>
      </c>
      <c r="U615" s="70" t="str">
        <f>VLOOKUP(Таблица3[[#This Row],[№ акта]],$AJ$1:$BJ$691,16,FALSE)</f>
        <v>Фаворит</v>
      </c>
      <c r="V615" s="44">
        <f>56.1*Таблица3[[#This Row],[Регистратор.Вес нетто]]/299630</f>
        <v>2.4976604478857256</v>
      </c>
      <c r="W615" s="44" t="str">
        <f>VLOOKUP(Таблица3[[#This Row],[№ акта]],$AJ$1:$BJ$691,18,FALSE)</f>
        <v>Колос (полив)</v>
      </c>
      <c r="X615" s="45" t="str">
        <f>VLOOKUP(Таблица3[[#This Row],[№ акта]],$AJ$1:$BJ$691,19,FALSE)</f>
        <v>полив</v>
      </c>
      <c r="Y615" s="485">
        <f>VLOOKUP(Таблица3[[#This Row],[№ акта]],$AJ$1:$BJ$691,20,FALSE)</f>
        <v>32</v>
      </c>
      <c r="Z615" s="103">
        <f>VLOOKUP(Таблица3[[#This Row],[№ акта]],$AJ$1:$BJ$691,21,FALSE)</f>
        <v>46208</v>
      </c>
      <c r="AA615" s="45"/>
      <c r="AB615" s="43" t="str">
        <f>IF(VLOOKUP(Таблица3[[#This Row],[№ акта]],$AJ$1:$BJ$691,23,FALSE)&lt;&gt;0,VLOOKUP(Таблица3[[#This Row],[№ акта]],$AJ$1:$BJ$691,23,FALSE),"-")</f>
        <v>-</v>
      </c>
      <c r="AC615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15" s="360" t="s">
        <v>3230</v>
      </c>
      <c r="AE615" s="40">
        <v>698</v>
      </c>
      <c r="AF615" s="103">
        <v>46209</v>
      </c>
      <c r="AG615" s="40">
        <v>115</v>
      </c>
      <c r="AH615" s="40">
        <f>IFERROR(VLOOKUP(Таблица3[[#This Row],[№ акта]],'Степень зрелости 2026'!$H$12:$I$800,2,FALSE),)</f>
        <v>67</v>
      </c>
      <c r="AJ615">
        <v>613</v>
      </c>
      <c r="AK615" s="34">
        <v>46205</v>
      </c>
      <c r="AL615">
        <v>757</v>
      </c>
      <c r="AO615">
        <v>9160</v>
      </c>
      <c r="AP615">
        <v>8381.4</v>
      </c>
      <c r="AQ615" t="s">
        <v>3645</v>
      </c>
      <c r="AR615" t="s">
        <v>901</v>
      </c>
      <c r="AS615" t="s">
        <v>3118</v>
      </c>
      <c r="AT615" t="s">
        <v>1461</v>
      </c>
      <c r="AV615" t="s">
        <v>149</v>
      </c>
      <c r="AX615" t="s">
        <v>3118</v>
      </c>
      <c r="AY615" t="s">
        <v>901</v>
      </c>
      <c r="AZ615">
        <v>3.5</v>
      </c>
      <c r="BA615" t="s">
        <v>53</v>
      </c>
      <c r="BB615" t="s">
        <v>178</v>
      </c>
      <c r="BC615">
        <v>29</v>
      </c>
      <c r="BD615" s="34">
        <v>46205</v>
      </c>
      <c r="BG615" t="s">
        <v>724</v>
      </c>
      <c r="BH615" t="s">
        <v>2940</v>
      </c>
      <c r="BI615">
        <v>84</v>
      </c>
      <c r="BJ615">
        <v>57</v>
      </c>
      <c r="BK615" s="466"/>
    </row>
    <row r="616" spans="1:63" ht="22.5" hidden="1" x14ac:dyDescent="0.25">
      <c r="A616" s="40"/>
      <c r="B616" s="41"/>
      <c r="C616" s="121">
        <v>50</v>
      </c>
      <c r="D616" s="42">
        <v>841</v>
      </c>
      <c r="E616" s="147"/>
      <c r="F616" s="41"/>
      <c r="G616" s="41">
        <v>13220</v>
      </c>
      <c r="H616" s="69"/>
      <c r="I616" s="41">
        <v>12162.4</v>
      </c>
      <c r="J616" s="40" t="s">
        <v>3645</v>
      </c>
      <c r="K616" s="40" t="s">
        <v>897</v>
      </c>
      <c r="L616" s="40" t="s">
        <v>3123</v>
      </c>
      <c r="M616" s="40" t="s">
        <v>3853</v>
      </c>
      <c r="N616" s="40"/>
      <c r="O616" s="40"/>
      <c r="P616" s="40"/>
      <c r="Q616" s="40"/>
      <c r="R616" s="40" t="s">
        <v>3854</v>
      </c>
      <c r="S616" s="40"/>
      <c r="T616" s="70" t="s">
        <v>3123</v>
      </c>
      <c r="U616" s="70" t="str">
        <f>VLOOKUP(Таблица3[[#This Row],[№ акта]],$AJ$1:$BJ$691,16,FALSE)</f>
        <v>Фаворит</v>
      </c>
      <c r="V616" s="44">
        <f>56.1*Таблица3[[#This Row],[Регистратор.Вес нетто]]/299630</f>
        <v>2.4751927377098419</v>
      </c>
      <c r="W616" s="44" t="str">
        <f>VLOOKUP(Таблица3[[#This Row],[№ акта]],$AJ$1:$BJ$691,18,FALSE)</f>
        <v>Колос (полив)</v>
      </c>
      <c r="X616" s="45" t="str">
        <f>VLOOKUP(Таблица3[[#This Row],[№ акта]],$AJ$1:$BJ$691,19,FALSE)</f>
        <v>полив</v>
      </c>
      <c r="Y616" s="485">
        <f>VLOOKUP(Таблица3[[#This Row],[№ акта]],$AJ$1:$BJ$691,20,FALSE)</f>
        <v>32</v>
      </c>
      <c r="Z616" s="103">
        <f>VLOOKUP(Таблица3[[#This Row],[№ акта]],$AJ$1:$BJ$691,21,FALSE)</f>
        <v>46208</v>
      </c>
      <c r="AA616" s="45"/>
      <c r="AB616" s="43" t="str">
        <f>IF(VLOOKUP(Таблица3[[#This Row],[№ акта]],$AJ$1:$BJ$691,23,FALSE)&lt;&gt;0,VLOOKUP(Таблица3[[#This Row],[№ акта]],$AJ$1:$BJ$691,23,FALSE),"-")</f>
        <v>-</v>
      </c>
      <c r="AC616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16" s="360" t="s">
        <v>3230</v>
      </c>
      <c r="AE616" s="40">
        <v>700</v>
      </c>
      <c r="AF616" s="103">
        <v>46209</v>
      </c>
      <c r="AG616" s="40">
        <v>116</v>
      </c>
      <c r="AH616" s="40">
        <f>IFERROR(VLOOKUP(Таблица3[[#This Row],[№ акта]],'Степень зрелости 2026'!$H$12:$I$800,2,FALSE),)</f>
        <v>64</v>
      </c>
      <c r="AJ616">
        <v>619</v>
      </c>
      <c r="AK616" s="34">
        <v>46205</v>
      </c>
      <c r="AL616">
        <v>760</v>
      </c>
      <c r="AO616">
        <v>13490</v>
      </c>
      <c r="AP616">
        <v>11938.7</v>
      </c>
      <c r="AQ616" t="s">
        <v>3375</v>
      </c>
      <c r="AR616" t="s">
        <v>901</v>
      </c>
      <c r="AS616" t="s">
        <v>3110</v>
      </c>
      <c r="AT616" t="s">
        <v>212</v>
      </c>
      <c r="AV616" t="s">
        <v>2965</v>
      </c>
      <c r="AX616" t="s">
        <v>3110</v>
      </c>
      <c r="AY616" t="s">
        <v>901</v>
      </c>
      <c r="AZ616">
        <v>5.4</v>
      </c>
      <c r="BA616" t="s">
        <v>2932</v>
      </c>
      <c r="BB616" t="s">
        <v>178</v>
      </c>
      <c r="BC616">
        <v>29</v>
      </c>
      <c r="BD616" s="34">
        <v>46205</v>
      </c>
      <c r="BG616" t="s">
        <v>3557</v>
      </c>
      <c r="BH616" t="s">
        <v>2940</v>
      </c>
      <c r="BI616">
        <v>400</v>
      </c>
      <c r="BJ616">
        <v>50</v>
      </c>
      <c r="BK616" s="466"/>
    </row>
    <row r="617" spans="1:63" hidden="1" x14ac:dyDescent="0.25">
      <c r="A617" s="40"/>
      <c r="B617" s="41"/>
      <c r="C617" s="121">
        <v>59</v>
      </c>
      <c r="D617" s="42">
        <v>842</v>
      </c>
      <c r="E617" s="147"/>
      <c r="F617" s="41"/>
      <c r="G617" s="41">
        <v>13180</v>
      </c>
      <c r="H617" s="69"/>
      <c r="I617" s="41">
        <v>12389.2</v>
      </c>
      <c r="J617" s="40" t="s">
        <v>3375</v>
      </c>
      <c r="K617" s="40" t="s">
        <v>900</v>
      </c>
      <c r="L617" s="40" t="s">
        <v>3108</v>
      </c>
      <c r="M617" s="40" t="s">
        <v>1312</v>
      </c>
      <c r="N617" s="40"/>
      <c r="O617" s="40"/>
      <c r="P617" s="40"/>
      <c r="Q617" s="40"/>
      <c r="R617" s="40" t="s">
        <v>320</v>
      </c>
      <c r="S617" s="40"/>
      <c r="T617" s="70" t="s">
        <v>3108</v>
      </c>
      <c r="U617" s="70" t="s">
        <v>900</v>
      </c>
      <c r="V617" s="44">
        <f>26*Таблица3[[#This Row],[Регистратор.Вес нетто]]/82260</f>
        <v>4.1658157062971064</v>
      </c>
      <c r="W617" s="44" t="s">
        <v>2932</v>
      </c>
      <c r="X617" s="45" t="s">
        <v>178</v>
      </c>
      <c r="Y617" s="486">
        <v>33</v>
      </c>
      <c r="Z617" s="103">
        <v>46209</v>
      </c>
      <c r="AA617" s="45"/>
      <c r="AB617" s="43" t="s">
        <v>4038</v>
      </c>
      <c r="AC617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17" s="360" t="s">
        <v>3230</v>
      </c>
      <c r="AE617" s="40">
        <v>705</v>
      </c>
      <c r="AF617" s="103">
        <v>46209</v>
      </c>
      <c r="AG617" s="40">
        <v>443</v>
      </c>
      <c r="AH617" s="40">
        <f>IFERROR(VLOOKUP(Таблица3[[#This Row],[№ акта]],'Степень зрелости 2026'!$H$12:$I$800,2,FALSE),)</f>
        <v>71</v>
      </c>
      <c r="AJ617">
        <v>618</v>
      </c>
      <c r="AK617" s="34">
        <v>46205</v>
      </c>
      <c r="AL617">
        <v>756</v>
      </c>
      <c r="AO617">
        <v>13170</v>
      </c>
      <c r="AP617">
        <v>11918.9</v>
      </c>
      <c r="AQ617" t="s">
        <v>3375</v>
      </c>
      <c r="AR617" t="s">
        <v>901</v>
      </c>
      <c r="AS617" t="s">
        <v>3108</v>
      </c>
      <c r="AT617" t="s">
        <v>311</v>
      </c>
      <c r="AV617" t="s">
        <v>315</v>
      </c>
      <c r="AX617" t="s">
        <v>3108</v>
      </c>
      <c r="AY617" t="s">
        <v>900</v>
      </c>
      <c r="AZ617">
        <v>3.1</v>
      </c>
      <c r="BA617" t="s">
        <v>2932</v>
      </c>
      <c r="BB617" t="s">
        <v>178</v>
      </c>
      <c r="BC617">
        <v>29</v>
      </c>
      <c r="BD617" s="34">
        <v>46205</v>
      </c>
      <c r="BG617" t="s">
        <v>724</v>
      </c>
      <c r="BH617" t="s">
        <v>2940</v>
      </c>
      <c r="BI617">
        <v>399</v>
      </c>
      <c r="BJ617">
        <v>60</v>
      </c>
      <c r="BK617" s="466"/>
    </row>
    <row r="618" spans="1:63" ht="22.5" hidden="1" x14ac:dyDescent="0.25">
      <c r="A618" s="40"/>
      <c r="B618" s="41"/>
      <c r="C618" s="121">
        <f>Таблица3[[#This Row],[Степень зрелости вспом]]</f>
        <v>68</v>
      </c>
      <c r="D618" s="42">
        <v>843</v>
      </c>
      <c r="E618" s="147"/>
      <c r="F618" s="41"/>
      <c r="G618" s="41">
        <v>15440</v>
      </c>
      <c r="H618" s="69"/>
      <c r="I618" s="41">
        <v>14513.6</v>
      </c>
      <c r="J618" s="40" t="s">
        <v>3645</v>
      </c>
      <c r="K618" s="40" t="s">
        <v>897</v>
      </c>
      <c r="L618" s="40" t="s">
        <v>3123</v>
      </c>
      <c r="M618" s="40" t="s">
        <v>239</v>
      </c>
      <c r="N618" s="40"/>
      <c r="O618" s="40"/>
      <c r="P618" s="40"/>
      <c r="Q618" s="40"/>
      <c r="R618" s="40" t="s">
        <v>243</v>
      </c>
      <c r="S618" s="40"/>
      <c r="T618" s="70" t="s">
        <v>3123</v>
      </c>
      <c r="U618" s="70" t="str">
        <f>VLOOKUP(Таблица3[[#This Row],[№ акта]],$AJ$1:$BJ$691,16,FALSE)</f>
        <v>Фаворит</v>
      </c>
      <c r="V618" s="44">
        <f>56.1*Таблица3[[#This Row],[Регистратор.Вес нетто]]/299630</f>
        <v>2.8908453759636887</v>
      </c>
      <c r="W618" s="44" t="str">
        <f>VLOOKUP(Таблица3[[#This Row],[№ акта]],$AJ$1:$BJ$691,18,FALSE)</f>
        <v>Колос (полив)</v>
      </c>
      <c r="X618" s="45" t="s">
        <v>178</v>
      </c>
      <c r="Y618" s="485">
        <f>VLOOKUP(Таблица3[[#This Row],[№ акта]],$AJ$1:$BJ$691,20,FALSE)</f>
        <v>32</v>
      </c>
      <c r="Z618" s="103">
        <f>VLOOKUP(Таблица3[[#This Row],[№ акта]],$AJ$1:$BJ$691,21,FALSE)</f>
        <v>46208</v>
      </c>
      <c r="AA618" s="45"/>
      <c r="AB618" s="43" t="s">
        <v>4038</v>
      </c>
      <c r="AC618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18" s="360" t="s">
        <v>3230</v>
      </c>
      <c r="AE618" s="40">
        <v>701</v>
      </c>
      <c r="AF618" s="103">
        <v>46209</v>
      </c>
      <c r="AG618" s="40">
        <v>117</v>
      </c>
      <c r="AH618" s="40">
        <f>IFERROR(VLOOKUP(Таблица3[[#This Row],[№ акта]],'Степень зрелости 2026'!$H$12:$I$800,2,FALSE),)</f>
        <v>68</v>
      </c>
      <c r="AJ618">
        <v>615</v>
      </c>
      <c r="AK618" s="34">
        <v>46205</v>
      </c>
      <c r="AL618">
        <v>759</v>
      </c>
      <c r="AO618">
        <v>8990</v>
      </c>
      <c r="AP618">
        <v>7956.2</v>
      </c>
      <c r="AQ618" t="s">
        <v>3645</v>
      </c>
      <c r="AR618" t="s">
        <v>901</v>
      </c>
      <c r="AS618" t="s">
        <v>3118</v>
      </c>
      <c r="AT618" t="s">
        <v>335</v>
      </c>
      <c r="AV618" t="s">
        <v>339</v>
      </c>
      <c r="AX618" t="s">
        <v>3118</v>
      </c>
      <c r="AY618" t="s">
        <v>901</v>
      </c>
      <c r="AZ618">
        <v>3.4</v>
      </c>
      <c r="BA618" t="s">
        <v>53</v>
      </c>
      <c r="BB618" t="s">
        <v>178</v>
      </c>
      <c r="BC618">
        <v>29</v>
      </c>
      <c r="BD618" s="34">
        <v>46205</v>
      </c>
      <c r="BG618" t="s">
        <v>724</v>
      </c>
      <c r="BH618" t="s">
        <v>2940</v>
      </c>
      <c r="BI618">
        <v>85</v>
      </c>
      <c r="BJ618">
        <v>55</v>
      </c>
      <c r="BK618" s="466"/>
    </row>
    <row r="619" spans="1:63" hidden="1" x14ac:dyDescent="0.25">
      <c r="A619" s="40"/>
      <c r="B619" s="41"/>
      <c r="C619" s="121">
        <v>55</v>
      </c>
      <c r="D619" s="42">
        <v>844</v>
      </c>
      <c r="E619" s="147"/>
      <c r="F619" s="41"/>
      <c r="G619" s="41">
        <v>4320</v>
      </c>
      <c r="H619" s="69"/>
      <c r="I619" s="41">
        <v>4039.2</v>
      </c>
      <c r="J619" s="40" t="s">
        <v>3375</v>
      </c>
      <c r="K619" s="40" t="s">
        <v>900</v>
      </c>
      <c r="L619" s="40" t="s">
        <v>3108</v>
      </c>
      <c r="M619" s="40" t="s">
        <v>737</v>
      </c>
      <c r="N619" s="40"/>
      <c r="O619" s="40"/>
      <c r="P619" s="40"/>
      <c r="Q619" s="40"/>
      <c r="R619" s="40" t="s">
        <v>738</v>
      </c>
      <c r="S619" s="40"/>
      <c r="T619" s="70" t="s">
        <v>3108</v>
      </c>
      <c r="U619" s="70" t="s">
        <v>900</v>
      </c>
      <c r="V619" s="44">
        <f>26*Таблица3[[#This Row],[Регистратор.Вес нетто]]/82260</f>
        <v>1.3654266958424508</v>
      </c>
      <c r="W619" s="44" t="s">
        <v>2932</v>
      </c>
      <c r="X619" s="45" t="s">
        <v>178</v>
      </c>
      <c r="Y619" s="486">
        <v>33</v>
      </c>
      <c r="Z619" s="103">
        <v>46209</v>
      </c>
      <c r="AA619" s="45"/>
      <c r="AB619" s="43" t="s">
        <v>4038</v>
      </c>
      <c r="AC619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19" s="360" t="s">
        <v>3230</v>
      </c>
      <c r="AE619" s="40">
        <v>702</v>
      </c>
      <c r="AF619" s="103">
        <v>46209</v>
      </c>
      <c r="AG619" s="40">
        <v>444</v>
      </c>
      <c r="AH619" s="40">
        <f>IFERROR(VLOOKUP(Таблица3[[#This Row],[№ акта]],'Степень зрелости 2026'!$H$12:$I$800,2,FALSE),)</f>
        <v>66</v>
      </c>
      <c r="AJ619">
        <v>617</v>
      </c>
      <c r="AK619" s="34">
        <v>46205</v>
      </c>
      <c r="AL619">
        <v>761</v>
      </c>
      <c r="AO619">
        <v>13880</v>
      </c>
      <c r="AP619">
        <v>11867.4</v>
      </c>
      <c r="AQ619" t="s">
        <v>3645</v>
      </c>
      <c r="AR619" t="s">
        <v>901</v>
      </c>
      <c r="AS619" t="s">
        <v>3118</v>
      </c>
      <c r="AT619" t="s">
        <v>347</v>
      </c>
      <c r="AV619" t="s">
        <v>351</v>
      </c>
      <c r="AX619" t="s">
        <v>3118</v>
      </c>
      <c r="AY619" t="s">
        <v>901</v>
      </c>
      <c r="AZ619">
        <v>5.2</v>
      </c>
      <c r="BA619" t="s">
        <v>53</v>
      </c>
      <c r="BB619" t="s">
        <v>178</v>
      </c>
      <c r="BC619">
        <v>29</v>
      </c>
      <c r="BD619" s="34">
        <v>46205</v>
      </c>
      <c r="BG619" t="s">
        <v>724</v>
      </c>
      <c r="BH619" t="s">
        <v>2940</v>
      </c>
      <c r="BI619">
        <v>86</v>
      </c>
      <c r="BJ619">
        <v>57</v>
      </c>
      <c r="BK619" s="466"/>
    </row>
    <row r="620" spans="1:63" ht="22.5" hidden="1" x14ac:dyDescent="0.25">
      <c r="A620" s="40"/>
      <c r="B620" s="41"/>
      <c r="C620" s="121">
        <v>50</v>
      </c>
      <c r="D620" s="42">
        <v>744</v>
      </c>
      <c r="E620" s="147"/>
      <c r="F620" s="41"/>
      <c r="G620" s="41">
        <v>11150</v>
      </c>
      <c r="H620" s="69"/>
      <c r="I620" s="41">
        <v>9812</v>
      </c>
      <c r="J620" s="40" t="s">
        <v>3645</v>
      </c>
      <c r="K620" s="40" t="s">
        <v>901</v>
      </c>
      <c r="L620" s="40" t="s">
        <v>3118</v>
      </c>
      <c r="M620" s="40" t="s">
        <v>1312</v>
      </c>
      <c r="N620" s="40"/>
      <c r="O620" s="40"/>
      <c r="P620" s="40"/>
      <c r="Q620" s="40"/>
      <c r="R620" s="40" t="s">
        <v>320</v>
      </c>
      <c r="S620" s="40"/>
      <c r="T620" s="70" t="str">
        <f>VLOOKUP(Таблица3[[#This Row],[№ акта]],$AJ$1:$BJ$691,15,FALSE)</f>
        <v>1.6 Колос</v>
      </c>
      <c r="U620" s="70" t="str">
        <f>VLOOKUP(Таблица3[[#This Row],[№ акта]],$AJ$1:$BJ$691,16,FALSE)</f>
        <v>Фаворит</v>
      </c>
      <c r="V620" s="44">
        <f>VLOOKUP(Таблица3[[#This Row],[№ акта]],$AJ$1:$BJ$691,17,FALSE)</f>
        <v>5.7</v>
      </c>
      <c r="W620" s="44" t="str">
        <f>VLOOKUP(Таблица3[[#This Row],[№ акта]],$AJ$1:$BJ$691,18,FALSE)</f>
        <v>Колос (полив)</v>
      </c>
      <c r="X620" s="45" t="s">
        <v>178</v>
      </c>
      <c r="Y620" s="485">
        <f>VLOOKUP(Таблица3[[#This Row],[№ акта]],$AJ$1:$BJ$691,20,FALSE)</f>
        <v>29</v>
      </c>
      <c r="Z620" s="103">
        <f>VLOOKUP(Таблица3[[#This Row],[№ акта]],$AJ$1:$BJ$691,21,FALSE)</f>
        <v>46205</v>
      </c>
      <c r="AA620" s="45"/>
      <c r="AB620" s="43" t="s">
        <v>4038</v>
      </c>
      <c r="AC620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20" s="360" t="s">
        <v>2940</v>
      </c>
      <c r="AE620" s="40">
        <v>603</v>
      </c>
      <c r="AF620" s="103">
        <v>46205</v>
      </c>
      <c r="AG620" s="40">
        <v>80</v>
      </c>
      <c r="AH620" s="40">
        <f>IFERROR(VLOOKUP(Таблица3[[#This Row],[№ акта]],'Степень зрелости 2026'!$H$12:$I$800,2,FALSE),)</f>
        <v>59</v>
      </c>
      <c r="AJ620">
        <v>621</v>
      </c>
      <c r="AK620" s="34">
        <v>46206</v>
      </c>
      <c r="AL620">
        <v>762</v>
      </c>
      <c r="AO620">
        <v>13140</v>
      </c>
      <c r="AP620">
        <v>11103.3</v>
      </c>
      <c r="AQ620" t="s">
        <v>3375</v>
      </c>
      <c r="AR620" t="s">
        <v>901</v>
      </c>
      <c r="AS620" t="s">
        <v>3110</v>
      </c>
      <c r="AT620" t="s">
        <v>311</v>
      </c>
      <c r="AV620" t="s">
        <v>315</v>
      </c>
      <c r="AX620" t="s">
        <v>3110</v>
      </c>
      <c r="AY620" t="s">
        <v>901</v>
      </c>
      <c r="AZ620">
        <v>5.3</v>
      </c>
      <c r="BA620" t="s">
        <v>2932</v>
      </c>
      <c r="BB620" t="s">
        <v>178</v>
      </c>
      <c r="BC620">
        <v>29</v>
      </c>
      <c r="BD620" s="34">
        <v>46205</v>
      </c>
      <c r="BG620" t="s">
        <v>3557</v>
      </c>
      <c r="BH620" t="s">
        <v>2940</v>
      </c>
      <c r="BI620">
        <v>401</v>
      </c>
      <c r="BJ620">
        <v>50</v>
      </c>
      <c r="BK620" s="466"/>
    </row>
    <row r="621" spans="1:63" x14ac:dyDescent="0.25">
      <c r="A621" s="40"/>
      <c r="B621" s="41"/>
      <c r="C621" s="121">
        <v>57</v>
      </c>
      <c r="D621" s="42">
        <v>745</v>
      </c>
      <c r="E621" s="147"/>
      <c r="F621" s="41"/>
      <c r="G621" s="41">
        <v>12670</v>
      </c>
      <c r="H621" s="69"/>
      <c r="I621" s="41">
        <v>10832.9</v>
      </c>
      <c r="J621" s="40" t="s">
        <v>3375</v>
      </c>
      <c r="K621" s="40" t="s">
        <v>901</v>
      </c>
      <c r="L621" s="40" t="s">
        <v>3092</v>
      </c>
      <c r="M621" s="40" t="s">
        <v>311</v>
      </c>
      <c r="N621" s="40"/>
      <c r="O621" s="40"/>
      <c r="P621" s="40"/>
      <c r="Q621" s="40"/>
      <c r="R621" s="40" t="s">
        <v>315</v>
      </c>
      <c r="S621" s="40"/>
      <c r="T621" s="70" t="str">
        <f>VLOOKUP(Таблица3[[#This Row],[№ акта]],$AJ$1:$BJ$691,15,FALSE)</f>
        <v>А-104/1</v>
      </c>
      <c r="U621" s="70" t="str">
        <f>VLOOKUP(Таблица3[[#This Row],[№ акта]],$AJ$1:$BJ$691,16,FALSE)</f>
        <v>Фаворит</v>
      </c>
      <c r="V621" s="502">
        <f>49*Таблица3[[#This Row],[Регистратор.Вес нетто]]/125190</f>
        <v>4.9591021647096412</v>
      </c>
      <c r="W621" s="44" t="str">
        <f>VLOOKUP(Таблица3[[#This Row],[№ акта]],$AJ$1:$BJ$691,18,FALSE)</f>
        <v>ГРК (полив)</v>
      </c>
      <c r="X621" s="45" t="s">
        <v>178</v>
      </c>
      <c r="Y621" s="485">
        <f>VLOOKUP(Таблица3[[#This Row],[№ акта]],$AJ$1:$BJ$691,20,FALSE)</f>
        <v>29</v>
      </c>
      <c r="Z621" s="103">
        <f>VLOOKUP(Таблица3[[#This Row],[№ акта]],$AJ$1:$BJ$691,21,FALSE)</f>
        <v>46205</v>
      </c>
      <c r="AA621" s="45"/>
      <c r="AB621" s="43" t="s">
        <v>4038</v>
      </c>
      <c r="AC621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21" s="360" t="s">
        <v>2940</v>
      </c>
      <c r="AE621" s="40">
        <v>604</v>
      </c>
      <c r="AF621" s="103">
        <v>46205</v>
      </c>
      <c r="AG621" s="40">
        <v>394</v>
      </c>
      <c r="AH621" s="40">
        <f>IFERROR(VLOOKUP(Таблица3[[#This Row],[№ акта]],'Степень зрелости 2026'!$H$12:$I$800,2,FALSE),)</f>
        <v>57</v>
      </c>
      <c r="AJ621">
        <v>622</v>
      </c>
      <c r="AK621" s="34">
        <v>46206</v>
      </c>
      <c r="AL621">
        <v>763</v>
      </c>
      <c r="AO621">
        <v>13460</v>
      </c>
      <c r="AP621">
        <v>12181.3</v>
      </c>
      <c r="AQ621" t="s">
        <v>3645</v>
      </c>
      <c r="AR621" t="s">
        <v>901</v>
      </c>
      <c r="AS621" t="s">
        <v>3119</v>
      </c>
      <c r="AT621" t="s">
        <v>3838</v>
      </c>
      <c r="AV621" t="s">
        <v>270</v>
      </c>
      <c r="AX621" t="s">
        <v>3119</v>
      </c>
      <c r="AY621" t="s">
        <v>901</v>
      </c>
      <c r="AZ621">
        <v>5.2</v>
      </c>
      <c r="BA621" t="s">
        <v>53</v>
      </c>
      <c r="BB621" t="s">
        <v>178</v>
      </c>
      <c r="BC621">
        <v>29</v>
      </c>
      <c r="BD621" s="34">
        <v>46205</v>
      </c>
      <c r="BG621" t="s">
        <v>724</v>
      </c>
      <c r="BH621" t="s">
        <v>2940</v>
      </c>
      <c r="BI621">
        <v>88</v>
      </c>
      <c r="BJ621">
        <v>57</v>
      </c>
      <c r="BK621" s="466"/>
    </row>
    <row r="622" spans="1:63" x14ac:dyDescent="0.25">
      <c r="A622" s="40"/>
      <c r="B622" s="41"/>
      <c r="C622" s="121">
        <f>Таблица3[[#This Row],[Степень зрелости вспом]]</f>
        <v>59</v>
      </c>
      <c r="D622" s="42">
        <v>747</v>
      </c>
      <c r="E622" s="147"/>
      <c r="F622" s="41"/>
      <c r="G622" s="41">
        <v>13500</v>
      </c>
      <c r="H622" s="69"/>
      <c r="I622" s="41">
        <v>10192.5</v>
      </c>
      <c r="J622" s="40" t="s">
        <v>3375</v>
      </c>
      <c r="K622" s="40" t="s">
        <v>901</v>
      </c>
      <c r="L622" s="40" t="s">
        <v>3092</v>
      </c>
      <c r="M622" s="40" t="s">
        <v>239</v>
      </c>
      <c r="N622" s="40"/>
      <c r="O622" s="40"/>
      <c r="P622" s="40"/>
      <c r="Q622" s="40"/>
      <c r="R622" s="40" t="s">
        <v>243</v>
      </c>
      <c r="S622" s="40"/>
      <c r="T622" s="70" t="str">
        <f>VLOOKUP(Таблица3[[#This Row],[№ акта]],$AJ$1:$BJ$691,15,FALSE)</f>
        <v>А-104/1</v>
      </c>
      <c r="U622" s="70" t="str">
        <f>VLOOKUP(Таблица3[[#This Row],[№ акта]],$AJ$1:$BJ$691,16,FALSE)</f>
        <v>Фаворит</v>
      </c>
      <c r="V622" s="502">
        <f>49*Таблица3[[#This Row],[Регистратор.Вес нетто]]/125190</f>
        <v>5.2839683680805178</v>
      </c>
      <c r="W622" s="44" t="str">
        <f>VLOOKUP(Таблица3[[#This Row],[№ акта]],$AJ$1:$BJ$691,18,FALSE)</f>
        <v>ГРК (полив)</v>
      </c>
      <c r="X622" s="45" t="s">
        <v>178</v>
      </c>
      <c r="Y622" s="485">
        <f>VLOOKUP(Таблица3[[#This Row],[№ акта]],$AJ$1:$BJ$691,20,FALSE)</f>
        <v>29</v>
      </c>
      <c r="Z622" s="103">
        <f>VLOOKUP(Таблица3[[#This Row],[№ акта]],$AJ$1:$BJ$691,21,FALSE)</f>
        <v>46205</v>
      </c>
      <c r="AA622" s="45"/>
      <c r="AB622" s="43" t="s">
        <v>4038</v>
      </c>
      <c r="AC622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22" s="360" t="s">
        <v>2940</v>
      </c>
      <c r="AE622" s="40">
        <v>605</v>
      </c>
      <c r="AF622" s="103">
        <v>46205</v>
      </c>
      <c r="AG622" s="40">
        <v>395</v>
      </c>
      <c r="AH622" s="40">
        <f>IFERROR(VLOOKUP(Таблица3[[#This Row],[№ акта]],'Степень зрелости 2026'!$H$12:$I$800,2,FALSE),)</f>
        <v>59</v>
      </c>
      <c r="AJ622">
        <v>623</v>
      </c>
      <c r="AK622" s="34">
        <v>46206</v>
      </c>
      <c r="AL622">
        <v>764</v>
      </c>
      <c r="AO622">
        <v>13550</v>
      </c>
      <c r="AP622">
        <v>11043.3</v>
      </c>
      <c r="AQ622" t="s">
        <v>3375</v>
      </c>
      <c r="AR622" t="s">
        <v>901</v>
      </c>
      <c r="AS622" t="s">
        <v>3110</v>
      </c>
      <c r="AT622" t="s">
        <v>212</v>
      </c>
      <c r="AV622" t="s">
        <v>2965</v>
      </c>
      <c r="AX622" t="s">
        <v>3110</v>
      </c>
      <c r="AY622" t="s">
        <v>901</v>
      </c>
      <c r="AZ622">
        <v>5.4</v>
      </c>
      <c r="BA622" t="s">
        <v>2932</v>
      </c>
      <c r="BB622" t="s">
        <v>178</v>
      </c>
      <c r="BC622">
        <v>29</v>
      </c>
      <c r="BD622" s="34">
        <v>46205</v>
      </c>
      <c r="BG622" t="s">
        <v>724</v>
      </c>
      <c r="BH622" t="s">
        <v>2940</v>
      </c>
      <c r="BI622">
        <v>402</v>
      </c>
      <c r="BJ622">
        <v>53</v>
      </c>
      <c r="BK622" s="466"/>
    </row>
    <row r="623" spans="1:63" ht="22.5" hidden="1" x14ac:dyDescent="0.25">
      <c r="A623" s="40"/>
      <c r="B623" s="41"/>
      <c r="C623" s="121">
        <f>Таблица3[[#This Row],[Степень зрелости вспом]]</f>
        <v>53</v>
      </c>
      <c r="D623" s="42">
        <v>748</v>
      </c>
      <c r="E623" s="147"/>
      <c r="F623" s="41"/>
      <c r="G623" s="41">
        <v>15040</v>
      </c>
      <c r="H623" s="69"/>
      <c r="I623" s="41">
        <v>13536</v>
      </c>
      <c r="J623" s="40" t="s">
        <v>3645</v>
      </c>
      <c r="K623" s="40" t="s">
        <v>901</v>
      </c>
      <c r="L623" s="40" t="s">
        <v>3118</v>
      </c>
      <c r="M623" s="40" t="s">
        <v>3377</v>
      </c>
      <c r="N623" s="40"/>
      <c r="O623" s="40"/>
      <c r="P623" s="40"/>
      <c r="Q623" s="40"/>
      <c r="R623" s="40" t="s">
        <v>3196</v>
      </c>
      <c r="S623" s="40"/>
      <c r="T623" s="70" t="str">
        <f>VLOOKUP(Таблица3[[#This Row],[№ акта]],$AJ$1:$BJ$691,15,FALSE)</f>
        <v>1.6 Колос</v>
      </c>
      <c r="U623" s="70" t="str">
        <f>VLOOKUP(Таблица3[[#This Row],[№ акта]],$AJ$1:$BJ$691,16,FALSE)</f>
        <v>Фаворит</v>
      </c>
      <c r="V623" s="44">
        <f>VLOOKUP(Таблица3[[#This Row],[№ акта]],$AJ$1:$BJ$691,17,FALSE)</f>
        <v>3.5</v>
      </c>
      <c r="W623" s="44" t="str">
        <f>VLOOKUP(Таблица3[[#This Row],[№ акта]],$AJ$1:$BJ$691,18,FALSE)</f>
        <v>Колос (полив)</v>
      </c>
      <c r="X623" s="45" t="s">
        <v>178</v>
      </c>
      <c r="Y623" s="485">
        <f>VLOOKUP(Таблица3[[#This Row],[№ акта]],$AJ$1:$BJ$691,20,FALSE)</f>
        <v>29</v>
      </c>
      <c r="Z623" s="103">
        <f>VLOOKUP(Таблица3[[#This Row],[№ акта]],$AJ$1:$BJ$691,21,FALSE)</f>
        <v>46205</v>
      </c>
      <c r="AA623" s="45"/>
      <c r="AB623" s="43" t="s">
        <v>4038</v>
      </c>
      <c r="AC623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23" s="360" t="s">
        <v>2940</v>
      </c>
      <c r="AE623" s="40">
        <v>609</v>
      </c>
      <c r="AF623" s="103">
        <v>46205</v>
      </c>
      <c r="AG623" s="40">
        <v>72</v>
      </c>
      <c r="AH623" s="40">
        <f>IFERROR(VLOOKUP(Таблица3[[#This Row],[№ акта]],'Степень зрелости 2026'!$H$12:$I$800,2,FALSE),)</f>
        <v>53</v>
      </c>
      <c r="AJ623">
        <v>624</v>
      </c>
      <c r="AK623" s="34">
        <v>46206</v>
      </c>
      <c r="AL623">
        <v>765</v>
      </c>
      <c r="AO623">
        <v>13800</v>
      </c>
      <c r="AP623">
        <v>11868</v>
      </c>
      <c r="AQ623" t="s">
        <v>3645</v>
      </c>
      <c r="AR623" t="s">
        <v>901</v>
      </c>
      <c r="AS623" t="s">
        <v>3119</v>
      </c>
      <c r="AT623" t="s">
        <v>2967</v>
      </c>
      <c r="AV623" t="s">
        <v>1810</v>
      </c>
      <c r="AX623" t="s">
        <v>3119</v>
      </c>
      <c r="AY623" t="s">
        <v>901</v>
      </c>
      <c r="AZ623">
        <v>5.2</v>
      </c>
      <c r="BA623" t="s">
        <v>53</v>
      </c>
      <c r="BB623" t="s">
        <v>178</v>
      </c>
      <c r="BC623">
        <v>29</v>
      </c>
      <c r="BD623" s="34">
        <v>46205</v>
      </c>
      <c r="BG623" t="s">
        <v>724</v>
      </c>
      <c r="BH623" t="s">
        <v>2940</v>
      </c>
      <c r="BI623">
        <v>89</v>
      </c>
      <c r="BJ623">
        <v>57</v>
      </c>
      <c r="BK623" s="466"/>
    </row>
    <row r="624" spans="1:63" x14ac:dyDescent="0.25">
      <c r="A624" s="40"/>
      <c r="B624" s="41"/>
      <c r="C624" s="121">
        <v>51</v>
      </c>
      <c r="D624" s="42">
        <v>752</v>
      </c>
      <c r="E624" s="147"/>
      <c r="F624" s="41"/>
      <c r="G624" s="41">
        <v>14610</v>
      </c>
      <c r="H624" s="69"/>
      <c r="I624" s="41">
        <v>13514.2</v>
      </c>
      <c r="J624" s="40" t="s">
        <v>3375</v>
      </c>
      <c r="K624" s="40" t="s">
        <v>901</v>
      </c>
      <c r="L624" s="40" t="s">
        <v>3092</v>
      </c>
      <c r="M624" s="40" t="s">
        <v>1312</v>
      </c>
      <c r="N624" s="40"/>
      <c r="O624" s="40"/>
      <c r="P624" s="40"/>
      <c r="Q624" s="40"/>
      <c r="R624" s="40" t="s">
        <v>320</v>
      </c>
      <c r="S624" s="40"/>
      <c r="T624" s="70" t="str">
        <f>VLOOKUP(Таблица3[[#This Row],[№ акта]],$AJ$1:$BJ$691,15,FALSE)</f>
        <v>А-104/1</v>
      </c>
      <c r="U624" s="70" t="str">
        <f>VLOOKUP(Таблица3[[#This Row],[№ акта]],$AJ$1:$BJ$691,16,FALSE)</f>
        <v>Фаворит</v>
      </c>
      <c r="V624" s="502">
        <f>49*Таблица3[[#This Row],[Регистратор.Вес нетто]]/125190</f>
        <v>5.7184279894560266</v>
      </c>
      <c r="W624" s="44" t="str">
        <f>VLOOKUP(Таблица3[[#This Row],[№ акта]],$AJ$1:$BJ$691,18,FALSE)</f>
        <v>ГРК (полив)</v>
      </c>
      <c r="X624" s="45" t="s">
        <v>178</v>
      </c>
      <c r="Y624" s="485">
        <f>VLOOKUP(Таблица3[[#This Row],[№ акта]],$AJ$1:$BJ$691,20,FALSE)</f>
        <v>29</v>
      </c>
      <c r="Z624" s="103">
        <f>VLOOKUP(Таблица3[[#This Row],[№ акта]],$AJ$1:$BJ$691,21,FALSE)</f>
        <v>46205</v>
      </c>
      <c r="AA624" s="45"/>
      <c r="AB624" s="43" t="s">
        <v>4038</v>
      </c>
      <c r="AC624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24" s="360" t="s">
        <v>2940</v>
      </c>
      <c r="AE624" s="40">
        <v>610</v>
      </c>
      <c r="AF624" s="103">
        <v>46205</v>
      </c>
      <c r="AG624" s="40">
        <v>396</v>
      </c>
      <c r="AH624" s="40">
        <f>IFERROR(VLOOKUP(Таблица3[[#This Row],[№ акта]],'Степень зрелости 2026'!$H$12:$I$800,2,FALSE),)</f>
        <v>60</v>
      </c>
      <c r="AJ624">
        <v>627</v>
      </c>
      <c r="AK624" s="34">
        <v>46206</v>
      </c>
      <c r="AL624">
        <v>766</v>
      </c>
      <c r="AO624">
        <v>13050</v>
      </c>
      <c r="AP624">
        <v>11288.3</v>
      </c>
      <c r="AQ624" t="s">
        <v>3375</v>
      </c>
      <c r="AR624" t="s">
        <v>901</v>
      </c>
      <c r="AS624" t="s">
        <v>3110</v>
      </c>
      <c r="AT624" t="s">
        <v>311</v>
      </c>
      <c r="AV624" t="s">
        <v>315</v>
      </c>
      <c r="AX624" t="s">
        <v>3110</v>
      </c>
      <c r="AY624" t="s">
        <v>901</v>
      </c>
      <c r="AZ624">
        <v>5.2</v>
      </c>
      <c r="BA624" t="s">
        <v>2932</v>
      </c>
      <c r="BB624" t="s">
        <v>178</v>
      </c>
      <c r="BC624">
        <v>29</v>
      </c>
      <c r="BD624" s="34">
        <v>46205</v>
      </c>
      <c r="BG624" t="s">
        <v>3557</v>
      </c>
      <c r="BH624" t="s">
        <v>2940</v>
      </c>
      <c r="BI624">
        <v>403</v>
      </c>
      <c r="BJ624">
        <v>51</v>
      </c>
      <c r="BK624" s="466"/>
    </row>
    <row r="625" spans="1:63" ht="22.5" hidden="1" x14ac:dyDescent="0.25">
      <c r="A625" s="40"/>
      <c r="B625" s="41"/>
      <c r="C625" s="121">
        <f>Таблица3[[#This Row],[Степень зрелости вспом]]</f>
        <v>58</v>
      </c>
      <c r="D625" s="42">
        <v>753</v>
      </c>
      <c r="E625" s="147"/>
      <c r="F625" s="41"/>
      <c r="G625" s="41">
        <v>9250</v>
      </c>
      <c r="H625" s="69"/>
      <c r="I625" s="41">
        <v>8741.2999999999993</v>
      </c>
      <c r="J625" s="40" t="s">
        <v>3645</v>
      </c>
      <c r="K625" s="40" t="s">
        <v>901</v>
      </c>
      <c r="L625" s="40" t="s">
        <v>3118</v>
      </c>
      <c r="M625" s="40" t="s">
        <v>1151</v>
      </c>
      <c r="N625" s="40"/>
      <c r="O625" s="40"/>
      <c r="P625" s="40"/>
      <c r="Q625" s="40"/>
      <c r="R625" s="40" t="s">
        <v>145</v>
      </c>
      <c r="S625" s="40"/>
      <c r="T625" s="70" t="str">
        <f>VLOOKUP(Таблица3[[#This Row],[№ акта]],$AJ$1:$BJ$691,15,FALSE)</f>
        <v>1.6 Колос</v>
      </c>
      <c r="U625" s="70" t="str">
        <f>VLOOKUP(Таблица3[[#This Row],[№ акта]],$AJ$1:$BJ$691,16,FALSE)</f>
        <v>Фаворит</v>
      </c>
      <c r="V625" s="44">
        <f>VLOOKUP(Таблица3[[#This Row],[№ акта]],$AJ$1:$BJ$691,17,FALSE)</f>
        <v>3.5</v>
      </c>
      <c r="W625" s="44" t="str">
        <f>VLOOKUP(Таблица3[[#This Row],[№ акта]],$AJ$1:$BJ$691,18,FALSE)</f>
        <v>Колос (полив)</v>
      </c>
      <c r="X625" s="45" t="s">
        <v>178</v>
      </c>
      <c r="Y625" s="485">
        <f>VLOOKUP(Таблица3[[#This Row],[№ акта]],$AJ$1:$BJ$691,20,FALSE)</f>
        <v>29</v>
      </c>
      <c r="Z625" s="103">
        <f>VLOOKUP(Таблица3[[#This Row],[№ акта]],$AJ$1:$BJ$691,21,FALSE)</f>
        <v>46205</v>
      </c>
      <c r="AA625" s="45"/>
      <c r="AB625" s="43" t="s">
        <v>4038</v>
      </c>
      <c r="AC625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25" s="360" t="s">
        <v>2940</v>
      </c>
      <c r="AE625" s="40">
        <v>612</v>
      </c>
      <c r="AF625" s="103">
        <v>46205</v>
      </c>
      <c r="AG625" s="40">
        <v>83</v>
      </c>
      <c r="AH625" s="40">
        <f>IFERROR(VLOOKUP(Таблица3[[#This Row],[№ акта]],'Степень зрелости 2026'!$H$12:$I$800,2,FALSE),)</f>
        <v>58</v>
      </c>
      <c r="AJ625">
        <v>631</v>
      </c>
      <c r="AK625" s="34">
        <v>46206</v>
      </c>
      <c r="AL625">
        <v>767</v>
      </c>
      <c r="AO625">
        <v>13850</v>
      </c>
      <c r="AP625">
        <v>12534.3</v>
      </c>
      <c r="AQ625" t="s">
        <v>3645</v>
      </c>
      <c r="AR625" t="s">
        <v>901</v>
      </c>
      <c r="AS625" t="s">
        <v>3119</v>
      </c>
      <c r="AT625" t="s">
        <v>3853</v>
      </c>
      <c r="AV625" t="s">
        <v>3854</v>
      </c>
      <c r="AX625" t="s">
        <v>3119</v>
      </c>
      <c r="AY625" t="s">
        <v>901</v>
      </c>
      <c r="AZ625">
        <v>5.3</v>
      </c>
      <c r="BA625" t="s">
        <v>53</v>
      </c>
      <c r="BB625" t="s">
        <v>178</v>
      </c>
      <c r="BC625">
        <v>29</v>
      </c>
      <c r="BD625" s="34">
        <v>46205</v>
      </c>
      <c r="BG625" t="s">
        <v>724</v>
      </c>
      <c r="BH625" t="s">
        <v>2940</v>
      </c>
      <c r="BI625">
        <v>90</v>
      </c>
      <c r="BJ625">
        <v>58</v>
      </c>
      <c r="BK625" s="466"/>
    </row>
    <row r="626" spans="1:63" hidden="1" x14ac:dyDescent="0.25">
      <c r="A626" s="40"/>
      <c r="B626" s="41"/>
      <c r="C626" s="121">
        <f>Таблица3[[#This Row],[Степень зрелости вспом]]</f>
        <v>56</v>
      </c>
      <c r="D626" s="42">
        <v>754</v>
      </c>
      <c r="E626" s="147"/>
      <c r="F626" s="41"/>
      <c r="G626" s="41">
        <v>12820</v>
      </c>
      <c r="H626" s="69"/>
      <c r="I626" s="41">
        <v>10191.9</v>
      </c>
      <c r="J626" s="40" t="s">
        <v>3375</v>
      </c>
      <c r="K626" s="40" t="s">
        <v>901</v>
      </c>
      <c r="L626" s="40" t="s">
        <v>3108</v>
      </c>
      <c r="M626" s="40" t="s">
        <v>894</v>
      </c>
      <c r="N626" s="40"/>
      <c r="O626" s="40"/>
      <c r="P626" s="40"/>
      <c r="Q626" s="40"/>
      <c r="R626" s="40" t="s">
        <v>895</v>
      </c>
      <c r="S626" s="40"/>
      <c r="T626" s="70" t="str">
        <f>VLOOKUP(Таблица3[[#This Row],[№ акта]],$AJ$1:$BJ$691,15,FALSE)</f>
        <v>А-108/7</v>
      </c>
      <c r="U626" s="70" t="str">
        <f>VLOOKUP(Таблица3[[#This Row],[№ акта]],$AJ$1:$BJ$691,16,FALSE)</f>
        <v>Патриот</v>
      </c>
      <c r="V626" s="44">
        <f>VLOOKUP(Таблица3[[#This Row],[№ акта]],$AJ$1:$BJ$691,17,FALSE)</f>
        <v>2.7</v>
      </c>
      <c r="W626" s="44" t="str">
        <f>VLOOKUP(Таблица3[[#This Row],[№ акта]],$AJ$1:$BJ$691,18,FALSE)</f>
        <v>ГРК (полив)</v>
      </c>
      <c r="X626" s="45" t="s">
        <v>178</v>
      </c>
      <c r="Y626" s="485">
        <f>VLOOKUP(Таблица3[[#This Row],[№ акта]],$AJ$1:$BJ$691,20,FALSE)</f>
        <v>29</v>
      </c>
      <c r="Z626" s="103">
        <f>VLOOKUP(Таблица3[[#This Row],[№ акта]],$AJ$1:$BJ$691,21,FALSE)</f>
        <v>46205</v>
      </c>
      <c r="AA626" s="45"/>
      <c r="AB626" s="43" t="s">
        <v>4038</v>
      </c>
      <c r="AC626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26" s="360" t="s">
        <v>2940</v>
      </c>
      <c r="AE626" s="40">
        <v>614</v>
      </c>
      <c r="AF626" s="103">
        <v>46205</v>
      </c>
      <c r="AG626" s="40">
        <v>397</v>
      </c>
      <c r="AH626" s="418">
        <v>56</v>
      </c>
      <c r="AJ626">
        <v>636</v>
      </c>
      <c r="AK626" s="34">
        <v>46206</v>
      </c>
      <c r="AL626">
        <v>769</v>
      </c>
      <c r="AO626">
        <v>13830</v>
      </c>
      <c r="AP626">
        <v>13830</v>
      </c>
      <c r="AQ626" t="s">
        <v>3645</v>
      </c>
      <c r="AR626" t="s">
        <v>901</v>
      </c>
      <c r="AS626" t="s">
        <v>3119</v>
      </c>
      <c r="AT626" t="s">
        <v>3623</v>
      </c>
      <c r="AV626" t="s">
        <v>3679</v>
      </c>
      <c r="AX626" t="s">
        <v>3119</v>
      </c>
      <c r="AY626" t="s">
        <v>901</v>
      </c>
      <c r="AZ626">
        <v>5.3</v>
      </c>
      <c r="BA626" t="s">
        <v>53</v>
      </c>
      <c r="BB626" t="s">
        <v>178</v>
      </c>
      <c r="BC626">
        <v>29</v>
      </c>
      <c r="BD626" s="34">
        <v>46205</v>
      </c>
      <c r="BG626" t="s">
        <v>724</v>
      </c>
      <c r="BH626" t="s">
        <v>2940</v>
      </c>
      <c r="BI626">
        <v>91</v>
      </c>
      <c r="BJ626">
        <v>58</v>
      </c>
      <c r="BK626" s="466"/>
    </row>
    <row r="627" spans="1:63" ht="22.5" hidden="1" x14ac:dyDescent="0.25">
      <c r="A627" s="40"/>
      <c r="B627" s="41"/>
      <c r="C627" s="121">
        <v>50</v>
      </c>
      <c r="D627" s="42">
        <v>755</v>
      </c>
      <c r="E627" s="147"/>
      <c r="F627" s="41"/>
      <c r="G627" s="41">
        <v>9180</v>
      </c>
      <c r="H627" s="69"/>
      <c r="I627" s="41">
        <v>8399.7000000000007</v>
      </c>
      <c r="J627" s="40" t="s">
        <v>3645</v>
      </c>
      <c r="K627" s="40" t="s">
        <v>901</v>
      </c>
      <c r="L627" s="40" t="s">
        <v>3118</v>
      </c>
      <c r="M627" s="40" t="s">
        <v>3623</v>
      </c>
      <c r="N627" s="40"/>
      <c r="O627" s="40"/>
      <c r="P627" s="40"/>
      <c r="Q627" s="40"/>
      <c r="R627" s="40" t="s">
        <v>3679</v>
      </c>
      <c r="S627" s="40"/>
      <c r="T627" s="70" t="str">
        <f>VLOOKUP(Таблица3[[#This Row],[№ акта]],$AJ$1:$BJ$691,15,FALSE)</f>
        <v>1.6 Колос</v>
      </c>
      <c r="U627" s="70" t="str">
        <f>VLOOKUP(Таблица3[[#This Row],[№ акта]],$AJ$1:$BJ$691,16,FALSE)</f>
        <v>Фаворит</v>
      </c>
      <c r="V627" s="44">
        <f>VLOOKUP(Таблица3[[#This Row],[№ акта]],$AJ$1:$BJ$691,17,FALSE)</f>
        <v>3.5</v>
      </c>
      <c r="W627" s="44" t="str">
        <f>VLOOKUP(Таблица3[[#This Row],[№ акта]],$AJ$1:$BJ$691,18,FALSE)</f>
        <v>Колос (полив)</v>
      </c>
      <c r="X627" s="45" t="s">
        <v>178</v>
      </c>
      <c r="Y627" s="485">
        <f>VLOOKUP(Таблица3[[#This Row],[№ акта]],$AJ$1:$BJ$691,20,FALSE)</f>
        <v>29</v>
      </c>
      <c r="Z627" s="103">
        <f>VLOOKUP(Таблица3[[#This Row],[№ акта]],$AJ$1:$BJ$691,21,FALSE)</f>
        <v>46205</v>
      </c>
      <c r="AA627" s="45"/>
      <c r="AB627" s="43" t="s">
        <v>4038</v>
      </c>
      <c r="AC627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27" s="360" t="s">
        <v>2940</v>
      </c>
      <c r="AE627" s="40">
        <v>613</v>
      </c>
      <c r="AF627" s="103">
        <v>46205</v>
      </c>
      <c r="AG627" s="40">
        <v>84</v>
      </c>
      <c r="AH627" s="40">
        <f>IFERROR(VLOOKUP(Таблица3[[#This Row],[№ акта]],'Степень зрелости 2026'!$H$12:$I$800,2,FALSE),)</f>
        <v>57</v>
      </c>
      <c r="AJ627">
        <v>637</v>
      </c>
      <c r="AK627" s="34">
        <v>46206</v>
      </c>
      <c r="AL627">
        <v>770</v>
      </c>
      <c r="AO627">
        <v>13740</v>
      </c>
      <c r="AP627">
        <v>11610.3</v>
      </c>
      <c r="AQ627" t="s">
        <v>3375</v>
      </c>
      <c r="AR627" t="s">
        <v>901</v>
      </c>
      <c r="AS627" t="s">
        <v>3110</v>
      </c>
      <c r="AT627" t="s">
        <v>212</v>
      </c>
      <c r="AV627" t="s">
        <v>2965</v>
      </c>
      <c r="AX627" t="s">
        <v>3110</v>
      </c>
      <c r="AY627" t="s">
        <v>901</v>
      </c>
      <c r="AZ627">
        <v>5.5</v>
      </c>
      <c r="BA627" t="s">
        <v>2932</v>
      </c>
      <c r="BB627" t="s">
        <v>178</v>
      </c>
      <c r="BC627">
        <v>29</v>
      </c>
      <c r="BD627" s="34">
        <v>46205</v>
      </c>
      <c r="BG627" t="s">
        <v>3557</v>
      </c>
      <c r="BH627" t="s">
        <v>2940</v>
      </c>
      <c r="BI627">
        <v>404</v>
      </c>
      <c r="BJ627">
        <v>50</v>
      </c>
      <c r="BK627" s="466"/>
    </row>
    <row r="628" spans="1:63" hidden="1" x14ac:dyDescent="0.25">
      <c r="A628" s="40"/>
      <c r="B628" s="41"/>
      <c r="C628" s="121">
        <v>49</v>
      </c>
      <c r="D628" s="42">
        <v>756</v>
      </c>
      <c r="E628" s="147"/>
      <c r="F628" s="41"/>
      <c r="G628" s="41">
        <v>13170</v>
      </c>
      <c r="H628" s="69"/>
      <c r="I628" s="41">
        <v>11918.9</v>
      </c>
      <c r="J628" s="40" t="s">
        <v>3375</v>
      </c>
      <c r="K628" s="40" t="s">
        <v>901</v>
      </c>
      <c r="L628" s="40" t="s">
        <v>3108</v>
      </c>
      <c r="M628" s="40" t="s">
        <v>311</v>
      </c>
      <c r="N628" s="40"/>
      <c r="O628" s="40"/>
      <c r="P628" s="40"/>
      <c r="Q628" s="40"/>
      <c r="R628" s="40" t="s">
        <v>315</v>
      </c>
      <c r="S628" s="40"/>
      <c r="T628" s="70" t="str">
        <f>VLOOKUP(Таблица3[[#This Row],[№ акта]],$AJ$1:$BJ$691,15,FALSE)</f>
        <v>А-108/7</v>
      </c>
      <c r="U628" s="70" t="str">
        <f>VLOOKUP(Таблица3[[#This Row],[№ акта]],$AJ$1:$BJ$691,16,FALSE)</f>
        <v>Патриот</v>
      </c>
      <c r="V628" s="44">
        <f>VLOOKUP(Таблица3[[#This Row],[№ акта]],$AJ$1:$BJ$691,17,FALSE)</f>
        <v>3.1</v>
      </c>
      <c r="W628" s="44" t="str">
        <f>VLOOKUP(Таблица3[[#This Row],[№ акта]],$AJ$1:$BJ$691,18,FALSE)</f>
        <v>ГРК (полив)</v>
      </c>
      <c r="X628" s="45" t="s">
        <v>178</v>
      </c>
      <c r="Y628" s="485">
        <f>VLOOKUP(Таблица3[[#This Row],[№ акта]],$AJ$1:$BJ$691,20,FALSE)</f>
        <v>29</v>
      </c>
      <c r="Z628" s="103">
        <f>VLOOKUP(Таблица3[[#This Row],[№ акта]],$AJ$1:$BJ$691,21,FALSE)</f>
        <v>46205</v>
      </c>
      <c r="AA628" s="45"/>
      <c r="AB628" s="43" t="s">
        <v>4038</v>
      </c>
      <c r="AC628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28" s="360" t="s">
        <v>2940</v>
      </c>
      <c r="AE628" s="40">
        <v>616</v>
      </c>
      <c r="AF628" s="103">
        <v>46205</v>
      </c>
      <c r="AG628" s="40">
        <v>398</v>
      </c>
      <c r="AH628" s="40">
        <f>IFERROR(VLOOKUP(Таблица3[[#This Row],[№ акта]],'Степень зрелости 2026'!$H$12:$I$800,2,FALSE),)</f>
        <v>59</v>
      </c>
      <c r="AJ628">
        <v>638</v>
      </c>
      <c r="AK628" s="34">
        <v>46206</v>
      </c>
      <c r="AL628">
        <v>771</v>
      </c>
      <c r="AO628">
        <v>4550</v>
      </c>
      <c r="AP628">
        <v>3890.3</v>
      </c>
      <c r="AQ628" t="s">
        <v>3375</v>
      </c>
      <c r="AR628" t="s">
        <v>901</v>
      </c>
      <c r="AS628" t="s">
        <v>3110</v>
      </c>
      <c r="AT628" t="s">
        <v>762</v>
      </c>
      <c r="AV628" t="s">
        <v>763</v>
      </c>
      <c r="AX628" t="s">
        <v>3110</v>
      </c>
      <c r="AY628" t="s">
        <v>901</v>
      </c>
      <c r="AZ628">
        <v>1.8</v>
      </c>
      <c r="BA628" t="s">
        <v>2932</v>
      </c>
      <c r="BB628" t="s">
        <v>178</v>
      </c>
      <c r="BC628">
        <v>29</v>
      </c>
      <c r="BD628" s="34">
        <v>46205</v>
      </c>
      <c r="BG628" t="s">
        <v>3557</v>
      </c>
      <c r="BH628" t="s">
        <v>2940</v>
      </c>
      <c r="BI628">
        <v>405</v>
      </c>
      <c r="BJ628">
        <v>49</v>
      </c>
      <c r="BK628" s="466"/>
    </row>
    <row r="629" spans="1:63" s="461" customFormat="1" ht="22.5" hidden="1" x14ac:dyDescent="0.25">
      <c r="A629" s="418"/>
      <c r="B629" s="419"/>
      <c r="C629" s="121">
        <f>Таблица3[[#This Row],[Степень зрелости вспом]]</f>
        <v>55</v>
      </c>
      <c r="D629" s="42">
        <v>757</v>
      </c>
      <c r="E629" s="147"/>
      <c r="F629" s="41"/>
      <c r="G629" s="41">
        <v>9160</v>
      </c>
      <c r="H629" s="69"/>
      <c r="I629" s="41">
        <v>8381.4</v>
      </c>
      <c r="J629" s="40" t="s">
        <v>3645</v>
      </c>
      <c r="K629" s="40" t="s">
        <v>901</v>
      </c>
      <c r="L629" s="40" t="s">
        <v>3118</v>
      </c>
      <c r="M629" s="40" t="s">
        <v>1461</v>
      </c>
      <c r="N629" s="40"/>
      <c r="O629" s="40"/>
      <c r="P629" s="40"/>
      <c r="Q629" s="40"/>
      <c r="R629" s="40" t="s">
        <v>149</v>
      </c>
      <c r="S629" s="40"/>
      <c r="T629" s="70" t="str">
        <f>VLOOKUP(Таблица3[[#This Row],[№ акта]],$AJ$1:$BJ$691,15,FALSE)</f>
        <v>1.6 Колос</v>
      </c>
      <c r="U629" s="70" t="str">
        <f>VLOOKUP(Таблица3[[#This Row],[№ акта]],$AJ$1:$BJ$691,16,FALSE)</f>
        <v>Фаворит</v>
      </c>
      <c r="V629" s="44">
        <f>VLOOKUP(Таблица3[[#This Row],[№ акта]],$AJ$1:$BJ$691,17,FALSE)</f>
        <v>3.4</v>
      </c>
      <c r="W629" s="44" t="str">
        <f>VLOOKUP(Таблица3[[#This Row],[№ акта]],$AJ$1:$BJ$691,18,FALSE)</f>
        <v>Колос (полив)</v>
      </c>
      <c r="X629" s="45" t="s">
        <v>178</v>
      </c>
      <c r="Y629" s="485">
        <f>VLOOKUP(Таблица3[[#This Row],[№ акта]],$AJ$1:$BJ$691,20,FALSE)</f>
        <v>29</v>
      </c>
      <c r="Z629" s="103">
        <f>VLOOKUP(Таблица3[[#This Row],[№ акта]],$AJ$1:$BJ$691,21,FALSE)</f>
        <v>46205</v>
      </c>
      <c r="AA629" s="45"/>
      <c r="AB629" s="43" t="s">
        <v>4038</v>
      </c>
      <c r="AC629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29" s="360" t="s">
        <v>2940</v>
      </c>
      <c r="AE629" s="40">
        <v>615</v>
      </c>
      <c r="AF629" s="103">
        <v>46205</v>
      </c>
      <c r="AG629" s="40">
        <v>85</v>
      </c>
      <c r="AH629" s="40">
        <f>IFERROR(VLOOKUP(Таблица3[[#This Row],[№ акта]],'Степень зрелости 2026'!$H$12:$I$800,2,FALSE),)</f>
        <v>55</v>
      </c>
      <c r="AJ629" s="461">
        <v>639</v>
      </c>
      <c r="AK629" s="478">
        <v>46206</v>
      </c>
      <c r="AL629" s="461">
        <v>772</v>
      </c>
      <c r="AO629" s="461">
        <v>9140</v>
      </c>
      <c r="AP629" s="461">
        <v>8043.2</v>
      </c>
      <c r="AQ629" s="461" t="s">
        <v>3375</v>
      </c>
      <c r="AR629" s="461" t="s">
        <v>901</v>
      </c>
      <c r="AS629" s="461" t="s">
        <v>3110</v>
      </c>
      <c r="AT629" s="461" t="s">
        <v>2967</v>
      </c>
      <c r="AV629" s="461" t="s">
        <v>1810</v>
      </c>
      <c r="AX629" s="461" t="s">
        <v>3110</v>
      </c>
      <c r="AY629" s="461" t="s">
        <v>901</v>
      </c>
      <c r="AZ629" s="461">
        <v>3.7</v>
      </c>
      <c r="BA629" s="461" t="s">
        <v>2932</v>
      </c>
      <c r="BB629" s="461" t="s">
        <v>178</v>
      </c>
      <c r="BC629" s="461">
        <v>30</v>
      </c>
      <c r="BD629" s="478">
        <v>46206</v>
      </c>
      <c r="BG629" s="461" t="s">
        <v>3557</v>
      </c>
      <c r="BI629" s="461">
        <v>406</v>
      </c>
      <c r="BJ629" s="461">
        <v>52</v>
      </c>
      <c r="BK629" s="466"/>
    </row>
    <row r="630" spans="1:63" hidden="1" x14ac:dyDescent="0.25">
      <c r="A630" s="40"/>
      <c r="B630" s="41"/>
      <c r="C630" s="121">
        <f>Таблица3[[#This Row],[Степень зрелости вспом]]</f>
        <v>60</v>
      </c>
      <c r="D630" s="42">
        <v>758</v>
      </c>
      <c r="E630" s="147"/>
      <c r="F630" s="41"/>
      <c r="G630" s="41">
        <v>13150</v>
      </c>
      <c r="H630" s="69"/>
      <c r="I630" s="41">
        <v>12032.3</v>
      </c>
      <c r="J630" s="40" t="s">
        <v>3375</v>
      </c>
      <c r="K630" s="40" t="s">
        <v>901</v>
      </c>
      <c r="L630" s="40" t="s">
        <v>3108</v>
      </c>
      <c r="M630" s="40" t="s">
        <v>239</v>
      </c>
      <c r="N630" s="40"/>
      <c r="O630" s="40"/>
      <c r="P630" s="40"/>
      <c r="Q630" s="40"/>
      <c r="R630" s="40" t="s">
        <v>243</v>
      </c>
      <c r="S630" s="40"/>
      <c r="T630" s="70" t="str">
        <f>VLOOKUP(Таблица3[[#This Row],[№ акта]],$AJ$1:$BJ$691,15,FALSE)</f>
        <v>А-108/7</v>
      </c>
      <c r="U630" s="70" t="str">
        <f>VLOOKUP(Таблица3[[#This Row],[№ акта]],$AJ$1:$BJ$691,16,FALSE)</f>
        <v>Патриот</v>
      </c>
      <c r="V630" s="44">
        <f>VLOOKUP(Таблица3[[#This Row],[№ акта]],$AJ$1:$BJ$691,17,FALSE)</f>
        <v>3.1</v>
      </c>
      <c r="W630" s="44" t="str">
        <f>VLOOKUP(Таблица3[[#This Row],[№ акта]],$AJ$1:$BJ$691,18,FALSE)</f>
        <v>ГРК (полив)</v>
      </c>
      <c r="X630" s="45" t="s">
        <v>178</v>
      </c>
      <c r="Y630" s="485">
        <f>VLOOKUP(Таблица3[[#This Row],[№ акта]],$AJ$1:$BJ$691,20,FALSE)</f>
        <v>29</v>
      </c>
      <c r="Z630" s="103">
        <f>VLOOKUP(Таблица3[[#This Row],[№ акта]],$AJ$1:$BJ$691,21,FALSE)</f>
        <v>46205</v>
      </c>
      <c r="AA630" s="45"/>
      <c r="AB630" s="43" t="s">
        <v>4038</v>
      </c>
      <c r="AC630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30" s="360" t="s">
        <v>2940</v>
      </c>
      <c r="AE630" s="40">
        <v>618</v>
      </c>
      <c r="AF630" s="103">
        <v>46205</v>
      </c>
      <c r="AG630" s="40">
        <v>399</v>
      </c>
      <c r="AH630" s="40">
        <f>IFERROR(VLOOKUP(Таблица3[[#This Row],[№ акта]],'Степень зрелости 2026'!$H$12:$I$800,2,FALSE),)</f>
        <v>60</v>
      </c>
      <c r="AJ630">
        <v>640</v>
      </c>
      <c r="AK630" s="34">
        <v>46206</v>
      </c>
      <c r="AL630">
        <v>774</v>
      </c>
      <c r="AO630">
        <v>13600</v>
      </c>
      <c r="AP630">
        <v>12580</v>
      </c>
      <c r="AQ630" t="s">
        <v>3645</v>
      </c>
      <c r="AR630" t="s">
        <v>901</v>
      </c>
      <c r="AS630" t="s">
        <v>3119</v>
      </c>
      <c r="AT630" t="s">
        <v>3377</v>
      </c>
      <c r="AV630" t="s">
        <v>3196</v>
      </c>
      <c r="AX630" t="s">
        <v>3119</v>
      </c>
      <c r="AY630" t="s">
        <v>901</v>
      </c>
      <c r="AZ630">
        <v>2.4</v>
      </c>
      <c r="BA630" t="s">
        <v>53</v>
      </c>
      <c r="BB630" t="s">
        <v>178</v>
      </c>
      <c r="BC630">
        <v>30</v>
      </c>
      <c r="BD630" s="34">
        <v>46206</v>
      </c>
      <c r="BG630" t="s">
        <v>724</v>
      </c>
      <c r="BI630">
        <v>92</v>
      </c>
      <c r="BJ630">
        <v>60</v>
      </c>
      <c r="BK630" s="466"/>
    </row>
    <row r="631" spans="1:63" ht="22.5" hidden="1" x14ac:dyDescent="0.25">
      <c r="A631" s="40"/>
      <c r="B631" s="41"/>
      <c r="C631" s="121">
        <f>Таблица3[[#This Row],[Степень зрелости вспом]]</f>
        <v>57</v>
      </c>
      <c r="D631" s="42">
        <v>759</v>
      </c>
      <c r="E631" s="147"/>
      <c r="F631" s="41"/>
      <c r="G631" s="41">
        <v>8990</v>
      </c>
      <c r="H631" s="69"/>
      <c r="I631" s="41">
        <v>7956.2</v>
      </c>
      <c r="J631" s="40" t="s">
        <v>3645</v>
      </c>
      <c r="K631" s="40" t="s">
        <v>901</v>
      </c>
      <c r="L631" s="40" t="s">
        <v>3118</v>
      </c>
      <c r="M631" s="40" t="s">
        <v>335</v>
      </c>
      <c r="N631" s="40"/>
      <c r="O631" s="40"/>
      <c r="P631" s="40"/>
      <c r="Q631" s="40"/>
      <c r="R631" s="40" t="s">
        <v>339</v>
      </c>
      <c r="S631" s="40"/>
      <c r="T631" s="70" t="str">
        <f>VLOOKUP(Таблица3[[#This Row],[№ акта]],$AJ$1:$BJ$691,15,FALSE)</f>
        <v>1.6 Колос</v>
      </c>
      <c r="U631" s="70" t="str">
        <f>VLOOKUP(Таблица3[[#This Row],[№ акта]],$AJ$1:$BJ$691,16,FALSE)</f>
        <v>Фаворит</v>
      </c>
      <c r="V631" s="44">
        <f>VLOOKUP(Таблица3[[#This Row],[№ акта]],$AJ$1:$BJ$691,17,FALSE)</f>
        <v>5.2</v>
      </c>
      <c r="W631" s="44" t="str">
        <f>VLOOKUP(Таблица3[[#This Row],[№ акта]],$AJ$1:$BJ$691,18,FALSE)</f>
        <v>Колос (полив)</v>
      </c>
      <c r="X631" s="45" t="s">
        <v>178</v>
      </c>
      <c r="Y631" s="485">
        <f>VLOOKUP(Таблица3[[#This Row],[№ акта]],$AJ$1:$BJ$691,20,FALSE)</f>
        <v>29</v>
      </c>
      <c r="Z631" s="103">
        <f>VLOOKUP(Таблица3[[#This Row],[№ акта]],$AJ$1:$BJ$691,21,FALSE)</f>
        <v>46205</v>
      </c>
      <c r="AA631" s="45"/>
      <c r="AB631" s="43" t="s">
        <v>4038</v>
      </c>
      <c r="AC631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31" s="360" t="s">
        <v>2940</v>
      </c>
      <c r="AE631" s="40">
        <v>617</v>
      </c>
      <c r="AF631" s="103">
        <v>46205</v>
      </c>
      <c r="AG631" s="40">
        <v>86</v>
      </c>
      <c r="AH631" s="40">
        <f>IFERROR(VLOOKUP(Таблица3[[#This Row],[№ акта]],'Степень зрелости 2026'!$H$12:$I$800,2,FALSE),)</f>
        <v>57</v>
      </c>
      <c r="AJ631">
        <v>641</v>
      </c>
      <c r="AK631" s="34">
        <v>46206</v>
      </c>
      <c r="AL631">
        <v>776</v>
      </c>
      <c r="AO631">
        <v>13670</v>
      </c>
      <c r="AP631">
        <v>12508.1</v>
      </c>
      <c r="AQ631" t="s">
        <v>3375</v>
      </c>
      <c r="AR631" t="s">
        <v>901</v>
      </c>
      <c r="AS631" t="s">
        <v>3110</v>
      </c>
      <c r="AT631" t="s">
        <v>894</v>
      </c>
      <c r="AV631" t="s">
        <v>895</v>
      </c>
      <c r="AX631" t="s">
        <v>3110</v>
      </c>
      <c r="AY631" t="s">
        <v>901</v>
      </c>
      <c r="AZ631">
        <v>5.5</v>
      </c>
      <c r="BA631" t="s">
        <v>2932</v>
      </c>
      <c r="BB631" t="s">
        <v>178</v>
      </c>
      <c r="BC631">
        <v>30</v>
      </c>
      <c r="BD631" s="34">
        <v>46206</v>
      </c>
      <c r="BG631" t="s">
        <v>724</v>
      </c>
      <c r="BI631">
        <v>407</v>
      </c>
      <c r="BJ631">
        <v>55</v>
      </c>
      <c r="BK631" s="466"/>
    </row>
    <row r="632" spans="1:63" hidden="1" x14ac:dyDescent="0.25">
      <c r="A632" s="40"/>
      <c r="B632" s="41"/>
      <c r="C632" s="121">
        <f>Таблица3[[#This Row],[Степень зрелости вспом]]</f>
        <v>56</v>
      </c>
      <c r="D632" s="42">
        <v>777</v>
      </c>
      <c r="E632" s="147"/>
      <c r="F632" s="41"/>
      <c r="G632" s="41">
        <v>4520</v>
      </c>
      <c r="H632" s="69"/>
      <c r="I632" s="41">
        <v>4090.6</v>
      </c>
      <c r="J632" s="40" t="s">
        <v>3375</v>
      </c>
      <c r="K632" s="40" t="s">
        <v>901</v>
      </c>
      <c r="L632" s="40" t="s">
        <v>3110</v>
      </c>
      <c r="M632" s="40" t="s">
        <v>762</v>
      </c>
      <c r="N632" s="40"/>
      <c r="O632" s="40"/>
      <c r="P632" s="40"/>
      <c r="Q632" s="40"/>
      <c r="R632" s="40" t="s">
        <v>763</v>
      </c>
      <c r="S632" s="40"/>
      <c r="T632" s="70" t="str">
        <f>VLOOKUP(Таблица3[[#This Row],[№ акта]],$AJ$1:$BJ$691,15,FALSE)</f>
        <v>А-113/1</v>
      </c>
      <c r="U632" s="70" t="str">
        <f>VLOOKUP(Таблица3[[#This Row],[№ акта]],$AJ$1:$BJ$691,16,FALSE)</f>
        <v>Фаворит</v>
      </c>
      <c r="V632" s="44">
        <f>VLOOKUP(Таблица3[[#This Row],[№ акта]],$AJ$1:$BJ$691,17,FALSE)</f>
        <v>1.8</v>
      </c>
      <c r="W632" s="44" t="str">
        <f>VLOOKUP(Таблица3[[#This Row],[№ акта]],$AJ$1:$BJ$691,18,FALSE)</f>
        <v>ГРК (полив)</v>
      </c>
      <c r="X632" s="45" t="s">
        <v>178</v>
      </c>
      <c r="Y632" s="485">
        <f>VLOOKUP(Таблица3[[#This Row],[№ акта]],$AJ$1:$BJ$691,20,FALSE)</f>
        <v>30</v>
      </c>
      <c r="Z632" s="103">
        <f>VLOOKUP(Таблица3[[#This Row],[№ акта]],$AJ$1:$BJ$691,21,FALSE)</f>
        <v>46206</v>
      </c>
      <c r="AA632" s="45"/>
      <c r="AB632" s="43" t="s">
        <v>4038</v>
      </c>
      <c r="AC632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32" s="360" t="s">
        <v>2940</v>
      </c>
      <c r="AE632" s="40">
        <v>643</v>
      </c>
      <c r="AF632" s="103">
        <v>46206</v>
      </c>
      <c r="AG632" s="40">
        <v>408</v>
      </c>
      <c r="AH632" s="40">
        <f>IFERROR(VLOOKUP(Таблица3[[#This Row],[№ акта]],'Степень зрелости 2026'!$H$12:$I$800,2,FALSE),)</f>
        <v>56</v>
      </c>
      <c r="AJ632">
        <v>645</v>
      </c>
      <c r="AK632" s="34">
        <v>46206</v>
      </c>
      <c r="AL632">
        <v>779</v>
      </c>
      <c r="AO632">
        <v>13590</v>
      </c>
      <c r="AP632">
        <v>11483.6</v>
      </c>
      <c r="AQ632" t="s">
        <v>3375</v>
      </c>
      <c r="AR632" t="s">
        <v>901</v>
      </c>
      <c r="AS632" t="s">
        <v>3110</v>
      </c>
      <c r="AT632" t="s">
        <v>894</v>
      </c>
      <c r="AV632" t="s">
        <v>895</v>
      </c>
      <c r="AX632" t="s">
        <v>3110</v>
      </c>
      <c r="AY632" t="s">
        <v>901</v>
      </c>
      <c r="AZ632">
        <v>5.4</v>
      </c>
      <c r="BA632" t="s">
        <v>2932</v>
      </c>
      <c r="BB632" t="s">
        <v>178</v>
      </c>
      <c r="BC632">
        <v>30</v>
      </c>
      <c r="BD632" s="34">
        <v>46206</v>
      </c>
      <c r="BG632" t="s">
        <v>724</v>
      </c>
      <c r="BI632">
        <v>409</v>
      </c>
      <c r="BJ632">
        <v>54</v>
      </c>
      <c r="BK632" s="466"/>
    </row>
    <row r="633" spans="1:63" ht="22.5" hidden="1" x14ac:dyDescent="0.25">
      <c r="A633" s="40"/>
      <c r="B633" s="41"/>
      <c r="C633" s="121">
        <f>Таблица3[[#This Row],[Степень зрелости вспом]]</f>
        <v>60</v>
      </c>
      <c r="D633" s="42">
        <v>778</v>
      </c>
      <c r="E633" s="147"/>
      <c r="F633" s="41"/>
      <c r="G633" s="41">
        <v>13940</v>
      </c>
      <c r="H633" s="69"/>
      <c r="I633" s="41">
        <v>12755.1</v>
      </c>
      <c r="J633" s="40" t="s">
        <v>3645</v>
      </c>
      <c r="K633" s="40" t="s">
        <v>901</v>
      </c>
      <c r="L633" s="40" t="s">
        <v>3119</v>
      </c>
      <c r="M633" s="40" t="s">
        <v>1461</v>
      </c>
      <c r="N633" s="40"/>
      <c r="O633" s="40"/>
      <c r="P633" s="40"/>
      <c r="Q633" s="40"/>
      <c r="R633" s="40" t="s">
        <v>149</v>
      </c>
      <c r="S633" s="40"/>
      <c r="T633" s="70" t="str">
        <f>VLOOKUP(Таблица3[[#This Row],[№ акта]],$AJ$1:$BJ$691,15,FALSE)</f>
        <v>1.7 Колос</v>
      </c>
      <c r="U633" s="70" t="str">
        <f>VLOOKUP(Таблица3[[#This Row],[№ акта]],$AJ$1:$BJ$691,16,FALSE)</f>
        <v>Фаворит</v>
      </c>
      <c r="V633" s="44">
        <f>55*Таблица3[[#This Row],[Регистратор.Вес нетто]]/165970</f>
        <v>4.6195095499186598</v>
      </c>
      <c r="W633" s="44" t="str">
        <f>VLOOKUP(Таблица3[[#This Row],[№ акта]],$AJ$1:$BJ$691,18,FALSE)</f>
        <v>Колос (полив)</v>
      </c>
      <c r="X633" s="45" t="s">
        <v>178</v>
      </c>
      <c r="Y633" s="485">
        <f>VLOOKUP(Таблица3[[#This Row],[№ акта]],$AJ$1:$BJ$691,20,FALSE)</f>
        <v>30</v>
      </c>
      <c r="Z633" s="103">
        <f>VLOOKUP(Таблица3[[#This Row],[№ акта]],$AJ$1:$BJ$691,21,FALSE)</f>
        <v>46206</v>
      </c>
      <c r="AA633" s="45"/>
      <c r="AB633" s="43" t="s">
        <v>4038</v>
      </c>
      <c r="AC633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33" s="360" t="s">
        <v>2940</v>
      </c>
      <c r="AE633" s="40">
        <v>644</v>
      </c>
      <c r="AF633" s="103">
        <v>46206</v>
      </c>
      <c r="AG633" s="40">
        <v>94</v>
      </c>
      <c r="AH633" s="40">
        <f>IFERROR(VLOOKUP(Таблица3[[#This Row],[№ акта]],'Степень зрелости 2026'!$H$12:$I$800,2,FALSE),)</f>
        <v>60</v>
      </c>
      <c r="AJ633">
        <v>642</v>
      </c>
      <c r="AK633" s="34">
        <v>46206</v>
      </c>
      <c r="AL633">
        <v>775</v>
      </c>
      <c r="AO633">
        <v>13970</v>
      </c>
      <c r="AP633">
        <v>12642.9</v>
      </c>
      <c r="AQ633" t="s">
        <v>3645</v>
      </c>
      <c r="AR633" t="s">
        <v>901</v>
      </c>
      <c r="AS633" t="s">
        <v>3119</v>
      </c>
      <c r="AT633" t="s">
        <v>1151</v>
      </c>
      <c r="AV633" t="s">
        <v>145</v>
      </c>
      <c r="AX633" t="s">
        <v>3119</v>
      </c>
      <c r="AY633" t="s">
        <v>901</v>
      </c>
      <c r="AZ633">
        <v>2.5</v>
      </c>
      <c r="BA633" t="s">
        <v>53</v>
      </c>
      <c r="BB633" t="s">
        <v>178</v>
      </c>
      <c r="BC633">
        <v>30</v>
      </c>
      <c r="BD633" s="34">
        <v>46206</v>
      </c>
      <c r="BG633" t="s">
        <v>724</v>
      </c>
      <c r="BI633">
        <v>93</v>
      </c>
      <c r="BJ633">
        <v>61</v>
      </c>
      <c r="BK633" s="466"/>
    </row>
    <row r="634" spans="1:63" hidden="1" x14ac:dyDescent="0.25">
      <c r="A634" s="40"/>
      <c r="B634" s="41"/>
      <c r="C634" s="121">
        <f>Таблица3[[#This Row],[Степень зрелости вспом]]</f>
        <v>54</v>
      </c>
      <c r="D634" s="42">
        <v>779</v>
      </c>
      <c r="E634" s="147"/>
      <c r="F634" s="41"/>
      <c r="G634" s="41">
        <v>13590</v>
      </c>
      <c r="H634" s="69"/>
      <c r="I634" s="41">
        <v>11483.6</v>
      </c>
      <c r="J634" s="40" t="s">
        <v>3375</v>
      </c>
      <c r="K634" s="40" t="s">
        <v>901</v>
      </c>
      <c r="L634" s="40" t="s">
        <v>3110</v>
      </c>
      <c r="M634" s="40" t="s">
        <v>894</v>
      </c>
      <c r="N634" s="40"/>
      <c r="O634" s="40"/>
      <c r="P634" s="40"/>
      <c r="Q634" s="40"/>
      <c r="R634" s="40" t="s">
        <v>895</v>
      </c>
      <c r="S634" s="40"/>
      <c r="T634" s="70" t="str">
        <f>VLOOKUP(Таблица3[[#This Row],[№ акта]],$AJ$1:$BJ$691,15,FALSE)</f>
        <v>А-113/1</v>
      </c>
      <c r="U634" s="70" t="str">
        <f>VLOOKUP(Таблица3[[#This Row],[№ акта]],$AJ$1:$BJ$691,16,FALSE)</f>
        <v>Фаворит</v>
      </c>
      <c r="V634" s="44">
        <f>VLOOKUP(Таблица3[[#This Row],[№ акта]],$AJ$1:$BJ$691,17,FALSE)</f>
        <v>5.4</v>
      </c>
      <c r="W634" s="44" t="str">
        <f>VLOOKUP(Таблица3[[#This Row],[№ акта]],$AJ$1:$BJ$691,18,FALSE)</f>
        <v>ГРК (полив)</v>
      </c>
      <c r="X634" s="45" t="s">
        <v>178</v>
      </c>
      <c r="Y634" s="485">
        <f>VLOOKUP(Таблица3[[#This Row],[№ акта]],$AJ$1:$BJ$691,20,FALSE)</f>
        <v>30</v>
      </c>
      <c r="Z634" s="103">
        <f>VLOOKUP(Таблица3[[#This Row],[№ акта]],$AJ$1:$BJ$691,21,FALSE)</f>
        <v>46206</v>
      </c>
      <c r="AA634" s="45"/>
      <c r="AB634" s="43" t="s">
        <v>4038</v>
      </c>
      <c r="AC634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34" s="360" t="s">
        <v>2940</v>
      </c>
      <c r="AE634" s="40">
        <v>645</v>
      </c>
      <c r="AF634" s="103">
        <v>46206</v>
      </c>
      <c r="AG634" s="40">
        <v>409</v>
      </c>
      <c r="AH634" s="418">
        <v>54</v>
      </c>
      <c r="AJ634">
        <v>643</v>
      </c>
      <c r="AK634" s="34">
        <v>46206</v>
      </c>
      <c r="AL634">
        <v>777</v>
      </c>
      <c r="AO634">
        <v>4520</v>
      </c>
      <c r="AP634">
        <v>4090.6</v>
      </c>
      <c r="AQ634" t="s">
        <v>3375</v>
      </c>
      <c r="AR634" t="s">
        <v>901</v>
      </c>
      <c r="AS634" t="s">
        <v>3110</v>
      </c>
      <c r="AT634" t="s">
        <v>762</v>
      </c>
      <c r="AV634" t="s">
        <v>763</v>
      </c>
      <c r="AX634" t="s">
        <v>3110</v>
      </c>
      <c r="AY634" t="s">
        <v>901</v>
      </c>
      <c r="AZ634">
        <v>1.8</v>
      </c>
      <c r="BA634" t="s">
        <v>2932</v>
      </c>
      <c r="BB634" t="s">
        <v>178</v>
      </c>
      <c r="BC634">
        <v>30</v>
      </c>
      <c r="BD634" s="34">
        <v>46206</v>
      </c>
      <c r="BG634" t="s">
        <v>724</v>
      </c>
      <c r="BI634">
        <v>408</v>
      </c>
      <c r="BJ634">
        <v>56</v>
      </c>
      <c r="BK634" s="466"/>
    </row>
    <row r="635" spans="1:63" ht="22.5" hidden="1" x14ac:dyDescent="0.25">
      <c r="A635" s="40"/>
      <c r="B635" s="41"/>
      <c r="C635" s="121">
        <f>Таблица3[[#This Row],[Степень зрелости вспом]]</f>
        <v>59</v>
      </c>
      <c r="D635" s="42">
        <v>780</v>
      </c>
      <c r="E635" s="147"/>
      <c r="F635" s="41"/>
      <c r="G635" s="41">
        <v>13960</v>
      </c>
      <c r="H635" s="69"/>
      <c r="I635" s="41">
        <v>12913</v>
      </c>
      <c r="J635" s="40" t="s">
        <v>3645</v>
      </c>
      <c r="K635" s="40" t="s">
        <v>901</v>
      </c>
      <c r="L635" s="40" t="s">
        <v>3119</v>
      </c>
      <c r="M635" s="40" t="s">
        <v>335</v>
      </c>
      <c r="N635" s="40"/>
      <c r="O635" s="40"/>
      <c r="P635" s="40"/>
      <c r="Q635" s="40"/>
      <c r="R635" s="40" t="s">
        <v>339</v>
      </c>
      <c r="S635" s="40"/>
      <c r="T635" s="70" t="str">
        <f>VLOOKUP(Таблица3[[#This Row],[№ акта]],$AJ$1:$BJ$691,15,FALSE)</f>
        <v>1.7 Колос</v>
      </c>
      <c r="U635" s="70" t="str">
        <f>VLOOKUP(Таблица3[[#This Row],[№ акта]],$AJ$1:$BJ$691,16,FALSE)</f>
        <v>Фаворит</v>
      </c>
      <c r="V635" s="44">
        <f>55*Таблица3[[#This Row],[Регистратор.Вес нетто]]/165970</f>
        <v>4.6261372537205521</v>
      </c>
      <c r="W635" s="44" t="str">
        <f>VLOOKUP(Таблица3[[#This Row],[№ акта]],$AJ$1:$BJ$691,18,FALSE)</f>
        <v>Колос (полив)</v>
      </c>
      <c r="X635" s="45" t="s">
        <v>178</v>
      </c>
      <c r="Y635" s="485">
        <f>VLOOKUP(Таблица3[[#This Row],[№ акта]],$AJ$1:$BJ$691,20,FALSE)</f>
        <v>30</v>
      </c>
      <c r="Z635" s="103">
        <f>VLOOKUP(Таблица3[[#This Row],[№ акта]],$AJ$1:$BJ$691,21,FALSE)</f>
        <v>46206</v>
      </c>
      <c r="AA635" s="45"/>
      <c r="AB635" s="43" t="s">
        <v>4038</v>
      </c>
      <c r="AC635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35" s="360" t="s">
        <v>2940</v>
      </c>
      <c r="AE635" s="40">
        <v>646</v>
      </c>
      <c r="AF635" s="103">
        <v>46206</v>
      </c>
      <c r="AG635" s="40">
        <v>95</v>
      </c>
      <c r="AH635" s="40">
        <f>IFERROR(VLOOKUP(Таблица3[[#This Row],[№ акта]],'Степень зрелости 2026'!$H$12:$I$800,2,FALSE),)</f>
        <v>59</v>
      </c>
      <c r="AJ635">
        <v>644</v>
      </c>
      <c r="AK635" s="34">
        <v>46206</v>
      </c>
      <c r="AL635">
        <v>778</v>
      </c>
      <c r="AO635">
        <v>13940</v>
      </c>
      <c r="AP635">
        <v>12755.1</v>
      </c>
      <c r="AQ635" t="s">
        <v>3645</v>
      </c>
      <c r="AR635" t="s">
        <v>901</v>
      </c>
      <c r="AS635" t="s">
        <v>3119</v>
      </c>
      <c r="AT635" t="s">
        <v>1461</v>
      </c>
      <c r="AV635" t="s">
        <v>149</v>
      </c>
      <c r="AX635" t="s">
        <v>3119</v>
      </c>
      <c r="AY635" t="s">
        <v>901</v>
      </c>
      <c r="AZ635">
        <v>2.5</v>
      </c>
      <c r="BA635" t="s">
        <v>53</v>
      </c>
      <c r="BB635" t="s">
        <v>178</v>
      </c>
      <c r="BC635">
        <v>30</v>
      </c>
      <c r="BD635" s="34">
        <v>46206</v>
      </c>
      <c r="BG635" t="s">
        <v>724</v>
      </c>
      <c r="BI635">
        <v>94</v>
      </c>
      <c r="BJ635">
        <v>60</v>
      </c>
      <c r="BK635" s="466"/>
    </row>
    <row r="636" spans="1:63" hidden="1" x14ac:dyDescent="0.25">
      <c r="A636" s="40"/>
      <c r="B636" s="41"/>
      <c r="C636" s="121">
        <f>Таблица3[[#This Row],[Степень зрелости вспом]]</f>
        <v>59</v>
      </c>
      <c r="D636" s="42">
        <v>781</v>
      </c>
      <c r="E636" s="147"/>
      <c r="F636" s="41"/>
      <c r="G636" s="41">
        <v>4410</v>
      </c>
      <c r="H636" s="69"/>
      <c r="I636" s="41">
        <v>3991.1</v>
      </c>
      <c r="J636" s="40" t="s">
        <v>3375</v>
      </c>
      <c r="K636" s="40" t="s">
        <v>901</v>
      </c>
      <c r="L636" s="40" t="s">
        <v>3110</v>
      </c>
      <c r="M636" s="40" t="s">
        <v>762</v>
      </c>
      <c r="N636" s="40"/>
      <c r="O636" s="40"/>
      <c r="P636" s="40"/>
      <c r="Q636" s="40"/>
      <c r="R636" s="40" t="s">
        <v>763</v>
      </c>
      <c r="S636" s="40"/>
      <c r="T636" s="70" t="str">
        <f>VLOOKUP(Таблица3[[#This Row],[№ акта]],$AJ$1:$BJ$691,15,FALSE)</f>
        <v>А-113/1</v>
      </c>
      <c r="U636" s="70" t="str">
        <f>VLOOKUP(Таблица3[[#This Row],[№ акта]],$AJ$1:$BJ$691,16,FALSE)</f>
        <v>Фаворит</v>
      </c>
      <c r="V636" s="44">
        <f>VLOOKUP(Таблица3[[#This Row],[№ акта]],$AJ$1:$BJ$691,17,FALSE)-0.1</f>
        <v>1.7</v>
      </c>
      <c r="W636" s="44" t="str">
        <f>VLOOKUP(Таблица3[[#This Row],[№ акта]],$AJ$1:$BJ$691,18,FALSE)</f>
        <v>ГРК (полив)</v>
      </c>
      <c r="X636" s="45" t="s">
        <v>178</v>
      </c>
      <c r="Y636" s="485">
        <f>VLOOKUP(Таблица3[[#This Row],[№ акта]],$AJ$1:$BJ$691,20,FALSE)</f>
        <v>30</v>
      </c>
      <c r="Z636" s="103">
        <f>VLOOKUP(Таблица3[[#This Row],[№ акта]],$AJ$1:$BJ$691,21,FALSE)</f>
        <v>46206</v>
      </c>
      <c r="AA636" s="45"/>
      <c r="AB636" s="43" t="s">
        <v>4038</v>
      </c>
      <c r="AC636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36" s="360" t="s">
        <v>2940</v>
      </c>
      <c r="AE636" s="40">
        <v>649</v>
      </c>
      <c r="AF636" s="103">
        <v>46206</v>
      </c>
      <c r="AG636" s="40">
        <v>410</v>
      </c>
      <c r="AH636" s="40">
        <f>IFERROR(VLOOKUP(Таблица3[[#This Row],[№ акта]],'Степень зрелости 2026'!$H$12:$I$800,2,FALSE),)</f>
        <v>59</v>
      </c>
      <c r="AJ636">
        <v>646</v>
      </c>
      <c r="AK636" s="34">
        <v>46206</v>
      </c>
      <c r="AL636">
        <v>780</v>
      </c>
      <c r="AO636">
        <v>13960</v>
      </c>
      <c r="AP636">
        <v>12913</v>
      </c>
      <c r="AQ636" t="s">
        <v>3645</v>
      </c>
      <c r="AR636" t="s">
        <v>901</v>
      </c>
      <c r="AS636" t="s">
        <v>3119</v>
      </c>
      <c r="AT636" t="s">
        <v>335</v>
      </c>
      <c r="AV636" t="s">
        <v>339</v>
      </c>
      <c r="AX636" t="s">
        <v>3119</v>
      </c>
      <c r="AY636" t="s">
        <v>901</v>
      </c>
      <c r="AZ636">
        <v>2.5</v>
      </c>
      <c r="BA636" t="s">
        <v>53</v>
      </c>
      <c r="BB636" t="s">
        <v>178</v>
      </c>
      <c r="BC636">
        <v>30</v>
      </c>
      <c r="BD636" s="34">
        <v>46206</v>
      </c>
      <c r="BG636" t="s">
        <v>724</v>
      </c>
      <c r="BI636">
        <v>95</v>
      </c>
      <c r="BJ636">
        <v>59</v>
      </c>
      <c r="BK636" s="466"/>
    </row>
    <row r="637" spans="1:63" ht="22.5" hidden="1" x14ac:dyDescent="0.25">
      <c r="A637" s="40"/>
      <c r="B637" s="41"/>
      <c r="C637" s="121">
        <f>Таблица3[[#This Row],[Степень зрелости вспом]]</f>
        <v>62</v>
      </c>
      <c r="D637" s="42">
        <v>782</v>
      </c>
      <c r="E637" s="147"/>
      <c r="F637" s="41"/>
      <c r="G637" s="41">
        <v>14100</v>
      </c>
      <c r="H637" s="69"/>
      <c r="I637" s="41">
        <v>12619.5</v>
      </c>
      <c r="J637" s="40" t="s">
        <v>3645</v>
      </c>
      <c r="K637" s="40" t="s">
        <v>901</v>
      </c>
      <c r="L637" s="40" t="s">
        <v>3119</v>
      </c>
      <c r="M637" s="40" t="s">
        <v>239</v>
      </c>
      <c r="N637" s="40"/>
      <c r="O637" s="40"/>
      <c r="P637" s="40"/>
      <c r="Q637" s="40"/>
      <c r="R637" s="40" t="s">
        <v>243</v>
      </c>
      <c r="S637" s="40"/>
      <c r="T637" s="70" t="str">
        <f>VLOOKUP(Таблица3[[#This Row],[№ акта]],$AJ$1:$BJ$691,15,FALSE)</f>
        <v>1.7 Колос</v>
      </c>
      <c r="U637" s="70" t="str">
        <f>VLOOKUP(Таблица3[[#This Row],[№ акта]],$AJ$1:$BJ$691,16,FALSE)</f>
        <v>Фаворит</v>
      </c>
      <c r="V637" s="44">
        <f>55*Таблица3[[#This Row],[Регистратор.Вес нетто]]/165970</f>
        <v>4.6725311803337952</v>
      </c>
      <c r="W637" s="44" t="str">
        <f>VLOOKUP(Таблица3[[#This Row],[№ акта]],$AJ$1:$BJ$691,18,FALSE)</f>
        <v>Колос (полив)</v>
      </c>
      <c r="X637" s="45" t="s">
        <v>178</v>
      </c>
      <c r="Y637" s="485">
        <f>VLOOKUP(Таблица3[[#This Row],[№ акта]],$AJ$1:$BJ$691,20,FALSE)</f>
        <v>30</v>
      </c>
      <c r="Z637" s="103">
        <f>VLOOKUP(Таблица3[[#This Row],[№ акта]],$AJ$1:$BJ$691,21,FALSE)</f>
        <v>46206</v>
      </c>
      <c r="AA637" s="45"/>
      <c r="AB637" s="43" t="s">
        <v>4038</v>
      </c>
      <c r="AC637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37" s="360" t="s">
        <v>2940</v>
      </c>
      <c r="AE637" s="40">
        <v>647</v>
      </c>
      <c r="AF637" s="103">
        <v>46206</v>
      </c>
      <c r="AG637" s="40">
        <v>96</v>
      </c>
      <c r="AH637" s="40">
        <f>IFERROR(VLOOKUP(Таблица3[[#This Row],[№ акта]],'Степень зрелости 2026'!$H$12:$I$800,2,FALSE),)</f>
        <v>62</v>
      </c>
      <c r="AJ637">
        <v>650</v>
      </c>
      <c r="AK637" s="34">
        <v>46206</v>
      </c>
      <c r="AL637">
        <v>784</v>
      </c>
      <c r="AO637">
        <v>13460</v>
      </c>
      <c r="AP637">
        <v>11777.5</v>
      </c>
      <c r="AQ637" t="s">
        <v>3375</v>
      </c>
      <c r="AR637" t="s">
        <v>901</v>
      </c>
      <c r="AS637" t="s">
        <v>3110</v>
      </c>
      <c r="AT637" t="s">
        <v>894</v>
      </c>
      <c r="AV637" t="s">
        <v>895</v>
      </c>
      <c r="AX637" t="s">
        <v>3110</v>
      </c>
      <c r="AY637" t="s">
        <v>901</v>
      </c>
      <c r="AZ637">
        <v>5.4</v>
      </c>
      <c r="BA637" t="s">
        <v>2932</v>
      </c>
      <c r="BB637" t="s">
        <v>178</v>
      </c>
      <c r="BC637">
        <v>30</v>
      </c>
      <c r="BD637" s="34">
        <v>46206</v>
      </c>
      <c r="BG637" t="s">
        <v>724</v>
      </c>
      <c r="BI637">
        <v>411</v>
      </c>
      <c r="BJ637">
        <v>59</v>
      </c>
      <c r="BK637" s="466"/>
    </row>
    <row r="638" spans="1:63" ht="22.5" hidden="1" x14ac:dyDescent="0.25">
      <c r="A638" s="40"/>
      <c r="B638" s="41"/>
      <c r="C638" s="121">
        <f>Таблица3[[#This Row],[Степень зрелости вспом]]</f>
        <v>61</v>
      </c>
      <c r="D638" s="42">
        <v>783</v>
      </c>
      <c r="E638" s="147"/>
      <c r="F638" s="41"/>
      <c r="G638" s="41">
        <v>13800</v>
      </c>
      <c r="H638" s="69"/>
      <c r="I638" s="41">
        <v>12903</v>
      </c>
      <c r="J638" s="40" t="s">
        <v>3645</v>
      </c>
      <c r="K638" s="40" t="s">
        <v>901</v>
      </c>
      <c r="L638" s="40" t="s">
        <v>3119</v>
      </c>
      <c r="M638" s="40" t="s">
        <v>3838</v>
      </c>
      <c r="N638" s="40"/>
      <c r="O638" s="40"/>
      <c r="P638" s="40"/>
      <c r="Q638" s="40"/>
      <c r="R638" s="40" t="s">
        <v>270</v>
      </c>
      <c r="S638" s="40"/>
      <c r="T638" s="70" t="str">
        <f>VLOOKUP(Таблица3[[#This Row],[№ акта]],$AJ$1:$BJ$691,15,FALSE)</f>
        <v>1.7 Колос</v>
      </c>
      <c r="U638" s="70" t="str">
        <f>VLOOKUP(Таблица3[[#This Row],[№ акта]],$AJ$1:$BJ$691,16,FALSE)</f>
        <v>Фаворит</v>
      </c>
      <c r="V638" s="44">
        <f>55*Таблица3[[#This Row],[Регистратор.Вес нетто]]/165970</f>
        <v>4.5731156233054167</v>
      </c>
      <c r="W638" s="44" t="str">
        <f>VLOOKUP(Таблица3[[#This Row],[№ акта]],$AJ$1:$BJ$691,18,FALSE)</f>
        <v>Колос (полив)</v>
      </c>
      <c r="X638" s="45" t="s">
        <v>178</v>
      </c>
      <c r="Y638" s="485">
        <f>VLOOKUP(Таблица3[[#This Row],[№ акта]],$AJ$1:$BJ$691,20,FALSE)</f>
        <v>30</v>
      </c>
      <c r="Z638" s="103">
        <f>VLOOKUP(Таблица3[[#This Row],[№ акта]],$AJ$1:$BJ$691,21,FALSE)</f>
        <v>46206</v>
      </c>
      <c r="AA638" s="45"/>
      <c r="AB638" s="43" t="s">
        <v>4038</v>
      </c>
      <c r="AC638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38" s="360" t="s">
        <v>2940</v>
      </c>
      <c r="AE638" s="40">
        <v>648</v>
      </c>
      <c r="AF638" s="103">
        <v>46206</v>
      </c>
      <c r="AG638" s="40">
        <v>97</v>
      </c>
      <c r="AH638" s="40">
        <f>IFERROR(VLOOKUP(Таблица3[[#This Row],[№ акта]],'Степень зрелости 2026'!$H$12:$I$800,2,FALSE),)</f>
        <v>61</v>
      </c>
      <c r="AJ638">
        <v>651</v>
      </c>
      <c r="AK638" s="34">
        <v>46206</v>
      </c>
      <c r="AL638">
        <v>785</v>
      </c>
      <c r="AO638">
        <v>13800</v>
      </c>
      <c r="AP638">
        <v>12351</v>
      </c>
      <c r="AQ638" t="s">
        <v>3645</v>
      </c>
      <c r="AR638" t="s">
        <v>901</v>
      </c>
      <c r="AS638" t="s">
        <v>3119</v>
      </c>
      <c r="AT638" t="s">
        <v>3853</v>
      </c>
      <c r="AV638" t="s">
        <v>3854</v>
      </c>
      <c r="AX638" t="s">
        <v>3119</v>
      </c>
      <c r="AY638" t="s">
        <v>901</v>
      </c>
      <c r="AZ638">
        <v>2.5</v>
      </c>
      <c r="BA638" t="s">
        <v>53</v>
      </c>
      <c r="BB638" t="s">
        <v>178</v>
      </c>
      <c r="BC638">
        <v>30</v>
      </c>
      <c r="BD638" s="34">
        <v>46206</v>
      </c>
      <c r="BG638" t="s">
        <v>724</v>
      </c>
      <c r="BI638">
        <v>98</v>
      </c>
      <c r="BJ638">
        <v>62</v>
      </c>
      <c r="BK638" s="466"/>
    </row>
    <row r="639" spans="1:63" hidden="1" x14ac:dyDescent="0.25">
      <c r="A639" s="40"/>
      <c r="B639" s="41"/>
      <c r="C639" s="121">
        <f>Таблица3[[#This Row],[Степень зрелости вспом]]</f>
        <v>59</v>
      </c>
      <c r="D639" s="42">
        <v>784</v>
      </c>
      <c r="E639" s="147"/>
      <c r="F639" s="41"/>
      <c r="G639" s="41">
        <v>13460</v>
      </c>
      <c r="H639" s="69"/>
      <c r="I639" s="41">
        <v>11777.5</v>
      </c>
      <c r="J639" s="40" t="s">
        <v>3375</v>
      </c>
      <c r="K639" s="40" t="s">
        <v>901</v>
      </c>
      <c r="L639" s="40" t="s">
        <v>3110</v>
      </c>
      <c r="M639" s="40" t="s">
        <v>894</v>
      </c>
      <c r="N639" s="40"/>
      <c r="O639" s="40"/>
      <c r="P639" s="40"/>
      <c r="Q639" s="40"/>
      <c r="R639" s="40" t="s">
        <v>895</v>
      </c>
      <c r="S639" s="40"/>
      <c r="T639" s="70" t="str">
        <f>VLOOKUP(Таблица3[[#This Row],[№ акта]],$AJ$1:$BJ$691,15,FALSE)</f>
        <v>А-113/1</v>
      </c>
      <c r="U639" s="70" t="str">
        <f>VLOOKUP(Таблица3[[#This Row],[№ акта]],$AJ$1:$BJ$691,16,FALSE)</f>
        <v>Фаворит</v>
      </c>
      <c r="V639" s="44">
        <f>VLOOKUP(Таблица3[[#This Row],[№ акта]],$AJ$1:$BJ$691,17,FALSE)</f>
        <v>5.4</v>
      </c>
      <c r="W639" s="44" t="str">
        <f>VLOOKUP(Таблица3[[#This Row],[№ акта]],$AJ$1:$BJ$691,18,FALSE)</f>
        <v>ГРК (полив)</v>
      </c>
      <c r="X639" s="45" t="s">
        <v>178</v>
      </c>
      <c r="Y639" s="485">
        <f>VLOOKUP(Таблица3[[#This Row],[№ акта]],$AJ$1:$BJ$691,20,FALSE)</f>
        <v>30</v>
      </c>
      <c r="Z639" s="103">
        <f>VLOOKUP(Таблица3[[#This Row],[№ акта]],$AJ$1:$BJ$691,21,FALSE)</f>
        <v>46206</v>
      </c>
      <c r="AA639" s="45"/>
      <c r="AB639" s="43" t="s">
        <v>4038</v>
      </c>
      <c r="AC639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39" s="360" t="s">
        <v>2940</v>
      </c>
      <c r="AE639" s="40">
        <v>650</v>
      </c>
      <c r="AF639" s="103">
        <v>46206</v>
      </c>
      <c r="AG639" s="40">
        <v>411</v>
      </c>
      <c r="AH639" s="40">
        <f>IFERROR(VLOOKUP(Таблица3[[#This Row],[№ акта]],'Степень зрелости 2026'!$H$12:$I$800,2,FALSE),)</f>
        <v>59</v>
      </c>
      <c r="AJ639">
        <v>647</v>
      </c>
      <c r="AK639" s="34">
        <v>46206</v>
      </c>
      <c r="AL639">
        <v>782</v>
      </c>
      <c r="AO639">
        <v>14100</v>
      </c>
      <c r="AP639">
        <v>12619.5</v>
      </c>
      <c r="AQ639" t="s">
        <v>3645</v>
      </c>
      <c r="AR639" t="s">
        <v>901</v>
      </c>
      <c r="AS639" t="s">
        <v>3119</v>
      </c>
      <c r="AT639" t="s">
        <v>239</v>
      </c>
      <c r="AV639" t="s">
        <v>243</v>
      </c>
      <c r="AX639" t="s">
        <v>3119</v>
      </c>
      <c r="AY639" t="s">
        <v>901</v>
      </c>
      <c r="AZ639">
        <v>2.5</v>
      </c>
      <c r="BA639" t="s">
        <v>53</v>
      </c>
      <c r="BB639" t="s">
        <v>178</v>
      </c>
      <c r="BC639">
        <v>30</v>
      </c>
      <c r="BD639" s="34">
        <v>46206</v>
      </c>
      <c r="BG639" t="s">
        <v>724</v>
      </c>
      <c r="BI639">
        <v>96</v>
      </c>
      <c r="BJ639">
        <v>62</v>
      </c>
      <c r="BK639" s="466"/>
    </row>
    <row r="640" spans="1:63" ht="22.5" hidden="1" x14ac:dyDescent="0.25">
      <c r="A640" s="40"/>
      <c r="B640" s="41"/>
      <c r="C640" s="121">
        <f>Таблица3[[#This Row],[Степень зрелости вспом]]</f>
        <v>62</v>
      </c>
      <c r="D640" s="42">
        <v>785</v>
      </c>
      <c r="E640" s="147"/>
      <c r="F640" s="41"/>
      <c r="G640" s="41">
        <v>13800</v>
      </c>
      <c r="H640" s="69"/>
      <c r="I640" s="41">
        <v>12351</v>
      </c>
      <c r="J640" s="40" t="s">
        <v>3645</v>
      </c>
      <c r="K640" s="40" t="s">
        <v>901</v>
      </c>
      <c r="L640" s="40" t="s">
        <v>3119</v>
      </c>
      <c r="M640" s="40" t="s">
        <v>3853</v>
      </c>
      <c r="N640" s="40"/>
      <c r="O640" s="40"/>
      <c r="P640" s="40"/>
      <c r="Q640" s="40"/>
      <c r="R640" s="40" t="s">
        <v>3854</v>
      </c>
      <c r="S640" s="40"/>
      <c r="T640" s="70" t="str">
        <f>VLOOKUP(Таблица3[[#This Row],[№ акта]],$AJ$1:$BJ$691,15,FALSE)</f>
        <v>1.7 Колос</v>
      </c>
      <c r="U640" s="70" t="str">
        <f>VLOOKUP(Таблица3[[#This Row],[№ акта]],$AJ$1:$BJ$691,16,FALSE)</f>
        <v>Фаворит</v>
      </c>
      <c r="V640" s="44">
        <f>55*Таблица3[[#This Row],[Регистратор.Вес нетто]]/165970</f>
        <v>4.5731156233054167</v>
      </c>
      <c r="W640" s="44" t="str">
        <f>VLOOKUP(Таблица3[[#This Row],[№ акта]],$AJ$1:$BJ$691,18,FALSE)</f>
        <v>Колос (полив)</v>
      </c>
      <c r="X640" s="45" t="s">
        <v>178</v>
      </c>
      <c r="Y640" s="485">
        <f>VLOOKUP(Таблица3[[#This Row],[№ акта]],$AJ$1:$BJ$691,20,FALSE)</f>
        <v>30</v>
      </c>
      <c r="Z640" s="103">
        <f>VLOOKUP(Таблица3[[#This Row],[№ акта]],$AJ$1:$BJ$691,21,FALSE)</f>
        <v>46206</v>
      </c>
      <c r="AA640" s="45"/>
      <c r="AB640" s="43" t="s">
        <v>4038</v>
      </c>
      <c r="AC640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40" s="360" t="s">
        <v>2940</v>
      </c>
      <c r="AE640" s="40">
        <v>651</v>
      </c>
      <c r="AF640" s="103">
        <v>46206</v>
      </c>
      <c r="AG640" s="40">
        <v>98</v>
      </c>
      <c r="AH640" s="40">
        <f>IFERROR(VLOOKUP(Таблица3[[#This Row],[№ акта]],'Степень зрелости 2026'!$H$12:$I$800,2,FALSE),)</f>
        <v>62</v>
      </c>
      <c r="AJ640">
        <v>648</v>
      </c>
      <c r="AK640" s="34">
        <v>46206</v>
      </c>
      <c r="AL640">
        <v>783</v>
      </c>
      <c r="AO640">
        <v>13800</v>
      </c>
      <c r="AP640">
        <v>12903</v>
      </c>
      <c r="AQ640" t="s">
        <v>3645</v>
      </c>
      <c r="AR640" t="s">
        <v>901</v>
      </c>
      <c r="AS640" t="s">
        <v>3119</v>
      </c>
      <c r="AT640" t="s">
        <v>3838</v>
      </c>
      <c r="AV640" t="s">
        <v>270</v>
      </c>
      <c r="AX640" t="s">
        <v>3119</v>
      </c>
      <c r="AY640" t="s">
        <v>901</v>
      </c>
      <c r="AZ640">
        <v>2.5</v>
      </c>
      <c r="BA640" t="s">
        <v>53</v>
      </c>
      <c r="BB640" t="s">
        <v>178</v>
      </c>
      <c r="BC640">
        <v>30</v>
      </c>
      <c r="BD640" s="34">
        <v>46206</v>
      </c>
      <c r="BG640" t="s">
        <v>724</v>
      </c>
      <c r="BI640">
        <v>97</v>
      </c>
      <c r="BJ640">
        <v>61</v>
      </c>
      <c r="BK640" s="466"/>
    </row>
    <row r="641" spans="1:63" hidden="1" x14ac:dyDescent="0.25">
      <c r="A641" s="40"/>
      <c r="B641" s="41"/>
      <c r="C641" s="121">
        <f>Таблица3[[#This Row],[Степень зрелости вспом]]</f>
        <v>65</v>
      </c>
      <c r="D641" s="42">
        <v>786</v>
      </c>
      <c r="E641" s="147"/>
      <c r="F641" s="41"/>
      <c r="G641" s="41">
        <v>13460</v>
      </c>
      <c r="H641" s="69"/>
      <c r="I641" s="41">
        <v>12046.7</v>
      </c>
      <c r="J641" s="40" t="s">
        <v>3375</v>
      </c>
      <c r="K641" s="40" t="s">
        <v>901</v>
      </c>
      <c r="L641" s="40" t="s">
        <v>3110</v>
      </c>
      <c r="M641" s="40" t="s">
        <v>1312</v>
      </c>
      <c r="N641" s="40"/>
      <c r="O641" s="40"/>
      <c r="P641" s="40"/>
      <c r="Q641" s="40"/>
      <c r="R641" s="40" t="s">
        <v>320</v>
      </c>
      <c r="S641" s="40"/>
      <c r="T641" s="70" t="str">
        <f>VLOOKUP(Таблица3[[#This Row],[№ акта]],$AJ$1:$BJ$691,15,FALSE)</f>
        <v>А-113/1</v>
      </c>
      <c r="U641" s="70" t="str">
        <f>VLOOKUP(Таблица3[[#This Row],[№ акта]],$AJ$1:$BJ$691,16,FALSE)</f>
        <v>Фаворит</v>
      </c>
      <c r="V641" s="44">
        <f>VLOOKUP(Таблица3[[#This Row],[№ акта]],$AJ$1:$BJ$691,17,FALSE)</f>
        <v>5.4</v>
      </c>
      <c r="W641" s="44" t="str">
        <f>VLOOKUP(Таблица3[[#This Row],[№ акта]],$AJ$1:$BJ$691,18,FALSE)</f>
        <v>ГРК (полив)</v>
      </c>
      <c r="X641" s="45" t="s">
        <v>178</v>
      </c>
      <c r="Y641" s="485">
        <f>VLOOKUP(Таблица3[[#This Row],[№ акта]],$AJ$1:$BJ$691,20,FALSE)</f>
        <v>30</v>
      </c>
      <c r="Z641" s="103">
        <f>VLOOKUP(Таблица3[[#This Row],[№ акта]],$AJ$1:$BJ$691,21,FALSE)</f>
        <v>46206</v>
      </c>
      <c r="AA641" s="45"/>
      <c r="AB641" s="43" t="s">
        <v>4038</v>
      </c>
      <c r="AC641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41" s="360" t="s">
        <v>3230</v>
      </c>
      <c r="AE641" s="40">
        <v>654</v>
      </c>
      <c r="AF641" s="103">
        <v>46207</v>
      </c>
      <c r="AG641" s="40">
        <v>412</v>
      </c>
      <c r="AH641" s="40">
        <f>IFERROR(VLOOKUP(Таблица3[[#This Row],[№ акта]],'Степень зрелости 2026'!$H$12:$I$800,2,FALSE),)</f>
        <v>65</v>
      </c>
      <c r="AJ641">
        <v>649</v>
      </c>
      <c r="AK641" s="34">
        <v>46206</v>
      </c>
      <c r="AL641">
        <v>781</v>
      </c>
      <c r="AO641">
        <v>4410</v>
      </c>
      <c r="AP641">
        <v>3991.1</v>
      </c>
      <c r="AQ641" t="s">
        <v>3375</v>
      </c>
      <c r="AR641" t="s">
        <v>901</v>
      </c>
      <c r="AS641" t="s">
        <v>3110</v>
      </c>
      <c r="AT641" t="s">
        <v>762</v>
      </c>
      <c r="AV641" t="s">
        <v>763</v>
      </c>
      <c r="AX641" t="s">
        <v>3110</v>
      </c>
      <c r="AY641" t="s">
        <v>901</v>
      </c>
      <c r="AZ641">
        <v>1.8</v>
      </c>
      <c r="BA641" t="s">
        <v>2932</v>
      </c>
      <c r="BB641" t="s">
        <v>178</v>
      </c>
      <c r="BC641">
        <v>30</v>
      </c>
      <c r="BD641" s="34">
        <v>46206</v>
      </c>
      <c r="BG641" t="s">
        <v>724</v>
      </c>
      <c r="BI641">
        <v>410</v>
      </c>
      <c r="BJ641">
        <v>59</v>
      </c>
      <c r="BK641" s="466"/>
    </row>
    <row r="642" spans="1:63" hidden="1" x14ac:dyDescent="0.25">
      <c r="A642" s="40"/>
      <c r="B642" s="41"/>
      <c r="C642" s="121">
        <f>Таблица3[[#This Row],[Степень зрелости вспом]]</f>
        <v>58</v>
      </c>
      <c r="D642" s="42">
        <v>787</v>
      </c>
      <c r="E642" s="147"/>
      <c r="F642" s="41"/>
      <c r="G642" s="41">
        <v>4500</v>
      </c>
      <c r="H642" s="69"/>
      <c r="I642" s="41">
        <v>3892.5</v>
      </c>
      <c r="J642" s="40" t="s">
        <v>3375</v>
      </c>
      <c r="K642" s="40" t="s">
        <v>901</v>
      </c>
      <c r="L642" s="40" t="s">
        <v>3110</v>
      </c>
      <c r="M642" s="40" t="s">
        <v>762</v>
      </c>
      <c r="N642" s="40"/>
      <c r="O642" s="40"/>
      <c r="P642" s="40"/>
      <c r="Q642" s="40"/>
      <c r="R642" s="40" t="s">
        <v>763</v>
      </c>
      <c r="S642" s="40"/>
      <c r="T642" s="70" t="str">
        <f>VLOOKUP(Таблица3[[#This Row],[№ акта]],$AJ$1:$BJ$691,15,FALSE)</f>
        <v>А-113/1</v>
      </c>
      <c r="U642" s="70" t="str">
        <f>VLOOKUP(Таблица3[[#This Row],[№ акта]],$AJ$1:$BJ$691,16,FALSE)</f>
        <v>Фаворит</v>
      </c>
      <c r="V642" s="44">
        <f>VLOOKUP(Таблица3[[#This Row],[№ акта]],$AJ$1:$BJ$691,17,FALSE)</f>
        <v>1.8</v>
      </c>
      <c r="W642" s="44" t="str">
        <f>VLOOKUP(Таблица3[[#This Row],[№ акта]],$AJ$1:$BJ$691,18,FALSE)</f>
        <v>ГРК (полив)</v>
      </c>
      <c r="X642" s="45" t="s">
        <v>178</v>
      </c>
      <c r="Y642" s="485">
        <f>VLOOKUP(Таблица3[[#This Row],[№ акта]],$AJ$1:$BJ$691,20,FALSE)</f>
        <v>30</v>
      </c>
      <c r="Z642" s="103">
        <f>VLOOKUP(Таблица3[[#This Row],[№ акта]],$AJ$1:$BJ$691,21,FALSE)</f>
        <v>46206</v>
      </c>
      <c r="AA642" s="45"/>
      <c r="AB642" s="43" t="s">
        <v>4038</v>
      </c>
      <c r="AC642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42" s="360" t="s">
        <v>2940</v>
      </c>
      <c r="AE642" s="40">
        <v>652</v>
      </c>
      <c r="AF642" s="103">
        <v>46207</v>
      </c>
      <c r="AG642" s="40">
        <v>413</v>
      </c>
      <c r="AH642" s="40">
        <f>IFERROR(VLOOKUP(Таблица3[[#This Row],[№ акта]],'Степень зрелости 2026'!$H$12:$I$800,2,FALSE),)</f>
        <v>58</v>
      </c>
      <c r="AJ642">
        <v>652</v>
      </c>
      <c r="AK642" s="34">
        <v>46207</v>
      </c>
      <c r="AL642">
        <v>787</v>
      </c>
      <c r="AO642">
        <v>4500</v>
      </c>
      <c r="AP642">
        <v>3892.5</v>
      </c>
      <c r="AQ642" t="s">
        <v>3375</v>
      </c>
      <c r="AR642" t="s">
        <v>901</v>
      </c>
      <c r="AS642" t="s">
        <v>3110</v>
      </c>
      <c r="AT642" t="s">
        <v>762</v>
      </c>
      <c r="AV642" t="s">
        <v>763</v>
      </c>
      <c r="AX642" t="s">
        <v>3110</v>
      </c>
      <c r="AY642" t="s">
        <v>901</v>
      </c>
      <c r="AZ642">
        <v>1.8</v>
      </c>
      <c r="BA642" t="s">
        <v>2932</v>
      </c>
      <c r="BB642" t="s">
        <v>178</v>
      </c>
      <c r="BC642">
        <v>30</v>
      </c>
      <c r="BD642" s="34">
        <v>46206</v>
      </c>
      <c r="BG642" t="s">
        <v>724</v>
      </c>
      <c r="BI642">
        <v>413</v>
      </c>
      <c r="BJ642">
        <v>58</v>
      </c>
      <c r="BK642" s="466"/>
    </row>
    <row r="643" spans="1:63" ht="22.5" hidden="1" x14ac:dyDescent="0.25">
      <c r="A643" s="40"/>
      <c r="B643" s="41"/>
      <c r="C643" s="121">
        <f>Таблица3[[#This Row],[Степень зрелости вспом]]</f>
        <v>64</v>
      </c>
      <c r="D643" s="42">
        <v>788</v>
      </c>
      <c r="E643" s="147"/>
      <c r="F643" s="41"/>
      <c r="G643" s="41">
        <v>13860</v>
      </c>
      <c r="H643" s="69"/>
      <c r="I643" s="41">
        <v>12820.5</v>
      </c>
      <c r="J643" s="40" t="s">
        <v>3645</v>
      </c>
      <c r="K643" s="40" t="s">
        <v>901</v>
      </c>
      <c r="L643" s="40" t="s">
        <v>3119</v>
      </c>
      <c r="M643" s="40" t="s">
        <v>3623</v>
      </c>
      <c r="N643" s="40"/>
      <c r="O643" s="40"/>
      <c r="P643" s="40"/>
      <c r="Q643" s="40"/>
      <c r="R643" s="40" t="s">
        <v>3679</v>
      </c>
      <c r="S643" s="40"/>
      <c r="T643" s="70" t="str">
        <f>VLOOKUP(Таблица3[[#This Row],[№ акта]],$AJ$1:$BJ$691,15,FALSE)</f>
        <v>1.7 Колос</v>
      </c>
      <c r="U643" s="70" t="str">
        <f>VLOOKUP(Таблица3[[#This Row],[№ акта]],$AJ$1:$BJ$691,16,FALSE)</f>
        <v>Фаворит</v>
      </c>
      <c r="V643" s="44">
        <f>55*Таблица3[[#This Row],[Регистратор.Вес нетто]]/165970</f>
        <v>4.5929987347110925</v>
      </c>
      <c r="W643" s="44" t="str">
        <f>VLOOKUP(Таблица3[[#This Row],[№ акта]],$AJ$1:$BJ$691,18,FALSE)</f>
        <v>Колос (полив)</v>
      </c>
      <c r="X643" s="45" t="s">
        <v>178</v>
      </c>
      <c r="Y643" s="485">
        <f>VLOOKUP(Таблица3[[#This Row],[№ акта]],$AJ$1:$BJ$691,20,FALSE)</f>
        <v>30</v>
      </c>
      <c r="Z643" s="103">
        <f>VLOOKUP(Таблица3[[#This Row],[№ акта]],$AJ$1:$BJ$691,21,FALSE)</f>
        <v>46206</v>
      </c>
      <c r="AA643" s="45"/>
      <c r="AB643" s="43" t="s">
        <v>4038</v>
      </c>
      <c r="AC643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43" s="360" t="s">
        <v>3230</v>
      </c>
      <c r="AE643" s="40">
        <v>653</v>
      </c>
      <c r="AF643" s="103">
        <v>46207</v>
      </c>
      <c r="AG643" s="40">
        <v>99</v>
      </c>
      <c r="AH643" s="40">
        <f>IFERROR(VLOOKUP(Таблица3[[#This Row],[№ акта]],'Степень зрелости 2026'!$H$12:$I$800,2,FALSE),)</f>
        <v>64</v>
      </c>
      <c r="AJ643">
        <v>653</v>
      </c>
      <c r="AK643" s="34">
        <v>46207</v>
      </c>
      <c r="AL643">
        <v>788</v>
      </c>
      <c r="AO643">
        <v>13860</v>
      </c>
      <c r="AP643">
        <v>12820.5</v>
      </c>
      <c r="AQ643" t="s">
        <v>3645</v>
      </c>
      <c r="AR643" t="s">
        <v>901</v>
      </c>
      <c r="AS643" t="s">
        <v>3119</v>
      </c>
      <c r="AT643" t="s">
        <v>3623</v>
      </c>
      <c r="AV643" t="s">
        <v>3679</v>
      </c>
      <c r="AX643" t="s">
        <v>3119</v>
      </c>
      <c r="AY643" t="s">
        <v>901</v>
      </c>
      <c r="AZ643">
        <v>2.5</v>
      </c>
      <c r="BA643" t="s">
        <v>53</v>
      </c>
      <c r="BB643" t="s">
        <v>178</v>
      </c>
      <c r="BC643">
        <v>30</v>
      </c>
      <c r="BD643" s="34">
        <v>46206</v>
      </c>
      <c r="BG643" t="s">
        <v>3559</v>
      </c>
      <c r="BI643">
        <v>99</v>
      </c>
      <c r="BJ643">
        <v>64</v>
      </c>
      <c r="BK643" s="466"/>
    </row>
    <row r="644" spans="1:63" ht="22.5" hidden="1" x14ac:dyDescent="0.25">
      <c r="A644" s="40"/>
      <c r="B644" s="41"/>
      <c r="C644" s="121">
        <f>Таблица3[[#This Row],[Степень зрелости вспом]]</f>
        <v>59</v>
      </c>
      <c r="D644" s="42">
        <v>789</v>
      </c>
      <c r="E644" s="147"/>
      <c r="F644" s="41"/>
      <c r="G644" s="41">
        <v>13710</v>
      </c>
      <c r="H644" s="69"/>
      <c r="I644" s="41">
        <v>12956</v>
      </c>
      <c r="J644" s="40" t="s">
        <v>3645</v>
      </c>
      <c r="K644" s="40" t="s">
        <v>901</v>
      </c>
      <c r="L644" s="40" t="s">
        <v>3118</v>
      </c>
      <c r="M644" s="40" t="s">
        <v>347</v>
      </c>
      <c r="N644" s="40"/>
      <c r="O644" s="40"/>
      <c r="P644" s="40"/>
      <c r="Q644" s="40"/>
      <c r="R644" s="40" t="s">
        <v>351</v>
      </c>
      <c r="S644" s="40"/>
      <c r="T644" s="70" t="str">
        <f>VLOOKUP(Таблица3[[#This Row],[№ акта]],$AJ$1:$BJ$691,15,FALSE)</f>
        <v>1.6 Колос</v>
      </c>
      <c r="U644" s="70" t="str">
        <f>VLOOKUP(Таблица3[[#This Row],[№ акта]],$AJ$1:$BJ$691,16,FALSE)</f>
        <v>Фаворит</v>
      </c>
      <c r="V644" s="44">
        <f>VLOOKUP(Таблица3[[#This Row],[№ акта]],$AJ$1:$BJ$691,17,FALSE)</f>
        <v>4.8</v>
      </c>
      <c r="W644" s="44" t="str">
        <f>VLOOKUP(Таблица3[[#This Row],[№ акта]],$AJ$1:$BJ$691,18,FALSE)</f>
        <v>Колос (полив)</v>
      </c>
      <c r="X644" s="45" t="s">
        <v>178</v>
      </c>
      <c r="Y644" s="485">
        <f>VLOOKUP(Таблица3[[#This Row],[№ акта]],$AJ$1:$BJ$691,20,FALSE)</f>
        <v>30</v>
      </c>
      <c r="Z644" s="103">
        <f>VLOOKUP(Таблица3[[#This Row],[№ акта]],$AJ$1:$BJ$691,21,FALSE)</f>
        <v>46206</v>
      </c>
      <c r="AA644" s="45"/>
      <c r="AB644" s="43" t="s">
        <v>4038</v>
      </c>
      <c r="AC644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44" s="360" t="s">
        <v>2940</v>
      </c>
      <c r="AE644" s="40">
        <v>655</v>
      </c>
      <c r="AF644" s="103">
        <v>46207</v>
      </c>
      <c r="AG644" s="40">
        <v>100</v>
      </c>
      <c r="AH644" s="40">
        <f>IFERROR(VLOOKUP(Таблица3[[#This Row],[№ акта]],'Степень зрелости 2026'!$H$12:$I$800,2,FALSE),)</f>
        <v>59</v>
      </c>
      <c r="AJ644">
        <v>654</v>
      </c>
      <c r="AK644" s="34">
        <v>46207</v>
      </c>
      <c r="AL644">
        <v>786</v>
      </c>
      <c r="AO644">
        <v>13460</v>
      </c>
      <c r="AP644">
        <v>12046.7</v>
      </c>
      <c r="AQ644" t="s">
        <v>3375</v>
      </c>
      <c r="AR644" t="s">
        <v>901</v>
      </c>
      <c r="AS644" t="s">
        <v>3110</v>
      </c>
      <c r="AT644" t="s">
        <v>1312</v>
      </c>
      <c r="AV644" t="s">
        <v>320</v>
      </c>
      <c r="AX644" t="s">
        <v>3110</v>
      </c>
      <c r="AY644" t="s">
        <v>901</v>
      </c>
      <c r="AZ644">
        <v>5.4</v>
      </c>
      <c r="BA644" t="s">
        <v>2932</v>
      </c>
      <c r="BB644" t="s">
        <v>178</v>
      </c>
      <c r="BC644">
        <v>30</v>
      </c>
      <c r="BD644" s="34">
        <v>46206</v>
      </c>
      <c r="BG644" t="s">
        <v>3559</v>
      </c>
      <c r="BI644">
        <v>412</v>
      </c>
      <c r="BJ644">
        <v>65</v>
      </c>
      <c r="BK644" s="466"/>
    </row>
    <row r="645" spans="1:63" hidden="1" x14ac:dyDescent="0.25">
      <c r="A645" s="40"/>
      <c r="B645" s="41"/>
      <c r="C645" s="121">
        <f>Таблица3[[#This Row],[Степень зрелости вспом]]</f>
        <v>58</v>
      </c>
      <c r="D645" s="42">
        <v>790</v>
      </c>
      <c r="E645" s="147"/>
      <c r="F645" s="41"/>
      <c r="G645" s="41">
        <v>6670</v>
      </c>
      <c r="H645" s="69"/>
      <c r="I645" s="41">
        <v>5836.3</v>
      </c>
      <c r="J645" s="40" t="s">
        <v>3375</v>
      </c>
      <c r="K645" s="40" t="s">
        <v>901</v>
      </c>
      <c r="L645" s="40" t="s">
        <v>3110</v>
      </c>
      <c r="M645" s="40" t="s">
        <v>894</v>
      </c>
      <c r="N645" s="40"/>
      <c r="O645" s="40"/>
      <c r="P645" s="40"/>
      <c r="Q645" s="40"/>
      <c r="R645" s="40" t="s">
        <v>895</v>
      </c>
      <c r="S645" s="40"/>
      <c r="T645" s="70" t="str">
        <f>VLOOKUP(Таблица3[[#This Row],[№ акта]],$AJ$1:$BJ$691,15,FALSE)</f>
        <v>А-113/1</v>
      </c>
      <c r="U645" s="70" t="str">
        <f>VLOOKUP(Таблица3[[#This Row],[№ акта]],$AJ$1:$BJ$691,16,FALSE)</f>
        <v>Фаворит</v>
      </c>
      <c r="V645" s="44">
        <f>VLOOKUP(Таблица3[[#This Row],[№ акта]],$AJ$1:$BJ$691,17,FALSE)</f>
        <v>2.7</v>
      </c>
      <c r="W645" s="44" t="str">
        <f>VLOOKUP(Таблица3[[#This Row],[№ акта]],$AJ$1:$BJ$691,18,FALSE)</f>
        <v>ГРК (полив)</v>
      </c>
      <c r="X645" s="45" t="s">
        <v>178</v>
      </c>
      <c r="Y645" s="485">
        <f>VLOOKUP(Таблица3[[#This Row],[№ акта]],$AJ$1:$BJ$691,20,FALSE)</f>
        <v>30</v>
      </c>
      <c r="Z645" s="103">
        <f>VLOOKUP(Таблица3[[#This Row],[№ акта]],$AJ$1:$BJ$691,21,FALSE)</f>
        <v>46206</v>
      </c>
      <c r="AA645" s="466"/>
      <c r="AB645" s="43" t="s">
        <v>4038</v>
      </c>
      <c r="AC645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45" s="360" t="s">
        <v>2940</v>
      </c>
      <c r="AE645" s="40">
        <v>656</v>
      </c>
      <c r="AF645" s="103">
        <v>46207</v>
      </c>
      <c r="AG645" s="40">
        <v>414</v>
      </c>
      <c r="AH645" s="40">
        <f>IFERROR(VLOOKUP(Таблица3[[#This Row],[№ акта]],'Степень зрелости 2026'!$H$12:$I$800,2,FALSE),)</f>
        <v>58</v>
      </c>
      <c r="AJ645">
        <v>655</v>
      </c>
      <c r="AK645" s="34">
        <v>46207</v>
      </c>
      <c r="AL645">
        <v>789</v>
      </c>
      <c r="AO645">
        <v>13710</v>
      </c>
      <c r="AP645">
        <v>12956</v>
      </c>
      <c r="AQ645" t="s">
        <v>3645</v>
      </c>
      <c r="AR645" t="s">
        <v>901</v>
      </c>
      <c r="AS645" t="s">
        <v>3118</v>
      </c>
      <c r="AT645" t="s">
        <v>347</v>
      </c>
      <c r="AV645" t="s">
        <v>351</v>
      </c>
      <c r="AX645" t="s">
        <v>3118</v>
      </c>
      <c r="AY645" t="s">
        <v>901</v>
      </c>
      <c r="AZ645">
        <v>4.8</v>
      </c>
      <c r="BA645" t="s">
        <v>53</v>
      </c>
      <c r="BB645" t="s">
        <v>178</v>
      </c>
      <c r="BC645">
        <v>30</v>
      </c>
      <c r="BD645" s="34">
        <v>46206</v>
      </c>
      <c r="BG645" t="s">
        <v>724</v>
      </c>
      <c r="BH645" t="s">
        <v>2940</v>
      </c>
      <c r="BI645">
        <v>100</v>
      </c>
      <c r="BJ645">
        <v>59</v>
      </c>
      <c r="BK645" s="466"/>
    </row>
    <row r="646" spans="1:63" ht="22.5" hidden="1" x14ac:dyDescent="0.25">
      <c r="A646" s="40"/>
      <c r="B646" s="41"/>
      <c r="C646" s="121">
        <f>Таблица3[[#This Row],[Степень зрелости вспом]]</f>
        <v>58</v>
      </c>
      <c r="D646" s="42">
        <v>791</v>
      </c>
      <c r="E646" s="147"/>
      <c r="F646" s="41"/>
      <c r="G646" s="41">
        <v>13600</v>
      </c>
      <c r="H646" s="69"/>
      <c r="I646" s="41">
        <v>12580</v>
      </c>
      <c r="J646" s="40" t="s">
        <v>3645</v>
      </c>
      <c r="K646" s="40" t="s">
        <v>901</v>
      </c>
      <c r="L646" s="40" t="s">
        <v>3118</v>
      </c>
      <c r="M646" s="40" t="s">
        <v>311</v>
      </c>
      <c r="N646" s="40"/>
      <c r="O646" s="40"/>
      <c r="P646" s="40"/>
      <c r="Q646" s="40"/>
      <c r="R646" s="40" t="s">
        <v>315</v>
      </c>
      <c r="S646" s="40"/>
      <c r="T646" s="70" t="str">
        <f>VLOOKUP(Таблица3[[#This Row],[№ акта]],$AJ$1:$BJ$691,15,FALSE)</f>
        <v>1.6 Колос</v>
      </c>
      <c r="U646" s="70" t="str">
        <f>VLOOKUP(Таблица3[[#This Row],[№ акта]],$AJ$1:$BJ$691,16,FALSE)</f>
        <v>Фаворит</v>
      </c>
      <c r="V646" s="44">
        <f>VLOOKUP(Таблица3[[#This Row],[№ акта]],$AJ$1:$BJ$691,17,FALSE)</f>
        <v>4.8</v>
      </c>
      <c r="W646" s="44" t="str">
        <f>VLOOKUP(Таблица3[[#This Row],[№ акта]],$AJ$1:$BJ$691,18,FALSE)</f>
        <v>Колос (полив)</v>
      </c>
      <c r="X646" s="45" t="s">
        <v>178</v>
      </c>
      <c r="Y646" s="485">
        <f>VLOOKUP(Таблица3[[#This Row],[№ акта]],$AJ$1:$BJ$691,20,FALSE)</f>
        <v>30</v>
      </c>
      <c r="Z646" s="103">
        <f>VLOOKUP(Таблица3[[#This Row],[№ акта]],$AJ$1:$BJ$691,21,FALSE)</f>
        <v>46206</v>
      </c>
      <c r="AA646" s="45"/>
      <c r="AB646" s="43" t="s">
        <v>4038</v>
      </c>
      <c r="AC646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46" s="360" t="s">
        <v>2940</v>
      </c>
      <c r="AE646" s="40">
        <v>657</v>
      </c>
      <c r="AF646" s="103">
        <v>46207</v>
      </c>
      <c r="AG646" s="40">
        <v>101</v>
      </c>
      <c r="AH646" s="40">
        <f>IFERROR(VLOOKUP(Таблица3[[#This Row],[№ акта]],'Степень зрелости 2026'!$H$12:$I$800,2,FALSE),)</f>
        <v>58</v>
      </c>
      <c r="AJ646">
        <v>656</v>
      </c>
      <c r="AK646" s="34">
        <v>46207</v>
      </c>
      <c r="AL646">
        <v>790</v>
      </c>
      <c r="AO646">
        <v>6670</v>
      </c>
      <c r="AP646">
        <v>5836.3</v>
      </c>
      <c r="AQ646" t="s">
        <v>3375</v>
      </c>
      <c r="AR646" t="s">
        <v>901</v>
      </c>
      <c r="AS646" t="s">
        <v>3110</v>
      </c>
      <c r="AT646" t="s">
        <v>894</v>
      </c>
      <c r="AV646" t="s">
        <v>895</v>
      </c>
      <c r="AX646" t="s">
        <v>3110</v>
      </c>
      <c r="AY646" t="s">
        <v>901</v>
      </c>
      <c r="AZ646">
        <v>2.7</v>
      </c>
      <c r="BA646" t="s">
        <v>2932</v>
      </c>
      <c r="BB646" t="s">
        <v>178</v>
      </c>
      <c r="BC646">
        <v>30</v>
      </c>
      <c r="BD646" s="34">
        <v>46206</v>
      </c>
      <c r="BG646" t="s">
        <v>724</v>
      </c>
      <c r="BI646">
        <v>414</v>
      </c>
      <c r="BJ646">
        <v>58</v>
      </c>
      <c r="BK646" s="466"/>
    </row>
    <row r="647" spans="1:63" ht="22.5" hidden="1" x14ac:dyDescent="0.25">
      <c r="A647" s="40"/>
      <c r="B647" s="41"/>
      <c r="C647" s="121">
        <f>Таблица3[[#This Row],[Степень зрелости вспом]]</f>
        <v>62</v>
      </c>
      <c r="D647" s="42">
        <v>792</v>
      </c>
      <c r="E647" s="147"/>
      <c r="F647" s="41"/>
      <c r="G647" s="41">
        <v>13210</v>
      </c>
      <c r="H647" s="69"/>
      <c r="I647" s="41">
        <v>10171.700000000001</v>
      </c>
      <c r="J647" s="40" t="s">
        <v>3645</v>
      </c>
      <c r="K647" s="40" t="s">
        <v>897</v>
      </c>
      <c r="L647" s="40" t="s">
        <v>3123</v>
      </c>
      <c r="M647" s="40" t="s">
        <v>3892</v>
      </c>
      <c r="N647" s="40"/>
      <c r="O647" s="40"/>
      <c r="P647" s="40"/>
      <c r="Q647" s="40"/>
      <c r="R647" s="40" t="s">
        <v>1368</v>
      </c>
      <c r="S647" s="40"/>
      <c r="T647" s="70" t="s">
        <v>3123</v>
      </c>
      <c r="U647" s="70" t="str">
        <f>VLOOKUP(Таблица3[[#This Row],[№ акта]],$AJ$1:$BJ$691,16,FALSE)</f>
        <v>Фаворит</v>
      </c>
      <c r="V647" s="44">
        <f>56.1*Таблица3[[#This Row],[Регистратор.Вес нетто]]/299630</f>
        <v>2.4733204285285186</v>
      </c>
      <c r="W647" s="44" t="str">
        <f>VLOOKUP(Таблица3[[#This Row],[№ акта]],$AJ$1:$BJ$691,18,FALSE)</f>
        <v>Колос (полив)</v>
      </c>
      <c r="X647" s="45" t="s">
        <v>178</v>
      </c>
      <c r="Y647" s="485">
        <f>VLOOKUP(Таблица3[[#This Row],[№ акта]],$AJ$1:$BJ$691,20,FALSE)</f>
        <v>31</v>
      </c>
      <c r="Z647" s="103">
        <f>VLOOKUP(Таблица3[[#This Row],[№ акта]],$AJ$1:$BJ$691,21,FALSE)</f>
        <v>46207</v>
      </c>
      <c r="AA647" s="45"/>
      <c r="AB647" s="43" t="s">
        <v>4038</v>
      </c>
      <c r="AC647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47" s="360" t="s">
        <v>2940</v>
      </c>
      <c r="AE647" s="40">
        <v>659</v>
      </c>
      <c r="AF647" s="103">
        <v>46207</v>
      </c>
      <c r="AG647" s="40">
        <v>102</v>
      </c>
      <c r="AH647" s="40">
        <f>IFERROR(VLOOKUP(Таблица3[[#This Row],[№ акта]],'Степень зрелости 2026'!$H$12:$I$800,2,FALSE),)</f>
        <v>62</v>
      </c>
      <c r="AJ647">
        <v>657</v>
      </c>
      <c r="AK647" s="34">
        <v>46207</v>
      </c>
      <c r="AL647">
        <v>791</v>
      </c>
      <c r="AO647">
        <v>13600</v>
      </c>
      <c r="AP647">
        <v>12580</v>
      </c>
      <c r="AQ647" t="s">
        <v>3645</v>
      </c>
      <c r="AR647" t="s">
        <v>901</v>
      </c>
      <c r="AS647" t="s">
        <v>3118</v>
      </c>
      <c r="AT647" t="s">
        <v>311</v>
      </c>
      <c r="AV647" t="s">
        <v>315</v>
      </c>
      <c r="AX647" t="s">
        <v>3118</v>
      </c>
      <c r="AY647" t="s">
        <v>901</v>
      </c>
      <c r="AZ647">
        <v>4.8</v>
      </c>
      <c r="BA647" t="s">
        <v>53</v>
      </c>
      <c r="BB647" t="s">
        <v>178</v>
      </c>
      <c r="BC647">
        <v>30</v>
      </c>
      <c r="BD647" s="34">
        <v>46206</v>
      </c>
      <c r="BG647" t="s">
        <v>724</v>
      </c>
      <c r="BH647" t="s">
        <v>2940</v>
      </c>
      <c r="BI647">
        <v>101</v>
      </c>
      <c r="BJ647">
        <v>58</v>
      </c>
      <c r="BK647" s="466"/>
    </row>
    <row r="648" spans="1:63" hidden="1" x14ac:dyDescent="0.25">
      <c r="A648" s="40"/>
      <c r="B648" s="41"/>
      <c r="C648" s="121">
        <f>Таблица3[[#This Row],[Степень зрелости вспом]]</f>
        <v>56</v>
      </c>
      <c r="D648" s="42">
        <v>794</v>
      </c>
      <c r="E648" s="147"/>
      <c r="F648" s="41"/>
      <c r="G648" s="41">
        <v>12950</v>
      </c>
      <c r="H648" s="69"/>
      <c r="I648" s="41">
        <v>10683.8</v>
      </c>
      <c r="J648" s="40" t="s">
        <v>2939</v>
      </c>
      <c r="K648" s="40" t="s">
        <v>901</v>
      </c>
      <c r="L648" s="40" t="s">
        <v>3098</v>
      </c>
      <c r="M648" s="40" t="s">
        <v>1312</v>
      </c>
      <c r="N648" s="40"/>
      <c r="O648" s="40"/>
      <c r="P648" s="40"/>
      <c r="Q648" s="40"/>
      <c r="R648" s="40" t="s">
        <v>320</v>
      </c>
      <c r="S648" s="40"/>
      <c r="T648" s="70" t="str">
        <f>VLOOKUP(Таблица3[[#This Row],[№ акта]],$AJ$1:$BJ$691,15,FALSE)</f>
        <v>А-116/1</v>
      </c>
      <c r="U648" s="70" t="str">
        <f>VLOOKUP(Таблица3[[#This Row],[№ акта]],$AJ$1:$BJ$691,16,FALSE)</f>
        <v>Фаворит</v>
      </c>
      <c r="V648" s="45">
        <f>VLOOKUP(Таблица3[[#This Row],[№ акта]],$AJ$1:$BJ$691,17,FALSE)</f>
        <v>2.5</v>
      </c>
      <c r="W648" s="44" t="str">
        <f>VLOOKUP(Таблица3[[#This Row],[№ акта]],$AJ$1:$BJ$691,18,FALSE)</f>
        <v>ГРК (богара)</v>
      </c>
      <c r="X648" s="45" t="s">
        <v>178</v>
      </c>
      <c r="Y648" s="485">
        <f>VLOOKUP(Таблица3[[#This Row],[№ акта]],$AJ$1:$BJ$691,20,FALSE)</f>
        <v>31</v>
      </c>
      <c r="Z648" s="103">
        <f>VLOOKUP(Таблица3[[#This Row],[№ акта]],$AJ$1:$BJ$691,21,FALSE)</f>
        <v>46207</v>
      </c>
      <c r="AA648" s="45"/>
      <c r="AB648" s="43" t="s">
        <v>4038</v>
      </c>
      <c r="AC648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48" s="360" t="s">
        <v>2940</v>
      </c>
      <c r="AE648" s="40">
        <v>658</v>
      </c>
      <c r="AF648" s="103">
        <v>46207</v>
      </c>
      <c r="AG648" s="40">
        <v>415</v>
      </c>
      <c r="AH648" s="40">
        <f>IFERROR(VLOOKUP(Таблица3[[#This Row],[№ акта]],'Степень зрелости 2026'!$H$12:$I$800,2,FALSE),)</f>
        <v>56</v>
      </c>
      <c r="AJ648">
        <v>658</v>
      </c>
      <c r="AK648" s="34">
        <v>46207</v>
      </c>
      <c r="AL648">
        <v>794</v>
      </c>
      <c r="AO648">
        <v>12950</v>
      </c>
      <c r="AP648">
        <v>10683.8</v>
      </c>
      <c r="AQ648" t="s">
        <v>2939</v>
      </c>
      <c r="AR648" t="s">
        <v>901</v>
      </c>
      <c r="AS648" t="s">
        <v>3098</v>
      </c>
      <c r="AT648" t="s">
        <v>1312</v>
      </c>
      <c r="AV648" t="s">
        <v>320</v>
      </c>
      <c r="AX648" t="s">
        <v>3098</v>
      </c>
      <c r="AY648" t="s">
        <v>901</v>
      </c>
      <c r="AZ648">
        <v>2.5</v>
      </c>
      <c r="BA648" t="s">
        <v>46</v>
      </c>
      <c r="BB648" t="s">
        <v>19</v>
      </c>
      <c r="BC648">
        <v>31</v>
      </c>
      <c r="BD648" s="34">
        <v>46207</v>
      </c>
      <c r="BG648" t="s">
        <v>724</v>
      </c>
      <c r="BI648">
        <v>415</v>
      </c>
      <c r="BJ648">
        <v>56</v>
      </c>
      <c r="BK648" s="466"/>
    </row>
    <row r="649" spans="1:63" hidden="1" x14ac:dyDescent="0.25">
      <c r="A649" s="40"/>
      <c r="B649" s="41"/>
      <c r="C649" s="121">
        <f>Таблица3[[#This Row],[Степень зрелости вспом]]</f>
        <v>61</v>
      </c>
      <c r="D649" s="42">
        <v>811</v>
      </c>
      <c r="E649" s="147"/>
      <c r="F649" s="41"/>
      <c r="G649" s="41">
        <v>4320</v>
      </c>
      <c r="H649" s="69"/>
      <c r="I649" s="41">
        <v>3909.6</v>
      </c>
      <c r="J649" s="40" t="s">
        <v>2939</v>
      </c>
      <c r="K649" s="40" t="s">
        <v>901</v>
      </c>
      <c r="L649" s="40" t="s">
        <v>3098</v>
      </c>
      <c r="M649" s="40" t="s">
        <v>737</v>
      </c>
      <c r="N649" s="40"/>
      <c r="O649" s="40"/>
      <c r="P649" s="40"/>
      <c r="Q649" s="40"/>
      <c r="R649" s="40" t="s">
        <v>738</v>
      </c>
      <c r="S649" s="40"/>
      <c r="T649" s="70" t="str">
        <f>VLOOKUP(Таблица3[[#This Row],[№ акта]],$AJ$1:$BJ$691,15,FALSE)</f>
        <v>А-116/1</v>
      </c>
      <c r="U649" s="70" t="str">
        <f>VLOOKUP(Таблица3[[#This Row],[№ акта]],$AJ$1:$BJ$691,16,FALSE)</f>
        <v>Фаворит</v>
      </c>
      <c r="V649" s="45">
        <f>VLOOKUP(Таблица3[[#This Row],[№ акта]],$AJ$1:$BJ$691,17,FALSE)</f>
        <v>0.8</v>
      </c>
      <c r="W649" s="44" t="str">
        <f>VLOOKUP(Таблица3[[#This Row],[№ акта]],$AJ$1:$BJ$691,18,FALSE)</f>
        <v>ГРК (богара)</v>
      </c>
      <c r="X649" s="45" t="s">
        <v>178</v>
      </c>
      <c r="Y649" s="485">
        <f>VLOOKUP(Таблица3[[#This Row],[№ акта]],$AJ$1:$BJ$691,20,FALSE)</f>
        <v>31</v>
      </c>
      <c r="Z649" s="103">
        <f>VLOOKUP(Таблица3[[#This Row],[№ акта]],$AJ$1:$BJ$691,21,FALSE)</f>
        <v>46207</v>
      </c>
      <c r="AA649" s="45"/>
      <c r="AB649" s="43" t="s">
        <v>4038</v>
      </c>
      <c r="AC649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49" s="360" t="s">
        <v>2940</v>
      </c>
      <c r="AE649" s="40">
        <v>675</v>
      </c>
      <c r="AF649" s="103">
        <v>46208</v>
      </c>
      <c r="AG649" s="40">
        <v>429</v>
      </c>
      <c r="AH649" s="40">
        <f>IFERROR(VLOOKUP(Таблица3[[#This Row],[№ акта]],'Степень зрелости 2026'!$H$12:$I$800,2,FALSE),)</f>
        <v>61</v>
      </c>
      <c r="AJ649">
        <v>659</v>
      </c>
      <c r="AK649" s="34">
        <v>46207</v>
      </c>
      <c r="AL649">
        <v>792</v>
      </c>
      <c r="AO649">
        <v>13210</v>
      </c>
      <c r="AP649">
        <v>10171.700000000001</v>
      </c>
      <c r="AQ649" t="s">
        <v>3645</v>
      </c>
      <c r="AR649" t="s">
        <v>897</v>
      </c>
      <c r="AS649" t="s">
        <v>3123</v>
      </c>
      <c r="AT649" t="s">
        <v>3892</v>
      </c>
      <c r="AV649" t="s">
        <v>1368</v>
      </c>
      <c r="AX649" t="s">
        <v>3123</v>
      </c>
      <c r="AY649" t="s">
        <v>901</v>
      </c>
      <c r="AZ649">
        <v>2.6</v>
      </c>
      <c r="BA649" t="s">
        <v>53</v>
      </c>
      <c r="BB649" t="s">
        <v>178</v>
      </c>
      <c r="BC649">
        <v>31</v>
      </c>
      <c r="BD649" s="34">
        <v>46207</v>
      </c>
      <c r="BG649" t="s">
        <v>724</v>
      </c>
      <c r="BI649">
        <v>102</v>
      </c>
      <c r="BJ649">
        <v>62</v>
      </c>
      <c r="BK649" s="466"/>
    </row>
    <row r="650" spans="1:63" hidden="1" x14ac:dyDescent="0.25">
      <c r="A650" s="40"/>
      <c r="B650" s="41"/>
      <c r="C650" s="121">
        <f>Таблица3[[#This Row],[Степень зрелости вспом]]</f>
        <v>65</v>
      </c>
      <c r="D650" s="42">
        <v>812</v>
      </c>
      <c r="E650" s="147"/>
      <c r="F650" s="41"/>
      <c r="G650" s="41">
        <v>14940</v>
      </c>
      <c r="H650" s="69"/>
      <c r="I650" s="41">
        <v>13670.1</v>
      </c>
      <c r="J650" s="40" t="s">
        <v>2939</v>
      </c>
      <c r="K650" s="40" t="s">
        <v>901</v>
      </c>
      <c r="L650" s="40" t="s">
        <v>3098</v>
      </c>
      <c r="M650" s="40" t="s">
        <v>212</v>
      </c>
      <c r="N650" s="40"/>
      <c r="O650" s="40"/>
      <c r="P650" s="40"/>
      <c r="Q650" s="40"/>
      <c r="R650" s="40" t="s">
        <v>2965</v>
      </c>
      <c r="S650" s="40"/>
      <c r="T650" s="70" t="str">
        <f>VLOOKUP(Таблица3[[#This Row],[№ акта]],$AJ$1:$BJ$691,15,FALSE)</f>
        <v>А-116/1</v>
      </c>
      <c r="U650" s="70" t="str">
        <f>VLOOKUP(Таблица3[[#This Row],[№ акта]],$AJ$1:$BJ$691,16,FALSE)</f>
        <v>Фаворит</v>
      </c>
      <c r="V650" s="45">
        <f>VLOOKUP(Таблица3[[#This Row],[№ акта]],$AJ$1:$BJ$691,17,FALSE)</f>
        <v>2.9</v>
      </c>
      <c r="W650" s="44" t="str">
        <f>VLOOKUP(Таблица3[[#This Row],[№ акта]],$AJ$1:$BJ$691,18,FALSE)</f>
        <v>ГРК (богара)</v>
      </c>
      <c r="X650" s="45" t="s">
        <v>178</v>
      </c>
      <c r="Y650" s="485">
        <f>VLOOKUP(Таблица3[[#This Row],[№ акта]],$AJ$1:$BJ$691,20,FALSE)</f>
        <v>31</v>
      </c>
      <c r="Z650" s="103">
        <f>VLOOKUP(Таблица3[[#This Row],[№ акта]],$AJ$1:$BJ$691,21,FALSE)</f>
        <v>46207</v>
      </c>
      <c r="AA650" s="45"/>
      <c r="AB650" s="43" t="s">
        <v>4038</v>
      </c>
      <c r="AC650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50" s="360" t="s">
        <v>3230</v>
      </c>
      <c r="AE650" s="40">
        <v>676</v>
      </c>
      <c r="AF650" s="103">
        <v>46208</v>
      </c>
      <c r="AG650" s="40">
        <v>430</v>
      </c>
      <c r="AH650" s="40">
        <f>IFERROR(VLOOKUP(Таблица3[[#This Row],[№ акта]],'Степень зрелости 2026'!$H$12:$I$800,2,FALSE),)</f>
        <v>65</v>
      </c>
      <c r="AJ650">
        <v>660</v>
      </c>
      <c r="AK650" s="34">
        <v>46207</v>
      </c>
      <c r="AL650">
        <v>795</v>
      </c>
      <c r="AO650">
        <v>12950</v>
      </c>
      <c r="AP650">
        <v>10683.8</v>
      </c>
      <c r="AQ650" t="s">
        <v>2939</v>
      </c>
      <c r="AR650" t="s">
        <v>901</v>
      </c>
      <c r="AS650" t="s">
        <v>3098</v>
      </c>
      <c r="AT650" t="s">
        <v>212</v>
      </c>
      <c r="AV650" t="s">
        <v>2965</v>
      </c>
      <c r="AX650" t="s">
        <v>3098</v>
      </c>
      <c r="AY650" t="s">
        <v>901</v>
      </c>
      <c r="AZ650">
        <v>2.5</v>
      </c>
      <c r="BA650" t="s">
        <v>46</v>
      </c>
      <c r="BB650" t="s">
        <v>19</v>
      </c>
      <c r="BC650">
        <v>31</v>
      </c>
      <c r="BD650" s="34">
        <v>46207</v>
      </c>
      <c r="BG650" t="s">
        <v>724</v>
      </c>
      <c r="BI650">
        <v>416</v>
      </c>
      <c r="BJ650">
        <v>59</v>
      </c>
      <c r="BK650" s="466"/>
    </row>
    <row r="651" spans="1:63" hidden="1" x14ac:dyDescent="0.25">
      <c r="A651" s="40"/>
      <c r="B651" s="41"/>
      <c r="C651" s="121">
        <f>Таблица3[[#This Row],[Степень зрелости вспом]]</f>
        <v>59</v>
      </c>
      <c r="D651" s="42">
        <v>813</v>
      </c>
      <c r="E651" s="147"/>
      <c r="F651" s="41"/>
      <c r="G651" s="41">
        <v>12940</v>
      </c>
      <c r="H651" s="69"/>
      <c r="I651" s="41">
        <v>11257.8</v>
      </c>
      <c r="J651" s="40" t="s">
        <v>3375</v>
      </c>
      <c r="K651" s="40" t="s">
        <v>900</v>
      </c>
      <c r="L651" s="40" t="s">
        <v>3108</v>
      </c>
      <c r="M651" s="40" t="s">
        <v>2967</v>
      </c>
      <c r="N651" s="40"/>
      <c r="O651" s="40"/>
      <c r="P651" s="40"/>
      <c r="Q651" s="40"/>
      <c r="R651" s="40" t="s">
        <v>1810</v>
      </c>
      <c r="S651" s="40"/>
      <c r="T651" s="70" t="str">
        <f>VLOOKUP(Таблица3[[#This Row],[№ акта]],$AJ$1:$BJ$691,15,FALSE)</f>
        <v>А-108/7</v>
      </c>
      <c r="U651" s="70" t="str">
        <f>VLOOKUP(Таблица3[[#This Row],[№ акта]],$AJ$1:$BJ$691,16,FALSE)</f>
        <v>Патриот</v>
      </c>
      <c r="V651" s="45">
        <f>VLOOKUP(Таблица3[[#This Row],[№ акта]],$AJ$1:$BJ$691,17,FALSE)</f>
        <v>3.8</v>
      </c>
      <c r="W651" s="44" t="str">
        <f>VLOOKUP(Таблица3[[#This Row],[№ акта]],$AJ$1:$BJ$691,18,FALSE)</f>
        <v>ГРК (полив)</v>
      </c>
      <c r="X651" s="45" t="s">
        <v>178</v>
      </c>
      <c r="Y651" s="485">
        <f>VLOOKUP(Таблица3[[#This Row],[№ акта]],$AJ$1:$BJ$691,20,FALSE)</f>
        <v>31</v>
      </c>
      <c r="Z651" s="103">
        <f>VLOOKUP(Таблица3[[#This Row],[№ акта]],$AJ$1:$BJ$691,21,FALSE)</f>
        <v>46207</v>
      </c>
      <c r="AA651" s="45"/>
      <c r="AB651" s="43" t="s">
        <v>4038</v>
      </c>
      <c r="AC651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51" s="360" t="s">
        <v>2940</v>
      </c>
      <c r="AE651" s="40">
        <v>678</v>
      </c>
      <c r="AF651" s="103">
        <v>46208</v>
      </c>
      <c r="AG651" s="40">
        <v>431</v>
      </c>
      <c r="AH651" s="40">
        <f>IFERROR(VLOOKUP(Таблица3[[#This Row],[№ акта]],'Степень зрелости 2026'!$H$12:$I$800,2,FALSE),)</f>
        <v>59</v>
      </c>
      <c r="AJ651">
        <v>661</v>
      </c>
      <c r="AK651" s="34">
        <v>46207</v>
      </c>
      <c r="AL651">
        <v>796</v>
      </c>
      <c r="AO651">
        <v>12910</v>
      </c>
      <c r="AP651">
        <v>9747.1</v>
      </c>
      <c r="AQ651" t="s">
        <v>2939</v>
      </c>
      <c r="AR651" t="s">
        <v>901</v>
      </c>
      <c r="AS651" t="s">
        <v>3098</v>
      </c>
      <c r="AT651" t="s">
        <v>2967</v>
      </c>
      <c r="AV651" t="s">
        <v>1810</v>
      </c>
      <c r="AX651" t="s">
        <v>3098</v>
      </c>
      <c r="AY651" t="s">
        <v>901</v>
      </c>
      <c r="AZ651">
        <v>2.5</v>
      </c>
      <c r="BA651" t="s">
        <v>46</v>
      </c>
      <c r="BB651" t="s">
        <v>19</v>
      </c>
      <c r="BC651">
        <v>31</v>
      </c>
      <c r="BD651" s="34">
        <v>46207</v>
      </c>
      <c r="BG651" t="s">
        <v>724</v>
      </c>
      <c r="BI651">
        <v>417</v>
      </c>
      <c r="BJ651">
        <v>56</v>
      </c>
      <c r="BK651" s="466"/>
    </row>
    <row r="652" spans="1:63" ht="22.5" hidden="1" x14ac:dyDescent="0.25">
      <c r="A652" s="40"/>
      <c r="B652" s="41"/>
      <c r="C652" s="121">
        <f>Таблица3[[#This Row],[Степень зрелости вспом]]</f>
        <v>65</v>
      </c>
      <c r="D652" s="42">
        <v>814</v>
      </c>
      <c r="E652" s="147"/>
      <c r="F652" s="41"/>
      <c r="G652" s="41">
        <v>12480</v>
      </c>
      <c r="H652" s="69"/>
      <c r="I652" s="41">
        <v>11419.2</v>
      </c>
      <c r="J652" s="40" t="s">
        <v>3645</v>
      </c>
      <c r="K652" s="40" t="s">
        <v>897</v>
      </c>
      <c r="L652" s="40" t="s">
        <v>3123</v>
      </c>
      <c r="M652" s="40" t="s">
        <v>3838</v>
      </c>
      <c r="N652" s="40"/>
      <c r="O652" s="40"/>
      <c r="P652" s="40"/>
      <c r="Q652" s="40"/>
      <c r="R652" s="40" t="s">
        <v>270</v>
      </c>
      <c r="S652" s="40"/>
      <c r="T652" s="70" t="s">
        <v>3123</v>
      </c>
      <c r="U652" s="70" t="str">
        <f>VLOOKUP(Таблица3[[#This Row],[№ акта]],$AJ$1:$BJ$691,16,FALSE)</f>
        <v>Фаворит</v>
      </c>
      <c r="V652" s="44">
        <f>56.1*Таблица3[[#This Row],[Регистратор.Вес нетто]]/299630</f>
        <v>2.3366418582918933</v>
      </c>
      <c r="W652" s="44" t="str">
        <f>VLOOKUP(Таблица3[[#This Row],[№ акта]],$AJ$1:$BJ$691,18,FALSE)</f>
        <v>Колос (полив)</v>
      </c>
      <c r="X652" s="45" t="s">
        <v>178</v>
      </c>
      <c r="Y652" s="485">
        <f>VLOOKUP(Таблица3[[#This Row],[№ акта]],$AJ$1:$BJ$691,20,FALSE)</f>
        <v>31</v>
      </c>
      <c r="Z652" s="103">
        <f>VLOOKUP(Таблица3[[#This Row],[№ акта]],$AJ$1:$BJ$691,21,FALSE)</f>
        <v>46207</v>
      </c>
      <c r="AA652" s="45"/>
      <c r="AB652" s="43" t="s">
        <v>4038</v>
      </c>
      <c r="AC652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52" s="360" t="s">
        <v>2940</v>
      </c>
      <c r="AE652" s="40">
        <v>677</v>
      </c>
      <c r="AF652" s="103">
        <v>46208</v>
      </c>
      <c r="AG652" s="40">
        <v>106</v>
      </c>
      <c r="AH652" s="40">
        <f>IFERROR(VLOOKUP(Таблица3[[#This Row],[№ акта]],'Степень зрелости 2026'!$H$12:$I$800,2,FALSE),)</f>
        <v>65</v>
      </c>
      <c r="AJ652">
        <v>662</v>
      </c>
      <c r="AK652" s="34">
        <v>46207</v>
      </c>
      <c r="AL652">
        <v>798</v>
      </c>
      <c r="AO652">
        <v>4400</v>
      </c>
      <c r="AP652">
        <v>3586</v>
      </c>
      <c r="AQ652" t="s">
        <v>2939</v>
      </c>
      <c r="AR652" t="s">
        <v>901</v>
      </c>
      <c r="AS652" t="s">
        <v>3098</v>
      </c>
      <c r="AT652" t="s">
        <v>737</v>
      </c>
      <c r="AV652" t="s">
        <v>738</v>
      </c>
      <c r="AX652" t="s">
        <v>3098</v>
      </c>
      <c r="AY652" t="s">
        <v>901</v>
      </c>
      <c r="AZ652">
        <v>0.8</v>
      </c>
      <c r="BA652" t="s">
        <v>46</v>
      </c>
      <c r="BB652" t="s">
        <v>19</v>
      </c>
      <c r="BC652">
        <v>31</v>
      </c>
      <c r="BD652" s="34">
        <v>46207</v>
      </c>
      <c r="BG652" t="s">
        <v>724</v>
      </c>
      <c r="BI652">
        <v>418</v>
      </c>
      <c r="BJ652">
        <v>54</v>
      </c>
      <c r="BK652" s="466"/>
    </row>
    <row r="653" spans="1:63" hidden="1" x14ac:dyDescent="0.25">
      <c r="A653" s="40"/>
      <c r="B653" s="41"/>
      <c r="C653" s="121">
        <f>Таблица3[[#This Row],[Степень зрелости вспом]]</f>
        <v>59</v>
      </c>
      <c r="D653" s="42">
        <v>815</v>
      </c>
      <c r="E653" s="147"/>
      <c r="F653" s="41"/>
      <c r="G653" s="41">
        <v>14430</v>
      </c>
      <c r="H653" s="69"/>
      <c r="I653" s="41">
        <v>13203.5</v>
      </c>
      <c r="J653" s="40" t="s">
        <v>3375</v>
      </c>
      <c r="K653" s="40" t="s">
        <v>900</v>
      </c>
      <c r="L653" s="40" t="s">
        <v>3108</v>
      </c>
      <c r="M653" s="40" t="s">
        <v>212</v>
      </c>
      <c r="N653" s="40"/>
      <c r="O653" s="40"/>
      <c r="P653" s="40"/>
      <c r="Q653" s="40"/>
      <c r="R653" s="40" t="s">
        <v>2965</v>
      </c>
      <c r="S653" s="40"/>
      <c r="T653" s="70" t="str">
        <f>VLOOKUP(Таблица3[[#This Row],[№ акта]],$AJ$1:$BJ$691,15,FALSE)</f>
        <v>А-108/7</v>
      </c>
      <c r="U653" s="70" t="str">
        <f>VLOOKUP(Таблица3[[#This Row],[№ акта]],$AJ$1:$BJ$691,16,FALSE)</f>
        <v>Патриот</v>
      </c>
      <c r="V653" s="45">
        <f>VLOOKUP(Таблица3[[#This Row],[№ акта]],$AJ$1:$BJ$691,17,FALSE)</f>
        <v>4.2</v>
      </c>
      <c r="W653" s="44" t="str">
        <f>VLOOKUP(Таблица3[[#This Row],[№ акта]],$AJ$1:$BJ$691,18,FALSE)</f>
        <v>ГРК (полив)</v>
      </c>
      <c r="X653" s="45" t="s">
        <v>178</v>
      </c>
      <c r="Y653" s="485">
        <f>VLOOKUP(Таблица3[[#This Row],[№ акта]],$AJ$1:$BJ$691,20,FALSE)</f>
        <v>31</v>
      </c>
      <c r="Z653" s="103">
        <f>VLOOKUP(Таблица3[[#This Row],[№ акта]],$AJ$1:$BJ$691,21,FALSE)</f>
        <v>46207</v>
      </c>
      <c r="AA653" s="45"/>
      <c r="AB653" s="43" t="s">
        <v>4038</v>
      </c>
      <c r="AC653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53" s="360" t="s">
        <v>2940</v>
      </c>
      <c r="AE653" s="40">
        <v>679</v>
      </c>
      <c r="AF653" s="103">
        <v>46208</v>
      </c>
      <c r="AG653" s="40">
        <v>432</v>
      </c>
      <c r="AH653" s="40">
        <f>IFERROR(VLOOKUP(Таблица3[[#This Row],[№ акта]],'Степень зрелости 2026'!$H$12:$I$800,2,FALSE),)</f>
        <v>59</v>
      </c>
      <c r="AJ653">
        <v>663</v>
      </c>
      <c r="AK653" s="34">
        <v>46207</v>
      </c>
      <c r="AL653">
        <v>799</v>
      </c>
      <c r="AO653">
        <v>7390</v>
      </c>
      <c r="AP653">
        <v>6577.1</v>
      </c>
      <c r="AQ653" t="s">
        <v>3645</v>
      </c>
      <c r="AR653" t="s">
        <v>897</v>
      </c>
      <c r="AS653" t="s">
        <v>3123</v>
      </c>
      <c r="AT653" t="s">
        <v>3377</v>
      </c>
      <c r="AV653" t="s">
        <v>3196</v>
      </c>
      <c r="AX653" t="s">
        <v>3123</v>
      </c>
      <c r="AY653" t="s">
        <v>901</v>
      </c>
      <c r="AZ653">
        <v>1.4</v>
      </c>
      <c r="BA653" t="s">
        <v>53</v>
      </c>
      <c r="BB653" t="s">
        <v>178</v>
      </c>
      <c r="BC653">
        <v>31</v>
      </c>
      <c r="BD653" s="34">
        <v>46207</v>
      </c>
      <c r="BG653" t="s">
        <v>724</v>
      </c>
      <c r="BI653">
        <v>103</v>
      </c>
      <c r="BJ653">
        <v>56</v>
      </c>
      <c r="BK653" s="466"/>
    </row>
    <row r="654" spans="1:63" ht="22.5" hidden="1" x14ac:dyDescent="0.25">
      <c r="A654" s="40"/>
      <c r="B654" s="41"/>
      <c r="C654" s="121">
        <f>Таблица3[[#This Row],[Степень зрелости вспом]]</f>
        <v>60</v>
      </c>
      <c r="D654" s="42">
        <v>816</v>
      </c>
      <c r="E654" s="147"/>
      <c r="F654" s="41"/>
      <c r="G654" s="41">
        <v>12930</v>
      </c>
      <c r="H654" s="69"/>
      <c r="I654" s="41">
        <v>11572.4</v>
      </c>
      <c r="J654" s="40" t="s">
        <v>3645</v>
      </c>
      <c r="K654" s="40" t="s">
        <v>897</v>
      </c>
      <c r="L654" s="40" t="s">
        <v>3123</v>
      </c>
      <c r="M654" s="40" t="s">
        <v>239</v>
      </c>
      <c r="N654" s="40"/>
      <c r="O654" s="40"/>
      <c r="P654" s="40"/>
      <c r="Q654" s="40"/>
      <c r="R654" s="40" t="s">
        <v>243</v>
      </c>
      <c r="S654" s="40"/>
      <c r="T654" s="70" t="s">
        <v>3123</v>
      </c>
      <c r="U654" s="70" t="str">
        <f>VLOOKUP(Таблица3[[#This Row],[№ акта]],$AJ$1:$BJ$691,16,FALSE)</f>
        <v>Фаворит</v>
      </c>
      <c r="V654" s="44">
        <f>56.1*Таблица3[[#This Row],[Регистратор.Вес нетто]]/299630</f>
        <v>2.4208957714514567</v>
      </c>
      <c r="W654" s="44" t="str">
        <f>VLOOKUP(Таблица3[[#This Row],[№ акта]],$AJ$1:$BJ$691,18,FALSE)</f>
        <v>Колос (полив)</v>
      </c>
      <c r="X654" s="45" t="s">
        <v>178</v>
      </c>
      <c r="Y654" s="485">
        <f>VLOOKUP(Таблица3[[#This Row],[№ акта]],$AJ$1:$BJ$691,20,FALSE)</f>
        <v>31</v>
      </c>
      <c r="Z654" s="103">
        <f>VLOOKUP(Таблица3[[#This Row],[№ акта]],$AJ$1:$BJ$691,21,FALSE)</f>
        <v>46207</v>
      </c>
      <c r="AA654" s="45"/>
      <c r="AB654" s="43" t="s">
        <v>4038</v>
      </c>
      <c r="AC654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54" s="360" t="s">
        <v>2940</v>
      </c>
      <c r="AE654" s="40">
        <v>680</v>
      </c>
      <c r="AF654" s="103">
        <v>46208</v>
      </c>
      <c r="AG654" s="40">
        <v>107</v>
      </c>
      <c r="AH654" s="40">
        <f>IFERROR(VLOOKUP(Таблица3[[#This Row],[№ акта]],'Степень зрелости 2026'!$H$12:$I$800,2,FALSE),)</f>
        <v>60</v>
      </c>
      <c r="AJ654">
        <v>664</v>
      </c>
      <c r="AK654" s="34">
        <v>46207</v>
      </c>
      <c r="AL654">
        <v>800</v>
      </c>
      <c r="AO654">
        <v>12810</v>
      </c>
      <c r="AP654">
        <v>10952.6</v>
      </c>
      <c r="AQ654" t="s">
        <v>2939</v>
      </c>
      <c r="AR654" t="s">
        <v>901</v>
      </c>
      <c r="AS654" t="s">
        <v>3098</v>
      </c>
      <c r="AT654" t="s">
        <v>212</v>
      </c>
      <c r="AV654" t="s">
        <v>2965</v>
      </c>
      <c r="AX654" t="s">
        <v>3098</v>
      </c>
      <c r="AY654" t="s">
        <v>901</v>
      </c>
      <c r="AZ654">
        <v>2.5</v>
      </c>
      <c r="BA654" t="s">
        <v>46</v>
      </c>
      <c r="BB654" t="s">
        <v>19</v>
      </c>
      <c r="BC654">
        <v>31</v>
      </c>
      <c r="BD654" s="34">
        <v>46207</v>
      </c>
      <c r="BG654" t="s">
        <v>724</v>
      </c>
      <c r="BI654">
        <v>419</v>
      </c>
      <c r="BJ654">
        <v>58</v>
      </c>
      <c r="BK654" s="466"/>
    </row>
    <row r="655" spans="1:63" ht="22.5" hidden="1" x14ac:dyDescent="0.25">
      <c r="A655" s="40"/>
      <c r="B655" s="41"/>
      <c r="C655" s="121">
        <f>Таблица3[[#This Row],[Степень зрелости вспом]]</f>
        <v>68</v>
      </c>
      <c r="D655" s="42">
        <v>818</v>
      </c>
      <c r="E655" s="147"/>
      <c r="F655" s="41"/>
      <c r="G655" s="41">
        <v>13060</v>
      </c>
      <c r="H655" s="69"/>
      <c r="I655" s="41">
        <v>12472.3</v>
      </c>
      <c r="J655" s="40" t="s">
        <v>3645</v>
      </c>
      <c r="K655" s="40" t="s">
        <v>897</v>
      </c>
      <c r="L655" s="40" t="s">
        <v>3123</v>
      </c>
      <c r="M655" s="40" t="s">
        <v>3853</v>
      </c>
      <c r="N655" s="40"/>
      <c r="O655" s="40"/>
      <c r="P655" s="40"/>
      <c r="Q655" s="40"/>
      <c r="R655" s="40" t="s">
        <v>3854</v>
      </c>
      <c r="S655" s="40"/>
      <c r="T655" s="70" t="s">
        <v>3123</v>
      </c>
      <c r="U655" s="70" t="str">
        <f>VLOOKUP(Таблица3[[#This Row],[№ акта]],$AJ$1:$BJ$691,16,FALSE)</f>
        <v>Фаворит</v>
      </c>
      <c r="V655" s="44">
        <f>56.1*Таблица3[[#This Row],[Регистратор.Вес нетто]]/299630</f>
        <v>2.4452357908086642</v>
      </c>
      <c r="W655" s="44" t="str">
        <f>VLOOKUP(Таблица3[[#This Row],[№ акта]],$AJ$1:$BJ$691,18,FALSE)</f>
        <v>Колос (полив)</v>
      </c>
      <c r="X655" s="45" t="s">
        <v>178</v>
      </c>
      <c r="Y655" s="485">
        <f>VLOOKUP(Таблица3[[#This Row],[№ акта]],$AJ$1:$BJ$691,20,FALSE)</f>
        <v>31</v>
      </c>
      <c r="Z655" s="103">
        <f>VLOOKUP(Таблица3[[#This Row],[№ акта]],$AJ$1:$BJ$691,21,FALSE)</f>
        <v>46207</v>
      </c>
      <c r="AA655" s="45"/>
      <c r="AB655" s="43" t="s">
        <v>4038</v>
      </c>
      <c r="AC655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55" s="360" t="s">
        <v>3230</v>
      </c>
      <c r="AE655" s="40">
        <v>681</v>
      </c>
      <c r="AF655" s="103">
        <v>46208</v>
      </c>
      <c r="AG655" s="40">
        <v>108</v>
      </c>
      <c r="AH655" s="40">
        <f>IFERROR(VLOOKUP(Таблица3[[#This Row],[№ акта]],'Степень зрелости 2026'!$H$12:$I$800,2,FALSE),)</f>
        <v>68</v>
      </c>
      <c r="AJ655">
        <v>665</v>
      </c>
      <c r="AK655" s="34">
        <v>46207</v>
      </c>
      <c r="AL655">
        <v>801</v>
      </c>
      <c r="AO655">
        <v>12920</v>
      </c>
      <c r="AP655">
        <v>10271.4</v>
      </c>
      <c r="AQ655" t="s">
        <v>2939</v>
      </c>
      <c r="AR655" t="s">
        <v>901</v>
      </c>
      <c r="AS655" t="s">
        <v>3098</v>
      </c>
      <c r="AT655" t="s">
        <v>2967</v>
      </c>
      <c r="AV655" t="s">
        <v>1810</v>
      </c>
      <c r="AX655" t="s">
        <v>3098</v>
      </c>
      <c r="AY655" t="s">
        <v>901</v>
      </c>
      <c r="AZ655">
        <v>2.5</v>
      </c>
      <c r="BA655" t="s">
        <v>46</v>
      </c>
      <c r="BB655" t="s">
        <v>19</v>
      </c>
      <c r="BC655">
        <v>31</v>
      </c>
      <c r="BD655" s="34">
        <v>46207</v>
      </c>
      <c r="BG655" t="s">
        <v>724</v>
      </c>
      <c r="BI655">
        <v>420</v>
      </c>
      <c r="BJ655">
        <v>62</v>
      </c>
      <c r="BK655" s="466"/>
    </row>
    <row r="656" spans="1:63" hidden="1" x14ac:dyDescent="0.25">
      <c r="A656" s="40"/>
      <c r="B656" s="41"/>
      <c r="C656" s="121">
        <f>Таблица3[[#This Row],[Степень зрелости вспом]]</f>
        <v>64</v>
      </c>
      <c r="D656" s="42">
        <v>819</v>
      </c>
      <c r="E656" s="147"/>
      <c r="F656" s="41"/>
      <c r="G656" s="41">
        <v>13190</v>
      </c>
      <c r="H656" s="69"/>
      <c r="I656" s="41">
        <v>11211.5</v>
      </c>
      <c r="J656" s="40" t="s">
        <v>3375</v>
      </c>
      <c r="K656" s="40" t="s">
        <v>900</v>
      </c>
      <c r="L656" s="40" t="s">
        <v>3108</v>
      </c>
      <c r="M656" s="40" t="s">
        <v>894</v>
      </c>
      <c r="N656" s="40"/>
      <c r="O656" s="40"/>
      <c r="P656" s="40"/>
      <c r="Q656" s="40"/>
      <c r="R656" s="40" t="s">
        <v>895</v>
      </c>
      <c r="S656" s="40"/>
      <c r="T656" s="70" t="str">
        <f>VLOOKUP(Таблица3[[#This Row],[№ акта]],$AJ$1:$BJ$691,15,FALSE)</f>
        <v>А-108/7</v>
      </c>
      <c r="U656" s="70" t="str">
        <f>VLOOKUP(Таблица3[[#This Row],[№ акта]],$AJ$1:$BJ$691,16,FALSE)</f>
        <v>Патриот</v>
      </c>
      <c r="V656" s="45">
        <f>VLOOKUP(Таблица3[[#This Row],[№ акта]],$AJ$1:$BJ$691,17,FALSE)</f>
        <v>4.2</v>
      </c>
      <c r="W656" s="44" t="str">
        <f>VLOOKUP(Таблица3[[#This Row],[№ акта]],$AJ$1:$BJ$691,18,FALSE)</f>
        <v>ГРК (полив)</v>
      </c>
      <c r="X656" s="45" t="s">
        <v>178</v>
      </c>
      <c r="Y656" s="485">
        <f>VLOOKUP(Таблица3[[#This Row],[№ акта]],$AJ$1:$BJ$691,20,FALSE)</f>
        <v>32</v>
      </c>
      <c r="Z656" s="103">
        <f>VLOOKUP(Таблица3[[#This Row],[№ акта]],$AJ$1:$BJ$691,21,FALSE)</f>
        <v>46208</v>
      </c>
      <c r="AA656" s="45"/>
      <c r="AB656" s="43" t="s">
        <v>4038</v>
      </c>
      <c r="AC656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56" s="360" t="s">
        <v>3230</v>
      </c>
      <c r="AE656" s="40">
        <v>682</v>
      </c>
      <c r="AF656" s="103">
        <v>46208</v>
      </c>
      <c r="AG656" s="40">
        <v>433</v>
      </c>
      <c r="AH656" s="40">
        <f>IFERROR(VLOOKUP(Таблица3[[#This Row],[№ акта]],'Степень зрелости 2026'!$H$12:$I$800,2,FALSE),)</f>
        <v>64</v>
      </c>
      <c r="AJ656">
        <v>666</v>
      </c>
      <c r="AK656" s="34">
        <v>46207</v>
      </c>
      <c r="AL656">
        <v>802</v>
      </c>
      <c r="AO656">
        <v>4170</v>
      </c>
      <c r="AP656">
        <v>3899</v>
      </c>
      <c r="AQ656" t="s">
        <v>2939</v>
      </c>
      <c r="AR656" t="s">
        <v>901</v>
      </c>
      <c r="AS656" t="s">
        <v>3098</v>
      </c>
      <c r="AT656" t="s">
        <v>737</v>
      </c>
      <c r="AV656" t="s">
        <v>738</v>
      </c>
      <c r="AX656" t="s">
        <v>3098</v>
      </c>
      <c r="AY656" t="s">
        <v>901</v>
      </c>
      <c r="AZ656">
        <v>0.8</v>
      </c>
      <c r="BA656" t="s">
        <v>46</v>
      </c>
      <c r="BB656" t="s">
        <v>19</v>
      </c>
      <c r="BC656">
        <v>31</v>
      </c>
      <c r="BD656" s="34">
        <v>46207</v>
      </c>
      <c r="BG656" t="s">
        <v>3559</v>
      </c>
      <c r="BI656">
        <v>421</v>
      </c>
      <c r="BJ656">
        <v>64</v>
      </c>
      <c r="BK656" s="466"/>
    </row>
    <row r="657" spans="1:63" ht="17.25" hidden="1" customHeight="1" x14ac:dyDescent="0.25">
      <c r="A657" s="40"/>
      <c r="B657" s="41"/>
      <c r="C657" s="121">
        <f>Таблица3[[#This Row],[Степень зрелости вспом]]</f>
        <v>59</v>
      </c>
      <c r="D657" s="42">
        <v>821</v>
      </c>
      <c r="E657" s="147"/>
      <c r="F657" s="41"/>
      <c r="G657" s="41">
        <v>12920</v>
      </c>
      <c r="H657" s="69"/>
      <c r="I657" s="41">
        <v>12080.2</v>
      </c>
      <c r="J657" s="40" t="s">
        <v>3645</v>
      </c>
      <c r="K657" s="40" t="s">
        <v>897</v>
      </c>
      <c r="L657" s="40" t="s">
        <v>3123</v>
      </c>
      <c r="M657" s="40" t="s">
        <v>3554</v>
      </c>
      <c r="N657" s="40"/>
      <c r="O657" s="40"/>
      <c r="P657" s="40"/>
      <c r="Q657" s="40"/>
      <c r="R657" s="40" t="s">
        <v>3555</v>
      </c>
      <c r="S657" s="40"/>
      <c r="T657" s="70" t="s">
        <v>3123</v>
      </c>
      <c r="U657" s="70" t="str">
        <f>VLOOKUP(Таблица3[[#This Row],[№ акта]],$AJ$1:$BJ$691,16,FALSE)</f>
        <v>Фаворит</v>
      </c>
      <c r="V657" s="44">
        <f>56.1*Таблица3[[#This Row],[Регистратор.Вес нетто]]/299630</f>
        <v>2.419023462270133</v>
      </c>
      <c r="W657" s="44" t="str">
        <f>VLOOKUP(Таблица3[[#This Row],[№ акта]],$AJ$1:$BJ$691,18,FALSE)</f>
        <v>Колос (полив)</v>
      </c>
      <c r="X657" s="45" t="s">
        <v>178</v>
      </c>
      <c r="Y657" s="485">
        <f>VLOOKUP(Таблица3[[#This Row],[№ акта]],$AJ$1:$BJ$691,20,FALSE)</f>
        <v>32</v>
      </c>
      <c r="Z657" s="103">
        <f>VLOOKUP(Таблица3[[#This Row],[№ акта]],$AJ$1:$BJ$691,21,FALSE)</f>
        <v>46208</v>
      </c>
      <c r="AA657" s="45"/>
      <c r="AB657" s="43" t="s">
        <v>4038</v>
      </c>
      <c r="AC657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57" s="360" t="s">
        <v>2940</v>
      </c>
      <c r="AE657" s="40">
        <v>683</v>
      </c>
      <c r="AF657" s="103">
        <v>46208</v>
      </c>
      <c r="AG657" s="40">
        <v>109</v>
      </c>
      <c r="AH657" s="40">
        <f>IFERROR(VLOOKUP(Таблица3[[#This Row],[№ акта]],'Степень зрелости 2026'!$H$12:$I$800,2,FALSE),)</f>
        <v>59</v>
      </c>
      <c r="AJ657">
        <v>671</v>
      </c>
      <c r="AK657" s="34">
        <v>46207</v>
      </c>
      <c r="AL657">
        <v>806</v>
      </c>
      <c r="AO657">
        <v>13120</v>
      </c>
      <c r="AP657">
        <v>11611.2</v>
      </c>
      <c r="AQ657" t="s">
        <v>2939</v>
      </c>
      <c r="AR657" t="s">
        <v>901</v>
      </c>
      <c r="AS657" t="s">
        <v>3098</v>
      </c>
      <c r="AT657" t="s">
        <v>2967</v>
      </c>
      <c r="AV657" t="s">
        <v>1810</v>
      </c>
      <c r="AX657" t="s">
        <v>3098</v>
      </c>
      <c r="AY657" t="s">
        <v>901</v>
      </c>
      <c r="AZ657">
        <v>2.5</v>
      </c>
      <c r="BA657" t="s">
        <v>46</v>
      </c>
      <c r="BB657" t="s">
        <v>19</v>
      </c>
      <c r="BC657">
        <v>31</v>
      </c>
      <c r="BD657" s="34">
        <v>46207</v>
      </c>
      <c r="BG657" t="s">
        <v>724</v>
      </c>
      <c r="BI657">
        <v>424</v>
      </c>
      <c r="BJ657">
        <v>59</v>
      </c>
      <c r="BK657" s="466"/>
    </row>
    <row r="658" spans="1:63" hidden="1" x14ac:dyDescent="0.25">
      <c r="A658" s="40"/>
      <c r="B658" s="41"/>
      <c r="C658" s="121">
        <f>Таблица3[[#This Row],[Степень зрелости вспом]]</f>
        <v>58</v>
      </c>
      <c r="D658" s="42">
        <v>822</v>
      </c>
      <c r="E658" s="147"/>
      <c r="F658" s="41"/>
      <c r="G658" s="41">
        <v>13410</v>
      </c>
      <c r="H658" s="69"/>
      <c r="I658" s="41">
        <v>11532.6</v>
      </c>
      <c r="J658" s="40" t="s">
        <v>3375</v>
      </c>
      <c r="K658" s="40" t="s">
        <v>900</v>
      </c>
      <c r="L658" s="40" t="s">
        <v>3108</v>
      </c>
      <c r="M658" s="40" t="s">
        <v>1312</v>
      </c>
      <c r="N658" s="40"/>
      <c r="O658" s="40"/>
      <c r="P658" s="40"/>
      <c r="Q658" s="40"/>
      <c r="R658" s="40" t="s">
        <v>320</v>
      </c>
      <c r="S658" s="40"/>
      <c r="T658" s="70" t="str">
        <f>VLOOKUP(Таблица3[[#This Row],[№ акта]],$AJ$1:$BJ$691,15,FALSE)</f>
        <v>А-108/7</v>
      </c>
      <c r="U658" s="70" t="str">
        <f>VLOOKUP(Таблица3[[#This Row],[№ акта]],$AJ$1:$BJ$691,16,FALSE)</f>
        <v>Патриот</v>
      </c>
      <c r="V658" s="45">
        <f>VLOOKUP(Таблица3[[#This Row],[№ акта]],$AJ$1:$BJ$691,17,FALSE)</f>
        <v>4.3</v>
      </c>
      <c r="W658" s="44" t="str">
        <f>VLOOKUP(Таблица3[[#This Row],[№ акта]],$AJ$1:$BJ$691,18,FALSE)</f>
        <v>ГРК (полив)</v>
      </c>
      <c r="X658" s="45" t="s">
        <v>178</v>
      </c>
      <c r="Y658" s="485">
        <f>VLOOKUP(Таблица3[[#This Row],[№ акта]],$AJ$1:$BJ$691,20,FALSE)</f>
        <v>32</v>
      </c>
      <c r="Z658" s="103">
        <f>VLOOKUP(Таблица3[[#This Row],[№ акта]],$AJ$1:$BJ$691,21,FALSE)</f>
        <v>46208</v>
      </c>
      <c r="AA658" s="45"/>
      <c r="AB658" s="43" t="s">
        <v>4038</v>
      </c>
      <c r="AC658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58" s="360" t="s">
        <v>2940</v>
      </c>
      <c r="AE658" s="40">
        <v>684</v>
      </c>
      <c r="AF658" s="103">
        <v>46208</v>
      </c>
      <c r="AG658" s="40">
        <v>434</v>
      </c>
      <c r="AH658" s="40">
        <f>IFERROR(VLOOKUP(Таблица3[[#This Row],[№ акта]],'Степень зрелости 2026'!$H$12:$I$800,2,FALSE),)</f>
        <v>58</v>
      </c>
      <c r="AJ658">
        <v>668</v>
      </c>
      <c r="AK658" s="34">
        <v>46207</v>
      </c>
      <c r="AL658">
        <v>804</v>
      </c>
      <c r="AO658">
        <v>3060</v>
      </c>
      <c r="AP658">
        <v>2845.8</v>
      </c>
      <c r="AQ658" t="s">
        <v>3645</v>
      </c>
      <c r="AR658" t="s">
        <v>897</v>
      </c>
      <c r="AS658" t="s">
        <v>3123</v>
      </c>
      <c r="AT658" t="s">
        <v>1461</v>
      </c>
      <c r="AV658" t="s">
        <v>149</v>
      </c>
      <c r="AX658" t="s">
        <v>3123</v>
      </c>
      <c r="AY658" t="s">
        <v>901</v>
      </c>
      <c r="AZ658">
        <v>0.6</v>
      </c>
      <c r="BA658" t="s">
        <v>53</v>
      </c>
      <c r="BB658" t="s">
        <v>178</v>
      </c>
      <c r="BC658">
        <v>31</v>
      </c>
      <c r="BD658" s="34">
        <v>46207</v>
      </c>
      <c r="BG658" t="s">
        <v>724</v>
      </c>
      <c r="BI658">
        <v>104</v>
      </c>
      <c r="BJ658">
        <v>61</v>
      </c>
      <c r="BK658" s="466"/>
    </row>
    <row r="659" spans="1:63" hidden="1" x14ac:dyDescent="0.25">
      <c r="A659" s="40"/>
      <c r="B659" s="41"/>
      <c r="C659" s="121">
        <f>Таблица3[[#This Row],[Степень зрелости вспом]]</f>
        <v>61</v>
      </c>
      <c r="D659" s="42">
        <v>823</v>
      </c>
      <c r="E659" s="147"/>
      <c r="F659" s="41"/>
      <c r="G659" s="41">
        <v>4640</v>
      </c>
      <c r="H659" s="69"/>
      <c r="I659" s="41">
        <v>4222.3999999999996</v>
      </c>
      <c r="J659" s="40" t="s">
        <v>3375</v>
      </c>
      <c r="K659" s="40" t="s">
        <v>900</v>
      </c>
      <c r="L659" s="40" t="s">
        <v>3108</v>
      </c>
      <c r="M659" s="40" t="s">
        <v>762</v>
      </c>
      <c r="N659" s="40"/>
      <c r="O659" s="40"/>
      <c r="P659" s="40"/>
      <c r="Q659" s="40"/>
      <c r="R659" s="40" t="s">
        <v>763</v>
      </c>
      <c r="S659" s="40"/>
      <c r="T659" s="70" t="str">
        <f>VLOOKUP(Таблица3[[#This Row],[№ акта]],$AJ$1:$BJ$691,15,FALSE)</f>
        <v>А-108/7</v>
      </c>
      <c r="U659" s="70" t="str">
        <f>VLOOKUP(Таблица3[[#This Row],[№ акта]],$AJ$1:$BJ$691,16,FALSE)</f>
        <v>Патриот</v>
      </c>
      <c r="V659" s="45">
        <f>VLOOKUP(Таблица3[[#This Row],[№ акта]],$AJ$1:$BJ$691,17,FALSE)</f>
        <v>1.5</v>
      </c>
      <c r="W659" s="44" t="str">
        <f>VLOOKUP(Таблица3[[#This Row],[№ акта]],$AJ$1:$BJ$691,18,FALSE)</f>
        <v>ГРК (полив)</v>
      </c>
      <c r="X659" s="45" t="s">
        <v>178</v>
      </c>
      <c r="Y659" s="485">
        <f>VLOOKUP(Таблица3[[#This Row],[№ акта]],$AJ$1:$BJ$691,20,FALSE)</f>
        <v>32</v>
      </c>
      <c r="Z659" s="103">
        <f>VLOOKUP(Таблица3[[#This Row],[№ акта]],$AJ$1:$BJ$691,21,FALSE)</f>
        <v>46208</v>
      </c>
      <c r="AA659" s="45"/>
      <c r="AB659" s="43" t="s">
        <v>4038</v>
      </c>
      <c r="AC659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59" s="360" t="s">
        <v>2940</v>
      </c>
      <c r="AE659" s="40">
        <v>685</v>
      </c>
      <c r="AF659" s="103">
        <v>46208</v>
      </c>
      <c r="AG659" s="40">
        <v>435</v>
      </c>
      <c r="AH659" s="40">
        <f>IFERROR(VLOOKUP(Таблица3[[#This Row],[№ акта]],'Степень зрелости 2026'!$H$12:$I$800,2,FALSE),)</f>
        <v>61</v>
      </c>
      <c r="AJ659">
        <v>670</v>
      </c>
      <c r="AK659" s="34">
        <v>46207</v>
      </c>
      <c r="AL659">
        <v>807</v>
      </c>
      <c r="AO659">
        <v>4390</v>
      </c>
      <c r="AP659">
        <v>3841.3</v>
      </c>
      <c r="AQ659" t="s">
        <v>2939</v>
      </c>
      <c r="AR659" t="s">
        <v>901</v>
      </c>
      <c r="AS659" t="s">
        <v>3098</v>
      </c>
      <c r="AT659" t="s">
        <v>737</v>
      </c>
      <c r="AV659" t="s">
        <v>738</v>
      </c>
      <c r="AX659" t="s">
        <v>3098</v>
      </c>
      <c r="AY659" t="s">
        <v>901</v>
      </c>
      <c r="AZ659">
        <v>0.8</v>
      </c>
      <c r="BA659" t="s">
        <v>46</v>
      </c>
      <c r="BB659" t="s">
        <v>19</v>
      </c>
      <c r="BC659">
        <v>31</v>
      </c>
      <c r="BD659" s="34">
        <v>46207</v>
      </c>
      <c r="BG659" t="s">
        <v>724</v>
      </c>
      <c r="BI659">
        <v>425</v>
      </c>
      <c r="BJ659">
        <v>60</v>
      </c>
      <c r="BK659" s="466"/>
    </row>
    <row r="660" spans="1:63" ht="22.5" hidden="1" x14ac:dyDescent="0.25">
      <c r="A660" s="40"/>
      <c r="B660" s="41"/>
      <c r="C660" s="121">
        <f>Таблица3[[#This Row],[Степень зрелости вспом]]</f>
        <v>59</v>
      </c>
      <c r="D660" s="42">
        <v>824</v>
      </c>
      <c r="E660" s="147"/>
      <c r="F660" s="41"/>
      <c r="G660" s="41">
        <v>13520</v>
      </c>
      <c r="H660" s="69"/>
      <c r="I660" s="41">
        <v>12506</v>
      </c>
      <c r="J660" s="40" t="s">
        <v>3645</v>
      </c>
      <c r="K660" s="40" t="s">
        <v>897</v>
      </c>
      <c r="L660" s="40" t="s">
        <v>3123</v>
      </c>
      <c r="M660" s="40" t="s">
        <v>1151</v>
      </c>
      <c r="N660" s="40"/>
      <c r="O660" s="40"/>
      <c r="P660" s="40"/>
      <c r="Q660" s="40"/>
      <c r="R660" s="40" t="s">
        <v>145</v>
      </c>
      <c r="S660" s="40"/>
      <c r="T660" s="70" t="s">
        <v>3123</v>
      </c>
      <c r="U660" s="70" t="str">
        <f>VLOOKUP(Таблица3[[#This Row],[№ акта]],$AJ$1:$BJ$691,16,FALSE)</f>
        <v>Фаворит</v>
      </c>
      <c r="V660" s="44">
        <f>56.1*Таблица3[[#This Row],[Регистратор.Вес нетто]]/299630</f>
        <v>2.5313620131495509</v>
      </c>
      <c r="W660" s="44" t="str">
        <f>VLOOKUP(Таблица3[[#This Row],[№ акта]],$AJ$1:$BJ$691,18,FALSE)</f>
        <v>Колос (полив)</v>
      </c>
      <c r="X660" s="45" t="s">
        <v>178</v>
      </c>
      <c r="Y660" s="485">
        <f>VLOOKUP(Таблица3[[#This Row],[№ акта]],$AJ$1:$BJ$691,20,FALSE)</f>
        <v>32</v>
      </c>
      <c r="Z660" s="103">
        <f>VLOOKUP(Таблица3[[#This Row],[№ акта]],$AJ$1:$BJ$691,21,FALSE)</f>
        <v>46208</v>
      </c>
      <c r="AA660" s="45"/>
      <c r="AB660" s="43" t="s">
        <v>4038</v>
      </c>
      <c r="AC660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60" s="360" t="s">
        <v>2940</v>
      </c>
      <c r="AE660" s="40">
        <v>686</v>
      </c>
      <c r="AF660" s="103">
        <v>46208</v>
      </c>
      <c r="AG660" s="40">
        <v>110</v>
      </c>
      <c r="AH660" s="40">
        <f>IFERROR(VLOOKUP(Таблица3[[#This Row],[№ акта]],'Степень зрелости 2026'!$H$12:$I$800,2,FALSE),)</f>
        <v>59</v>
      </c>
      <c r="AJ660">
        <v>667</v>
      </c>
      <c r="AK660" s="34">
        <v>46207</v>
      </c>
      <c r="AL660">
        <v>803</v>
      </c>
      <c r="AO660">
        <v>13150</v>
      </c>
      <c r="AP660">
        <v>11900.8</v>
      </c>
      <c r="AQ660" t="s">
        <v>2939</v>
      </c>
      <c r="AR660" t="s">
        <v>901</v>
      </c>
      <c r="AS660" t="s">
        <v>3098</v>
      </c>
      <c r="AT660" t="s">
        <v>3377</v>
      </c>
      <c r="AV660" t="s">
        <v>3196</v>
      </c>
      <c r="AX660" t="s">
        <v>3098</v>
      </c>
      <c r="AY660" t="s">
        <v>901</v>
      </c>
      <c r="AZ660">
        <v>2.5</v>
      </c>
      <c r="BA660" t="s">
        <v>46</v>
      </c>
      <c r="BB660" t="s">
        <v>19</v>
      </c>
      <c r="BC660">
        <v>31</v>
      </c>
      <c r="BD660" s="34">
        <v>46207</v>
      </c>
      <c r="BG660" t="s">
        <v>724</v>
      </c>
      <c r="BI660">
        <v>422</v>
      </c>
      <c r="BJ660">
        <v>59</v>
      </c>
      <c r="BK660" s="466"/>
    </row>
    <row r="661" spans="1:63" ht="22.5" hidden="1" x14ac:dyDescent="0.25">
      <c r="A661" s="40"/>
      <c r="B661" s="41"/>
      <c r="C661" s="121">
        <f>Таблица3[[#This Row],[Степень зрелости вспом]]</f>
        <v>59</v>
      </c>
      <c r="D661" s="42">
        <v>826</v>
      </c>
      <c r="E661" s="147"/>
      <c r="F661" s="41"/>
      <c r="G661" s="41">
        <v>13450</v>
      </c>
      <c r="H661" s="69"/>
      <c r="I661" s="41">
        <v>12306.8</v>
      </c>
      <c r="J661" s="40" t="s">
        <v>3645</v>
      </c>
      <c r="K661" s="40" t="s">
        <v>897</v>
      </c>
      <c r="L661" s="40" t="s">
        <v>3123</v>
      </c>
      <c r="M661" s="40" t="s">
        <v>3892</v>
      </c>
      <c r="N661" s="40"/>
      <c r="O661" s="40"/>
      <c r="P661" s="40"/>
      <c r="Q661" s="40"/>
      <c r="R661" s="40" t="s">
        <v>1368</v>
      </c>
      <c r="S661" s="40"/>
      <c r="T661" s="70" t="s">
        <v>3123</v>
      </c>
      <c r="U661" s="70" t="str">
        <f>VLOOKUP(Таблица3[[#This Row],[№ акта]],$AJ$1:$BJ$691,16,FALSE)</f>
        <v>Фаворит</v>
      </c>
      <c r="V661" s="44">
        <f>56.1*Таблица3[[#This Row],[Регистратор.Вес нетто]]/299630</f>
        <v>2.5182558488802855</v>
      </c>
      <c r="W661" s="44" t="str">
        <f>VLOOKUP(Таблица3[[#This Row],[№ акта]],$AJ$1:$BJ$691,18,FALSE)</f>
        <v>Колос (полив)</v>
      </c>
      <c r="X661" s="45" t="s">
        <v>178</v>
      </c>
      <c r="Y661" s="485">
        <f>VLOOKUP(Таблица3[[#This Row],[№ акта]],$AJ$1:$BJ$691,20,FALSE)</f>
        <v>32</v>
      </c>
      <c r="Z661" s="103">
        <f>VLOOKUP(Таблица3[[#This Row],[№ акта]],$AJ$1:$BJ$691,21,FALSE)</f>
        <v>46208</v>
      </c>
      <c r="AA661" s="45"/>
      <c r="AB661" s="43" t="s">
        <v>4038</v>
      </c>
      <c r="AC661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61" s="360" t="s">
        <v>2940</v>
      </c>
      <c r="AE661" s="40">
        <v>687</v>
      </c>
      <c r="AF661" s="103">
        <v>46208</v>
      </c>
      <c r="AG661" s="40">
        <v>111</v>
      </c>
      <c r="AH661" s="40">
        <f>IFERROR(VLOOKUP(Таблица3[[#This Row],[№ акта]],'Степень зрелости 2026'!$H$12:$I$800,2,FALSE),)</f>
        <v>59</v>
      </c>
      <c r="AJ661">
        <v>669</v>
      </c>
      <c r="AK661" s="34">
        <v>46207</v>
      </c>
      <c r="AL661">
        <v>805</v>
      </c>
      <c r="AO661">
        <v>12950</v>
      </c>
      <c r="AP661">
        <v>11978.8</v>
      </c>
      <c r="AQ661" t="s">
        <v>2939</v>
      </c>
      <c r="AR661" t="s">
        <v>901</v>
      </c>
      <c r="AS661" t="s">
        <v>3098</v>
      </c>
      <c r="AT661" t="s">
        <v>212</v>
      </c>
      <c r="AV661" t="s">
        <v>2965</v>
      </c>
      <c r="AX661" t="s">
        <v>3098</v>
      </c>
      <c r="AY661" t="s">
        <v>901</v>
      </c>
      <c r="AZ661">
        <v>2.5</v>
      </c>
      <c r="BA661" t="s">
        <v>46</v>
      </c>
      <c r="BB661" t="s">
        <v>19</v>
      </c>
      <c r="BC661">
        <v>31</v>
      </c>
      <c r="BD661" s="34">
        <v>46207</v>
      </c>
      <c r="BG661" t="s">
        <v>724</v>
      </c>
      <c r="BI661">
        <v>423</v>
      </c>
      <c r="BJ661">
        <v>61</v>
      </c>
      <c r="BK661" s="466"/>
    </row>
    <row r="662" spans="1:63" hidden="1" x14ac:dyDescent="0.25">
      <c r="A662" s="40"/>
      <c r="B662" s="41"/>
      <c r="C662" s="121">
        <f>Таблица3[[#This Row],[Степень зрелости вспом]]</f>
        <v>65</v>
      </c>
      <c r="D662" s="42">
        <v>827</v>
      </c>
      <c r="E662" s="147"/>
      <c r="F662" s="41"/>
      <c r="G662" s="41">
        <v>13490</v>
      </c>
      <c r="H662" s="69"/>
      <c r="I662" s="41">
        <v>12208.5</v>
      </c>
      <c r="J662" s="40" t="s">
        <v>3375</v>
      </c>
      <c r="K662" s="40" t="s">
        <v>900</v>
      </c>
      <c r="L662" s="40" t="s">
        <v>3108</v>
      </c>
      <c r="M662" s="40" t="s">
        <v>894</v>
      </c>
      <c r="N662" s="40"/>
      <c r="O662" s="40"/>
      <c r="P662" s="40"/>
      <c r="Q662" s="40"/>
      <c r="R662" s="40" t="s">
        <v>895</v>
      </c>
      <c r="S662" s="40"/>
      <c r="T662" s="70" t="str">
        <f>VLOOKUP(Таблица3[[#This Row],[№ акта]],$AJ$1:$BJ$691,15,FALSE)</f>
        <v>А-108/7</v>
      </c>
      <c r="U662" s="70" t="str">
        <f>VLOOKUP(Таблица3[[#This Row],[№ акта]],$AJ$1:$BJ$691,16,FALSE)</f>
        <v>Патриот</v>
      </c>
      <c r="V662" s="45">
        <f>VLOOKUP(Таблица3[[#This Row],[№ акта]],$AJ$1:$BJ$691,17,FALSE)</f>
        <v>4.3</v>
      </c>
      <c r="W662" s="44" t="str">
        <f>VLOOKUP(Таблица3[[#This Row],[№ акта]],$AJ$1:$BJ$691,18,FALSE)</f>
        <v>ГРК (полив)</v>
      </c>
      <c r="X662" s="45" t="s">
        <v>178</v>
      </c>
      <c r="Y662" s="485">
        <f>VLOOKUP(Таблица3[[#This Row],[№ акта]],$AJ$1:$BJ$691,20,FALSE)</f>
        <v>32</v>
      </c>
      <c r="Z662" s="103">
        <f>VLOOKUP(Таблица3[[#This Row],[№ акта]],$AJ$1:$BJ$691,21,FALSE)</f>
        <v>46208</v>
      </c>
      <c r="AA662" s="45"/>
      <c r="AB662" s="43" t="s">
        <v>4038</v>
      </c>
      <c r="AC662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62" s="360" t="s">
        <v>3230</v>
      </c>
      <c r="AE662" s="40">
        <v>688</v>
      </c>
      <c r="AF662" s="103">
        <v>46208</v>
      </c>
      <c r="AG662" s="40">
        <v>436</v>
      </c>
      <c r="AH662" s="40">
        <f>IFERROR(VLOOKUP(Таблица3[[#This Row],[№ акта]],'Степень зрелости 2026'!$H$12:$I$800,2,FALSE),)</f>
        <v>65</v>
      </c>
      <c r="AJ662">
        <v>673</v>
      </c>
      <c r="AK662" s="34">
        <v>46207</v>
      </c>
      <c r="AL662">
        <v>808</v>
      </c>
      <c r="AO662">
        <v>13050</v>
      </c>
      <c r="AP662">
        <v>12071.2</v>
      </c>
      <c r="AQ662" t="s">
        <v>2939</v>
      </c>
      <c r="AR662" t="s">
        <v>901</v>
      </c>
      <c r="AS662" t="s">
        <v>3098</v>
      </c>
      <c r="AT662" t="s">
        <v>212</v>
      </c>
      <c r="AV662" t="s">
        <v>2965</v>
      </c>
      <c r="AX662" t="s">
        <v>3098</v>
      </c>
      <c r="AY662" t="s">
        <v>901</v>
      </c>
      <c r="AZ662">
        <v>2.5</v>
      </c>
      <c r="BA662" t="s">
        <v>46</v>
      </c>
      <c r="BB662" t="s">
        <v>19</v>
      </c>
      <c r="BC662">
        <v>31</v>
      </c>
      <c r="BD662" s="34">
        <v>46207</v>
      </c>
      <c r="BG662" t="s">
        <v>420</v>
      </c>
      <c r="BI662">
        <v>426</v>
      </c>
      <c r="BJ662">
        <v>67</v>
      </c>
      <c r="BK662" s="466"/>
    </row>
    <row r="663" spans="1:63" hidden="1" x14ac:dyDescent="0.25">
      <c r="A663" s="40"/>
      <c r="B663" s="41"/>
      <c r="C663" s="121">
        <f>Таблица3[[#This Row],[Степень зрелости вспом]]</f>
        <v>64</v>
      </c>
      <c r="D663" s="42">
        <v>846</v>
      </c>
      <c r="E663" s="147"/>
      <c r="F663" s="41"/>
      <c r="G663" s="41">
        <v>12710</v>
      </c>
      <c r="H663" s="69"/>
      <c r="I663" s="41">
        <v>11756.8</v>
      </c>
      <c r="J663" s="40" t="s">
        <v>3375</v>
      </c>
      <c r="K663" s="40" t="s">
        <v>900</v>
      </c>
      <c r="L663" s="40" t="s">
        <v>3108</v>
      </c>
      <c r="M663" s="40" t="s">
        <v>212</v>
      </c>
      <c r="N663" s="40"/>
      <c r="O663" s="40"/>
      <c r="P663" s="40"/>
      <c r="Q663" s="40"/>
      <c r="R663" s="40" t="s">
        <v>2965</v>
      </c>
      <c r="S663" s="40"/>
      <c r="T663" s="70" t="s">
        <v>3108</v>
      </c>
      <c r="U663" s="70" t="s">
        <v>900</v>
      </c>
      <c r="V663" s="45">
        <f>26*Таблица3[[#This Row],[Регистратор.Вес нетто]]/82260</f>
        <v>4.0172623389253586</v>
      </c>
      <c r="W663" s="44" t="s">
        <v>2932</v>
      </c>
      <c r="X663" s="45" t="s">
        <v>178</v>
      </c>
      <c r="Y663" s="486">
        <v>33</v>
      </c>
      <c r="Z663" s="103">
        <v>46209</v>
      </c>
      <c r="AA663" s="45"/>
      <c r="AB663" s="43" t="s">
        <v>4038</v>
      </c>
      <c r="AC663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63" s="360" t="s">
        <v>3230</v>
      </c>
      <c r="AE663" s="40">
        <v>703</v>
      </c>
      <c r="AF663" s="103">
        <v>46209</v>
      </c>
      <c r="AG663" s="40">
        <v>445</v>
      </c>
      <c r="AH663" s="40">
        <f>IFERROR(VLOOKUP(Таблица3[[#This Row],[№ акта]],'Степень зрелости 2026'!$H$12:$I$800,2,FALSE),)</f>
        <v>64</v>
      </c>
      <c r="AJ663">
        <v>672</v>
      </c>
      <c r="AK663" s="34">
        <v>46208</v>
      </c>
      <c r="AL663">
        <v>809</v>
      </c>
      <c r="AO663">
        <v>4300</v>
      </c>
      <c r="AP663">
        <v>3977.5</v>
      </c>
      <c r="AQ663" t="s">
        <v>2939</v>
      </c>
      <c r="AR663" t="s">
        <v>901</v>
      </c>
      <c r="AS663" t="s">
        <v>3098</v>
      </c>
      <c r="AT663" t="s">
        <v>737</v>
      </c>
      <c r="AV663" t="s">
        <v>738</v>
      </c>
      <c r="AX663" t="s">
        <v>3098</v>
      </c>
      <c r="AY663" t="s">
        <v>901</v>
      </c>
      <c r="AZ663">
        <v>0.8</v>
      </c>
      <c r="BA663" t="s">
        <v>46</v>
      </c>
      <c r="BB663" t="s">
        <v>19</v>
      </c>
      <c r="BC663">
        <v>31</v>
      </c>
      <c r="BD663" s="34">
        <v>46207</v>
      </c>
      <c r="BG663" t="s">
        <v>724</v>
      </c>
      <c r="BI663">
        <v>427</v>
      </c>
      <c r="BJ663">
        <v>57</v>
      </c>
      <c r="BK663" s="466"/>
    </row>
    <row r="664" spans="1:63" ht="22.5" hidden="1" x14ac:dyDescent="0.25">
      <c r="A664" s="40"/>
      <c r="B664" s="41"/>
      <c r="C664" s="121">
        <f>Таблица3[[#This Row],[Степень зрелости вспом]]</f>
        <v>66</v>
      </c>
      <c r="D664" s="42">
        <v>847</v>
      </c>
      <c r="E664" s="147"/>
      <c r="F664" s="41"/>
      <c r="G664" s="41">
        <v>12440</v>
      </c>
      <c r="H664" s="69"/>
      <c r="I664" s="41">
        <v>11444.8</v>
      </c>
      <c r="J664" s="40" t="s">
        <v>3645</v>
      </c>
      <c r="K664" s="40" t="s">
        <v>897</v>
      </c>
      <c r="L664" s="40" t="s">
        <v>3123</v>
      </c>
      <c r="M664" s="40" t="s">
        <v>3623</v>
      </c>
      <c r="N664" s="40"/>
      <c r="O664" s="40"/>
      <c r="P664" s="40"/>
      <c r="Q664" s="40"/>
      <c r="R664" s="40" t="s">
        <v>3679</v>
      </c>
      <c r="S664" s="40"/>
      <c r="T664" s="70" t="s">
        <v>3123</v>
      </c>
      <c r="U664" s="70" t="s">
        <v>901</v>
      </c>
      <c r="V664" s="44">
        <f>56.1*Таблица3[[#This Row],[Регистратор.Вес нетто]]/299630</f>
        <v>2.3291526215665987</v>
      </c>
      <c r="W664" s="44" t="s">
        <v>53</v>
      </c>
      <c r="X664" s="45" t="s">
        <v>178</v>
      </c>
      <c r="Y664" s="486">
        <v>33</v>
      </c>
      <c r="Z664" s="103">
        <v>46209</v>
      </c>
      <c r="AA664" s="45"/>
      <c r="AB664" s="43" t="s">
        <v>4038</v>
      </c>
      <c r="AC664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64" s="360" t="s">
        <v>3230</v>
      </c>
      <c r="AE664" s="40">
        <v>704</v>
      </c>
      <c r="AF664" s="103">
        <v>46209</v>
      </c>
      <c r="AG664" s="40">
        <v>118</v>
      </c>
      <c r="AH664" s="40">
        <f>IFERROR(VLOOKUP(Таблица3[[#This Row],[№ акта]],'Степень зрелости 2026'!$H$12:$I$800,2,FALSE),)</f>
        <v>66</v>
      </c>
      <c r="AJ664">
        <v>674</v>
      </c>
      <c r="AK664" s="34">
        <v>46208</v>
      </c>
      <c r="AL664">
        <v>810</v>
      </c>
      <c r="AO664">
        <v>12950</v>
      </c>
      <c r="AP664">
        <v>11590.3</v>
      </c>
      <c r="AQ664" t="s">
        <v>2939</v>
      </c>
      <c r="AR664" t="s">
        <v>901</v>
      </c>
      <c r="AS664" t="s">
        <v>3098</v>
      </c>
      <c r="AT664" t="s">
        <v>2967</v>
      </c>
      <c r="AV664" t="s">
        <v>1810</v>
      </c>
      <c r="AX664" t="s">
        <v>3098</v>
      </c>
      <c r="AY664" t="s">
        <v>901</v>
      </c>
      <c r="AZ664">
        <v>2.5</v>
      </c>
      <c r="BA664" t="s">
        <v>46</v>
      </c>
      <c r="BB664" t="s">
        <v>19</v>
      </c>
      <c r="BC664">
        <v>31</v>
      </c>
      <c r="BD664" s="34">
        <v>46207</v>
      </c>
      <c r="BG664" t="s">
        <v>3559</v>
      </c>
      <c r="BI664">
        <v>428</v>
      </c>
      <c r="BJ664">
        <v>64</v>
      </c>
      <c r="BK664" s="466"/>
    </row>
    <row r="665" spans="1:63" ht="15.75" hidden="1" customHeight="1" x14ac:dyDescent="0.25">
      <c r="A665" s="40"/>
      <c r="B665" s="41"/>
      <c r="C665" s="121">
        <f>Таблица3[[#This Row],[Степень зрелости вспом]]</f>
        <v>66</v>
      </c>
      <c r="D665" s="42">
        <v>848</v>
      </c>
      <c r="E665" s="147"/>
      <c r="F665" s="41"/>
      <c r="G665" s="41">
        <v>12670</v>
      </c>
      <c r="H665" s="69"/>
      <c r="I665" s="41">
        <v>11149.6</v>
      </c>
      <c r="J665" s="40" t="s">
        <v>3375</v>
      </c>
      <c r="K665" s="40" t="s">
        <v>900</v>
      </c>
      <c r="L665" s="40" t="s">
        <v>3108</v>
      </c>
      <c r="M665" s="40" t="s">
        <v>2967</v>
      </c>
      <c r="N665" s="40"/>
      <c r="O665" s="40"/>
      <c r="P665" s="40"/>
      <c r="Q665" s="40"/>
      <c r="R665" s="40" t="s">
        <v>1810</v>
      </c>
      <c r="S665" s="40"/>
      <c r="T665" s="70" t="s">
        <v>3108</v>
      </c>
      <c r="U665" s="70" t="s">
        <v>900</v>
      </c>
      <c r="V665" s="45">
        <f>26*Таблица3[[#This Row],[Регистратор.Вес нетто]]/82260</f>
        <v>4.0046194991490394</v>
      </c>
      <c r="W665" s="44" t="s">
        <v>2932</v>
      </c>
      <c r="X665" s="45" t="s">
        <v>178</v>
      </c>
      <c r="Y665" s="486">
        <v>33</v>
      </c>
      <c r="Z665" s="103">
        <v>46209</v>
      </c>
      <c r="AA665" s="45"/>
      <c r="AB665" s="43" t="s">
        <v>4038</v>
      </c>
      <c r="AC665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65" s="360" t="s">
        <v>3230</v>
      </c>
      <c r="AE665" s="40">
        <v>708</v>
      </c>
      <c r="AF665" s="103">
        <v>46209</v>
      </c>
      <c r="AG665" s="40">
        <v>446</v>
      </c>
      <c r="AH665" s="40">
        <f>IFERROR(VLOOKUP(Таблица3[[#This Row],[№ акта]],'Степень зрелости 2026'!$H$12:$I$800,2,FALSE),)</f>
        <v>66</v>
      </c>
      <c r="AJ665">
        <v>675</v>
      </c>
      <c r="AK665" s="34">
        <v>46208</v>
      </c>
      <c r="AL665">
        <v>811</v>
      </c>
      <c r="AO665">
        <v>4320</v>
      </c>
      <c r="AP665">
        <v>3909.6</v>
      </c>
      <c r="AQ665" t="s">
        <v>2939</v>
      </c>
      <c r="AR665" t="s">
        <v>901</v>
      </c>
      <c r="AS665" t="s">
        <v>3098</v>
      </c>
      <c r="AT665" t="s">
        <v>737</v>
      </c>
      <c r="AV665" t="s">
        <v>738</v>
      </c>
      <c r="AX665" t="s">
        <v>3098</v>
      </c>
      <c r="AY665" t="s">
        <v>901</v>
      </c>
      <c r="AZ665">
        <v>0.8</v>
      </c>
      <c r="BA665" t="s">
        <v>46</v>
      </c>
      <c r="BB665" t="s">
        <v>19</v>
      </c>
      <c r="BC665">
        <v>31</v>
      </c>
      <c r="BD665" s="34">
        <v>46207</v>
      </c>
      <c r="BG665" t="s">
        <v>724</v>
      </c>
      <c r="BI665">
        <v>429</v>
      </c>
      <c r="BJ665">
        <v>61</v>
      </c>
      <c r="BK665" s="466"/>
    </row>
    <row r="666" spans="1:63" ht="22.5" hidden="1" x14ac:dyDescent="0.25">
      <c r="A666" s="40"/>
      <c r="B666" s="41"/>
      <c r="C666" s="121">
        <f>Таблица3[[#This Row],[Степень зрелости вспом]]</f>
        <v>66</v>
      </c>
      <c r="D666" s="42">
        <v>849</v>
      </c>
      <c r="E666" s="147"/>
      <c r="F666" s="41"/>
      <c r="G666" s="41">
        <v>12720</v>
      </c>
      <c r="H666" s="69"/>
      <c r="I666" s="41">
        <v>12020.4</v>
      </c>
      <c r="J666" s="40" t="s">
        <v>3645</v>
      </c>
      <c r="K666" s="40" t="s">
        <v>897</v>
      </c>
      <c r="L666" s="40" t="s">
        <v>3123</v>
      </c>
      <c r="M666" s="40" t="s">
        <v>311</v>
      </c>
      <c r="N666" s="40"/>
      <c r="O666" s="40"/>
      <c r="P666" s="40"/>
      <c r="Q666" s="40"/>
      <c r="R666" s="40" t="s">
        <v>315</v>
      </c>
      <c r="S666" s="40"/>
      <c r="T666" s="70" t="s">
        <v>3123</v>
      </c>
      <c r="U666" s="70" t="s">
        <v>901</v>
      </c>
      <c r="V666" s="44">
        <f>56.1*Таблица3[[#This Row],[Регистратор.Вес нетто]]/299630</f>
        <v>2.3815772786436606</v>
      </c>
      <c r="W666" s="44" t="s">
        <v>53</v>
      </c>
      <c r="X666" s="45" t="s">
        <v>178</v>
      </c>
      <c r="Y666" s="486">
        <v>33</v>
      </c>
      <c r="Z666" s="103">
        <v>46209</v>
      </c>
      <c r="AA666" s="45"/>
      <c r="AB666" s="43" t="s">
        <v>4038</v>
      </c>
      <c r="AC666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66" s="360" t="s">
        <v>3230</v>
      </c>
      <c r="AE666" s="40">
        <v>706</v>
      </c>
      <c r="AF666" s="103">
        <v>46209</v>
      </c>
      <c r="AG666" s="40">
        <v>119</v>
      </c>
      <c r="AH666" s="40">
        <f>IFERROR(VLOOKUP(Таблица3[[#This Row],[№ акта]],'Степень зрелости 2026'!$H$12:$I$800,2,FALSE),)</f>
        <v>66</v>
      </c>
      <c r="AJ666">
        <v>676</v>
      </c>
      <c r="AK666" s="34">
        <v>46208</v>
      </c>
      <c r="AL666">
        <v>812</v>
      </c>
      <c r="AO666">
        <v>14940</v>
      </c>
      <c r="AP666">
        <v>13670.1</v>
      </c>
      <c r="AQ666" t="s">
        <v>2939</v>
      </c>
      <c r="AR666" t="s">
        <v>901</v>
      </c>
      <c r="AS666" t="s">
        <v>3098</v>
      </c>
      <c r="AT666" t="s">
        <v>212</v>
      </c>
      <c r="AV666" t="s">
        <v>2965</v>
      </c>
      <c r="AX666" t="s">
        <v>3098</v>
      </c>
      <c r="AY666" t="s">
        <v>901</v>
      </c>
      <c r="AZ666">
        <v>2.9</v>
      </c>
      <c r="BA666" t="s">
        <v>46</v>
      </c>
      <c r="BB666" t="s">
        <v>19</v>
      </c>
      <c r="BC666">
        <v>31</v>
      </c>
      <c r="BD666" s="34">
        <v>46207</v>
      </c>
      <c r="BG666" t="s">
        <v>3559</v>
      </c>
      <c r="BI666">
        <v>430</v>
      </c>
      <c r="BJ666">
        <v>65</v>
      </c>
      <c r="BK666" s="466"/>
    </row>
    <row r="667" spans="1:63" ht="22.5" hidden="1" x14ac:dyDescent="0.25">
      <c r="A667" s="40"/>
      <c r="B667" s="41"/>
      <c r="C667" s="121">
        <f>Таблица3[[#This Row],[Степень зрелости вспом]]</f>
        <v>69</v>
      </c>
      <c r="D667" s="42">
        <v>851</v>
      </c>
      <c r="E667" s="147"/>
      <c r="F667" s="41"/>
      <c r="G667" s="41">
        <v>13130</v>
      </c>
      <c r="H667" s="69"/>
      <c r="I667" s="41">
        <v>12145.2</v>
      </c>
      <c r="J667" s="40" t="s">
        <v>3645</v>
      </c>
      <c r="K667" s="40" t="s">
        <v>897</v>
      </c>
      <c r="L667" s="40" t="s">
        <v>3123</v>
      </c>
      <c r="M667" s="40" t="s">
        <v>1151</v>
      </c>
      <c r="N667" s="40"/>
      <c r="O667" s="40"/>
      <c r="P667" s="40"/>
      <c r="Q667" s="40"/>
      <c r="R667" s="40" t="s">
        <v>145</v>
      </c>
      <c r="S667" s="40"/>
      <c r="T667" s="70" t="s">
        <v>3123</v>
      </c>
      <c r="U667" s="70" t="s">
        <v>901</v>
      </c>
      <c r="V667" s="44">
        <f>56.1*Таблица3[[#This Row],[Регистратор.Вес нетто]]/299630</f>
        <v>2.4583419550779295</v>
      </c>
      <c r="W667" s="44" t="s">
        <v>53</v>
      </c>
      <c r="X667" s="45" t="s">
        <v>178</v>
      </c>
      <c r="Y667" s="486">
        <v>33</v>
      </c>
      <c r="Z667" s="103">
        <v>46209</v>
      </c>
      <c r="AA667" s="45"/>
      <c r="AB667" s="43" t="s">
        <v>4038</v>
      </c>
      <c r="AC667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67" s="360" t="s">
        <v>3230</v>
      </c>
      <c r="AE667" s="40">
        <v>707</v>
      </c>
      <c r="AF667" s="103">
        <v>46209</v>
      </c>
      <c r="AG667" s="40">
        <v>120</v>
      </c>
      <c r="AH667" s="40">
        <f>IFERROR(VLOOKUP(Таблица3[[#This Row],[№ акта]],'Степень зрелости 2026'!$H$12:$I$800,2,FALSE),)</f>
        <v>69</v>
      </c>
      <c r="AJ667">
        <v>677</v>
      </c>
      <c r="AK667" s="34">
        <v>46208</v>
      </c>
      <c r="AL667">
        <v>814</v>
      </c>
      <c r="AO667">
        <v>12480</v>
      </c>
      <c r="AP667">
        <v>11419.2</v>
      </c>
      <c r="AQ667" t="s">
        <v>3645</v>
      </c>
      <c r="AR667" t="s">
        <v>897</v>
      </c>
      <c r="AS667" t="s">
        <v>3123</v>
      </c>
      <c r="AT667" t="s">
        <v>3838</v>
      </c>
      <c r="AV667" t="s">
        <v>270</v>
      </c>
      <c r="AX667" t="s">
        <v>3123</v>
      </c>
      <c r="AY667" t="s">
        <v>901</v>
      </c>
      <c r="AZ667">
        <v>2.4</v>
      </c>
      <c r="BA667" t="s">
        <v>53</v>
      </c>
      <c r="BB667" t="s">
        <v>178</v>
      </c>
      <c r="BC667">
        <v>31</v>
      </c>
      <c r="BD667" s="34">
        <v>46207</v>
      </c>
      <c r="BG667" t="s">
        <v>3559</v>
      </c>
      <c r="BI667">
        <v>106</v>
      </c>
      <c r="BJ667">
        <v>65</v>
      </c>
      <c r="BK667" s="466"/>
    </row>
    <row r="668" spans="1:63" ht="22.5" hidden="1" x14ac:dyDescent="0.25">
      <c r="A668" s="40"/>
      <c r="B668" s="41"/>
      <c r="C668" s="121">
        <f>Таблица3[[#This Row],[Степень зрелости вспом]]</f>
        <v>65</v>
      </c>
      <c r="D668" s="42">
        <v>853</v>
      </c>
      <c r="E668" s="147"/>
      <c r="F668" s="41"/>
      <c r="G668" s="41">
        <v>13410</v>
      </c>
      <c r="H668" s="69"/>
      <c r="I668" s="41">
        <v>12203.1</v>
      </c>
      <c r="J668" s="40" t="s">
        <v>3645</v>
      </c>
      <c r="K668" s="40" t="s">
        <v>897</v>
      </c>
      <c r="L668" s="40" t="s">
        <v>3123</v>
      </c>
      <c r="M668" s="40" t="s">
        <v>3892</v>
      </c>
      <c r="N668" s="40"/>
      <c r="O668" s="40"/>
      <c r="P668" s="40"/>
      <c r="Q668" s="40"/>
      <c r="R668" s="40" t="s">
        <v>1368</v>
      </c>
      <c r="S668" s="40"/>
      <c r="T668" s="70" t="s">
        <v>3123</v>
      </c>
      <c r="U668" s="70" t="s">
        <v>901</v>
      </c>
      <c r="V668" s="44">
        <f>56.1*Таблица3[[#This Row],[Регистратор.Вес нетто]]/299630</f>
        <v>2.510766612154991</v>
      </c>
      <c r="W668" s="44" t="s">
        <v>53</v>
      </c>
      <c r="X668" s="45" t="s">
        <v>178</v>
      </c>
      <c r="Y668" s="486">
        <v>33</v>
      </c>
      <c r="Z668" s="103">
        <v>46209</v>
      </c>
      <c r="AA668" s="45"/>
      <c r="AB668" s="43" t="s">
        <v>4038</v>
      </c>
      <c r="AC668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68" s="360" t="s">
        <v>3230</v>
      </c>
      <c r="AE668" s="40">
        <v>709</v>
      </c>
      <c r="AF668" s="103">
        <v>46209</v>
      </c>
      <c r="AG668" s="40">
        <v>121</v>
      </c>
      <c r="AH668" s="40">
        <f>IFERROR(VLOOKUP(Таблица3[[#This Row],[№ акта]],'Степень зрелости 2026'!$H$12:$I$800,2,FALSE),)</f>
        <v>65</v>
      </c>
      <c r="AJ668">
        <v>678</v>
      </c>
      <c r="AK668" s="34">
        <v>46208</v>
      </c>
      <c r="AL668">
        <v>813</v>
      </c>
      <c r="AO668">
        <v>12940</v>
      </c>
      <c r="AP668">
        <v>11257.8</v>
      </c>
      <c r="AQ668" t="s">
        <v>3375</v>
      </c>
      <c r="AR668" t="s">
        <v>900</v>
      </c>
      <c r="AS668" t="s">
        <v>3108</v>
      </c>
      <c r="AT668" t="s">
        <v>2967</v>
      </c>
      <c r="AV668" t="s">
        <v>1810</v>
      </c>
      <c r="AX668" t="s">
        <v>3108</v>
      </c>
      <c r="AY668" t="s">
        <v>900</v>
      </c>
      <c r="AZ668">
        <v>3.8</v>
      </c>
      <c r="BA668" t="s">
        <v>2932</v>
      </c>
      <c r="BB668" t="s">
        <v>178</v>
      </c>
      <c r="BC668">
        <v>31</v>
      </c>
      <c r="BD668" s="34">
        <v>46207</v>
      </c>
      <c r="BG668" t="s">
        <v>724</v>
      </c>
      <c r="BI668">
        <v>431</v>
      </c>
      <c r="BJ668">
        <v>59</v>
      </c>
      <c r="BK668" s="466"/>
    </row>
    <row r="669" spans="1:63" hidden="1" x14ac:dyDescent="0.25">
      <c r="A669" s="40"/>
      <c r="B669" s="41"/>
      <c r="C669" s="121">
        <f>Таблица3[[#This Row],[Степень зрелости вспом]]</f>
        <v>67</v>
      </c>
      <c r="D669" s="42">
        <v>854</v>
      </c>
      <c r="E669" s="147"/>
      <c r="F669" s="41"/>
      <c r="G669" s="41">
        <v>13100</v>
      </c>
      <c r="H669" s="69"/>
      <c r="I669" s="41">
        <v>11462.5</v>
      </c>
      <c r="J669" s="40" t="s">
        <v>3375</v>
      </c>
      <c r="K669" s="40" t="s">
        <v>900</v>
      </c>
      <c r="L669" s="40" t="s">
        <v>3108</v>
      </c>
      <c r="M669" s="40" t="s">
        <v>212</v>
      </c>
      <c r="N669" s="40"/>
      <c r="O669" s="40"/>
      <c r="P669" s="40"/>
      <c r="Q669" s="40"/>
      <c r="R669" s="40" t="s">
        <v>2965</v>
      </c>
      <c r="S669" s="40"/>
      <c r="T669" s="70" t="s">
        <v>3108</v>
      </c>
      <c r="U669" s="70" t="s">
        <v>900</v>
      </c>
      <c r="V669" s="45">
        <f>26*Таблица3[[#This Row],[Регистратор.Вес нетто]]/82260</f>
        <v>4.1405300267444689</v>
      </c>
      <c r="W669" s="44" t="s">
        <v>2932</v>
      </c>
      <c r="X669" s="45" t="s">
        <v>178</v>
      </c>
      <c r="Y669" s="486">
        <v>33</v>
      </c>
      <c r="Z669" s="103">
        <v>46209</v>
      </c>
      <c r="AA669" s="103"/>
      <c r="AB669" s="43" t="s">
        <v>4038</v>
      </c>
      <c r="AC669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69" s="360" t="s">
        <v>3230</v>
      </c>
      <c r="AE669" s="40">
        <v>710</v>
      </c>
      <c r="AF669" s="103">
        <v>46209</v>
      </c>
      <c r="AG669" s="40">
        <v>447</v>
      </c>
      <c r="AH669" s="40">
        <f>IFERROR(VLOOKUP(Таблица3[[#This Row],[№ акта]],'Степень зрелости 2026'!$H$12:$I$800,2,FALSE),)</f>
        <v>67</v>
      </c>
      <c r="AJ669">
        <v>679</v>
      </c>
      <c r="AK669" s="34">
        <v>46208</v>
      </c>
      <c r="AL669">
        <v>815</v>
      </c>
      <c r="AO669">
        <v>14430</v>
      </c>
      <c r="AP669">
        <v>13203.5</v>
      </c>
      <c r="AQ669" t="s">
        <v>3375</v>
      </c>
      <c r="AR669" t="s">
        <v>900</v>
      </c>
      <c r="AS669" t="s">
        <v>3108</v>
      </c>
      <c r="AT669" t="s">
        <v>212</v>
      </c>
      <c r="AV669" t="s">
        <v>2965</v>
      </c>
      <c r="AX669" t="s">
        <v>3108</v>
      </c>
      <c r="AY669" t="s">
        <v>900</v>
      </c>
      <c r="AZ669">
        <v>4.2</v>
      </c>
      <c r="BA669" t="s">
        <v>2932</v>
      </c>
      <c r="BB669" t="s">
        <v>178</v>
      </c>
      <c r="BC669">
        <v>31</v>
      </c>
      <c r="BD669" s="34">
        <v>46207</v>
      </c>
      <c r="BG669" t="s">
        <v>724</v>
      </c>
      <c r="BI669">
        <v>432</v>
      </c>
      <c r="BJ669">
        <v>59</v>
      </c>
      <c r="BK669" s="466"/>
    </row>
    <row r="670" spans="1:63" ht="22.5" hidden="1" x14ac:dyDescent="0.25">
      <c r="A670" s="40"/>
      <c r="B670" s="41"/>
      <c r="C670" s="121">
        <f>Таблица3[[#This Row],[Степень зрелости вспом]]</f>
        <v>69</v>
      </c>
      <c r="D670" s="42">
        <v>855</v>
      </c>
      <c r="E670" s="147"/>
      <c r="F670" s="41"/>
      <c r="G670" s="41">
        <v>14620</v>
      </c>
      <c r="H670" s="69"/>
      <c r="I670" s="41">
        <v>13742.8</v>
      </c>
      <c r="J670" s="40" t="s">
        <v>3645</v>
      </c>
      <c r="K670" s="40" t="s">
        <v>897</v>
      </c>
      <c r="L670" s="40" t="s">
        <v>3121</v>
      </c>
      <c r="M670" s="40" t="s">
        <v>335</v>
      </c>
      <c r="N670" s="40"/>
      <c r="O670" s="40"/>
      <c r="P670" s="40"/>
      <c r="Q670" s="40"/>
      <c r="R670" s="40" t="s">
        <v>339</v>
      </c>
      <c r="S670" s="40"/>
      <c r="T670" s="70" t="s">
        <v>3121</v>
      </c>
      <c r="U670" s="70" t="s">
        <v>897</v>
      </c>
      <c r="V670" s="45">
        <f>12*Таблица3[[#This Row],[Регистратор.Вес нетто]]/81330</f>
        <v>2.1571375876060492</v>
      </c>
      <c r="W670" s="44" t="s">
        <v>53</v>
      </c>
      <c r="X670" s="45" t="s">
        <v>178</v>
      </c>
      <c r="Y670" s="486">
        <v>33</v>
      </c>
      <c r="Z670" s="103">
        <v>46209</v>
      </c>
      <c r="AA670" s="45"/>
      <c r="AB670" s="43" t="s">
        <v>4038</v>
      </c>
      <c r="AC670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70" s="360" t="s">
        <v>3230</v>
      </c>
      <c r="AE670" s="40">
        <v>711</v>
      </c>
      <c r="AF670" s="103">
        <v>46209</v>
      </c>
      <c r="AG670" s="40">
        <v>122</v>
      </c>
      <c r="AH670" s="40">
        <f>IFERROR(VLOOKUP(Таблица3[[#This Row],[№ акта]],'Степень зрелости 2026'!$H$12:$I$800,2,FALSE),)</f>
        <v>69</v>
      </c>
      <c r="AJ670">
        <v>680</v>
      </c>
      <c r="AK670" s="34">
        <v>46208</v>
      </c>
      <c r="AL670">
        <v>816</v>
      </c>
      <c r="AO670">
        <v>12930</v>
      </c>
      <c r="AP670">
        <v>11572.4</v>
      </c>
      <c r="AQ670" t="s">
        <v>3645</v>
      </c>
      <c r="AR670" t="s">
        <v>897</v>
      </c>
      <c r="AS670" t="s">
        <v>3123</v>
      </c>
      <c r="AT670" t="s">
        <v>239</v>
      </c>
      <c r="AV670" t="s">
        <v>243</v>
      </c>
      <c r="AX670" t="s">
        <v>3123</v>
      </c>
      <c r="AY670" t="s">
        <v>901</v>
      </c>
      <c r="AZ670">
        <v>2.5</v>
      </c>
      <c r="BA670" t="s">
        <v>53</v>
      </c>
      <c r="BB670" t="s">
        <v>178</v>
      </c>
      <c r="BC670">
        <v>31</v>
      </c>
      <c r="BD670" s="34">
        <v>46207</v>
      </c>
      <c r="BG670" t="s">
        <v>724</v>
      </c>
      <c r="BI670">
        <v>107</v>
      </c>
      <c r="BJ670">
        <v>60</v>
      </c>
      <c r="BK670" s="466"/>
    </row>
    <row r="671" spans="1:63" ht="22.5" hidden="1" x14ac:dyDescent="0.25">
      <c r="A671" s="40"/>
      <c r="B671" s="41"/>
      <c r="C671" s="121">
        <f>Таблица3[[#This Row],[Степень зрелости вспом]]</f>
        <v>71</v>
      </c>
      <c r="D671" s="42">
        <v>856</v>
      </c>
      <c r="E671" s="147"/>
      <c r="F671" s="41"/>
      <c r="G671" s="41">
        <v>13090</v>
      </c>
      <c r="H671" s="69"/>
      <c r="I671" s="41">
        <v>12304.6</v>
      </c>
      <c r="J671" s="40" t="s">
        <v>3645</v>
      </c>
      <c r="K671" s="40" t="s">
        <v>897</v>
      </c>
      <c r="L671" s="40" t="s">
        <v>3121</v>
      </c>
      <c r="M671" s="40" t="s">
        <v>1461</v>
      </c>
      <c r="N671" s="40"/>
      <c r="O671" s="40"/>
      <c r="P671" s="40"/>
      <c r="Q671" s="40"/>
      <c r="R671" s="40" t="s">
        <v>149</v>
      </c>
      <c r="S671" s="40"/>
      <c r="T671" s="70" t="s">
        <v>3121</v>
      </c>
      <c r="U671" s="70" t="s">
        <v>897</v>
      </c>
      <c r="V671" s="45">
        <f>12*Таблица3[[#This Row],[Регистратор.Вес нетто]]/81330</f>
        <v>1.931390630763556</v>
      </c>
      <c r="W671" s="44" t="s">
        <v>53</v>
      </c>
      <c r="X671" s="45" t="s">
        <v>178</v>
      </c>
      <c r="Y671" s="486">
        <v>33</v>
      </c>
      <c r="Z671" s="103">
        <v>46209</v>
      </c>
      <c r="AA671" s="45"/>
      <c r="AB671" s="43" t="s">
        <v>4038</v>
      </c>
      <c r="AC671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71" s="360" t="s">
        <v>3273</v>
      </c>
      <c r="AE671" s="40">
        <v>712</v>
      </c>
      <c r="AF671" s="103">
        <v>46209</v>
      </c>
      <c r="AG671" s="40">
        <v>123</v>
      </c>
      <c r="AH671" s="40">
        <f>IFERROR(VLOOKUP(Таблица3[[#This Row],[№ акта]],'Степень зрелости 2026'!$H$12:$I$800,2,FALSE),)</f>
        <v>71</v>
      </c>
      <c r="AJ671">
        <v>681</v>
      </c>
      <c r="AK671" s="34">
        <v>46208</v>
      </c>
      <c r="AL671">
        <v>818</v>
      </c>
      <c r="AO671">
        <v>13060</v>
      </c>
      <c r="AP671">
        <v>12472.3</v>
      </c>
      <c r="AQ671" t="s">
        <v>3645</v>
      </c>
      <c r="AR671" t="s">
        <v>897</v>
      </c>
      <c r="AS671" t="s">
        <v>3123</v>
      </c>
      <c r="AT671" t="s">
        <v>3853</v>
      </c>
      <c r="AV671" t="s">
        <v>3854</v>
      </c>
      <c r="AX671" t="s">
        <v>3123</v>
      </c>
      <c r="AY671" t="s">
        <v>901</v>
      </c>
      <c r="AZ671">
        <v>2.5</v>
      </c>
      <c r="BA671" t="s">
        <v>53</v>
      </c>
      <c r="BB671" t="s">
        <v>178</v>
      </c>
      <c r="BC671">
        <v>31</v>
      </c>
      <c r="BD671" s="34">
        <v>46207</v>
      </c>
      <c r="BG671" t="s">
        <v>420</v>
      </c>
      <c r="BI671">
        <v>108</v>
      </c>
      <c r="BJ671">
        <v>68</v>
      </c>
      <c r="BK671" s="466"/>
    </row>
    <row r="672" spans="1:63" ht="22.5" hidden="1" x14ac:dyDescent="0.25">
      <c r="A672" s="40"/>
      <c r="B672" s="41"/>
      <c r="C672" s="121">
        <f>Таблица3[[#This Row],[Степень зрелости вспом]]</f>
        <v>74</v>
      </c>
      <c r="D672" s="42">
        <v>857</v>
      </c>
      <c r="E672" s="147"/>
      <c r="F672" s="41"/>
      <c r="G672" s="41">
        <v>12610</v>
      </c>
      <c r="H672" s="69"/>
      <c r="I672" s="41">
        <v>12042.6</v>
      </c>
      <c r="J672" s="40" t="s">
        <v>3645</v>
      </c>
      <c r="K672" s="40" t="s">
        <v>897</v>
      </c>
      <c r="L672" s="40" t="s">
        <v>3121</v>
      </c>
      <c r="M672" s="40" t="s">
        <v>3838</v>
      </c>
      <c r="N672" s="40"/>
      <c r="O672" s="40"/>
      <c r="P672" s="40"/>
      <c r="Q672" s="40"/>
      <c r="R672" s="40" t="s">
        <v>270</v>
      </c>
      <c r="S672" s="40"/>
      <c r="T672" s="70" t="s">
        <v>3121</v>
      </c>
      <c r="U672" s="70" t="s">
        <v>897</v>
      </c>
      <c r="V672" s="45">
        <f>12*Таблица3[[#This Row],[Регистратор.Вес нетто]]/81330</f>
        <v>1.8605680560678717</v>
      </c>
      <c r="W672" s="44" t="s">
        <v>53</v>
      </c>
      <c r="X672" s="45" t="s">
        <v>178</v>
      </c>
      <c r="Y672" s="486">
        <v>33</v>
      </c>
      <c r="Z672" s="103">
        <v>46209</v>
      </c>
      <c r="AA672" s="45"/>
      <c r="AB672" s="43" t="s">
        <v>4038</v>
      </c>
      <c r="AC672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72" s="360" t="s">
        <v>3273</v>
      </c>
      <c r="AE672" s="40">
        <v>713</v>
      </c>
      <c r="AF672" s="103">
        <v>46209</v>
      </c>
      <c r="AG672" s="40">
        <v>124</v>
      </c>
      <c r="AH672" s="40">
        <f>IFERROR(VLOOKUP(Таблица3[[#This Row],[№ акта]],'Степень зрелости 2026'!$H$12:$I$800,2,FALSE),)</f>
        <v>74</v>
      </c>
      <c r="AJ672">
        <v>682</v>
      </c>
      <c r="AK672" s="34">
        <v>46208</v>
      </c>
      <c r="AL672">
        <v>819</v>
      </c>
      <c r="AO672">
        <v>13190</v>
      </c>
      <c r="AP672">
        <v>11211.5</v>
      </c>
      <c r="AQ672" t="s">
        <v>3375</v>
      </c>
      <c r="AR672" t="s">
        <v>900</v>
      </c>
      <c r="AS672" t="s">
        <v>3108</v>
      </c>
      <c r="AT672" t="s">
        <v>894</v>
      </c>
      <c r="AV672" t="s">
        <v>895</v>
      </c>
      <c r="AX672" t="s">
        <v>3108</v>
      </c>
      <c r="AY672" t="s">
        <v>900</v>
      </c>
      <c r="AZ672">
        <v>4.2</v>
      </c>
      <c r="BA672" t="s">
        <v>2932</v>
      </c>
      <c r="BB672" t="s">
        <v>178</v>
      </c>
      <c r="BC672">
        <v>32</v>
      </c>
      <c r="BD672" s="34">
        <v>46208</v>
      </c>
      <c r="BG672" t="s">
        <v>3559</v>
      </c>
      <c r="BI672">
        <v>433</v>
      </c>
      <c r="BJ672">
        <v>64</v>
      </c>
      <c r="BK672" s="466"/>
    </row>
    <row r="673" spans="1:63" hidden="1" x14ac:dyDescent="0.25">
      <c r="A673" s="40"/>
      <c r="B673" s="41"/>
      <c r="C673" s="121">
        <f>Таблица3[[#This Row],[Степень зрелости вспом]]</f>
        <v>70</v>
      </c>
      <c r="D673" s="42">
        <v>858</v>
      </c>
      <c r="E673" s="147"/>
      <c r="F673" s="41"/>
      <c r="G673" s="41">
        <v>13470</v>
      </c>
      <c r="H673" s="69"/>
      <c r="I673" s="41">
        <v>12729.2</v>
      </c>
      <c r="J673" s="40" t="s">
        <v>3375</v>
      </c>
      <c r="K673" s="40" t="s">
        <v>900</v>
      </c>
      <c r="L673" s="40" t="s">
        <v>3108</v>
      </c>
      <c r="M673" s="40" t="s">
        <v>2967</v>
      </c>
      <c r="N673" s="40"/>
      <c r="O673" s="40"/>
      <c r="P673" s="40"/>
      <c r="Q673" s="40"/>
      <c r="R673" s="40" t="s">
        <v>1810</v>
      </c>
      <c r="S673" s="40"/>
      <c r="T673" s="70" t="s">
        <v>3108</v>
      </c>
      <c r="U673" s="70" t="s">
        <v>900</v>
      </c>
      <c r="V673" s="45">
        <f>26*Таблица3[[#This Row],[Регистратор.Вес нетто]]/82260</f>
        <v>4.2574762946754197</v>
      </c>
      <c r="W673" s="44" t="s">
        <v>2932</v>
      </c>
      <c r="X673" s="45" t="s">
        <v>178</v>
      </c>
      <c r="Y673" s="486">
        <v>33</v>
      </c>
      <c r="Z673" s="103">
        <v>46209</v>
      </c>
      <c r="AA673" s="45"/>
      <c r="AB673" s="43" t="s">
        <v>4038</v>
      </c>
      <c r="AC673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73" s="360" t="s">
        <v>3230</v>
      </c>
      <c r="AE673" s="40">
        <v>714</v>
      </c>
      <c r="AF673" s="103">
        <v>46209</v>
      </c>
      <c r="AG673" s="40">
        <v>448</v>
      </c>
      <c r="AH673" s="40">
        <f>IFERROR(VLOOKUP(Таблица3[[#This Row],[№ акта]],'Степень зрелости 2026'!$H$12:$I$800,2,FALSE),)</f>
        <v>70</v>
      </c>
      <c r="AJ673">
        <v>683</v>
      </c>
      <c r="AK673" s="34">
        <v>46208</v>
      </c>
      <c r="AL673">
        <v>821</v>
      </c>
      <c r="AO673">
        <v>12920</v>
      </c>
      <c r="AP673">
        <v>12080.2</v>
      </c>
      <c r="AQ673" t="s">
        <v>3645</v>
      </c>
      <c r="AR673" t="s">
        <v>897</v>
      </c>
      <c r="AS673" t="s">
        <v>3123</v>
      </c>
      <c r="AT673" t="s">
        <v>3554</v>
      </c>
      <c r="AV673" t="s">
        <v>3555</v>
      </c>
      <c r="AX673" t="s">
        <v>3123</v>
      </c>
      <c r="AY673" t="s">
        <v>901</v>
      </c>
      <c r="AZ673">
        <v>2.5</v>
      </c>
      <c r="BA673" t="s">
        <v>53</v>
      </c>
      <c r="BB673" t="s">
        <v>178</v>
      </c>
      <c r="BC673">
        <v>32</v>
      </c>
      <c r="BD673" s="34">
        <v>46208</v>
      </c>
      <c r="BG673" t="s">
        <v>724</v>
      </c>
      <c r="BI673">
        <v>109</v>
      </c>
      <c r="BJ673">
        <v>59</v>
      </c>
      <c r="BK673" s="466"/>
    </row>
    <row r="674" spans="1:63" hidden="1" x14ac:dyDescent="0.25">
      <c r="A674" s="40"/>
      <c r="B674" s="41"/>
      <c r="C674" s="121">
        <f>Таблица3[[#This Row],[Степень зрелости вспом]]</f>
        <v>66</v>
      </c>
      <c r="D674" s="42">
        <v>859</v>
      </c>
      <c r="E674" s="147"/>
      <c r="F674" s="41"/>
      <c r="G674" s="41">
        <v>12810</v>
      </c>
      <c r="H674" s="69"/>
      <c r="I674" s="41">
        <v>11400.9</v>
      </c>
      <c r="J674" s="40" t="s">
        <v>3375</v>
      </c>
      <c r="K674" s="40" t="s">
        <v>900</v>
      </c>
      <c r="L674" s="40" t="s">
        <v>3108</v>
      </c>
      <c r="M674" s="40" t="s">
        <v>212</v>
      </c>
      <c r="N674" s="40"/>
      <c r="O674" s="40"/>
      <c r="P674" s="40"/>
      <c r="Q674" s="40"/>
      <c r="R674" s="40" t="s">
        <v>2965</v>
      </c>
      <c r="S674" s="40"/>
      <c r="T674" s="70" t="s">
        <v>3108</v>
      </c>
      <c r="U674" s="70" t="s">
        <v>900</v>
      </c>
      <c r="V674" s="45">
        <f>26*Таблица3[[#This Row],[Регистратор.Вес нетто]]/82260</f>
        <v>4.0488694383661556</v>
      </c>
      <c r="W674" s="44" t="s">
        <v>2932</v>
      </c>
      <c r="X674" s="45" t="s">
        <v>178</v>
      </c>
      <c r="Y674" s="486">
        <v>33</v>
      </c>
      <c r="Z674" s="103">
        <v>46209</v>
      </c>
      <c r="AA674" s="45"/>
      <c r="AB674" s="43" t="s">
        <v>4038</v>
      </c>
      <c r="AC674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74" s="360" t="s">
        <v>3230</v>
      </c>
      <c r="AE674" s="40">
        <v>715</v>
      </c>
      <c r="AF674" s="103">
        <v>46209</v>
      </c>
      <c r="AG674" s="40">
        <v>449</v>
      </c>
      <c r="AH674" s="40">
        <f>IFERROR(VLOOKUP(Таблица3[[#This Row],[№ акта]],'Степень зрелости 2026'!$H$12:$I$800,2,FALSE),)</f>
        <v>66</v>
      </c>
      <c r="AJ674">
        <v>684</v>
      </c>
      <c r="AK674" s="34">
        <v>46208</v>
      </c>
      <c r="AL674">
        <v>822</v>
      </c>
      <c r="AO674">
        <v>13410</v>
      </c>
      <c r="AP674">
        <v>11532.6</v>
      </c>
      <c r="AQ674" t="s">
        <v>3375</v>
      </c>
      <c r="AR674" t="s">
        <v>900</v>
      </c>
      <c r="AS674" t="s">
        <v>3108</v>
      </c>
      <c r="AT674" t="s">
        <v>1312</v>
      </c>
      <c r="AV674" t="s">
        <v>320</v>
      </c>
      <c r="AX674" t="s">
        <v>3108</v>
      </c>
      <c r="AY674" t="s">
        <v>900</v>
      </c>
      <c r="AZ674">
        <v>4.3</v>
      </c>
      <c r="BA674" t="s">
        <v>2932</v>
      </c>
      <c r="BB674" t="s">
        <v>178</v>
      </c>
      <c r="BC674">
        <v>32</v>
      </c>
      <c r="BD674" s="34">
        <v>46208</v>
      </c>
      <c r="BG674" t="s">
        <v>724</v>
      </c>
      <c r="BI674">
        <v>434</v>
      </c>
      <c r="BJ674">
        <v>58</v>
      </c>
      <c r="BK674" s="466"/>
    </row>
    <row r="675" spans="1:63" ht="22.5" hidden="1" x14ac:dyDescent="0.25">
      <c r="A675" s="40"/>
      <c r="B675" s="41"/>
      <c r="C675" s="121">
        <f>Таблица3[[#This Row],[Степень зрелости вспом]]</f>
        <v>74</v>
      </c>
      <c r="D675" s="42">
        <v>860</v>
      </c>
      <c r="E675" s="147"/>
      <c r="F675" s="41"/>
      <c r="G675" s="41">
        <v>14580</v>
      </c>
      <c r="H675" s="69"/>
      <c r="I675" s="41">
        <v>13705.2</v>
      </c>
      <c r="J675" s="40" t="s">
        <v>3645</v>
      </c>
      <c r="K675" s="40" t="s">
        <v>897</v>
      </c>
      <c r="L675" s="40" t="s">
        <v>3121</v>
      </c>
      <c r="M675" s="40" t="s">
        <v>3377</v>
      </c>
      <c r="N675" s="40"/>
      <c r="O675" s="40"/>
      <c r="P675" s="40"/>
      <c r="Q675" s="40"/>
      <c r="R675" s="40" t="s">
        <v>3196</v>
      </c>
      <c r="S675" s="40"/>
      <c r="T675" s="70" t="s">
        <v>3121</v>
      </c>
      <c r="U675" s="70" t="s">
        <v>897</v>
      </c>
      <c r="V675" s="45">
        <f>12*Таблица3[[#This Row],[Регистратор.Вес нетто]]/81330</f>
        <v>2.1512357063814092</v>
      </c>
      <c r="W675" s="44" t="s">
        <v>53</v>
      </c>
      <c r="X675" s="45" t="s">
        <v>178</v>
      </c>
      <c r="Y675" s="486">
        <v>33</v>
      </c>
      <c r="Z675" s="103">
        <v>46209</v>
      </c>
      <c r="AA675" s="45"/>
      <c r="AB675" s="43" t="s">
        <v>4038</v>
      </c>
      <c r="AC675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75" s="360" t="s">
        <v>3273</v>
      </c>
      <c r="AE675" s="40">
        <v>716</v>
      </c>
      <c r="AF675" s="103">
        <v>46209</v>
      </c>
      <c r="AG675" s="40">
        <v>125</v>
      </c>
      <c r="AH675" s="40">
        <f>IFERROR(VLOOKUP(Таблица3[[#This Row],[№ акта]],'Степень зрелости 2026'!$H$12:$I$800,2,FALSE),)</f>
        <v>74</v>
      </c>
      <c r="AJ675">
        <v>685</v>
      </c>
      <c r="AK675" s="34">
        <v>46208</v>
      </c>
      <c r="AL675">
        <v>823</v>
      </c>
      <c r="AO675">
        <v>4640</v>
      </c>
      <c r="AP675">
        <v>4222.3999999999996</v>
      </c>
      <c r="AQ675" t="s">
        <v>3375</v>
      </c>
      <c r="AR675" t="s">
        <v>900</v>
      </c>
      <c r="AS675" t="s">
        <v>3108</v>
      </c>
      <c r="AT675" t="s">
        <v>762</v>
      </c>
      <c r="AV675" t="s">
        <v>763</v>
      </c>
      <c r="AX675" t="s">
        <v>3108</v>
      </c>
      <c r="AY675" t="s">
        <v>900</v>
      </c>
      <c r="AZ675">
        <v>1.5</v>
      </c>
      <c r="BA675" t="s">
        <v>2932</v>
      </c>
      <c r="BB675" t="s">
        <v>178</v>
      </c>
      <c r="BC675">
        <v>32</v>
      </c>
      <c r="BD675" s="34">
        <v>46208</v>
      </c>
      <c r="BG675" t="s">
        <v>724</v>
      </c>
      <c r="BI675">
        <v>435</v>
      </c>
      <c r="BJ675">
        <v>61</v>
      </c>
      <c r="BK675" s="466"/>
    </row>
    <row r="676" spans="1:63" ht="22.5" hidden="1" x14ac:dyDescent="0.25">
      <c r="A676" s="40"/>
      <c r="B676" s="41"/>
      <c r="C676" s="121">
        <f>Таблица3[[#This Row],[Степень зрелости вспом]]</f>
        <v>73</v>
      </c>
      <c r="D676" s="42">
        <v>861</v>
      </c>
      <c r="E676" s="147"/>
      <c r="F676" s="41"/>
      <c r="G676" s="41">
        <v>14150</v>
      </c>
      <c r="H676" s="69"/>
      <c r="I676" s="41">
        <v>13230.3</v>
      </c>
      <c r="J676" s="40" t="s">
        <v>3645</v>
      </c>
      <c r="K676" s="40" t="s">
        <v>897</v>
      </c>
      <c r="L676" s="40" t="s">
        <v>3121</v>
      </c>
      <c r="M676" s="40" t="s">
        <v>347</v>
      </c>
      <c r="N676" s="40"/>
      <c r="O676" s="40"/>
      <c r="P676" s="40"/>
      <c r="Q676" s="40"/>
      <c r="R676" s="40" t="s">
        <v>351</v>
      </c>
      <c r="S676" s="40"/>
      <c r="T676" s="70" t="s">
        <v>3121</v>
      </c>
      <c r="U676" s="70" t="s">
        <v>897</v>
      </c>
      <c r="V676" s="45">
        <f>12*Таблица3[[#This Row],[Регистратор.Вес нетто]]/81330</f>
        <v>2.0877904832165251</v>
      </c>
      <c r="W676" s="44" t="s">
        <v>53</v>
      </c>
      <c r="X676" s="45" t="s">
        <v>178</v>
      </c>
      <c r="Y676" s="486">
        <v>33</v>
      </c>
      <c r="Z676" s="103">
        <v>46209</v>
      </c>
      <c r="AA676" s="45"/>
      <c r="AB676" s="43" t="s">
        <v>4038</v>
      </c>
      <c r="AC676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76" s="360" t="s">
        <v>3273</v>
      </c>
      <c r="AE676" s="40">
        <v>717</v>
      </c>
      <c r="AF676" s="103">
        <v>46210</v>
      </c>
      <c r="AG676" s="40">
        <v>126</v>
      </c>
      <c r="AH676" s="40">
        <f>IFERROR(VLOOKUP(Таблица3[[#This Row],[№ акта]],'Степень зрелости 2026'!$H$12:$I$800,2,FALSE),)</f>
        <v>73</v>
      </c>
      <c r="AJ676">
        <v>686</v>
      </c>
      <c r="AK676" s="34">
        <v>46208</v>
      </c>
      <c r="AL676">
        <v>824</v>
      </c>
      <c r="AO676">
        <v>13520</v>
      </c>
      <c r="AP676">
        <v>12506</v>
      </c>
      <c r="AQ676" t="s">
        <v>3645</v>
      </c>
      <c r="AR676" t="s">
        <v>897</v>
      </c>
      <c r="AS676" t="s">
        <v>3123</v>
      </c>
      <c r="AT676" t="s">
        <v>1151</v>
      </c>
      <c r="AV676" t="s">
        <v>145</v>
      </c>
      <c r="AX676" t="s">
        <v>3123</v>
      </c>
      <c r="AY676" t="s">
        <v>901</v>
      </c>
      <c r="AZ676">
        <v>2.6</v>
      </c>
      <c r="BA676" t="s">
        <v>53</v>
      </c>
      <c r="BB676" t="s">
        <v>178</v>
      </c>
      <c r="BC676">
        <v>32</v>
      </c>
      <c r="BD676" s="34">
        <v>46208</v>
      </c>
      <c r="BG676" t="s">
        <v>724</v>
      </c>
      <c r="BI676">
        <v>110</v>
      </c>
      <c r="BJ676">
        <v>59</v>
      </c>
      <c r="BK676" s="466"/>
    </row>
    <row r="677" spans="1:63" ht="22.5" hidden="1" x14ac:dyDescent="0.25">
      <c r="A677" s="40"/>
      <c r="B677" s="41"/>
      <c r="C677" s="121">
        <f>Таблица3[[#This Row],[Степень зрелости вспом]]</f>
        <v>73</v>
      </c>
      <c r="D677" s="42">
        <v>862</v>
      </c>
      <c r="E677" s="147"/>
      <c r="F677" s="41"/>
      <c r="G677" s="41">
        <v>12280</v>
      </c>
      <c r="H677" s="69"/>
      <c r="I677" s="41">
        <v>11359</v>
      </c>
      <c r="J677" s="40" t="s">
        <v>3645</v>
      </c>
      <c r="K677" s="40" t="s">
        <v>897</v>
      </c>
      <c r="L677" s="40" t="s">
        <v>3121</v>
      </c>
      <c r="M677" s="40" t="s">
        <v>3554</v>
      </c>
      <c r="N677" s="40"/>
      <c r="O677" s="40"/>
      <c r="P677" s="40"/>
      <c r="Q677" s="40"/>
      <c r="R677" s="40" t="s">
        <v>3555</v>
      </c>
      <c r="S677" s="40"/>
      <c r="T677" s="70" t="s">
        <v>3121</v>
      </c>
      <c r="U677" s="70" t="s">
        <v>897</v>
      </c>
      <c r="V677" s="45">
        <f>12*Таблица3[[#This Row],[Регистратор.Вес нетто]]/81330+0.1</f>
        <v>1.9118775359645888</v>
      </c>
      <c r="W677" s="44" t="s">
        <v>53</v>
      </c>
      <c r="X677" s="45" t="s">
        <v>178</v>
      </c>
      <c r="Y677" s="486">
        <v>33</v>
      </c>
      <c r="Z677" s="103">
        <v>46209</v>
      </c>
      <c r="AA677" s="45"/>
      <c r="AB677" s="43" t="s">
        <v>4038</v>
      </c>
      <c r="AC677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677" s="360" t="s">
        <v>3273</v>
      </c>
      <c r="AE677" s="40">
        <v>718</v>
      </c>
      <c r="AF677" s="103">
        <v>46210</v>
      </c>
      <c r="AG677" s="40">
        <v>127</v>
      </c>
      <c r="AH677" s="40">
        <f>IFERROR(VLOOKUP(Таблица3[[#This Row],[№ акта]],'Степень зрелости 2026'!$H$12:$I$800,2,FALSE),)</f>
        <v>73</v>
      </c>
      <c r="AJ677">
        <v>687</v>
      </c>
      <c r="AK677" s="34">
        <v>46208</v>
      </c>
      <c r="AL677">
        <v>826</v>
      </c>
      <c r="AO677">
        <v>13450</v>
      </c>
      <c r="AP677">
        <v>12306.8</v>
      </c>
      <c r="AQ677" t="s">
        <v>3645</v>
      </c>
      <c r="AR677" t="s">
        <v>897</v>
      </c>
      <c r="AS677" t="s">
        <v>3123</v>
      </c>
      <c r="AT677" t="s">
        <v>3892</v>
      </c>
      <c r="AV677" t="s">
        <v>1368</v>
      </c>
      <c r="AX677" t="s">
        <v>3123</v>
      </c>
      <c r="AY677" t="s">
        <v>901</v>
      </c>
      <c r="AZ677">
        <v>2.6</v>
      </c>
      <c r="BA677" t="s">
        <v>53</v>
      </c>
      <c r="BB677" t="s">
        <v>178</v>
      </c>
      <c r="BC677">
        <v>32</v>
      </c>
      <c r="BD677" s="34">
        <v>46208</v>
      </c>
      <c r="BG677" t="s">
        <v>724</v>
      </c>
      <c r="BI677">
        <v>111</v>
      </c>
      <c r="BJ677">
        <v>59</v>
      </c>
      <c r="BK677" s="466"/>
    </row>
    <row r="678" spans="1:63" ht="33.75" hidden="1" x14ac:dyDescent="0.25">
      <c r="A678" s="40"/>
      <c r="B678" s="41"/>
      <c r="C678" s="121">
        <f>Таблица3[[#This Row],[Степень зрелости вспом]]</f>
        <v>62</v>
      </c>
      <c r="D678" s="42"/>
      <c r="E678" s="147"/>
      <c r="F678" s="41"/>
      <c r="G678" s="41">
        <v>17720</v>
      </c>
      <c r="H678" s="69"/>
      <c r="I678" s="41">
        <v>16018</v>
      </c>
      <c r="J678" s="40" t="s">
        <v>3464</v>
      </c>
      <c r="K678" s="40" t="s">
        <v>909</v>
      </c>
      <c r="L678" s="40" t="s">
        <v>3115</v>
      </c>
      <c r="M678" s="40" t="s">
        <v>3600</v>
      </c>
      <c r="N678" s="40"/>
      <c r="O678" s="40"/>
      <c r="P678" s="40"/>
      <c r="Q678" s="40"/>
      <c r="R678" s="40" t="s">
        <v>3741</v>
      </c>
      <c r="S678" s="40"/>
      <c r="T678" s="70" t="str">
        <f>VLOOKUP(Таблица3[[#This Row],[№ акта]],$AJ$1:$BJ$691,15,FALSE)</f>
        <v>18 Агролидер</v>
      </c>
      <c r="U678" s="70" t="str">
        <f>VLOOKUP(Таблица3[[#This Row],[№ акта]],$AJ$1:$BJ$691,16,FALSE)</f>
        <v>Тристар</v>
      </c>
      <c r="V678" s="45">
        <f>VLOOKUP(Таблица3[[#This Row],[№ акта]],$AJ$1:$BJ$691,17,FALSE)</f>
        <v>2.6</v>
      </c>
      <c r="W678" s="44" t="str">
        <f>VLOOKUP(Таблица3[[#This Row],[№ акта]],$AJ$1:$BJ$691,18,FALSE)</f>
        <v>Агролидер (полив)</v>
      </c>
      <c r="X678" s="45" t="str">
        <f>VLOOKUP(Таблица3[[#This Row],[№ акта]],$AJ$1:$BJ$691,19,FALSE)</f>
        <v>полив</v>
      </c>
      <c r="Y678" s="485">
        <f>VLOOKUP(Таблица3[[#This Row],[№ акта]],$AJ$1:$BJ$691,20,FALSE)</f>
        <v>24</v>
      </c>
      <c r="Z678" s="103">
        <f>VLOOKUP(Таблица3[[#This Row],[№ акта]],$AJ$1:$BJ$691,21,FALSE)</f>
        <v>46200</v>
      </c>
      <c r="AA678" s="45">
        <f>Таблица3[[#This Row],[Регистратор.Вес нетто]]</f>
        <v>17720</v>
      </c>
      <c r="AB678" s="43" t="str">
        <f>IF(VLOOKUP(Таблица3[[#This Row],[№ акта]],$AJ$1:$BJ$691,23,FALSE)&lt;&gt;0,VLOOKUP(Таблица3[[#This Row],[№ акта]],$AJ$1:$BJ$691,23,FALSE),"-")</f>
        <v>ГРАНД-СТАР ООО</v>
      </c>
      <c r="AC678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78" s="360" t="s">
        <v>2940</v>
      </c>
      <c r="AE678" s="40">
        <v>550</v>
      </c>
      <c r="AF678" s="103">
        <v>46200</v>
      </c>
      <c r="AG678" s="40" t="s">
        <v>3740</v>
      </c>
      <c r="AH678" s="40">
        <f>IFERROR(VLOOKUP(Таблица3[[#This Row],[№ акта]],'Степень зрелости 2026'!$H$12:$I$800,2,FALSE),)</f>
        <v>62</v>
      </c>
      <c r="AJ678">
        <v>688</v>
      </c>
      <c r="AK678" s="34">
        <v>46208</v>
      </c>
      <c r="AL678">
        <v>827</v>
      </c>
      <c r="AO678">
        <v>13490</v>
      </c>
      <c r="AP678">
        <v>12208.5</v>
      </c>
      <c r="AQ678" t="s">
        <v>3375</v>
      </c>
      <c r="AR678" t="s">
        <v>900</v>
      </c>
      <c r="AS678" t="s">
        <v>3108</v>
      </c>
      <c r="AT678" t="s">
        <v>894</v>
      </c>
      <c r="AV678" t="s">
        <v>895</v>
      </c>
      <c r="AX678" t="s">
        <v>3108</v>
      </c>
      <c r="AY678" t="s">
        <v>900</v>
      </c>
      <c r="AZ678">
        <v>4.3</v>
      </c>
      <c r="BA678" t="s">
        <v>2932</v>
      </c>
      <c r="BB678" t="s">
        <v>178</v>
      </c>
      <c r="BC678">
        <v>32</v>
      </c>
      <c r="BD678" s="34">
        <v>46208</v>
      </c>
      <c r="BG678" t="s">
        <v>3559</v>
      </c>
      <c r="BI678">
        <v>436</v>
      </c>
      <c r="BJ678">
        <v>65</v>
      </c>
      <c r="BK678" s="466"/>
    </row>
    <row r="679" spans="1:63" ht="33.75" hidden="1" x14ac:dyDescent="0.25">
      <c r="A679" s="40"/>
      <c r="B679" s="41"/>
      <c r="C679" s="121">
        <f>Таблица3[[#This Row],[Степень зрелости вспом]]</f>
        <v>65</v>
      </c>
      <c r="D679" s="42"/>
      <c r="E679" s="147"/>
      <c r="F679" s="41"/>
      <c r="G679" s="41">
        <v>17680</v>
      </c>
      <c r="H679" s="69"/>
      <c r="I679" s="41">
        <v>16194</v>
      </c>
      <c r="J679" s="40" t="s">
        <v>3464</v>
      </c>
      <c r="K679" s="40" t="s">
        <v>909</v>
      </c>
      <c r="L679" s="40" t="s">
        <v>3115</v>
      </c>
      <c r="M679" s="40" t="s">
        <v>3979</v>
      </c>
      <c r="N679" s="40"/>
      <c r="O679" s="40"/>
      <c r="P679" s="40"/>
      <c r="Q679" s="40"/>
      <c r="R679" s="40" t="s">
        <v>3980</v>
      </c>
      <c r="S679" s="40"/>
      <c r="T679" s="70" t="str">
        <f>VLOOKUP(Таблица3[[#This Row],[№ акта]],$AJ$1:$BJ$691,15,FALSE)</f>
        <v>17 Агролидер</v>
      </c>
      <c r="U679" s="70" t="str">
        <f>VLOOKUP(Таблица3[[#This Row],[№ акта]],$AJ$1:$BJ$691,16,FALSE)</f>
        <v>Тристар</v>
      </c>
      <c r="V679" s="45">
        <f>VLOOKUP(Таблица3[[#This Row],[№ акта]],$AJ$1:$BJ$691,17,FALSE)</f>
        <v>4.5999999999999996</v>
      </c>
      <c r="W679" s="44" t="str">
        <f>VLOOKUP(Таблица3[[#This Row],[№ акта]],$AJ$1:$BJ$691,18,FALSE)</f>
        <v>Агролидер (полив)</v>
      </c>
      <c r="X679" s="45" t="str">
        <f>VLOOKUP(Таблица3[[#This Row],[№ акта]],$AJ$1:$BJ$691,19,FALSE)</f>
        <v>полив</v>
      </c>
      <c r="Y679" s="485">
        <f>VLOOKUP(Таблица3[[#This Row],[№ акта]],$AJ$1:$BJ$691,20,FALSE)</f>
        <v>24</v>
      </c>
      <c r="Z679" s="103">
        <f>VLOOKUP(Таблица3[[#This Row],[№ акта]],$AJ$1:$BJ$691,21,FALSE)</f>
        <v>46200</v>
      </c>
      <c r="AA679" s="45">
        <f>Таблица3[[#This Row],[Регистратор.Вес нетто]]</f>
        <v>17680</v>
      </c>
      <c r="AB679" s="43" t="str">
        <f>IF(VLOOKUP(Таблица3[[#This Row],[№ акта]],$AJ$1:$BJ$691,23,FALSE)&lt;&gt;0,VLOOKUP(Таблица3[[#This Row],[№ акта]],$AJ$1:$BJ$691,23,FALSE),"-")</f>
        <v>ГРАНД-СТАР ООО</v>
      </c>
      <c r="AC679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79" s="360" t="s">
        <v>3230</v>
      </c>
      <c r="AE679" s="40">
        <v>567</v>
      </c>
      <c r="AF679" s="103">
        <v>46200</v>
      </c>
      <c r="AG679" s="40" t="s">
        <v>3978</v>
      </c>
      <c r="AH679" s="418">
        <v>65</v>
      </c>
      <c r="AJ679">
        <v>689</v>
      </c>
      <c r="AK679" s="34">
        <v>46208</v>
      </c>
      <c r="AL679">
        <v>829</v>
      </c>
      <c r="AO679">
        <v>13640</v>
      </c>
      <c r="AP679">
        <v>11798.6</v>
      </c>
      <c r="AQ679" t="s">
        <v>3375</v>
      </c>
      <c r="AR679" t="s">
        <v>900</v>
      </c>
      <c r="AS679" t="s">
        <v>3108</v>
      </c>
      <c r="AT679" t="s">
        <v>1312</v>
      </c>
      <c r="AV679" t="s">
        <v>320</v>
      </c>
      <c r="AX679" t="s">
        <v>3108</v>
      </c>
      <c r="AY679" t="s">
        <v>900</v>
      </c>
      <c r="AZ679">
        <v>4.3</v>
      </c>
      <c r="BA679" t="s">
        <v>2932</v>
      </c>
      <c r="BB679" t="s">
        <v>178</v>
      </c>
      <c r="BC679">
        <v>32</v>
      </c>
      <c r="BD679" s="34">
        <v>46208</v>
      </c>
      <c r="BG679" t="s">
        <v>3559</v>
      </c>
      <c r="BI679">
        <v>437</v>
      </c>
      <c r="BJ679">
        <v>64</v>
      </c>
      <c r="BK679" s="466"/>
    </row>
    <row r="680" spans="1:63" ht="33.75" hidden="1" x14ac:dyDescent="0.25">
      <c r="A680" s="40"/>
      <c r="B680" s="41"/>
      <c r="C680" s="121">
        <f>Таблица3[[#This Row],[Степень зрелости вспом]]</f>
        <v>65</v>
      </c>
      <c r="D680" s="42"/>
      <c r="E680" s="147"/>
      <c r="F680" s="41"/>
      <c r="G680" s="41">
        <v>17480</v>
      </c>
      <c r="H680" s="69"/>
      <c r="I680" s="41">
        <v>15818</v>
      </c>
      <c r="J680" s="40" t="s">
        <v>3464</v>
      </c>
      <c r="K680" s="40" t="s">
        <v>909</v>
      </c>
      <c r="L680" s="40" t="s">
        <v>3115</v>
      </c>
      <c r="M680" s="40" t="s">
        <v>3982</v>
      </c>
      <c r="N680" s="40"/>
      <c r="O680" s="40"/>
      <c r="P680" s="40"/>
      <c r="Q680" s="40"/>
      <c r="R680" s="40" t="s">
        <v>3983</v>
      </c>
      <c r="S680" s="40"/>
      <c r="T680" s="70" t="str">
        <f>VLOOKUP(Таблица3[[#This Row],[№ акта]],$AJ$1:$BJ$691,15,FALSE)</f>
        <v>17 Агролидер</v>
      </c>
      <c r="U680" s="70" t="str">
        <f>VLOOKUP(Таблица3[[#This Row],[№ акта]],$AJ$1:$BJ$691,16,FALSE)</f>
        <v>Тристар</v>
      </c>
      <c r="V680" s="45">
        <f>VLOOKUP(Таблица3[[#This Row],[№ акта]],$AJ$1:$BJ$691,17,FALSE)</f>
        <v>4.5</v>
      </c>
      <c r="W680" s="44" t="str">
        <f>VLOOKUP(Таблица3[[#This Row],[№ акта]],$AJ$1:$BJ$691,18,FALSE)</f>
        <v>Агролидер (полив)</v>
      </c>
      <c r="X680" s="45" t="str">
        <f>VLOOKUP(Таблица3[[#This Row],[№ акта]],$AJ$1:$BJ$691,19,FALSE)</f>
        <v>полив</v>
      </c>
      <c r="Y680" s="485">
        <f>VLOOKUP(Таблица3[[#This Row],[№ акта]],$AJ$1:$BJ$691,20,FALSE)</f>
        <v>24</v>
      </c>
      <c r="Z680" s="103">
        <f>VLOOKUP(Таблица3[[#This Row],[№ акта]],$AJ$1:$BJ$691,21,FALSE)</f>
        <v>46200</v>
      </c>
      <c r="AA680" s="45">
        <f>Таблица3[[#This Row],[Регистратор.Вес нетто]]</f>
        <v>17480</v>
      </c>
      <c r="AB680" s="43" t="str">
        <f>IF(VLOOKUP(Таблица3[[#This Row],[№ акта]],$AJ$1:$BJ$691,23,FALSE)&lt;&gt;0,VLOOKUP(Таблица3[[#This Row],[№ акта]],$AJ$1:$BJ$691,23,FALSE),"-")</f>
        <v>ГРАНД-СТАР ООО</v>
      </c>
      <c r="AC680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80" s="360" t="s">
        <v>3230</v>
      </c>
      <c r="AE680" s="40">
        <v>568</v>
      </c>
      <c r="AF680" s="103">
        <v>46200</v>
      </c>
      <c r="AG680" s="40" t="s">
        <v>3981</v>
      </c>
      <c r="AH680" s="40">
        <f>IFERROR(VLOOKUP(Таблица3[[#This Row],[№ акта]],'Степень зрелости 2026'!$H$12:$I$800,2,FALSE),)</f>
        <v>65</v>
      </c>
      <c r="AJ680">
        <v>690</v>
      </c>
      <c r="AK680" s="34">
        <v>46208</v>
      </c>
      <c r="AL680">
        <v>830</v>
      </c>
      <c r="AO680">
        <v>4430</v>
      </c>
      <c r="AP680">
        <v>3942.7</v>
      </c>
      <c r="AQ680" t="s">
        <v>3375</v>
      </c>
      <c r="AR680" t="s">
        <v>900</v>
      </c>
      <c r="AS680" t="s">
        <v>3108</v>
      </c>
      <c r="AT680" t="s">
        <v>762</v>
      </c>
      <c r="AV680" t="s">
        <v>763</v>
      </c>
      <c r="AX680" t="s">
        <v>3108</v>
      </c>
      <c r="AY680" t="s">
        <v>900</v>
      </c>
      <c r="AZ680">
        <v>1.4</v>
      </c>
      <c r="BA680" t="s">
        <v>2932</v>
      </c>
      <c r="BB680" t="s">
        <v>178</v>
      </c>
      <c r="BC680">
        <v>32</v>
      </c>
      <c r="BD680" s="34">
        <v>46208</v>
      </c>
      <c r="BG680" t="s">
        <v>3559</v>
      </c>
      <c r="BI680">
        <v>438</v>
      </c>
      <c r="BJ680">
        <v>66</v>
      </c>
      <c r="BK680" s="466"/>
    </row>
    <row r="681" spans="1:63" ht="33.75" hidden="1" x14ac:dyDescent="0.25">
      <c r="A681" s="40"/>
      <c r="B681" s="41"/>
      <c r="C681" s="121">
        <f>Таблица3[[#This Row],[Степень зрелости вспом]]</f>
        <v>66</v>
      </c>
      <c r="D681" s="42"/>
      <c r="E681" s="147"/>
      <c r="F681" s="41"/>
      <c r="G681" s="41">
        <v>18080</v>
      </c>
      <c r="H681" s="69"/>
      <c r="I681" s="41">
        <v>16029</v>
      </c>
      <c r="J681" s="40" t="s">
        <v>3464</v>
      </c>
      <c r="K681" s="40" t="s">
        <v>909</v>
      </c>
      <c r="L681" s="40" t="s">
        <v>3115</v>
      </c>
      <c r="M681" s="40" t="s">
        <v>195</v>
      </c>
      <c r="N681" s="40"/>
      <c r="O681" s="40"/>
      <c r="P681" s="40"/>
      <c r="Q681" s="40"/>
      <c r="R681" s="40" t="s">
        <v>3985</v>
      </c>
      <c r="S681" s="40"/>
      <c r="T681" s="70" t="str">
        <f>VLOOKUP(Таблица3[[#This Row],[№ акта]],$AJ$1:$BJ$691,15,FALSE)</f>
        <v>17 Агролидер</v>
      </c>
      <c r="U681" s="70" t="str">
        <f>VLOOKUP(Таблица3[[#This Row],[№ акта]],$AJ$1:$BJ$691,16,FALSE)</f>
        <v>Тристар</v>
      </c>
      <c r="V681" s="45">
        <f>VLOOKUP(Таблица3[[#This Row],[№ акта]],$AJ$1:$BJ$691,17,FALSE)</f>
        <v>4.7</v>
      </c>
      <c r="W681" s="44" t="str">
        <f>VLOOKUP(Таблица3[[#This Row],[№ акта]],$AJ$1:$BJ$691,18,FALSE)</f>
        <v>Агролидер (полив)</v>
      </c>
      <c r="X681" s="45" t="str">
        <f>VLOOKUP(Таблица3[[#This Row],[№ акта]],$AJ$1:$BJ$691,19,FALSE)</f>
        <v>полив</v>
      </c>
      <c r="Y681" s="485">
        <f>VLOOKUP(Таблица3[[#This Row],[№ акта]],$AJ$1:$BJ$691,20,FALSE)</f>
        <v>24</v>
      </c>
      <c r="Z681" s="103">
        <f>VLOOKUP(Таблица3[[#This Row],[№ акта]],$AJ$1:$BJ$691,21,FALSE)</f>
        <v>46200</v>
      </c>
      <c r="AA681" s="45">
        <f>Таблица3[[#This Row],[Регистратор.Вес нетто]]</f>
        <v>18080</v>
      </c>
      <c r="AB681" s="43" t="str">
        <f>IF(VLOOKUP(Таблица3[[#This Row],[№ акта]],$AJ$1:$BJ$691,23,FALSE)&lt;&gt;0,VLOOKUP(Таблица3[[#This Row],[№ акта]],$AJ$1:$BJ$691,23,FALSE),"-")</f>
        <v>ГРАНД-СТАР ООО</v>
      </c>
      <c r="AC681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81" s="360" t="s">
        <v>3230</v>
      </c>
      <c r="AE681" s="40">
        <v>569</v>
      </c>
      <c r="AF681" s="103">
        <v>46200</v>
      </c>
      <c r="AG681" s="40" t="s">
        <v>3984</v>
      </c>
      <c r="AH681" s="40">
        <f>IFERROR(VLOOKUP(Таблица3[[#This Row],[№ акта]],'Степень зрелости 2026'!$H$12:$I$800,2,FALSE),)</f>
        <v>66</v>
      </c>
      <c r="AJ681">
        <v>694</v>
      </c>
      <c r="AK681" s="34">
        <v>46208</v>
      </c>
      <c r="AL681">
        <v>835</v>
      </c>
      <c r="AO681">
        <v>12930</v>
      </c>
      <c r="AP681">
        <v>12283.5</v>
      </c>
      <c r="AQ681" t="s">
        <v>3645</v>
      </c>
      <c r="AR681" t="s">
        <v>897</v>
      </c>
      <c r="AS681" t="s">
        <v>3123</v>
      </c>
      <c r="AT681" t="s">
        <v>3838</v>
      </c>
      <c r="AV681" t="s">
        <v>270</v>
      </c>
      <c r="AX681" t="s">
        <v>3123</v>
      </c>
      <c r="AY681" t="s">
        <v>901</v>
      </c>
      <c r="AZ681">
        <v>2.5</v>
      </c>
      <c r="BA681" t="s">
        <v>53</v>
      </c>
      <c r="BB681" t="s">
        <v>178</v>
      </c>
      <c r="BC681">
        <v>32</v>
      </c>
      <c r="BD681" s="34">
        <v>46208</v>
      </c>
      <c r="BG681" t="s">
        <v>3559</v>
      </c>
      <c r="BI681">
        <v>113</v>
      </c>
      <c r="BJ681">
        <v>64</v>
      </c>
      <c r="BK681" s="466"/>
    </row>
    <row r="682" spans="1:63" ht="33.75" hidden="1" x14ac:dyDescent="0.25">
      <c r="A682" s="40"/>
      <c r="B682" s="41"/>
      <c r="C682" s="121">
        <f>Таблица3[[#This Row],[Степень зрелости вспом]]</f>
        <v>65</v>
      </c>
      <c r="D682" s="42"/>
      <c r="E682" s="147"/>
      <c r="F682" s="41"/>
      <c r="G682" s="41">
        <v>15140</v>
      </c>
      <c r="H682" s="69"/>
      <c r="I682" s="41">
        <v>13796</v>
      </c>
      <c r="J682" s="40" t="s">
        <v>3464</v>
      </c>
      <c r="K682" s="40" t="s">
        <v>909</v>
      </c>
      <c r="L682" s="40" t="s">
        <v>3115</v>
      </c>
      <c r="M682" s="40" t="s">
        <v>1880</v>
      </c>
      <c r="N682" s="40"/>
      <c r="O682" s="40"/>
      <c r="P682" s="40"/>
      <c r="Q682" s="40"/>
      <c r="R682" s="40" t="s">
        <v>3987</v>
      </c>
      <c r="S682" s="40"/>
      <c r="T682" s="70" t="str">
        <f>VLOOKUP(Таблица3[[#This Row],[№ акта]],$AJ$1:$BJ$691,15,FALSE)</f>
        <v>17 Агролидер</v>
      </c>
      <c r="U682" s="70" t="str">
        <f>VLOOKUP(Таблица3[[#This Row],[№ акта]],$AJ$1:$BJ$691,16,FALSE)</f>
        <v>Тристар</v>
      </c>
      <c r="V682" s="45">
        <f>VLOOKUP(Таблица3[[#This Row],[№ акта]],$AJ$1:$BJ$691,17,FALSE)</f>
        <v>4.4000000000000004</v>
      </c>
      <c r="W682" s="44" t="str">
        <f>VLOOKUP(Таблица3[[#This Row],[№ акта]],$AJ$1:$BJ$691,18,FALSE)</f>
        <v>Агролидер (полив)</v>
      </c>
      <c r="X682" s="45" t="str">
        <f>VLOOKUP(Таблица3[[#This Row],[№ акта]],$AJ$1:$BJ$691,19,FALSE)</f>
        <v>полив</v>
      </c>
      <c r="Y682" s="485">
        <f>VLOOKUP(Таблица3[[#This Row],[№ акта]],$AJ$1:$BJ$691,20,FALSE)</f>
        <v>24</v>
      </c>
      <c r="Z682" s="103">
        <f>VLOOKUP(Таблица3[[#This Row],[№ акта]],$AJ$1:$BJ$691,21,FALSE)</f>
        <v>46200</v>
      </c>
      <c r="AA682" s="45">
        <f>Таблица3[[#This Row],[Регистратор.Вес нетто]]</f>
        <v>15140</v>
      </c>
      <c r="AB682" s="43" t="str">
        <f>IF(VLOOKUP(Таблица3[[#This Row],[№ акта]],$AJ$1:$BJ$691,23,FALSE)&lt;&gt;0,VLOOKUP(Таблица3[[#This Row],[№ акта]],$AJ$1:$BJ$691,23,FALSE),"-")</f>
        <v>ГРАНД-СТАР ООО</v>
      </c>
      <c r="AC682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82" s="360" t="s">
        <v>3230</v>
      </c>
      <c r="AE682" s="40">
        <v>570</v>
      </c>
      <c r="AF682" s="103">
        <v>46200</v>
      </c>
      <c r="AG682" s="40" t="s">
        <v>3986</v>
      </c>
      <c r="AH682" s="40">
        <f>IFERROR(VLOOKUP(Таблица3[[#This Row],[№ акта]],'Степень зрелости 2026'!$H$12:$I$800,2,FALSE),)</f>
        <v>65</v>
      </c>
      <c r="AJ682">
        <v>691</v>
      </c>
      <c r="AK682" s="34">
        <v>46208</v>
      </c>
      <c r="AL682">
        <v>831</v>
      </c>
      <c r="AO682">
        <v>13410</v>
      </c>
      <c r="AP682">
        <v>12538.4</v>
      </c>
      <c r="AQ682" t="s">
        <v>3645</v>
      </c>
      <c r="AR682" t="s">
        <v>897</v>
      </c>
      <c r="AS682" t="s">
        <v>3123</v>
      </c>
      <c r="AT682" t="s">
        <v>335</v>
      </c>
      <c r="AV682" t="s">
        <v>339</v>
      </c>
      <c r="AX682" t="s">
        <v>3123</v>
      </c>
      <c r="AY682" t="s">
        <v>901</v>
      </c>
      <c r="AZ682">
        <v>2.6</v>
      </c>
      <c r="BA682" t="s">
        <v>53</v>
      </c>
      <c r="BB682" t="s">
        <v>178</v>
      </c>
      <c r="BC682">
        <v>32</v>
      </c>
      <c r="BD682" s="34">
        <v>46208</v>
      </c>
      <c r="BG682" t="s">
        <v>3559</v>
      </c>
      <c r="BI682">
        <v>105</v>
      </c>
      <c r="BJ682">
        <v>64</v>
      </c>
      <c r="BK682" s="466"/>
    </row>
    <row r="683" spans="1:63" ht="33.75" hidden="1" x14ac:dyDescent="0.25">
      <c r="A683" s="40"/>
      <c r="B683" s="41"/>
      <c r="C683" s="121">
        <f>Таблица3[[#This Row],[Степень зрелости вспом]]</f>
        <v>59</v>
      </c>
      <c r="D683" s="42"/>
      <c r="E683" s="147"/>
      <c r="F683" s="41"/>
      <c r="G683" s="41">
        <v>13220</v>
      </c>
      <c r="H683" s="69"/>
      <c r="I683" s="41">
        <v>11791</v>
      </c>
      <c r="J683" s="40" t="s">
        <v>3464</v>
      </c>
      <c r="K683" s="40" t="s">
        <v>909</v>
      </c>
      <c r="L683" s="40" t="s">
        <v>3115</v>
      </c>
      <c r="M683" s="40" t="s">
        <v>166</v>
      </c>
      <c r="N683" s="40"/>
      <c r="O683" s="40"/>
      <c r="P683" s="40"/>
      <c r="Q683" s="40"/>
      <c r="R683" s="40" t="s">
        <v>3989</v>
      </c>
      <c r="S683" s="40"/>
      <c r="T683" s="70" t="str">
        <f>VLOOKUP(Таблица3[[#This Row],[№ акта]],$AJ$1:$BJ$691,15,FALSE)</f>
        <v>18 Агролидер</v>
      </c>
      <c r="U683" s="70" t="str">
        <f>VLOOKUP(Таблица3[[#This Row],[№ акта]],$AJ$1:$BJ$691,16,FALSE)</f>
        <v>Тристар</v>
      </c>
      <c r="V683" s="45">
        <f>VLOOKUP(Таблица3[[#This Row],[№ акта]],$AJ$1:$BJ$691,17,FALSE)</f>
        <v>2</v>
      </c>
      <c r="W683" s="44" t="str">
        <f>VLOOKUP(Таблица3[[#This Row],[№ акта]],$AJ$1:$BJ$691,18,FALSE)</f>
        <v>Агролидер (полив)</v>
      </c>
      <c r="X683" s="45" t="str">
        <f>VLOOKUP(Таблица3[[#This Row],[№ акта]],$AJ$1:$BJ$691,19,FALSE)</f>
        <v>полив</v>
      </c>
      <c r="Y683" s="485">
        <f>VLOOKUP(Таблица3[[#This Row],[№ акта]],$AJ$1:$BJ$691,20,FALSE)</f>
        <v>22</v>
      </c>
      <c r="Z683" s="103">
        <f>VLOOKUP(Таблица3[[#This Row],[№ акта]],$AJ$1:$BJ$691,21,FALSE)</f>
        <v>46198</v>
      </c>
      <c r="AA683" s="45">
        <f>Таблица3[[#This Row],[Регистратор.Вес нетто]]</f>
        <v>13220</v>
      </c>
      <c r="AB683" s="43" t="str">
        <f>IF(VLOOKUP(Таблица3[[#This Row],[№ акта]],$AJ$1:$BJ$691,23,FALSE)&lt;&gt;0,VLOOKUP(Таблица3[[#This Row],[№ акта]],$AJ$1:$BJ$691,23,FALSE),"-")</f>
        <v>ГРАНД-СТАР ООО</v>
      </c>
      <c r="AC683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83" s="360" t="s">
        <v>2940</v>
      </c>
      <c r="AE683" s="40">
        <v>632</v>
      </c>
      <c r="AF683" s="103">
        <v>46199</v>
      </c>
      <c r="AG683" s="40" t="s">
        <v>3988</v>
      </c>
      <c r="AH683" s="40">
        <f>IFERROR(VLOOKUP(Таблица3[[#This Row],[№ акта]],'Степень зрелости 2026'!$H$12:$I$800,2,FALSE),)</f>
        <v>59</v>
      </c>
      <c r="AJ683">
        <v>695</v>
      </c>
      <c r="AK683" s="34">
        <v>46208</v>
      </c>
      <c r="AL683">
        <v>836</v>
      </c>
      <c r="AO683">
        <v>13250</v>
      </c>
      <c r="AP683">
        <v>12057.5</v>
      </c>
      <c r="AQ683" t="s">
        <v>3375</v>
      </c>
      <c r="AR683" t="s">
        <v>900</v>
      </c>
      <c r="AS683" t="s">
        <v>3108</v>
      </c>
      <c r="AT683" t="s">
        <v>1312</v>
      </c>
      <c r="AV683" t="s">
        <v>320</v>
      </c>
      <c r="AX683" t="s">
        <v>3108</v>
      </c>
      <c r="AY683" t="s">
        <v>900</v>
      </c>
      <c r="AZ683">
        <v>4.2</v>
      </c>
      <c r="BA683" t="s">
        <v>2932</v>
      </c>
      <c r="BB683" t="s">
        <v>178</v>
      </c>
      <c r="BC683">
        <v>32</v>
      </c>
      <c r="BD683" s="34">
        <v>46208</v>
      </c>
      <c r="BG683" t="s">
        <v>420</v>
      </c>
      <c r="BI683">
        <v>440</v>
      </c>
      <c r="BJ683">
        <v>70</v>
      </c>
      <c r="BK683" s="466"/>
    </row>
    <row r="684" spans="1:63" ht="33.75" hidden="1" x14ac:dyDescent="0.25">
      <c r="A684" s="40"/>
      <c r="B684" s="41"/>
      <c r="C684" s="121">
        <f>Таблица3[[#This Row],[Степень зрелости вспом]]</f>
        <v>51</v>
      </c>
      <c r="D684" s="42"/>
      <c r="E684" s="147"/>
      <c r="F684" s="41"/>
      <c r="G684" s="41">
        <v>13560</v>
      </c>
      <c r="H684" s="69"/>
      <c r="I684" s="41">
        <v>12079</v>
      </c>
      <c r="J684" s="40" t="s">
        <v>3464</v>
      </c>
      <c r="K684" s="40" t="s">
        <v>909</v>
      </c>
      <c r="L684" s="40" t="s">
        <v>3115</v>
      </c>
      <c r="M684" s="40" t="s">
        <v>305</v>
      </c>
      <c r="N684" s="40"/>
      <c r="O684" s="40"/>
      <c r="P684" s="40"/>
      <c r="Q684" s="40"/>
      <c r="R684" s="40" t="s">
        <v>3991</v>
      </c>
      <c r="S684" s="40"/>
      <c r="T684" s="70" t="str">
        <f>VLOOKUP(Таблица3[[#This Row],[№ акта]],$AJ$1:$BJ$691,15,FALSE)</f>
        <v>18 Агролидер</v>
      </c>
      <c r="U684" s="70" t="str">
        <f>VLOOKUP(Таблица3[[#This Row],[№ акта]],$AJ$1:$BJ$691,16,FALSE)</f>
        <v>Тристар</v>
      </c>
      <c r="V684" s="45">
        <f>VLOOKUP(Таблица3[[#This Row],[№ акта]],$AJ$1:$BJ$691,17,FALSE)</f>
        <v>2.1</v>
      </c>
      <c r="W684" s="44" t="str">
        <f>VLOOKUP(Таблица3[[#This Row],[№ акта]],$AJ$1:$BJ$691,18,FALSE)</f>
        <v>Агролидер (полив)</v>
      </c>
      <c r="X684" s="45" t="str">
        <f>VLOOKUP(Таблица3[[#This Row],[№ акта]],$AJ$1:$BJ$691,19,FALSE)</f>
        <v>полив</v>
      </c>
      <c r="Y684" s="485">
        <f>VLOOKUP(Таблица3[[#This Row],[№ акта]],$AJ$1:$BJ$691,20,FALSE)</f>
        <v>22</v>
      </c>
      <c r="Z684" s="103">
        <f>VLOOKUP(Таблица3[[#This Row],[№ акта]],$AJ$1:$BJ$691,21,FALSE)</f>
        <v>46198</v>
      </c>
      <c r="AA684" s="45">
        <f>Таблица3[[#This Row],[Регистратор.Вес нетто]]</f>
        <v>13560</v>
      </c>
      <c r="AB684" s="43" t="str">
        <f>IF(VLOOKUP(Таблица3[[#This Row],[№ акта]],$AJ$1:$BJ$691,23,FALSE)&lt;&gt;0,VLOOKUP(Таблица3[[#This Row],[№ акта]],$AJ$1:$BJ$691,23,FALSE),"-")</f>
        <v>ГРАНД-СТАР ООО</v>
      </c>
      <c r="AC684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684" s="360" t="s">
        <v>2940</v>
      </c>
      <c r="AE684" s="40">
        <v>633</v>
      </c>
      <c r="AF684" s="103">
        <v>46199</v>
      </c>
      <c r="AG684" s="40" t="s">
        <v>3990</v>
      </c>
      <c r="AH684" s="40">
        <f>IFERROR(VLOOKUP(Таблица3[[#This Row],[№ акта]],'Степень зрелости 2026'!$H$12:$I$800,2,FALSE),)</f>
        <v>51</v>
      </c>
      <c r="AJ684">
        <v>692</v>
      </c>
      <c r="AK684" s="34">
        <v>46208</v>
      </c>
      <c r="AL684">
        <v>833</v>
      </c>
      <c r="AO684">
        <v>12910</v>
      </c>
      <c r="AP684">
        <v>12070.9</v>
      </c>
      <c r="AQ684" t="s">
        <v>3645</v>
      </c>
      <c r="AR684" t="s">
        <v>897</v>
      </c>
      <c r="AS684" t="s">
        <v>3123</v>
      </c>
      <c r="AT684" t="s">
        <v>1461</v>
      </c>
      <c r="AV684" t="s">
        <v>149</v>
      </c>
      <c r="AX684" t="s">
        <v>3123</v>
      </c>
      <c r="AY684" t="s">
        <v>901</v>
      </c>
      <c r="AZ684">
        <v>2.5</v>
      </c>
      <c r="BA684" t="s">
        <v>53</v>
      </c>
      <c r="BB684" t="s">
        <v>178</v>
      </c>
      <c r="BC684">
        <v>32</v>
      </c>
      <c r="BD684" s="34">
        <v>46208</v>
      </c>
      <c r="BG684" t="s">
        <v>3559</v>
      </c>
      <c r="BI684">
        <v>112</v>
      </c>
      <c r="BJ684">
        <v>65</v>
      </c>
      <c r="BK684" s="466"/>
    </row>
    <row r="685" spans="1:63" ht="33.75" hidden="1" x14ac:dyDescent="0.25">
      <c r="A685" s="40"/>
      <c r="B685" s="41"/>
      <c r="C685" s="121">
        <f>Таблица3[[#This Row],[Степень зрелости вспом]]</f>
        <v>60</v>
      </c>
      <c r="D685" s="42"/>
      <c r="E685" s="147"/>
      <c r="F685" s="41"/>
      <c r="G685" s="41">
        <v>13200</v>
      </c>
      <c r="H685" s="69"/>
      <c r="I685" s="41">
        <v>12078</v>
      </c>
      <c r="J685" s="40" t="s">
        <v>3464</v>
      </c>
      <c r="K685" s="40" t="s">
        <v>909</v>
      </c>
      <c r="L685" s="40" t="s">
        <v>3115</v>
      </c>
      <c r="M685" s="40" t="s">
        <v>305</v>
      </c>
      <c r="N685" s="40"/>
      <c r="O685" s="40"/>
      <c r="P685" s="40"/>
      <c r="Q685" s="40"/>
      <c r="R685" s="40" t="s">
        <v>3991</v>
      </c>
      <c r="S685" s="40"/>
      <c r="T685" s="70" t="str">
        <f>VLOOKUP(Таблица3[[#This Row],[№ акта]],$AJ$1:$BJ$691,15,FALSE)</f>
        <v>18 Агролидер</v>
      </c>
      <c r="U685" s="70" t="str">
        <f>VLOOKUP(Таблица3[[#This Row],[№ акта]],$AJ$1:$BJ$691,16,FALSE)</f>
        <v>Тристар</v>
      </c>
      <c r="V685" s="45">
        <f>VLOOKUP(Таблица3[[#This Row],[№ акта]],$AJ$1:$BJ$691,17,FALSE)</f>
        <v>3.4</v>
      </c>
      <c r="W685" s="44" t="str">
        <f>VLOOKUP(Таблица3[[#This Row],[№ акта]],$AJ$1:$BJ$691,18,FALSE)</f>
        <v>Агролидер (полив)</v>
      </c>
      <c r="X685" s="45" t="str">
        <f>VLOOKUP(Таблица3[[#This Row],[№ акта]],$AJ$1:$BJ$691,19,FALSE)</f>
        <v>полив</v>
      </c>
      <c r="Y685" s="485">
        <f>VLOOKUP(Таблица3[[#This Row],[№ акта]],$AJ$1:$BJ$691,20,FALSE)</f>
        <v>23</v>
      </c>
      <c r="Z685" s="103">
        <f>VLOOKUP(Таблица3[[#This Row],[№ акта]],$AJ$1:$BJ$691,21,FALSE)</f>
        <v>46199</v>
      </c>
      <c r="AA685" s="45">
        <f>Таблица3[[#This Row],[Регистратор.Вес нетто]]</f>
        <v>13200</v>
      </c>
      <c r="AB685" s="43" t="str">
        <f>IF(VLOOKUP(Таблица3[[#This Row],[№ акта]],$AJ$1:$BJ$691,23,FALSE)&lt;&gt;0,VLOOKUP(Таблица3[[#This Row],[№ акта]],$AJ$1:$BJ$691,23,FALSE),"-")</f>
        <v>ГРАНД-СТАР ООО</v>
      </c>
      <c r="AC685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85" s="360" t="s">
        <v>2940</v>
      </c>
      <c r="AE685" s="40">
        <v>634</v>
      </c>
      <c r="AF685" s="103">
        <v>46199</v>
      </c>
      <c r="AG685" s="40" t="s">
        <v>3992</v>
      </c>
      <c r="AH685" s="40">
        <f>IFERROR(VLOOKUP(Таблица3[[#This Row],[№ акта]],'Степень зрелости 2026'!$H$12:$I$800,2,FALSE),)</f>
        <v>60</v>
      </c>
      <c r="AJ685">
        <v>697</v>
      </c>
      <c r="AK685" s="34">
        <v>46208</v>
      </c>
      <c r="AL685">
        <v>837</v>
      </c>
      <c r="AO685">
        <v>13370</v>
      </c>
      <c r="AP685">
        <v>12434.1</v>
      </c>
      <c r="AQ685" t="s">
        <v>3645</v>
      </c>
      <c r="AR685" t="s">
        <v>897</v>
      </c>
      <c r="AS685" t="s">
        <v>3123</v>
      </c>
      <c r="AT685" t="s">
        <v>347</v>
      </c>
      <c r="AV685" t="s">
        <v>351</v>
      </c>
      <c r="AX685" t="s">
        <v>3123</v>
      </c>
      <c r="AY685" t="s">
        <v>901</v>
      </c>
      <c r="AZ685">
        <v>2.6</v>
      </c>
      <c r="BA685" t="s">
        <v>53</v>
      </c>
      <c r="BB685" t="s">
        <v>178</v>
      </c>
      <c r="BC685">
        <v>32</v>
      </c>
      <c r="BD685" s="34">
        <v>46208</v>
      </c>
      <c r="BG685" t="s">
        <v>420</v>
      </c>
      <c r="BI685">
        <v>114</v>
      </c>
      <c r="BJ685">
        <v>67</v>
      </c>
      <c r="BK685" s="466"/>
    </row>
    <row r="686" spans="1:63" ht="33.75" hidden="1" x14ac:dyDescent="0.25">
      <c r="A686" s="40"/>
      <c r="B686" s="41"/>
      <c r="C686" s="121">
        <f>Таблица3[[#This Row],[Степень зрелости вспом]]</f>
        <v>66</v>
      </c>
      <c r="D686" s="42"/>
      <c r="E686" s="147"/>
      <c r="F686" s="41"/>
      <c r="G686" s="41">
        <v>17500</v>
      </c>
      <c r="H686" s="69"/>
      <c r="I686" s="41">
        <v>15931</v>
      </c>
      <c r="J686" s="40" t="s">
        <v>3464</v>
      </c>
      <c r="K686" s="40" t="s">
        <v>909</v>
      </c>
      <c r="L686" s="40" t="s">
        <v>3115</v>
      </c>
      <c r="M686" s="40" t="s">
        <v>1880</v>
      </c>
      <c r="N686" s="40"/>
      <c r="O686" s="40"/>
      <c r="P686" s="40"/>
      <c r="Q686" s="40"/>
      <c r="R686" s="40" t="s">
        <v>3994</v>
      </c>
      <c r="S686" s="40"/>
      <c r="T686" s="70" t="str">
        <f>VLOOKUP(Таблица3[[#This Row],[№ акта]],$AJ$1:$BJ$691,15,FALSE)</f>
        <v>17 Агролидер</v>
      </c>
      <c r="U686" s="70" t="str">
        <f>VLOOKUP(Таблица3[[#This Row],[№ акта]],$AJ$1:$BJ$691,16,FALSE)</f>
        <v>Тристар</v>
      </c>
      <c r="V686" s="45">
        <f>VLOOKUP(Таблица3[[#This Row],[№ акта]],$AJ$1:$BJ$691,17,FALSE)</f>
        <v>4.5</v>
      </c>
      <c r="W686" s="44" t="str">
        <f>VLOOKUP(Таблица3[[#This Row],[№ акта]],$AJ$1:$BJ$691,18,FALSE)</f>
        <v>Агролидер (полив)</v>
      </c>
      <c r="X686" s="45" t="str">
        <f>VLOOKUP(Таблица3[[#This Row],[№ акта]],$AJ$1:$BJ$691,19,FALSE)</f>
        <v>полив</v>
      </c>
      <c r="Y686" s="485">
        <f>VLOOKUP(Таблица3[[#This Row],[№ акта]],$AJ$1:$BJ$691,20,FALSE)</f>
        <v>25</v>
      </c>
      <c r="Z686" s="103">
        <f>VLOOKUP(Таблица3[[#This Row],[№ акта]],$AJ$1:$BJ$691,21,FALSE)</f>
        <v>46201</v>
      </c>
      <c r="AA686" s="45">
        <f>Таблица3[[#This Row],[Регистратор.Вес нетто]]</f>
        <v>17500</v>
      </c>
      <c r="AB686" s="43" t="str">
        <f>IF(VLOOKUP(Таблица3[[#This Row],[№ акта]],$AJ$1:$BJ$691,23,FALSE)&lt;&gt;0,VLOOKUP(Таблица3[[#This Row],[№ акта]],$AJ$1:$BJ$691,23,FALSE),"-")</f>
        <v>ГРАНД-СТАР ООО</v>
      </c>
      <c r="AC686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86" s="360" t="s">
        <v>3230</v>
      </c>
      <c r="AE686" s="40">
        <v>635</v>
      </c>
      <c r="AF686" s="103">
        <v>46201</v>
      </c>
      <c r="AG686" s="40" t="s">
        <v>3993</v>
      </c>
      <c r="AH686" s="40">
        <f>IFERROR(VLOOKUP(Таблица3[[#This Row],[№ акта]],'Степень зрелости 2026'!$H$12:$I$800,2,FALSE),)</f>
        <v>66</v>
      </c>
      <c r="AJ686">
        <v>693</v>
      </c>
      <c r="AK686" s="34">
        <v>46208</v>
      </c>
      <c r="AL686">
        <v>834</v>
      </c>
      <c r="AO686">
        <v>13460</v>
      </c>
      <c r="AP686">
        <v>11575.6</v>
      </c>
      <c r="AQ686" t="s">
        <v>3375</v>
      </c>
      <c r="AR686" t="s">
        <v>900</v>
      </c>
      <c r="AS686" t="s">
        <v>3108</v>
      </c>
      <c r="AT686" t="s">
        <v>894</v>
      </c>
      <c r="AV686" t="s">
        <v>895</v>
      </c>
      <c r="AX686" t="s">
        <v>3108</v>
      </c>
      <c r="AY686" t="s">
        <v>900</v>
      </c>
      <c r="AZ686">
        <v>4.3</v>
      </c>
      <c r="BA686" t="s">
        <v>2932</v>
      </c>
      <c r="BB686" t="s">
        <v>178</v>
      </c>
      <c r="BC686">
        <v>32</v>
      </c>
      <c r="BD686" s="34">
        <v>46208</v>
      </c>
      <c r="BG686" t="s">
        <v>3559</v>
      </c>
      <c r="BI686">
        <v>439</v>
      </c>
      <c r="BJ686">
        <v>64</v>
      </c>
      <c r="BK686" s="466"/>
    </row>
    <row r="687" spans="1:63" ht="33.75" hidden="1" x14ac:dyDescent="0.25">
      <c r="A687" s="40"/>
      <c r="B687" s="41"/>
      <c r="C687" s="121">
        <f>Таблица3[[#This Row],[Степень зрелости вспом]]</f>
        <v>56</v>
      </c>
      <c r="D687" s="42"/>
      <c r="E687" s="147"/>
      <c r="F687" s="41"/>
      <c r="G687" s="41">
        <v>13120</v>
      </c>
      <c r="H687" s="69"/>
      <c r="I687" s="41">
        <v>11730</v>
      </c>
      <c r="J687" s="40" t="s">
        <v>3464</v>
      </c>
      <c r="K687" s="40" t="s">
        <v>1755</v>
      </c>
      <c r="L687" s="40" t="s">
        <v>3116</v>
      </c>
      <c r="M687" s="40" t="s">
        <v>305</v>
      </c>
      <c r="N687" s="40"/>
      <c r="O687" s="40"/>
      <c r="P687" s="40"/>
      <c r="Q687" s="40"/>
      <c r="R687" s="40" t="s">
        <v>3991</v>
      </c>
      <c r="S687" s="40"/>
      <c r="T687" s="70" t="str">
        <f>VLOOKUP(Таблица3[[#This Row],[№ акта]],$AJ$1:$BJ$691,15,FALSE)</f>
        <v>12 Агролидер</v>
      </c>
      <c r="U687" s="70" t="str">
        <f>VLOOKUP(Таблица3[[#This Row],[№ акта]],$AJ$1:$BJ$691,16,FALSE)</f>
        <v>Женева</v>
      </c>
      <c r="V687" s="45">
        <f>VLOOKUP(Таблица3[[#This Row],[№ акта]],$AJ$1:$BJ$691,17,FALSE)</f>
        <v>2.7</v>
      </c>
      <c r="W687" s="44" t="str">
        <f>VLOOKUP(Таблица3[[#This Row],[№ акта]],$AJ$1:$BJ$691,18,FALSE)</f>
        <v>Агролидер (полив)</v>
      </c>
      <c r="X687" s="45" t="str">
        <f>VLOOKUP(Таблица3[[#This Row],[№ акта]],$AJ$1:$BJ$691,19,FALSE)</f>
        <v>полив</v>
      </c>
      <c r="Y687" s="485">
        <f>VLOOKUP(Таблица3[[#This Row],[№ акта]],$AJ$1:$BJ$691,20,FALSE)</f>
        <v>20</v>
      </c>
      <c r="Z687" s="103">
        <f>VLOOKUP(Таблица3[[#This Row],[№ акта]],$AJ$1:$BJ$691,21,FALSE)</f>
        <v>46196</v>
      </c>
      <c r="AA687" s="45">
        <f>Таблица3[[#This Row],[Регистратор.Вес нетто]]</f>
        <v>13120</v>
      </c>
      <c r="AB687" s="43" t="str">
        <f>IF(VLOOKUP(Таблица3[[#This Row],[№ акта]],$AJ$1:$BJ$691,23,FALSE)&lt;&gt;0,VLOOKUP(Таблица3[[#This Row],[№ акта]],$AJ$1:$BJ$691,23,FALSE),"-")</f>
        <v>ГРАНД-СТАР ООО</v>
      </c>
      <c r="AC687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87" s="360" t="s">
        <v>2940</v>
      </c>
      <c r="AE687" s="40">
        <v>611</v>
      </c>
      <c r="AF687" s="103">
        <v>46197</v>
      </c>
      <c r="AG687" s="40" t="s">
        <v>3995</v>
      </c>
      <c r="AH687" s="40">
        <f>IFERROR(VLOOKUP(Таблица3[[#This Row],[№ акта]],'Степень зрелости 2026'!$H$12:$I$800,2,FALSE),)</f>
        <v>56</v>
      </c>
      <c r="AJ687">
        <v>696</v>
      </c>
      <c r="AK687" s="34">
        <v>46208</v>
      </c>
      <c r="AL687">
        <v>838</v>
      </c>
      <c r="AO687">
        <v>4390</v>
      </c>
      <c r="AP687">
        <v>3907.1</v>
      </c>
      <c r="AQ687" t="s">
        <v>3375</v>
      </c>
      <c r="AR687" t="s">
        <v>900</v>
      </c>
      <c r="AS687" t="s">
        <v>3108</v>
      </c>
      <c r="AT687" t="s">
        <v>762</v>
      </c>
      <c r="AV687" t="s">
        <v>763</v>
      </c>
      <c r="AX687" t="s">
        <v>3108</v>
      </c>
      <c r="AY687" t="s">
        <v>900</v>
      </c>
      <c r="AZ687">
        <v>1.4</v>
      </c>
      <c r="BA687" t="s">
        <v>2932</v>
      </c>
      <c r="BB687" t="s">
        <v>178</v>
      </c>
      <c r="BC687">
        <v>32</v>
      </c>
      <c r="BD687" s="34">
        <v>46208</v>
      </c>
      <c r="BG687" t="s">
        <v>420</v>
      </c>
      <c r="BI687">
        <v>441</v>
      </c>
      <c r="BJ687">
        <v>70</v>
      </c>
      <c r="BK687" s="466"/>
    </row>
    <row r="688" spans="1:63" ht="33.75" hidden="1" x14ac:dyDescent="0.25">
      <c r="A688" s="40"/>
      <c r="B688" s="41"/>
      <c r="C688" s="121">
        <f>Таблица3[[#This Row],[Степень зрелости вспом]]</f>
        <v>54</v>
      </c>
      <c r="D688" s="42"/>
      <c r="E688" s="147"/>
      <c r="F688" s="41"/>
      <c r="G688" s="41">
        <v>13320</v>
      </c>
      <c r="H688" s="69"/>
      <c r="I688" s="41">
        <v>12184</v>
      </c>
      <c r="J688" s="40" t="s">
        <v>3464</v>
      </c>
      <c r="K688" s="40" t="s">
        <v>1755</v>
      </c>
      <c r="L688" s="40" t="s">
        <v>3116</v>
      </c>
      <c r="M688" s="40" t="s">
        <v>3600</v>
      </c>
      <c r="N688" s="40"/>
      <c r="O688" s="40"/>
      <c r="P688" s="40"/>
      <c r="Q688" s="40"/>
      <c r="R688" s="40" t="s">
        <v>3997</v>
      </c>
      <c r="S688" s="40"/>
      <c r="T688" s="70" t="str">
        <f>VLOOKUP(Таблица3[[#This Row],[№ акта]],$AJ$1:$BJ$691,15,FALSE)</f>
        <v>12 Агролидер</v>
      </c>
      <c r="U688" s="70" t="str">
        <f>VLOOKUP(Таблица3[[#This Row],[№ акта]],$AJ$1:$BJ$691,16,FALSE)</f>
        <v>Женева</v>
      </c>
      <c r="V688" s="45">
        <f>VLOOKUP(Таблица3[[#This Row],[№ акта]],$AJ$1:$BJ$691,17,FALSE)</f>
        <v>2.7</v>
      </c>
      <c r="W688" s="44" t="str">
        <f>VLOOKUP(Таблица3[[#This Row],[№ акта]],$AJ$1:$BJ$691,18,FALSE)</f>
        <v>Агролидер (полив)</v>
      </c>
      <c r="X688" s="45" t="str">
        <f>VLOOKUP(Таблица3[[#This Row],[№ акта]],$AJ$1:$BJ$691,19,FALSE)</f>
        <v>полив</v>
      </c>
      <c r="Y688" s="485">
        <f>VLOOKUP(Таблица3[[#This Row],[№ акта]],$AJ$1:$BJ$691,20,FALSE)</f>
        <v>21</v>
      </c>
      <c r="Z688" s="103">
        <f>VLOOKUP(Таблица3[[#This Row],[№ акта]],$AJ$1:$BJ$691,21,FALSE)</f>
        <v>46197</v>
      </c>
      <c r="AA688" s="45">
        <f>Таблица3[[#This Row],[Регистратор.Вес нетто]]</f>
        <v>13320</v>
      </c>
      <c r="AB688" s="43" t="str">
        <f>IF(VLOOKUP(Таблица3[[#This Row],[№ акта]],$AJ$1:$BJ$691,23,FALSE)&lt;&gt;0,VLOOKUP(Таблица3[[#This Row],[№ акта]],$AJ$1:$BJ$691,23,FALSE),"-")</f>
        <v>ГРАНД-СТАР ООО</v>
      </c>
      <c r="AC688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88" s="360" t="s">
        <v>2940</v>
      </c>
      <c r="AE688" s="40">
        <v>625</v>
      </c>
      <c r="AF688" s="103">
        <v>46197</v>
      </c>
      <c r="AG688" s="40" t="s">
        <v>3996</v>
      </c>
      <c r="AH688" s="40">
        <f>IFERROR(VLOOKUP(Таблица3[[#This Row],[№ акта]],'Степень зрелости 2026'!$H$12:$I$800,2,FALSE),)</f>
        <v>54</v>
      </c>
      <c r="AJ688">
        <v>698</v>
      </c>
      <c r="AK688" s="34">
        <v>46209</v>
      </c>
      <c r="AL688">
        <v>840</v>
      </c>
      <c r="AO688">
        <v>13340</v>
      </c>
      <c r="AP688">
        <v>12539.6</v>
      </c>
      <c r="AQ688" t="s">
        <v>3645</v>
      </c>
      <c r="AR688" t="s">
        <v>897</v>
      </c>
      <c r="AS688" t="s">
        <v>3123</v>
      </c>
      <c r="AT688" t="s">
        <v>3377</v>
      </c>
      <c r="AV688" t="s">
        <v>3196</v>
      </c>
      <c r="AX688" t="s">
        <v>3123</v>
      </c>
      <c r="AY688" t="s">
        <v>901</v>
      </c>
      <c r="AZ688">
        <v>2.6</v>
      </c>
      <c r="BA688" t="s">
        <v>53</v>
      </c>
      <c r="BB688" t="s">
        <v>178</v>
      </c>
      <c r="BC688">
        <v>32</v>
      </c>
      <c r="BD688" s="34">
        <v>46208</v>
      </c>
      <c r="BG688" t="s">
        <v>420</v>
      </c>
      <c r="BI688">
        <v>115</v>
      </c>
      <c r="BJ688">
        <v>67</v>
      </c>
      <c r="BK688" s="466"/>
    </row>
    <row r="689" spans="1:63" ht="33.75" hidden="1" x14ac:dyDescent="0.25">
      <c r="A689" s="40"/>
      <c r="B689" s="41"/>
      <c r="C689" s="121">
        <f>Таблица3[[#This Row],[Степень зрелости вспом]]</f>
        <v>64</v>
      </c>
      <c r="D689" s="42"/>
      <c r="E689" s="147"/>
      <c r="F689" s="41"/>
      <c r="G689" s="41">
        <v>13080</v>
      </c>
      <c r="H689" s="69"/>
      <c r="I689" s="41">
        <v>11661</v>
      </c>
      <c r="J689" s="40" t="s">
        <v>3464</v>
      </c>
      <c r="K689" s="40" t="s">
        <v>1755</v>
      </c>
      <c r="L689" s="40" t="s">
        <v>3116</v>
      </c>
      <c r="M689" s="40" t="s">
        <v>166</v>
      </c>
      <c r="N689" s="40"/>
      <c r="O689" s="40"/>
      <c r="P689" s="40"/>
      <c r="Q689" s="40"/>
      <c r="R689" s="40" t="s">
        <v>3999</v>
      </c>
      <c r="S689" s="40"/>
      <c r="T689" s="70" t="str">
        <f>VLOOKUP(Таблица3[[#This Row],[№ акта]],$AJ$1:$BJ$691,15,FALSE)</f>
        <v>12 Агролидер</v>
      </c>
      <c r="U689" s="70" t="str">
        <f>VLOOKUP(Таблица3[[#This Row],[№ акта]],$AJ$1:$BJ$691,16,FALSE)</f>
        <v>Женева</v>
      </c>
      <c r="V689" s="45">
        <f>VLOOKUP(Таблица3[[#This Row],[№ акта]],$AJ$1:$BJ$691,17,FALSE)</f>
        <v>2.8</v>
      </c>
      <c r="W689" s="44" t="str">
        <f>VLOOKUP(Таблица3[[#This Row],[№ акта]],$AJ$1:$BJ$691,18,FALSE)</f>
        <v>Агролидер (полив)</v>
      </c>
      <c r="X689" s="45" t="str">
        <f>VLOOKUP(Таблица3[[#This Row],[№ акта]],$AJ$1:$BJ$691,19,FALSE)</f>
        <v>полив</v>
      </c>
      <c r="Y689" s="485">
        <f>VLOOKUP(Таблица3[[#This Row],[№ акта]],$AJ$1:$BJ$691,20,FALSE)</f>
        <v>21</v>
      </c>
      <c r="Z689" s="103">
        <f>VLOOKUP(Таблица3[[#This Row],[№ акта]],$AJ$1:$BJ$691,21,FALSE)</f>
        <v>46197</v>
      </c>
      <c r="AA689" s="45">
        <f>Таблица3[[#This Row],[Регистратор.Вес нетто]]</f>
        <v>13080</v>
      </c>
      <c r="AB689" s="43" t="str">
        <f>IF(VLOOKUP(Таблица3[[#This Row],[№ акта]],$AJ$1:$BJ$691,23,FALSE)&lt;&gt;0,VLOOKUP(Таблица3[[#This Row],[№ акта]],$AJ$1:$BJ$691,23,FALSE),"-")</f>
        <v>ГРАНД-СТАР ООО</v>
      </c>
      <c r="AC689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89" s="360" t="s">
        <v>3230</v>
      </c>
      <c r="AE689" s="40">
        <v>626</v>
      </c>
      <c r="AF689" s="103">
        <v>46197</v>
      </c>
      <c r="AG689" s="40" t="s">
        <v>3998</v>
      </c>
      <c r="AH689" s="40">
        <f>IFERROR(VLOOKUP(Таблица3[[#This Row],[№ акта]],'Степень зрелости 2026'!$H$12:$I$800,2,FALSE),)</f>
        <v>64</v>
      </c>
      <c r="AJ689">
        <v>699</v>
      </c>
      <c r="AK689" s="34">
        <v>46209</v>
      </c>
      <c r="AL689">
        <v>839</v>
      </c>
      <c r="AO689">
        <v>13130</v>
      </c>
      <c r="AP689">
        <v>12079.6</v>
      </c>
      <c r="AQ689" t="s">
        <v>3375</v>
      </c>
      <c r="AR689" t="s">
        <v>900</v>
      </c>
      <c r="AS689" t="s">
        <v>3108</v>
      </c>
      <c r="AT689" t="s">
        <v>894</v>
      </c>
      <c r="AV689" t="s">
        <v>895</v>
      </c>
      <c r="AX689" t="s">
        <v>3108</v>
      </c>
      <c r="AY689" t="s">
        <v>900</v>
      </c>
      <c r="AZ689">
        <v>4.2</v>
      </c>
      <c r="BA689" t="s">
        <v>2932</v>
      </c>
      <c r="BB689" t="s">
        <v>178</v>
      </c>
      <c r="BC689">
        <v>32</v>
      </c>
      <c r="BD689" s="34">
        <v>46208</v>
      </c>
      <c r="BG689" t="s">
        <v>420</v>
      </c>
      <c r="BI689">
        <v>442</v>
      </c>
      <c r="BJ689">
        <v>70</v>
      </c>
      <c r="BK689" s="466"/>
    </row>
    <row r="690" spans="1:63" ht="33.75" hidden="1" x14ac:dyDescent="0.25">
      <c r="A690" s="40"/>
      <c r="B690" s="41"/>
      <c r="C690" s="121">
        <f>Таблица3[[#This Row],[Степень зрелости вспом]]</f>
        <v>62</v>
      </c>
      <c r="D690" s="42"/>
      <c r="E690" s="147"/>
      <c r="F690" s="41"/>
      <c r="G690" s="41">
        <v>13240</v>
      </c>
      <c r="H690" s="69"/>
      <c r="I690" s="41">
        <v>11997</v>
      </c>
      <c r="J690" s="40" t="s">
        <v>3464</v>
      </c>
      <c r="K690" s="40" t="s">
        <v>909</v>
      </c>
      <c r="L690" s="40" t="s">
        <v>3115</v>
      </c>
      <c r="M690" s="40" t="s">
        <v>166</v>
      </c>
      <c r="N690" s="40"/>
      <c r="O690" s="40"/>
      <c r="P690" s="40"/>
      <c r="Q690" s="40"/>
      <c r="R690" s="40" t="s">
        <v>3989</v>
      </c>
      <c r="S690" s="40"/>
      <c r="T690" s="70" t="str">
        <f>VLOOKUP(Таблица3[[#This Row],[№ акта]],$AJ$1:$BJ$691,15,FALSE)</f>
        <v>18 Агролидер</v>
      </c>
      <c r="U690" s="70" t="str">
        <f>VLOOKUP(Таблица3[[#This Row],[№ акта]],$AJ$1:$BJ$691,16,FALSE)</f>
        <v>Тристар</v>
      </c>
      <c r="V690" s="45">
        <f>VLOOKUP(Таблица3[[#This Row],[№ акта]],$AJ$1:$BJ$691,17,FALSE)</f>
        <v>3.4</v>
      </c>
      <c r="W690" s="44" t="str">
        <f>VLOOKUP(Таблица3[[#This Row],[№ акта]],$AJ$1:$BJ$691,18,FALSE)</f>
        <v>Агролидер (полив)</v>
      </c>
      <c r="X690" s="45" t="str">
        <f>VLOOKUP(Таблица3[[#This Row],[№ акта]],$AJ$1:$BJ$691,19,FALSE)</f>
        <v>полив</v>
      </c>
      <c r="Y690" s="485">
        <f>VLOOKUP(Таблица3[[#This Row],[№ акта]],$AJ$1:$BJ$691,20,FALSE)</f>
        <v>23</v>
      </c>
      <c r="Z690" s="103">
        <f>VLOOKUP(Таблица3[[#This Row],[№ акта]],$AJ$1:$BJ$691,21,FALSE)</f>
        <v>46199</v>
      </c>
      <c r="AA690" s="45">
        <f>Таблица3[[#This Row],[Регистратор.Вес нетто]]</f>
        <v>13240</v>
      </c>
      <c r="AB690" s="43" t="str">
        <f>IF(VLOOKUP(Таблица3[[#This Row],[№ акта]],$AJ$1:$BJ$691,23,FALSE)&lt;&gt;0,VLOOKUP(Таблица3[[#This Row],[№ акта]],$AJ$1:$BJ$691,23,FALSE),"-")</f>
        <v>ГРАНД-СТАР ООО</v>
      </c>
      <c r="AC690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90" s="360" t="s">
        <v>2940</v>
      </c>
      <c r="AE690" s="40">
        <v>628</v>
      </c>
      <c r="AF690" s="103">
        <v>46199</v>
      </c>
      <c r="AG690" s="40" t="s">
        <v>4000</v>
      </c>
      <c r="AH690" s="40">
        <f>IFERROR(VLOOKUP(Таблица3[[#This Row],[№ акта]],'Степень зрелости 2026'!$H$12:$I$800,2,FALSE),)</f>
        <v>62</v>
      </c>
      <c r="AJ690">
        <v>700</v>
      </c>
      <c r="AK690" s="34">
        <v>46209</v>
      </c>
      <c r="AL690">
        <v>841</v>
      </c>
      <c r="AO690">
        <v>13220</v>
      </c>
      <c r="AP690">
        <v>12162.4</v>
      </c>
      <c r="AQ690" t="s">
        <v>3645</v>
      </c>
      <c r="AR690" t="s">
        <v>897</v>
      </c>
      <c r="AS690" t="s">
        <v>3123</v>
      </c>
      <c r="AT690" t="s">
        <v>3853</v>
      </c>
      <c r="AV690" t="s">
        <v>3854</v>
      </c>
      <c r="AX690" t="s">
        <v>3123</v>
      </c>
      <c r="AY690" t="s">
        <v>901</v>
      </c>
      <c r="AZ690">
        <v>2.6</v>
      </c>
      <c r="BA690" t="s">
        <v>53</v>
      </c>
      <c r="BB690" t="s">
        <v>178</v>
      </c>
      <c r="BC690">
        <v>32</v>
      </c>
      <c r="BD690" s="34">
        <v>46208</v>
      </c>
      <c r="BG690" t="s">
        <v>3559</v>
      </c>
      <c r="BI690">
        <v>116</v>
      </c>
      <c r="BJ690">
        <v>64</v>
      </c>
      <c r="BK690" s="466"/>
    </row>
    <row r="691" spans="1:63" ht="33.75" hidden="1" x14ac:dyDescent="0.25">
      <c r="A691" s="40"/>
      <c r="B691" s="41"/>
      <c r="C691" s="121">
        <f>Таблица3[[#This Row],[Степень зрелости вспом]]</f>
        <v>63</v>
      </c>
      <c r="D691" s="42"/>
      <c r="E691" s="147"/>
      <c r="F691" s="41"/>
      <c r="G691" s="41">
        <v>13320</v>
      </c>
      <c r="H691" s="69"/>
      <c r="I691" s="41">
        <v>11853</v>
      </c>
      <c r="J691" s="40" t="s">
        <v>3464</v>
      </c>
      <c r="K691" s="40" t="s">
        <v>909</v>
      </c>
      <c r="L691" s="40" t="s">
        <v>3115</v>
      </c>
      <c r="M691" s="40" t="s">
        <v>244</v>
      </c>
      <c r="N691" s="40"/>
      <c r="O691" s="40"/>
      <c r="P691" s="40"/>
      <c r="Q691" s="40"/>
      <c r="R691" s="40" t="s">
        <v>4002</v>
      </c>
      <c r="S691" s="40"/>
      <c r="T691" s="70" t="str">
        <f>VLOOKUP(Таблица3[[#This Row],[№ акта]],$AJ$1:$BJ$691,15,FALSE)</f>
        <v>18 Агролидер</v>
      </c>
      <c r="U691" s="70" t="str">
        <f>VLOOKUP(Таблица3[[#This Row],[№ акта]],$AJ$1:$BJ$691,16,FALSE)</f>
        <v>Тристар</v>
      </c>
      <c r="V691" s="45">
        <f>VLOOKUP(Таблица3[[#This Row],[№ акта]],$AJ$1:$BJ$691,17,FALSE)</f>
        <v>3.4</v>
      </c>
      <c r="W691" s="44" t="str">
        <f>VLOOKUP(Таблица3[[#This Row],[№ акта]],$AJ$1:$BJ$691,18,FALSE)</f>
        <v>Агролидер (полив)</v>
      </c>
      <c r="X691" s="45" t="str">
        <f>VLOOKUP(Таблица3[[#This Row],[№ акта]],$AJ$1:$BJ$691,19,FALSE)</f>
        <v>полив</v>
      </c>
      <c r="Y691" s="485">
        <f>VLOOKUP(Таблица3[[#This Row],[№ акта]],$AJ$1:$BJ$691,20,FALSE)</f>
        <v>23</v>
      </c>
      <c r="Z691" s="103">
        <f>VLOOKUP(Таблица3[[#This Row],[№ акта]],$AJ$1:$BJ$691,21,FALSE)</f>
        <v>46199</v>
      </c>
      <c r="AA691" s="45">
        <f>Таблица3[[#This Row],[Регистратор.Вес нетто]]</f>
        <v>13320</v>
      </c>
      <c r="AB691" s="43" t="str">
        <f>IF(VLOOKUP(Таблица3[[#This Row],[№ акта]],$AJ$1:$BJ$691,23,FALSE)&lt;&gt;0,VLOOKUP(Таблица3[[#This Row],[№ акта]],$AJ$1:$BJ$691,23,FALSE),"-")</f>
        <v>ГРАНД-СТАР ООО</v>
      </c>
      <c r="AC691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91" s="360" t="s">
        <v>3230</v>
      </c>
      <c r="AE691" s="40">
        <v>629</v>
      </c>
      <c r="AF691" s="103">
        <v>46199</v>
      </c>
      <c r="AG691" s="40" t="s">
        <v>4001</v>
      </c>
      <c r="AH691" s="40">
        <f>IFERROR(VLOOKUP(Таблица3[[#This Row],[№ акта]],'Степень зрелости 2026'!$H$12:$I$800,2,FALSE),)</f>
        <v>63</v>
      </c>
      <c r="AJ691">
        <v>701</v>
      </c>
      <c r="AK691" s="34">
        <v>46209</v>
      </c>
      <c r="AL691">
        <v>843</v>
      </c>
      <c r="AO691">
        <v>15440</v>
      </c>
      <c r="AP691">
        <v>14513.6</v>
      </c>
      <c r="AQ691" t="s">
        <v>3645</v>
      </c>
      <c r="AR691" t="s">
        <v>897</v>
      </c>
      <c r="AS691" t="s">
        <v>3123</v>
      </c>
      <c r="AT691" t="s">
        <v>239</v>
      </c>
      <c r="AV691" t="s">
        <v>243</v>
      </c>
      <c r="AX691" t="s">
        <v>3123</v>
      </c>
      <c r="AY691" t="s">
        <v>901</v>
      </c>
      <c r="AZ691">
        <v>3.1</v>
      </c>
      <c r="BA691" t="s">
        <v>53</v>
      </c>
      <c r="BB691" t="s">
        <v>178</v>
      </c>
      <c r="BC691">
        <v>32</v>
      </c>
      <c r="BD691" s="34">
        <v>46208</v>
      </c>
      <c r="BG691" t="s">
        <v>420</v>
      </c>
      <c r="BI691">
        <v>117</v>
      </c>
      <c r="BJ691">
        <v>68</v>
      </c>
      <c r="BK691" s="466"/>
    </row>
    <row r="692" spans="1:63" ht="33.75" hidden="1" x14ac:dyDescent="0.25">
      <c r="A692" s="40"/>
      <c r="B692" s="41"/>
      <c r="C692" s="121">
        <f>Таблица3[[#This Row],[Степень зрелости вспом]]</f>
        <v>62</v>
      </c>
      <c r="D692" s="42"/>
      <c r="E692" s="147"/>
      <c r="F692" s="41"/>
      <c r="G692" s="41">
        <v>13520</v>
      </c>
      <c r="H692" s="69"/>
      <c r="I692" s="41">
        <v>11992</v>
      </c>
      <c r="J692" s="40" t="s">
        <v>3464</v>
      </c>
      <c r="K692" s="40" t="s">
        <v>909</v>
      </c>
      <c r="L692" s="40" t="s">
        <v>3115</v>
      </c>
      <c r="M692" s="40" t="s">
        <v>3979</v>
      </c>
      <c r="N692" s="40"/>
      <c r="O692" s="40"/>
      <c r="P692" s="40"/>
      <c r="Q692" s="40"/>
      <c r="R692" s="40" t="s">
        <v>3980</v>
      </c>
      <c r="S692" s="40"/>
      <c r="T692" s="483" t="str">
        <f>VLOOKUP(Таблица3[[#This Row],[№ акта]],$AJ$1:$BJ$691,15,FALSE)</f>
        <v>18 Агролидер</v>
      </c>
      <c r="U692" s="70" t="str">
        <f>VLOOKUP(Таблица3[[#This Row],[№ акта]],$AJ$1:$BJ$691,16,FALSE)</f>
        <v>Тристар</v>
      </c>
      <c r="V692" s="484">
        <f>VLOOKUP(Таблица3[[#This Row],[№ акта]],$AJ$1:$BJ$691,17,FALSE)</f>
        <v>3.5</v>
      </c>
      <c r="W692" s="44" t="str">
        <f>VLOOKUP(Таблица3[[#This Row],[№ акта]],$AJ$1:$BJ$691,18,FALSE)</f>
        <v>Агролидер (полив)</v>
      </c>
      <c r="X692" s="45" t="str">
        <f>VLOOKUP(Таблица3[[#This Row],[№ акта]],$AJ$1:$BJ$691,19,FALSE)</f>
        <v>полив</v>
      </c>
      <c r="Y692" s="45">
        <f>VLOOKUP(Таблица3[[#This Row],[№ акта]],$AJ$1:$BJ$691,20,FALSE)</f>
        <v>23</v>
      </c>
      <c r="Z692" s="103">
        <f>VLOOKUP(Таблица3[[#This Row],[№ акта]],$AJ$1:$BJ$691,21,FALSE)</f>
        <v>46199</v>
      </c>
      <c r="AA692" s="45">
        <f>Таблица3[[#This Row],[Регистратор.Вес нетто]]</f>
        <v>13520</v>
      </c>
      <c r="AB692" s="43" t="str">
        <f>IF(VLOOKUP(Таблица3[[#This Row],[№ акта]],$AJ$1:$BJ$691,23,FALSE)&lt;&gt;0,VLOOKUP(Таблица3[[#This Row],[№ акта]],$AJ$1:$BJ$691,23,FALSE),"-")</f>
        <v>ГРАНД-СТАР ООО</v>
      </c>
      <c r="AC692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92" s="360" t="s">
        <v>2940</v>
      </c>
      <c r="AE692" s="40">
        <v>630</v>
      </c>
      <c r="AF692" s="103">
        <v>46199</v>
      </c>
      <c r="AG692" s="40" t="s">
        <v>4003</v>
      </c>
      <c r="AH692" s="40">
        <f>IFERROR(VLOOKUP(Таблица3[[#This Row],[№ акта]],'Степень зрелости 2026'!$H$12:$I$800,2,FALSE),)</f>
        <v>62</v>
      </c>
    </row>
    <row r="693" spans="1:63" ht="33.75" hidden="1" x14ac:dyDescent="0.25">
      <c r="A693" s="40"/>
      <c r="B693" s="41"/>
      <c r="C693" s="121">
        <f>Таблица3[[#This Row],[Степень зрелости вспом]]</f>
        <v>65</v>
      </c>
      <c r="D693" s="42"/>
      <c r="E693" s="147"/>
      <c r="F693" s="41"/>
      <c r="G693" s="41">
        <v>15000</v>
      </c>
      <c r="H693" s="69"/>
      <c r="I693" s="41">
        <v>13724</v>
      </c>
      <c r="J693" s="40" t="s">
        <v>3464</v>
      </c>
      <c r="K693" s="40" t="s">
        <v>909</v>
      </c>
      <c r="L693" s="40" t="s">
        <v>3115</v>
      </c>
      <c r="M693" s="40" t="s">
        <v>195</v>
      </c>
      <c r="N693" s="40"/>
      <c r="O693" s="40"/>
      <c r="P693" s="40"/>
      <c r="Q693" s="40"/>
      <c r="R693" s="40" t="s">
        <v>3985</v>
      </c>
      <c r="S693" s="40"/>
      <c r="T693" s="70" t="str">
        <f>VLOOKUP(Таблица3[[#This Row],[№ акта]],$AJ$1:$BJ$691,15,FALSE)</f>
        <v>17 Агролидер</v>
      </c>
      <c r="U693" s="70" t="str">
        <f>VLOOKUP(Таблица3[[#This Row],[№ акта]],$AJ$1:$BJ$691,16,FALSE)</f>
        <v>Тристар</v>
      </c>
      <c r="V693" s="45">
        <f>VLOOKUP(Таблица3[[#This Row],[№ акта]],$AJ$1:$BJ$691,17,FALSE)</f>
        <v>3.9</v>
      </c>
      <c r="W693" s="44" t="str">
        <f>VLOOKUP(Таблица3[[#This Row],[№ акта]],$AJ$1:$BJ$691,18,FALSE)</f>
        <v>Агролидер (полив)</v>
      </c>
      <c r="X693" s="45" t="str">
        <f>VLOOKUP(Таблица3[[#This Row],[№ акта]],$AJ$1:$BJ$691,19,FALSE)</f>
        <v>полив</v>
      </c>
      <c r="Y693" s="45">
        <f>VLOOKUP(Таблица3[[#This Row],[№ акта]],$AJ$1:$BJ$691,20,FALSE)</f>
        <v>25</v>
      </c>
      <c r="Z693" s="103">
        <f>VLOOKUP(Таблица3[[#This Row],[№ акта]],$AJ$1:$BJ$691,21,FALSE)</f>
        <v>46201</v>
      </c>
      <c r="AA693" s="45">
        <f>Таблица3[[#This Row],[Регистратор.Вес нетто]]</f>
        <v>15000</v>
      </c>
      <c r="AB693" s="43" t="str">
        <f>IF(VLOOKUP(Таблица3[[#This Row],[№ акта]],$AJ$1:$BJ$691,23,FALSE)&lt;&gt;0,VLOOKUP(Таблица3[[#This Row],[№ акта]],$AJ$1:$BJ$691,23,FALSE),"-")</f>
        <v>ГРАНД-СТАР ООО</v>
      </c>
      <c r="AC693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93" s="360" t="s">
        <v>3230</v>
      </c>
      <c r="AE693" s="40">
        <v>597</v>
      </c>
      <c r="AF693" s="103">
        <v>46201</v>
      </c>
      <c r="AG693" s="40" t="s">
        <v>4004</v>
      </c>
      <c r="AH693" s="40">
        <f>IFERROR(VLOOKUP(Таблица3[[#This Row],[№ акта]],'Степень зрелости 2026'!$H$12:$I$800,2,FALSE),)</f>
        <v>65</v>
      </c>
    </row>
    <row r="694" spans="1:63" ht="33.75" hidden="1" x14ac:dyDescent="0.25">
      <c r="A694" s="40"/>
      <c r="B694" s="41"/>
      <c r="C694" s="121">
        <f>Таблица3[[#This Row],[Степень зрелости вспом]]</f>
        <v>54</v>
      </c>
      <c r="D694" s="42"/>
      <c r="E694" s="147"/>
      <c r="F694" s="41"/>
      <c r="G694" s="41">
        <v>13420</v>
      </c>
      <c r="H694" s="69"/>
      <c r="I694" s="41">
        <v>12305</v>
      </c>
      <c r="J694" s="40" t="s">
        <v>3464</v>
      </c>
      <c r="K694" s="40" t="s">
        <v>1755</v>
      </c>
      <c r="L694" s="40" t="s">
        <v>3116</v>
      </c>
      <c r="M694" s="40" t="s">
        <v>305</v>
      </c>
      <c r="N694" s="40"/>
      <c r="O694" s="40"/>
      <c r="P694" s="40"/>
      <c r="Q694" s="40"/>
      <c r="R694" s="40" t="s">
        <v>3991</v>
      </c>
      <c r="S694" s="40"/>
      <c r="T694" s="70" t="str">
        <f>VLOOKUP(Таблица3[[#This Row],[№ акта]],$AJ$1:$BJ$691,15,FALSE)</f>
        <v>12 Агролидер</v>
      </c>
      <c r="U694" s="70" t="str">
        <f>VLOOKUP(Таблица3[[#This Row],[№ акта]],$AJ$1:$BJ$691,16,FALSE)</f>
        <v>Женева</v>
      </c>
      <c r="V694" s="45">
        <f>VLOOKUP(Таблица3[[#This Row],[№ акта]],$AJ$1:$BJ$691,17,FALSE)</f>
        <v>2.8</v>
      </c>
      <c r="W694" s="44" t="str">
        <f>VLOOKUP(Таблица3[[#This Row],[№ акта]],$AJ$1:$BJ$691,18,FALSE)</f>
        <v>Агролидер (полив)</v>
      </c>
      <c r="X694" s="45" t="str">
        <f>VLOOKUP(Таблица3[[#This Row],[№ акта]],$AJ$1:$BJ$691,19,FALSE)</f>
        <v>полив</v>
      </c>
      <c r="Y694" s="45">
        <f>VLOOKUP(Таблица3[[#This Row],[№ акта]],$AJ$1:$BJ$691,20,FALSE)</f>
        <v>20</v>
      </c>
      <c r="Z694" s="103">
        <f>VLOOKUP(Таблица3[[#This Row],[№ акта]],$AJ$1:$BJ$691,21,FALSE)</f>
        <v>46196</v>
      </c>
      <c r="AA694" s="45">
        <f>Таблица3[[#This Row],[Регистратор.Вес нетто]]</f>
        <v>13420</v>
      </c>
      <c r="AB694" s="43" t="str">
        <f>IF(VLOOKUP(Таблица3[[#This Row],[№ акта]],$AJ$1:$BJ$691,23,FALSE)&lt;&gt;0,VLOOKUP(Таблица3[[#This Row],[№ акта]],$AJ$1:$BJ$691,23,FALSE),"-")</f>
        <v>ГРАНД-СТАР ООО</v>
      </c>
      <c r="AC694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94" s="360" t="s">
        <v>2940</v>
      </c>
      <c r="AE694" s="40">
        <v>598</v>
      </c>
      <c r="AF694" s="103">
        <v>46196</v>
      </c>
      <c r="AG694" s="40" t="s">
        <v>4005</v>
      </c>
      <c r="AH694" s="40">
        <f>IFERROR(VLOOKUP(Таблица3[[#This Row],[№ акта]],'Степень зрелости 2026'!$H$12:$I$800,2,FALSE),)</f>
        <v>54</v>
      </c>
    </row>
    <row r="695" spans="1:63" ht="33.75" hidden="1" x14ac:dyDescent="0.25">
      <c r="A695" s="40"/>
      <c r="B695" s="41"/>
      <c r="C695" s="121">
        <f>Таблица3[[#This Row],[Степень зрелости вспом]]</f>
        <v>54</v>
      </c>
      <c r="D695" s="42"/>
      <c r="E695" s="147"/>
      <c r="F695" s="41"/>
      <c r="G695" s="41">
        <v>13800</v>
      </c>
      <c r="H695" s="69"/>
      <c r="I695" s="41">
        <v>11387</v>
      </c>
      <c r="J695" s="40" t="s">
        <v>3464</v>
      </c>
      <c r="K695" s="40" t="s">
        <v>1755</v>
      </c>
      <c r="L695" s="40" t="s">
        <v>3116</v>
      </c>
      <c r="M695" s="40" t="s">
        <v>166</v>
      </c>
      <c r="N695" s="40"/>
      <c r="O695" s="40"/>
      <c r="P695" s="40"/>
      <c r="Q695" s="40"/>
      <c r="R695" s="40" t="s">
        <v>3624</v>
      </c>
      <c r="S695" s="40"/>
      <c r="T695" s="70" t="str">
        <f>VLOOKUP(Таблица3[[#This Row],[№ акта]],$AJ$1:$BJ$691,15,FALSE)</f>
        <v>12 Агролидер</v>
      </c>
      <c r="U695" s="70" t="str">
        <f>VLOOKUP(Таблица3[[#This Row],[№ акта]],$AJ$1:$BJ$691,16,FALSE)</f>
        <v>Женева</v>
      </c>
      <c r="V695" s="45">
        <f>VLOOKUP(Таблица3[[#This Row],[№ акта]],$AJ$1:$BJ$691,17,FALSE)</f>
        <v>2.8</v>
      </c>
      <c r="W695" s="44" t="str">
        <f>VLOOKUP(Таблица3[[#This Row],[№ акта]],$AJ$1:$BJ$691,18,FALSE)</f>
        <v>Агролидер (полив)</v>
      </c>
      <c r="X695" s="45" t="str">
        <f>VLOOKUP(Таблица3[[#This Row],[№ акта]],$AJ$1:$BJ$691,19,FALSE)</f>
        <v>полив</v>
      </c>
      <c r="Y695" s="487">
        <f>VLOOKUP(Таблица3[[#This Row],[№ акта]],$AJ$1:$BJ$691,20,FALSE)</f>
        <v>20</v>
      </c>
      <c r="Z695" s="103">
        <f>VLOOKUP(Таблица3[[#This Row],[№ акта]],$AJ$1:$BJ$691,21,FALSE)</f>
        <v>46196</v>
      </c>
      <c r="AA695" s="45">
        <f>Таблица3[[#This Row],[Регистратор.Вес нетто]]</f>
        <v>13800</v>
      </c>
      <c r="AB695" s="43" t="str">
        <f>IF(VLOOKUP(Таблица3[[#This Row],[№ акта]],$AJ$1:$BJ$691,23,FALSE)&lt;&gt;0,VLOOKUP(Таблица3[[#This Row],[№ акта]],$AJ$1:$BJ$691,23,FALSE),"-")</f>
        <v>ГРАНД-СТАР ООО</v>
      </c>
      <c r="AC695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695" s="360" t="s">
        <v>2940</v>
      </c>
      <c r="AE695" s="40">
        <v>599</v>
      </c>
      <c r="AF695" s="103">
        <v>46196</v>
      </c>
      <c r="AG695" s="40" t="s">
        <v>4006</v>
      </c>
      <c r="AH695" s="418">
        <v>54</v>
      </c>
    </row>
    <row r="696" spans="1:63" ht="33.75" hidden="1" x14ac:dyDescent="0.25">
      <c r="A696" s="40"/>
      <c r="B696" s="41"/>
      <c r="C696" s="121">
        <f>Таблица3[[#This Row],[Степень зрелости вспом]]</f>
        <v>65</v>
      </c>
      <c r="D696" s="42"/>
      <c r="E696" s="147"/>
      <c r="F696" s="41"/>
      <c r="G696" s="41">
        <v>17420</v>
      </c>
      <c r="H696" s="69"/>
      <c r="I696" s="41">
        <v>15990</v>
      </c>
      <c r="J696" s="40" t="s">
        <v>3464</v>
      </c>
      <c r="K696" s="40" t="s">
        <v>909</v>
      </c>
      <c r="L696" s="40" t="s">
        <v>3115</v>
      </c>
      <c r="M696" s="40" t="s">
        <v>166</v>
      </c>
      <c r="N696" s="40"/>
      <c r="O696" s="40"/>
      <c r="P696" s="40"/>
      <c r="Q696" s="40"/>
      <c r="R696" s="40" t="s">
        <v>3999</v>
      </c>
      <c r="S696" s="40"/>
      <c r="T696" s="70" t="str">
        <f>VLOOKUP(Таблица3[[#This Row],[№ акта]],$AJ$1:$BJ$691,15,FALSE)</f>
        <v>17 Агролидер</v>
      </c>
      <c r="U696" s="70" t="str">
        <f>VLOOKUP(Таблица3[[#This Row],[№ акта]],$AJ$1:$BJ$691,16,FALSE)</f>
        <v>Тристар</v>
      </c>
      <c r="V696" s="45">
        <f>VLOOKUP(Таблица3[[#This Row],[№ акта]],$AJ$1:$BJ$691,17,FALSE)</f>
        <v>4.5</v>
      </c>
      <c r="W696" s="44" t="str">
        <f>VLOOKUP(Таблица3[[#This Row],[№ акта]],$AJ$1:$BJ$691,18,FALSE)</f>
        <v>Агролидер (полив)</v>
      </c>
      <c r="X696" s="45" t="str">
        <f>VLOOKUP(Таблица3[[#This Row],[№ акта]],$AJ$1:$BJ$691,19,FALSE)</f>
        <v>полив</v>
      </c>
      <c r="Y696" s="45">
        <f>VLOOKUP(Таблица3[[#This Row],[№ акта]],$AJ$1:$BJ$691,20,FALSE)</f>
        <v>24</v>
      </c>
      <c r="Z696" s="103">
        <f>VLOOKUP(Таблица3[[#This Row],[№ акта]],$AJ$1:$BJ$691,21,FALSE)</f>
        <v>46200</v>
      </c>
      <c r="AA696" s="45">
        <f>Таблица3[[#This Row],[Регистратор.Вес нетто]]</f>
        <v>17420</v>
      </c>
      <c r="AB696" s="43" t="str">
        <f>IF(VLOOKUP(Таблица3[[#This Row],[№ акта]],$AJ$1:$BJ$691,23,FALSE)&lt;&gt;0,VLOOKUP(Таблица3[[#This Row],[№ акта]],$AJ$1:$BJ$691,23,FALSE),"-")</f>
        <v>ГРАНД-СТАР ООО</v>
      </c>
      <c r="AC696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96" s="360" t="s">
        <v>3230</v>
      </c>
      <c r="AE696" s="40">
        <v>606</v>
      </c>
      <c r="AF696" s="103">
        <v>46200</v>
      </c>
      <c r="AG696" s="40" t="s">
        <v>4007</v>
      </c>
      <c r="AH696" s="40">
        <f>IFERROR(VLOOKUP(Таблица3[[#This Row],[№ акта]],'Степень зрелости 2026'!$H$12:$I$800,2,FALSE),)</f>
        <v>65</v>
      </c>
    </row>
    <row r="697" spans="1:63" ht="33.75" hidden="1" x14ac:dyDescent="0.25">
      <c r="A697" s="40"/>
      <c r="B697" s="41"/>
      <c r="C697" s="121">
        <f>Таблица3[[#This Row],[Степень зрелости вспом]]</f>
        <v>66</v>
      </c>
      <c r="D697" s="42"/>
      <c r="E697" s="147"/>
      <c r="F697" s="41"/>
      <c r="G697" s="41">
        <v>17200</v>
      </c>
      <c r="H697" s="69"/>
      <c r="I697" s="41">
        <v>14465</v>
      </c>
      <c r="J697" s="40" t="s">
        <v>3464</v>
      </c>
      <c r="K697" s="40" t="s">
        <v>909</v>
      </c>
      <c r="L697" s="40" t="s">
        <v>3115</v>
      </c>
      <c r="M697" s="40" t="s">
        <v>234</v>
      </c>
      <c r="N697" s="40"/>
      <c r="O697" s="40"/>
      <c r="P697" s="40"/>
      <c r="Q697" s="40"/>
      <c r="R697" s="40" t="s">
        <v>4009</v>
      </c>
      <c r="S697" s="40"/>
      <c r="T697" s="70" t="str">
        <f>VLOOKUP(Таблица3[[#This Row],[№ акта]],$AJ$1:$BJ$691,15,FALSE)</f>
        <v>17 Агролидер</v>
      </c>
      <c r="U697" s="70" t="str">
        <f>VLOOKUP(Таблица3[[#This Row],[№ акта]],$AJ$1:$BJ$691,16,FALSE)</f>
        <v>Тристар</v>
      </c>
      <c r="V697" s="45">
        <f>VLOOKUP(Таблица3[[#This Row],[№ акта]],$AJ$1:$BJ$691,17,FALSE)</f>
        <v>4.4000000000000004</v>
      </c>
      <c r="W697" s="44" t="str">
        <f>VLOOKUP(Таблица3[[#This Row],[№ акта]],$AJ$1:$BJ$691,18,FALSE)</f>
        <v>Агролидер (полив)</v>
      </c>
      <c r="X697" s="45" t="str">
        <f>VLOOKUP(Таблица3[[#This Row],[№ акта]],$AJ$1:$BJ$691,19,FALSE)</f>
        <v>полив</v>
      </c>
      <c r="Y697" s="45">
        <f>VLOOKUP(Таблица3[[#This Row],[№ акта]],$AJ$1:$BJ$691,20,FALSE)</f>
        <v>24</v>
      </c>
      <c r="Z697" s="103">
        <f>VLOOKUP(Таблица3[[#This Row],[№ акта]],$AJ$1:$BJ$691,21,FALSE)</f>
        <v>46200</v>
      </c>
      <c r="AA697" s="45">
        <f>Таблица3[[#This Row],[Регистратор.Вес нетто]]</f>
        <v>17200</v>
      </c>
      <c r="AB697" s="43" t="str">
        <f>IF(VLOOKUP(Таблица3[[#This Row],[№ акта]],$AJ$1:$BJ$691,23,FALSE)&lt;&gt;0,VLOOKUP(Таблица3[[#This Row],[№ акта]],$AJ$1:$BJ$691,23,FALSE),"-")</f>
        <v>ГРАНД-СТАР ООО</v>
      </c>
      <c r="AC697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97" s="360" t="s">
        <v>3230</v>
      </c>
      <c r="AE697" s="40">
        <v>607</v>
      </c>
      <c r="AF697" s="103">
        <v>46200</v>
      </c>
      <c r="AG697" s="40" t="s">
        <v>4008</v>
      </c>
      <c r="AH697" s="40">
        <f>IFERROR(VLOOKUP(Таблица3[[#This Row],[№ акта]],'Степень зрелости 2026'!$H$12:$I$800,2,FALSE),)</f>
        <v>66</v>
      </c>
    </row>
    <row r="698" spans="1:63" ht="33.75" hidden="1" x14ac:dyDescent="0.25">
      <c r="A698" s="40"/>
      <c r="B698" s="41"/>
      <c r="C698" s="121">
        <f>Таблица3[[#This Row],[Степень зрелости вспом]]</f>
        <v>65</v>
      </c>
      <c r="D698" s="42"/>
      <c r="E698" s="147"/>
      <c r="F698" s="41"/>
      <c r="G698" s="41">
        <v>13380</v>
      </c>
      <c r="H698" s="69"/>
      <c r="I698" s="41">
        <v>12392</v>
      </c>
      <c r="J698" s="40" t="s">
        <v>3464</v>
      </c>
      <c r="K698" s="40" t="s">
        <v>909</v>
      </c>
      <c r="L698" s="40" t="s">
        <v>3115</v>
      </c>
      <c r="M698" s="40" t="s">
        <v>1880</v>
      </c>
      <c r="N698" s="40"/>
      <c r="O698" s="40"/>
      <c r="P698" s="40"/>
      <c r="Q698" s="40"/>
      <c r="R698" s="40" t="s">
        <v>3994</v>
      </c>
      <c r="S698" s="40"/>
      <c r="T698" s="70" t="str">
        <f>VLOOKUP(Таблица3[[#This Row],[№ акта]],$AJ$1:$BJ$691,15,FALSE)</f>
        <v>18 Агролидер</v>
      </c>
      <c r="U698" s="70" t="str">
        <f>VLOOKUP(Таблица3[[#This Row],[№ акта]],$AJ$1:$BJ$691,16,FALSE)</f>
        <v>Тристар</v>
      </c>
      <c r="V698" s="45">
        <f>VLOOKUP(Таблица3[[#This Row],[№ акта]],$AJ$1:$BJ$691,17,FALSE)</f>
        <v>3.5</v>
      </c>
      <c r="W698" s="44" t="str">
        <f>VLOOKUP(Таблица3[[#This Row],[№ акта]],$AJ$1:$BJ$691,18,FALSE)</f>
        <v>Агролидер (полив)</v>
      </c>
      <c r="X698" s="45" t="str">
        <f>VLOOKUP(Таблица3[[#This Row],[№ акта]],$AJ$1:$BJ$691,19,FALSE)</f>
        <v>полив</v>
      </c>
      <c r="Y698" s="45">
        <f>VLOOKUP(Таблица3[[#This Row],[№ акта]],$AJ$1:$BJ$691,20,FALSE)</f>
        <v>23</v>
      </c>
      <c r="Z698" s="103">
        <f>VLOOKUP(Таблица3[[#This Row],[№ акта]],$AJ$1:$BJ$691,21,FALSE)</f>
        <v>46199</v>
      </c>
      <c r="AA698" s="45">
        <f>Таблица3[[#This Row],[Регистратор.Вес нетто]]</f>
        <v>13380</v>
      </c>
      <c r="AB698" s="43" t="str">
        <f>IF(VLOOKUP(Таблица3[[#This Row],[№ акта]],$AJ$1:$BJ$691,23,FALSE)&lt;&gt;0,VLOOKUP(Таблица3[[#This Row],[№ акта]],$AJ$1:$BJ$691,23,FALSE),"-")</f>
        <v>ГРАНД-СТАР ООО</v>
      </c>
      <c r="AC698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98" s="360" t="s">
        <v>3230</v>
      </c>
      <c r="AE698" s="40">
        <v>608</v>
      </c>
      <c r="AF698" s="103">
        <v>46199</v>
      </c>
      <c r="AG698" s="40" t="s">
        <v>4010</v>
      </c>
      <c r="AH698" s="40">
        <f>IFERROR(VLOOKUP(Таблица3[[#This Row],[№ акта]],'Степень зрелости 2026'!$H$12:$I$800,2,FALSE),)</f>
        <v>65</v>
      </c>
    </row>
    <row r="699" spans="1:63" ht="33.75" hidden="1" x14ac:dyDescent="0.25">
      <c r="A699" s="40"/>
      <c r="B699" s="41"/>
      <c r="C699" s="121">
        <f>Таблица3[[#This Row],[Степень зрелости вспом]]</f>
        <v>65</v>
      </c>
      <c r="D699" s="42"/>
      <c r="E699" s="147"/>
      <c r="F699" s="41"/>
      <c r="G699" s="41">
        <v>12900</v>
      </c>
      <c r="H699" s="69"/>
      <c r="I699" s="41">
        <v>11701</v>
      </c>
      <c r="J699" s="40" t="s">
        <v>3464</v>
      </c>
      <c r="K699" s="40" t="s">
        <v>909</v>
      </c>
      <c r="L699" s="40" t="s">
        <v>3115</v>
      </c>
      <c r="M699" s="40" t="s">
        <v>166</v>
      </c>
      <c r="N699" s="40"/>
      <c r="O699" s="40"/>
      <c r="P699" s="40"/>
      <c r="Q699" s="40"/>
      <c r="R699" s="40" t="s">
        <v>3999</v>
      </c>
      <c r="S699" s="40"/>
      <c r="T699" s="70" t="str">
        <f>VLOOKUP(Таблица3[[#This Row],[№ акта]],$AJ$1:$BJ$691,15,FALSE)</f>
        <v>18 Агролидер</v>
      </c>
      <c r="U699" s="70" t="str">
        <f>VLOOKUP(Таблица3[[#This Row],[№ акта]],$AJ$1:$BJ$691,16,FALSE)</f>
        <v>Тристар</v>
      </c>
      <c r="V699" s="45">
        <f>VLOOKUP(Таблица3[[#This Row],[№ акта]],$AJ$1:$BJ$691,17,FALSE)</f>
        <v>1.9</v>
      </c>
      <c r="W699" s="44" t="str">
        <f>VLOOKUP(Таблица3[[#This Row],[№ акта]],$AJ$1:$BJ$691,18,FALSE)</f>
        <v>Агролидер (полив)</v>
      </c>
      <c r="X699" s="45" t="str">
        <f>VLOOKUP(Таблица3[[#This Row],[№ акта]],$AJ$1:$BJ$691,19,FALSE)</f>
        <v>полив</v>
      </c>
      <c r="Y699" s="45">
        <f>VLOOKUP(Таблица3[[#This Row],[№ акта]],$AJ$1:$BJ$691,20,FALSE)</f>
        <v>24</v>
      </c>
      <c r="Z699" s="103">
        <f>VLOOKUP(Таблица3[[#This Row],[№ акта]],$AJ$1:$BJ$691,21,FALSE)</f>
        <v>46200</v>
      </c>
      <c r="AA699" s="45">
        <f>Таблица3[[#This Row],[Регистратор.Вес нетто]]</f>
        <v>12900</v>
      </c>
      <c r="AB699" s="43" t="str">
        <f>IF(VLOOKUP(Таблица3[[#This Row],[№ акта]],$AJ$1:$BJ$691,23,FALSE)&lt;&gt;0,VLOOKUP(Таблица3[[#This Row],[№ акта]],$AJ$1:$BJ$691,23,FALSE),"-")</f>
        <v>ГРАНД-СТАР ООО</v>
      </c>
      <c r="AC699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699" s="360" t="s">
        <v>3230</v>
      </c>
      <c r="AE699" s="40">
        <v>571</v>
      </c>
      <c r="AF699" s="103">
        <v>46200</v>
      </c>
      <c r="AG699" s="40" t="s">
        <v>4011</v>
      </c>
      <c r="AH699" s="40">
        <f>IFERROR(VLOOKUP(Таблица3[[#This Row],[№ акта]],'Степень зрелости 2026'!$H$12:$I$800,2,FALSE),)</f>
        <v>65</v>
      </c>
    </row>
    <row r="700" spans="1:63" ht="33.75" hidden="1" x14ac:dyDescent="0.25">
      <c r="A700" s="40"/>
      <c r="B700" s="41"/>
      <c r="C700" s="121">
        <f>Таблица3[[#This Row],[Степень зрелости вспом]]</f>
        <v>65</v>
      </c>
      <c r="D700" s="42"/>
      <c r="E700" s="147"/>
      <c r="F700" s="41"/>
      <c r="G700" s="41">
        <v>13280</v>
      </c>
      <c r="H700" s="69"/>
      <c r="I700" s="41">
        <v>11726</v>
      </c>
      <c r="J700" s="40" t="s">
        <v>3464</v>
      </c>
      <c r="K700" s="40" t="s">
        <v>909</v>
      </c>
      <c r="L700" s="40" t="s">
        <v>3115</v>
      </c>
      <c r="M700" s="40" t="s">
        <v>4013</v>
      </c>
      <c r="N700" s="40"/>
      <c r="O700" s="40"/>
      <c r="P700" s="40"/>
      <c r="Q700" s="40"/>
      <c r="R700" s="40" t="s">
        <v>3997</v>
      </c>
      <c r="S700" s="40"/>
      <c r="T700" s="70" t="str">
        <f>VLOOKUP(Таблица3[[#This Row],[№ акта]],$AJ$1:$BJ$691,15,FALSE)</f>
        <v>18 Агролидер</v>
      </c>
      <c r="U700" s="70" t="str">
        <f>VLOOKUP(Таблица3[[#This Row],[№ акта]],$AJ$1:$BJ$691,16,FALSE)</f>
        <v>Тристар</v>
      </c>
      <c r="V700" s="45">
        <f>VLOOKUP(Таблица3[[#This Row],[№ акта]],$AJ$1:$BJ$691,17,FALSE)</f>
        <v>2</v>
      </c>
      <c r="W700" s="44" t="str">
        <f>VLOOKUP(Таблица3[[#This Row],[№ акта]],$AJ$1:$BJ$691,18,FALSE)</f>
        <v>Агролидер (полив)</v>
      </c>
      <c r="X700" s="45" t="str">
        <f>VLOOKUP(Таблица3[[#This Row],[№ акта]],$AJ$1:$BJ$691,19,FALSE)</f>
        <v>полив</v>
      </c>
      <c r="Y700" s="45">
        <f>VLOOKUP(Таблица3[[#This Row],[№ акта]],$AJ$1:$BJ$691,20,FALSE)</f>
        <v>24</v>
      </c>
      <c r="Z700" s="103">
        <f>VLOOKUP(Таблица3[[#This Row],[№ акта]],$AJ$1:$BJ$691,21,FALSE)</f>
        <v>46200</v>
      </c>
      <c r="AA700" s="45">
        <f>Таблица3[[#This Row],[Регистратор.Вес нетто]]</f>
        <v>13280</v>
      </c>
      <c r="AB700" s="43" t="str">
        <f>IF(VLOOKUP(Таблица3[[#This Row],[№ акта]],$AJ$1:$BJ$691,23,FALSE)&lt;&gt;0,VLOOKUP(Таблица3[[#This Row],[№ акта]],$AJ$1:$BJ$691,23,FALSE),"-")</f>
        <v>ГРАНД-СТАР ООО</v>
      </c>
      <c r="AC700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700" s="360" t="s">
        <v>3230</v>
      </c>
      <c r="AE700" s="40">
        <v>572</v>
      </c>
      <c r="AF700" s="103">
        <v>46200</v>
      </c>
      <c r="AG700" s="40" t="s">
        <v>4012</v>
      </c>
      <c r="AH700" s="40">
        <f>IFERROR(VLOOKUP(Таблица3[[#This Row],[№ акта]],'Степень зрелости 2026'!$H$12:$I$800,2,FALSE),)</f>
        <v>65</v>
      </c>
    </row>
    <row r="701" spans="1:63" ht="33.75" hidden="1" x14ac:dyDescent="0.25">
      <c r="A701" s="40"/>
      <c r="B701" s="41"/>
      <c r="C701" s="121">
        <f>Таблица3[[#This Row],[Степень зрелости вспом]]</f>
        <v>63</v>
      </c>
      <c r="D701" s="42"/>
      <c r="E701" s="147"/>
      <c r="F701" s="41"/>
      <c r="G701" s="41">
        <v>13300</v>
      </c>
      <c r="H701" s="69"/>
      <c r="I701" s="41">
        <v>12355</v>
      </c>
      <c r="J701" s="40" t="s">
        <v>3464</v>
      </c>
      <c r="K701" s="40" t="s">
        <v>909</v>
      </c>
      <c r="L701" s="40" t="s">
        <v>3115</v>
      </c>
      <c r="M701" s="40" t="s">
        <v>195</v>
      </c>
      <c r="N701" s="40"/>
      <c r="O701" s="40"/>
      <c r="P701" s="40"/>
      <c r="Q701" s="40"/>
      <c r="R701" s="40" t="s">
        <v>3985</v>
      </c>
      <c r="S701" s="40"/>
      <c r="T701" s="70" t="str">
        <f>VLOOKUP(Таблица3[[#This Row],[№ акта]],$AJ$1:$BJ$691,15,FALSE)</f>
        <v>18 Агролидер</v>
      </c>
      <c r="U701" s="70" t="str">
        <f>VLOOKUP(Таблица3[[#This Row],[№ акта]],$AJ$1:$BJ$691,16,FALSE)</f>
        <v>Тристар</v>
      </c>
      <c r="V701" s="45">
        <f>VLOOKUP(Таблица3[[#This Row],[№ акта]],$AJ$1:$BJ$691,17,FALSE)</f>
        <v>2</v>
      </c>
      <c r="W701" s="44" t="str">
        <f>VLOOKUP(Таблица3[[#This Row],[№ акта]],$AJ$1:$BJ$691,18,FALSE)</f>
        <v>Агролидер (полив)</v>
      </c>
      <c r="X701" s="45" t="str">
        <f>VLOOKUP(Таблица3[[#This Row],[№ акта]],$AJ$1:$BJ$691,19,FALSE)</f>
        <v>полив</v>
      </c>
      <c r="Y701" s="45">
        <f>VLOOKUP(Таблица3[[#This Row],[№ акта]],$AJ$1:$BJ$691,20,FALSE)</f>
        <v>24</v>
      </c>
      <c r="Z701" s="103">
        <f>VLOOKUP(Таблица3[[#This Row],[№ акта]],$AJ$1:$BJ$691,21,FALSE)</f>
        <v>46200</v>
      </c>
      <c r="AA701" s="45">
        <f>Таблица3[[#This Row],[Регистратор.Вес нетто]]</f>
        <v>13300</v>
      </c>
      <c r="AB701" s="43" t="str">
        <f>IF(VLOOKUP(Таблица3[[#This Row],[№ акта]],$AJ$1:$BJ$691,23,FALSE)&lt;&gt;0,VLOOKUP(Таблица3[[#This Row],[№ акта]],$AJ$1:$BJ$691,23,FALSE),"-")</f>
        <v>ГРАНД-СТАР ООО</v>
      </c>
      <c r="AC701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701" s="360" t="s">
        <v>3230</v>
      </c>
      <c r="AE701" s="40">
        <v>573</v>
      </c>
      <c r="AF701" s="103">
        <v>46200</v>
      </c>
      <c r="AG701" s="40" t="s">
        <v>4014</v>
      </c>
      <c r="AH701" s="40">
        <f>IFERROR(VLOOKUP(Таблица3[[#This Row],[№ акта]],'Степень зрелости 2026'!$H$12:$I$800,2,FALSE),)</f>
        <v>63</v>
      </c>
    </row>
    <row r="702" spans="1:63" ht="33.75" hidden="1" x14ac:dyDescent="0.25">
      <c r="A702" s="40"/>
      <c r="B702" s="41"/>
      <c r="C702" s="121">
        <f>Таблица3[[#This Row],[Степень зрелости вспом]]</f>
        <v>62</v>
      </c>
      <c r="D702" s="42"/>
      <c r="E702" s="147"/>
      <c r="F702" s="41"/>
      <c r="G702" s="41">
        <v>13560</v>
      </c>
      <c r="H702" s="69"/>
      <c r="I702" s="41">
        <v>11966</v>
      </c>
      <c r="J702" s="40" t="s">
        <v>3464</v>
      </c>
      <c r="K702" s="40" t="s">
        <v>909</v>
      </c>
      <c r="L702" s="40" t="s">
        <v>3115</v>
      </c>
      <c r="M702" s="40" t="s">
        <v>4015</v>
      </c>
      <c r="N702" s="40"/>
      <c r="O702" s="40"/>
      <c r="P702" s="40"/>
      <c r="Q702" s="40"/>
      <c r="R702" s="40" t="s">
        <v>3983</v>
      </c>
      <c r="S702" s="40"/>
      <c r="T702" s="70" t="str">
        <f>VLOOKUP(Таблица3[[#This Row],[№ акта]],$AJ$1:$BJ$691,15,FALSE)</f>
        <v>18 Агролидер</v>
      </c>
      <c r="U702" s="70" t="str">
        <f>VLOOKUP(Таблица3[[#This Row],[№ акта]],$AJ$1:$BJ$691,16,FALSE)</f>
        <v>Тристар</v>
      </c>
      <c r="V702" s="45">
        <f>VLOOKUP(Таблица3[[#This Row],[№ акта]],$AJ$1:$BJ$691,17,FALSE)</f>
        <v>2</v>
      </c>
      <c r="W702" s="44" t="str">
        <f>VLOOKUP(Таблица3[[#This Row],[№ акта]],$AJ$1:$BJ$691,18,FALSE)</f>
        <v>Агролидер (полив)</v>
      </c>
      <c r="X702" s="45" t="str">
        <f>VLOOKUP(Таблица3[[#This Row],[№ акта]],$AJ$1:$BJ$691,19,FALSE)</f>
        <v>полив</v>
      </c>
      <c r="Y702" s="45">
        <f>VLOOKUP(Таблица3[[#This Row],[№ акта]],$AJ$1:$BJ$691,20,FALSE)</f>
        <v>24</v>
      </c>
      <c r="Z702" s="103">
        <f>VLOOKUP(Таблица3[[#This Row],[№ акта]],$AJ$1:$BJ$691,21,FALSE)</f>
        <v>46200</v>
      </c>
      <c r="AA702" s="45">
        <f>Таблица3[[#This Row],[Регистратор.Вес нетто]]</f>
        <v>13560</v>
      </c>
      <c r="AB702" s="43" t="str">
        <f>IF(VLOOKUP(Таблица3[[#This Row],[№ акта]],$AJ$1:$BJ$691,23,FALSE)&lt;&gt;0,VLOOKUP(Таблица3[[#This Row],[№ акта]],$AJ$1:$BJ$691,23,FALSE),"-")</f>
        <v>ГРАНД-СТАР ООО</v>
      </c>
      <c r="AC702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53-63</v>
      </c>
      <c r="AD702" s="360" t="s">
        <v>3230</v>
      </c>
      <c r="AE702" s="40">
        <v>574</v>
      </c>
      <c r="AF702" s="103">
        <v>46200</v>
      </c>
      <c r="AG702" s="40" t="s">
        <v>4001</v>
      </c>
      <c r="AH702" s="40">
        <f>IFERROR(VLOOKUP(Таблица3[[#This Row],[№ акта]],'Степень зрелости 2026'!$H$12:$I$800,2,FALSE),)</f>
        <v>62</v>
      </c>
    </row>
    <row r="703" spans="1:63" ht="33.75" hidden="1" x14ac:dyDescent="0.25">
      <c r="A703" s="40"/>
      <c r="B703" s="41"/>
      <c r="C703" s="121">
        <f>Таблица3[[#This Row],[Степень зрелости вспом]]</f>
        <v>66</v>
      </c>
      <c r="D703" s="42"/>
      <c r="E703" s="147"/>
      <c r="F703" s="41"/>
      <c r="G703" s="41">
        <v>16040</v>
      </c>
      <c r="H703" s="69"/>
      <c r="I703" s="41">
        <v>14620</v>
      </c>
      <c r="J703" s="40" t="s">
        <v>3464</v>
      </c>
      <c r="K703" s="40" t="s">
        <v>909</v>
      </c>
      <c r="L703" s="40" t="s">
        <v>3115</v>
      </c>
      <c r="M703" s="40" t="s">
        <v>3982</v>
      </c>
      <c r="N703" s="40"/>
      <c r="O703" s="40"/>
      <c r="P703" s="40"/>
      <c r="Q703" s="40"/>
      <c r="R703" s="40" t="s">
        <v>3983</v>
      </c>
      <c r="S703" s="40"/>
      <c r="T703" s="70" t="str">
        <f>VLOOKUP(Таблица3[[#This Row],[№ акта]],$AJ$1:$BJ$691,15,FALSE)</f>
        <v>17 Агролидер</v>
      </c>
      <c r="U703" s="70" t="str">
        <f>VLOOKUP(Таблица3[[#This Row],[№ акта]],$AJ$1:$BJ$691,16,FALSE)</f>
        <v>Тристар</v>
      </c>
      <c r="V703" s="45">
        <f>VLOOKUP(Таблица3[[#This Row],[№ акта]],$AJ$1:$BJ$691,17,FALSE)</f>
        <v>2.6</v>
      </c>
      <c r="W703" s="44" t="str">
        <f>VLOOKUP(Таблица3[[#This Row],[№ акта]],$AJ$1:$BJ$691,18,FALSE)</f>
        <v>Агролидер (полив)</v>
      </c>
      <c r="X703" s="45" t="str">
        <f>VLOOKUP(Таблица3[[#This Row],[№ акта]],$AJ$1:$BJ$691,19,FALSE)</f>
        <v>полив</v>
      </c>
      <c r="Y703" s="45">
        <f>VLOOKUP(Таблица3[[#This Row],[№ акта]],$AJ$1:$BJ$691,20,FALSE)</f>
        <v>25</v>
      </c>
      <c r="Z703" s="103">
        <f>VLOOKUP(Таблица3[[#This Row],[№ акта]],$AJ$1:$BJ$691,21,FALSE)</f>
        <v>46201</v>
      </c>
      <c r="AA703" s="45">
        <f>Таблица3[[#This Row],[Регистратор.Вес нетто]]</f>
        <v>16040</v>
      </c>
      <c r="AB703" s="43" t="str">
        <f>IF(VLOOKUP(Таблица3[[#This Row],[№ акта]],$AJ$1:$BJ$691,23,FALSE)&lt;&gt;0,VLOOKUP(Таблица3[[#This Row],[№ акта]],$AJ$1:$BJ$691,23,FALSE),"-")</f>
        <v>ГРАНД-СТАР ООО</v>
      </c>
      <c r="AC703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64-66</v>
      </c>
      <c r="AD703" s="360" t="s">
        <v>3230</v>
      </c>
      <c r="AE703" s="40">
        <v>594</v>
      </c>
      <c r="AF703" s="103">
        <v>46201</v>
      </c>
      <c r="AG703" s="40" t="s">
        <v>4011</v>
      </c>
      <c r="AH703" s="40">
        <f>IFERROR(VLOOKUP(Таблица3[[#This Row],[№ акта]],'Степень зрелости 2026'!$H$12:$I$800,2,FALSE),)</f>
        <v>66</v>
      </c>
    </row>
    <row r="704" spans="1:63" ht="33.75" hidden="1" x14ac:dyDescent="0.25">
      <c r="A704" s="40"/>
      <c r="B704" s="41"/>
      <c r="C704" s="121">
        <f>Таблица3[[#This Row],[Степень зрелости вспом]]</f>
        <v>67</v>
      </c>
      <c r="D704" s="42"/>
      <c r="E704" s="147"/>
      <c r="F704" s="41"/>
      <c r="G704" s="41">
        <v>16840</v>
      </c>
      <c r="H704" s="69"/>
      <c r="I704" s="41">
        <v>15410</v>
      </c>
      <c r="J704" s="40" t="s">
        <v>3464</v>
      </c>
      <c r="K704" s="40" t="s">
        <v>909</v>
      </c>
      <c r="L704" s="40" t="s">
        <v>3115</v>
      </c>
      <c r="M704" s="40" t="s">
        <v>3979</v>
      </c>
      <c r="N704" s="40"/>
      <c r="O704" s="40"/>
      <c r="P704" s="40"/>
      <c r="Q704" s="40"/>
      <c r="R704" s="40" t="s">
        <v>3980</v>
      </c>
      <c r="S704" s="40"/>
      <c r="T704" s="70" t="str">
        <f>VLOOKUP(Таблица3[[#This Row],[№ акта]],$AJ$1:$BJ$691,15,FALSE)</f>
        <v>17 Агролидер</v>
      </c>
      <c r="U704" s="70" t="str">
        <f>VLOOKUP(Таблица3[[#This Row],[№ акта]],$AJ$1:$BJ$691,16,FALSE)</f>
        <v>Тристар</v>
      </c>
      <c r="V704" s="45">
        <f>VLOOKUP(Таблица3[[#This Row],[№ акта]],$AJ$1:$BJ$691,17,FALSE)</f>
        <v>4.3</v>
      </c>
      <c r="W704" s="44" t="str">
        <f>VLOOKUP(Таблица3[[#This Row],[№ акта]],$AJ$1:$BJ$691,18,FALSE)</f>
        <v>Агролидер (полив)</v>
      </c>
      <c r="X704" s="45" t="str">
        <f>VLOOKUP(Таблица3[[#This Row],[№ акта]],$AJ$1:$BJ$691,19,FALSE)</f>
        <v>полив</v>
      </c>
      <c r="Y704" s="45">
        <f>VLOOKUP(Таблица3[[#This Row],[№ акта]],$AJ$1:$BJ$691,20,FALSE)</f>
        <v>25</v>
      </c>
      <c r="Z704" s="103">
        <f>VLOOKUP(Таблица3[[#This Row],[№ акта]],$AJ$1:$BJ$691,21,FALSE)</f>
        <v>46201</v>
      </c>
      <c r="AA704" s="45">
        <f>Таблица3[[#This Row],[Регистратор.Вес нетто]]</f>
        <v>16840</v>
      </c>
      <c r="AB704" s="43" t="str">
        <f>IF(VLOOKUP(Таблица3[[#This Row],[№ акта]],$AJ$1:$BJ$691,23,FALSE)&lt;&gt;0,VLOOKUP(Таблица3[[#This Row],[№ акта]],$AJ$1:$BJ$691,23,FALSE),"-")</f>
        <v>ГРАНД-СТАР ООО</v>
      </c>
      <c r="AC704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67-85</v>
      </c>
      <c r="AD704" s="360" t="s">
        <v>3230</v>
      </c>
      <c r="AE704" s="40">
        <v>595</v>
      </c>
      <c r="AF704" s="103">
        <v>46201</v>
      </c>
      <c r="AG704" s="40" t="s">
        <v>4016</v>
      </c>
      <c r="AH704" s="40">
        <f>IFERROR(VLOOKUP(Таблица3[[#This Row],[№ акта]],'Степень зрелости 2026'!$H$12:$I$800,2,FALSE),)</f>
        <v>67</v>
      </c>
    </row>
    <row r="705" spans="1:34" ht="33.75" hidden="1" x14ac:dyDescent="0.25">
      <c r="A705" s="40"/>
      <c r="B705" s="41"/>
      <c r="C705" s="121">
        <f>Таблица3[[#This Row],[Степень зрелости вспом]]</f>
        <v>46</v>
      </c>
      <c r="D705" s="42"/>
      <c r="E705" s="147"/>
      <c r="F705" s="41"/>
      <c r="G705" s="41">
        <v>11700</v>
      </c>
      <c r="H705" s="69"/>
      <c r="I705" s="41">
        <v>9898</v>
      </c>
      <c r="J705" s="40" t="s">
        <v>3625</v>
      </c>
      <c r="K705" s="40" t="s">
        <v>901</v>
      </c>
      <c r="L705" s="40" t="s">
        <v>3120</v>
      </c>
      <c r="M705" s="40" t="s">
        <v>3982</v>
      </c>
      <c r="N705" s="40"/>
      <c r="O705" s="40"/>
      <c r="P705" s="40"/>
      <c r="Q705" s="40"/>
      <c r="R705" s="40" t="s">
        <v>4032</v>
      </c>
      <c r="S705" s="40"/>
      <c r="T705" s="70" t="s">
        <v>3120</v>
      </c>
      <c r="U705" s="70" t="s">
        <v>901</v>
      </c>
      <c r="V705" s="45">
        <v>3</v>
      </c>
      <c r="W705" s="44" t="s">
        <v>53</v>
      </c>
      <c r="X705" s="45" t="s">
        <v>178</v>
      </c>
      <c r="Y705" s="487">
        <v>22</v>
      </c>
      <c r="Z705" s="103">
        <v>46198</v>
      </c>
      <c r="AA705" s="45">
        <f>Таблица3[[#This Row],[Регистратор.Вес нетто]]</f>
        <v>11700</v>
      </c>
      <c r="AB705" s="43" t="s">
        <v>3206</v>
      </c>
      <c r="AC705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705" s="360" t="s">
        <v>2940</v>
      </c>
      <c r="AE705" s="40">
        <v>723</v>
      </c>
      <c r="AF705" s="103">
        <v>46198</v>
      </c>
      <c r="AG705" s="40" t="s">
        <v>4028</v>
      </c>
      <c r="AH705" s="40">
        <f>IFERROR(VLOOKUP(Таблица3[[#This Row],[№ акта]],'Степень зрелости 2026'!$H$12:$I$800,2,FALSE),)</f>
        <v>46</v>
      </c>
    </row>
    <row r="706" spans="1:34" ht="33.75" hidden="1" x14ac:dyDescent="0.25">
      <c r="A706" s="40"/>
      <c r="B706" s="41"/>
      <c r="C706" s="121">
        <f>Таблица3[[#This Row],[Степень зрелости вспом]]</f>
        <v>50</v>
      </c>
      <c r="D706" s="42"/>
      <c r="E706" s="147"/>
      <c r="F706" s="41"/>
      <c r="G706" s="41">
        <v>13400</v>
      </c>
      <c r="H706" s="69"/>
      <c r="I706" s="41">
        <v>11961</v>
      </c>
      <c r="J706" s="40" t="s">
        <v>3625</v>
      </c>
      <c r="K706" s="40" t="s">
        <v>901</v>
      </c>
      <c r="L706" s="40" t="s">
        <v>3120</v>
      </c>
      <c r="M706" s="40" t="s">
        <v>234</v>
      </c>
      <c r="N706" s="40"/>
      <c r="O706" s="40"/>
      <c r="P706" s="40"/>
      <c r="Q706" s="40"/>
      <c r="R706" s="40" t="s">
        <v>4009</v>
      </c>
      <c r="S706" s="40"/>
      <c r="T706" s="70" t="s">
        <v>3120</v>
      </c>
      <c r="U706" s="70" t="s">
        <v>901</v>
      </c>
      <c r="V706" s="45">
        <v>3.4</v>
      </c>
      <c r="W706" s="44" t="s">
        <v>53</v>
      </c>
      <c r="X706" s="45" t="s">
        <v>178</v>
      </c>
      <c r="Y706" s="487">
        <v>22</v>
      </c>
      <c r="Z706" s="103">
        <v>46198</v>
      </c>
      <c r="AA706" s="45">
        <f>Таблица3[[#This Row],[Регистратор.Вес нетто]]</f>
        <v>13400</v>
      </c>
      <c r="AB706" s="43" t="s">
        <v>3206</v>
      </c>
      <c r="AC706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706" s="360" t="s">
        <v>2940</v>
      </c>
      <c r="AE706" s="40">
        <v>724</v>
      </c>
      <c r="AF706" s="103">
        <v>46198</v>
      </c>
      <c r="AG706" s="40" t="s">
        <v>4029</v>
      </c>
      <c r="AH706" s="40">
        <f>IFERROR(VLOOKUP(Таблица3[[#This Row],[№ акта]],'Степень зрелости 2026'!$H$12:$I$800,2,FALSE),)</f>
        <v>50</v>
      </c>
    </row>
    <row r="707" spans="1:34" ht="33.75" hidden="1" x14ac:dyDescent="0.25">
      <c r="A707" s="40"/>
      <c r="B707" s="41"/>
      <c r="C707" s="121">
        <f>Таблица3[[#This Row],[Степень зрелости вспом]]</f>
        <v>47</v>
      </c>
      <c r="D707" s="42"/>
      <c r="E707" s="147"/>
      <c r="F707" s="41"/>
      <c r="G707" s="41">
        <v>14880</v>
      </c>
      <c r="H707" s="69"/>
      <c r="I707" s="41">
        <v>13200</v>
      </c>
      <c r="J707" s="40" t="s">
        <v>3625</v>
      </c>
      <c r="K707" s="40" t="s">
        <v>901</v>
      </c>
      <c r="L707" s="40" t="s">
        <v>3120</v>
      </c>
      <c r="M707" s="40" t="s">
        <v>3979</v>
      </c>
      <c r="N707" s="40"/>
      <c r="O707" s="40"/>
      <c r="P707" s="40"/>
      <c r="Q707" s="40"/>
      <c r="R707" s="40" t="s">
        <v>3980</v>
      </c>
      <c r="S707" s="40"/>
      <c r="T707" s="70" t="s">
        <v>3120</v>
      </c>
      <c r="U707" s="70" t="s">
        <v>901</v>
      </c>
      <c r="V707" s="45">
        <v>3.8</v>
      </c>
      <c r="W707" s="44" t="s">
        <v>53</v>
      </c>
      <c r="X707" s="45" t="s">
        <v>178</v>
      </c>
      <c r="Y707" s="487">
        <v>22</v>
      </c>
      <c r="Z707" s="103">
        <v>46198</v>
      </c>
      <c r="AA707" s="45">
        <f>Таблица3[[#This Row],[Регистратор.Вес нетто]]</f>
        <v>14880</v>
      </c>
      <c r="AB707" s="43" t="s">
        <v>3206</v>
      </c>
      <c r="AC707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707" s="360" t="s">
        <v>2940</v>
      </c>
      <c r="AE707" s="40">
        <v>721</v>
      </c>
      <c r="AF707" s="103">
        <v>46198</v>
      </c>
      <c r="AG707" s="40" t="s">
        <v>4030</v>
      </c>
      <c r="AH707" s="40">
        <f>IFERROR(VLOOKUP(Таблица3[[#This Row],[№ акта]],'Степень зрелости 2026'!$H$12:$I$800,2,FALSE),)</f>
        <v>47</v>
      </c>
    </row>
    <row r="708" spans="1:34" ht="33.75" hidden="1" x14ac:dyDescent="0.25">
      <c r="A708" s="40"/>
      <c r="B708" s="41"/>
      <c r="C708" s="121">
        <f>Таблица3[[#This Row],[Степень зрелости вспом]]</f>
        <v>46</v>
      </c>
      <c r="D708" s="42"/>
      <c r="E708" s="147"/>
      <c r="F708" s="41"/>
      <c r="G708" s="41">
        <v>11360</v>
      </c>
      <c r="H708" s="69"/>
      <c r="I708" s="41">
        <v>9467</v>
      </c>
      <c r="J708" s="40" t="s">
        <v>3625</v>
      </c>
      <c r="K708" s="40" t="s">
        <v>901</v>
      </c>
      <c r="L708" s="40" t="s">
        <v>3120</v>
      </c>
      <c r="M708" s="40" t="s">
        <v>1880</v>
      </c>
      <c r="N708" s="40"/>
      <c r="O708" s="40"/>
      <c r="P708" s="40"/>
      <c r="Q708" s="40"/>
      <c r="R708" s="40" t="s">
        <v>4033</v>
      </c>
      <c r="S708" s="40"/>
      <c r="T708" s="70" t="s">
        <v>3120</v>
      </c>
      <c r="U708" s="70" t="s">
        <v>901</v>
      </c>
      <c r="V708" s="45">
        <v>2.8</v>
      </c>
      <c r="W708" s="44" t="s">
        <v>53</v>
      </c>
      <c r="X708" s="45" t="s">
        <v>178</v>
      </c>
      <c r="Y708" s="487">
        <v>22</v>
      </c>
      <c r="Z708" s="103">
        <v>46198</v>
      </c>
      <c r="AA708" s="45">
        <f>Таблица3[[#This Row],[Регистратор.Вес нетто]]</f>
        <v>11360</v>
      </c>
      <c r="AB708" s="43" t="s">
        <v>3206</v>
      </c>
      <c r="AC708" s="40" t="str">
        <f>IF(Таблица3[[#This Row],[Степень зрелости вспом]]=0,"нет данных",IF(Таблица3[[#This Row],[Степень зрелости вспом]]&lt;40,"до 40",IF(Таблица3[[#This Row],[Степень зрелости вспом]]&lt;53,"40-52",IF(Таблица3[[#This Row],[Степень зрелости вспом]]&lt;64,"53-63",IF(Таблица3[[#This Row],[Степень зрелости вспом]]&lt;67,"64-66",IF(Таблица3[[#This Row],[Степень зрелости вспом]]&lt;85,"67-85",))))))</f>
        <v>40-52</v>
      </c>
      <c r="AD708" s="360" t="s">
        <v>2940</v>
      </c>
      <c r="AE708" s="40">
        <v>722</v>
      </c>
      <c r="AF708" s="103">
        <v>46198</v>
      </c>
      <c r="AG708" s="40" t="s">
        <v>4031</v>
      </c>
      <c r="AH708" s="40">
        <f>IFERROR(VLOOKUP(Таблица3[[#This Row],[№ акта]],'Степень зрелости 2026'!$H$12:$I$800,2,FALSE),)</f>
        <v>46</v>
      </c>
    </row>
    <row r="709" spans="1:34" x14ac:dyDescent="0.25">
      <c r="A709" s="40"/>
      <c r="B709" s="41">
        <f>SUBTOTAL(109,Таблица3[Количество])</f>
        <v>0</v>
      </c>
      <c r="C709" s="123">
        <f>IFERROR(SUBTOTAL(101,Таблица3[Значение
финометра]),)</f>
        <v>55.6</v>
      </c>
      <c r="D709" s="42"/>
      <c r="E709" s="147"/>
      <c r="F709" s="41">
        <f>SUBTOTAL(109,Таблица3[Регистратор.Вес брутто])</f>
        <v>0</v>
      </c>
      <c r="G709" s="41">
        <f>SUBTOTAL(109,Таблица3[Регистратор.Вес нетто])</f>
        <v>125190</v>
      </c>
      <c r="H709" s="41">
        <f>SUBTOTAL(109,Таблица3[Регистратор.Вес тары])</f>
        <v>0</v>
      </c>
      <c r="I709" s="41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72">
        <f>SUBTOTAL(109,Таблица3[Площадь уборки, га])</f>
        <v>48.999999999999993</v>
      </c>
      <c r="W709" s="40"/>
      <c r="X709" s="325"/>
      <c r="Y709" s="40"/>
      <c r="Z709" s="103"/>
      <c r="AA709" s="45">
        <f>SUBTOTAL(109,Таблица3[Продажа])</f>
        <v>0</v>
      </c>
      <c r="AB709" s="40"/>
      <c r="AC709" s="40"/>
      <c r="AD709" s="40"/>
      <c r="AE709" s="40"/>
      <c r="AF709" s="40"/>
      <c r="AG709" s="40"/>
      <c r="AH709" s="40"/>
    </row>
    <row r="710" spans="1:34" x14ac:dyDescent="0.25">
      <c r="A710" s="325"/>
      <c r="B710" s="325"/>
      <c r="C710" s="325"/>
      <c r="D710" s="325"/>
      <c r="E710" s="390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417"/>
      <c r="W710" s="325"/>
      <c r="X710" s="325"/>
      <c r="Y710" s="325"/>
      <c r="Z710" s="390"/>
      <c r="AA710" s="325"/>
      <c r="AB710" s="325"/>
      <c r="AC710" s="325"/>
      <c r="AD710" s="325"/>
      <c r="AE710" s="325"/>
      <c r="AF710" s="325"/>
      <c r="AG710" s="325"/>
      <c r="AH710" s="325"/>
    </row>
    <row r="711" spans="1:34" x14ac:dyDescent="0.25">
      <c r="A711" s="325"/>
      <c r="B711" s="325"/>
      <c r="C711" s="325"/>
      <c r="D711" s="325"/>
      <c r="E711" s="390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417"/>
      <c r="W711" s="325"/>
      <c r="X711" s="325"/>
      <c r="Y711" s="325"/>
      <c r="Z711" s="390"/>
      <c r="AA711" s="325"/>
      <c r="AB711" s="325"/>
      <c r="AC711" s="325"/>
      <c r="AD711" s="325"/>
      <c r="AE711" s="325"/>
      <c r="AF711" s="325"/>
      <c r="AG711" s="325"/>
      <c r="AH711" s="325"/>
    </row>
    <row r="712" spans="1:34" x14ac:dyDescent="0.25">
      <c r="A712" s="325"/>
      <c r="B712" s="325"/>
      <c r="C712" s="325"/>
      <c r="D712" s="325"/>
      <c r="E712" s="390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417"/>
      <c r="W712" s="325"/>
      <c r="X712" s="325"/>
      <c r="Y712" s="325"/>
      <c r="Z712" s="390"/>
      <c r="AA712" s="325"/>
      <c r="AB712" s="325"/>
      <c r="AC712" s="325"/>
      <c r="AD712" s="325"/>
      <c r="AE712" s="325"/>
      <c r="AF712" s="325"/>
      <c r="AG712" s="325"/>
      <c r="AH712" s="325"/>
    </row>
    <row r="713" spans="1:34" x14ac:dyDescent="0.25">
      <c r="A713" s="325"/>
      <c r="B713" s="325"/>
      <c r="C713" s="325"/>
      <c r="D713" s="325"/>
      <c r="E713" s="390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417"/>
      <c r="W713" s="325"/>
      <c r="X713" s="325"/>
      <c r="Y713" s="325"/>
      <c r="Z713" s="390"/>
      <c r="AA713" s="325"/>
      <c r="AB713" s="325"/>
      <c r="AC713" s="325"/>
      <c r="AD713" s="325"/>
      <c r="AE713" s="325"/>
      <c r="AF713" s="325"/>
      <c r="AG713" s="325"/>
      <c r="AH713" s="325"/>
    </row>
    <row r="714" spans="1:34" x14ac:dyDescent="0.25">
      <c r="A714" s="325"/>
      <c r="B714" s="325"/>
      <c r="C714" s="325"/>
      <c r="D714" s="325"/>
      <c r="E714" s="390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417"/>
      <c r="W714" s="325"/>
      <c r="X714" s="325"/>
      <c r="Y714" s="325"/>
      <c r="Z714" s="390"/>
      <c r="AA714" s="455"/>
      <c r="AB714" s="325"/>
      <c r="AC714" s="325"/>
      <c r="AD714" s="325"/>
      <c r="AE714" s="325"/>
      <c r="AF714" s="325"/>
      <c r="AG714" s="325"/>
      <c r="AH714" s="325"/>
    </row>
    <row r="715" spans="1:34" x14ac:dyDescent="0.25">
      <c r="A715" s="325"/>
      <c r="B715" s="325"/>
      <c r="C715" s="325"/>
      <c r="D715" s="325"/>
      <c r="E715" s="390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417"/>
      <c r="W715" s="325"/>
      <c r="X715" s="325"/>
      <c r="Y715" s="325"/>
      <c r="Z715" s="390"/>
      <c r="AA715" s="325"/>
      <c r="AB715" s="325"/>
      <c r="AC715" s="325"/>
      <c r="AD715" s="325"/>
      <c r="AE715" s="325"/>
      <c r="AF715" s="325"/>
      <c r="AG715" s="325"/>
      <c r="AH715" s="325"/>
    </row>
    <row r="716" spans="1:34" x14ac:dyDescent="0.25">
      <c r="A716" s="325"/>
      <c r="B716" s="325"/>
      <c r="C716" s="325"/>
      <c r="D716" s="325"/>
      <c r="E716" s="390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417"/>
      <c r="W716" s="325"/>
      <c r="X716" s="325"/>
      <c r="Y716" s="325"/>
      <c r="Z716" s="390"/>
      <c r="AA716" s="325"/>
      <c r="AB716" s="325"/>
      <c r="AC716" s="325"/>
      <c r="AD716" s="325"/>
      <c r="AE716" s="325"/>
      <c r="AF716" s="325"/>
      <c r="AG716" s="325"/>
      <c r="AH716" s="325"/>
    </row>
    <row r="717" spans="1:34" x14ac:dyDescent="0.25">
      <c r="A717" s="325"/>
      <c r="B717" s="325"/>
      <c r="C717" s="325"/>
      <c r="D717" s="325"/>
      <c r="E717" s="390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417"/>
      <c r="W717" s="325"/>
      <c r="X717" s="325"/>
      <c r="Y717" s="325"/>
      <c r="Z717" s="390"/>
      <c r="AA717" s="325"/>
      <c r="AB717" s="325"/>
      <c r="AC717" s="325"/>
      <c r="AD717" s="325"/>
      <c r="AE717" s="325"/>
      <c r="AF717" s="325"/>
      <c r="AG717" s="325"/>
      <c r="AH717" s="325"/>
    </row>
    <row r="718" spans="1:34" x14ac:dyDescent="0.25">
      <c r="A718" s="325"/>
      <c r="B718" s="325"/>
      <c r="C718" s="325"/>
      <c r="D718" s="325"/>
      <c r="E718" s="390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417"/>
      <c r="W718" s="325"/>
      <c r="X718" s="325"/>
      <c r="Y718" s="325"/>
      <c r="Z718" s="390"/>
      <c r="AA718" s="325"/>
      <c r="AB718" s="325"/>
      <c r="AC718" s="325"/>
      <c r="AD718" s="325"/>
      <c r="AE718" s="325"/>
      <c r="AF718" s="325"/>
      <c r="AG718" s="325"/>
      <c r="AH718" s="325"/>
    </row>
    <row r="719" spans="1:34" x14ac:dyDescent="0.25">
      <c r="A719" s="325"/>
      <c r="B719" s="325"/>
      <c r="C719" s="325"/>
      <c r="D719" s="325"/>
      <c r="E719" s="390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417"/>
      <c r="W719" s="325"/>
      <c r="X719" s="325"/>
      <c r="Y719" s="325"/>
      <c r="Z719" s="390"/>
      <c r="AA719" s="325"/>
      <c r="AB719" s="325"/>
      <c r="AC719" s="325"/>
      <c r="AD719" s="325"/>
      <c r="AE719" s="325"/>
      <c r="AF719" s="325"/>
      <c r="AG719" s="325"/>
      <c r="AH719" s="325"/>
    </row>
    <row r="720" spans="1:34" x14ac:dyDescent="0.25">
      <c r="A720" s="325"/>
      <c r="B720" s="325"/>
      <c r="C720" s="325"/>
      <c r="D720" s="325"/>
      <c r="E720" s="390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417"/>
      <c r="W720" s="325"/>
      <c r="X720" s="325"/>
      <c r="Y720" s="325"/>
      <c r="Z720" s="390"/>
      <c r="AA720" s="325"/>
      <c r="AB720" s="325"/>
      <c r="AC720" s="325"/>
      <c r="AD720" s="325"/>
      <c r="AE720" s="325"/>
      <c r="AF720" s="325"/>
      <c r="AG720" s="325"/>
      <c r="AH720" s="325"/>
    </row>
    <row r="721" spans="1:34" x14ac:dyDescent="0.25">
      <c r="A721" s="325"/>
      <c r="B721" s="325"/>
      <c r="C721" s="325"/>
      <c r="D721" s="325"/>
      <c r="E721" s="390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417"/>
      <c r="W721" s="325"/>
      <c r="X721" s="325"/>
      <c r="Y721" s="325"/>
      <c r="Z721" s="390"/>
      <c r="AA721" s="325"/>
      <c r="AB721" s="325"/>
      <c r="AC721" s="325"/>
      <c r="AD721" s="325"/>
      <c r="AE721" s="325"/>
      <c r="AF721" s="325"/>
      <c r="AG721" s="325"/>
      <c r="AH721" s="325"/>
    </row>
    <row r="722" spans="1:34" x14ac:dyDescent="0.25">
      <c r="A722" s="325"/>
      <c r="B722" s="325"/>
      <c r="C722" s="325"/>
      <c r="D722" s="325"/>
      <c r="E722" s="390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417"/>
      <c r="W722" s="325"/>
      <c r="X722" s="325"/>
      <c r="Y722" s="325"/>
      <c r="Z722" s="390"/>
      <c r="AA722" s="325"/>
      <c r="AB722" s="325"/>
      <c r="AC722" s="325"/>
      <c r="AD722" s="325"/>
      <c r="AE722" s="325"/>
      <c r="AF722" s="325"/>
      <c r="AG722" s="325"/>
      <c r="AH722" s="325"/>
    </row>
    <row r="723" spans="1:34" x14ac:dyDescent="0.25">
      <c r="A723" s="325"/>
      <c r="B723" s="325"/>
      <c r="C723" s="325"/>
      <c r="D723" s="325"/>
      <c r="E723" s="390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417"/>
      <c r="W723" s="325"/>
      <c r="X723" s="325"/>
      <c r="Y723" s="325"/>
      <c r="Z723" s="390"/>
      <c r="AA723" s="325"/>
      <c r="AB723" s="325"/>
      <c r="AC723" s="325"/>
      <c r="AD723" s="325"/>
      <c r="AE723" s="325"/>
      <c r="AF723" s="325"/>
      <c r="AG723" s="325"/>
      <c r="AH723" s="325"/>
    </row>
    <row r="724" spans="1:34" x14ac:dyDescent="0.25">
      <c r="A724" s="325"/>
      <c r="B724" s="325"/>
      <c r="C724" s="325"/>
      <c r="D724" s="325"/>
      <c r="E724" s="390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417"/>
      <c r="W724" s="325"/>
      <c r="X724" s="325"/>
      <c r="Y724" s="325"/>
      <c r="Z724" s="390"/>
      <c r="AA724" s="325"/>
      <c r="AB724" s="325"/>
      <c r="AC724" s="325"/>
      <c r="AD724" s="325"/>
      <c r="AE724" s="325"/>
      <c r="AF724" s="325"/>
      <c r="AG724" s="325"/>
      <c r="AH724" s="325"/>
    </row>
    <row r="725" spans="1:34" x14ac:dyDescent="0.25">
      <c r="A725" s="325"/>
      <c r="B725" s="325"/>
      <c r="C725" s="325"/>
      <c r="D725" s="325"/>
      <c r="E725" s="390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417"/>
      <c r="W725" s="325"/>
      <c r="X725" s="325"/>
      <c r="Y725" s="325"/>
      <c r="Z725" s="390"/>
      <c r="AA725" s="325"/>
      <c r="AB725" s="325"/>
      <c r="AC725" s="325"/>
      <c r="AD725" s="325"/>
      <c r="AE725" s="325"/>
      <c r="AF725" s="325"/>
      <c r="AG725" s="325"/>
      <c r="AH725" s="325"/>
    </row>
    <row r="726" spans="1:34" x14ac:dyDescent="0.25">
      <c r="A726" s="325"/>
      <c r="B726" s="325"/>
      <c r="C726" s="325"/>
      <c r="D726" s="325"/>
      <c r="E726" s="390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417"/>
      <c r="W726" s="325"/>
      <c r="X726" s="325"/>
      <c r="Y726" s="325"/>
      <c r="Z726" s="390"/>
      <c r="AA726" s="325"/>
      <c r="AB726" s="325"/>
      <c r="AC726" s="325"/>
      <c r="AD726" s="325"/>
      <c r="AE726" s="325"/>
      <c r="AF726" s="325"/>
      <c r="AG726" s="325"/>
      <c r="AH726" s="325"/>
    </row>
    <row r="727" spans="1:34" x14ac:dyDescent="0.25">
      <c r="A727" s="325"/>
      <c r="B727" s="325"/>
      <c r="C727" s="325"/>
      <c r="D727" s="325"/>
      <c r="E727" s="390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417"/>
      <c r="W727" s="325"/>
      <c r="X727" s="325"/>
      <c r="Y727" s="325"/>
      <c r="Z727" s="390"/>
      <c r="AA727" s="325"/>
      <c r="AB727" s="325"/>
      <c r="AC727" s="325"/>
      <c r="AD727" s="325"/>
      <c r="AE727" s="325"/>
      <c r="AF727" s="325"/>
      <c r="AG727" s="325"/>
      <c r="AH727" s="325"/>
    </row>
    <row r="728" spans="1:34" x14ac:dyDescent="0.25">
      <c r="A728" s="325"/>
      <c r="B728" s="325"/>
      <c r="C728" s="325"/>
      <c r="D728" s="325"/>
      <c r="E728" s="390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417"/>
      <c r="W728" s="325"/>
      <c r="X728" s="325"/>
      <c r="Y728" s="325"/>
      <c r="Z728" s="390"/>
      <c r="AA728" s="325"/>
      <c r="AB728" s="325"/>
      <c r="AC728" s="325"/>
      <c r="AD728" s="325"/>
      <c r="AE728" s="325"/>
      <c r="AF728" s="325"/>
      <c r="AG728" s="325"/>
      <c r="AH728" s="325"/>
    </row>
    <row r="729" spans="1:34" x14ac:dyDescent="0.25">
      <c r="A729" s="325"/>
      <c r="B729" s="325"/>
      <c r="C729" s="325"/>
      <c r="D729" s="325"/>
      <c r="E729" s="390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417"/>
      <c r="W729" s="325"/>
      <c r="X729" s="325"/>
      <c r="Y729" s="325"/>
      <c r="Z729" s="390"/>
      <c r="AA729" s="325"/>
      <c r="AB729" s="325"/>
      <c r="AC729" s="325"/>
      <c r="AD729" s="325"/>
      <c r="AE729" s="325"/>
      <c r="AF729" s="325"/>
      <c r="AG729" s="325"/>
      <c r="AH729" s="325"/>
    </row>
    <row r="730" spans="1:34" x14ac:dyDescent="0.25">
      <c r="A730" s="325"/>
      <c r="B730" s="325"/>
      <c r="C730" s="325"/>
      <c r="D730" s="325"/>
      <c r="E730" s="390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417"/>
      <c r="W730" s="325"/>
      <c r="X730" s="325"/>
      <c r="Y730" s="325"/>
      <c r="Z730" s="390"/>
      <c r="AA730" s="325"/>
      <c r="AB730" s="325"/>
      <c r="AC730" s="325"/>
      <c r="AD730" s="325"/>
      <c r="AE730" s="325"/>
      <c r="AF730" s="325"/>
      <c r="AG730" s="325"/>
      <c r="AH730" s="325"/>
    </row>
    <row r="731" spans="1:34" x14ac:dyDescent="0.25">
      <c r="A731" s="325"/>
      <c r="B731" s="325"/>
      <c r="C731" s="325"/>
      <c r="D731" s="325"/>
      <c r="E731" s="390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417"/>
      <c r="W731" s="325"/>
      <c r="X731" s="325"/>
      <c r="Y731" s="325"/>
      <c r="Z731" s="390"/>
      <c r="AA731" s="325"/>
      <c r="AB731" s="325"/>
      <c r="AC731" s="325"/>
      <c r="AD731" s="325"/>
      <c r="AE731" s="325"/>
      <c r="AF731" s="325"/>
      <c r="AG731" s="325"/>
      <c r="AH731" s="325"/>
    </row>
    <row r="732" spans="1:34" x14ac:dyDescent="0.25">
      <c r="A732" s="325"/>
      <c r="B732" s="325"/>
      <c r="C732" s="325"/>
      <c r="D732" s="325"/>
      <c r="E732" s="390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417"/>
      <c r="W732" s="325"/>
      <c r="X732" s="325"/>
      <c r="Y732" s="325"/>
      <c r="Z732" s="390"/>
      <c r="AA732" s="325"/>
      <c r="AB732" s="325"/>
      <c r="AC732" s="325"/>
      <c r="AD732" s="325"/>
      <c r="AE732" s="325"/>
      <c r="AF732" s="325"/>
      <c r="AG732" s="325"/>
      <c r="AH732" s="325"/>
    </row>
    <row r="733" spans="1:34" x14ac:dyDescent="0.25">
      <c r="A733" s="325"/>
      <c r="B733" s="325"/>
      <c r="C733" s="325"/>
      <c r="D733" s="325"/>
      <c r="E733" s="390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417"/>
      <c r="W733" s="325"/>
      <c r="X733" s="325"/>
      <c r="Y733" s="325"/>
      <c r="Z733" s="390"/>
      <c r="AA733" s="325"/>
      <c r="AB733" s="325"/>
      <c r="AC733" s="325"/>
      <c r="AD733" s="325"/>
      <c r="AE733" s="325"/>
      <c r="AF733" s="325"/>
      <c r="AG733" s="325"/>
      <c r="AH733" s="325"/>
    </row>
    <row r="734" spans="1:34" x14ac:dyDescent="0.25">
      <c r="A734" s="325"/>
      <c r="B734" s="325"/>
      <c r="C734" s="325"/>
      <c r="D734" s="325"/>
      <c r="E734" s="390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417"/>
      <c r="W734" s="325"/>
      <c r="X734" s="325"/>
      <c r="Y734" s="325"/>
      <c r="Z734" s="390"/>
      <c r="AA734" s="325"/>
      <c r="AB734" s="325"/>
      <c r="AC734" s="325"/>
      <c r="AD734" s="325"/>
      <c r="AE734" s="325"/>
      <c r="AF734" s="325"/>
      <c r="AG734" s="325"/>
      <c r="AH734" s="325"/>
    </row>
    <row r="735" spans="1:34" x14ac:dyDescent="0.25">
      <c r="A735" s="325"/>
      <c r="B735" s="325"/>
      <c r="C735" s="325"/>
      <c r="D735" s="325"/>
      <c r="E735" s="390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417"/>
      <c r="W735" s="325"/>
      <c r="X735" s="325"/>
      <c r="Y735" s="325"/>
      <c r="Z735" s="390"/>
      <c r="AA735" s="325"/>
      <c r="AB735" s="325"/>
      <c r="AC735" s="325"/>
      <c r="AD735" s="325"/>
      <c r="AE735" s="325"/>
      <c r="AF735" s="325"/>
      <c r="AG735" s="325"/>
      <c r="AH735" s="325"/>
    </row>
    <row r="736" spans="1:34" x14ac:dyDescent="0.25">
      <c r="A736" s="325"/>
      <c r="B736" s="325"/>
      <c r="C736" s="325"/>
      <c r="D736" s="325"/>
      <c r="E736" s="390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417"/>
      <c r="W736" s="325"/>
      <c r="X736" s="325"/>
      <c r="Y736" s="325"/>
      <c r="Z736" s="390"/>
      <c r="AA736" s="325"/>
      <c r="AB736" s="325"/>
      <c r="AC736" s="325"/>
      <c r="AD736" s="325"/>
      <c r="AE736" s="325"/>
      <c r="AF736" s="325"/>
      <c r="AG736" s="325"/>
      <c r="AH736" s="325"/>
    </row>
    <row r="737" spans="1:34" x14ac:dyDescent="0.25">
      <c r="A737" s="325"/>
      <c r="B737" s="325"/>
      <c r="C737" s="325"/>
      <c r="D737" s="325"/>
      <c r="E737" s="390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417"/>
      <c r="W737" s="325"/>
      <c r="X737" s="325"/>
      <c r="Y737" s="325"/>
      <c r="Z737" s="390"/>
      <c r="AA737" s="325"/>
      <c r="AB737" s="325"/>
      <c r="AC737" s="325"/>
      <c r="AD737" s="325"/>
      <c r="AE737" s="325"/>
      <c r="AF737" s="325"/>
      <c r="AG737" s="325"/>
      <c r="AH737" s="325"/>
    </row>
    <row r="738" spans="1:34" x14ac:dyDescent="0.25">
      <c r="A738" s="325"/>
      <c r="B738" s="325"/>
      <c r="C738" s="325"/>
      <c r="D738" s="325"/>
      <c r="E738" s="390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417"/>
      <c r="W738" s="325"/>
      <c r="X738" s="325"/>
      <c r="Y738" s="325"/>
      <c r="Z738" s="390"/>
      <c r="AA738" s="325"/>
      <c r="AB738" s="325"/>
      <c r="AC738" s="325"/>
      <c r="AD738" s="325"/>
      <c r="AE738" s="325"/>
      <c r="AF738" s="325"/>
      <c r="AG738" s="325"/>
      <c r="AH738" s="325"/>
    </row>
    <row r="739" spans="1:34" x14ac:dyDescent="0.25">
      <c r="A739" s="325"/>
      <c r="B739" s="325"/>
      <c r="C739" s="325"/>
      <c r="D739" s="325"/>
      <c r="E739" s="390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417"/>
      <c r="W739" s="325"/>
      <c r="X739" s="325"/>
      <c r="Y739" s="325"/>
      <c r="Z739" s="390"/>
      <c r="AA739" s="325"/>
      <c r="AB739" s="325"/>
      <c r="AC739" s="325"/>
      <c r="AD739" s="325"/>
      <c r="AE739" s="325"/>
      <c r="AF739" s="325"/>
      <c r="AG739" s="325"/>
      <c r="AH739" s="325"/>
    </row>
    <row r="740" spans="1:34" x14ac:dyDescent="0.25">
      <c r="A740" s="325"/>
      <c r="B740" s="325"/>
      <c r="C740" s="325"/>
      <c r="D740" s="325"/>
      <c r="E740" s="390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417"/>
      <c r="W740" s="325"/>
      <c r="X740" s="325"/>
      <c r="Y740" s="325"/>
      <c r="Z740" s="390"/>
      <c r="AA740" s="325"/>
      <c r="AB740" s="325"/>
      <c r="AC740" s="325"/>
      <c r="AD740" s="325"/>
      <c r="AE740" s="325"/>
      <c r="AF740" s="325"/>
      <c r="AG740" s="325"/>
      <c r="AH740" s="325"/>
    </row>
    <row r="741" spans="1:34" x14ac:dyDescent="0.25">
      <c r="A741" s="325"/>
      <c r="B741" s="325"/>
      <c r="C741" s="325"/>
      <c r="D741" s="325"/>
      <c r="E741" s="390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417"/>
      <c r="W741" s="325"/>
      <c r="X741" s="325"/>
      <c r="Y741" s="325"/>
      <c r="Z741" s="390"/>
      <c r="AA741" s="325"/>
      <c r="AB741" s="325"/>
      <c r="AC741" s="325"/>
      <c r="AD741" s="325"/>
      <c r="AE741" s="325"/>
      <c r="AF741" s="325"/>
      <c r="AG741" s="325"/>
      <c r="AH741" s="325"/>
    </row>
    <row r="742" spans="1:34" x14ac:dyDescent="0.25">
      <c r="A742" s="325"/>
      <c r="B742" s="325"/>
      <c r="C742" s="325"/>
      <c r="D742" s="325"/>
      <c r="E742" s="390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417"/>
      <c r="W742" s="325"/>
      <c r="X742" s="325"/>
      <c r="Y742" s="325"/>
      <c r="Z742" s="390"/>
      <c r="AA742" s="325"/>
      <c r="AB742" s="325"/>
      <c r="AC742" s="325"/>
      <c r="AD742" s="325"/>
      <c r="AE742" s="325"/>
      <c r="AF742" s="325"/>
      <c r="AG742" s="325"/>
      <c r="AH742" s="325"/>
    </row>
    <row r="743" spans="1:34" x14ac:dyDescent="0.25">
      <c r="A743" s="325"/>
      <c r="B743" s="325"/>
      <c r="C743" s="325"/>
      <c r="D743" s="325"/>
      <c r="E743" s="390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417"/>
      <c r="W743" s="325"/>
      <c r="X743" s="325"/>
      <c r="Y743" s="325"/>
      <c r="Z743" s="390"/>
      <c r="AA743" s="325"/>
      <c r="AB743" s="325"/>
      <c r="AC743" s="325"/>
      <c r="AD743" s="325"/>
      <c r="AE743" s="325"/>
      <c r="AF743" s="325"/>
      <c r="AG743" s="325"/>
      <c r="AH743" s="325"/>
    </row>
    <row r="744" spans="1:34" x14ac:dyDescent="0.25">
      <c r="A744" s="325"/>
      <c r="B744" s="325"/>
      <c r="C744" s="325"/>
      <c r="D744" s="325"/>
      <c r="E744" s="390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417"/>
      <c r="W744" s="325"/>
      <c r="X744" s="325"/>
      <c r="Y744" s="325"/>
      <c r="Z744" s="390"/>
      <c r="AA744" s="325"/>
      <c r="AB744" s="325"/>
      <c r="AC744" s="325"/>
      <c r="AD744" s="325"/>
      <c r="AE744" s="325"/>
      <c r="AF744" s="325"/>
      <c r="AG744" s="325"/>
      <c r="AH744" s="325"/>
    </row>
    <row r="745" spans="1:34" x14ac:dyDescent="0.25">
      <c r="A745" s="325"/>
      <c r="B745" s="325"/>
      <c r="C745" s="325"/>
      <c r="D745" s="325"/>
      <c r="E745" s="390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417"/>
      <c r="W745" s="325"/>
      <c r="X745" s="325"/>
      <c r="Y745" s="325"/>
      <c r="Z745" s="390"/>
      <c r="AA745" s="325"/>
      <c r="AB745" s="325"/>
      <c r="AC745" s="325"/>
      <c r="AD745" s="325"/>
      <c r="AE745" s="325"/>
      <c r="AF745" s="325"/>
      <c r="AG745" s="325"/>
      <c r="AH745" s="325"/>
    </row>
    <row r="746" spans="1:34" x14ac:dyDescent="0.25">
      <c r="A746" s="325"/>
      <c r="B746" s="325"/>
      <c r="C746" s="325"/>
      <c r="D746" s="325"/>
      <c r="E746" s="390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417"/>
      <c r="W746" s="325"/>
      <c r="X746" s="325"/>
      <c r="Y746" s="325"/>
      <c r="Z746" s="390"/>
      <c r="AA746" s="325"/>
      <c r="AB746" s="325"/>
      <c r="AC746" s="325"/>
      <c r="AD746" s="325"/>
      <c r="AE746" s="325"/>
      <c r="AF746" s="325"/>
      <c r="AG746" s="325"/>
      <c r="AH746" s="325"/>
    </row>
    <row r="747" spans="1:34" x14ac:dyDescent="0.25">
      <c r="A747" s="325"/>
      <c r="B747" s="325"/>
      <c r="C747" s="325"/>
      <c r="D747" s="325"/>
      <c r="E747" s="390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417"/>
      <c r="W747" s="325"/>
      <c r="X747" s="325"/>
      <c r="Y747" s="325"/>
      <c r="Z747" s="390"/>
      <c r="AA747" s="325"/>
      <c r="AB747" s="325"/>
      <c r="AC747" s="325"/>
      <c r="AD747" s="325"/>
      <c r="AE747" s="325"/>
      <c r="AF747" s="325"/>
      <c r="AG747" s="325"/>
      <c r="AH747" s="325"/>
    </row>
    <row r="748" spans="1:34" x14ac:dyDescent="0.25">
      <c r="A748" s="325"/>
      <c r="B748" s="325"/>
      <c r="C748" s="325"/>
      <c r="D748" s="325"/>
      <c r="E748" s="390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417"/>
      <c r="W748" s="325"/>
      <c r="X748" s="325"/>
      <c r="Y748" s="325"/>
      <c r="Z748" s="390"/>
      <c r="AA748" s="325"/>
      <c r="AB748" s="325"/>
      <c r="AC748" s="325"/>
      <c r="AD748" s="325"/>
      <c r="AE748" s="325"/>
      <c r="AF748" s="325"/>
      <c r="AG748" s="325"/>
      <c r="AH748" s="325"/>
    </row>
    <row r="749" spans="1:34" x14ac:dyDescent="0.25">
      <c r="A749" s="325"/>
      <c r="B749" s="325"/>
      <c r="C749" s="325"/>
      <c r="D749" s="325"/>
      <c r="E749" s="390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417"/>
      <c r="W749" s="325"/>
      <c r="X749" s="325"/>
      <c r="Y749" s="325"/>
      <c r="Z749" s="390"/>
      <c r="AA749" s="325"/>
      <c r="AB749" s="325"/>
      <c r="AC749" s="325"/>
      <c r="AD749" s="325"/>
      <c r="AE749" s="325"/>
      <c r="AF749" s="325"/>
      <c r="AG749" s="325"/>
      <c r="AH749" s="325"/>
    </row>
    <row r="750" spans="1:34" x14ac:dyDescent="0.25">
      <c r="A750" s="325"/>
      <c r="B750" s="325"/>
      <c r="C750" s="325"/>
      <c r="D750" s="325"/>
      <c r="E750" s="390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417"/>
      <c r="W750" s="325"/>
      <c r="X750" s="325"/>
      <c r="Y750" s="325"/>
      <c r="Z750" s="390"/>
      <c r="AA750" s="325"/>
      <c r="AB750" s="325"/>
      <c r="AC750" s="325"/>
      <c r="AD750" s="325"/>
      <c r="AE750" s="325"/>
      <c r="AF750" s="325"/>
      <c r="AG750" s="325"/>
      <c r="AH750" s="325"/>
    </row>
    <row r="751" spans="1:34" x14ac:dyDescent="0.25">
      <c r="A751" s="325"/>
      <c r="B751" s="325"/>
      <c r="C751" s="325"/>
      <c r="D751" s="325"/>
      <c r="E751" s="390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417"/>
      <c r="W751" s="325"/>
      <c r="X751" s="325"/>
      <c r="Y751" s="325"/>
      <c r="Z751" s="390"/>
      <c r="AA751" s="325"/>
      <c r="AB751" s="325"/>
      <c r="AC751" s="325"/>
      <c r="AD751" s="325"/>
      <c r="AE751" s="325"/>
      <c r="AF751" s="325"/>
      <c r="AG751" s="325"/>
      <c r="AH751" s="325"/>
    </row>
    <row r="752" spans="1:34" x14ac:dyDescent="0.25">
      <c r="A752" s="325"/>
      <c r="B752" s="325"/>
      <c r="C752" s="325"/>
      <c r="D752" s="325"/>
      <c r="E752" s="390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417"/>
      <c r="W752" s="325"/>
      <c r="X752" s="325"/>
      <c r="Y752" s="325"/>
      <c r="Z752" s="390"/>
      <c r="AA752" s="325"/>
      <c r="AB752" s="325"/>
      <c r="AC752" s="325"/>
      <c r="AD752" s="325"/>
      <c r="AE752" s="325"/>
      <c r="AF752" s="325"/>
      <c r="AG752" s="325"/>
      <c r="AH752" s="325"/>
    </row>
    <row r="753" spans="1:34" x14ac:dyDescent="0.25">
      <c r="A753" s="325"/>
      <c r="B753" s="325"/>
      <c r="C753" s="325"/>
      <c r="D753" s="325"/>
      <c r="E753" s="390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417"/>
      <c r="W753" s="325"/>
      <c r="X753" s="325"/>
      <c r="Y753" s="325"/>
      <c r="Z753" s="390"/>
      <c r="AA753" s="325"/>
      <c r="AB753" s="325"/>
      <c r="AC753" s="325"/>
      <c r="AD753" s="325"/>
      <c r="AE753" s="325"/>
      <c r="AF753" s="325"/>
      <c r="AG753" s="325"/>
      <c r="AH753" s="325"/>
    </row>
    <row r="754" spans="1:34" x14ac:dyDescent="0.25">
      <c r="A754" s="325"/>
      <c r="B754" s="325"/>
      <c r="C754" s="325"/>
      <c r="D754" s="325"/>
      <c r="E754" s="390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417"/>
      <c r="W754" s="325"/>
      <c r="X754" s="325"/>
      <c r="Y754" s="325"/>
      <c r="Z754" s="390"/>
      <c r="AA754" s="325"/>
      <c r="AB754" s="325"/>
      <c r="AC754" s="325"/>
      <c r="AD754" s="325"/>
      <c r="AE754" s="325"/>
      <c r="AF754" s="325"/>
      <c r="AG754" s="325"/>
      <c r="AH754" s="325"/>
    </row>
    <row r="755" spans="1:34" x14ac:dyDescent="0.25">
      <c r="A755" s="325"/>
      <c r="B755" s="325"/>
      <c r="C755" s="325"/>
      <c r="D755" s="325"/>
      <c r="E755" s="390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417"/>
      <c r="W755" s="325"/>
      <c r="X755" s="325"/>
      <c r="Y755" s="325"/>
      <c r="Z755" s="390"/>
      <c r="AA755" s="325"/>
      <c r="AB755" s="325"/>
      <c r="AC755" s="325"/>
      <c r="AD755" s="325"/>
      <c r="AE755" s="325"/>
      <c r="AF755" s="325"/>
      <c r="AG755" s="325"/>
      <c r="AH755" s="325"/>
    </row>
    <row r="756" spans="1:34" x14ac:dyDescent="0.25">
      <c r="A756" s="325"/>
      <c r="B756" s="325"/>
      <c r="C756" s="325"/>
      <c r="D756" s="325"/>
      <c r="E756" s="390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417"/>
      <c r="W756" s="325"/>
      <c r="X756" s="325"/>
      <c r="Y756" s="325"/>
      <c r="Z756" s="390"/>
      <c r="AA756" s="325"/>
      <c r="AB756" s="325"/>
      <c r="AC756" s="325"/>
      <c r="AD756" s="325"/>
      <c r="AE756" s="325"/>
      <c r="AF756" s="325"/>
      <c r="AG756" s="325"/>
      <c r="AH756" s="325"/>
    </row>
    <row r="757" spans="1:34" x14ac:dyDescent="0.25">
      <c r="A757" s="325"/>
      <c r="B757" s="325"/>
      <c r="C757" s="325"/>
      <c r="D757" s="325"/>
      <c r="E757" s="390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417"/>
      <c r="W757" s="325"/>
      <c r="X757" s="325"/>
      <c r="Y757" s="325"/>
      <c r="Z757" s="390"/>
      <c r="AA757" s="325"/>
      <c r="AB757" s="325"/>
      <c r="AC757" s="325"/>
      <c r="AD757" s="325"/>
      <c r="AE757" s="325"/>
      <c r="AF757" s="325"/>
      <c r="AG757" s="325"/>
      <c r="AH757" s="325"/>
    </row>
    <row r="758" spans="1:34" x14ac:dyDescent="0.25">
      <c r="A758" s="325"/>
      <c r="B758" s="325"/>
      <c r="C758" s="325"/>
      <c r="D758" s="325"/>
      <c r="E758" s="390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417"/>
      <c r="W758" s="325"/>
      <c r="X758" s="325"/>
      <c r="Y758" s="325"/>
      <c r="Z758" s="390"/>
      <c r="AA758" s="325"/>
      <c r="AB758" s="325"/>
      <c r="AC758" s="325"/>
      <c r="AD758" s="325"/>
      <c r="AE758" s="325"/>
      <c r="AF758" s="325"/>
      <c r="AG758" s="325"/>
      <c r="AH758" s="325"/>
    </row>
    <row r="759" spans="1:34" x14ac:dyDescent="0.25">
      <c r="A759" s="325"/>
      <c r="B759" s="325"/>
      <c r="C759" s="325"/>
      <c r="D759" s="325"/>
      <c r="E759" s="390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417"/>
      <c r="W759" s="325"/>
      <c r="X759" s="325"/>
      <c r="Y759" s="325"/>
      <c r="Z759" s="390"/>
      <c r="AA759" s="325"/>
      <c r="AB759" s="325"/>
      <c r="AC759" s="325"/>
      <c r="AD759" s="325"/>
      <c r="AE759" s="325"/>
      <c r="AF759" s="325"/>
      <c r="AG759" s="325"/>
      <c r="AH759" s="325"/>
    </row>
    <row r="760" spans="1:34" x14ac:dyDescent="0.25">
      <c r="A760" s="325"/>
      <c r="B760" s="325"/>
      <c r="C760" s="325"/>
      <c r="D760" s="325"/>
      <c r="E760" s="390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417"/>
      <c r="W760" s="325"/>
      <c r="X760" s="325"/>
      <c r="Y760" s="325"/>
      <c r="Z760" s="390"/>
      <c r="AA760" s="325"/>
      <c r="AB760" s="325"/>
      <c r="AC760" s="325"/>
      <c r="AD760" s="325"/>
      <c r="AE760" s="325"/>
      <c r="AF760" s="325"/>
      <c r="AG760" s="325"/>
      <c r="AH760" s="325"/>
    </row>
    <row r="761" spans="1:34" x14ac:dyDescent="0.25">
      <c r="A761" s="325"/>
      <c r="B761" s="325"/>
      <c r="C761" s="325"/>
      <c r="D761" s="325"/>
      <c r="E761" s="390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417"/>
      <c r="W761" s="325"/>
      <c r="X761" s="325"/>
      <c r="Y761" s="325"/>
      <c r="Z761" s="390"/>
      <c r="AA761" s="325"/>
      <c r="AB761" s="325"/>
      <c r="AC761" s="325"/>
      <c r="AD761" s="325"/>
      <c r="AE761" s="325"/>
      <c r="AF761" s="325"/>
      <c r="AG761" s="325"/>
      <c r="AH761" s="325"/>
    </row>
    <row r="762" spans="1:34" x14ac:dyDescent="0.25">
      <c r="A762" s="325"/>
      <c r="B762" s="325"/>
      <c r="C762" s="325"/>
      <c r="D762" s="325"/>
      <c r="E762" s="390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417"/>
      <c r="W762" s="325"/>
      <c r="X762" s="325"/>
      <c r="Y762" s="325"/>
      <c r="Z762" s="390"/>
      <c r="AA762" s="325"/>
      <c r="AB762" s="325"/>
      <c r="AC762" s="325"/>
      <c r="AD762" s="325"/>
      <c r="AE762" s="325"/>
      <c r="AF762" s="325"/>
      <c r="AG762" s="325"/>
      <c r="AH762" s="325"/>
    </row>
    <row r="763" spans="1:34" x14ac:dyDescent="0.25">
      <c r="A763" s="325"/>
      <c r="B763" s="325"/>
      <c r="C763" s="325"/>
      <c r="D763" s="325"/>
      <c r="E763" s="390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417"/>
      <c r="W763" s="325"/>
      <c r="X763" s="325"/>
      <c r="Y763" s="325"/>
      <c r="Z763" s="390"/>
      <c r="AA763" s="325"/>
      <c r="AB763" s="325"/>
      <c r="AC763" s="325"/>
      <c r="AD763" s="325"/>
      <c r="AE763" s="325"/>
      <c r="AF763" s="325"/>
      <c r="AG763" s="325"/>
      <c r="AH763" s="325"/>
    </row>
    <row r="764" spans="1:34" x14ac:dyDescent="0.25">
      <c r="A764" s="325"/>
      <c r="B764" s="325"/>
      <c r="C764" s="325"/>
      <c r="D764" s="325"/>
      <c r="E764" s="390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417"/>
      <c r="W764" s="325"/>
      <c r="X764" s="325"/>
      <c r="Y764" s="325"/>
      <c r="Z764" s="390"/>
      <c r="AA764" s="325"/>
      <c r="AB764" s="325"/>
      <c r="AC764" s="325"/>
      <c r="AD764" s="325"/>
      <c r="AE764" s="325"/>
      <c r="AF764" s="325"/>
      <c r="AG764" s="325"/>
      <c r="AH764" s="325"/>
    </row>
    <row r="765" spans="1:34" x14ac:dyDescent="0.25">
      <c r="A765" s="325"/>
      <c r="B765" s="325"/>
      <c r="C765" s="325"/>
      <c r="D765" s="325"/>
      <c r="E765" s="390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417"/>
      <c r="W765" s="325"/>
      <c r="X765" s="325"/>
      <c r="Y765" s="325"/>
      <c r="Z765" s="390"/>
      <c r="AA765" s="325"/>
      <c r="AB765" s="325"/>
      <c r="AC765" s="325"/>
      <c r="AD765" s="325"/>
      <c r="AE765" s="325"/>
      <c r="AF765" s="325"/>
      <c r="AG765" s="325"/>
      <c r="AH765" s="325"/>
    </row>
    <row r="766" spans="1:34" x14ac:dyDescent="0.25">
      <c r="A766" s="325"/>
      <c r="B766" s="325"/>
      <c r="C766" s="325"/>
      <c r="D766" s="325"/>
      <c r="E766" s="390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417"/>
      <c r="W766" s="325"/>
      <c r="X766" s="325"/>
      <c r="Y766" s="325"/>
      <c r="Z766" s="390"/>
      <c r="AA766" s="325"/>
      <c r="AB766" s="325"/>
      <c r="AC766" s="325"/>
      <c r="AD766" s="325"/>
      <c r="AE766" s="325"/>
      <c r="AF766" s="325"/>
      <c r="AG766" s="325"/>
      <c r="AH766" s="325"/>
    </row>
    <row r="767" spans="1:34" x14ac:dyDescent="0.25">
      <c r="A767" s="325"/>
      <c r="B767" s="325"/>
      <c r="C767" s="325"/>
      <c r="D767" s="325"/>
      <c r="E767" s="390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417"/>
      <c r="W767" s="325"/>
      <c r="X767" s="325"/>
      <c r="Y767" s="325"/>
      <c r="Z767" s="390"/>
      <c r="AA767" s="325"/>
      <c r="AB767" s="325"/>
      <c r="AC767" s="325"/>
      <c r="AD767" s="325"/>
      <c r="AE767" s="325"/>
      <c r="AF767" s="325"/>
      <c r="AG767" s="325"/>
      <c r="AH767" s="325"/>
    </row>
    <row r="768" spans="1:34" x14ac:dyDescent="0.25">
      <c r="A768" s="325"/>
      <c r="B768" s="325"/>
      <c r="C768" s="325"/>
      <c r="D768" s="325"/>
      <c r="E768" s="390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417"/>
      <c r="W768" s="325"/>
      <c r="X768" s="325"/>
      <c r="Y768" s="325"/>
      <c r="Z768" s="390"/>
      <c r="AA768" s="325"/>
      <c r="AB768" s="325"/>
      <c r="AC768" s="325"/>
      <c r="AD768" s="325"/>
      <c r="AE768" s="325"/>
      <c r="AF768" s="325"/>
      <c r="AG768" s="325"/>
      <c r="AH768" s="325"/>
    </row>
    <row r="769" spans="1:34" x14ac:dyDescent="0.25">
      <c r="A769" s="325"/>
      <c r="B769" s="325"/>
      <c r="C769" s="325"/>
      <c r="D769" s="325"/>
      <c r="E769" s="390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417"/>
      <c r="W769" s="325"/>
      <c r="X769" s="325"/>
      <c r="Y769" s="325"/>
      <c r="Z769" s="390"/>
      <c r="AA769" s="325"/>
      <c r="AB769" s="325"/>
      <c r="AC769" s="325"/>
      <c r="AD769" s="325"/>
      <c r="AE769" s="325"/>
      <c r="AF769" s="325"/>
      <c r="AG769" s="325"/>
      <c r="AH769" s="325"/>
    </row>
    <row r="770" spans="1:34" x14ac:dyDescent="0.25">
      <c r="A770" s="325"/>
      <c r="B770" s="325"/>
      <c r="C770" s="325"/>
      <c r="D770" s="325"/>
      <c r="E770" s="390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417"/>
      <c r="W770" s="325"/>
      <c r="X770" s="325"/>
      <c r="Y770" s="325"/>
      <c r="Z770" s="390"/>
      <c r="AA770" s="325"/>
      <c r="AB770" s="325"/>
      <c r="AC770" s="325"/>
      <c r="AD770" s="325"/>
      <c r="AE770" s="325"/>
      <c r="AF770" s="325"/>
      <c r="AG770" s="325"/>
      <c r="AH770" s="325"/>
    </row>
    <row r="771" spans="1:34" x14ac:dyDescent="0.25">
      <c r="A771" s="325"/>
      <c r="B771" s="325"/>
      <c r="C771" s="325"/>
      <c r="D771" s="325"/>
      <c r="E771" s="390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417"/>
      <c r="W771" s="325"/>
      <c r="X771" s="325"/>
      <c r="Y771" s="325"/>
      <c r="Z771" s="390"/>
      <c r="AA771" s="325"/>
      <c r="AB771" s="325"/>
      <c r="AC771" s="325"/>
      <c r="AD771" s="325"/>
      <c r="AE771" s="325"/>
      <c r="AF771" s="325"/>
      <c r="AG771" s="325"/>
      <c r="AH771" s="325"/>
    </row>
    <row r="772" spans="1:34" x14ac:dyDescent="0.25">
      <c r="A772" s="325"/>
      <c r="B772" s="325"/>
      <c r="C772" s="325"/>
      <c r="D772" s="325"/>
      <c r="E772" s="390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417"/>
      <c r="W772" s="325"/>
      <c r="X772" s="325"/>
      <c r="Y772" s="325"/>
      <c r="Z772" s="390"/>
      <c r="AA772" s="325"/>
      <c r="AB772" s="325"/>
      <c r="AC772" s="325"/>
      <c r="AD772" s="325"/>
      <c r="AE772" s="325"/>
      <c r="AF772" s="325"/>
      <c r="AG772" s="325"/>
      <c r="AH772" s="325"/>
    </row>
    <row r="773" spans="1:34" x14ac:dyDescent="0.25">
      <c r="A773" s="325"/>
      <c r="B773" s="325"/>
      <c r="C773" s="325"/>
      <c r="D773" s="325"/>
      <c r="E773" s="390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417"/>
      <c r="W773" s="325"/>
      <c r="X773" s="325"/>
      <c r="Y773" s="325"/>
      <c r="Z773" s="390"/>
      <c r="AA773" s="325"/>
      <c r="AB773" s="325"/>
      <c r="AC773" s="325"/>
      <c r="AD773" s="325"/>
      <c r="AE773" s="325"/>
      <c r="AF773" s="325"/>
      <c r="AG773" s="325"/>
      <c r="AH773" s="325"/>
    </row>
    <row r="774" spans="1:34" x14ac:dyDescent="0.25">
      <c r="A774" s="325"/>
      <c r="B774" s="325"/>
      <c r="C774" s="325"/>
      <c r="D774" s="325"/>
      <c r="E774" s="390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417"/>
      <c r="W774" s="325"/>
      <c r="X774" s="325"/>
      <c r="Y774" s="325"/>
      <c r="Z774" s="390"/>
      <c r="AA774" s="325"/>
      <c r="AB774" s="325"/>
      <c r="AC774" s="325"/>
      <c r="AD774" s="325"/>
      <c r="AE774" s="325"/>
      <c r="AF774" s="325"/>
      <c r="AG774" s="325"/>
      <c r="AH774" s="325"/>
    </row>
    <row r="775" spans="1:34" x14ac:dyDescent="0.25">
      <c r="A775" s="325"/>
      <c r="B775" s="325"/>
      <c r="C775" s="325"/>
      <c r="D775" s="325"/>
      <c r="E775" s="390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417"/>
      <c r="W775" s="325"/>
      <c r="X775" s="325"/>
      <c r="Y775" s="325"/>
      <c r="Z775" s="390"/>
      <c r="AA775" s="325"/>
      <c r="AB775" s="325"/>
      <c r="AC775" s="325"/>
      <c r="AD775" s="325"/>
      <c r="AE775" s="325"/>
      <c r="AF775" s="325"/>
      <c r="AG775" s="325"/>
      <c r="AH775" s="325"/>
    </row>
    <row r="776" spans="1:34" x14ac:dyDescent="0.25">
      <c r="A776" s="325"/>
      <c r="B776" s="325"/>
      <c r="C776" s="325"/>
      <c r="D776" s="325"/>
      <c r="E776" s="390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417"/>
      <c r="W776" s="325"/>
      <c r="X776" s="325"/>
      <c r="Y776" s="325"/>
      <c r="Z776" s="390"/>
      <c r="AA776" s="325"/>
      <c r="AB776" s="325"/>
      <c r="AC776" s="325"/>
      <c r="AD776" s="325"/>
      <c r="AE776" s="325"/>
      <c r="AF776" s="325"/>
      <c r="AG776" s="325"/>
      <c r="AH776" s="325"/>
    </row>
    <row r="777" spans="1:34" x14ac:dyDescent="0.25">
      <c r="A777" s="325"/>
      <c r="B777" s="325"/>
      <c r="C777" s="325"/>
      <c r="D777" s="325"/>
      <c r="E777" s="390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417"/>
      <c r="W777" s="325"/>
      <c r="X777" s="325"/>
      <c r="Y777" s="325"/>
      <c r="Z777" s="390"/>
      <c r="AA777" s="325"/>
      <c r="AB777" s="325"/>
      <c r="AC777" s="325"/>
      <c r="AD777" s="325"/>
      <c r="AE777" s="325"/>
      <c r="AF777" s="325"/>
      <c r="AG777" s="325"/>
      <c r="AH777" s="325"/>
    </row>
    <row r="778" spans="1:34" x14ac:dyDescent="0.25">
      <c r="A778" s="325"/>
      <c r="B778" s="325"/>
      <c r="C778" s="325"/>
      <c r="D778" s="325"/>
      <c r="E778" s="390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417"/>
      <c r="W778" s="325"/>
      <c r="X778" s="325"/>
      <c r="Y778" s="325"/>
      <c r="Z778" s="390"/>
      <c r="AA778" s="325"/>
      <c r="AB778" s="325"/>
      <c r="AC778" s="325"/>
      <c r="AD778" s="325"/>
      <c r="AE778" s="325"/>
      <c r="AF778" s="325"/>
      <c r="AG778" s="325"/>
      <c r="AH778" s="325"/>
    </row>
    <row r="779" spans="1:34" x14ac:dyDescent="0.25">
      <c r="A779" s="325"/>
      <c r="B779" s="325"/>
      <c r="C779" s="325"/>
      <c r="D779" s="325"/>
      <c r="E779" s="390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417"/>
      <c r="W779" s="325"/>
      <c r="X779" s="325"/>
      <c r="Y779" s="325"/>
      <c r="Z779" s="390"/>
      <c r="AA779" s="325"/>
      <c r="AB779" s="325"/>
      <c r="AC779" s="325"/>
      <c r="AD779" s="325"/>
      <c r="AE779" s="325"/>
      <c r="AF779" s="325"/>
      <c r="AG779" s="325"/>
      <c r="AH779" s="325"/>
    </row>
    <row r="780" spans="1:34" x14ac:dyDescent="0.25">
      <c r="A780" s="325"/>
      <c r="B780" s="325"/>
      <c r="C780" s="325"/>
      <c r="D780" s="325"/>
      <c r="E780" s="390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417"/>
      <c r="W780" s="325"/>
      <c r="X780" s="325"/>
      <c r="Y780" s="325"/>
      <c r="Z780" s="390"/>
      <c r="AA780" s="325"/>
      <c r="AB780" s="325"/>
      <c r="AC780" s="325"/>
      <c r="AD780" s="325"/>
      <c r="AE780" s="325"/>
      <c r="AF780" s="325"/>
      <c r="AG780" s="325"/>
      <c r="AH780" s="325"/>
    </row>
    <row r="781" spans="1:34" x14ac:dyDescent="0.25">
      <c r="A781" s="325"/>
      <c r="B781" s="325"/>
      <c r="C781" s="325"/>
      <c r="D781" s="325"/>
      <c r="E781" s="390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417"/>
      <c r="W781" s="325"/>
      <c r="X781" s="325"/>
      <c r="Y781" s="325"/>
      <c r="Z781" s="390"/>
      <c r="AA781" s="325"/>
      <c r="AB781" s="325"/>
      <c r="AC781" s="325"/>
      <c r="AD781" s="325"/>
      <c r="AE781" s="325"/>
      <c r="AF781" s="325"/>
      <c r="AG781" s="325"/>
      <c r="AH781" s="325"/>
    </row>
    <row r="782" spans="1:34" x14ac:dyDescent="0.25">
      <c r="A782" s="325"/>
      <c r="B782" s="325"/>
      <c r="C782" s="325"/>
      <c r="D782" s="325"/>
      <c r="E782" s="390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417"/>
      <c r="W782" s="325"/>
      <c r="X782" s="325"/>
      <c r="Y782" s="325"/>
      <c r="Z782" s="390"/>
      <c r="AA782" s="325"/>
      <c r="AB782" s="325"/>
      <c r="AC782" s="325"/>
      <c r="AD782" s="325"/>
      <c r="AE782" s="325"/>
      <c r="AF782" s="325"/>
      <c r="AG782" s="325"/>
      <c r="AH782" s="325"/>
    </row>
    <row r="783" spans="1:34" x14ac:dyDescent="0.25">
      <c r="A783" s="325"/>
      <c r="B783" s="325"/>
      <c r="C783" s="325"/>
      <c r="D783" s="325"/>
      <c r="E783" s="390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417"/>
      <c r="W783" s="325"/>
      <c r="X783" s="325"/>
      <c r="Y783" s="325"/>
      <c r="Z783" s="390"/>
      <c r="AA783" s="325"/>
      <c r="AB783" s="325"/>
      <c r="AC783" s="325"/>
      <c r="AD783" s="325"/>
      <c r="AE783" s="325"/>
      <c r="AF783" s="325"/>
      <c r="AG783" s="325"/>
      <c r="AH783" s="325"/>
    </row>
    <row r="784" spans="1:34" x14ac:dyDescent="0.25">
      <c r="A784" s="325"/>
      <c r="B784" s="325"/>
      <c r="C784" s="325"/>
      <c r="D784" s="325"/>
      <c r="E784" s="390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417"/>
      <c r="W784" s="325"/>
      <c r="X784" s="325"/>
      <c r="Y784" s="325"/>
      <c r="Z784" s="390"/>
      <c r="AA784" s="325"/>
      <c r="AB784" s="325"/>
      <c r="AC784" s="325"/>
      <c r="AD784" s="325"/>
      <c r="AE784" s="325"/>
      <c r="AF784" s="325"/>
      <c r="AG784" s="325"/>
      <c r="AH784" s="325"/>
    </row>
    <row r="785" spans="1:34" x14ac:dyDescent="0.25">
      <c r="A785" s="325"/>
      <c r="B785" s="325"/>
      <c r="C785" s="325"/>
      <c r="D785" s="325"/>
      <c r="E785" s="390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417"/>
      <c r="W785" s="325"/>
      <c r="X785" s="325"/>
      <c r="Y785" s="325"/>
      <c r="Z785" s="390"/>
      <c r="AA785" s="325"/>
      <c r="AB785" s="325"/>
      <c r="AC785" s="325"/>
      <c r="AD785" s="325"/>
      <c r="AE785" s="325"/>
      <c r="AF785" s="325"/>
      <c r="AG785" s="325"/>
      <c r="AH785" s="325"/>
    </row>
    <row r="786" spans="1:34" x14ac:dyDescent="0.25">
      <c r="A786" s="325"/>
      <c r="B786" s="325"/>
      <c r="C786" s="325"/>
      <c r="D786" s="325"/>
      <c r="E786" s="390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417"/>
      <c r="W786" s="325"/>
      <c r="X786" s="325"/>
      <c r="Y786" s="325"/>
      <c r="Z786" s="390"/>
      <c r="AA786" s="325"/>
      <c r="AB786" s="325"/>
      <c r="AC786" s="325"/>
      <c r="AD786" s="325"/>
      <c r="AE786" s="325"/>
      <c r="AF786" s="325"/>
      <c r="AG786" s="325"/>
      <c r="AH786" s="325"/>
    </row>
    <row r="787" spans="1:34" x14ac:dyDescent="0.25">
      <c r="A787" s="325"/>
      <c r="B787" s="325"/>
      <c r="C787" s="325"/>
      <c r="D787" s="325"/>
      <c r="E787" s="390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417"/>
      <c r="W787" s="325"/>
      <c r="X787" s="325"/>
      <c r="Y787" s="325"/>
      <c r="Z787" s="390"/>
      <c r="AA787" s="325"/>
      <c r="AB787" s="325"/>
      <c r="AC787" s="325"/>
      <c r="AD787" s="325"/>
      <c r="AE787" s="325"/>
      <c r="AF787" s="325"/>
      <c r="AG787" s="325"/>
      <c r="AH787" s="325"/>
    </row>
    <row r="788" spans="1:34" x14ac:dyDescent="0.25">
      <c r="A788" s="325"/>
      <c r="B788" s="325"/>
      <c r="C788" s="325"/>
      <c r="D788" s="325"/>
      <c r="E788" s="390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417"/>
      <c r="W788" s="325"/>
      <c r="X788" s="325"/>
      <c r="Y788" s="325"/>
      <c r="Z788" s="390"/>
      <c r="AA788" s="325"/>
      <c r="AB788" s="325"/>
      <c r="AC788" s="325"/>
      <c r="AD788" s="325"/>
      <c r="AE788" s="325"/>
      <c r="AF788" s="325"/>
      <c r="AG788" s="325"/>
      <c r="AH788" s="325"/>
    </row>
    <row r="789" spans="1:34" x14ac:dyDescent="0.25">
      <c r="A789" s="325"/>
      <c r="B789" s="325"/>
      <c r="C789" s="325"/>
      <c r="D789" s="325"/>
      <c r="E789" s="390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417"/>
      <c r="W789" s="325"/>
      <c r="X789" s="325"/>
      <c r="Y789" s="325"/>
      <c r="Z789" s="390"/>
      <c r="AA789" s="325"/>
      <c r="AB789" s="325"/>
      <c r="AC789" s="325"/>
      <c r="AD789" s="325"/>
      <c r="AE789" s="325"/>
      <c r="AF789" s="325"/>
      <c r="AG789" s="325"/>
      <c r="AH789" s="325"/>
    </row>
    <row r="790" spans="1:34" x14ac:dyDescent="0.25">
      <c r="A790" s="325"/>
      <c r="B790" s="325"/>
      <c r="C790" s="325"/>
      <c r="D790" s="325"/>
      <c r="E790" s="390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417"/>
      <c r="W790" s="325"/>
      <c r="X790" s="325"/>
      <c r="Y790" s="325"/>
      <c r="Z790" s="390"/>
      <c r="AA790" s="325"/>
      <c r="AB790" s="325"/>
      <c r="AC790" s="325"/>
      <c r="AD790" s="325"/>
      <c r="AE790" s="325"/>
      <c r="AF790" s="325"/>
      <c r="AG790" s="325"/>
      <c r="AH790" s="325"/>
    </row>
    <row r="791" spans="1:34" x14ac:dyDescent="0.25">
      <c r="A791" s="325"/>
      <c r="B791" s="325"/>
      <c r="C791" s="325"/>
      <c r="D791" s="325"/>
      <c r="E791" s="390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417"/>
      <c r="W791" s="325"/>
      <c r="X791" s="325"/>
      <c r="Y791" s="325"/>
      <c r="Z791" s="390"/>
      <c r="AA791" s="325"/>
      <c r="AB791" s="325"/>
      <c r="AC791" s="325"/>
      <c r="AD791" s="325"/>
      <c r="AE791" s="325"/>
      <c r="AF791" s="325"/>
      <c r="AG791" s="325"/>
      <c r="AH791" s="325"/>
    </row>
    <row r="792" spans="1:34" x14ac:dyDescent="0.25">
      <c r="A792" s="325"/>
      <c r="B792" s="325"/>
      <c r="C792" s="325"/>
      <c r="D792" s="325"/>
      <c r="E792" s="390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417"/>
      <c r="W792" s="325"/>
      <c r="X792" s="325"/>
      <c r="Y792" s="325"/>
      <c r="Z792" s="390"/>
      <c r="AA792" s="325"/>
      <c r="AB792" s="325"/>
      <c r="AC792" s="325"/>
      <c r="AD792" s="325"/>
      <c r="AE792" s="325"/>
      <c r="AF792" s="325"/>
      <c r="AG792" s="325"/>
      <c r="AH792" s="325"/>
    </row>
    <row r="793" spans="1:34" x14ac:dyDescent="0.25">
      <c r="A793" s="325"/>
      <c r="B793" s="325"/>
      <c r="C793" s="325"/>
      <c r="D793" s="325"/>
      <c r="E793" s="390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417"/>
      <c r="W793" s="325"/>
      <c r="X793" s="325"/>
      <c r="Y793" s="325"/>
      <c r="Z793" s="390"/>
      <c r="AA793" s="325"/>
      <c r="AB793" s="325"/>
      <c r="AC793" s="325"/>
      <c r="AD793" s="325"/>
      <c r="AE793" s="325"/>
      <c r="AF793" s="325"/>
      <c r="AG793" s="325"/>
      <c r="AH793" s="325"/>
    </row>
    <row r="794" spans="1:34" x14ac:dyDescent="0.25">
      <c r="A794" s="325"/>
      <c r="B794" s="325"/>
      <c r="C794" s="325"/>
      <c r="D794" s="325"/>
      <c r="E794" s="390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417"/>
      <c r="W794" s="325"/>
      <c r="X794" s="325"/>
      <c r="Y794" s="325"/>
      <c r="Z794" s="390"/>
      <c r="AA794" s="325"/>
      <c r="AB794" s="325"/>
      <c r="AC794" s="325"/>
      <c r="AD794" s="325"/>
      <c r="AE794" s="325"/>
      <c r="AF794" s="325"/>
      <c r="AG794" s="325"/>
      <c r="AH794" s="325"/>
    </row>
    <row r="795" spans="1:34" x14ac:dyDescent="0.25">
      <c r="A795" s="325"/>
      <c r="B795" s="325"/>
      <c r="C795" s="325"/>
      <c r="D795" s="325"/>
      <c r="E795" s="390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417"/>
      <c r="W795" s="325"/>
      <c r="X795" s="325"/>
      <c r="Y795" s="325"/>
      <c r="Z795" s="390"/>
      <c r="AA795" s="325"/>
      <c r="AB795" s="325"/>
      <c r="AC795" s="325"/>
      <c r="AD795" s="325"/>
      <c r="AE795" s="325"/>
      <c r="AF795" s="325"/>
      <c r="AG795" s="325"/>
      <c r="AH795" s="325"/>
    </row>
    <row r="796" spans="1:34" x14ac:dyDescent="0.25">
      <c r="A796" s="325"/>
      <c r="B796" s="325"/>
      <c r="C796" s="325"/>
      <c r="D796" s="325"/>
      <c r="E796" s="390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417"/>
      <c r="W796" s="325"/>
      <c r="X796" s="325"/>
      <c r="Y796" s="325"/>
      <c r="Z796" s="390"/>
      <c r="AA796" s="325"/>
      <c r="AB796" s="325"/>
      <c r="AC796" s="325"/>
      <c r="AD796" s="325"/>
      <c r="AE796" s="325"/>
      <c r="AF796" s="325"/>
      <c r="AG796" s="325"/>
      <c r="AH796" s="325"/>
    </row>
    <row r="797" spans="1:34" x14ac:dyDescent="0.25">
      <c r="A797" s="325"/>
      <c r="B797" s="325"/>
      <c r="C797" s="325"/>
      <c r="D797" s="325"/>
      <c r="E797" s="390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417"/>
      <c r="W797" s="325"/>
      <c r="X797" s="325"/>
      <c r="Y797" s="325"/>
      <c r="Z797" s="390"/>
      <c r="AA797" s="325"/>
      <c r="AB797" s="325"/>
      <c r="AC797" s="325"/>
      <c r="AD797" s="325"/>
      <c r="AE797" s="325"/>
      <c r="AF797" s="325"/>
      <c r="AG797" s="325"/>
      <c r="AH797" s="325"/>
    </row>
    <row r="798" spans="1:34" x14ac:dyDescent="0.25">
      <c r="A798" s="325"/>
      <c r="B798" s="325"/>
      <c r="C798" s="325"/>
      <c r="D798" s="325"/>
      <c r="E798" s="390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417"/>
      <c r="W798" s="325"/>
      <c r="X798" s="325"/>
      <c r="Y798" s="325"/>
      <c r="Z798" s="390"/>
      <c r="AA798" s="325"/>
      <c r="AB798" s="325"/>
      <c r="AC798" s="325"/>
      <c r="AD798" s="325"/>
      <c r="AE798" s="325"/>
      <c r="AF798" s="325"/>
      <c r="AG798" s="325"/>
      <c r="AH798" s="325"/>
    </row>
    <row r="799" spans="1:34" x14ac:dyDescent="0.25">
      <c r="A799" s="325"/>
      <c r="B799" s="325"/>
      <c r="C799" s="325"/>
      <c r="D799" s="325"/>
      <c r="E799" s="390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417"/>
      <c r="W799" s="325"/>
      <c r="X799" s="325"/>
      <c r="Y799" s="325"/>
      <c r="Z799" s="390"/>
      <c r="AA799" s="325"/>
      <c r="AB799" s="325"/>
      <c r="AC799" s="325"/>
      <c r="AD799" s="325"/>
      <c r="AE799" s="325"/>
      <c r="AF799" s="325"/>
      <c r="AG799" s="325"/>
      <c r="AH799" s="325"/>
    </row>
    <row r="800" spans="1:34" x14ac:dyDescent="0.25">
      <c r="A800" s="325"/>
      <c r="B800" s="325"/>
      <c r="C800" s="325"/>
      <c r="D800" s="325"/>
      <c r="E800" s="390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417"/>
      <c r="W800" s="325"/>
      <c r="X800" s="325"/>
      <c r="Y800" s="325"/>
      <c r="Z800" s="390"/>
      <c r="AA800" s="325"/>
      <c r="AB800" s="325"/>
      <c r="AC800" s="325"/>
      <c r="AD800" s="325"/>
      <c r="AE800" s="325"/>
      <c r="AF800" s="325"/>
      <c r="AG800" s="325"/>
      <c r="AH800" s="325"/>
    </row>
    <row r="801" spans="1:34" x14ac:dyDescent="0.25">
      <c r="A801" s="325"/>
      <c r="B801" s="325"/>
      <c r="C801" s="325"/>
      <c r="D801" s="325"/>
      <c r="E801" s="390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417"/>
      <c r="W801" s="325"/>
      <c r="X801" s="325"/>
      <c r="Y801" s="325"/>
      <c r="Z801" s="390"/>
      <c r="AA801" s="325"/>
      <c r="AB801" s="325"/>
      <c r="AC801" s="325"/>
      <c r="AD801" s="325"/>
      <c r="AE801" s="325"/>
      <c r="AF801" s="325"/>
      <c r="AG801" s="325"/>
      <c r="AH801" s="325"/>
    </row>
    <row r="802" spans="1:34" x14ac:dyDescent="0.25">
      <c r="A802" s="325"/>
      <c r="B802" s="325"/>
      <c r="C802" s="325"/>
      <c r="D802" s="325"/>
      <c r="E802" s="390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417"/>
      <c r="W802" s="325"/>
      <c r="X802" s="325"/>
      <c r="Y802" s="325"/>
      <c r="Z802" s="390"/>
      <c r="AA802" s="325"/>
      <c r="AB802" s="325"/>
      <c r="AC802" s="325"/>
      <c r="AD802" s="325"/>
      <c r="AE802" s="325"/>
      <c r="AF802" s="325"/>
      <c r="AG802" s="325"/>
      <c r="AH802" s="325"/>
    </row>
    <row r="803" spans="1:34" x14ac:dyDescent="0.25">
      <c r="A803" s="325"/>
      <c r="B803" s="325"/>
      <c r="C803" s="325"/>
      <c r="D803" s="325"/>
      <c r="E803" s="390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417"/>
      <c r="W803" s="325"/>
      <c r="X803" s="325"/>
      <c r="Y803" s="325"/>
      <c r="Z803" s="390"/>
      <c r="AA803" s="325"/>
      <c r="AB803" s="325"/>
      <c r="AC803" s="325"/>
      <c r="AD803" s="325"/>
      <c r="AE803" s="325"/>
      <c r="AF803" s="325"/>
      <c r="AG803" s="325"/>
      <c r="AH803" s="325"/>
    </row>
    <row r="804" spans="1:34" x14ac:dyDescent="0.25">
      <c r="A804" s="325"/>
      <c r="B804" s="325"/>
      <c r="C804" s="325"/>
      <c r="D804" s="325"/>
      <c r="E804" s="390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417"/>
      <c r="W804" s="325"/>
      <c r="X804" s="325"/>
      <c r="Y804" s="325"/>
      <c r="Z804" s="390"/>
      <c r="AA804" s="325"/>
      <c r="AB804" s="325"/>
      <c r="AC804" s="325"/>
      <c r="AD804" s="325"/>
      <c r="AE804" s="325"/>
      <c r="AF804" s="325"/>
      <c r="AG804" s="325"/>
      <c r="AH804" s="325"/>
    </row>
    <row r="805" spans="1:34" x14ac:dyDescent="0.25">
      <c r="A805" s="325"/>
      <c r="B805" s="325"/>
      <c r="C805" s="325"/>
      <c r="D805" s="325"/>
      <c r="E805" s="390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417"/>
      <c r="W805" s="325"/>
      <c r="X805" s="325"/>
      <c r="Y805" s="325"/>
      <c r="Z805" s="390"/>
      <c r="AA805" s="325"/>
      <c r="AB805" s="325"/>
      <c r="AC805" s="325"/>
      <c r="AD805" s="325"/>
      <c r="AE805" s="325"/>
      <c r="AF805" s="325"/>
      <c r="AG805" s="325"/>
      <c r="AH805" s="325"/>
    </row>
    <row r="806" spans="1:34" x14ac:dyDescent="0.25">
      <c r="A806" s="325"/>
      <c r="B806" s="325"/>
      <c r="C806" s="325"/>
      <c r="D806" s="325"/>
      <c r="E806" s="390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417"/>
      <c r="W806" s="325"/>
      <c r="X806" s="325"/>
      <c r="Y806" s="325"/>
      <c r="Z806" s="390"/>
      <c r="AA806" s="325"/>
      <c r="AB806" s="325"/>
      <c r="AC806" s="325"/>
      <c r="AD806" s="325"/>
      <c r="AE806" s="325"/>
      <c r="AF806" s="325"/>
      <c r="AG806" s="325"/>
      <c r="AH806" s="325"/>
    </row>
    <row r="807" spans="1:34" x14ac:dyDescent="0.25">
      <c r="A807" s="325"/>
      <c r="B807" s="325"/>
      <c r="C807" s="325"/>
      <c r="D807" s="325"/>
      <c r="E807" s="390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417"/>
      <c r="W807" s="325"/>
      <c r="X807" s="325"/>
      <c r="Y807" s="325"/>
      <c r="Z807" s="390"/>
      <c r="AA807" s="325"/>
      <c r="AB807" s="325"/>
      <c r="AC807" s="325"/>
      <c r="AD807" s="325"/>
      <c r="AE807" s="325"/>
      <c r="AF807" s="325"/>
      <c r="AG807" s="325"/>
      <c r="AH807" s="325"/>
    </row>
    <row r="808" spans="1:34" x14ac:dyDescent="0.25">
      <c r="A808" s="325"/>
      <c r="B808" s="325"/>
      <c r="C808" s="325"/>
      <c r="D808" s="325"/>
      <c r="E808" s="390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417"/>
      <c r="W808" s="325"/>
      <c r="X808" s="325"/>
      <c r="Y808" s="325"/>
      <c r="Z808" s="390"/>
      <c r="AA808" s="325"/>
      <c r="AB808" s="325"/>
      <c r="AC808" s="325"/>
      <c r="AD808" s="325"/>
      <c r="AE808" s="325"/>
      <c r="AF808" s="325"/>
      <c r="AG808" s="325"/>
      <c r="AH808" s="325"/>
    </row>
    <row r="809" spans="1:34" x14ac:dyDescent="0.25">
      <c r="A809" s="325"/>
      <c r="B809" s="325"/>
      <c r="C809" s="325"/>
      <c r="D809" s="325"/>
      <c r="E809" s="390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417"/>
      <c r="W809" s="325"/>
      <c r="X809" s="325"/>
      <c r="Y809" s="325"/>
      <c r="Z809" s="390"/>
      <c r="AA809" s="325"/>
      <c r="AB809" s="325"/>
      <c r="AC809" s="325"/>
      <c r="AD809" s="325"/>
      <c r="AE809" s="325"/>
      <c r="AF809" s="325"/>
      <c r="AG809" s="325"/>
      <c r="AH809" s="325"/>
    </row>
    <row r="810" spans="1:34" x14ac:dyDescent="0.25">
      <c r="A810" s="325"/>
      <c r="B810" s="325"/>
      <c r="C810" s="325"/>
      <c r="D810" s="325"/>
      <c r="E810" s="390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417"/>
      <c r="W810" s="325"/>
      <c r="X810" s="325"/>
      <c r="Y810" s="325"/>
      <c r="Z810" s="390"/>
      <c r="AA810" s="325"/>
      <c r="AB810" s="325"/>
      <c r="AC810" s="325"/>
      <c r="AD810" s="325"/>
      <c r="AE810" s="325"/>
      <c r="AF810" s="325"/>
      <c r="AG810" s="325"/>
      <c r="AH810" s="325"/>
    </row>
    <row r="811" spans="1:34" x14ac:dyDescent="0.25">
      <c r="A811" s="325"/>
      <c r="B811" s="325"/>
      <c r="C811" s="325"/>
      <c r="D811" s="325"/>
      <c r="E811" s="390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417"/>
      <c r="W811" s="325"/>
      <c r="X811" s="325"/>
      <c r="Y811" s="325"/>
      <c r="Z811" s="390"/>
      <c r="AA811" s="325"/>
      <c r="AB811" s="325"/>
      <c r="AC811" s="325"/>
      <c r="AD811" s="325"/>
      <c r="AE811" s="325"/>
      <c r="AF811" s="325"/>
      <c r="AG811" s="325"/>
      <c r="AH811" s="325"/>
    </row>
    <row r="812" spans="1:34" x14ac:dyDescent="0.25">
      <c r="A812" s="325"/>
      <c r="B812" s="325"/>
      <c r="C812" s="325"/>
      <c r="D812" s="325"/>
      <c r="E812" s="390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417"/>
      <c r="W812" s="325"/>
      <c r="X812" s="325"/>
      <c r="Y812" s="325"/>
      <c r="Z812" s="390"/>
      <c r="AA812" s="325"/>
      <c r="AB812" s="325"/>
      <c r="AC812" s="325"/>
      <c r="AD812" s="325"/>
      <c r="AE812" s="325"/>
      <c r="AF812" s="325"/>
      <c r="AG812" s="325"/>
      <c r="AH812" s="325"/>
    </row>
    <row r="813" spans="1:34" x14ac:dyDescent="0.25">
      <c r="A813" s="325"/>
      <c r="B813" s="325"/>
      <c r="C813" s="325"/>
      <c r="D813" s="325"/>
      <c r="E813" s="390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417"/>
      <c r="W813" s="325"/>
      <c r="X813" s="325"/>
      <c r="Y813" s="325"/>
      <c r="Z813" s="390"/>
      <c r="AA813" s="325"/>
      <c r="AB813" s="325"/>
      <c r="AC813" s="325"/>
      <c r="AD813" s="325"/>
      <c r="AE813" s="325"/>
      <c r="AF813" s="325"/>
      <c r="AG813" s="325"/>
      <c r="AH813" s="325"/>
    </row>
    <row r="814" spans="1:34" x14ac:dyDescent="0.25">
      <c r="A814" s="325"/>
      <c r="B814" s="325"/>
      <c r="C814" s="325"/>
      <c r="D814" s="325"/>
      <c r="E814" s="390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417"/>
      <c r="W814" s="325"/>
      <c r="X814" s="325"/>
      <c r="Y814" s="325"/>
      <c r="Z814" s="390"/>
      <c r="AA814" s="325"/>
      <c r="AB814" s="325"/>
      <c r="AC814" s="325"/>
      <c r="AD814" s="325"/>
      <c r="AE814" s="325"/>
      <c r="AF814" s="325"/>
      <c r="AG814" s="325"/>
      <c r="AH814" s="325"/>
    </row>
    <row r="815" spans="1:34" x14ac:dyDescent="0.25">
      <c r="A815" s="325"/>
      <c r="B815" s="325"/>
      <c r="C815" s="325"/>
      <c r="D815" s="325"/>
      <c r="E815" s="390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417"/>
      <c r="W815" s="325"/>
      <c r="X815" s="325"/>
      <c r="Y815" s="325"/>
      <c r="Z815" s="390"/>
      <c r="AA815" s="325"/>
      <c r="AB815" s="325"/>
      <c r="AC815" s="325"/>
      <c r="AD815" s="325"/>
      <c r="AE815" s="325"/>
      <c r="AF815" s="325"/>
      <c r="AG815" s="325"/>
      <c r="AH815" s="325"/>
    </row>
    <row r="816" spans="1:34" x14ac:dyDescent="0.25">
      <c r="A816" s="325"/>
      <c r="B816" s="325"/>
      <c r="C816" s="325"/>
      <c r="D816" s="325"/>
      <c r="E816" s="390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417"/>
      <c r="W816" s="325"/>
      <c r="X816" s="325"/>
      <c r="Y816" s="325"/>
      <c r="Z816" s="390"/>
      <c r="AA816" s="325"/>
      <c r="AB816" s="325"/>
      <c r="AC816" s="325"/>
      <c r="AD816" s="325"/>
      <c r="AE816" s="325"/>
      <c r="AF816" s="325"/>
      <c r="AG816" s="325"/>
      <c r="AH816" s="325"/>
    </row>
    <row r="817" spans="1:34" x14ac:dyDescent="0.25">
      <c r="A817" s="325"/>
      <c r="B817" s="325"/>
      <c r="C817" s="325"/>
      <c r="D817" s="325"/>
      <c r="E817" s="390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417"/>
      <c r="W817" s="325"/>
      <c r="X817" s="325"/>
      <c r="Y817" s="325"/>
      <c r="Z817" s="390"/>
      <c r="AA817" s="325"/>
      <c r="AB817" s="325"/>
      <c r="AC817" s="325"/>
      <c r="AD817" s="325"/>
      <c r="AE817" s="325"/>
      <c r="AF817" s="325"/>
      <c r="AG817" s="325"/>
      <c r="AH817" s="325"/>
    </row>
    <row r="818" spans="1:34" x14ac:dyDescent="0.25">
      <c r="A818" s="325"/>
      <c r="B818" s="325"/>
      <c r="C818" s="325"/>
      <c r="D818" s="325"/>
      <c r="E818" s="390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417"/>
      <c r="W818" s="325"/>
      <c r="X818" s="325"/>
      <c r="Y818" s="325"/>
      <c r="Z818" s="390"/>
      <c r="AA818" s="325"/>
      <c r="AB818" s="325"/>
      <c r="AC818" s="325"/>
      <c r="AD818" s="325"/>
      <c r="AE818" s="325"/>
      <c r="AF818" s="325"/>
      <c r="AG818" s="325"/>
      <c r="AH818" s="325"/>
    </row>
    <row r="819" spans="1:34" x14ac:dyDescent="0.25">
      <c r="A819" s="325"/>
      <c r="B819" s="325"/>
      <c r="C819" s="325"/>
      <c r="D819" s="325"/>
      <c r="E819" s="390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417"/>
      <c r="W819" s="325"/>
      <c r="X819" s="325"/>
      <c r="Y819" s="325"/>
      <c r="Z819" s="390"/>
      <c r="AA819" s="325"/>
      <c r="AB819" s="325"/>
      <c r="AC819" s="325"/>
      <c r="AD819" s="325"/>
      <c r="AE819" s="325"/>
      <c r="AF819" s="325"/>
      <c r="AG819" s="325"/>
      <c r="AH819" s="325"/>
    </row>
    <row r="820" spans="1:34" x14ac:dyDescent="0.25">
      <c r="A820" s="325"/>
      <c r="B820" s="325"/>
      <c r="C820" s="325"/>
      <c r="D820" s="325"/>
      <c r="E820" s="390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417"/>
      <c r="W820" s="325"/>
      <c r="X820" s="325"/>
      <c r="Y820" s="325"/>
      <c r="Z820" s="390"/>
      <c r="AA820" s="325"/>
      <c r="AB820" s="325"/>
      <c r="AC820" s="325"/>
      <c r="AD820" s="325"/>
      <c r="AE820" s="325"/>
      <c r="AF820" s="325"/>
      <c r="AG820" s="325"/>
      <c r="AH820" s="325"/>
    </row>
    <row r="821" spans="1:34" x14ac:dyDescent="0.25">
      <c r="A821" s="325"/>
      <c r="B821" s="325"/>
      <c r="C821" s="325"/>
      <c r="D821" s="325"/>
      <c r="E821" s="390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417"/>
      <c r="W821" s="325"/>
      <c r="X821" s="325"/>
      <c r="Y821" s="325"/>
      <c r="Z821" s="390"/>
      <c r="AA821" s="325"/>
      <c r="AB821" s="325"/>
      <c r="AC821" s="325"/>
      <c r="AD821" s="325"/>
      <c r="AE821" s="325"/>
      <c r="AF821" s="325"/>
      <c r="AG821" s="325"/>
      <c r="AH821" s="325"/>
    </row>
    <row r="822" spans="1:34" x14ac:dyDescent="0.25">
      <c r="A822" s="325"/>
      <c r="B822" s="325"/>
      <c r="C822" s="325"/>
      <c r="D822" s="325"/>
      <c r="E822" s="390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417"/>
      <c r="W822" s="325"/>
      <c r="X822" s="325"/>
      <c r="Y822" s="325"/>
      <c r="Z822" s="390"/>
      <c r="AA822" s="325"/>
      <c r="AB822" s="325"/>
      <c r="AC822" s="325"/>
      <c r="AD822" s="325"/>
      <c r="AE822" s="325"/>
      <c r="AF822" s="325"/>
      <c r="AG822" s="325"/>
      <c r="AH822" s="325"/>
    </row>
    <row r="823" spans="1:34" x14ac:dyDescent="0.25">
      <c r="A823" s="325"/>
      <c r="B823" s="325"/>
      <c r="C823" s="325"/>
      <c r="D823" s="325"/>
      <c r="E823" s="390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417"/>
      <c r="W823" s="325"/>
      <c r="X823" s="325"/>
      <c r="Y823" s="325"/>
      <c r="Z823" s="390"/>
      <c r="AA823" s="325"/>
      <c r="AB823" s="325"/>
      <c r="AC823" s="325"/>
      <c r="AD823" s="325"/>
      <c r="AE823" s="325"/>
      <c r="AF823" s="325"/>
      <c r="AG823" s="325"/>
      <c r="AH823" s="325"/>
    </row>
    <row r="824" spans="1:34" x14ac:dyDescent="0.25">
      <c r="A824" s="325"/>
      <c r="B824" s="325"/>
      <c r="C824" s="325"/>
      <c r="D824" s="325"/>
      <c r="E824" s="390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417"/>
      <c r="W824" s="325"/>
      <c r="X824" s="325"/>
      <c r="Y824" s="325"/>
      <c r="Z824" s="390"/>
      <c r="AA824" s="325"/>
      <c r="AB824" s="325"/>
      <c r="AC824" s="325"/>
      <c r="AD824" s="325"/>
      <c r="AE824" s="325"/>
      <c r="AF824" s="325"/>
      <c r="AG824" s="325"/>
      <c r="AH824" s="325"/>
    </row>
    <row r="825" spans="1:34" x14ac:dyDescent="0.25">
      <c r="A825" s="325"/>
      <c r="B825" s="325"/>
      <c r="C825" s="325"/>
      <c r="D825" s="325"/>
      <c r="E825" s="390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417"/>
      <c r="W825" s="325"/>
      <c r="X825" s="325"/>
      <c r="Y825" s="325"/>
      <c r="Z825" s="390"/>
      <c r="AA825" s="325"/>
      <c r="AB825" s="325"/>
      <c r="AC825" s="325"/>
      <c r="AD825" s="325"/>
      <c r="AE825" s="325"/>
      <c r="AF825" s="325"/>
      <c r="AG825" s="325"/>
      <c r="AH825" s="325"/>
    </row>
    <row r="826" spans="1:34" x14ac:dyDescent="0.25">
      <c r="A826" s="325"/>
      <c r="B826" s="325"/>
      <c r="C826" s="325"/>
      <c r="D826" s="325"/>
      <c r="E826" s="390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417"/>
      <c r="W826" s="325"/>
      <c r="X826" s="325"/>
      <c r="Y826" s="325"/>
      <c r="Z826" s="390"/>
      <c r="AA826" s="325"/>
      <c r="AB826" s="325"/>
      <c r="AC826" s="325"/>
      <c r="AD826" s="325"/>
      <c r="AE826" s="325"/>
      <c r="AF826" s="325"/>
      <c r="AG826" s="325"/>
      <c r="AH826" s="325"/>
    </row>
    <row r="827" spans="1:34" x14ac:dyDescent="0.25">
      <c r="A827" s="325"/>
      <c r="B827" s="325"/>
      <c r="C827" s="325"/>
      <c r="D827" s="325"/>
      <c r="E827" s="390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417"/>
      <c r="W827" s="325"/>
      <c r="X827" s="325"/>
      <c r="Y827" s="325"/>
      <c r="Z827" s="390"/>
      <c r="AA827" s="325"/>
      <c r="AB827" s="325"/>
      <c r="AC827" s="325"/>
      <c r="AD827" s="325"/>
      <c r="AE827" s="325"/>
      <c r="AF827" s="325"/>
      <c r="AG827" s="325"/>
      <c r="AH827" s="325"/>
    </row>
    <row r="828" spans="1:34" x14ac:dyDescent="0.25">
      <c r="A828" s="325"/>
      <c r="B828" s="325"/>
      <c r="C828" s="325"/>
      <c r="D828" s="325"/>
      <c r="E828" s="390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417"/>
      <c r="W828" s="325"/>
      <c r="X828" s="325"/>
      <c r="Y828" s="325"/>
      <c r="Z828" s="390"/>
      <c r="AA828" s="325"/>
      <c r="AB828" s="325"/>
      <c r="AC828" s="325"/>
      <c r="AD828" s="325"/>
      <c r="AE828" s="325"/>
      <c r="AF828" s="325"/>
      <c r="AG828" s="325"/>
      <c r="AH828" s="325"/>
    </row>
    <row r="829" spans="1:34" x14ac:dyDescent="0.25">
      <c r="A829" s="325"/>
      <c r="B829" s="325"/>
      <c r="C829" s="325"/>
      <c r="D829" s="325"/>
      <c r="E829" s="390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417"/>
      <c r="W829" s="325"/>
      <c r="X829" s="325"/>
      <c r="Y829" s="325"/>
      <c r="Z829" s="390"/>
      <c r="AA829" s="325"/>
      <c r="AB829" s="325"/>
      <c r="AC829" s="325"/>
      <c r="AD829" s="325"/>
      <c r="AE829" s="325"/>
      <c r="AF829" s="325"/>
      <c r="AG829" s="325"/>
      <c r="AH829" s="325"/>
    </row>
    <row r="830" spans="1:34" x14ac:dyDescent="0.25">
      <c r="A830" s="325"/>
      <c r="B830" s="325"/>
      <c r="C830" s="325"/>
      <c r="D830" s="325"/>
      <c r="E830" s="390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417"/>
      <c r="W830" s="325"/>
      <c r="X830" s="325"/>
      <c r="Y830" s="325"/>
      <c r="Z830" s="390"/>
      <c r="AA830" s="325"/>
      <c r="AB830" s="325"/>
      <c r="AC830" s="325"/>
      <c r="AD830" s="325"/>
      <c r="AE830" s="325"/>
      <c r="AF830" s="325"/>
      <c r="AG830" s="325"/>
      <c r="AH830" s="325"/>
    </row>
    <row r="831" spans="1:34" x14ac:dyDescent="0.25">
      <c r="A831" s="325"/>
      <c r="B831" s="325"/>
      <c r="C831" s="325"/>
      <c r="D831" s="325"/>
      <c r="E831" s="390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417"/>
      <c r="W831" s="325"/>
      <c r="X831" s="325"/>
      <c r="Y831" s="325"/>
      <c r="Z831" s="390"/>
      <c r="AA831" s="325"/>
      <c r="AB831" s="325"/>
      <c r="AC831" s="325"/>
      <c r="AD831" s="325"/>
      <c r="AE831" s="325"/>
      <c r="AF831" s="325"/>
      <c r="AG831" s="325"/>
      <c r="AH831" s="325"/>
    </row>
    <row r="832" spans="1:34" x14ac:dyDescent="0.25">
      <c r="A832" s="325"/>
      <c r="B832" s="325"/>
      <c r="C832" s="325"/>
      <c r="D832" s="325"/>
      <c r="E832" s="390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417"/>
      <c r="W832" s="325"/>
      <c r="X832" s="325"/>
      <c r="Y832" s="325"/>
      <c r="Z832" s="390"/>
      <c r="AA832" s="325"/>
      <c r="AB832" s="325"/>
      <c r="AC832" s="325"/>
      <c r="AD832" s="325"/>
      <c r="AE832" s="325"/>
      <c r="AF832" s="325"/>
      <c r="AG832" s="325"/>
      <c r="AH832" s="325"/>
    </row>
    <row r="833" spans="1:34" x14ac:dyDescent="0.25">
      <c r="A833" s="325"/>
      <c r="B833" s="325"/>
      <c r="C833" s="325"/>
      <c r="D833" s="325"/>
      <c r="E833" s="390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417"/>
      <c r="W833" s="325"/>
      <c r="X833" s="325"/>
      <c r="Y833" s="325"/>
      <c r="Z833" s="390"/>
      <c r="AA833" s="325"/>
      <c r="AB833" s="325"/>
      <c r="AC833" s="325"/>
      <c r="AD833" s="325"/>
      <c r="AE833" s="325"/>
      <c r="AF833" s="325"/>
      <c r="AG833" s="325"/>
      <c r="AH833" s="325"/>
    </row>
    <row r="834" spans="1:34" x14ac:dyDescent="0.25">
      <c r="A834" s="325"/>
      <c r="B834" s="325"/>
      <c r="C834" s="325"/>
      <c r="D834" s="325"/>
      <c r="E834" s="390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417"/>
      <c r="W834" s="325"/>
      <c r="X834" s="325"/>
      <c r="Y834" s="325"/>
      <c r="Z834" s="390"/>
      <c r="AA834" s="325"/>
      <c r="AB834" s="325"/>
      <c r="AC834" s="325"/>
      <c r="AD834" s="325"/>
      <c r="AE834" s="325"/>
      <c r="AF834" s="325"/>
      <c r="AG834" s="325"/>
      <c r="AH834" s="325"/>
    </row>
    <row r="835" spans="1:34" x14ac:dyDescent="0.25">
      <c r="A835" s="325"/>
      <c r="B835" s="325"/>
      <c r="C835" s="325"/>
      <c r="D835" s="325"/>
      <c r="E835" s="390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417"/>
      <c r="W835" s="325"/>
      <c r="X835" s="325"/>
      <c r="Y835" s="325"/>
      <c r="Z835" s="390"/>
      <c r="AA835" s="325"/>
      <c r="AB835" s="325"/>
      <c r="AC835" s="325"/>
      <c r="AD835" s="325"/>
      <c r="AE835" s="325"/>
      <c r="AF835" s="325"/>
      <c r="AG835" s="325"/>
      <c r="AH835" s="325"/>
    </row>
    <row r="836" spans="1:34" x14ac:dyDescent="0.25">
      <c r="A836" s="325"/>
      <c r="B836" s="325"/>
      <c r="C836" s="325"/>
      <c r="D836" s="325"/>
      <c r="E836" s="390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417"/>
      <c r="W836" s="325"/>
      <c r="X836" s="325"/>
      <c r="Y836" s="325"/>
      <c r="Z836" s="390"/>
      <c r="AA836" s="325"/>
      <c r="AB836" s="325"/>
      <c r="AC836" s="325"/>
      <c r="AD836" s="325"/>
      <c r="AE836" s="325"/>
      <c r="AF836" s="325"/>
      <c r="AG836" s="325"/>
      <c r="AH836" s="325"/>
    </row>
    <row r="837" spans="1:34" x14ac:dyDescent="0.25">
      <c r="A837" s="325"/>
      <c r="B837" s="325"/>
      <c r="C837" s="325"/>
      <c r="D837" s="325"/>
      <c r="E837" s="390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417"/>
      <c r="W837" s="325"/>
      <c r="X837" s="325"/>
      <c r="Y837" s="325"/>
      <c r="Z837" s="390"/>
      <c r="AA837" s="325"/>
      <c r="AB837" s="325"/>
      <c r="AC837" s="325"/>
      <c r="AD837" s="325"/>
      <c r="AE837" s="325"/>
      <c r="AF837" s="325"/>
      <c r="AG837" s="325"/>
      <c r="AH837" s="325"/>
    </row>
    <row r="838" spans="1:34" x14ac:dyDescent="0.25">
      <c r="A838" s="325"/>
      <c r="B838" s="325"/>
      <c r="C838" s="325"/>
      <c r="D838" s="325"/>
      <c r="E838" s="390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417"/>
      <c r="W838" s="325"/>
      <c r="X838" s="325"/>
      <c r="Y838" s="325"/>
      <c r="Z838" s="390"/>
      <c r="AA838" s="325"/>
      <c r="AB838" s="325"/>
      <c r="AC838" s="325"/>
      <c r="AD838" s="325"/>
      <c r="AE838" s="325"/>
      <c r="AF838" s="325"/>
      <c r="AG838" s="325"/>
      <c r="AH838" s="325"/>
    </row>
    <row r="839" spans="1:34" x14ac:dyDescent="0.25">
      <c r="A839" s="325"/>
      <c r="B839" s="325"/>
      <c r="C839" s="325"/>
      <c r="D839" s="325"/>
      <c r="E839" s="390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417"/>
      <c r="W839" s="325"/>
      <c r="X839" s="325"/>
      <c r="Y839" s="325"/>
      <c r="Z839" s="390"/>
      <c r="AA839" s="325"/>
      <c r="AB839" s="325"/>
      <c r="AC839" s="325"/>
      <c r="AD839" s="325"/>
      <c r="AE839" s="325"/>
      <c r="AF839" s="325"/>
      <c r="AG839" s="325"/>
      <c r="AH839" s="325"/>
    </row>
    <row r="840" spans="1:34" x14ac:dyDescent="0.25">
      <c r="A840" s="325"/>
      <c r="B840" s="325"/>
      <c r="C840" s="325"/>
      <c r="D840" s="325"/>
      <c r="E840" s="390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417"/>
      <c r="W840" s="325"/>
      <c r="X840" s="325"/>
      <c r="Y840" s="325"/>
      <c r="Z840" s="390"/>
      <c r="AA840" s="325"/>
      <c r="AB840" s="325"/>
      <c r="AC840" s="325"/>
      <c r="AD840" s="325"/>
      <c r="AE840" s="325"/>
      <c r="AF840" s="325"/>
      <c r="AG840" s="325"/>
      <c r="AH840" s="325"/>
    </row>
    <row r="841" spans="1:34" x14ac:dyDescent="0.25">
      <c r="A841" s="325"/>
      <c r="B841" s="325"/>
      <c r="C841" s="325"/>
      <c r="D841" s="325"/>
      <c r="E841" s="390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417"/>
      <c r="W841" s="325"/>
      <c r="X841" s="325"/>
      <c r="Y841" s="325"/>
      <c r="Z841" s="390"/>
      <c r="AA841" s="325"/>
      <c r="AB841" s="325"/>
      <c r="AC841" s="325"/>
      <c r="AD841" s="325"/>
      <c r="AE841" s="325"/>
      <c r="AF841" s="325"/>
      <c r="AG841" s="325"/>
      <c r="AH841" s="325"/>
    </row>
    <row r="842" spans="1:34" x14ac:dyDescent="0.25">
      <c r="A842" s="325"/>
      <c r="B842" s="325"/>
      <c r="C842" s="325"/>
      <c r="D842" s="325"/>
      <c r="E842" s="390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417"/>
      <c r="W842" s="325"/>
      <c r="X842" s="325"/>
      <c r="Y842" s="325"/>
      <c r="Z842" s="390"/>
      <c r="AA842" s="325"/>
      <c r="AB842" s="325"/>
      <c r="AC842" s="325"/>
      <c r="AD842" s="325"/>
      <c r="AE842" s="325"/>
      <c r="AF842" s="325"/>
      <c r="AG842" s="325"/>
      <c r="AH842" s="325"/>
    </row>
    <row r="843" spans="1:34" x14ac:dyDescent="0.25">
      <c r="A843" s="325"/>
      <c r="B843" s="325"/>
      <c r="C843" s="325"/>
      <c r="D843" s="325"/>
      <c r="E843" s="390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417"/>
      <c r="W843" s="325"/>
      <c r="X843" s="325"/>
      <c r="Y843" s="325"/>
      <c r="Z843" s="390"/>
      <c r="AA843" s="325"/>
      <c r="AB843" s="325"/>
      <c r="AC843" s="325"/>
      <c r="AD843" s="325"/>
      <c r="AE843" s="325"/>
      <c r="AF843" s="325"/>
      <c r="AG843" s="325"/>
      <c r="AH843" s="325"/>
    </row>
    <row r="844" spans="1:34" x14ac:dyDescent="0.25">
      <c r="A844" s="325"/>
      <c r="B844" s="325"/>
      <c r="C844" s="325"/>
      <c r="D844" s="325"/>
      <c r="E844" s="390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417"/>
      <c r="W844" s="325"/>
      <c r="X844" s="325"/>
      <c r="Y844" s="325"/>
      <c r="Z844" s="390"/>
      <c r="AA844" s="325"/>
      <c r="AB844" s="325"/>
      <c r="AC844" s="325"/>
      <c r="AD844" s="325"/>
      <c r="AE844" s="325"/>
      <c r="AF844" s="325"/>
      <c r="AG844" s="325"/>
      <c r="AH844" s="325"/>
    </row>
    <row r="845" spans="1:34" x14ac:dyDescent="0.25">
      <c r="A845" s="325"/>
      <c r="B845" s="325"/>
      <c r="C845" s="325"/>
      <c r="D845" s="325"/>
      <c r="E845" s="390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417"/>
      <c r="W845" s="325"/>
      <c r="X845" s="325"/>
      <c r="Y845" s="325"/>
      <c r="Z845" s="390"/>
      <c r="AA845" s="325"/>
      <c r="AB845" s="325"/>
      <c r="AC845" s="325"/>
      <c r="AD845" s="325"/>
      <c r="AE845" s="325"/>
      <c r="AF845" s="325"/>
      <c r="AG845" s="325"/>
      <c r="AH845" s="325"/>
    </row>
    <row r="846" spans="1:34" x14ac:dyDescent="0.25">
      <c r="A846" s="325"/>
      <c r="B846" s="325"/>
      <c r="C846" s="325"/>
      <c r="D846" s="325"/>
      <c r="E846" s="390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417"/>
      <c r="W846" s="325"/>
      <c r="X846" s="325"/>
      <c r="Y846" s="325"/>
      <c r="Z846" s="390"/>
      <c r="AA846" s="325"/>
      <c r="AB846" s="325"/>
      <c r="AC846" s="325"/>
      <c r="AD846" s="325"/>
      <c r="AE846" s="325"/>
      <c r="AF846" s="325"/>
      <c r="AG846" s="325"/>
      <c r="AH846" s="325"/>
    </row>
    <row r="847" spans="1:34" x14ac:dyDescent="0.25">
      <c r="A847" s="325"/>
      <c r="B847" s="325"/>
      <c r="C847" s="325"/>
      <c r="D847" s="325"/>
      <c r="E847" s="390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417"/>
      <c r="W847" s="325"/>
      <c r="X847" s="325"/>
      <c r="Y847" s="325"/>
      <c r="Z847" s="390"/>
      <c r="AA847" s="325"/>
      <c r="AB847" s="325"/>
      <c r="AC847" s="325"/>
      <c r="AD847" s="325"/>
      <c r="AE847" s="325"/>
      <c r="AF847" s="325"/>
      <c r="AG847" s="325"/>
      <c r="AH847" s="325"/>
    </row>
    <row r="848" spans="1:34" x14ac:dyDescent="0.25">
      <c r="A848" s="325"/>
      <c r="B848" s="325"/>
      <c r="C848" s="325"/>
      <c r="D848" s="325"/>
      <c r="E848" s="390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417"/>
      <c r="W848" s="325"/>
      <c r="X848" s="325"/>
      <c r="Y848" s="325"/>
      <c r="Z848" s="390"/>
      <c r="AA848" s="325"/>
      <c r="AB848" s="325"/>
      <c r="AC848" s="325"/>
      <c r="AD848" s="325"/>
      <c r="AE848" s="325"/>
      <c r="AF848" s="325"/>
      <c r="AG848" s="325"/>
      <c r="AH848" s="325"/>
    </row>
    <row r="849" spans="1:34" x14ac:dyDescent="0.25">
      <c r="A849" s="325"/>
      <c r="B849" s="325"/>
      <c r="C849" s="325"/>
      <c r="D849" s="325"/>
      <c r="E849" s="390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417"/>
      <c r="W849" s="325"/>
      <c r="X849" s="325"/>
      <c r="Y849" s="325"/>
      <c r="Z849" s="390"/>
      <c r="AA849" s="325"/>
      <c r="AB849" s="325"/>
      <c r="AC849" s="325"/>
      <c r="AD849" s="325"/>
      <c r="AE849" s="325"/>
      <c r="AF849" s="325"/>
      <c r="AG849" s="325"/>
      <c r="AH849" s="325"/>
    </row>
    <row r="850" spans="1:34" x14ac:dyDescent="0.25">
      <c r="A850" s="325"/>
      <c r="B850" s="325"/>
      <c r="C850" s="325"/>
      <c r="D850" s="325"/>
      <c r="E850" s="390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417"/>
      <c r="W850" s="325"/>
      <c r="X850" s="325"/>
      <c r="Y850" s="325"/>
      <c r="Z850" s="390"/>
      <c r="AA850" s="325"/>
      <c r="AB850" s="325"/>
      <c r="AC850" s="325"/>
      <c r="AD850" s="325"/>
      <c r="AE850" s="325"/>
      <c r="AF850" s="325"/>
      <c r="AG850" s="325"/>
      <c r="AH850" s="325"/>
    </row>
    <row r="851" spans="1:34" x14ac:dyDescent="0.25">
      <c r="A851" s="325"/>
      <c r="B851" s="325"/>
      <c r="C851" s="325"/>
      <c r="D851" s="325"/>
      <c r="E851" s="390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417"/>
      <c r="W851" s="325"/>
      <c r="X851" s="325"/>
      <c r="Y851" s="325"/>
      <c r="Z851" s="390"/>
      <c r="AA851" s="325"/>
      <c r="AB851" s="325"/>
      <c r="AC851" s="325"/>
      <c r="AD851" s="325"/>
      <c r="AE851" s="325"/>
      <c r="AF851" s="325"/>
      <c r="AG851" s="325"/>
      <c r="AH851" s="325"/>
    </row>
    <row r="852" spans="1:34" x14ac:dyDescent="0.25">
      <c r="A852" s="325"/>
      <c r="B852" s="325"/>
      <c r="C852" s="325"/>
      <c r="D852" s="325"/>
      <c r="E852" s="390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417"/>
      <c r="W852" s="325"/>
      <c r="X852" s="325"/>
      <c r="Y852" s="325"/>
      <c r="Z852" s="390"/>
      <c r="AA852" s="325"/>
      <c r="AB852" s="325"/>
      <c r="AC852" s="325"/>
      <c r="AD852" s="325"/>
      <c r="AE852" s="325"/>
      <c r="AF852" s="325"/>
      <c r="AG852" s="325"/>
      <c r="AH852" s="325"/>
    </row>
    <row r="853" spans="1:34" x14ac:dyDescent="0.25">
      <c r="A853" s="325"/>
      <c r="B853" s="325"/>
      <c r="C853" s="325"/>
      <c r="D853" s="325"/>
      <c r="E853" s="390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417"/>
      <c r="W853" s="325"/>
      <c r="X853" s="325"/>
      <c r="Y853" s="325"/>
      <c r="Z853" s="390"/>
      <c r="AA853" s="325"/>
      <c r="AB853" s="325"/>
      <c r="AC853" s="325"/>
      <c r="AD853" s="325"/>
      <c r="AE853" s="325"/>
      <c r="AF853" s="325"/>
      <c r="AG853" s="325"/>
      <c r="AH853" s="325"/>
    </row>
    <row r="854" spans="1:34" x14ac:dyDescent="0.25">
      <c r="A854" s="325"/>
      <c r="B854" s="325"/>
      <c r="C854" s="325"/>
      <c r="D854" s="325"/>
      <c r="E854" s="390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417"/>
      <c r="W854" s="325"/>
      <c r="X854" s="325"/>
      <c r="Y854" s="325"/>
      <c r="Z854" s="390"/>
      <c r="AA854" s="325"/>
      <c r="AB854" s="325"/>
      <c r="AC854" s="325"/>
      <c r="AD854" s="325"/>
      <c r="AE854" s="325"/>
      <c r="AF854" s="325"/>
      <c r="AG854" s="325"/>
      <c r="AH854" s="325"/>
    </row>
    <row r="855" spans="1:34" x14ac:dyDescent="0.25">
      <c r="A855" s="325"/>
      <c r="B855" s="325"/>
      <c r="C855" s="325"/>
      <c r="D855" s="325"/>
      <c r="E855" s="390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417"/>
      <c r="W855" s="325"/>
      <c r="X855" s="325"/>
      <c r="Y855" s="325"/>
      <c r="Z855" s="390"/>
      <c r="AA855" s="325"/>
      <c r="AB855" s="325"/>
      <c r="AC855" s="325"/>
      <c r="AD855" s="325"/>
      <c r="AE855" s="325"/>
      <c r="AF855" s="325"/>
      <c r="AG855" s="325"/>
      <c r="AH855" s="325"/>
    </row>
    <row r="856" spans="1:34" x14ac:dyDescent="0.25">
      <c r="A856" s="325"/>
      <c r="B856" s="325"/>
      <c r="C856" s="325"/>
      <c r="D856" s="325"/>
      <c r="E856" s="390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417"/>
      <c r="W856" s="325"/>
      <c r="X856" s="325"/>
      <c r="Y856" s="325"/>
      <c r="Z856" s="390"/>
      <c r="AA856" s="325"/>
      <c r="AB856" s="325"/>
      <c r="AC856" s="325"/>
      <c r="AD856" s="325"/>
      <c r="AE856" s="325"/>
      <c r="AF856" s="325"/>
      <c r="AG856" s="325"/>
      <c r="AH856" s="325"/>
    </row>
    <row r="857" spans="1:34" x14ac:dyDescent="0.25">
      <c r="A857" s="325"/>
      <c r="B857" s="325"/>
      <c r="C857" s="325"/>
      <c r="D857" s="325"/>
      <c r="E857" s="390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417"/>
      <c r="W857" s="325"/>
      <c r="X857" s="325"/>
      <c r="Y857" s="325"/>
      <c r="Z857" s="390"/>
      <c r="AA857" s="325"/>
      <c r="AB857" s="325"/>
      <c r="AC857" s="325"/>
      <c r="AD857" s="325"/>
      <c r="AE857" s="325"/>
      <c r="AF857" s="325"/>
      <c r="AG857" s="325"/>
      <c r="AH857" s="325"/>
    </row>
    <row r="858" spans="1:34" x14ac:dyDescent="0.25">
      <c r="A858" s="325"/>
      <c r="B858" s="325"/>
      <c r="C858" s="325"/>
      <c r="D858" s="325"/>
      <c r="E858" s="390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417"/>
      <c r="W858" s="325"/>
      <c r="X858" s="325"/>
      <c r="Y858" s="325"/>
      <c r="Z858" s="390"/>
      <c r="AA858" s="325"/>
      <c r="AB858" s="325"/>
      <c r="AC858" s="325"/>
      <c r="AD858" s="325"/>
      <c r="AE858" s="325"/>
      <c r="AF858" s="325"/>
      <c r="AG858" s="325"/>
      <c r="AH858" s="325"/>
    </row>
    <row r="859" spans="1:34" x14ac:dyDescent="0.25">
      <c r="A859" s="325"/>
      <c r="B859" s="325"/>
      <c r="C859" s="325"/>
      <c r="D859" s="325"/>
      <c r="E859" s="390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417"/>
      <c r="W859" s="325"/>
      <c r="X859" s="325"/>
      <c r="Y859" s="325"/>
      <c r="Z859" s="390"/>
      <c r="AA859" s="325"/>
      <c r="AB859" s="325"/>
      <c r="AC859" s="325"/>
      <c r="AD859" s="325"/>
      <c r="AE859" s="325"/>
      <c r="AF859" s="325"/>
      <c r="AG859" s="325"/>
      <c r="AH859" s="325"/>
    </row>
    <row r="860" spans="1:34" x14ac:dyDescent="0.25">
      <c r="A860" s="325"/>
      <c r="B860" s="325"/>
      <c r="C860" s="325"/>
      <c r="D860" s="325"/>
      <c r="E860" s="390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417"/>
      <c r="W860" s="325"/>
      <c r="X860" s="325"/>
      <c r="Y860" s="325"/>
      <c r="Z860" s="390"/>
      <c r="AA860" s="325"/>
      <c r="AB860" s="325"/>
      <c r="AC860" s="325"/>
      <c r="AD860" s="325"/>
      <c r="AE860" s="325"/>
      <c r="AF860" s="325"/>
      <c r="AG860" s="325"/>
      <c r="AH860" s="325"/>
    </row>
    <row r="861" spans="1:34" x14ac:dyDescent="0.25">
      <c r="A861" s="325"/>
      <c r="B861" s="325"/>
      <c r="C861" s="325"/>
      <c r="D861" s="325"/>
      <c r="E861" s="390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417"/>
      <c r="W861" s="325"/>
      <c r="X861" s="325"/>
      <c r="Y861" s="325"/>
      <c r="Z861" s="390"/>
      <c r="AA861" s="325"/>
      <c r="AB861" s="325"/>
      <c r="AC861" s="325"/>
      <c r="AD861" s="325"/>
      <c r="AE861" s="325"/>
      <c r="AF861" s="325"/>
      <c r="AG861" s="325"/>
      <c r="AH861" s="325"/>
    </row>
    <row r="862" spans="1:34" x14ac:dyDescent="0.25">
      <c r="A862" s="325"/>
      <c r="B862" s="325"/>
      <c r="C862" s="325"/>
      <c r="D862" s="325"/>
      <c r="E862" s="390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417"/>
      <c r="W862" s="325"/>
      <c r="X862" s="325"/>
      <c r="Y862" s="325"/>
      <c r="Z862" s="390"/>
      <c r="AA862" s="325"/>
      <c r="AB862" s="325"/>
      <c r="AC862" s="325"/>
      <c r="AD862" s="325"/>
      <c r="AE862" s="325"/>
      <c r="AF862" s="325"/>
      <c r="AG862" s="325"/>
      <c r="AH862" s="325"/>
    </row>
    <row r="863" spans="1:34" x14ac:dyDescent="0.25">
      <c r="A863" s="325"/>
      <c r="B863" s="325"/>
      <c r="C863" s="325"/>
      <c r="D863" s="325"/>
      <c r="E863" s="390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417"/>
      <c r="W863" s="325"/>
      <c r="X863" s="325"/>
      <c r="Y863" s="325"/>
      <c r="Z863" s="390"/>
      <c r="AA863" s="325"/>
      <c r="AB863" s="325"/>
      <c r="AC863" s="325"/>
      <c r="AD863" s="325"/>
      <c r="AE863" s="325"/>
      <c r="AF863" s="325"/>
      <c r="AG863" s="325"/>
      <c r="AH863" s="325"/>
    </row>
    <row r="864" spans="1:34" x14ac:dyDescent="0.25">
      <c r="A864" s="325"/>
      <c r="B864" s="325"/>
      <c r="C864" s="325"/>
      <c r="D864" s="325"/>
      <c r="E864" s="390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417"/>
      <c r="W864" s="325"/>
      <c r="X864" s="325"/>
      <c r="Y864" s="325"/>
      <c r="Z864" s="390"/>
      <c r="AA864" s="325"/>
      <c r="AB864" s="325"/>
      <c r="AC864" s="325"/>
      <c r="AD864" s="325"/>
      <c r="AE864" s="325"/>
      <c r="AF864" s="325"/>
      <c r="AG864" s="325"/>
      <c r="AH864" s="325"/>
    </row>
    <row r="865" spans="1:34" x14ac:dyDescent="0.25">
      <c r="A865" s="325"/>
      <c r="B865" s="325"/>
      <c r="C865" s="325"/>
      <c r="D865" s="325"/>
      <c r="E865" s="390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417"/>
      <c r="W865" s="325"/>
      <c r="X865" s="325"/>
      <c r="Y865" s="325"/>
      <c r="Z865" s="390"/>
      <c r="AA865" s="325"/>
      <c r="AB865" s="325"/>
      <c r="AC865" s="325"/>
      <c r="AD865" s="325"/>
      <c r="AE865" s="325"/>
      <c r="AF865" s="325"/>
      <c r="AG865" s="325"/>
      <c r="AH865" s="325"/>
    </row>
    <row r="866" spans="1:34" x14ac:dyDescent="0.25">
      <c r="A866" s="325"/>
      <c r="B866" s="325"/>
      <c r="C866" s="325"/>
      <c r="D866" s="325"/>
      <c r="E866" s="390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417"/>
      <c r="W866" s="325"/>
      <c r="X866" s="325"/>
      <c r="Y866" s="325"/>
      <c r="Z866" s="390"/>
      <c r="AA866" s="325"/>
      <c r="AB866" s="325"/>
      <c r="AC866" s="325"/>
      <c r="AD866" s="325"/>
      <c r="AE866" s="325"/>
      <c r="AF866" s="325"/>
      <c r="AG866" s="325"/>
      <c r="AH866" s="325"/>
    </row>
    <row r="867" spans="1:34" x14ac:dyDescent="0.25">
      <c r="A867" s="325"/>
      <c r="B867" s="325"/>
      <c r="C867" s="325"/>
      <c r="D867" s="325"/>
      <c r="E867" s="390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417"/>
      <c r="W867" s="325"/>
      <c r="X867" s="325"/>
      <c r="Y867" s="325"/>
      <c r="Z867" s="390"/>
      <c r="AA867" s="325"/>
      <c r="AB867" s="325"/>
      <c r="AC867" s="325"/>
      <c r="AD867" s="325"/>
      <c r="AE867" s="325"/>
      <c r="AF867" s="325"/>
      <c r="AG867" s="325"/>
      <c r="AH867" s="325"/>
    </row>
  </sheetData>
  <autoFilter ref="AJ1:BF691" xr:uid="{2E36192A-C26E-4A44-95AA-F990BF66BB63}"/>
  <dataConsolidate/>
  <phoneticPr fontId="28" type="noConversion"/>
  <dataValidations count="1">
    <dataValidation showInputMessage="1" showErrorMessage="1" sqref="X1 X3:X419 X451:X477 X495:X496 X491:X493 X440:X441 X443 X445:X446 X448 X499 X502 X504:X511 X479 X533:X591" xr:uid="{E8F800AF-D237-4FB3-A3E5-BFFA3EB6D9A6}"/>
  </dataValidations>
  <pageMargins left="0.70866141732283472" right="0.70866141732283472" top="0.74803149606299213" bottom="0.74803149606299213" header="0.31496062992125984" footer="0.31496062992125984"/>
  <pageSetup paperSize="9" scale="10" orientation="landscape" blackAndWhite="1" r:id="rId1"/>
  <ignoredErrors>
    <ignoredError sqref="AC448:AC476 AC440:AC445 AC447" calculatedColumn="1"/>
    <ignoredError sqref="AC2:AC402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3AE8483C-485C-460E-81B1-3232CC818535}">
          <x14:formula1>
            <xm:f>'Данные 2025'!$D$4:$D$11</xm:f>
          </x14:formula1>
          <xm:sqref>W1</xm:sqref>
        </x14:dataValidation>
        <x14:dataValidation type="list" allowBlank="1" showInputMessage="1" showErrorMessage="1" xr:uid="{4F179CAD-FFF5-4B8E-A77E-CC68015D68A5}">
          <x14:formula1>
            <xm:f>'Данные 2025'!$D$27:$D$31</xm:f>
          </x14:formula1>
          <xm:sqref>AC2:AC91 AC93:AC178 AC187:AC330</xm:sqref>
        </x14:dataValidation>
        <x14:dataValidation type="list" allowBlank="1" showInputMessage="1" showErrorMessage="1" xr:uid="{823D0908-778F-4A2C-98F1-E45F222F6188}">
          <x14:formula1>
            <xm:f>'Данные 2026'!$D$27:$D$32</xm:f>
          </x14:formula1>
          <xm:sqref>AC92 AC179:AC186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3C35-A19C-4DCC-B51A-D61CB4FBE06F}">
  <sheetPr>
    <pageSetUpPr fitToPage="1"/>
  </sheetPr>
  <dimension ref="A1:XFD595"/>
  <sheetViews>
    <sheetView topLeftCell="S1" workbookViewId="0">
      <pane ySplit="1" topLeftCell="A2" activePane="bottomLeft" state="frozen"/>
      <selection activeCell="C1" sqref="C1"/>
      <selection pane="bottomLeft" activeCell="AE596" sqref="AE596"/>
    </sheetView>
  </sheetViews>
  <sheetFormatPr defaultColWidth="8.85546875" defaultRowHeight="15" outlineLevelCol="2" x14ac:dyDescent="0.25"/>
  <cols>
    <col min="1" max="1" width="11.42578125" hidden="1" customWidth="1"/>
    <col min="2" max="2" width="12" hidden="1" customWidth="1"/>
    <col min="3" max="3" width="10.140625" customWidth="1"/>
    <col min="4" max="4" width="11.7109375" customWidth="1" outlineLevel="1"/>
    <col min="5" max="5" width="11.7109375" style="34" customWidth="1" outlineLevel="1"/>
    <col min="6" max="6" width="15" customWidth="1" outlineLevel="2"/>
    <col min="7" max="7" width="14.42578125" customWidth="1" outlineLevel="1"/>
    <col min="8" max="8" width="15.42578125" customWidth="1" outlineLevel="2"/>
    <col min="9" max="9" width="14.28515625" customWidth="1" outlineLevel="1"/>
    <col min="10" max="10" width="17.140625" customWidth="1" outlineLevel="1"/>
    <col min="11" max="11" width="8.7109375" customWidth="1" outlineLevel="1"/>
    <col min="12" max="12" width="12.7109375" customWidth="1" outlineLevel="1"/>
    <col min="13" max="13" width="14.42578125" customWidth="1" outlineLevel="1"/>
    <col min="14" max="14" width="10.7109375" customWidth="1" outlineLevel="2"/>
    <col min="15" max="15" width="13.42578125" customWidth="1" outlineLevel="2"/>
    <col min="16" max="16" width="22.5703125" customWidth="1" outlineLevel="2"/>
    <col min="17" max="17" width="29.7109375" customWidth="1" outlineLevel="2"/>
    <col min="18" max="18" width="17.140625" customWidth="1" outlineLevel="1"/>
    <col min="19" max="19" width="15" customWidth="1" outlineLevel="2"/>
    <col min="20" max="21" width="8.85546875" customWidth="1" outlineLevel="1"/>
    <col min="22" max="22" width="10.7109375" style="46" customWidth="1" outlineLevel="1"/>
    <col min="23" max="23" width="17.28515625" customWidth="1" outlineLevel="1"/>
    <col min="24" max="24" width="10" customWidth="1" outlineLevel="1"/>
    <col min="25" max="25" width="8.85546875" customWidth="1" outlineLevel="1"/>
    <col min="26" max="26" width="10.140625" customWidth="1" outlineLevel="1"/>
    <col min="27" max="27" width="11.42578125" customWidth="1" outlineLevel="1"/>
    <col min="28" max="28" width="14" customWidth="1" outlineLevel="1"/>
    <col min="29" max="29" width="12" customWidth="1"/>
    <col min="30" max="30" width="15.140625" customWidth="1"/>
    <col min="31" max="33" width="13.85546875" customWidth="1" outlineLevel="1"/>
    <col min="34" max="34" width="8.85546875" customWidth="1" outlineLevel="1"/>
    <col min="38" max="38" width="8.85546875" style="46"/>
    <col min="42" max="50" width="0" hidden="1" customWidth="1"/>
  </cols>
  <sheetData>
    <row r="1" spans="1:46" s="86" customFormat="1" ht="59.45" customHeight="1" x14ac:dyDescent="0.25">
      <c r="A1" s="81" t="s">
        <v>85</v>
      </c>
      <c r="B1" s="81" t="s">
        <v>86</v>
      </c>
      <c r="C1" s="102" t="s">
        <v>1150</v>
      </c>
      <c r="D1" s="81" t="s">
        <v>87</v>
      </c>
      <c r="E1" s="144" t="s">
        <v>172</v>
      </c>
      <c r="F1" s="81" t="s">
        <v>88</v>
      </c>
      <c r="G1" s="102" t="s">
        <v>89</v>
      </c>
      <c r="H1" s="81" t="s">
        <v>90</v>
      </c>
      <c r="I1" s="102" t="s">
        <v>91</v>
      </c>
      <c r="J1" s="81" t="s">
        <v>92</v>
      </c>
      <c r="K1" s="81" t="s">
        <v>93</v>
      </c>
      <c r="L1" s="81" t="s">
        <v>94</v>
      </c>
      <c r="M1" s="81" t="s">
        <v>95</v>
      </c>
      <c r="N1" s="82" t="s">
        <v>96</v>
      </c>
      <c r="O1" s="82" t="s">
        <v>97</v>
      </c>
      <c r="P1" s="82" t="s">
        <v>98</v>
      </c>
      <c r="Q1" s="82" t="s">
        <v>99</v>
      </c>
      <c r="R1" s="81" t="s">
        <v>100</v>
      </c>
      <c r="S1" s="82" t="s">
        <v>101</v>
      </c>
      <c r="T1" s="83" t="s">
        <v>173</v>
      </c>
      <c r="U1" s="83" t="s">
        <v>1626</v>
      </c>
      <c r="V1" s="84" t="s">
        <v>84</v>
      </c>
      <c r="W1" s="81" t="s">
        <v>83</v>
      </c>
      <c r="X1" s="81" t="s">
        <v>176</v>
      </c>
      <c r="Y1" s="81" t="s">
        <v>174</v>
      </c>
      <c r="Z1" s="81" t="s">
        <v>175</v>
      </c>
      <c r="AA1" s="85" t="s">
        <v>356</v>
      </c>
      <c r="AB1" s="85" t="s">
        <v>418</v>
      </c>
      <c r="AC1" s="88" t="s">
        <v>65</v>
      </c>
      <c r="AD1" s="88" t="s">
        <v>567</v>
      </c>
      <c r="AE1" s="88" t="s">
        <v>837</v>
      </c>
      <c r="AF1" s="88" t="s">
        <v>1058</v>
      </c>
      <c r="AG1" s="88" t="s">
        <v>1068</v>
      </c>
      <c r="AH1" s="88" t="s">
        <v>839</v>
      </c>
      <c r="AI1" s="179" t="s">
        <v>1630</v>
      </c>
      <c r="AJ1" s="179" t="s">
        <v>1633</v>
      </c>
      <c r="AK1" s="179" t="s">
        <v>1631</v>
      </c>
      <c r="AL1" s="180" t="s">
        <v>1632</v>
      </c>
      <c r="AM1" s="181" t="s">
        <v>1636</v>
      </c>
      <c r="AN1" s="181" t="s">
        <v>1637</v>
      </c>
      <c r="AP1" s="86" t="s">
        <v>1634</v>
      </c>
      <c r="AQ1" s="86" t="s">
        <v>865</v>
      </c>
      <c r="AR1" s="86" t="s">
        <v>173</v>
      </c>
      <c r="AS1" s="86" t="s">
        <v>1635</v>
      </c>
      <c r="AT1" s="86" t="s">
        <v>83</v>
      </c>
    </row>
    <row r="2" spans="1:46" ht="33.75" hidden="1" x14ac:dyDescent="0.25">
      <c r="A2" s="35" t="s">
        <v>102</v>
      </c>
      <c r="B2" s="36">
        <v>9803.9</v>
      </c>
      <c r="C2" s="119">
        <v>40</v>
      </c>
      <c r="D2" s="37">
        <v>44</v>
      </c>
      <c r="E2" s="145">
        <v>45804</v>
      </c>
      <c r="F2" s="36">
        <v>27380</v>
      </c>
      <c r="G2" s="36">
        <v>13430</v>
      </c>
      <c r="H2" s="38">
        <v>13950</v>
      </c>
      <c r="I2" s="36">
        <v>9803.9</v>
      </c>
      <c r="J2" s="35" t="s">
        <v>105</v>
      </c>
      <c r="K2" s="35" t="s">
        <v>21</v>
      </c>
      <c r="L2" s="35" t="s">
        <v>460</v>
      </c>
      <c r="M2" s="35" t="s">
        <v>79</v>
      </c>
      <c r="N2" s="35" t="s">
        <v>106</v>
      </c>
      <c r="O2" s="35" t="s">
        <v>107</v>
      </c>
      <c r="P2" s="35"/>
      <c r="Q2" s="35" t="s">
        <v>108</v>
      </c>
      <c r="R2" s="35" t="s">
        <v>80</v>
      </c>
      <c r="S2" s="35" t="s">
        <v>109</v>
      </c>
      <c r="T2" s="68" t="s">
        <v>417</v>
      </c>
      <c r="U2" s="68" t="str">
        <f>Таблица310[[#This Row],[Регистратор.Номенклатура]]</f>
        <v>Преладо</v>
      </c>
      <c r="V2" s="44">
        <f>18*Таблица310[[#This Row],[Регистратор.Вес нетто]]/69300</f>
        <v>3.4883116883116885</v>
      </c>
      <c r="W2" s="35" t="s">
        <v>43</v>
      </c>
      <c r="X2" s="35" t="s">
        <v>19</v>
      </c>
      <c r="Y2" s="35">
        <v>1</v>
      </c>
      <c r="Z2" s="43">
        <v>45804</v>
      </c>
      <c r="AA2" s="40"/>
      <c r="AB2" s="40"/>
      <c r="AC2" s="40" t="s">
        <v>419</v>
      </c>
      <c r="AD2" s="40" t="s">
        <v>511</v>
      </c>
      <c r="AE2" s="40">
        <v>44</v>
      </c>
      <c r="AF2" s="103">
        <v>45804</v>
      </c>
      <c r="AG2" s="40">
        <v>65889</v>
      </c>
      <c r="AH2" s="40">
        <f>VLOOKUP(Таблица310[[#This Row],[№ акта]],'Степень зрелости 2025'!$H$13:$I$583,2,FALSE)</f>
        <v>40</v>
      </c>
      <c r="AI2" s="40" t="str">
        <f>VLOOKUP(Таблица310[[#This Row],[№ акта]],$AQ$1:$AT$594,2,FALSE)</f>
        <v xml:space="preserve"> 2/4</v>
      </c>
      <c r="AJ2" s="40" t="str">
        <f>Таблица310[[#This Row],[Регистратор.Номенклатура]]</f>
        <v>Преладо</v>
      </c>
      <c r="AK2" s="40" t="str">
        <f>VLOOKUP(Таблица310[[#This Row],[№ акта]],$AQ$1:$AT$594,4,FALSE)</f>
        <v>Учхоз Кубань (богара)</v>
      </c>
      <c r="AL2" s="45">
        <f>VLOOKUP(Таблица310[[#This Row],[№ акта]],$AQ$1:$AT$594,3,FALSE)</f>
        <v>3.4883116883116885</v>
      </c>
      <c r="AM2" s="40" t="str">
        <f>IF(Таблица310[[#This Row],[Площадь уборки, га]]=Таблица310[[#This Row],[Площадь уборки до корр]],"нет","да")</f>
        <v>нет</v>
      </c>
      <c r="AN2" s="45">
        <f>Таблица310[[#This Row],[Площадь уборки до корр]]-Таблица310[[#This Row],[Площадь уборки, га]]</f>
        <v>0</v>
      </c>
      <c r="AQ2">
        <v>44</v>
      </c>
      <c r="AR2" t="s">
        <v>417</v>
      </c>
      <c r="AS2">
        <v>3.4883116883116885</v>
      </c>
      <c r="AT2" t="s">
        <v>43</v>
      </c>
    </row>
    <row r="3" spans="1:46" ht="33.75" hidden="1" x14ac:dyDescent="0.25">
      <c r="A3" s="35" t="s">
        <v>102</v>
      </c>
      <c r="B3" s="36">
        <v>10337.799999999999</v>
      </c>
      <c r="C3" s="119">
        <v>42</v>
      </c>
      <c r="D3" s="37">
        <v>45</v>
      </c>
      <c r="E3" s="145">
        <v>45804</v>
      </c>
      <c r="F3" s="36">
        <v>28260</v>
      </c>
      <c r="G3" s="36">
        <v>13970</v>
      </c>
      <c r="H3" s="38">
        <v>14290</v>
      </c>
      <c r="I3" s="36">
        <v>10337.799999999999</v>
      </c>
      <c r="J3" s="35" t="s">
        <v>105</v>
      </c>
      <c r="K3" s="35" t="s">
        <v>21</v>
      </c>
      <c r="L3" s="35" t="s">
        <v>460</v>
      </c>
      <c r="M3" s="35" t="s">
        <v>127</v>
      </c>
      <c r="N3" s="35" t="s">
        <v>128</v>
      </c>
      <c r="O3" s="35" t="s">
        <v>129</v>
      </c>
      <c r="P3" s="35"/>
      <c r="Q3" s="35" t="s">
        <v>130</v>
      </c>
      <c r="R3" s="35" t="s">
        <v>131</v>
      </c>
      <c r="S3" s="35" t="s">
        <v>132</v>
      </c>
      <c r="T3" s="68" t="s">
        <v>417</v>
      </c>
      <c r="U3" s="68" t="str">
        <f>Таблица310[[#This Row],[Регистратор.Номенклатура]]</f>
        <v>Преладо</v>
      </c>
      <c r="V3" s="44">
        <f>18*Таблица310[[#This Row],[Регистратор.Вес нетто]]/69300</f>
        <v>3.6285714285714286</v>
      </c>
      <c r="W3" s="35" t="s">
        <v>43</v>
      </c>
      <c r="X3" s="35" t="s">
        <v>19</v>
      </c>
      <c r="Y3" s="35">
        <v>1</v>
      </c>
      <c r="Z3" s="43">
        <v>45804</v>
      </c>
      <c r="AA3" s="40"/>
      <c r="AB3" s="40"/>
      <c r="AC3" s="40" t="s">
        <v>419</v>
      </c>
      <c r="AD3" s="40" t="s">
        <v>511</v>
      </c>
      <c r="AE3" s="40">
        <v>45</v>
      </c>
      <c r="AF3" s="103">
        <v>45804</v>
      </c>
      <c r="AG3" s="40">
        <v>65901</v>
      </c>
      <c r="AH3" s="40">
        <f>VLOOKUP(Таблица310[[#This Row],[№ акта]],'Степень зрелости 2025'!$H$13:$I$583,2,FALSE)</f>
        <v>42</v>
      </c>
      <c r="AI3" s="40" t="str">
        <f>VLOOKUP(Таблица310[[#This Row],[№ акта]],$AQ$1:$AT$594,2,FALSE)</f>
        <v xml:space="preserve"> 2/4</v>
      </c>
      <c r="AJ3" s="40" t="str">
        <f>Таблица310[[#This Row],[Регистратор.Номенклатура]]</f>
        <v>Преладо</v>
      </c>
      <c r="AK3" s="40" t="str">
        <f>VLOOKUP(Таблица310[[#This Row],[№ акта]],$AQ$1:$AT$594,4,FALSE)</f>
        <v>Учхоз Кубань (богара)</v>
      </c>
      <c r="AL3" s="45">
        <f>VLOOKUP(Таблица310[[#This Row],[№ акта]],$AQ$1:$AT$594,3,FALSE)</f>
        <v>3.6285714285714286</v>
      </c>
      <c r="AM3" s="40" t="str">
        <f>IF(Таблица310[[#This Row],[Площадь уборки, га]]=Таблица310[[#This Row],[Площадь уборки до корр]],"нет","да")</f>
        <v>нет</v>
      </c>
      <c r="AN3" s="45">
        <f>Таблица310[[#This Row],[Площадь уборки до корр]]-Таблица310[[#This Row],[Площадь уборки, га]]</f>
        <v>0</v>
      </c>
      <c r="AQ3">
        <v>45</v>
      </c>
      <c r="AR3" t="s">
        <v>417</v>
      </c>
      <c r="AS3">
        <v>3.6285714285714286</v>
      </c>
      <c r="AT3" t="s">
        <v>43</v>
      </c>
    </row>
    <row r="4" spans="1:46" ht="45" hidden="1" x14ac:dyDescent="0.25">
      <c r="A4" s="35" t="s">
        <v>102</v>
      </c>
      <c r="B4" s="36">
        <v>1599</v>
      </c>
      <c r="C4" s="119">
        <v>37</v>
      </c>
      <c r="D4" s="37">
        <v>46</v>
      </c>
      <c r="E4" s="145">
        <v>45804</v>
      </c>
      <c r="F4" s="36">
        <v>11320</v>
      </c>
      <c r="G4" s="36">
        <v>2050</v>
      </c>
      <c r="H4" s="38">
        <v>9270</v>
      </c>
      <c r="I4" s="36">
        <v>1599</v>
      </c>
      <c r="J4" s="35" t="s">
        <v>78</v>
      </c>
      <c r="K4" s="35" t="s">
        <v>81</v>
      </c>
      <c r="L4" s="35" t="s">
        <v>110</v>
      </c>
      <c r="M4" s="35" t="s">
        <v>79</v>
      </c>
      <c r="N4" s="35" t="s">
        <v>103</v>
      </c>
      <c r="O4" s="35" t="s">
        <v>104</v>
      </c>
      <c r="P4" s="35"/>
      <c r="Q4" s="39">
        <v>701</v>
      </c>
      <c r="R4" s="35" t="s">
        <v>80</v>
      </c>
      <c r="S4" s="35"/>
      <c r="T4" s="35" t="s">
        <v>110</v>
      </c>
      <c r="U4" s="68" t="str">
        <f>Таблица310[[#This Row],[Регистратор.Номенклатура]]</f>
        <v>Оскар</v>
      </c>
      <c r="V4" s="44">
        <v>1</v>
      </c>
      <c r="W4" s="35" t="s">
        <v>44</v>
      </c>
      <c r="X4" s="35" t="s">
        <v>19</v>
      </c>
      <c r="Y4" s="35">
        <v>1</v>
      </c>
      <c r="Z4" s="43">
        <v>45804</v>
      </c>
      <c r="AA4" s="40"/>
      <c r="AB4" s="40"/>
      <c r="AC4" s="40" t="s">
        <v>58</v>
      </c>
      <c r="AD4" s="40" t="s">
        <v>511</v>
      </c>
      <c r="AE4" s="40">
        <v>46</v>
      </c>
      <c r="AF4" s="103">
        <v>45804</v>
      </c>
      <c r="AG4" s="40">
        <v>1</v>
      </c>
      <c r="AH4" s="40">
        <f>VLOOKUP(Таблица310[[#This Row],[№ акта]],'Степень зрелости 2025'!$H$13:$I$583,2,FALSE)</f>
        <v>37</v>
      </c>
      <c r="AI4" s="40" t="str">
        <f>VLOOKUP(Таблица310[[#This Row],[№ акта]],$AQ$1:$AT$594,2,FALSE)</f>
        <v>А-44</v>
      </c>
      <c r="AJ4" s="40" t="str">
        <f>Таблица310[[#This Row],[Регистратор.Номенклатура]]</f>
        <v>Оскар</v>
      </c>
      <c r="AK4" s="40" t="str">
        <f>VLOOKUP(Таблица310[[#This Row],[№ акта]],$AQ$1:$AT$594,4,FALSE)</f>
        <v>ГРК собственные семена (богара)</v>
      </c>
      <c r="AL4" s="45">
        <f>VLOOKUP(Таблица310[[#This Row],[№ акта]],$AQ$1:$AT$594,3,FALSE)</f>
        <v>1</v>
      </c>
      <c r="AM4" s="40" t="str">
        <f>IF(Таблица310[[#This Row],[Площадь уборки, га]]=Таблица310[[#This Row],[Площадь уборки до корр]],"нет","да")</f>
        <v>нет</v>
      </c>
      <c r="AN4" s="45">
        <f>Таблица310[[#This Row],[Площадь уборки до корр]]-Таблица310[[#This Row],[Площадь уборки, га]]</f>
        <v>0</v>
      </c>
      <c r="AQ4">
        <v>46</v>
      </c>
      <c r="AR4" t="s">
        <v>110</v>
      </c>
      <c r="AS4">
        <v>1</v>
      </c>
      <c r="AT4" t="s">
        <v>44</v>
      </c>
    </row>
    <row r="5" spans="1:46" ht="33.75" hidden="1" x14ac:dyDescent="0.25">
      <c r="A5" s="35" t="s">
        <v>102</v>
      </c>
      <c r="B5" s="36">
        <f>Таблица310[[#This Row],[Регистратор.Вес чистый]]</f>
        <v>11040</v>
      </c>
      <c r="C5" s="119">
        <v>43</v>
      </c>
      <c r="D5" s="37">
        <v>47</v>
      </c>
      <c r="E5" s="145">
        <v>45805</v>
      </c>
      <c r="F5" s="36">
        <v>27680</v>
      </c>
      <c r="G5" s="36">
        <v>13800</v>
      </c>
      <c r="H5" s="38">
        <v>13880</v>
      </c>
      <c r="I5" s="36">
        <v>11040</v>
      </c>
      <c r="J5" s="35" t="s">
        <v>105</v>
      </c>
      <c r="K5" s="35" t="s">
        <v>21</v>
      </c>
      <c r="L5" s="35" t="s">
        <v>460</v>
      </c>
      <c r="M5" s="35" t="s">
        <v>212</v>
      </c>
      <c r="N5" s="35"/>
      <c r="O5" s="35"/>
      <c r="P5" s="35"/>
      <c r="Q5" s="35"/>
      <c r="R5" s="35" t="s">
        <v>216</v>
      </c>
      <c r="S5" s="35"/>
      <c r="T5" s="68" t="s">
        <v>417</v>
      </c>
      <c r="U5" s="68" t="str">
        <f>Таблица310[[#This Row],[Регистратор.Номенклатура]]</f>
        <v>Преладо</v>
      </c>
      <c r="V5" s="44">
        <f>18*Таблица310[[#This Row],[Регистратор.Вес нетто]]/69300</f>
        <v>3.5844155844155843</v>
      </c>
      <c r="W5" s="35" t="s">
        <v>43</v>
      </c>
      <c r="X5" s="35" t="s">
        <v>19</v>
      </c>
      <c r="Y5" s="35">
        <v>1</v>
      </c>
      <c r="Z5" s="43">
        <v>45804</v>
      </c>
      <c r="AA5" s="40"/>
      <c r="AB5" s="40"/>
      <c r="AC5" s="40" t="s">
        <v>419</v>
      </c>
      <c r="AD5" s="40" t="s">
        <v>511</v>
      </c>
      <c r="AE5" s="40">
        <v>47</v>
      </c>
      <c r="AF5" s="103">
        <v>45805</v>
      </c>
      <c r="AG5" s="40">
        <v>65902</v>
      </c>
      <c r="AH5" s="40" t="e">
        <f>VLOOKUP(Таблица310[[#This Row],[№ акта]],'Степень зрелости 2025'!$H$13:$I$583,2,FALSE)</f>
        <v>#N/A</v>
      </c>
      <c r="AI5" s="40" t="str">
        <f>VLOOKUP(Таблица310[[#This Row],[№ акта]],$AQ$1:$AT$594,2,FALSE)</f>
        <v xml:space="preserve"> 2/4</v>
      </c>
      <c r="AJ5" s="40" t="str">
        <f>Таблица310[[#This Row],[Регистратор.Номенклатура]]</f>
        <v>Преладо</v>
      </c>
      <c r="AK5" s="40" t="str">
        <f>VLOOKUP(Таблица310[[#This Row],[№ акта]],$AQ$1:$AT$594,4,FALSE)</f>
        <v>Учхоз Кубань (богара)</v>
      </c>
      <c r="AL5" s="45">
        <f>VLOOKUP(Таблица310[[#This Row],[№ акта]],$AQ$1:$AT$594,3,FALSE)</f>
        <v>3.5844155844155843</v>
      </c>
      <c r="AM5" s="40" t="str">
        <f>IF(Таблица310[[#This Row],[Площадь уборки, га]]=Таблица310[[#This Row],[Площадь уборки до корр]],"нет","да")</f>
        <v>нет</v>
      </c>
      <c r="AN5" s="45">
        <f>Таблица310[[#This Row],[Площадь уборки до корр]]-Таблица310[[#This Row],[Площадь уборки, га]]</f>
        <v>0</v>
      </c>
      <c r="AQ5">
        <v>47</v>
      </c>
      <c r="AR5" t="s">
        <v>417</v>
      </c>
      <c r="AS5">
        <v>3.5844155844155843</v>
      </c>
      <c r="AT5" t="s">
        <v>43</v>
      </c>
    </row>
    <row r="6" spans="1:46" ht="33.75" hidden="1" x14ac:dyDescent="0.25">
      <c r="A6" s="35" t="s">
        <v>102</v>
      </c>
      <c r="B6" s="36">
        <v>11099.5</v>
      </c>
      <c r="C6" s="119">
        <v>41</v>
      </c>
      <c r="D6" s="37">
        <v>48</v>
      </c>
      <c r="E6" s="145">
        <v>45805</v>
      </c>
      <c r="F6" s="36">
        <v>34970</v>
      </c>
      <c r="G6" s="36">
        <v>14050</v>
      </c>
      <c r="H6" s="38">
        <v>20920</v>
      </c>
      <c r="I6" s="36">
        <v>11099.5</v>
      </c>
      <c r="J6" s="35" t="s">
        <v>105</v>
      </c>
      <c r="K6" s="35" t="s">
        <v>21</v>
      </c>
      <c r="L6" s="35" t="s">
        <v>460</v>
      </c>
      <c r="M6" s="35" t="s">
        <v>1152</v>
      </c>
      <c r="N6" s="35" t="s">
        <v>116</v>
      </c>
      <c r="O6" s="35" t="s">
        <v>117</v>
      </c>
      <c r="P6" s="35"/>
      <c r="Q6" s="35" t="s">
        <v>118</v>
      </c>
      <c r="R6" s="35" t="s">
        <v>119</v>
      </c>
      <c r="S6" s="35" t="s">
        <v>120</v>
      </c>
      <c r="T6" s="68" t="s">
        <v>417</v>
      </c>
      <c r="U6" s="68" t="str">
        <f>Таблица310[[#This Row],[Регистратор.Номенклатура]]</f>
        <v>Преладо</v>
      </c>
      <c r="V6" s="44">
        <f>18*Таблица310[[#This Row],[Регистратор.Вес нетто]]/69300</f>
        <v>3.6493506493506493</v>
      </c>
      <c r="W6" s="35" t="s">
        <v>43</v>
      </c>
      <c r="X6" s="35" t="s">
        <v>19</v>
      </c>
      <c r="Y6" s="35">
        <v>1</v>
      </c>
      <c r="Z6" s="43">
        <v>45804</v>
      </c>
      <c r="AA6" s="40"/>
      <c r="AB6" s="40"/>
      <c r="AC6" s="40" t="s">
        <v>419</v>
      </c>
      <c r="AD6" s="40" t="s">
        <v>511</v>
      </c>
      <c r="AE6" s="40">
        <v>48</v>
      </c>
      <c r="AF6" s="103">
        <v>45805</v>
      </c>
      <c r="AG6" s="40">
        <v>65903</v>
      </c>
      <c r="AH6" s="40">
        <f>VLOOKUP(Таблица310[[#This Row],[№ акта]],'Степень зрелости 2025'!$H$13:$I$583,2,FALSE)</f>
        <v>41</v>
      </c>
      <c r="AI6" s="40" t="str">
        <f>VLOOKUP(Таблица310[[#This Row],[№ акта]],$AQ$1:$AT$594,2,FALSE)</f>
        <v xml:space="preserve"> 2/4</v>
      </c>
      <c r="AJ6" s="40" t="str">
        <f>Таблица310[[#This Row],[Регистратор.Номенклатура]]</f>
        <v>Преладо</v>
      </c>
      <c r="AK6" s="40" t="str">
        <f>VLOOKUP(Таблица310[[#This Row],[№ акта]],$AQ$1:$AT$594,4,FALSE)</f>
        <v>Учхоз Кубань (богара)</v>
      </c>
      <c r="AL6" s="45">
        <f>VLOOKUP(Таблица310[[#This Row],[№ акта]],$AQ$1:$AT$594,3,FALSE)</f>
        <v>3.6493506493506493</v>
      </c>
      <c r="AM6" s="40" t="str">
        <f>IF(Таблица310[[#This Row],[Площадь уборки, га]]=Таблица310[[#This Row],[Площадь уборки до корр]],"нет","да")</f>
        <v>нет</v>
      </c>
      <c r="AN6" s="45">
        <f>Таблица310[[#This Row],[Площадь уборки до корр]]-Таблица310[[#This Row],[Площадь уборки, га]]</f>
        <v>0</v>
      </c>
      <c r="AQ6">
        <v>48</v>
      </c>
      <c r="AR6" t="s">
        <v>417</v>
      </c>
      <c r="AS6">
        <v>3.6493506493506493</v>
      </c>
      <c r="AT6" t="s">
        <v>43</v>
      </c>
    </row>
    <row r="7" spans="1:46" ht="33.75" hidden="1" x14ac:dyDescent="0.25">
      <c r="A7" s="35" t="s">
        <v>102</v>
      </c>
      <c r="B7" s="36">
        <v>9624.2000000000007</v>
      </c>
      <c r="C7" s="119">
        <v>45</v>
      </c>
      <c r="D7" s="37">
        <v>52</v>
      </c>
      <c r="E7" s="145">
        <v>45805</v>
      </c>
      <c r="F7" s="36">
        <v>28940</v>
      </c>
      <c r="G7" s="36">
        <v>14050</v>
      </c>
      <c r="H7" s="38">
        <v>14890</v>
      </c>
      <c r="I7" s="36">
        <v>9624.2000000000007</v>
      </c>
      <c r="J7" s="35" t="s">
        <v>105</v>
      </c>
      <c r="K7" s="35" t="s">
        <v>21</v>
      </c>
      <c r="L7" s="35" t="s">
        <v>460</v>
      </c>
      <c r="M7" s="35" t="s">
        <v>151</v>
      </c>
      <c r="N7" s="35" t="s">
        <v>152</v>
      </c>
      <c r="O7" s="35" t="s">
        <v>153</v>
      </c>
      <c r="P7" s="35"/>
      <c r="Q7" s="35" t="s">
        <v>154</v>
      </c>
      <c r="R7" s="35" t="s">
        <v>155</v>
      </c>
      <c r="S7" s="35" t="s">
        <v>156</v>
      </c>
      <c r="T7" s="68" t="s">
        <v>417</v>
      </c>
      <c r="U7" s="68" t="str">
        <f>Таблица310[[#This Row],[Регистратор.Номенклатура]]</f>
        <v>Преладо</v>
      </c>
      <c r="V7" s="44">
        <f>18*Таблица310[[#This Row],[Регистратор.Вес нетто]]/69300</f>
        <v>3.6493506493506493</v>
      </c>
      <c r="W7" s="35" t="s">
        <v>43</v>
      </c>
      <c r="X7" s="35" t="s">
        <v>19</v>
      </c>
      <c r="Y7" s="35">
        <v>1</v>
      </c>
      <c r="Z7" s="43">
        <v>45804</v>
      </c>
      <c r="AA7" s="40"/>
      <c r="AB7" s="40"/>
      <c r="AC7" s="40" t="s">
        <v>419</v>
      </c>
      <c r="AD7" s="40" t="s">
        <v>511</v>
      </c>
      <c r="AE7" s="40">
        <v>52</v>
      </c>
      <c r="AF7" s="103">
        <v>45805</v>
      </c>
      <c r="AG7" s="40">
        <v>65904</v>
      </c>
      <c r="AH7" s="40">
        <f>VLOOKUP(Таблица310[[#This Row],[№ акта]],'Степень зрелости 2025'!$H$13:$I$583,2,FALSE)</f>
        <v>45</v>
      </c>
      <c r="AI7" s="40" t="str">
        <f>VLOOKUP(Таблица310[[#This Row],[№ акта]],$AQ$1:$AT$594,2,FALSE)</f>
        <v xml:space="preserve"> 2/4</v>
      </c>
      <c r="AJ7" s="40" t="str">
        <f>Таблица310[[#This Row],[Регистратор.Номенклатура]]</f>
        <v>Преладо</v>
      </c>
      <c r="AK7" s="40" t="str">
        <f>VLOOKUP(Таблица310[[#This Row],[№ акта]],$AQ$1:$AT$594,4,FALSE)</f>
        <v>Учхоз Кубань (богара)</v>
      </c>
      <c r="AL7" s="45">
        <f>VLOOKUP(Таблица310[[#This Row],[№ акта]],$AQ$1:$AT$594,3,FALSE)</f>
        <v>3.6493506493506493</v>
      </c>
      <c r="AM7" s="40" t="str">
        <f>IF(Таблица310[[#This Row],[Площадь уборки, га]]=Таблица310[[#This Row],[Площадь уборки до корр]],"нет","да")</f>
        <v>нет</v>
      </c>
      <c r="AN7" s="45">
        <f>Таблица310[[#This Row],[Площадь уборки до корр]]-Таблица310[[#This Row],[Площадь уборки, га]]</f>
        <v>0</v>
      </c>
      <c r="AQ7">
        <v>52</v>
      </c>
      <c r="AR7" t="s">
        <v>417</v>
      </c>
      <c r="AS7">
        <v>3.6493506493506493</v>
      </c>
      <c r="AT7" t="s">
        <v>43</v>
      </c>
    </row>
    <row r="8" spans="1:46" ht="33.75" hidden="1" x14ac:dyDescent="0.25">
      <c r="A8" s="35" t="s">
        <v>102</v>
      </c>
      <c r="B8" s="36">
        <v>9713.2999999999993</v>
      </c>
      <c r="C8" s="119">
        <v>45</v>
      </c>
      <c r="D8" s="37">
        <v>53</v>
      </c>
      <c r="E8" s="145">
        <v>45805</v>
      </c>
      <c r="F8" s="36">
        <v>38160</v>
      </c>
      <c r="G8" s="36">
        <v>14180</v>
      </c>
      <c r="H8" s="38">
        <v>24140</v>
      </c>
      <c r="I8" s="36">
        <v>9713.2999999999993</v>
      </c>
      <c r="J8" s="35" t="s">
        <v>105</v>
      </c>
      <c r="K8" s="35" t="s">
        <v>21</v>
      </c>
      <c r="L8" s="35" t="s">
        <v>460</v>
      </c>
      <c r="M8" s="35" t="s">
        <v>160</v>
      </c>
      <c r="N8" s="35" t="s">
        <v>161</v>
      </c>
      <c r="O8" s="35" t="s">
        <v>162</v>
      </c>
      <c r="P8" s="35"/>
      <c r="Q8" s="35" t="s">
        <v>163</v>
      </c>
      <c r="R8" s="35" t="s">
        <v>164</v>
      </c>
      <c r="S8" s="35" t="s">
        <v>165</v>
      </c>
      <c r="T8" s="68" t="s">
        <v>417</v>
      </c>
      <c r="U8" s="68" t="str">
        <f>Таблица310[[#This Row],[Регистратор.Номенклатура]]</f>
        <v>Преладо</v>
      </c>
      <c r="V8" s="44">
        <f>27*Таблица310[[#This Row],[Регистратор.Вес нетто]]/98620</f>
        <v>3.8821740012167916</v>
      </c>
      <c r="W8" s="35" t="s">
        <v>43</v>
      </c>
      <c r="X8" s="35" t="s">
        <v>19</v>
      </c>
      <c r="Y8" s="35">
        <v>2</v>
      </c>
      <c r="Z8" s="43">
        <v>45805</v>
      </c>
      <c r="AA8" s="40"/>
      <c r="AB8" s="40"/>
      <c r="AC8" s="40" t="s">
        <v>419</v>
      </c>
      <c r="AD8" s="40" t="s">
        <v>511</v>
      </c>
      <c r="AE8" s="40">
        <v>53</v>
      </c>
      <c r="AF8" s="103">
        <v>45805</v>
      </c>
      <c r="AG8" s="40">
        <v>65905</v>
      </c>
      <c r="AH8" s="40">
        <f>VLOOKUP(Таблица310[[#This Row],[№ акта]],'Степень зрелости 2025'!$H$13:$I$583,2,FALSE)</f>
        <v>45</v>
      </c>
      <c r="AI8" s="40" t="str">
        <f>VLOOKUP(Таблица310[[#This Row],[№ акта]],$AQ$1:$AT$594,2,FALSE)</f>
        <v xml:space="preserve"> 2/4</v>
      </c>
      <c r="AJ8" s="40" t="str">
        <f>Таблица310[[#This Row],[Регистратор.Номенклатура]]</f>
        <v>Преладо</v>
      </c>
      <c r="AK8" s="40" t="str">
        <f>VLOOKUP(Таблица310[[#This Row],[№ акта]],$AQ$1:$AT$594,4,FALSE)</f>
        <v>Учхоз Кубань (богара)</v>
      </c>
      <c r="AL8" s="45">
        <f>VLOOKUP(Таблица310[[#This Row],[№ акта]],$AQ$1:$AT$594,3,FALSE)</f>
        <v>3.8821740012167916</v>
      </c>
      <c r="AM8" s="40" t="str">
        <f>IF(Таблица310[[#This Row],[Площадь уборки, га]]=Таблица310[[#This Row],[Площадь уборки до корр]],"нет","да")</f>
        <v>нет</v>
      </c>
      <c r="AN8" s="45">
        <f>Таблица310[[#This Row],[Площадь уборки до корр]]-Таблица310[[#This Row],[Площадь уборки, га]]</f>
        <v>0</v>
      </c>
      <c r="AQ8">
        <v>53</v>
      </c>
      <c r="AR8" t="s">
        <v>417</v>
      </c>
      <c r="AS8">
        <v>3.8821740012167916</v>
      </c>
      <c r="AT8" t="s">
        <v>43</v>
      </c>
    </row>
    <row r="9" spans="1:46" ht="33.75" hidden="1" x14ac:dyDescent="0.25">
      <c r="A9" s="35" t="s">
        <v>102</v>
      </c>
      <c r="B9" s="36">
        <v>9806.4</v>
      </c>
      <c r="C9" s="119">
        <v>44</v>
      </c>
      <c r="D9" s="37">
        <v>54</v>
      </c>
      <c r="E9" s="145">
        <v>45805</v>
      </c>
      <c r="F9" s="36">
        <v>29800</v>
      </c>
      <c r="G9" s="36">
        <v>14110</v>
      </c>
      <c r="H9" s="38">
        <v>15690</v>
      </c>
      <c r="I9" s="36">
        <v>9806.4</v>
      </c>
      <c r="J9" s="35" t="s">
        <v>105</v>
      </c>
      <c r="K9" s="35" t="s">
        <v>21</v>
      </c>
      <c r="L9" s="35" t="s">
        <v>460</v>
      </c>
      <c r="M9" s="35" t="s">
        <v>1151</v>
      </c>
      <c r="N9" s="35" t="s">
        <v>142</v>
      </c>
      <c r="O9" s="35" t="s">
        <v>143</v>
      </c>
      <c r="P9" s="35"/>
      <c r="Q9" s="35" t="s">
        <v>144</v>
      </c>
      <c r="R9" s="35" t="s">
        <v>145</v>
      </c>
      <c r="S9" s="35" t="s">
        <v>146</v>
      </c>
      <c r="T9" s="68" t="s">
        <v>417</v>
      </c>
      <c r="U9" s="68" t="str">
        <f>Таблица310[[#This Row],[Регистратор.Номенклатура]]</f>
        <v>Преладо</v>
      </c>
      <c r="V9" s="44">
        <f>27*Таблица310[[#This Row],[Регистратор.Вес нетто]]/98620</f>
        <v>3.8630095315351856</v>
      </c>
      <c r="W9" s="35" t="s">
        <v>43</v>
      </c>
      <c r="X9" s="35" t="s">
        <v>19</v>
      </c>
      <c r="Y9" s="35">
        <v>2</v>
      </c>
      <c r="Z9" s="43">
        <v>45805</v>
      </c>
      <c r="AA9" s="40"/>
      <c r="AB9" s="40"/>
      <c r="AC9" s="40" t="s">
        <v>419</v>
      </c>
      <c r="AD9" s="40" t="s">
        <v>511</v>
      </c>
      <c r="AE9" s="40">
        <v>54</v>
      </c>
      <c r="AF9" s="103">
        <v>45805</v>
      </c>
      <c r="AG9" s="40">
        <v>65907</v>
      </c>
      <c r="AH9" s="40">
        <f>VLOOKUP(Таблица310[[#This Row],[№ акта]],'Степень зрелости 2025'!$H$13:$I$583,2,FALSE)</f>
        <v>44</v>
      </c>
      <c r="AI9" s="40" t="str">
        <f>VLOOKUP(Таблица310[[#This Row],[№ акта]],$AQ$1:$AT$594,2,FALSE)</f>
        <v xml:space="preserve"> 2/4</v>
      </c>
      <c r="AJ9" s="40" t="str">
        <f>Таблица310[[#This Row],[Регистратор.Номенклатура]]</f>
        <v>Преладо</v>
      </c>
      <c r="AK9" s="40" t="str">
        <f>VLOOKUP(Таблица310[[#This Row],[№ акта]],$AQ$1:$AT$594,4,FALSE)</f>
        <v>Учхоз Кубань (богара)</v>
      </c>
      <c r="AL9" s="45">
        <f>VLOOKUP(Таблица310[[#This Row],[№ акта]],$AQ$1:$AT$594,3,FALSE)</f>
        <v>3.8630095315351856</v>
      </c>
      <c r="AM9" s="40" t="str">
        <f>IF(Таблица310[[#This Row],[Площадь уборки, га]]=Таблица310[[#This Row],[Площадь уборки до корр]],"нет","да")</f>
        <v>нет</v>
      </c>
      <c r="AN9" s="45">
        <f>Таблица310[[#This Row],[Площадь уборки до корр]]-Таблица310[[#This Row],[Площадь уборки, га]]</f>
        <v>0</v>
      </c>
      <c r="AQ9">
        <v>54</v>
      </c>
      <c r="AR9" t="s">
        <v>417</v>
      </c>
      <c r="AS9">
        <v>3.8630095315351856</v>
      </c>
      <c r="AT9" t="s">
        <v>43</v>
      </c>
    </row>
    <row r="10" spans="1:46" ht="33.75" hidden="1" x14ac:dyDescent="0.25">
      <c r="A10" s="35" t="s">
        <v>102</v>
      </c>
      <c r="B10" s="36">
        <v>10519.7</v>
      </c>
      <c r="C10" s="119">
        <v>44</v>
      </c>
      <c r="D10" s="37">
        <v>55</v>
      </c>
      <c r="E10" s="145">
        <v>45805</v>
      </c>
      <c r="F10" s="36">
        <v>29560</v>
      </c>
      <c r="G10" s="36">
        <v>14510</v>
      </c>
      <c r="H10" s="38">
        <v>15050</v>
      </c>
      <c r="I10" s="36">
        <v>10519.7</v>
      </c>
      <c r="J10" s="35" t="s">
        <v>105</v>
      </c>
      <c r="K10" s="35" t="s">
        <v>21</v>
      </c>
      <c r="L10" s="35" t="s">
        <v>460</v>
      </c>
      <c r="M10" s="35" t="s">
        <v>1461</v>
      </c>
      <c r="N10" s="35" t="s">
        <v>139</v>
      </c>
      <c r="O10" s="35" t="s">
        <v>147</v>
      </c>
      <c r="P10" s="35"/>
      <c r="Q10" s="35" t="s">
        <v>148</v>
      </c>
      <c r="R10" s="35" t="s">
        <v>149</v>
      </c>
      <c r="S10" s="35" t="s">
        <v>150</v>
      </c>
      <c r="T10" s="68" t="s">
        <v>417</v>
      </c>
      <c r="U10" s="68" t="str">
        <f>Таблица310[[#This Row],[Регистратор.Номенклатура]]</f>
        <v>Преладо</v>
      </c>
      <c r="V10" s="44">
        <f>27*Таблица310[[#This Row],[Регистратор.Вес нетто]]/98620</f>
        <v>3.9725207868586492</v>
      </c>
      <c r="W10" s="35" t="s">
        <v>43</v>
      </c>
      <c r="X10" s="35" t="s">
        <v>19</v>
      </c>
      <c r="Y10" s="35">
        <v>2</v>
      </c>
      <c r="Z10" s="43">
        <v>45805</v>
      </c>
      <c r="AA10" s="40"/>
      <c r="AB10" s="40"/>
      <c r="AC10" s="40" t="s">
        <v>419</v>
      </c>
      <c r="AD10" s="40" t="s">
        <v>511</v>
      </c>
      <c r="AE10" s="40">
        <v>55</v>
      </c>
      <c r="AF10" s="103">
        <v>45805</v>
      </c>
      <c r="AG10" s="40">
        <v>65906</v>
      </c>
      <c r="AH10" s="40">
        <f>VLOOKUP(Таблица310[[#This Row],[№ акта]],'Степень зрелости 2025'!$H$13:$I$583,2,FALSE)</f>
        <v>44</v>
      </c>
      <c r="AI10" s="40" t="str">
        <f>VLOOKUP(Таблица310[[#This Row],[№ акта]],$AQ$1:$AT$594,2,FALSE)</f>
        <v xml:space="preserve"> 2/4</v>
      </c>
      <c r="AJ10" s="40" t="str">
        <f>Таблица310[[#This Row],[Регистратор.Номенклатура]]</f>
        <v>Преладо</v>
      </c>
      <c r="AK10" s="40" t="str">
        <f>VLOOKUP(Таблица310[[#This Row],[№ акта]],$AQ$1:$AT$594,4,FALSE)</f>
        <v>Учхоз Кубань (богара)</v>
      </c>
      <c r="AL10" s="45">
        <f>VLOOKUP(Таблица310[[#This Row],[№ акта]],$AQ$1:$AT$594,3,FALSE)</f>
        <v>3.9725207868586492</v>
      </c>
      <c r="AM10" s="40" t="str">
        <f>IF(Таблица310[[#This Row],[Площадь уборки, га]]=Таблица310[[#This Row],[Площадь уборки до корр]],"нет","да")</f>
        <v>нет</v>
      </c>
      <c r="AN10" s="45">
        <f>Таблица310[[#This Row],[Площадь уборки до корр]]-Таблица310[[#This Row],[Площадь уборки, га]]</f>
        <v>0</v>
      </c>
      <c r="AQ10">
        <v>55</v>
      </c>
      <c r="AR10" t="s">
        <v>417</v>
      </c>
      <c r="AS10">
        <v>3.9725207868586492</v>
      </c>
      <c r="AT10" t="s">
        <v>43</v>
      </c>
    </row>
    <row r="11" spans="1:46" ht="33.75" hidden="1" x14ac:dyDescent="0.25">
      <c r="A11" s="35" t="s">
        <v>102</v>
      </c>
      <c r="B11" s="36">
        <v>9792.5</v>
      </c>
      <c r="C11" s="119">
        <v>43</v>
      </c>
      <c r="D11" s="37">
        <v>56</v>
      </c>
      <c r="E11" s="145">
        <v>45805</v>
      </c>
      <c r="F11" s="36">
        <v>28960</v>
      </c>
      <c r="G11" s="36">
        <v>14090</v>
      </c>
      <c r="H11" s="38">
        <v>14870</v>
      </c>
      <c r="I11" s="36">
        <v>9792.5</v>
      </c>
      <c r="J11" s="35" t="s">
        <v>105</v>
      </c>
      <c r="K11" s="35" t="s">
        <v>21</v>
      </c>
      <c r="L11" s="35" t="s">
        <v>460</v>
      </c>
      <c r="M11" s="35" t="s">
        <v>133</v>
      </c>
      <c r="N11" s="35" t="s">
        <v>134</v>
      </c>
      <c r="O11" s="35" t="s">
        <v>135</v>
      </c>
      <c r="P11" s="35"/>
      <c r="Q11" s="35" t="s">
        <v>136</v>
      </c>
      <c r="R11" s="35" t="s">
        <v>137</v>
      </c>
      <c r="S11" s="35" t="s">
        <v>138</v>
      </c>
      <c r="T11" s="68" t="s">
        <v>417</v>
      </c>
      <c r="U11" s="68" t="str">
        <f>Таблица310[[#This Row],[Регистратор.Номенклатура]]</f>
        <v>Преладо</v>
      </c>
      <c r="V11" s="44">
        <f>27*Таблица310[[#This Row],[Регистратор.Вес нетто]]/98620</f>
        <v>3.8575339687690122</v>
      </c>
      <c r="W11" s="35" t="s">
        <v>43</v>
      </c>
      <c r="X11" s="35" t="s">
        <v>19</v>
      </c>
      <c r="Y11" s="35">
        <v>2</v>
      </c>
      <c r="Z11" s="43">
        <v>45805</v>
      </c>
      <c r="AA11" s="40"/>
      <c r="AB11" s="40"/>
      <c r="AC11" s="40" t="s">
        <v>419</v>
      </c>
      <c r="AD11" s="40" t="s">
        <v>511</v>
      </c>
      <c r="AE11" s="40">
        <v>56</v>
      </c>
      <c r="AF11" s="103">
        <v>45805</v>
      </c>
      <c r="AG11" s="40">
        <v>65908</v>
      </c>
      <c r="AH11" s="40">
        <f>VLOOKUP(Таблица310[[#This Row],[№ акта]],'Степень зрелости 2025'!$H$13:$I$583,2,FALSE)</f>
        <v>43</v>
      </c>
      <c r="AI11" s="40" t="str">
        <f>VLOOKUP(Таблица310[[#This Row],[№ акта]],$AQ$1:$AT$594,2,FALSE)</f>
        <v xml:space="preserve"> 2/4</v>
      </c>
      <c r="AJ11" s="40" t="str">
        <f>Таблица310[[#This Row],[Регистратор.Номенклатура]]</f>
        <v>Преладо</v>
      </c>
      <c r="AK11" s="40" t="str">
        <f>VLOOKUP(Таблица310[[#This Row],[№ акта]],$AQ$1:$AT$594,4,FALSE)</f>
        <v>Учхоз Кубань (богара)</v>
      </c>
      <c r="AL11" s="45">
        <f>VLOOKUP(Таблица310[[#This Row],[№ акта]],$AQ$1:$AT$594,3,FALSE)</f>
        <v>3.8575339687690122</v>
      </c>
      <c r="AM11" s="40" t="str">
        <f>IF(Таблица310[[#This Row],[Площадь уборки, га]]=Таблица310[[#This Row],[Площадь уборки до корр]],"нет","да")</f>
        <v>нет</v>
      </c>
      <c r="AN11" s="45">
        <f>Таблица310[[#This Row],[Площадь уборки до корр]]-Таблица310[[#This Row],[Площадь уборки, га]]</f>
        <v>0</v>
      </c>
      <c r="AQ11">
        <v>56</v>
      </c>
      <c r="AR11" t="s">
        <v>417</v>
      </c>
      <c r="AS11">
        <v>3.8575339687690122</v>
      </c>
      <c r="AT11" t="s">
        <v>43</v>
      </c>
    </row>
    <row r="12" spans="1:46" ht="33.75" hidden="1" x14ac:dyDescent="0.25">
      <c r="A12" s="35" t="s">
        <v>102</v>
      </c>
      <c r="B12" s="36">
        <v>9588</v>
      </c>
      <c r="C12" s="119">
        <v>42</v>
      </c>
      <c r="D12" s="37">
        <v>57</v>
      </c>
      <c r="E12" s="145">
        <v>45806</v>
      </c>
      <c r="F12" s="36">
        <v>28680</v>
      </c>
      <c r="G12" s="36">
        <v>14100</v>
      </c>
      <c r="H12" s="38">
        <v>14580</v>
      </c>
      <c r="I12" s="36">
        <v>9588</v>
      </c>
      <c r="J12" s="35" t="s">
        <v>105</v>
      </c>
      <c r="K12" s="35" t="s">
        <v>21</v>
      </c>
      <c r="L12" s="35" t="s">
        <v>460</v>
      </c>
      <c r="M12" s="35" t="s">
        <v>121</v>
      </c>
      <c r="N12" s="35" t="s">
        <v>122</v>
      </c>
      <c r="O12" s="35" t="s">
        <v>123</v>
      </c>
      <c r="P12" s="35"/>
      <c r="Q12" s="35" t="s">
        <v>124</v>
      </c>
      <c r="R12" s="35" t="s">
        <v>125</v>
      </c>
      <c r="S12" s="35" t="s">
        <v>126</v>
      </c>
      <c r="T12" s="68" t="s">
        <v>417</v>
      </c>
      <c r="U12" s="68" t="str">
        <f>Таблица310[[#This Row],[Регистратор.Номенклатура]]</f>
        <v>Преладо</v>
      </c>
      <c r="V12" s="44">
        <f>27*Таблица310[[#This Row],[Регистратор.Вес нетто]]/98620</f>
        <v>3.8602717501520991</v>
      </c>
      <c r="W12" s="35" t="s">
        <v>43</v>
      </c>
      <c r="X12" s="35" t="s">
        <v>19</v>
      </c>
      <c r="Y12" s="35">
        <v>2</v>
      </c>
      <c r="Z12" s="43">
        <v>45805</v>
      </c>
      <c r="AA12" s="40"/>
      <c r="AB12" s="40"/>
      <c r="AC12" s="40" t="s">
        <v>419</v>
      </c>
      <c r="AD12" s="40" t="s">
        <v>511</v>
      </c>
      <c r="AE12" s="40">
        <v>57</v>
      </c>
      <c r="AF12" s="103">
        <v>45806</v>
      </c>
      <c r="AG12" s="40">
        <v>65909</v>
      </c>
      <c r="AH12" s="40">
        <f>VLOOKUP(Таблица310[[#This Row],[№ акта]],'Степень зрелости 2025'!$H$13:$I$583,2,FALSE)</f>
        <v>42</v>
      </c>
      <c r="AI12" s="40" t="str">
        <f>VLOOKUP(Таблица310[[#This Row],[№ акта]],$AQ$1:$AT$594,2,FALSE)</f>
        <v xml:space="preserve"> 2/4</v>
      </c>
      <c r="AJ12" s="40" t="str">
        <f>Таблица310[[#This Row],[Регистратор.Номенклатура]]</f>
        <v>Преладо</v>
      </c>
      <c r="AK12" s="40" t="str">
        <f>VLOOKUP(Таблица310[[#This Row],[№ акта]],$AQ$1:$AT$594,4,FALSE)</f>
        <v>Учхоз Кубань (богара)</v>
      </c>
      <c r="AL12" s="45">
        <f>VLOOKUP(Таблица310[[#This Row],[№ акта]],$AQ$1:$AT$594,3,FALSE)</f>
        <v>3.8602717501520991</v>
      </c>
      <c r="AM12" s="40" t="str">
        <f>IF(Таблица310[[#This Row],[Площадь уборки, га]]=Таблица310[[#This Row],[Площадь уборки до корр]],"нет","да")</f>
        <v>нет</v>
      </c>
      <c r="AN12" s="45">
        <f>Таблица310[[#This Row],[Площадь уборки до корр]]-Таблица310[[#This Row],[Площадь уборки, га]]</f>
        <v>0</v>
      </c>
      <c r="AQ12">
        <v>57</v>
      </c>
      <c r="AR12" t="s">
        <v>417</v>
      </c>
      <c r="AS12">
        <v>3.8602717501520991</v>
      </c>
      <c r="AT12" t="s">
        <v>43</v>
      </c>
    </row>
    <row r="13" spans="1:46" ht="33.75" hidden="1" x14ac:dyDescent="0.25">
      <c r="A13" s="35" t="s">
        <v>102</v>
      </c>
      <c r="B13" s="36">
        <v>10150</v>
      </c>
      <c r="C13" s="119">
        <v>45</v>
      </c>
      <c r="D13" s="37">
        <v>58</v>
      </c>
      <c r="E13" s="145">
        <v>45806</v>
      </c>
      <c r="F13" s="36">
        <v>28830</v>
      </c>
      <c r="G13" s="36">
        <v>14000</v>
      </c>
      <c r="H13" s="38">
        <v>14830</v>
      </c>
      <c r="I13" s="36">
        <v>10150</v>
      </c>
      <c r="J13" s="35" t="s">
        <v>105</v>
      </c>
      <c r="K13" s="35" t="s">
        <v>21</v>
      </c>
      <c r="L13" s="35" t="s">
        <v>460</v>
      </c>
      <c r="M13" s="35" t="s">
        <v>166</v>
      </c>
      <c r="N13" s="35" t="s">
        <v>167</v>
      </c>
      <c r="O13" s="35" t="s">
        <v>168</v>
      </c>
      <c r="P13" s="35"/>
      <c r="Q13" s="35" t="s">
        <v>169</v>
      </c>
      <c r="R13" s="35" t="s">
        <v>170</v>
      </c>
      <c r="S13" s="35" t="s">
        <v>171</v>
      </c>
      <c r="T13" s="68" t="s">
        <v>417</v>
      </c>
      <c r="U13" s="68" t="str">
        <f>Таблица310[[#This Row],[Регистратор.Номенклатура]]</f>
        <v>Преладо</v>
      </c>
      <c r="V13" s="44">
        <f>27*Таблица310[[#This Row],[Регистратор.Вес нетто]]/98620</f>
        <v>3.8328939363212329</v>
      </c>
      <c r="W13" s="35" t="s">
        <v>43</v>
      </c>
      <c r="X13" s="35" t="s">
        <v>19</v>
      </c>
      <c r="Y13" s="35">
        <v>2</v>
      </c>
      <c r="Z13" s="43">
        <v>45805</v>
      </c>
      <c r="AA13" s="40"/>
      <c r="AB13" s="40"/>
      <c r="AC13" s="40" t="s">
        <v>419</v>
      </c>
      <c r="AD13" s="40" t="s">
        <v>511</v>
      </c>
      <c r="AE13" s="40">
        <v>58</v>
      </c>
      <c r="AF13" s="103">
        <v>45806</v>
      </c>
      <c r="AG13" s="40">
        <v>65910</v>
      </c>
      <c r="AH13" s="40">
        <f>VLOOKUP(Таблица310[[#This Row],[№ акта]],'Степень зрелости 2025'!$H$13:$I$583,2,FALSE)</f>
        <v>45</v>
      </c>
      <c r="AI13" s="40" t="str">
        <f>VLOOKUP(Таблица310[[#This Row],[№ акта]],$AQ$1:$AT$594,2,FALSE)</f>
        <v xml:space="preserve"> 2/4</v>
      </c>
      <c r="AJ13" s="40" t="str">
        <f>Таблица310[[#This Row],[Регистратор.Номенклатура]]</f>
        <v>Преладо</v>
      </c>
      <c r="AK13" s="40" t="str">
        <f>VLOOKUP(Таблица310[[#This Row],[№ акта]],$AQ$1:$AT$594,4,FALSE)</f>
        <v>Учхоз Кубань (богара)</v>
      </c>
      <c r="AL13" s="45">
        <f>VLOOKUP(Таблица310[[#This Row],[№ акта]],$AQ$1:$AT$594,3,FALSE)</f>
        <v>3.8328939363212329</v>
      </c>
      <c r="AM13" s="40" t="str">
        <f>IF(Таблица310[[#This Row],[Площадь уборки, га]]=Таблица310[[#This Row],[Площадь уборки до корр]],"нет","да")</f>
        <v>нет</v>
      </c>
      <c r="AN13" s="45">
        <f>Таблица310[[#This Row],[Площадь уборки до корр]]-Таблица310[[#This Row],[Площадь уборки, га]]</f>
        <v>0</v>
      </c>
      <c r="AQ13">
        <v>58</v>
      </c>
      <c r="AR13" t="s">
        <v>417</v>
      </c>
      <c r="AS13">
        <v>3.8328939363212329</v>
      </c>
      <c r="AT13" t="s">
        <v>43</v>
      </c>
    </row>
    <row r="14" spans="1:46" ht="33.75" hidden="1" x14ac:dyDescent="0.25">
      <c r="A14" s="35" t="s">
        <v>102</v>
      </c>
      <c r="B14" s="36">
        <v>9653</v>
      </c>
      <c r="C14" s="119">
        <v>45</v>
      </c>
      <c r="D14" s="37">
        <v>59</v>
      </c>
      <c r="E14" s="145">
        <v>45806</v>
      </c>
      <c r="F14" s="36">
        <v>29110</v>
      </c>
      <c r="G14" s="36">
        <v>13790</v>
      </c>
      <c r="H14" s="38">
        <v>15320</v>
      </c>
      <c r="I14" s="36">
        <v>9653</v>
      </c>
      <c r="J14" s="35" t="s">
        <v>105</v>
      </c>
      <c r="K14" s="35" t="s">
        <v>21</v>
      </c>
      <c r="L14" s="35" t="s">
        <v>460</v>
      </c>
      <c r="M14" s="35" t="s">
        <v>111</v>
      </c>
      <c r="N14" s="35" t="s">
        <v>157</v>
      </c>
      <c r="O14" s="35" t="s">
        <v>158</v>
      </c>
      <c r="P14" s="35"/>
      <c r="Q14" s="35" t="s">
        <v>159</v>
      </c>
      <c r="R14" s="35" t="s">
        <v>114</v>
      </c>
      <c r="S14" s="35" t="s">
        <v>115</v>
      </c>
      <c r="T14" s="68" t="s">
        <v>417</v>
      </c>
      <c r="U14" s="68" t="str">
        <f>Таблица310[[#This Row],[Регистратор.Номенклатура]]</f>
        <v>Преладо</v>
      </c>
      <c r="V14" s="44">
        <f>27*Таблица310[[#This Row],[Регистратор.Вес нетто]]/98620</f>
        <v>3.7754005272764144</v>
      </c>
      <c r="W14" s="35" t="s">
        <v>43</v>
      </c>
      <c r="X14" s="35" t="s">
        <v>19</v>
      </c>
      <c r="Y14" s="35">
        <v>2</v>
      </c>
      <c r="Z14" s="43">
        <v>45805</v>
      </c>
      <c r="AA14" s="40"/>
      <c r="AB14" s="40"/>
      <c r="AC14" s="40" t="s">
        <v>419</v>
      </c>
      <c r="AD14" s="40" t="s">
        <v>511</v>
      </c>
      <c r="AE14" s="40">
        <v>59</v>
      </c>
      <c r="AF14" s="103">
        <v>45806</v>
      </c>
      <c r="AG14" s="40">
        <v>65911</v>
      </c>
      <c r="AH14" s="40">
        <f>VLOOKUP(Таблица310[[#This Row],[№ акта]],'Степень зрелости 2025'!$H$13:$I$583,2,FALSE)</f>
        <v>45</v>
      </c>
      <c r="AI14" s="40" t="str">
        <f>VLOOKUP(Таблица310[[#This Row],[№ акта]],$AQ$1:$AT$594,2,FALSE)</f>
        <v xml:space="preserve"> 2/4</v>
      </c>
      <c r="AJ14" s="40" t="str">
        <f>Таблица310[[#This Row],[Регистратор.Номенклатура]]</f>
        <v>Преладо</v>
      </c>
      <c r="AK14" s="40" t="str">
        <f>VLOOKUP(Таблица310[[#This Row],[№ акта]],$AQ$1:$AT$594,4,FALSE)</f>
        <v>Учхоз Кубань (богара)</v>
      </c>
      <c r="AL14" s="45">
        <f>VLOOKUP(Таблица310[[#This Row],[№ акта]],$AQ$1:$AT$594,3,FALSE)</f>
        <v>3.7754005272764144</v>
      </c>
      <c r="AM14" s="40" t="str">
        <f>IF(Таблица310[[#This Row],[Площадь уборки, га]]=Таблица310[[#This Row],[Площадь уборки до корр]],"нет","да")</f>
        <v>нет</v>
      </c>
      <c r="AN14" s="45">
        <f>Таблица310[[#This Row],[Площадь уборки до корр]]-Таблица310[[#This Row],[Площадь уборки, га]]</f>
        <v>0</v>
      </c>
      <c r="AQ14">
        <v>59</v>
      </c>
      <c r="AR14" t="s">
        <v>417</v>
      </c>
      <c r="AS14">
        <v>3.7754005272764144</v>
      </c>
      <c r="AT14" t="s">
        <v>43</v>
      </c>
    </row>
    <row r="15" spans="1:46" ht="45" hidden="1" x14ac:dyDescent="0.25">
      <c r="A15" s="35" t="s">
        <v>102</v>
      </c>
      <c r="B15" s="36">
        <v>3080.6</v>
      </c>
      <c r="C15" s="119">
        <v>41</v>
      </c>
      <c r="D15" s="37">
        <v>72</v>
      </c>
      <c r="E15" s="145">
        <v>45806</v>
      </c>
      <c r="F15" s="36">
        <v>13930</v>
      </c>
      <c r="G15" s="36">
        <v>4220</v>
      </c>
      <c r="H15" s="38">
        <v>9710</v>
      </c>
      <c r="I15" s="36">
        <v>3080.6</v>
      </c>
      <c r="J15" s="35" t="s">
        <v>78</v>
      </c>
      <c r="K15" s="35" t="s">
        <v>81</v>
      </c>
      <c r="L15" s="35" t="s">
        <v>110</v>
      </c>
      <c r="M15" s="35" t="s">
        <v>111</v>
      </c>
      <c r="N15" s="35" t="s">
        <v>112</v>
      </c>
      <c r="O15" s="35" t="s">
        <v>113</v>
      </c>
      <c r="P15" s="35"/>
      <c r="Q15" s="79">
        <v>702.70299999999997</v>
      </c>
      <c r="R15" s="35" t="s">
        <v>114</v>
      </c>
      <c r="S15" s="35" t="s">
        <v>115</v>
      </c>
      <c r="T15" s="35" t="s">
        <v>110</v>
      </c>
      <c r="U15" s="68" t="str">
        <f>Таблица310[[#This Row],[Регистратор.Номенклатура]]</f>
        <v>Оскар</v>
      </c>
      <c r="V15" s="44">
        <f>5*Таблица310[[#This Row],[Регистратор.Вес нетто]]/10740</f>
        <v>1.9646182495344506</v>
      </c>
      <c r="W15" s="35" t="s">
        <v>44</v>
      </c>
      <c r="X15" s="35" t="s">
        <v>19</v>
      </c>
      <c r="Y15" s="35">
        <v>2</v>
      </c>
      <c r="Z15" s="43">
        <v>45806</v>
      </c>
      <c r="AA15" s="40"/>
      <c r="AB15" s="40"/>
      <c r="AC15" s="40" t="s">
        <v>419</v>
      </c>
      <c r="AD15" s="40" t="s">
        <v>511</v>
      </c>
      <c r="AE15" s="40">
        <v>72</v>
      </c>
      <c r="AF15" s="103">
        <v>45806</v>
      </c>
      <c r="AG15" s="40">
        <v>2</v>
      </c>
      <c r="AH15" s="40">
        <f>VLOOKUP(Таблица310[[#This Row],[№ акта]],'Степень зрелости 2025'!$H$13:$I$583,2,FALSE)</f>
        <v>41</v>
      </c>
      <c r="AI15" s="40" t="str">
        <f>VLOOKUP(Таблица310[[#This Row],[№ акта]],$AQ$1:$AT$594,2,FALSE)</f>
        <v>А-44</v>
      </c>
      <c r="AJ15" s="40" t="str">
        <f>Таблица310[[#This Row],[Регистратор.Номенклатура]]</f>
        <v>Оскар</v>
      </c>
      <c r="AK15" s="40" t="str">
        <f>VLOOKUP(Таблица310[[#This Row],[№ акта]],$AQ$1:$AT$594,4,FALSE)</f>
        <v>ГРК собственные семена (богара)</v>
      </c>
      <c r="AL15" s="45">
        <f>VLOOKUP(Таблица310[[#This Row],[№ акта]],$AQ$1:$AT$594,3,FALSE)</f>
        <v>1.9646182495344506</v>
      </c>
      <c r="AM15" s="40" t="str">
        <f>IF(Таблица310[[#This Row],[Площадь уборки, га]]=Таблица310[[#This Row],[Площадь уборки до корр]],"нет","да")</f>
        <v>нет</v>
      </c>
      <c r="AN15" s="45">
        <f>Таблица310[[#This Row],[Площадь уборки до корр]]-Таблица310[[#This Row],[Площадь уборки, га]]</f>
        <v>0</v>
      </c>
      <c r="AQ15">
        <v>72</v>
      </c>
      <c r="AR15" t="s">
        <v>110</v>
      </c>
      <c r="AS15">
        <v>1.9646182495344506</v>
      </c>
      <c r="AT15" t="s">
        <v>44</v>
      </c>
    </row>
    <row r="16" spans="1:46" ht="45" hidden="1" x14ac:dyDescent="0.25">
      <c r="A16" s="35" t="s">
        <v>102</v>
      </c>
      <c r="B16" s="36">
        <v>5020.3999999999996</v>
      </c>
      <c r="C16" s="119">
        <v>44</v>
      </c>
      <c r="D16" s="37">
        <v>73</v>
      </c>
      <c r="E16" s="145">
        <v>45806</v>
      </c>
      <c r="F16" s="36">
        <v>21910</v>
      </c>
      <c r="G16" s="36">
        <v>6520</v>
      </c>
      <c r="H16" s="38">
        <v>15390</v>
      </c>
      <c r="I16" s="36">
        <v>5020.3999999999996</v>
      </c>
      <c r="J16" s="35" t="s">
        <v>78</v>
      </c>
      <c r="K16" s="35" t="s">
        <v>81</v>
      </c>
      <c r="L16" s="35" t="s">
        <v>110</v>
      </c>
      <c r="M16" s="35" t="s">
        <v>111</v>
      </c>
      <c r="N16" s="35" t="s">
        <v>139</v>
      </c>
      <c r="O16" s="35" t="s">
        <v>140</v>
      </c>
      <c r="P16" s="35"/>
      <c r="Q16" s="35" t="s">
        <v>141</v>
      </c>
      <c r="R16" s="35" t="s">
        <v>114</v>
      </c>
      <c r="S16" s="35" t="s">
        <v>115</v>
      </c>
      <c r="T16" s="35" t="s">
        <v>110</v>
      </c>
      <c r="U16" s="68" t="str">
        <f>Таблица310[[#This Row],[Регистратор.Номенклатура]]</f>
        <v>Оскар</v>
      </c>
      <c r="V16" s="44">
        <f>5*Таблица310[[#This Row],[Регистратор.Вес нетто]]/10740</f>
        <v>3.0353817504655494</v>
      </c>
      <c r="W16" s="35" t="s">
        <v>44</v>
      </c>
      <c r="X16" s="35" t="s">
        <v>19</v>
      </c>
      <c r="Y16" s="35">
        <v>2</v>
      </c>
      <c r="Z16" s="43">
        <v>45806</v>
      </c>
      <c r="AA16" s="40"/>
      <c r="AB16" s="40"/>
      <c r="AC16" s="40" t="s">
        <v>419</v>
      </c>
      <c r="AD16" s="40" t="s">
        <v>511</v>
      </c>
      <c r="AE16" s="40">
        <v>73</v>
      </c>
      <c r="AF16" s="103">
        <v>45806</v>
      </c>
      <c r="AG16" s="40">
        <v>3</v>
      </c>
      <c r="AH16" s="40">
        <f>VLOOKUP(Таблица310[[#This Row],[№ акта]],'Степень зрелости 2025'!$H$13:$I$583,2,FALSE)</f>
        <v>44</v>
      </c>
      <c r="AI16" s="40" t="str">
        <f>VLOOKUP(Таблица310[[#This Row],[№ акта]],$AQ$1:$AT$594,2,FALSE)</f>
        <v>А-44</v>
      </c>
      <c r="AJ16" s="40" t="str">
        <f>Таблица310[[#This Row],[Регистратор.Номенклатура]]</f>
        <v>Оскар</v>
      </c>
      <c r="AK16" s="40" t="str">
        <f>VLOOKUP(Таблица310[[#This Row],[№ акта]],$AQ$1:$AT$594,4,FALSE)</f>
        <v>ГРК собственные семена (богара)</v>
      </c>
      <c r="AL16" s="45">
        <f>VLOOKUP(Таблица310[[#This Row],[№ акта]],$AQ$1:$AT$594,3,FALSE)</f>
        <v>3.0353817504655494</v>
      </c>
      <c r="AM16" s="40" t="str">
        <f>IF(Таблица310[[#This Row],[Площадь уборки, га]]=Таблица310[[#This Row],[Площадь уборки до корр]],"нет","да")</f>
        <v>нет</v>
      </c>
      <c r="AN16" s="45">
        <f>Таблица310[[#This Row],[Площадь уборки до корр]]-Таблица310[[#This Row],[Площадь уборки, га]]</f>
        <v>0</v>
      </c>
      <c r="AQ16">
        <v>73</v>
      </c>
      <c r="AR16" t="s">
        <v>110</v>
      </c>
      <c r="AS16">
        <v>3.0353817504655494</v>
      </c>
      <c r="AT16" t="s">
        <v>44</v>
      </c>
    </row>
    <row r="17" spans="1:46" ht="45" hidden="1" x14ac:dyDescent="0.25">
      <c r="A17" s="72" t="s">
        <v>102</v>
      </c>
      <c r="B17" s="73">
        <v>3306.9</v>
      </c>
      <c r="C17" s="120">
        <v>43</v>
      </c>
      <c r="D17" s="75">
        <v>74</v>
      </c>
      <c r="E17" s="146">
        <v>45808</v>
      </c>
      <c r="F17" s="73">
        <v>14120</v>
      </c>
      <c r="G17" s="73">
        <v>4380</v>
      </c>
      <c r="H17" s="77">
        <v>9740</v>
      </c>
      <c r="I17" s="73">
        <v>3306.9</v>
      </c>
      <c r="J17" s="72" t="s">
        <v>78</v>
      </c>
      <c r="K17" s="72" t="s">
        <v>81</v>
      </c>
      <c r="L17" s="72" t="s">
        <v>110</v>
      </c>
      <c r="M17" s="35" t="s">
        <v>127</v>
      </c>
      <c r="N17" s="72" t="s">
        <v>202</v>
      </c>
      <c r="O17" s="72" t="s">
        <v>203</v>
      </c>
      <c r="P17" s="72"/>
      <c r="Q17" s="72">
        <v>706.90099999999995</v>
      </c>
      <c r="R17" s="72" t="s">
        <v>131</v>
      </c>
      <c r="S17" s="72" t="s">
        <v>132</v>
      </c>
      <c r="T17" s="72" t="s">
        <v>110</v>
      </c>
      <c r="U17" s="68" t="str">
        <f>Таблица310[[#This Row],[Регистратор.Номенклатура]]</f>
        <v>Оскар</v>
      </c>
      <c r="V17" s="78">
        <f>30*Таблица310[[#This Row],[Регистратор.Вес нетто]]/55610</f>
        <v>2.3628843733141522</v>
      </c>
      <c r="W17" s="35" t="s">
        <v>44</v>
      </c>
      <c r="X17" s="35" t="s">
        <v>19</v>
      </c>
      <c r="Y17" s="72">
        <v>3</v>
      </c>
      <c r="Z17" s="71">
        <v>45808</v>
      </c>
      <c r="AA17" s="40"/>
      <c r="AB17" s="40"/>
      <c r="AC17" s="40" t="s">
        <v>419</v>
      </c>
      <c r="AD17" s="40" t="s">
        <v>511</v>
      </c>
      <c r="AE17" s="40">
        <v>74</v>
      </c>
      <c r="AF17" s="103">
        <v>45808</v>
      </c>
      <c r="AG17" s="40">
        <v>4</v>
      </c>
      <c r="AH17" s="40">
        <f>VLOOKUP(Таблица310[[#This Row],[№ акта]],'Степень зрелости 2025'!$H$13:$I$583,2,FALSE)</f>
        <v>43</v>
      </c>
      <c r="AI17" s="40" t="str">
        <f>VLOOKUP(Таблица310[[#This Row],[№ акта]],$AQ$1:$AT$594,2,FALSE)</f>
        <v>А-44</v>
      </c>
      <c r="AJ17" s="40" t="str">
        <f>Таблица310[[#This Row],[Регистратор.Номенклатура]]</f>
        <v>Оскар</v>
      </c>
      <c r="AK17" s="40" t="str">
        <f>VLOOKUP(Таблица310[[#This Row],[№ акта]],$AQ$1:$AT$594,4,FALSE)</f>
        <v>ГРК собственные семена (богара)</v>
      </c>
      <c r="AL17" s="45">
        <f>VLOOKUP(Таблица310[[#This Row],[№ акта]],$AQ$1:$AT$594,3,FALSE)</f>
        <v>2.3628843733141522</v>
      </c>
      <c r="AM17" s="40" t="str">
        <f>IF(Таблица310[[#This Row],[Площадь уборки, га]]=Таблица310[[#This Row],[Площадь уборки до корр]],"нет","да")</f>
        <v>нет</v>
      </c>
      <c r="AN17" s="45">
        <f>Таблица310[[#This Row],[Площадь уборки до корр]]-Таблица310[[#This Row],[Площадь уборки, га]]</f>
        <v>0</v>
      </c>
      <c r="AQ17">
        <v>74</v>
      </c>
      <c r="AR17" t="s">
        <v>110</v>
      </c>
      <c r="AS17">
        <v>2.3628843733141522</v>
      </c>
      <c r="AT17" t="s">
        <v>44</v>
      </c>
    </row>
    <row r="18" spans="1:46" ht="45" hidden="1" x14ac:dyDescent="0.25">
      <c r="A18" s="72" t="s">
        <v>102</v>
      </c>
      <c r="B18" s="73">
        <v>3557.2</v>
      </c>
      <c r="C18" s="120">
        <v>42</v>
      </c>
      <c r="D18" s="75">
        <v>75</v>
      </c>
      <c r="E18" s="146">
        <v>45808</v>
      </c>
      <c r="F18" s="73">
        <v>14320</v>
      </c>
      <c r="G18" s="73">
        <v>4590</v>
      </c>
      <c r="H18" s="77">
        <v>9730</v>
      </c>
      <c r="I18" s="73">
        <v>3557.2</v>
      </c>
      <c r="J18" s="72" t="s">
        <v>78</v>
      </c>
      <c r="K18" s="72" t="s">
        <v>81</v>
      </c>
      <c r="L18" s="72" t="s">
        <v>110</v>
      </c>
      <c r="M18" s="35" t="s">
        <v>127</v>
      </c>
      <c r="N18" s="72" t="s">
        <v>200</v>
      </c>
      <c r="O18" s="72" t="s">
        <v>201</v>
      </c>
      <c r="P18" s="72"/>
      <c r="Q18" s="72">
        <v>707.90200000000004</v>
      </c>
      <c r="R18" s="72" t="s">
        <v>131</v>
      </c>
      <c r="S18" s="72" t="s">
        <v>132</v>
      </c>
      <c r="T18" s="72" t="s">
        <v>110</v>
      </c>
      <c r="U18" s="68" t="str">
        <f>Таблица310[[#This Row],[Регистратор.Номенклатура]]</f>
        <v>Оскар</v>
      </c>
      <c r="V18" s="78">
        <f>30*Таблица310[[#This Row],[Регистратор.Вес нетто]]/55610</f>
        <v>2.4761733501168854</v>
      </c>
      <c r="W18" s="35" t="s">
        <v>44</v>
      </c>
      <c r="X18" s="35" t="s">
        <v>19</v>
      </c>
      <c r="Y18" s="72">
        <v>3</v>
      </c>
      <c r="Z18" s="71">
        <v>45808</v>
      </c>
      <c r="AA18" s="40"/>
      <c r="AB18" s="40"/>
      <c r="AC18" s="40" t="s">
        <v>419</v>
      </c>
      <c r="AD18" s="40" t="s">
        <v>511</v>
      </c>
      <c r="AE18" s="40">
        <v>75</v>
      </c>
      <c r="AF18" s="103">
        <v>45808</v>
      </c>
      <c r="AG18" s="40">
        <v>5</v>
      </c>
      <c r="AH18" s="40">
        <f>VLOOKUP(Таблица310[[#This Row],[№ акта]],'Степень зрелости 2025'!$H$13:$I$583,2,FALSE)</f>
        <v>42</v>
      </c>
      <c r="AI18" s="40" t="str">
        <f>VLOOKUP(Таблица310[[#This Row],[№ акта]],$AQ$1:$AT$594,2,FALSE)</f>
        <v>А-44</v>
      </c>
      <c r="AJ18" s="40" t="str">
        <f>Таблица310[[#This Row],[Регистратор.Номенклатура]]</f>
        <v>Оскар</v>
      </c>
      <c r="AK18" s="40" t="str">
        <f>VLOOKUP(Таблица310[[#This Row],[№ акта]],$AQ$1:$AT$594,4,FALSE)</f>
        <v>ГРК собственные семена (богара)</v>
      </c>
      <c r="AL18" s="45">
        <f>VLOOKUP(Таблица310[[#This Row],[№ акта]],$AQ$1:$AT$594,3,FALSE)</f>
        <v>2.4761733501168854</v>
      </c>
      <c r="AM18" s="40" t="str">
        <f>IF(Таблица310[[#This Row],[Площадь уборки, га]]=Таблица310[[#This Row],[Площадь уборки до корр]],"нет","да")</f>
        <v>нет</v>
      </c>
      <c r="AN18" s="45">
        <f>Таблица310[[#This Row],[Площадь уборки до корр]]-Таблица310[[#This Row],[Площадь уборки, га]]</f>
        <v>0</v>
      </c>
      <c r="AQ18">
        <v>75</v>
      </c>
      <c r="AR18" t="s">
        <v>110</v>
      </c>
      <c r="AS18">
        <v>2.4761733501168854</v>
      </c>
      <c r="AT18" t="s">
        <v>44</v>
      </c>
    </row>
    <row r="19" spans="1:46" ht="45" hidden="1" x14ac:dyDescent="0.25">
      <c r="A19" s="72" t="s">
        <v>102</v>
      </c>
      <c r="B19" s="73">
        <v>6263.4</v>
      </c>
      <c r="C19" s="120">
        <v>45</v>
      </c>
      <c r="D19" s="75">
        <v>76</v>
      </c>
      <c r="E19" s="146">
        <v>45808</v>
      </c>
      <c r="F19" s="73">
        <v>23120</v>
      </c>
      <c r="G19" s="73">
        <v>8760</v>
      </c>
      <c r="H19" s="77">
        <v>14360</v>
      </c>
      <c r="I19" s="73">
        <v>6263.4</v>
      </c>
      <c r="J19" s="72" t="s">
        <v>78</v>
      </c>
      <c r="K19" s="72" t="s">
        <v>81</v>
      </c>
      <c r="L19" s="72" t="s">
        <v>110</v>
      </c>
      <c r="M19" s="35" t="s">
        <v>127</v>
      </c>
      <c r="N19" s="72" t="s">
        <v>206</v>
      </c>
      <c r="O19" s="72" t="s">
        <v>207</v>
      </c>
      <c r="P19" s="72"/>
      <c r="Q19" s="72" t="s">
        <v>208</v>
      </c>
      <c r="R19" s="72" t="s">
        <v>131</v>
      </c>
      <c r="S19" s="72" t="s">
        <v>132</v>
      </c>
      <c r="T19" s="72" t="s">
        <v>110</v>
      </c>
      <c r="U19" s="68" t="str">
        <f>Таблица310[[#This Row],[Регистратор.Номенклатура]]</f>
        <v>Оскар</v>
      </c>
      <c r="V19" s="78">
        <f>30*Таблица310[[#This Row],[Регистратор.Вес нетто]]/55610</f>
        <v>4.7257687466283045</v>
      </c>
      <c r="W19" s="35" t="s">
        <v>44</v>
      </c>
      <c r="X19" s="35" t="s">
        <v>19</v>
      </c>
      <c r="Y19" s="72">
        <v>3</v>
      </c>
      <c r="Z19" s="71">
        <v>45808</v>
      </c>
      <c r="AA19" s="40"/>
      <c r="AB19" s="40"/>
      <c r="AC19" s="40" t="s">
        <v>419</v>
      </c>
      <c r="AD19" s="40" t="s">
        <v>511</v>
      </c>
      <c r="AE19" s="40">
        <v>76</v>
      </c>
      <c r="AF19" s="103">
        <v>45808</v>
      </c>
      <c r="AG19" s="40">
        <v>6</v>
      </c>
      <c r="AH19" s="40">
        <f>VLOOKUP(Таблица310[[#This Row],[№ акта]],'Степень зрелости 2025'!$H$13:$I$583,2,FALSE)</f>
        <v>45</v>
      </c>
      <c r="AI19" s="40" t="str">
        <f>VLOOKUP(Таблица310[[#This Row],[№ акта]],$AQ$1:$AT$594,2,FALSE)</f>
        <v>А-44</v>
      </c>
      <c r="AJ19" s="40" t="str">
        <f>Таблица310[[#This Row],[Регистратор.Номенклатура]]</f>
        <v>Оскар</v>
      </c>
      <c r="AK19" s="40" t="str">
        <f>VLOOKUP(Таблица310[[#This Row],[№ акта]],$AQ$1:$AT$594,4,FALSE)</f>
        <v>ГРК собственные семена (богара)</v>
      </c>
      <c r="AL19" s="45">
        <f>VLOOKUP(Таблица310[[#This Row],[№ акта]],$AQ$1:$AT$594,3,FALSE)</f>
        <v>4.7257687466283045</v>
      </c>
      <c r="AM19" s="40" t="str">
        <f>IF(Таблица310[[#This Row],[Площадь уборки, га]]=Таблица310[[#This Row],[Площадь уборки до корр]],"нет","да")</f>
        <v>нет</v>
      </c>
      <c r="AN19" s="45">
        <f>Таблица310[[#This Row],[Площадь уборки до корр]]-Таблица310[[#This Row],[Площадь уборки, га]]</f>
        <v>0</v>
      </c>
      <c r="AQ19">
        <v>76</v>
      </c>
      <c r="AR19" t="s">
        <v>110</v>
      </c>
      <c r="AS19">
        <v>4.7257687466283045</v>
      </c>
      <c r="AT19" t="s">
        <v>44</v>
      </c>
    </row>
    <row r="20" spans="1:46" ht="45" hidden="1" x14ac:dyDescent="0.25">
      <c r="A20" s="72" t="s">
        <v>102</v>
      </c>
      <c r="B20" s="73">
        <f>Таблица310[[#This Row],[Регистратор.Вес чистый]]</f>
        <v>3291.3</v>
      </c>
      <c r="C20" s="120">
        <v>45</v>
      </c>
      <c r="D20" s="75">
        <v>77</v>
      </c>
      <c r="E20" s="146">
        <v>45808</v>
      </c>
      <c r="F20" s="73">
        <v>14470</v>
      </c>
      <c r="G20" s="73">
        <v>4770</v>
      </c>
      <c r="H20" s="77">
        <v>9700</v>
      </c>
      <c r="I20" s="73">
        <v>3291.3</v>
      </c>
      <c r="J20" s="72" t="s">
        <v>78</v>
      </c>
      <c r="K20" s="72" t="s">
        <v>81</v>
      </c>
      <c r="L20" s="72" t="s">
        <v>110</v>
      </c>
      <c r="M20" s="35" t="s">
        <v>127</v>
      </c>
      <c r="N20" s="72"/>
      <c r="O20" s="72"/>
      <c r="P20" s="72"/>
      <c r="Q20" s="72"/>
      <c r="R20" s="72" t="s">
        <v>131</v>
      </c>
      <c r="S20" s="72"/>
      <c r="T20" s="72" t="s">
        <v>110</v>
      </c>
      <c r="U20" s="68" t="str">
        <f>Таблица310[[#This Row],[Регистратор.Номенклатура]]</f>
        <v>Оскар</v>
      </c>
      <c r="V20" s="78">
        <f>30*Таблица310[[#This Row],[Регистратор.Вес нетто]]/55610</f>
        <v>2.573278187376371</v>
      </c>
      <c r="W20" s="35" t="s">
        <v>44</v>
      </c>
      <c r="X20" s="35" t="s">
        <v>19</v>
      </c>
      <c r="Y20" s="72">
        <v>3</v>
      </c>
      <c r="Z20" s="71">
        <v>45808</v>
      </c>
      <c r="AA20" s="40"/>
      <c r="AB20" s="40"/>
      <c r="AC20" s="40" t="s">
        <v>419</v>
      </c>
      <c r="AD20" s="40" t="s">
        <v>511</v>
      </c>
      <c r="AE20" s="40">
        <v>77</v>
      </c>
      <c r="AF20" s="103">
        <v>45808</v>
      </c>
      <c r="AG20" s="40">
        <v>7</v>
      </c>
      <c r="AH20" s="40">
        <f>VLOOKUP(Таблица310[[#This Row],[№ акта]],'Степень зрелости 2025'!$H$13:$I$583,2,FALSE)</f>
        <v>45</v>
      </c>
      <c r="AI20" s="40" t="str">
        <f>VLOOKUP(Таблица310[[#This Row],[№ акта]],$AQ$1:$AT$594,2,FALSE)</f>
        <v>А-44</v>
      </c>
      <c r="AJ20" s="40" t="str">
        <f>Таблица310[[#This Row],[Регистратор.Номенклатура]]</f>
        <v>Оскар</v>
      </c>
      <c r="AK20" s="40" t="str">
        <f>VLOOKUP(Таблица310[[#This Row],[№ акта]],$AQ$1:$AT$594,4,FALSE)</f>
        <v>ГРК собственные семена (богара)</v>
      </c>
      <c r="AL20" s="45">
        <f>VLOOKUP(Таблица310[[#This Row],[№ акта]],$AQ$1:$AT$594,3,FALSE)</f>
        <v>2.573278187376371</v>
      </c>
      <c r="AM20" s="40" t="str">
        <f>IF(Таблица310[[#This Row],[Площадь уборки, га]]=Таблица310[[#This Row],[Площадь уборки до корр]],"нет","да")</f>
        <v>нет</v>
      </c>
      <c r="AN20" s="45">
        <f>Таблица310[[#This Row],[Площадь уборки до корр]]-Таблица310[[#This Row],[Площадь уборки, га]]</f>
        <v>0</v>
      </c>
      <c r="AQ20">
        <v>77</v>
      </c>
      <c r="AR20" t="s">
        <v>110</v>
      </c>
      <c r="AS20">
        <v>2.573278187376371</v>
      </c>
      <c r="AT20" t="s">
        <v>44</v>
      </c>
    </row>
    <row r="21" spans="1:46" ht="45" hidden="1" x14ac:dyDescent="0.25">
      <c r="A21" s="72" t="s">
        <v>102</v>
      </c>
      <c r="B21" s="73">
        <v>2981.5</v>
      </c>
      <c r="C21" s="120">
        <v>45</v>
      </c>
      <c r="D21" s="75">
        <v>78</v>
      </c>
      <c r="E21" s="146">
        <v>45808</v>
      </c>
      <c r="F21" s="73">
        <v>14140</v>
      </c>
      <c r="G21" s="73">
        <v>4450</v>
      </c>
      <c r="H21" s="77">
        <v>9690</v>
      </c>
      <c r="I21" s="73">
        <v>2981.5</v>
      </c>
      <c r="J21" s="72" t="s">
        <v>78</v>
      </c>
      <c r="K21" s="72" t="s">
        <v>81</v>
      </c>
      <c r="L21" s="72" t="s">
        <v>110</v>
      </c>
      <c r="M21" s="35" t="s">
        <v>127</v>
      </c>
      <c r="N21" s="72" t="s">
        <v>204</v>
      </c>
      <c r="O21" s="72" t="s">
        <v>205</v>
      </c>
      <c r="P21" s="72"/>
      <c r="Q21" s="72">
        <v>710.90700000000004</v>
      </c>
      <c r="R21" s="72" t="s">
        <v>131</v>
      </c>
      <c r="S21" s="72" t="s">
        <v>132</v>
      </c>
      <c r="T21" s="72" t="s">
        <v>110</v>
      </c>
      <c r="U21" s="68" t="str">
        <f>Таблица310[[#This Row],[Регистратор.Номенклатура]]</f>
        <v>Оскар</v>
      </c>
      <c r="V21" s="78">
        <f>30*Таблица310[[#This Row],[Регистратор.Вес нетто]]/55610</f>
        <v>2.40064736558173</v>
      </c>
      <c r="W21" s="35" t="s">
        <v>44</v>
      </c>
      <c r="X21" s="35" t="s">
        <v>19</v>
      </c>
      <c r="Y21" s="72">
        <v>3</v>
      </c>
      <c r="Z21" s="71">
        <v>45808</v>
      </c>
      <c r="AA21" s="40"/>
      <c r="AB21" s="40"/>
      <c r="AC21" s="40" t="s">
        <v>419</v>
      </c>
      <c r="AD21" s="40" t="s">
        <v>511</v>
      </c>
      <c r="AE21" s="40">
        <v>78</v>
      </c>
      <c r="AF21" s="103">
        <v>45808</v>
      </c>
      <c r="AG21" s="40">
        <v>8</v>
      </c>
      <c r="AH21" s="40">
        <f>VLOOKUP(Таблица310[[#This Row],[№ акта]],'Степень зрелости 2025'!$H$13:$I$583,2,FALSE)</f>
        <v>45</v>
      </c>
      <c r="AI21" s="40" t="str">
        <f>VLOOKUP(Таблица310[[#This Row],[№ акта]],$AQ$1:$AT$594,2,FALSE)</f>
        <v>А-44</v>
      </c>
      <c r="AJ21" s="40" t="str">
        <f>Таблица310[[#This Row],[Регистратор.Номенклатура]]</f>
        <v>Оскар</v>
      </c>
      <c r="AK21" s="40" t="str">
        <f>VLOOKUP(Таблица310[[#This Row],[№ акта]],$AQ$1:$AT$594,4,FALSE)</f>
        <v>ГРК собственные семена (богара)</v>
      </c>
      <c r="AL21" s="45">
        <f>VLOOKUP(Таблица310[[#This Row],[№ акта]],$AQ$1:$AT$594,3,FALSE)</f>
        <v>2.40064736558173</v>
      </c>
      <c r="AM21" s="40" t="str">
        <f>IF(Таблица310[[#This Row],[Площадь уборки, га]]=Таблица310[[#This Row],[Площадь уборки до корр]],"нет","да")</f>
        <v>нет</v>
      </c>
      <c r="AN21" s="45">
        <f>Таблица310[[#This Row],[Площадь уборки до корр]]-Таблица310[[#This Row],[Площадь уборки, га]]</f>
        <v>0</v>
      </c>
      <c r="AQ21">
        <v>78</v>
      </c>
      <c r="AR21" t="s">
        <v>110</v>
      </c>
      <c r="AS21">
        <v>2.40064736558173</v>
      </c>
      <c r="AT21" t="s">
        <v>44</v>
      </c>
    </row>
    <row r="22" spans="1:46" ht="45" hidden="1" x14ac:dyDescent="0.25">
      <c r="A22" s="72" t="s">
        <v>102</v>
      </c>
      <c r="B22" s="73">
        <v>7171</v>
      </c>
      <c r="C22" s="120">
        <v>46</v>
      </c>
      <c r="D22" s="75">
        <v>79</v>
      </c>
      <c r="E22" s="146">
        <v>45808</v>
      </c>
      <c r="F22" s="73">
        <v>24430</v>
      </c>
      <c r="G22" s="73">
        <v>10100</v>
      </c>
      <c r="H22" s="77">
        <v>14330</v>
      </c>
      <c r="I22" s="73">
        <v>7171</v>
      </c>
      <c r="J22" s="72" t="s">
        <v>78</v>
      </c>
      <c r="K22" s="72" t="s">
        <v>81</v>
      </c>
      <c r="L22" s="72" t="s">
        <v>110</v>
      </c>
      <c r="M22" s="35" t="s">
        <v>127</v>
      </c>
      <c r="N22" s="72" t="s">
        <v>209</v>
      </c>
      <c r="O22" s="72" t="s">
        <v>210</v>
      </c>
      <c r="P22" s="72"/>
      <c r="Q22" s="72" t="s">
        <v>211</v>
      </c>
      <c r="R22" s="72" t="s">
        <v>131</v>
      </c>
      <c r="S22" s="72" t="s">
        <v>132</v>
      </c>
      <c r="T22" s="72" t="s">
        <v>110</v>
      </c>
      <c r="U22" s="68" t="str">
        <f>Таблица310[[#This Row],[Регистратор.Номенклатура]]</f>
        <v>Оскар</v>
      </c>
      <c r="V22" s="78">
        <f>30*Таблица310[[#This Row],[Регистратор.Вес нетто]]/55610</f>
        <v>5.4486603128933648</v>
      </c>
      <c r="W22" s="35" t="s">
        <v>44</v>
      </c>
      <c r="X22" s="35" t="s">
        <v>19</v>
      </c>
      <c r="Y22" s="72">
        <v>3</v>
      </c>
      <c r="Z22" s="71">
        <v>45808</v>
      </c>
      <c r="AA22" s="40"/>
      <c r="AB22" s="40"/>
      <c r="AC22" s="40" t="s">
        <v>419</v>
      </c>
      <c r="AD22" s="40" t="s">
        <v>511</v>
      </c>
      <c r="AE22" s="40">
        <v>79</v>
      </c>
      <c r="AF22" s="103">
        <v>45808</v>
      </c>
      <c r="AG22" s="40">
        <v>9</v>
      </c>
      <c r="AH22" s="40">
        <f>VLOOKUP(Таблица310[[#This Row],[№ акта]],'Степень зрелости 2025'!$H$13:$I$583,2,FALSE)</f>
        <v>46</v>
      </c>
      <c r="AI22" s="40" t="str">
        <f>VLOOKUP(Таблица310[[#This Row],[№ акта]],$AQ$1:$AT$594,2,FALSE)</f>
        <v>А-44</v>
      </c>
      <c r="AJ22" s="40" t="str">
        <f>Таблица310[[#This Row],[Регистратор.Номенклатура]]</f>
        <v>Оскар</v>
      </c>
      <c r="AK22" s="40" t="str">
        <f>VLOOKUP(Таблица310[[#This Row],[№ акта]],$AQ$1:$AT$594,4,FALSE)</f>
        <v>ГРК собственные семена (богара)</v>
      </c>
      <c r="AL22" s="45">
        <f>VLOOKUP(Таблица310[[#This Row],[№ акта]],$AQ$1:$AT$594,3,FALSE)</f>
        <v>5.4486603128933648</v>
      </c>
      <c r="AM22" s="40" t="str">
        <f>IF(Таблица310[[#This Row],[Площадь уборки, га]]=Таблица310[[#This Row],[Площадь уборки до корр]],"нет","да")</f>
        <v>нет</v>
      </c>
      <c r="AN22" s="45">
        <f>Таблица310[[#This Row],[Площадь уборки до корр]]-Таблица310[[#This Row],[Площадь уборки, га]]</f>
        <v>0</v>
      </c>
      <c r="AQ22">
        <v>79</v>
      </c>
      <c r="AR22" t="s">
        <v>110</v>
      </c>
      <c r="AS22">
        <v>5.4486603128933648</v>
      </c>
      <c r="AT22" t="s">
        <v>44</v>
      </c>
    </row>
    <row r="23" spans="1:46" ht="45" hidden="1" x14ac:dyDescent="0.25">
      <c r="A23" s="72" t="s">
        <v>102</v>
      </c>
      <c r="B23" s="73">
        <v>7130.2</v>
      </c>
      <c r="C23" s="120">
        <v>50</v>
      </c>
      <c r="D23" s="75">
        <v>80</v>
      </c>
      <c r="E23" s="146">
        <v>45808</v>
      </c>
      <c r="F23" s="73">
        <v>23580</v>
      </c>
      <c r="G23" s="73">
        <v>9260</v>
      </c>
      <c r="H23" s="77">
        <v>14320</v>
      </c>
      <c r="I23" s="73">
        <v>7130.2</v>
      </c>
      <c r="J23" s="72" t="s">
        <v>78</v>
      </c>
      <c r="K23" s="72" t="s">
        <v>81</v>
      </c>
      <c r="L23" s="72" t="s">
        <v>110</v>
      </c>
      <c r="M23" s="35" t="s">
        <v>127</v>
      </c>
      <c r="N23" s="72" t="s">
        <v>225</v>
      </c>
      <c r="O23" s="72" t="s">
        <v>226</v>
      </c>
      <c r="P23" s="72"/>
      <c r="Q23" s="72" t="s">
        <v>227</v>
      </c>
      <c r="R23" s="72" t="s">
        <v>131</v>
      </c>
      <c r="S23" s="72" t="s">
        <v>132</v>
      </c>
      <c r="T23" s="72" t="s">
        <v>110</v>
      </c>
      <c r="U23" s="68" t="str">
        <f>Таблица310[[#This Row],[Регистратор.Номенклатура]]</f>
        <v>Оскар</v>
      </c>
      <c r="V23" s="78">
        <f>30*Таблица310[[#This Row],[Регистратор.Вес нетто]]/55610</f>
        <v>4.9955044056824311</v>
      </c>
      <c r="W23" s="35" t="s">
        <v>44</v>
      </c>
      <c r="X23" s="35" t="s">
        <v>19</v>
      </c>
      <c r="Y23" s="72">
        <v>3</v>
      </c>
      <c r="Z23" s="71">
        <v>45808</v>
      </c>
      <c r="AA23" s="40"/>
      <c r="AB23" s="40"/>
      <c r="AC23" s="40" t="s">
        <v>419</v>
      </c>
      <c r="AD23" s="40" t="s">
        <v>511</v>
      </c>
      <c r="AE23" s="40">
        <v>80</v>
      </c>
      <c r="AF23" s="103">
        <v>45808</v>
      </c>
      <c r="AG23" s="40">
        <v>10</v>
      </c>
      <c r="AH23" s="40">
        <f>VLOOKUP(Таблица310[[#This Row],[№ акта]],'Степень зрелости 2025'!$H$13:$I$583,2,FALSE)</f>
        <v>50</v>
      </c>
      <c r="AI23" s="40" t="str">
        <f>VLOOKUP(Таблица310[[#This Row],[№ акта]],$AQ$1:$AT$594,2,FALSE)</f>
        <v>А-44</v>
      </c>
      <c r="AJ23" s="40" t="str">
        <f>Таблица310[[#This Row],[Регистратор.Номенклатура]]</f>
        <v>Оскар</v>
      </c>
      <c r="AK23" s="40" t="str">
        <f>VLOOKUP(Таблица310[[#This Row],[№ акта]],$AQ$1:$AT$594,4,FALSE)</f>
        <v>ГРК собственные семена (богара)</v>
      </c>
      <c r="AL23" s="45">
        <f>VLOOKUP(Таблица310[[#This Row],[№ акта]],$AQ$1:$AT$594,3,FALSE)</f>
        <v>4.9955044056824311</v>
      </c>
      <c r="AM23" s="40" t="str">
        <f>IF(Таблица310[[#This Row],[Площадь уборки, га]]=Таблица310[[#This Row],[Площадь уборки до корр]],"нет","да")</f>
        <v>нет</v>
      </c>
      <c r="AN23" s="45">
        <f>Таблица310[[#This Row],[Площадь уборки до корр]]-Таблица310[[#This Row],[Площадь уборки, га]]</f>
        <v>0</v>
      </c>
      <c r="AQ23">
        <v>80</v>
      </c>
      <c r="AR23" t="s">
        <v>110</v>
      </c>
      <c r="AS23">
        <v>4.9955044056824311</v>
      </c>
      <c r="AT23" t="s">
        <v>44</v>
      </c>
    </row>
    <row r="24" spans="1:46" ht="45" hidden="1" x14ac:dyDescent="0.25">
      <c r="A24" s="72" t="s">
        <v>102</v>
      </c>
      <c r="B24" s="73">
        <v>6789</v>
      </c>
      <c r="C24" s="120">
        <v>49</v>
      </c>
      <c r="D24" s="75">
        <v>81</v>
      </c>
      <c r="E24" s="146">
        <v>45809</v>
      </c>
      <c r="F24" s="73">
        <v>23620</v>
      </c>
      <c r="G24" s="73">
        <v>9300</v>
      </c>
      <c r="H24" s="77">
        <v>14320</v>
      </c>
      <c r="I24" s="73">
        <v>6789</v>
      </c>
      <c r="J24" s="72" t="s">
        <v>78</v>
      </c>
      <c r="K24" s="72" t="s">
        <v>81</v>
      </c>
      <c r="L24" s="72" t="s">
        <v>110</v>
      </c>
      <c r="M24" s="35" t="s">
        <v>127</v>
      </c>
      <c r="N24" s="72" t="s">
        <v>220</v>
      </c>
      <c r="O24" s="72" t="s">
        <v>221</v>
      </c>
      <c r="P24" s="72"/>
      <c r="Q24" s="72" t="s">
        <v>222</v>
      </c>
      <c r="R24" s="72" t="s">
        <v>131</v>
      </c>
      <c r="S24" s="72"/>
      <c r="T24" s="72" t="s">
        <v>110</v>
      </c>
      <c r="U24" s="68" t="str">
        <f>Таблица310[[#This Row],[Регистратор.Номенклатура]]</f>
        <v>Оскар</v>
      </c>
      <c r="V24" s="78">
        <f>30*Таблица310[[#This Row],[Регистратор.Вес нетто]]/55610</f>
        <v>5.0170832584067613</v>
      </c>
      <c r="W24" s="35" t="s">
        <v>44</v>
      </c>
      <c r="X24" s="35" t="s">
        <v>19</v>
      </c>
      <c r="Y24" s="72">
        <v>3</v>
      </c>
      <c r="Z24" s="71">
        <v>45808</v>
      </c>
      <c r="AA24" s="40"/>
      <c r="AB24" s="40"/>
      <c r="AC24" s="40" t="s">
        <v>419</v>
      </c>
      <c r="AD24" s="40" t="s">
        <v>511</v>
      </c>
      <c r="AE24" s="40">
        <v>81</v>
      </c>
      <c r="AF24" s="103">
        <v>45809</v>
      </c>
      <c r="AG24" s="40">
        <v>11</v>
      </c>
      <c r="AH24" s="40">
        <f>VLOOKUP(Таблица310[[#This Row],[№ акта]],'Степень зрелости 2025'!$H$13:$I$583,2,FALSE)</f>
        <v>49</v>
      </c>
      <c r="AI24" s="40" t="str">
        <f>VLOOKUP(Таблица310[[#This Row],[№ акта]],$AQ$1:$AT$594,2,FALSE)</f>
        <v>А-44</v>
      </c>
      <c r="AJ24" s="40" t="str">
        <f>Таблица310[[#This Row],[Регистратор.Номенклатура]]</f>
        <v>Оскар</v>
      </c>
      <c r="AK24" s="40" t="str">
        <f>VLOOKUP(Таблица310[[#This Row],[№ акта]],$AQ$1:$AT$594,4,FALSE)</f>
        <v>ГРК собственные семена (богара)</v>
      </c>
      <c r="AL24" s="45">
        <f>VLOOKUP(Таблица310[[#This Row],[№ акта]],$AQ$1:$AT$594,3,FALSE)</f>
        <v>5.0170832584067613</v>
      </c>
      <c r="AM24" s="40" t="str">
        <f>IF(Таблица310[[#This Row],[Площадь уборки, га]]=Таблица310[[#This Row],[Площадь уборки до корр]],"нет","да")</f>
        <v>нет</v>
      </c>
      <c r="AN24" s="45">
        <f>Таблица310[[#This Row],[Площадь уборки до корр]]-Таблица310[[#This Row],[Площадь уборки, га]]</f>
        <v>0</v>
      </c>
      <c r="AQ24">
        <v>81</v>
      </c>
      <c r="AR24" t="s">
        <v>110</v>
      </c>
      <c r="AS24">
        <v>5.0170832584067613</v>
      </c>
      <c r="AT24" t="s">
        <v>44</v>
      </c>
    </row>
    <row r="25" spans="1:46" ht="45" hidden="1" x14ac:dyDescent="0.25">
      <c r="A25" s="72" t="s">
        <v>102</v>
      </c>
      <c r="B25" s="73">
        <v>6688.8</v>
      </c>
      <c r="C25" s="120">
        <v>49</v>
      </c>
      <c r="D25" s="75">
        <v>82</v>
      </c>
      <c r="E25" s="146">
        <v>45809</v>
      </c>
      <c r="F25" s="73">
        <v>23600</v>
      </c>
      <c r="G25" s="73">
        <v>9290</v>
      </c>
      <c r="H25" s="77">
        <v>14310</v>
      </c>
      <c r="I25" s="73">
        <v>6688.8</v>
      </c>
      <c r="J25" s="72" t="s">
        <v>78</v>
      </c>
      <c r="K25" s="72" t="s">
        <v>81</v>
      </c>
      <c r="L25" s="72" t="s">
        <v>110</v>
      </c>
      <c r="M25" s="35" t="s">
        <v>127</v>
      </c>
      <c r="N25" s="72" t="s">
        <v>217</v>
      </c>
      <c r="O25" s="72" t="s">
        <v>218</v>
      </c>
      <c r="P25" s="72"/>
      <c r="Q25" s="72" t="s">
        <v>219</v>
      </c>
      <c r="R25" s="72" t="s">
        <v>131</v>
      </c>
      <c r="S25" s="72" t="s">
        <v>132</v>
      </c>
      <c r="T25" s="72" t="s">
        <v>110</v>
      </c>
      <c r="U25" s="68" t="str">
        <f>Таблица310[[#This Row],[Регистратор.Номенклатура]]</f>
        <v>Оскар</v>
      </c>
      <c r="V25" s="78">
        <f>26*Таблица310[[#This Row],[Регистратор.Вес нетто]]/69140</f>
        <v>3.4934914665895285</v>
      </c>
      <c r="W25" s="72" t="s">
        <v>44</v>
      </c>
      <c r="X25" s="72" t="s">
        <v>19</v>
      </c>
      <c r="Y25" s="72">
        <v>4</v>
      </c>
      <c r="Z25" s="71">
        <v>45809</v>
      </c>
      <c r="AA25" s="40"/>
      <c r="AB25" s="40"/>
      <c r="AC25" s="40" t="s">
        <v>419</v>
      </c>
      <c r="AD25" s="40" t="s">
        <v>511</v>
      </c>
      <c r="AE25" s="40">
        <v>82</v>
      </c>
      <c r="AF25" s="103">
        <v>45809</v>
      </c>
      <c r="AG25" s="40">
        <v>12</v>
      </c>
      <c r="AH25" s="40">
        <f>VLOOKUP(Таблица310[[#This Row],[№ акта]],'Степень зрелости 2025'!$H$13:$I$583,2,FALSE)</f>
        <v>49</v>
      </c>
      <c r="AI25" s="40" t="str">
        <f>VLOOKUP(Таблица310[[#This Row],[№ акта]],$AQ$1:$AT$594,2,FALSE)</f>
        <v>А-44</v>
      </c>
      <c r="AJ25" s="40" t="str">
        <f>Таблица310[[#This Row],[Регистратор.Номенклатура]]</f>
        <v>Оскар</v>
      </c>
      <c r="AK25" s="40" t="str">
        <f>VLOOKUP(Таблица310[[#This Row],[№ акта]],$AQ$1:$AT$594,4,FALSE)</f>
        <v>ГРК собственные семена (богара)</v>
      </c>
      <c r="AL25" s="45">
        <f>VLOOKUP(Таблица310[[#This Row],[№ акта]],$AQ$1:$AT$594,3,FALSE)</f>
        <v>3.4934914665895285</v>
      </c>
      <c r="AM25" s="40" t="str">
        <f>IF(Таблица310[[#This Row],[Площадь уборки, га]]=Таблица310[[#This Row],[Площадь уборки до корр]],"нет","да")</f>
        <v>нет</v>
      </c>
      <c r="AN25" s="45">
        <f>Таблица310[[#This Row],[Площадь уборки до корр]]-Таблица310[[#This Row],[Площадь уборки, га]]</f>
        <v>0</v>
      </c>
      <c r="AQ25">
        <v>82</v>
      </c>
      <c r="AR25" t="s">
        <v>110</v>
      </c>
      <c r="AS25">
        <v>3.4934914665895285</v>
      </c>
      <c r="AT25" t="s">
        <v>44</v>
      </c>
    </row>
    <row r="26" spans="1:46" ht="45" hidden="1" x14ac:dyDescent="0.25">
      <c r="A26" s="40" t="s">
        <v>102</v>
      </c>
      <c r="B26" s="41">
        <v>7212.7</v>
      </c>
      <c r="C26" s="121">
        <v>50</v>
      </c>
      <c r="D26" s="42">
        <v>83</v>
      </c>
      <c r="E26" s="147">
        <v>45809</v>
      </c>
      <c r="F26" s="41">
        <v>23430</v>
      </c>
      <c r="G26" s="41">
        <v>9130</v>
      </c>
      <c r="H26" s="69">
        <v>14300</v>
      </c>
      <c r="I26" s="41">
        <v>7212.7</v>
      </c>
      <c r="J26" s="40" t="s">
        <v>78</v>
      </c>
      <c r="K26" s="40" t="s">
        <v>81</v>
      </c>
      <c r="L26" s="40" t="s">
        <v>110</v>
      </c>
      <c r="M26" s="35" t="s">
        <v>127</v>
      </c>
      <c r="N26" s="40" t="s">
        <v>228</v>
      </c>
      <c r="O26" s="40" t="s">
        <v>229</v>
      </c>
      <c r="P26" s="40"/>
      <c r="Q26" s="40" t="s">
        <v>230</v>
      </c>
      <c r="R26" s="40" t="s">
        <v>131</v>
      </c>
      <c r="S26" s="40" t="s">
        <v>132</v>
      </c>
      <c r="T26" s="40" t="s">
        <v>110</v>
      </c>
      <c r="U26" s="68" t="str">
        <f>Таблица310[[#This Row],[Регистратор.Номенклатура]]</f>
        <v>Оскар</v>
      </c>
      <c r="V26" s="78">
        <f>26*Таблица310[[#This Row],[Регистратор.Вес нетто]]/69140</f>
        <v>3.4333236910616143</v>
      </c>
      <c r="W26" s="72" t="s">
        <v>44</v>
      </c>
      <c r="X26" s="40" t="s">
        <v>19</v>
      </c>
      <c r="Y26" s="40">
        <v>4</v>
      </c>
      <c r="Z26" s="71">
        <v>45809</v>
      </c>
      <c r="AA26" s="40"/>
      <c r="AB26" s="40"/>
      <c r="AC26" s="40" t="s">
        <v>419</v>
      </c>
      <c r="AD26" s="40" t="s">
        <v>511</v>
      </c>
      <c r="AE26" s="40">
        <v>83</v>
      </c>
      <c r="AF26" s="103">
        <v>45809</v>
      </c>
      <c r="AG26" s="40">
        <v>13</v>
      </c>
      <c r="AH26" s="40">
        <f>VLOOKUP(Таблица310[[#This Row],[№ акта]],'Степень зрелости 2025'!$H$13:$I$583,2,FALSE)</f>
        <v>50</v>
      </c>
      <c r="AI26" s="40" t="str">
        <f>VLOOKUP(Таблица310[[#This Row],[№ акта]],$AQ$1:$AT$594,2,FALSE)</f>
        <v>А-44</v>
      </c>
      <c r="AJ26" s="40" t="str">
        <f>Таблица310[[#This Row],[Регистратор.Номенклатура]]</f>
        <v>Оскар</v>
      </c>
      <c r="AK26" s="40" t="str">
        <f>VLOOKUP(Таблица310[[#This Row],[№ акта]],$AQ$1:$AT$594,4,FALSE)</f>
        <v>ГРК собственные семена (богара)</v>
      </c>
      <c r="AL26" s="45">
        <f>VLOOKUP(Таблица310[[#This Row],[№ акта]],$AQ$1:$AT$594,3,FALSE)</f>
        <v>3.4333236910616143</v>
      </c>
      <c r="AM26" s="40" t="str">
        <f>IF(Таблица310[[#This Row],[Площадь уборки, га]]=Таблица310[[#This Row],[Площадь уборки до корр]],"нет","да")</f>
        <v>нет</v>
      </c>
      <c r="AN26" s="45">
        <f>Таблица310[[#This Row],[Площадь уборки до корр]]-Таблица310[[#This Row],[Площадь уборки, га]]</f>
        <v>0</v>
      </c>
      <c r="AQ26">
        <v>83</v>
      </c>
      <c r="AR26" t="s">
        <v>110</v>
      </c>
      <c r="AS26">
        <v>3.4333236910616143</v>
      </c>
      <c r="AT26" t="s">
        <v>44</v>
      </c>
    </row>
    <row r="27" spans="1:46" ht="45" hidden="1" x14ac:dyDescent="0.25">
      <c r="A27" s="72" t="s">
        <v>102</v>
      </c>
      <c r="B27" s="73">
        <v>3182</v>
      </c>
      <c r="C27" s="120">
        <v>50</v>
      </c>
      <c r="D27" s="75">
        <v>84</v>
      </c>
      <c r="E27" s="146">
        <v>45809</v>
      </c>
      <c r="F27" s="73">
        <v>18150</v>
      </c>
      <c r="G27" s="73">
        <v>4300</v>
      </c>
      <c r="H27" s="77">
        <v>13850</v>
      </c>
      <c r="I27" s="73">
        <v>3182</v>
      </c>
      <c r="J27" s="72" t="s">
        <v>78</v>
      </c>
      <c r="K27" s="72" t="s">
        <v>81</v>
      </c>
      <c r="L27" s="72" t="s">
        <v>110</v>
      </c>
      <c r="M27" s="35" t="s">
        <v>212</v>
      </c>
      <c r="N27" s="72" t="s">
        <v>223</v>
      </c>
      <c r="O27" s="72" t="s">
        <v>224</v>
      </c>
      <c r="P27" s="72"/>
      <c r="Q27" s="72">
        <v>725.726</v>
      </c>
      <c r="R27" s="72" t="s">
        <v>216</v>
      </c>
      <c r="S27" s="72"/>
      <c r="T27" s="72" t="s">
        <v>110</v>
      </c>
      <c r="U27" s="68" t="str">
        <f>Таблица310[[#This Row],[Регистратор.Номенклатура]]</f>
        <v>Оскар</v>
      </c>
      <c r="V27" s="78">
        <f>26*Таблица310[[#This Row],[Регистратор.Вес нетто]]/69140</f>
        <v>1.6170089673126988</v>
      </c>
      <c r="W27" s="35" t="s">
        <v>44</v>
      </c>
      <c r="X27" s="35" t="s">
        <v>19</v>
      </c>
      <c r="Y27" s="72">
        <v>4</v>
      </c>
      <c r="Z27" s="71">
        <v>45809</v>
      </c>
      <c r="AA27" s="40"/>
      <c r="AB27" s="40"/>
      <c r="AC27" s="40" t="s">
        <v>419</v>
      </c>
      <c r="AD27" s="40" t="s">
        <v>511</v>
      </c>
      <c r="AE27" s="40">
        <v>84</v>
      </c>
      <c r="AF27" s="103">
        <v>45809</v>
      </c>
      <c r="AG27" s="40">
        <v>14</v>
      </c>
      <c r="AH27" s="40">
        <f>VLOOKUP(Таблица310[[#This Row],[№ акта]],'Степень зрелости 2025'!$H$13:$I$583,2,FALSE)</f>
        <v>50</v>
      </c>
      <c r="AI27" s="40" t="str">
        <f>VLOOKUP(Таблица310[[#This Row],[№ акта]],$AQ$1:$AT$594,2,FALSE)</f>
        <v>А-44</v>
      </c>
      <c r="AJ27" s="40" t="str">
        <f>Таблица310[[#This Row],[Регистратор.Номенклатура]]</f>
        <v>Оскар</v>
      </c>
      <c r="AK27" s="40" t="str">
        <f>VLOOKUP(Таблица310[[#This Row],[№ акта]],$AQ$1:$AT$594,4,FALSE)</f>
        <v>ГРК собственные семена (богара)</v>
      </c>
      <c r="AL27" s="45">
        <f>VLOOKUP(Таблица310[[#This Row],[№ акта]],$AQ$1:$AT$594,3,FALSE)</f>
        <v>1.6170089673126988</v>
      </c>
      <c r="AM27" s="40" t="str">
        <f>IF(Таблица310[[#This Row],[Площадь уборки, га]]=Таблица310[[#This Row],[Площадь уборки до корр]],"нет","да")</f>
        <v>нет</v>
      </c>
      <c r="AN27" s="45">
        <f>Таблица310[[#This Row],[Площадь уборки до корр]]-Таблица310[[#This Row],[Площадь уборки, га]]</f>
        <v>0</v>
      </c>
      <c r="AQ27">
        <v>84</v>
      </c>
      <c r="AR27" t="s">
        <v>110</v>
      </c>
      <c r="AS27">
        <v>1.6170089673126988</v>
      </c>
      <c r="AT27" t="s">
        <v>44</v>
      </c>
    </row>
    <row r="28" spans="1:46" ht="45" hidden="1" x14ac:dyDescent="0.25">
      <c r="A28" s="72" t="s">
        <v>102</v>
      </c>
      <c r="B28" s="73">
        <v>6361.8</v>
      </c>
      <c r="C28" s="120">
        <v>48</v>
      </c>
      <c r="D28" s="75">
        <v>85</v>
      </c>
      <c r="E28" s="146">
        <v>45809</v>
      </c>
      <c r="F28" s="73">
        <v>23060</v>
      </c>
      <c r="G28" s="73">
        <v>9220</v>
      </c>
      <c r="H28" s="77">
        <v>13840</v>
      </c>
      <c r="I28" s="73">
        <v>6361.8</v>
      </c>
      <c r="J28" s="72" t="s">
        <v>78</v>
      </c>
      <c r="K28" s="72" t="s">
        <v>81</v>
      </c>
      <c r="L28" s="72" t="s">
        <v>110</v>
      </c>
      <c r="M28" s="35" t="s">
        <v>212</v>
      </c>
      <c r="N28" s="72" t="s">
        <v>213</v>
      </c>
      <c r="O28" s="72" t="s">
        <v>214</v>
      </c>
      <c r="P28" s="72"/>
      <c r="Q28" s="72" t="s">
        <v>215</v>
      </c>
      <c r="R28" s="72" t="s">
        <v>216</v>
      </c>
      <c r="S28" s="72"/>
      <c r="T28" s="72" t="s">
        <v>110</v>
      </c>
      <c r="U28" s="68" t="str">
        <f>Таблица310[[#This Row],[Регистратор.Номенклатура]]</f>
        <v>Оскар</v>
      </c>
      <c r="V28" s="78">
        <f>26*Таблица310[[#This Row],[Регистратор.Вес нетто]]/69140</f>
        <v>3.4671680647960659</v>
      </c>
      <c r="W28" s="35" t="s">
        <v>44</v>
      </c>
      <c r="X28" s="35" t="s">
        <v>19</v>
      </c>
      <c r="Y28" s="72">
        <v>4</v>
      </c>
      <c r="Z28" s="71">
        <v>45809</v>
      </c>
      <c r="AA28" s="40"/>
      <c r="AB28" s="40"/>
      <c r="AC28" s="40" t="s">
        <v>419</v>
      </c>
      <c r="AD28" s="40" t="s">
        <v>511</v>
      </c>
      <c r="AE28" s="40">
        <v>85</v>
      </c>
      <c r="AF28" s="103">
        <v>45809</v>
      </c>
      <c r="AG28" s="40">
        <v>15</v>
      </c>
      <c r="AH28" s="40">
        <f>VLOOKUP(Таблица310[[#This Row],[№ акта]],'Степень зрелости 2025'!$H$13:$I$583,2,FALSE)</f>
        <v>48</v>
      </c>
      <c r="AI28" s="40" t="str">
        <f>VLOOKUP(Таблица310[[#This Row],[№ акта]],$AQ$1:$AT$594,2,FALSE)</f>
        <v>А-44</v>
      </c>
      <c r="AJ28" s="40" t="str">
        <f>Таблица310[[#This Row],[Регистратор.Номенклатура]]</f>
        <v>Оскар</v>
      </c>
      <c r="AK28" s="40" t="str">
        <f>VLOOKUP(Таблица310[[#This Row],[№ акта]],$AQ$1:$AT$594,4,FALSE)</f>
        <v>ГРК собственные семена (богара)</v>
      </c>
      <c r="AL28" s="45">
        <f>VLOOKUP(Таблица310[[#This Row],[№ акта]],$AQ$1:$AT$594,3,FALSE)</f>
        <v>3.4671680647960659</v>
      </c>
      <c r="AM28" s="40" t="str">
        <f>IF(Таблица310[[#This Row],[Площадь уборки, га]]=Таблица310[[#This Row],[Площадь уборки до корр]],"нет","да")</f>
        <v>нет</v>
      </c>
      <c r="AN28" s="45">
        <f>Таблица310[[#This Row],[Площадь уборки до корр]]-Таблица310[[#This Row],[Площадь уборки, га]]</f>
        <v>0</v>
      </c>
      <c r="AQ28">
        <v>85</v>
      </c>
      <c r="AR28" t="s">
        <v>110</v>
      </c>
      <c r="AS28">
        <v>3.4671680647960659</v>
      </c>
      <c r="AT28" t="s">
        <v>44</v>
      </c>
    </row>
    <row r="29" spans="1:46" ht="33.75" hidden="1" x14ac:dyDescent="0.25">
      <c r="A29" s="72" t="s">
        <v>102</v>
      </c>
      <c r="B29" s="73">
        <v>11319</v>
      </c>
      <c r="C29" s="120">
        <v>56</v>
      </c>
      <c r="D29" s="75">
        <v>86</v>
      </c>
      <c r="E29" s="146">
        <v>45809</v>
      </c>
      <c r="F29" s="73">
        <v>28520</v>
      </c>
      <c r="G29" s="73">
        <v>13720</v>
      </c>
      <c r="H29" s="77">
        <v>14800</v>
      </c>
      <c r="I29" s="73">
        <v>11319</v>
      </c>
      <c r="J29" s="72" t="s">
        <v>105</v>
      </c>
      <c r="K29" s="72" t="s">
        <v>21</v>
      </c>
      <c r="L29" s="72" t="s">
        <v>460</v>
      </c>
      <c r="M29" s="35" t="s">
        <v>262</v>
      </c>
      <c r="N29" s="72" t="s">
        <v>263</v>
      </c>
      <c r="O29" s="72" t="s">
        <v>264</v>
      </c>
      <c r="P29" s="72"/>
      <c r="Q29" s="72" t="s">
        <v>265</v>
      </c>
      <c r="R29" s="72" t="s">
        <v>266</v>
      </c>
      <c r="S29" s="72"/>
      <c r="T29" s="80" t="s">
        <v>417</v>
      </c>
      <c r="U29" s="68" t="str">
        <f>Таблица310[[#This Row],[Регистратор.Номенклатура]]</f>
        <v>Преладо</v>
      </c>
      <c r="V29" s="78">
        <f>27*Таблица310[[#This Row],[Регистратор.Вес нетто]]/137050</f>
        <v>2.7029551258664721</v>
      </c>
      <c r="W29" s="72" t="s">
        <v>43</v>
      </c>
      <c r="X29" s="72" t="s">
        <v>19</v>
      </c>
      <c r="Y29" s="72">
        <v>3</v>
      </c>
      <c r="Z29" s="71">
        <v>45809</v>
      </c>
      <c r="AA29" s="40"/>
      <c r="AB29" s="40"/>
      <c r="AC29" s="40" t="s">
        <v>724</v>
      </c>
      <c r="AD29" s="40" t="s">
        <v>511</v>
      </c>
      <c r="AE29" s="40">
        <v>86</v>
      </c>
      <c r="AF29" s="103">
        <v>45809</v>
      </c>
      <c r="AG29" s="40">
        <v>65912</v>
      </c>
      <c r="AH29" s="40">
        <f>VLOOKUP(Таблица310[[#This Row],[№ акта]],'Степень зрелости 2025'!$H$13:$I$583,2,FALSE)</f>
        <v>56</v>
      </c>
      <c r="AI29" s="40" t="str">
        <f>VLOOKUP(Таблица310[[#This Row],[№ акта]],$AQ$1:$AT$594,2,FALSE)</f>
        <v xml:space="preserve"> 2/4</v>
      </c>
      <c r="AJ29" s="40" t="str">
        <f>Таблица310[[#This Row],[Регистратор.Номенклатура]]</f>
        <v>Преладо</v>
      </c>
      <c r="AK29" s="40" t="str">
        <f>VLOOKUP(Таблица310[[#This Row],[№ акта]],$AQ$1:$AT$594,4,FALSE)</f>
        <v>Учхоз Кубань (богара)</v>
      </c>
      <c r="AL29" s="45">
        <f>VLOOKUP(Таблица310[[#This Row],[№ акта]],$AQ$1:$AT$594,3,FALSE)</f>
        <v>2.7029551258664721</v>
      </c>
      <c r="AM29" s="40" t="str">
        <f>IF(Таблица310[[#This Row],[Площадь уборки, га]]=Таблица310[[#This Row],[Площадь уборки до корр]],"нет","да")</f>
        <v>нет</v>
      </c>
      <c r="AN29" s="45">
        <f>Таблица310[[#This Row],[Площадь уборки до корр]]-Таблица310[[#This Row],[Площадь уборки, га]]</f>
        <v>0</v>
      </c>
      <c r="AQ29">
        <v>86</v>
      </c>
      <c r="AR29" t="s">
        <v>417</v>
      </c>
      <c r="AS29">
        <v>2.7029551258664721</v>
      </c>
      <c r="AT29" t="s">
        <v>43</v>
      </c>
    </row>
    <row r="30" spans="1:46" ht="45" hidden="1" x14ac:dyDescent="0.25">
      <c r="A30" s="72" t="s">
        <v>102</v>
      </c>
      <c r="B30" s="73">
        <f>Таблица310[[#This Row],[Регистратор.Вес чистый]]</f>
        <v>10166.4</v>
      </c>
      <c r="C30" s="120">
        <v>53</v>
      </c>
      <c r="D30" s="75">
        <v>87</v>
      </c>
      <c r="E30" s="146">
        <v>45809</v>
      </c>
      <c r="F30" s="73">
        <v>27950</v>
      </c>
      <c r="G30" s="73">
        <v>14120</v>
      </c>
      <c r="H30" s="77">
        <v>13830</v>
      </c>
      <c r="I30" s="73">
        <v>10166.4</v>
      </c>
      <c r="J30" s="72" t="s">
        <v>78</v>
      </c>
      <c r="K30" s="72" t="s">
        <v>81</v>
      </c>
      <c r="L30" s="72" t="s">
        <v>110</v>
      </c>
      <c r="M30" s="35" t="s">
        <v>212</v>
      </c>
      <c r="N30" s="72"/>
      <c r="O30" s="72"/>
      <c r="P30" s="72"/>
      <c r="Q30" s="72"/>
      <c r="R30" s="72" t="s">
        <v>216</v>
      </c>
      <c r="S30" s="72"/>
      <c r="T30" s="72" t="s">
        <v>110</v>
      </c>
      <c r="U30" s="68" t="str">
        <f>Таблица310[[#This Row],[Регистратор.Номенклатура]]</f>
        <v>Оскар</v>
      </c>
      <c r="V30" s="78">
        <f>26*Таблица310[[#This Row],[Регистратор.Вес нетто]]/69140</f>
        <v>5.3098061903384437</v>
      </c>
      <c r="W30" s="35" t="s">
        <v>44</v>
      </c>
      <c r="X30" s="35" t="s">
        <v>19</v>
      </c>
      <c r="Y30" s="72">
        <v>4</v>
      </c>
      <c r="Z30" s="71">
        <v>45809</v>
      </c>
      <c r="AA30" s="40"/>
      <c r="AB30" s="40"/>
      <c r="AC30" s="40" t="s">
        <v>724</v>
      </c>
      <c r="AD30" s="40" t="s">
        <v>511</v>
      </c>
      <c r="AE30" s="40">
        <v>87</v>
      </c>
      <c r="AF30" s="103">
        <v>45809</v>
      </c>
      <c r="AG30" s="40">
        <v>16</v>
      </c>
      <c r="AH30" s="40">
        <f>VLOOKUP(Таблица310[[#This Row],[№ акта]],'Степень зрелости 2025'!$H$13:$I$583,2,FALSE)</f>
        <v>53</v>
      </c>
      <c r="AI30" s="40" t="str">
        <f>VLOOKUP(Таблица310[[#This Row],[№ акта]],$AQ$1:$AT$594,2,FALSE)</f>
        <v>А-44</v>
      </c>
      <c r="AJ30" s="40" t="str">
        <f>Таблица310[[#This Row],[Регистратор.Номенклатура]]</f>
        <v>Оскар</v>
      </c>
      <c r="AK30" s="40" t="str">
        <f>VLOOKUP(Таблица310[[#This Row],[№ акта]],$AQ$1:$AT$594,4,FALSE)</f>
        <v>ГРК собственные семена (богара)</v>
      </c>
      <c r="AL30" s="45">
        <f>VLOOKUP(Таблица310[[#This Row],[№ акта]],$AQ$1:$AT$594,3,FALSE)</f>
        <v>5.3098061903384437</v>
      </c>
      <c r="AM30" s="40" t="str">
        <f>IF(Таблица310[[#This Row],[Площадь уборки, га]]=Таблица310[[#This Row],[Площадь уборки до корр]],"нет","да")</f>
        <v>нет</v>
      </c>
      <c r="AN30" s="45">
        <f>Таблица310[[#This Row],[Площадь уборки до корр]]-Таблица310[[#This Row],[Площадь уборки, га]]</f>
        <v>0</v>
      </c>
      <c r="AQ30">
        <v>87</v>
      </c>
      <c r="AR30" t="s">
        <v>110</v>
      </c>
      <c r="AS30">
        <v>5.3098061903384437</v>
      </c>
      <c r="AT30" t="s">
        <v>44</v>
      </c>
    </row>
    <row r="31" spans="1:46" ht="33.75" hidden="1" x14ac:dyDescent="0.25">
      <c r="A31" s="72" t="s">
        <v>102</v>
      </c>
      <c r="B31" s="73">
        <v>10631.4</v>
      </c>
      <c r="C31" s="120">
        <v>55</v>
      </c>
      <c r="D31" s="75">
        <v>88</v>
      </c>
      <c r="E31" s="146">
        <v>45809</v>
      </c>
      <c r="F31" s="73">
        <v>27720</v>
      </c>
      <c r="G31" s="73">
        <v>13630</v>
      </c>
      <c r="H31" s="77">
        <v>14090</v>
      </c>
      <c r="I31" s="73">
        <v>10631.4</v>
      </c>
      <c r="J31" s="72" t="s">
        <v>105</v>
      </c>
      <c r="K31" s="72" t="s">
        <v>21</v>
      </c>
      <c r="L31" s="72" t="s">
        <v>460</v>
      </c>
      <c r="M31" s="35" t="s">
        <v>79</v>
      </c>
      <c r="N31" s="72" t="s">
        <v>259</v>
      </c>
      <c r="O31" s="72" t="s">
        <v>260</v>
      </c>
      <c r="P31" s="72"/>
      <c r="Q31" s="72" t="s">
        <v>261</v>
      </c>
      <c r="R31" s="72" t="s">
        <v>80</v>
      </c>
      <c r="S31" s="72"/>
      <c r="T31" s="80" t="s">
        <v>417</v>
      </c>
      <c r="U31" s="68" t="str">
        <f>Таблица310[[#This Row],[Регистратор.Номенклатура]]</f>
        <v>Преладо</v>
      </c>
      <c r="V31" s="78">
        <f>27*Таблица310[[#This Row],[Регистратор.Вес нетто]]/137050</f>
        <v>2.6852243706676395</v>
      </c>
      <c r="W31" s="72" t="s">
        <v>43</v>
      </c>
      <c r="X31" s="72" t="s">
        <v>19</v>
      </c>
      <c r="Y31" s="72">
        <v>3</v>
      </c>
      <c r="Z31" s="71">
        <v>45809</v>
      </c>
      <c r="AA31" s="40"/>
      <c r="AB31" s="40"/>
      <c r="AC31" s="40" t="s">
        <v>724</v>
      </c>
      <c r="AD31" s="40" t="s">
        <v>511</v>
      </c>
      <c r="AE31" s="40">
        <v>88</v>
      </c>
      <c r="AF31" s="103">
        <v>45809</v>
      </c>
      <c r="AG31" s="40">
        <v>65914</v>
      </c>
      <c r="AH31" s="40">
        <f>VLOOKUP(Таблица310[[#This Row],[№ акта]],'Степень зрелости 2025'!$H$13:$I$583,2,FALSE)</f>
        <v>55</v>
      </c>
      <c r="AI31" s="40" t="str">
        <f>VLOOKUP(Таблица310[[#This Row],[№ акта]],$AQ$1:$AT$594,2,FALSE)</f>
        <v xml:space="preserve"> 2/4</v>
      </c>
      <c r="AJ31" s="40" t="str">
        <f>Таблица310[[#This Row],[Регистратор.Номенклатура]]</f>
        <v>Преладо</v>
      </c>
      <c r="AK31" s="40" t="str">
        <f>VLOOKUP(Таблица310[[#This Row],[№ акта]],$AQ$1:$AT$594,4,FALSE)</f>
        <v>Учхоз Кубань (богара)</v>
      </c>
      <c r="AL31" s="45">
        <f>VLOOKUP(Таблица310[[#This Row],[№ акта]],$AQ$1:$AT$594,3,FALSE)</f>
        <v>2.6852243706676395</v>
      </c>
      <c r="AM31" s="40" t="str">
        <f>IF(Таблица310[[#This Row],[Площадь уборки, га]]=Таблица310[[#This Row],[Площадь уборки до корр]],"нет","да")</f>
        <v>нет</v>
      </c>
      <c r="AN31" s="45">
        <f>Таблица310[[#This Row],[Площадь уборки до корр]]-Таблица310[[#This Row],[Площадь уборки, га]]</f>
        <v>0</v>
      </c>
      <c r="AQ31">
        <v>88</v>
      </c>
      <c r="AR31" t="s">
        <v>417</v>
      </c>
      <c r="AS31">
        <v>2.6852243706676395</v>
      </c>
      <c r="AT31" t="s">
        <v>43</v>
      </c>
    </row>
    <row r="32" spans="1:46" ht="33.75" hidden="1" x14ac:dyDescent="0.25">
      <c r="A32" s="72" t="s">
        <v>102</v>
      </c>
      <c r="B32" s="73">
        <v>10665</v>
      </c>
      <c r="C32" s="120">
        <v>52</v>
      </c>
      <c r="D32" s="75">
        <v>89</v>
      </c>
      <c r="E32" s="146">
        <v>45809</v>
      </c>
      <c r="F32" s="73">
        <v>29140</v>
      </c>
      <c r="G32" s="73">
        <v>13500</v>
      </c>
      <c r="H32" s="77">
        <v>15640</v>
      </c>
      <c r="I32" s="73">
        <v>10665</v>
      </c>
      <c r="J32" s="72" t="s">
        <v>105</v>
      </c>
      <c r="K32" s="72" t="s">
        <v>21</v>
      </c>
      <c r="L32" s="72" t="s">
        <v>460</v>
      </c>
      <c r="M32" s="35" t="s">
        <v>244</v>
      </c>
      <c r="N32" s="72" t="s">
        <v>245</v>
      </c>
      <c r="O32" s="72" t="s">
        <v>246</v>
      </c>
      <c r="P32" s="72"/>
      <c r="Q32" s="72" t="s">
        <v>247</v>
      </c>
      <c r="R32" s="72" t="s">
        <v>248</v>
      </c>
      <c r="S32" s="72"/>
      <c r="T32" s="80" t="s">
        <v>417</v>
      </c>
      <c r="U32" s="68" t="str">
        <f>Таблица310[[#This Row],[Регистратор.Номенклатура]]</f>
        <v>Преладо</v>
      </c>
      <c r="V32" s="78">
        <f>27*Таблица310[[#This Row],[Регистратор.Вес нетто]]/137050</f>
        <v>2.6596132798248813</v>
      </c>
      <c r="W32" s="72" t="s">
        <v>43</v>
      </c>
      <c r="X32" s="72" t="s">
        <v>19</v>
      </c>
      <c r="Y32" s="72">
        <v>3</v>
      </c>
      <c r="Z32" s="71">
        <v>45809</v>
      </c>
      <c r="AA32" s="40"/>
      <c r="AB32" s="40"/>
      <c r="AC32" s="40" t="s">
        <v>419</v>
      </c>
      <c r="AD32" s="40" t="s">
        <v>511</v>
      </c>
      <c r="AE32" s="40">
        <v>89</v>
      </c>
      <c r="AF32" s="103">
        <v>45809</v>
      </c>
      <c r="AG32" s="40">
        <v>65915</v>
      </c>
      <c r="AH32" s="40">
        <f>VLOOKUP(Таблица310[[#This Row],[№ акта]],'Степень зрелости 2025'!$H$13:$I$583,2,FALSE)</f>
        <v>52</v>
      </c>
      <c r="AI32" s="40" t="str">
        <f>VLOOKUP(Таблица310[[#This Row],[№ акта]],$AQ$1:$AT$594,2,FALSE)</f>
        <v xml:space="preserve"> 2/4</v>
      </c>
      <c r="AJ32" s="40" t="str">
        <f>Таблица310[[#This Row],[Регистратор.Номенклатура]]</f>
        <v>Преладо</v>
      </c>
      <c r="AK32" s="40" t="str">
        <f>VLOOKUP(Таблица310[[#This Row],[№ акта]],$AQ$1:$AT$594,4,FALSE)</f>
        <v>Учхоз Кубань (богара)</v>
      </c>
      <c r="AL32" s="45">
        <f>VLOOKUP(Таблица310[[#This Row],[№ акта]],$AQ$1:$AT$594,3,FALSE)</f>
        <v>2.6596132798248813</v>
      </c>
      <c r="AM32" s="40" t="str">
        <f>IF(Таблица310[[#This Row],[Площадь уборки, га]]=Таблица310[[#This Row],[Площадь уборки до корр]],"нет","да")</f>
        <v>нет</v>
      </c>
      <c r="AN32" s="45">
        <f>Таблица310[[#This Row],[Площадь уборки до корр]]-Таблица310[[#This Row],[Площадь уборки, га]]</f>
        <v>0</v>
      </c>
      <c r="AQ32">
        <v>89</v>
      </c>
      <c r="AR32" t="s">
        <v>417</v>
      </c>
      <c r="AS32">
        <v>2.6596132798248813</v>
      </c>
      <c r="AT32" t="s">
        <v>43</v>
      </c>
    </row>
    <row r="33" spans="1:46" ht="33.75" hidden="1" x14ac:dyDescent="0.25">
      <c r="A33" s="72" t="s">
        <v>102</v>
      </c>
      <c r="B33" s="73">
        <v>11478.9</v>
      </c>
      <c r="C33" s="120">
        <v>51</v>
      </c>
      <c r="D33" s="75">
        <v>90</v>
      </c>
      <c r="E33" s="146">
        <v>45809</v>
      </c>
      <c r="F33" s="73">
        <v>28320</v>
      </c>
      <c r="G33" s="73">
        <v>13830</v>
      </c>
      <c r="H33" s="77">
        <v>14490</v>
      </c>
      <c r="I33" s="73">
        <v>11478.9</v>
      </c>
      <c r="J33" s="72" t="s">
        <v>105</v>
      </c>
      <c r="K33" s="72" t="s">
        <v>21</v>
      </c>
      <c r="L33" s="72" t="s">
        <v>460</v>
      </c>
      <c r="M33" s="35" t="s">
        <v>239</v>
      </c>
      <c r="N33" s="72" t="s">
        <v>240</v>
      </c>
      <c r="O33" s="72" t="s">
        <v>241</v>
      </c>
      <c r="P33" s="72"/>
      <c r="Q33" s="72" t="s">
        <v>242</v>
      </c>
      <c r="R33" s="72" t="s">
        <v>243</v>
      </c>
      <c r="S33" s="72"/>
      <c r="T33" s="80" t="s">
        <v>417</v>
      </c>
      <c r="U33" s="68" t="str">
        <f>Таблица310[[#This Row],[Регистратор.Номенклатура]]</f>
        <v>Преладо</v>
      </c>
      <c r="V33" s="78">
        <f>27*Таблица310[[#This Row],[Регистратор.Вес нетто]]/137050</f>
        <v>2.7246260488872673</v>
      </c>
      <c r="W33" s="72" t="s">
        <v>43</v>
      </c>
      <c r="X33" s="72" t="s">
        <v>19</v>
      </c>
      <c r="Y33" s="72">
        <v>3</v>
      </c>
      <c r="Z33" s="71">
        <v>45809</v>
      </c>
      <c r="AA33" s="40"/>
      <c r="AB33" s="40"/>
      <c r="AC33" s="40" t="s">
        <v>419</v>
      </c>
      <c r="AD33" s="40" t="s">
        <v>511</v>
      </c>
      <c r="AE33" s="40">
        <v>90</v>
      </c>
      <c r="AF33" s="103">
        <v>45809</v>
      </c>
      <c r="AG33" s="40">
        <v>65916</v>
      </c>
      <c r="AH33" s="40">
        <f>VLOOKUP(Таблица310[[#This Row],[№ акта]],'Степень зрелости 2025'!$H$13:$I$583,2,FALSE)</f>
        <v>51</v>
      </c>
      <c r="AI33" s="40" t="str">
        <f>VLOOKUP(Таблица310[[#This Row],[№ акта]],$AQ$1:$AT$594,2,FALSE)</f>
        <v xml:space="preserve"> 2/4</v>
      </c>
      <c r="AJ33" s="40" t="str">
        <f>Таблица310[[#This Row],[Регистратор.Номенклатура]]</f>
        <v>Преладо</v>
      </c>
      <c r="AK33" s="40" t="str">
        <f>VLOOKUP(Таблица310[[#This Row],[№ акта]],$AQ$1:$AT$594,4,FALSE)</f>
        <v>Учхоз Кубань (богара)</v>
      </c>
      <c r="AL33" s="45">
        <f>VLOOKUP(Таблица310[[#This Row],[№ акта]],$AQ$1:$AT$594,3,FALSE)</f>
        <v>2.7246260488872673</v>
      </c>
      <c r="AM33" s="40" t="str">
        <f>IF(Таблица310[[#This Row],[Площадь уборки, га]]=Таблица310[[#This Row],[Площадь уборки до корр]],"нет","да")</f>
        <v>нет</v>
      </c>
      <c r="AN33" s="45">
        <f>Таблица310[[#This Row],[Площадь уборки до корр]]-Таблица310[[#This Row],[Площадь уборки, га]]</f>
        <v>0</v>
      </c>
      <c r="AQ33">
        <v>90</v>
      </c>
      <c r="AR33" t="s">
        <v>417</v>
      </c>
      <c r="AS33">
        <v>2.7246260488872673</v>
      </c>
      <c r="AT33" t="s">
        <v>43</v>
      </c>
    </row>
    <row r="34" spans="1:46" ht="33.75" hidden="1" x14ac:dyDescent="0.25">
      <c r="A34" s="40" t="s">
        <v>102</v>
      </c>
      <c r="B34" s="41">
        <v>10826.4</v>
      </c>
      <c r="C34" s="121">
        <v>50</v>
      </c>
      <c r="D34" s="42">
        <v>91</v>
      </c>
      <c r="E34" s="147">
        <v>45809</v>
      </c>
      <c r="F34" s="41">
        <v>29030</v>
      </c>
      <c r="G34" s="41">
        <v>13880</v>
      </c>
      <c r="H34" s="69">
        <v>15150</v>
      </c>
      <c r="I34" s="41">
        <v>10826.4</v>
      </c>
      <c r="J34" s="40" t="s">
        <v>105</v>
      </c>
      <c r="K34" s="40" t="s">
        <v>21</v>
      </c>
      <c r="L34" s="40" t="s">
        <v>460</v>
      </c>
      <c r="M34" s="35" t="s">
        <v>195</v>
      </c>
      <c r="N34" s="40" t="s">
        <v>196</v>
      </c>
      <c r="O34" s="40" t="s">
        <v>197</v>
      </c>
      <c r="P34" s="40"/>
      <c r="Q34" s="40" t="s">
        <v>198</v>
      </c>
      <c r="R34" s="40" t="s">
        <v>199</v>
      </c>
      <c r="S34" s="40" t="s">
        <v>325</v>
      </c>
      <c r="T34" s="70" t="s">
        <v>417</v>
      </c>
      <c r="U34" s="68" t="str">
        <f>Таблица310[[#This Row],[Регистратор.Номенклатура]]</f>
        <v>Преладо</v>
      </c>
      <c r="V34" s="78">
        <f>27*Таблица310[[#This Row],[Регистратор.Вес нетто]]/137050</f>
        <v>2.7344764684421743</v>
      </c>
      <c r="W34" s="40" t="s">
        <v>43</v>
      </c>
      <c r="X34" s="40" t="s">
        <v>19</v>
      </c>
      <c r="Y34" s="40">
        <v>3</v>
      </c>
      <c r="Z34" s="71">
        <v>45809</v>
      </c>
      <c r="AA34" s="40"/>
      <c r="AB34" s="40"/>
      <c r="AC34" s="40" t="s">
        <v>419</v>
      </c>
      <c r="AD34" s="40" t="s">
        <v>511</v>
      </c>
      <c r="AE34" s="40">
        <v>91</v>
      </c>
      <c r="AF34" s="103">
        <v>45809</v>
      </c>
      <c r="AG34" s="40">
        <v>65917</v>
      </c>
      <c r="AH34" s="40">
        <f>VLOOKUP(Таблица310[[#This Row],[№ акта]],'Степень зрелости 2025'!$H$13:$I$583,2,FALSE)</f>
        <v>50</v>
      </c>
      <c r="AI34" s="40" t="str">
        <f>VLOOKUP(Таблица310[[#This Row],[№ акта]],$AQ$1:$AT$594,2,FALSE)</f>
        <v xml:space="preserve"> 2/4</v>
      </c>
      <c r="AJ34" s="40" t="str">
        <f>Таблица310[[#This Row],[Регистратор.Номенклатура]]</f>
        <v>Преладо</v>
      </c>
      <c r="AK34" s="40" t="str">
        <f>VLOOKUP(Таблица310[[#This Row],[№ акта]],$AQ$1:$AT$594,4,FALSE)</f>
        <v>Учхоз Кубань (богара)</v>
      </c>
      <c r="AL34" s="45">
        <f>VLOOKUP(Таблица310[[#This Row],[№ акта]],$AQ$1:$AT$594,3,FALSE)</f>
        <v>2.7344764684421743</v>
      </c>
      <c r="AM34" s="40" t="str">
        <f>IF(Таблица310[[#This Row],[Площадь уборки, га]]=Таблица310[[#This Row],[Площадь уборки до корр]],"нет","да")</f>
        <v>нет</v>
      </c>
      <c r="AN34" s="45">
        <f>Таблица310[[#This Row],[Площадь уборки до корр]]-Таблица310[[#This Row],[Площадь уборки, га]]</f>
        <v>0</v>
      </c>
      <c r="AQ34">
        <v>91</v>
      </c>
      <c r="AR34" t="s">
        <v>417</v>
      </c>
      <c r="AS34">
        <v>2.7344764684421743</v>
      </c>
      <c r="AT34" t="s">
        <v>43</v>
      </c>
    </row>
    <row r="35" spans="1:46" ht="23.45" hidden="1" customHeight="1" x14ac:dyDescent="0.25">
      <c r="A35" s="72" t="s">
        <v>102</v>
      </c>
      <c r="B35" s="73">
        <v>10052.1</v>
      </c>
      <c r="C35" s="120">
        <v>51</v>
      </c>
      <c r="D35" s="75">
        <v>92</v>
      </c>
      <c r="E35" s="146">
        <v>45809</v>
      </c>
      <c r="F35" s="73">
        <v>29310</v>
      </c>
      <c r="G35" s="73">
        <v>13770</v>
      </c>
      <c r="H35" s="77">
        <v>15540</v>
      </c>
      <c r="I35" s="73">
        <v>10052.1</v>
      </c>
      <c r="J35" s="72" t="s">
        <v>105</v>
      </c>
      <c r="K35" s="72" t="s">
        <v>21</v>
      </c>
      <c r="L35" s="72" t="s">
        <v>460</v>
      </c>
      <c r="M35" s="35" t="s">
        <v>234</v>
      </c>
      <c r="N35" s="72" t="s">
        <v>235</v>
      </c>
      <c r="O35" s="72" t="s">
        <v>236</v>
      </c>
      <c r="P35" s="72"/>
      <c r="Q35" s="72" t="s">
        <v>237</v>
      </c>
      <c r="R35" s="72" t="s">
        <v>238</v>
      </c>
      <c r="S35" s="72"/>
      <c r="T35" s="80" t="s">
        <v>417</v>
      </c>
      <c r="U35" s="68" t="str">
        <f>Таблица310[[#This Row],[Регистратор.Номенклатура]]</f>
        <v>Преладо</v>
      </c>
      <c r="V35" s="78">
        <f>27*Таблица310[[#This Row],[Регистратор.Вес нетто]]/137050</f>
        <v>2.7128055454213791</v>
      </c>
      <c r="W35" s="72" t="s">
        <v>43</v>
      </c>
      <c r="X35" s="72" t="s">
        <v>19</v>
      </c>
      <c r="Y35" s="72">
        <v>3</v>
      </c>
      <c r="Z35" s="71">
        <v>45809</v>
      </c>
      <c r="AA35" s="40"/>
      <c r="AB35" s="40"/>
      <c r="AC35" s="40" t="s">
        <v>419</v>
      </c>
      <c r="AD35" s="40" t="s">
        <v>511</v>
      </c>
      <c r="AE35" s="40">
        <v>92</v>
      </c>
      <c r="AF35" s="103">
        <v>45809</v>
      </c>
      <c r="AG35" s="40">
        <v>65918</v>
      </c>
      <c r="AH35" s="40">
        <f>VLOOKUP(Таблица310[[#This Row],[№ акта]],'Степень зрелости 2025'!$H$13:$I$583,2,FALSE)</f>
        <v>51</v>
      </c>
      <c r="AI35" s="40" t="str">
        <f>VLOOKUP(Таблица310[[#This Row],[№ акта]],$AQ$1:$AT$594,2,FALSE)</f>
        <v xml:space="preserve"> 2/4</v>
      </c>
      <c r="AJ35" s="40" t="str">
        <f>Таблица310[[#This Row],[Регистратор.Номенклатура]]</f>
        <v>Преладо</v>
      </c>
      <c r="AK35" s="40" t="str">
        <f>VLOOKUP(Таблица310[[#This Row],[№ акта]],$AQ$1:$AT$594,4,FALSE)</f>
        <v>Учхоз Кубань (богара)</v>
      </c>
      <c r="AL35" s="45">
        <f>VLOOKUP(Таблица310[[#This Row],[№ акта]],$AQ$1:$AT$594,3,FALSE)</f>
        <v>2.7128055454213791</v>
      </c>
      <c r="AM35" s="40" t="str">
        <f>IF(Таблица310[[#This Row],[Площадь уборки, га]]=Таблица310[[#This Row],[Площадь уборки до корр]],"нет","да")</f>
        <v>нет</v>
      </c>
      <c r="AN35" s="45">
        <f>Таблица310[[#This Row],[Площадь уборки до корр]]-Таблица310[[#This Row],[Площадь уборки, га]]</f>
        <v>0</v>
      </c>
      <c r="AQ35">
        <v>92</v>
      </c>
      <c r="AR35" t="s">
        <v>417</v>
      </c>
      <c r="AS35">
        <v>2.7128055454213791</v>
      </c>
      <c r="AT35" t="s">
        <v>43</v>
      </c>
    </row>
    <row r="36" spans="1:46" ht="23.45" hidden="1" customHeight="1" x14ac:dyDescent="0.25">
      <c r="A36" s="72" t="s">
        <v>102</v>
      </c>
      <c r="B36" s="73">
        <v>8514.6</v>
      </c>
      <c r="C36" s="120">
        <v>51</v>
      </c>
      <c r="D36" s="75">
        <v>93</v>
      </c>
      <c r="E36" s="146">
        <v>45809</v>
      </c>
      <c r="F36" s="73">
        <v>26540</v>
      </c>
      <c r="G36" s="73">
        <v>12340</v>
      </c>
      <c r="H36" s="77">
        <v>14200</v>
      </c>
      <c r="I36" s="73">
        <v>8514.6</v>
      </c>
      <c r="J36" s="72" t="s">
        <v>78</v>
      </c>
      <c r="K36" s="72" t="s">
        <v>81</v>
      </c>
      <c r="L36" s="72" t="s">
        <v>110</v>
      </c>
      <c r="M36" s="35" t="s">
        <v>79</v>
      </c>
      <c r="N36" s="72" t="s">
        <v>231</v>
      </c>
      <c r="O36" s="72" t="s">
        <v>232</v>
      </c>
      <c r="P36" s="72"/>
      <c r="Q36" s="72" t="s">
        <v>233</v>
      </c>
      <c r="R36" s="72" t="s">
        <v>80</v>
      </c>
      <c r="S36" s="72"/>
      <c r="T36" s="72" t="s">
        <v>110</v>
      </c>
      <c r="U36" s="68" t="str">
        <f>Таблица310[[#This Row],[Регистратор.Номенклатура]]</f>
        <v>Оскар</v>
      </c>
      <c r="V36" s="78">
        <f>26*Таблица310[[#This Row],[Регистратор.Вес нетто]]/69140</f>
        <v>4.6404396875903959</v>
      </c>
      <c r="W36" s="35" t="s">
        <v>44</v>
      </c>
      <c r="X36" s="35" t="s">
        <v>19</v>
      </c>
      <c r="Y36" s="72">
        <v>4</v>
      </c>
      <c r="Z36" s="71">
        <v>45809</v>
      </c>
      <c r="AA36" s="40"/>
      <c r="AB36" s="40"/>
      <c r="AC36" s="40" t="s">
        <v>419</v>
      </c>
      <c r="AD36" s="40" t="s">
        <v>511</v>
      </c>
      <c r="AE36" s="40">
        <v>93</v>
      </c>
      <c r="AF36" s="103">
        <v>45809</v>
      </c>
      <c r="AG36" s="40">
        <v>17</v>
      </c>
      <c r="AH36" s="40">
        <f>VLOOKUP(Таблица310[[#This Row],[№ акта]],'Степень зрелости 2025'!$H$13:$I$583,2,FALSE)</f>
        <v>51</v>
      </c>
      <c r="AI36" s="40" t="str">
        <f>VLOOKUP(Таблица310[[#This Row],[№ акта]],$AQ$1:$AT$594,2,FALSE)</f>
        <v>А-44</v>
      </c>
      <c r="AJ36" s="40" t="str">
        <f>Таблица310[[#This Row],[Регистратор.Номенклатура]]</f>
        <v>Оскар</v>
      </c>
      <c r="AK36" s="40" t="str">
        <f>VLOOKUP(Таблица310[[#This Row],[№ акта]],$AQ$1:$AT$594,4,FALSE)</f>
        <v>ГРК собственные семена (богара)</v>
      </c>
      <c r="AL36" s="45">
        <f>VLOOKUP(Таблица310[[#This Row],[№ акта]],$AQ$1:$AT$594,3,FALSE)</f>
        <v>4.6404396875903959</v>
      </c>
      <c r="AM36" s="40" t="str">
        <f>IF(Таблица310[[#This Row],[Площадь уборки, га]]=Таблица310[[#This Row],[Площадь уборки до корр]],"нет","да")</f>
        <v>нет</v>
      </c>
      <c r="AN36" s="45">
        <f>Таблица310[[#This Row],[Площадь уборки до корр]]-Таблица310[[#This Row],[Площадь уборки, га]]</f>
        <v>0</v>
      </c>
      <c r="AQ36">
        <v>93</v>
      </c>
      <c r="AR36" t="s">
        <v>110</v>
      </c>
      <c r="AS36">
        <v>4.6404396875903959</v>
      </c>
      <c r="AT36" t="s">
        <v>44</v>
      </c>
    </row>
    <row r="37" spans="1:46" ht="23.45" hidden="1" customHeight="1" x14ac:dyDescent="0.25">
      <c r="A37" s="72" t="s">
        <v>102</v>
      </c>
      <c r="B37" s="73">
        <v>10252.5</v>
      </c>
      <c r="C37" s="120">
        <v>53</v>
      </c>
      <c r="D37" s="75">
        <v>94</v>
      </c>
      <c r="E37" s="146">
        <v>45809</v>
      </c>
      <c r="F37" s="73">
        <v>28810</v>
      </c>
      <c r="G37" s="73">
        <v>13670</v>
      </c>
      <c r="H37" s="77">
        <v>15140</v>
      </c>
      <c r="I37" s="73">
        <v>10252.5</v>
      </c>
      <c r="J37" s="72" t="s">
        <v>105</v>
      </c>
      <c r="K37" s="72" t="s">
        <v>21</v>
      </c>
      <c r="L37" s="72" t="s">
        <v>460</v>
      </c>
      <c r="M37" s="35" t="s">
        <v>249</v>
      </c>
      <c r="N37" s="72" t="s">
        <v>250</v>
      </c>
      <c r="O37" s="72" t="s">
        <v>251</v>
      </c>
      <c r="P37" s="72"/>
      <c r="Q37" s="72" t="s">
        <v>252</v>
      </c>
      <c r="R37" s="72" t="s">
        <v>253</v>
      </c>
      <c r="S37" s="72"/>
      <c r="T37" s="80" t="s">
        <v>417</v>
      </c>
      <c r="U37" s="68" t="str">
        <f>Таблица310[[#This Row],[Регистратор.Номенклатура]]</f>
        <v>Преладо</v>
      </c>
      <c r="V37" s="78">
        <f>27*Таблица310[[#This Row],[Регистратор.Вес нетто]]/137050</f>
        <v>2.6931047063115652</v>
      </c>
      <c r="W37" s="72" t="s">
        <v>43</v>
      </c>
      <c r="X37" s="72" t="s">
        <v>19</v>
      </c>
      <c r="Y37" s="72">
        <v>3</v>
      </c>
      <c r="Z37" s="71">
        <v>45809</v>
      </c>
      <c r="AA37" s="40"/>
      <c r="AB37" s="40"/>
      <c r="AC37" s="40" t="s">
        <v>724</v>
      </c>
      <c r="AD37" s="40" t="s">
        <v>511</v>
      </c>
      <c r="AE37" s="40">
        <v>94</v>
      </c>
      <c r="AF37" s="103">
        <v>45809</v>
      </c>
      <c r="AG37" s="40">
        <v>65919</v>
      </c>
      <c r="AH37" s="40">
        <f>VLOOKUP(Таблица310[[#This Row],[№ акта]],'Степень зрелости 2025'!$H$13:$I$583,2,FALSE)</f>
        <v>53</v>
      </c>
      <c r="AI37" s="40" t="str">
        <f>VLOOKUP(Таблица310[[#This Row],[№ акта]],$AQ$1:$AT$594,2,FALSE)</f>
        <v xml:space="preserve"> 2/4</v>
      </c>
      <c r="AJ37" s="40" t="str">
        <f>Таблица310[[#This Row],[Регистратор.Номенклатура]]</f>
        <v>Преладо</v>
      </c>
      <c r="AK37" s="40" t="str">
        <f>VLOOKUP(Таблица310[[#This Row],[№ акта]],$AQ$1:$AT$594,4,FALSE)</f>
        <v>Учхоз Кубань (богара)</v>
      </c>
      <c r="AL37" s="45">
        <f>VLOOKUP(Таблица310[[#This Row],[№ акта]],$AQ$1:$AT$594,3,FALSE)</f>
        <v>2.6931047063115652</v>
      </c>
      <c r="AM37" s="40" t="str">
        <f>IF(Таблица310[[#This Row],[Площадь уборки, га]]=Таблица310[[#This Row],[Площадь уборки до корр]],"нет","да")</f>
        <v>нет</v>
      </c>
      <c r="AN37" s="45">
        <f>Таблица310[[#This Row],[Площадь уборки до корр]]-Таблица310[[#This Row],[Площадь уборки, га]]</f>
        <v>0</v>
      </c>
      <c r="AQ37">
        <v>94</v>
      </c>
      <c r="AR37" t="s">
        <v>417</v>
      </c>
      <c r="AS37">
        <v>2.6931047063115652</v>
      </c>
      <c r="AT37" t="s">
        <v>43</v>
      </c>
    </row>
    <row r="38" spans="1:46" ht="23.45" hidden="1" customHeight="1" x14ac:dyDescent="0.25">
      <c r="A38" s="72" t="s">
        <v>102</v>
      </c>
      <c r="B38" s="73">
        <v>10472.799999999999</v>
      </c>
      <c r="C38" s="120">
        <v>53</v>
      </c>
      <c r="D38" s="75">
        <v>96</v>
      </c>
      <c r="E38" s="146">
        <v>45810</v>
      </c>
      <c r="F38" s="73">
        <v>28330</v>
      </c>
      <c r="G38" s="73">
        <v>13780</v>
      </c>
      <c r="H38" s="77">
        <v>14550</v>
      </c>
      <c r="I38" s="73">
        <v>10472.799999999999</v>
      </c>
      <c r="J38" s="72" t="s">
        <v>105</v>
      </c>
      <c r="K38" s="72" t="s">
        <v>21</v>
      </c>
      <c r="L38" s="72" t="s">
        <v>460</v>
      </c>
      <c r="M38" s="35" t="s">
        <v>254</v>
      </c>
      <c r="N38" s="72" t="s">
        <v>255</v>
      </c>
      <c r="O38" s="72" t="s">
        <v>256</v>
      </c>
      <c r="P38" s="72"/>
      <c r="Q38" s="72" t="s">
        <v>257</v>
      </c>
      <c r="R38" s="72" t="s">
        <v>258</v>
      </c>
      <c r="S38" s="72"/>
      <c r="T38" s="80" t="s">
        <v>417</v>
      </c>
      <c r="U38" s="68" t="str">
        <f>Таблица310[[#This Row],[Регистратор.Номенклатура]]</f>
        <v>Преладо</v>
      </c>
      <c r="V38" s="78">
        <f>27*Таблица310[[#This Row],[Регистратор.Вес нетто]]/137050</f>
        <v>2.7147756293323604</v>
      </c>
      <c r="W38" s="72" t="s">
        <v>43</v>
      </c>
      <c r="X38" s="72" t="s">
        <v>19</v>
      </c>
      <c r="Y38" s="72">
        <v>3</v>
      </c>
      <c r="Z38" s="71">
        <v>45809</v>
      </c>
      <c r="AA38" s="40"/>
      <c r="AB38" s="40"/>
      <c r="AC38" s="40" t="s">
        <v>724</v>
      </c>
      <c r="AD38" s="40" t="s">
        <v>511</v>
      </c>
      <c r="AE38" s="40">
        <v>96</v>
      </c>
      <c r="AF38" s="103">
        <v>45810</v>
      </c>
      <c r="AG38" s="40">
        <v>65920</v>
      </c>
      <c r="AH38" s="40">
        <f>VLOOKUP(Таблица310[[#This Row],[№ акта]],'Степень зрелости 2025'!$H$13:$I$583,2,FALSE)</f>
        <v>53</v>
      </c>
      <c r="AI38" s="40" t="str">
        <f>VLOOKUP(Таблица310[[#This Row],[№ акта]],$AQ$1:$AT$594,2,FALSE)</f>
        <v xml:space="preserve"> 2/4</v>
      </c>
      <c r="AJ38" s="40" t="str">
        <f>Таблица310[[#This Row],[Регистратор.Номенклатура]]</f>
        <v>Преладо</v>
      </c>
      <c r="AK38" s="40" t="str">
        <f>VLOOKUP(Таблица310[[#This Row],[№ акта]],$AQ$1:$AT$594,4,FALSE)</f>
        <v>Учхоз Кубань (богара)</v>
      </c>
      <c r="AL38" s="45">
        <f>VLOOKUP(Таблица310[[#This Row],[№ акта]],$AQ$1:$AT$594,3,FALSE)</f>
        <v>2.7147756293323604</v>
      </c>
      <c r="AM38" s="40" t="str">
        <f>IF(Таблица310[[#This Row],[Площадь уборки, га]]=Таблица310[[#This Row],[Площадь уборки до корр]],"нет","да")</f>
        <v>нет</v>
      </c>
      <c r="AN38" s="45">
        <f>Таблица310[[#This Row],[Площадь уборки до корр]]-Таблица310[[#This Row],[Площадь уборки, га]]</f>
        <v>0</v>
      </c>
      <c r="AQ38">
        <v>96</v>
      </c>
      <c r="AR38" t="s">
        <v>417</v>
      </c>
      <c r="AS38">
        <v>2.7147756293323604</v>
      </c>
      <c r="AT38" t="s">
        <v>43</v>
      </c>
    </row>
    <row r="39" spans="1:46" ht="23.45" hidden="1" customHeight="1" x14ac:dyDescent="0.25">
      <c r="A39" s="72" t="s">
        <v>102</v>
      </c>
      <c r="B39" s="73">
        <v>10728.2</v>
      </c>
      <c r="C39" s="120">
        <v>52</v>
      </c>
      <c r="D39" s="75">
        <v>97</v>
      </c>
      <c r="E39" s="146">
        <v>45810</v>
      </c>
      <c r="F39" s="73">
        <v>28370</v>
      </c>
      <c r="G39" s="73">
        <v>13580</v>
      </c>
      <c r="H39" s="77">
        <v>14790</v>
      </c>
      <c r="I39" s="73">
        <v>10728.2</v>
      </c>
      <c r="J39" s="72" t="s">
        <v>105</v>
      </c>
      <c r="K39" s="72" t="s">
        <v>21</v>
      </c>
      <c r="L39" s="72" t="s">
        <v>460</v>
      </c>
      <c r="M39" s="35" t="s">
        <v>272</v>
      </c>
      <c r="N39" s="72" t="s">
        <v>273</v>
      </c>
      <c r="O39" s="72" t="s">
        <v>274</v>
      </c>
      <c r="P39" s="72"/>
      <c r="Q39" s="72" t="s">
        <v>275</v>
      </c>
      <c r="R39" s="72" t="s">
        <v>276</v>
      </c>
      <c r="S39" s="72" t="s">
        <v>277</v>
      </c>
      <c r="T39" s="80" t="s">
        <v>417</v>
      </c>
      <c r="U39" s="68" t="str">
        <f>Таблица310[[#This Row],[Регистратор.Номенклатура]]</f>
        <v>Преладо</v>
      </c>
      <c r="V39" s="78">
        <f>27*Таблица310[[#This Row],[Регистратор.Вес нетто]]/137050</f>
        <v>2.6753739511127326</v>
      </c>
      <c r="W39" s="72" t="s">
        <v>43</v>
      </c>
      <c r="X39" s="72" t="s">
        <v>19</v>
      </c>
      <c r="Y39" s="72">
        <v>3</v>
      </c>
      <c r="Z39" s="71">
        <v>45809</v>
      </c>
      <c r="AA39" s="40"/>
      <c r="AB39" s="40"/>
      <c r="AC39" s="40" t="s">
        <v>419</v>
      </c>
      <c r="AD39" s="40" t="s">
        <v>511</v>
      </c>
      <c r="AE39" s="40">
        <v>97</v>
      </c>
      <c r="AF39" s="103">
        <v>45810</v>
      </c>
      <c r="AG39" s="40">
        <v>65921</v>
      </c>
      <c r="AH39" s="40">
        <f>VLOOKUP(Таблица310[[#This Row],[№ акта]],'Степень зрелости 2025'!$H$13:$I$583,2,FALSE)</f>
        <v>52</v>
      </c>
      <c r="AI39" s="40" t="str">
        <f>VLOOKUP(Таблица310[[#This Row],[№ акта]],$AQ$1:$AT$594,2,FALSE)</f>
        <v xml:space="preserve"> 2/4</v>
      </c>
      <c r="AJ39" s="40" t="str">
        <f>Таблица310[[#This Row],[Регистратор.Номенклатура]]</f>
        <v>Преладо</v>
      </c>
      <c r="AK39" s="40" t="str">
        <f>VLOOKUP(Таблица310[[#This Row],[№ акта]],$AQ$1:$AT$594,4,FALSE)</f>
        <v>Учхоз Кубань (богара)</v>
      </c>
      <c r="AL39" s="45">
        <f>VLOOKUP(Таблица310[[#This Row],[№ акта]],$AQ$1:$AT$594,3,FALSE)</f>
        <v>2.6753739511127326</v>
      </c>
      <c r="AM39" s="40" t="str">
        <f>IF(Таблица310[[#This Row],[Площадь уборки, га]]=Таблица310[[#This Row],[Площадь уборки до корр]],"нет","да")</f>
        <v>нет</v>
      </c>
      <c r="AN39" s="45">
        <f>Таблица310[[#This Row],[Площадь уборки до корр]]-Таблица310[[#This Row],[Площадь уборки, га]]</f>
        <v>0</v>
      </c>
      <c r="AQ39">
        <v>97</v>
      </c>
      <c r="AR39" t="s">
        <v>417</v>
      </c>
      <c r="AS39">
        <v>2.6753739511127326</v>
      </c>
      <c r="AT39" t="s">
        <v>43</v>
      </c>
    </row>
    <row r="40" spans="1:46" ht="33.75" hidden="1" x14ac:dyDescent="0.25">
      <c r="A40" s="72" t="s">
        <v>102</v>
      </c>
      <c r="B40" s="73">
        <v>10404.4</v>
      </c>
      <c r="C40" s="120">
        <v>51</v>
      </c>
      <c r="D40" s="75">
        <v>98</v>
      </c>
      <c r="E40" s="146">
        <v>45810</v>
      </c>
      <c r="F40" s="73">
        <v>28660</v>
      </c>
      <c r="G40" s="73">
        <v>13690</v>
      </c>
      <c r="H40" s="77">
        <v>14970</v>
      </c>
      <c r="I40" s="73">
        <v>10404.4</v>
      </c>
      <c r="J40" s="72" t="s">
        <v>105</v>
      </c>
      <c r="K40" s="72" t="s">
        <v>21</v>
      </c>
      <c r="L40" s="72" t="s">
        <v>460</v>
      </c>
      <c r="M40" s="35" t="s">
        <v>1253</v>
      </c>
      <c r="N40" s="72" t="s">
        <v>267</v>
      </c>
      <c r="O40" s="72" t="s">
        <v>268</v>
      </c>
      <c r="P40" s="72"/>
      <c r="Q40" s="72" t="s">
        <v>269</v>
      </c>
      <c r="R40" s="72" t="s">
        <v>270</v>
      </c>
      <c r="S40" s="72" t="s">
        <v>271</v>
      </c>
      <c r="T40" s="80" t="s">
        <v>417</v>
      </c>
      <c r="U40" s="68" t="str">
        <f>Таблица310[[#This Row],[Регистратор.Номенклатура]]</f>
        <v>Преладо</v>
      </c>
      <c r="V40" s="78">
        <f>27*Таблица310[[#This Row],[Регистратор.Вес нетто]]/137050</f>
        <v>2.6970448741335278</v>
      </c>
      <c r="W40" s="72" t="s">
        <v>43</v>
      </c>
      <c r="X40" s="72" t="s">
        <v>19</v>
      </c>
      <c r="Y40" s="72">
        <v>3</v>
      </c>
      <c r="Z40" s="71">
        <v>45809</v>
      </c>
      <c r="AA40" s="40"/>
      <c r="AB40" s="40"/>
      <c r="AC40" s="40" t="s">
        <v>419</v>
      </c>
      <c r="AD40" s="40" t="s">
        <v>511</v>
      </c>
      <c r="AE40" s="40">
        <v>98</v>
      </c>
      <c r="AF40" s="103">
        <v>45810</v>
      </c>
      <c r="AG40" s="40">
        <v>65922</v>
      </c>
      <c r="AH40" s="40">
        <f>VLOOKUP(Таблица310[[#This Row],[№ акта]],'Степень зрелости 2025'!$H$13:$I$583,2,FALSE)</f>
        <v>51</v>
      </c>
      <c r="AI40" s="40" t="str">
        <f>VLOOKUP(Таблица310[[#This Row],[№ акта]],$AQ$1:$AT$594,2,FALSE)</f>
        <v xml:space="preserve"> 2/4</v>
      </c>
      <c r="AJ40" s="40" t="str">
        <f>Таблица310[[#This Row],[Регистратор.Номенклатура]]</f>
        <v>Преладо</v>
      </c>
      <c r="AK40" s="40" t="str">
        <f>VLOOKUP(Таблица310[[#This Row],[№ акта]],$AQ$1:$AT$594,4,FALSE)</f>
        <v>Учхоз Кубань (богара)</v>
      </c>
      <c r="AL40" s="45">
        <f>VLOOKUP(Таблица310[[#This Row],[№ акта]],$AQ$1:$AT$594,3,FALSE)</f>
        <v>2.6970448741335278</v>
      </c>
      <c r="AM40" s="40" t="str">
        <f>IF(Таблица310[[#This Row],[Площадь уборки, га]]=Таблица310[[#This Row],[Площадь уборки до корр]],"нет","да")</f>
        <v>нет</v>
      </c>
      <c r="AN40" s="45">
        <f>Таблица310[[#This Row],[Площадь уборки до корр]]-Таблица310[[#This Row],[Площадь уборки, га]]</f>
        <v>0</v>
      </c>
      <c r="AQ40">
        <v>98</v>
      </c>
      <c r="AR40" t="s">
        <v>417</v>
      </c>
      <c r="AS40">
        <v>2.6970448741335278</v>
      </c>
      <c r="AT40" t="s">
        <v>43</v>
      </c>
    </row>
    <row r="41" spans="1:46" ht="45" hidden="1" x14ac:dyDescent="0.25">
      <c r="A41" s="40" t="s">
        <v>102</v>
      </c>
      <c r="B41" s="41">
        <v>7625.4</v>
      </c>
      <c r="C41" s="121">
        <v>52</v>
      </c>
      <c r="D41" s="42">
        <v>99</v>
      </c>
      <c r="E41" s="147">
        <v>45810</v>
      </c>
      <c r="F41" s="41">
        <v>24560</v>
      </c>
      <c r="G41" s="41">
        <v>10740</v>
      </c>
      <c r="H41" s="69">
        <v>13820</v>
      </c>
      <c r="I41" s="41">
        <v>7625.4</v>
      </c>
      <c r="J41" s="40" t="s">
        <v>78</v>
      </c>
      <c r="K41" s="40" t="s">
        <v>81</v>
      </c>
      <c r="L41" s="40" t="s">
        <v>110</v>
      </c>
      <c r="M41" s="35" t="s">
        <v>212</v>
      </c>
      <c r="N41" s="40" t="s">
        <v>326</v>
      </c>
      <c r="O41" s="40" t="s">
        <v>327</v>
      </c>
      <c r="P41" s="40"/>
      <c r="Q41" s="40" t="s">
        <v>328</v>
      </c>
      <c r="R41" s="40" t="s">
        <v>216</v>
      </c>
      <c r="S41" s="40" t="s">
        <v>304</v>
      </c>
      <c r="T41" s="40" t="s">
        <v>110</v>
      </c>
      <c r="U41" s="68" t="str">
        <f>Таблица310[[#This Row],[Регистратор.Номенклатура]]</f>
        <v>Оскар</v>
      </c>
      <c r="V41" s="78">
        <f>26*Таблица310[[#This Row],[Регистратор.Вес нетто]]/69140</f>
        <v>4.0387619323112522</v>
      </c>
      <c r="W41" s="72" t="s">
        <v>44</v>
      </c>
      <c r="X41" s="40" t="s">
        <v>19</v>
      </c>
      <c r="Y41" s="40">
        <v>4</v>
      </c>
      <c r="Z41" s="71">
        <v>45809</v>
      </c>
      <c r="AA41" s="40"/>
      <c r="AB41" s="40"/>
      <c r="AC41" s="40" t="s">
        <v>419</v>
      </c>
      <c r="AD41" s="40" t="s">
        <v>511</v>
      </c>
      <c r="AE41" s="40">
        <v>99</v>
      </c>
      <c r="AF41" s="103">
        <v>45810</v>
      </c>
      <c r="AG41" s="40">
        <v>18</v>
      </c>
      <c r="AH41" s="40">
        <f>VLOOKUP(Таблица310[[#This Row],[№ акта]],'Степень зрелости 2025'!$H$13:$I$583,2,FALSE)</f>
        <v>52</v>
      </c>
      <c r="AI41" s="40" t="str">
        <f>VLOOKUP(Таблица310[[#This Row],[№ акта]],$AQ$1:$AT$594,2,FALSE)</f>
        <v>А-44</v>
      </c>
      <c r="AJ41" s="40" t="str">
        <f>Таблица310[[#This Row],[Регистратор.Номенклатура]]</f>
        <v>Оскар</v>
      </c>
      <c r="AK41" s="40" t="str">
        <f>VLOOKUP(Таблица310[[#This Row],[№ акта]],$AQ$1:$AT$594,4,FALSE)</f>
        <v>ГРК собственные семена (богара)</v>
      </c>
      <c r="AL41" s="45">
        <f>VLOOKUP(Таблица310[[#This Row],[№ акта]],$AQ$1:$AT$594,3,FALSE)</f>
        <v>4.0387619323112522</v>
      </c>
      <c r="AM41" s="40" t="str">
        <f>IF(Таблица310[[#This Row],[Площадь уборки, га]]=Таблица310[[#This Row],[Площадь уборки до корр]],"нет","да")</f>
        <v>нет</v>
      </c>
      <c r="AN41" s="45">
        <f>Таблица310[[#This Row],[Площадь уборки до корр]]-Таблица310[[#This Row],[Площадь уборки, га]]</f>
        <v>0</v>
      </c>
      <c r="AQ41">
        <v>99</v>
      </c>
      <c r="AR41" t="s">
        <v>110</v>
      </c>
      <c r="AS41">
        <v>4.0387619323112522</v>
      </c>
      <c r="AT41" t="s">
        <v>44</v>
      </c>
    </row>
    <row r="42" spans="1:46" ht="33.75" hidden="1" x14ac:dyDescent="0.25">
      <c r="A42" s="40" t="s">
        <v>102</v>
      </c>
      <c r="B42" s="41">
        <v>10252.5</v>
      </c>
      <c r="C42" s="121">
        <v>49</v>
      </c>
      <c r="D42" s="42">
        <v>100</v>
      </c>
      <c r="E42" s="147">
        <v>45810</v>
      </c>
      <c r="F42" s="41">
        <v>28060</v>
      </c>
      <c r="G42" s="41">
        <v>13670</v>
      </c>
      <c r="H42" s="69">
        <v>14390</v>
      </c>
      <c r="I42" s="41">
        <v>10252.5</v>
      </c>
      <c r="J42" s="40" t="s">
        <v>105</v>
      </c>
      <c r="K42" s="40" t="s">
        <v>21</v>
      </c>
      <c r="L42" s="40" t="s">
        <v>460</v>
      </c>
      <c r="M42" s="35" t="s">
        <v>305</v>
      </c>
      <c r="N42" s="40" t="s">
        <v>306</v>
      </c>
      <c r="O42" s="40" t="s">
        <v>307</v>
      </c>
      <c r="P42" s="40"/>
      <c r="Q42" s="40" t="s">
        <v>308</v>
      </c>
      <c r="R42" s="40" t="s">
        <v>309</v>
      </c>
      <c r="S42" s="40" t="s">
        <v>310</v>
      </c>
      <c r="T42" s="70" t="s">
        <v>417</v>
      </c>
      <c r="U42" s="68" t="str">
        <f>Таблица310[[#This Row],[Регистратор.Номенклатура]]</f>
        <v>Преладо</v>
      </c>
      <c r="V42" s="45">
        <f>10*Таблица310[[#This Row],[Регистратор.Вес нетто]]/54770</f>
        <v>2.4958919116304545</v>
      </c>
      <c r="W42" s="40" t="s">
        <v>43</v>
      </c>
      <c r="X42" s="40" t="s">
        <v>19</v>
      </c>
      <c r="Y42" s="40">
        <v>4</v>
      </c>
      <c r="Z42" s="71">
        <v>45810</v>
      </c>
      <c r="AA42" s="40"/>
      <c r="AB42" s="40"/>
      <c r="AC42" s="40" t="s">
        <v>419</v>
      </c>
      <c r="AD42" s="40" t="s">
        <v>511</v>
      </c>
      <c r="AE42" s="40">
        <v>100</v>
      </c>
      <c r="AF42" s="103">
        <v>45810</v>
      </c>
      <c r="AG42" s="40">
        <v>65923</v>
      </c>
      <c r="AH42" s="40">
        <f>VLOOKUP(Таблица310[[#This Row],[№ акта]],'Степень зрелости 2025'!$H$13:$I$583,2,FALSE)</f>
        <v>49</v>
      </c>
      <c r="AI42" s="40" t="str">
        <f>VLOOKUP(Таблица310[[#This Row],[№ акта]],$AQ$1:$AT$594,2,FALSE)</f>
        <v xml:space="preserve"> 2/4</v>
      </c>
      <c r="AJ42" s="40" t="str">
        <f>Таблица310[[#This Row],[Регистратор.Номенклатура]]</f>
        <v>Преладо</v>
      </c>
      <c r="AK42" s="40" t="str">
        <f>VLOOKUP(Таблица310[[#This Row],[№ акта]],$AQ$1:$AT$594,4,FALSE)</f>
        <v>Учхоз Кубань (богара)</v>
      </c>
      <c r="AL42" s="45">
        <f>VLOOKUP(Таблица310[[#This Row],[№ акта]],$AQ$1:$AT$594,3,FALSE)</f>
        <v>2.4958919116304545</v>
      </c>
      <c r="AM42" s="40" t="str">
        <f>IF(Таблица310[[#This Row],[Площадь уборки, га]]=Таблица310[[#This Row],[Площадь уборки до корр]],"нет","да")</f>
        <v>нет</v>
      </c>
      <c r="AN42" s="45">
        <f>Таблица310[[#This Row],[Площадь уборки до корр]]-Таблица310[[#This Row],[Площадь уборки, га]]</f>
        <v>0</v>
      </c>
      <c r="AQ42">
        <v>100</v>
      </c>
      <c r="AR42" t="s">
        <v>417</v>
      </c>
      <c r="AS42">
        <v>2.4958919116304545</v>
      </c>
      <c r="AT42" t="s">
        <v>43</v>
      </c>
    </row>
    <row r="43" spans="1:46" ht="33.75" hidden="1" x14ac:dyDescent="0.25">
      <c r="A43" s="40" t="s">
        <v>102</v>
      </c>
      <c r="B43" s="41">
        <v>10273.5</v>
      </c>
      <c r="C43" s="121">
        <v>52</v>
      </c>
      <c r="D43" s="42">
        <v>101</v>
      </c>
      <c r="E43" s="147">
        <v>45810</v>
      </c>
      <c r="F43" s="41">
        <v>28740</v>
      </c>
      <c r="G43" s="41">
        <v>13790</v>
      </c>
      <c r="H43" s="69">
        <v>14950</v>
      </c>
      <c r="I43" s="41">
        <v>10273.5</v>
      </c>
      <c r="J43" s="40" t="s">
        <v>105</v>
      </c>
      <c r="K43" s="40" t="s">
        <v>21</v>
      </c>
      <c r="L43" s="40" t="s">
        <v>460</v>
      </c>
      <c r="M43" s="35" t="s">
        <v>329</v>
      </c>
      <c r="N43" s="40" t="s">
        <v>330</v>
      </c>
      <c r="O43" s="40" t="s">
        <v>331</v>
      </c>
      <c r="P43" s="40"/>
      <c r="Q43" s="40" t="s">
        <v>332</v>
      </c>
      <c r="R43" s="40" t="s">
        <v>333</v>
      </c>
      <c r="S43" s="40" t="s">
        <v>334</v>
      </c>
      <c r="T43" s="70" t="s">
        <v>417</v>
      </c>
      <c r="U43" s="68" t="str">
        <f>Таблица310[[#This Row],[Регистратор.Номенклатура]]</f>
        <v>Преладо</v>
      </c>
      <c r="V43" s="45">
        <f>10*Таблица310[[#This Row],[Регистратор.Вес нетто]]/54770</f>
        <v>2.5178017162680297</v>
      </c>
      <c r="W43" s="40" t="s">
        <v>43</v>
      </c>
      <c r="X43" s="40" t="s">
        <v>19</v>
      </c>
      <c r="Y43" s="40">
        <v>4</v>
      </c>
      <c r="Z43" s="71">
        <v>45810</v>
      </c>
      <c r="AA43" s="40"/>
      <c r="AB43" s="40"/>
      <c r="AC43" s="40" t="s">
        <v>724</v>
      </c>
      <c r="AD43" s="40" t="s">
        <v>511</v>
      </c>
      <c r="AE43" s="40">
        <v>101</v>
      </c>
      <c r="AF43" s="103">
        <v>45810</v>
      </c>
      <c r="AG43" s="40">
        <v>65924</v>
      </c>
      <c r="AH43" s="40">
        <f>VLOOKUP(Таблица310[[#This Row],[№ акта]],'Степень зрелости 2025'!$H$13:$I$583,2,FALSE)</f>
        <v>52</v>
      </c>
      <c r="AI43" s="40" t="str">
        <f>VLOOKUP(Таблица310[[#This Row],[№ акта]],$AQ$1:$AT$594,2,FALSE)</f>
        <v xml:space="preserve"> 2/4</v>
      </c>
      <c r="AJ43" s="40" t="str">
        <f>Таблица310[[#This Row],[Регистратор.Номенклатура]]</f>
        <v>Преладо</v>
      </c>
      <c r="AK43" s="40" t="str">
        <f>VLOOKUP(Таблица310[[#This Row],[№ акта]],$AQ$1:$AT$594,4,FALSE)</f>
        <v>Учхоз Кубань (богара)</v>
      </c>
      <c r="AL43" s="45">
        <f>VLOOKUP(Таблица310[[#This Row],[№ акта]],$AQ$1:$AT$594,3,FALSE)</f>
        <v>2.5178017162680297</v>
      </c>
      <c r="AM43" s="40" t="str">
        <f>IF(Таблица310[[#This Row],[Площадь уборки, га]]=Таблица310[[#This Row],[Площадь уборки до корр]],"нет","да")</f>
        <v>нет</v>
      </c>
      <c r="AN43" s="45">
        <f>Таблица310[[#This Row],[Площадь уборки до корр]]-Таблица310[[#This Row],[Площадь уборки, га]]</f>
        <v>0</v>
      </c>
      <c r="AQ43">
        <v>101</v>
      </c>
      <c r="AR43" t="s">
        <v>417</v>
      </c>
      <c r="AS43">
        <v>2.5178017162680297</v>
      </c>
      <c r="AT43" t="s">
        <v>43</v>
      </c>
    </row>
    <row r="44" spans="1:46" ht="45" hidden="1" x14ac:dyDescent="0.25">
      <c r="A44" s="40" t="s">
        <v>102</v>
      </c>
      <c r="B44" s="41">
        <v>9796</v>
      </c>
      <c r="C44" s="121">
        <v>50</v>
      </c>
      <c r="D44" s="42">
        <v>102</v>
      </c>
      <c r="E44" s="147">
        <v>45810</v>
      </c>
      <c r="F44" s="41">
        <v>26590</v>
      </c>
      <c r="G44" s="41">
        <v>12400</v>
      </c>
      <c r="H44" s="69">
        <v>14190</v>
      </c>
      <c r="I44" s="41">
        <v>9796</v>
      </c>
      <c r="J44" s="40" t="s">
        <v>78</v>
      </c>
      <c r="K44" s="40" t="s">
        <v>81</v>
      </c>
      <c r="L44" s="40" t="s">
        <v>110</v>
      </c>
      <c r="M44" s="35" t="s">
        <v>79</v>
      </c>
      <c r="N44" s="40" t="s">
        <v>322</v>
      </c>
      <c r="O44" s="40" t="s">
        <v>323</v>
      </c>
      <c r="P44" s="40"/>
      <c r="Q44" s="40" t="s">
        <v>324</v>
      </c>
      <c r="R44" s="40" t="s">
        <v>80</v>
      </c>
      <c r="S44" s="40" t="s">
        <v>109</v>
      </c>
      <c r="T44" s="40" t="s">
        <v>110</v>
      </c>
      <c r="U44" s="68" t="str">
        <f>Таблица310[[#This Row],[Регистратор.Номенклатура]]</f>
        <v>Оскар</v>
      </c>
      <c r="V44" s="45">
        <f>18*Таблица310[[#This Row],[Регистратор.Вес нетто]]/72040</f>
        <v>3.0982787340366462</v>
      </c>
      <c r="W44" s="72" t="s">
        <v>44</v>
      </c>
      <c r="X44" s="40" t="s">
        <v>19</v>
      </c>
      <c r="Y44" s="40">
        <v>5</v>
      </c>
      <c r="Z44" s="71">
        <v>45810</v>
      </c>
      <c r="AA44" s="40"/>
      <c r="AB44" s="40"/>
      <c r="AC44" s="40" t="s">
        <v>419</v>
      </c>
      <c r="AD44" s="40" t="s">
        <v>511</v>
      </c>
      <c r="AE44" s="40">
        <v>102</v>
      </c>
      <c r="AF44" s="103">
        <v>45810</v>
      </c>
      <c r="AG44" s="40">
        <v>19</v>
      </c>
      <c r="AH44" s="40">
        <f>VLOOKUP(Таблица310[[#This Row],[№ акта]],'Степень зрелости 2025'!$H$13:$I$583,2,FALSE)</f>
        <v>50</v>
      </c>
      <c r="AI44" s="40" t="str">
        <f>VLOOKUP(Таблица310[[#This Row],[№ акта]],$AQ$1:$AT$594,2,FALSE)</f>
        <v>А-44</v>
      </c>
      <c r="AJ44" s="40" t="str">
        <f>Таблица310[[#This Row],[Регистратор.Номенклатура]]</f>
        <v>Оскар</v>
      </c>
      <c r="AK44" s="40" t="str">
        <f>VLOOKUP(Таблица310[[#This Row],[№ акта]],$AQ$1:$AT$594,4,FALSE)</f>
        <v>ГРК собственные семена (богара)</v>
      </c>
      <c r="AL44" s="45">
        <f>VLOOKUP(Таблица310[[#This Row],[№ акта]],$AQ$1:$AT$594,3,FALSE)</f>
        <v>3.0982787340366462</v>
      </c>
      <c r="AM44" s="40" t="str">
        <f>IF(Таблица310[[#This Row],[Площадь уборки, га]]=Таблица310[[#This Row],[Площадь уборки до корр]],"нет","да")</f>
        <v>нет</v>
      </c>
      <c r="AN44" s="45">
        <f>Таблица310[[#This Row],[Площадь уборки до корр]]-Таблица310[[#This Row],[Площадь уборки, га]]</f>
        <v>0</v>
      </c>
      <c r="AQ44">
        <v>102</v>
      </c>
      <c r="AR44" t="s">
        <v>110</v>
      </c>
      <c r="AS44">
        <v>3.0982787340366462</v>
      </c>
      <c r="AT44" t="s">
        <v>44</v>
      </c>
    </row>
    <row r="45" spans="1:46" ht="33.75" hidden="1" x14ac:dyDescent="0.25">
      <c r="A45" s="40" t="s">
        <v>102</v>
      </c>
      <c r="B45" s="41">
        <v>10564.6</v>
      </c>
      <c r="C45" s="121">
        <v>49</v>
      </c>
      <c r="D45" s="42">
        <v>103</v>
      </c>
      <c r="E45" s="147">
        <v>45810</v>
      </c>
      <c r="F45" s="41">
        <v>28190</v>
      </c>
      <c r="G45" s="41">
        <v>13810</v>
      </c>
      <c r="H45" s="69">
        <v>14380</v>
      </c>
      <c r="I45" s="41">
        <v>10564.6</v>
      </c>
      <c r="J45" s="40" t="s">
        <v>105</v>
      </c>
      <c r="K45" s="40" t="s">
        <v>21</v>
      </c>
      <c r="L45" s="40" t="s">
        <v>460</v>
      </c>
      <c r="M45" s="35" t="s">
        <v>1312</v>
      </c>
      <c r="N45" s="40" t="s">
        <v>317</v>
      </c>
      <c r="O45" s="40" t="s">
        <v>318</v>
      </c>
      <c r="P45" s="40"/>
      <c r="Q45" s="40" t="s">
        <v>319</v>
      </c>
      <c r="R45" s="40" t="s">
        <v>320</v>
      </c>
      <c r="S45" s="40" t="s">
        <v>321</v>
      </c>
      <c r="T45" s="70" t="s">
        <v>417</v>
      </c>
      <c r="U45" s="68" t="str">
        <f>Таблица310[[#This Row],[Регистратор.Номенклатура]]</f>
        <v>Преладо</v>
      </c>
      <c r="V45" s="45">
        <f>10*Таблица310[[#This Row],[Регистратор.Вес нетто]]/54770</f>
        <v>2.5214533503742924</v>
      </c>
      <c r="W45" s="40" t="s">
        <v>43</v>
      </c>
      <c r="X45" s="40" t="s">
        <v>19</v>
      </c>
      <c r="Y45" s="40">
        <v>4</v>
      </c>
      <c r="Z45" s="71">
        <v>45810</v>
      </c>
      <c r="AA45" s="40"/>
      <c r="AB45" s="40" t="s">
        <v>416</v>
      </c>
      <c r="AC45" s="40" t="s">
        <v>419</v>
      </c>
      <c r="AD45" s="40" t="s">
        <v>511</v>
      </c>
      <c r="AE45" s="40">
        <v>103</v>
      </c>
      <c r="AF45" s="103">
        <v>45810</v>
      </c>
      <c r="AG45" s="40">
        <v>65927</v>
      </c>
      <c r="AH45" s="40">
        <f>VLOOKUP(Таблица310[[#This Row],[№ акта]],'Степень зрелости 2025'!$H$13:$I$583,2,FALSE)</f>
        <v>49</v>
      </c>
      <c r="AI45" s="40" t="str">
        <f>VLOOKUP(Таблица310[[#This Row],[№ акта]],$AQ$1:$AT$594,2,FALSE)</f>
        <v xml:space="preserve"> 2/4</v>
      </c>
      <c r="AJ45" s="40" t="str">
        <f>Таблица310[[#This Row],[Регистратор.Номенклатура]]</f>
        <v>Преладо</v>
      </c>
      <c r="AK45" s="40" t="str">
        <f>VLOOKUP(Таблица310[[#This Row],[№ акта]],$AQ$1:$AT$594,4,FALSE)</f>
        <v>Учхоз Кубань (богара)</v>
      </c>
      <c r="AL45" s="45">
        <f>VLOOKUP(Таблица310[[#This Row],[№ акта]],$AQ$1:$AT$594,3,FALSE)</f>
        <v>2.5214533503742924</v>
      </c>
      <c r="AM45" s="40" t="str">
        <f>IF(Таблица310[[#This Row],[Площадь уборки, га]]=Таблица310[[#This Row],[Площадь уборки до корр]],"нет","да")</f>
        <v>нет</v>
      </c>
      <c r="AN45" s="45">
        <f>Таблица310[[#This Row],[Площадь уборки до корр]]-Таблица310[[#This Row],[Площадь уборки, га]]</f>
        <v>0</v>
      </c>
      <c r="AQ45">
        <v>103</v>
      </c>
      <c r="AR45" t="s">
        <v>417</v>
      </c>
      <c r="AS45">
        <v>2.5214533503742924</v>
      </c>
      <c r="AT45" t="s">
        <v>43</v>
      </c>
    </row>
    <row r="46" spans="1:46" ht="33.75" hidden="1" x14ac:dyDescent="0.25">
      <c r="A46" s="40" t="s">
        <v>102</v>
      </c>
      <c r="B46" s="41">
        <v>10462.5</v>
      </c>
      <c r="C46" s="121">
        <v>52</v>
      </c>
      <c r="D46" s="42">
        <v>104</v>
      </c>
      <c r="E46" s="147">
        <v>45810</v>
      </c>
      <c r="F46" s="41">
        <v>28300</v>
      </c>
      <c r="G46" s="41">
        <v>13500</v>
      </c>
      <c r="H46" s="69">
        <v>14800</v>
      </c>
      <c r="I46" s="41">
        <v>10462.5</v>
      </c>
      <c r="J46" s="40" t="s">
        <v>105</v>
      </c>
      <c r="K46" s="40" t="s">
        <v>21</v>
      </c>
      <c r="L46" s="40" t="s">
        <v>460</v>
      </c>
      <c r="M46" s="35" t="s">
        <v>335</v>
      </c>
      <c r="N46" s="40" t="s">
        <v>336</v>
      </c>
      <c r="O46" s="40" t="s">
        <v>337</v>
      </c>
      <c r="P46" s="40"/>
      <c r="Q46" s="40" t="s">
        <v>338</v>
      </c>
      <c r="R46" s="40" t="s">
        <v>339</v>
      </c>
      <c r="S46" s="40" t="s">
        <v>340</v>
      </c>
      <c r="T46" s="70" t="s">
        <v>417</v>
      </c>
      <c r="U46" s="68" t="str">
        <f>Таблица310[[#This Row],[Регистратор.Номенклатура]]</f>
        <v>Преладо</v>
      </c>
      <c r="V46" s="45">
        <f>10*Таблица310[[#This Row],[Регистратор.Вес нетто]]/54770</f>
        <v>2.4648530217272229</v>
      </c>
      <c r="W46" s="40" t="s">
        <v>43</v>
      </c>
      <c r="X46" s="40" t="s">
        <v>19</v>
      </c>
      <c r="Y46" s="40">
        <v>4</v>
      </c>
      <c r="Z46" s="71">
        <v>45810</v>
      </c>
      <c r="AA46" s="40"/>
      <c r="AB46" s="40"/>
      <c r="AC46" s="40" t="s">
        <v>419</v>
      </c>
      <c r="AD46" s="40" t="s">
        <v>511</v>
      </c>
      <c r="AE46" s="40">
        <v>104</v>
      </c>
      <c r="AF46" s="103">
        <v>45810</v>
      </c>
      <c r="AG46" s="40">
        <v>65928</v>
      </c>
      <c r="AH46" s="40">
        <f>VLOOKUP(Таблица310[[#This Row],[№ акта]],'Степень зрелости 2025'!$H$13:$I$583,2,FALSE)</f>
        <v>52</v>
      </c>
      <c r="AI46" s="40" t="str">
        <f>VLOOKUP(Таблица310[[#This Row],[№ акта]],$AQ$1:$AT$594,2,FALSE)</f>
        <v xml:space="preserve"> 2/4</v>
      </c>
      <c r="AJ46" s="40" t="str">
        <f>Таблица310[[#This Row],[Регистратор.Номенклатура]]</f>
        <v>Преладо</v>
      </c>
      <c r="AK46" s="40" t="str">
        <f>VLOOKUP(Таблица310[[#This Row],[№ акта]],$AQ$1:$AT$594,4,FALSE)</f>
        <v>Учхоз Кубань (богара)</v>
      </c>
      <c r="AL46" s="45">
        <f>VLOOKUP(Таблица310[[#This Row],[№ акта]],$AQ$1:$AT$594,3,FALSE)</f>
        <v>2.4648530217272229</v>
      </c>
      <c r="AM46" s="40" t="str">
        <f>IF(Таблица310[[#This Row],[Площадь уборки, га]]=Таблица310[[#This Row],[Площадь уборки до корр]],"нет","да")</f>
        <v>нет</v>
      </c>
      <c r="AN46" s="45">
        <f>Таблица310[[#This Row],[Площадь уборки до корр]]-Таблица310[[#This Row],[Площадь уборки, га]]</f>
        <v>0</v>
      </c>
      <c r="AQ46">
        <v>104</v>
      </c>
      <c r="AR46" t="s">
        <v>417</v>
      </c>
      <c r="AS46">
        <v>2.4648530217272229</v>
      </c>
      <c r="AT46" t="s">
        <v>43</v>
      </c>
    </row>
    <row r="47" spans="1:46" ht="33.75" hidden="1" x14ac:dyDescent="0.25">
      <c r="A47" s="40" t="s">
        <v>102</v>
      </c>
      <c r="B47" s="41">
        <v>10542.5</v>
      </c>
      <c r="C47" s="121">
        <v>49</v>
      </c>
      <c r="D47" s="42">
        <v>105</v>
      </c>
      <c r="E47" s="147">
        <v>45810</v>
      </c>
      <c r="F47" s="41">
        <v>28400</v>
      </c>
      <c r="G47" s="41">
        <v>13430</v>
      </c>
      <c r="H47" s="69">
        <v>14970</v>
      </c>
      <c r="I47" s="41">
        <v>10542.5</v>
      </c>
      <c r="J47" s="40" t="s">
        <v>105</v>
      </c>
      <c r="K47" s="40" t="s">
        <v>301</v>
      </c>
      <c r="L47" s="40" t="s">
        <v>460</v>
      </c>
      <c r="M47" s="35" t="s">
        <v>311</v>
      </c>
      <c r="N47" s="40" t="s">
        <v>312</v>
      </c>
      <c r="O47" s="40" t="s">
        <v>313</v>
      </c>
      <c r="P47" s="40"/>
      <c r="Q47" s="40" t="s">
        <v>314</v>
      </c>
      <c r="R47" s="40" t="s">
        <v>315</v>
      </c>
      <c r="S47" s="40" t="s">
        <v>316</v>
      </c>
      <c r="T47" s="70" t="s">
        <v>417</v>
      </c>
      <c r="U47" s="68" t="str">
        <f>Таблица310[[#This Row],[Регистратор.Номенклатура]]</f>
        <v>Изюминка</v>
      </c>
      <c r="V47" s="45">
        <f>12*Таблица310[[#This Row],[Регистратор.Вес нетто]]/71490</f>
        <v>2.254301300881242</v>
      </c>
      <c r="W47" s="40" t="s">
        <v>43</v>
      </c>
      <c r="X47" s="40" t="s">
        <v>19</v>
      </c>
      <c r="Y47" s="40">
        <v>4</v>
      </c>
      <c r="Z47" s="71">
        <v>45810</v>
      </c>
      <c r="AA47" s="40"/>
      <c r="AB47" s="40"/>
      <c r="AC47" s="40" t="s">
        <v>419</v>
      </c>
      <c r="AD47" s="40" t="s">
        <v>511</v>
      </c>
      <c r="AE47" s="40">
        <v>105</v>
      </c>
      <c r="AF47" s="103">
        <v>45810</v>
      </c>
      <c r="AG47" s="40">
        <v>65929</v>
      </c>
      <c r="AH47" s="40">
        <f>VLOOKUP(Таблица310[[#This Row],[№ акта]],'Степень зрелости 2025'!$H$13:$I$583,2,FALSE)</f>
        <v>49</v>
      </c>
      <c r="AI47" s="40" t="str">
        <f>VLOOKUP(Таблица310[[#This Row],[№ акта]],$AQ$1:$AT$594,2,FALSE)</f>
        <v xml:space="preserve"> 2/4</v>
      </c>
      <c r="AJ47" s="40" t="str">
        <f>Таблица310[[#This Row],[Регистратор.Номенклатура]]</f>
        <v>Изюминка</v>
      </c>
      <c r="AK47" s="40" t="str">
        <f>VLOOKUP(Таблица310[[#This Row],[№ акта]],$AQ$1:$AT$594,4,FALSE)</f>
        <v>Учхоз Кубань (богара)</v>
      </c>
      <c r="AL47" s="45">
        <f>VLOOKUP(Таблица310[[#This Row],[№ акта]],$AQ$1:$AT$594,3,FALSE)</f>
        <v>2.254301300881242</v>
      </c>
      <c r="AM47" s="40" t="str">
        <f>IF(Таблица310[[#This Row],[Площадь уборки, га]]=Таблица310[[#This Row],[Площадь уборки до корр]],"нет","да")</f>
        <v>нет</v>
      </c>
      <c r="AN47" s="45">
        <f>Таблица310[[#This Row],[Площадь уборки до корр]]-Таблица310[[#This Row],[Площадь уборки, га]]</f>
        <v>0</v>
      </c>
      <c r="AQ47">
        <v>105</v>
      </c>
      <c r="AR47" t="s">
        <v>417</v>
      </c>
      <c r="AS47">
        <v>2.254301300881242</v>
      </c>
      <c r="AT47" t="s">
        <v>43</v>
      </c>
    </row>
    <row r="48" spans="1:46" ht="33.75" hidden="1" x14ac:dyDescent="0.25">
      <c r="A48" s="40" t="s">
        <v>102</v>
      </c>
      <c r="B48" s="41">
        <v>10625.5</v>
      </c>
      <c r="C48" s="121">
        <v>56</v>
      </c>
      <c r="D48" s="42">
        <v>106</v>
      </c>
      <c r="E48" s="147">
        <v>45810</v>
      </c>
      <c r="F48" s="41">
        <v>32140</v>
      </c>
      <c r="G48" s="41">
        <v>13450</v>
      </c>
      <c r="H48" s="69">
        <v>18690</v>
      </c>
      <c r="I48" s="41">
        <v>10625.5</v>
      </c>
      <c r="J48" s="40" t="s">
        <v>105</v>
      </c>
      <c r="K48" s="40" t="s">
        <v>301</v>
      </c>
      <c r="L48" s="40" t="s">
        <v>460</v>
      </c>
      <c r="M48" s="35" t="s">
        <v>347</v>
      </c>
      <c r="N48" s="40" t="s">
        <v>348</v>
      </c>
      <c r="O48" s="40" t="s">
        <v>349</v>
      </c>
      <c r="P48" s="40"/>
      <c r="Q48" s="40" t="s">
        <v>350</v>
      </c>
      <c r="R48" s="40" t="s">
        <v>351</v>
      </c>
      <c r="S48" s="40" t="s">
        <v>352</v>
      </c>
      <c r="T48" s="70" t="s">
        <v>417</v>
      </c>
      <c r="U48" s="68" t="str">
        <f>Таблица310[[#This Row],[Регистратор.Номенклатура]]</f>
        <v>Изюминка</v>
      </c>
      <c r="V48" s="45">
        <f>12*Таблица310[[#This Row],[Регистратор.Вес нетто]]/71490</f>
        <v>2.2576584137641627</v>
      </c>
      <c r="W48" s="40" t="s">
        <v>43</v>
      </c>
      <c r="X48" s="40" t="s">
        <v>19</v>
      </c>
      <c r="Y48" s="40">
        <v>4</v>
      </c>
      <c r="Z48" s="71">
        <v>45810</v>
      </c>
      <c r="AA48" s="40"/>
      <c r="AB48" s="40"/>
      <c r="AC48" s="40" t="s">
        <v>724</v>
      </c>
      <c r="AD48" s="40" t="s">
        <v>511</v>
      </c>
      <c r="AE48" s="40">
        <v>106</v>
      </c>
      <c r="AF48" s="103">
        <v>45810</v>
      </c>
      <c r="AG48" s="40">
        <v>65940</v>
      </c>
      <c r="AH48" s="40">
        <f>VLOOKUP(Таблица310[[#This Row],[№ акта]],'Степень зрелости 2025'!$H$13:$I$583,2,FALSE)</f>
        <v>56</v>
      </c>
      <c r="AI48" s="40" t="str">
        <f>VLOOKUP(Таблица310[[#This Row],[№ акта]],$AQ$1:$AT$594,2,FALSE)</f>
        <v xml:space="preserve"> 2/4</v>
      </c>
      <c r="AJ48" s="40" t="str">
        <f>Таблица310[[#This Row],[Регистратор.Номенклатура]]</f>
        <v>Изюминка</v>
      </c>
      <c r="AK48" s="40" t="str">
        <f>VLOOKUP(Таблица310[[#This Row],[№ акта]],$AQ$1:$AT$594,4,FALSE)</f>
        <v>Учхоз Кубань (богара)</v>
      </c>
      <c r="AL48" s="45">
        <f>VLOOKUP(Таблица310[[#This Row],[№ акта]],$AQ$1:$AT$594,3,FALSE)</f>
        <v>2.2576584137641627</v>
      </c>
      <c r="AM48" s="40" t="str">
        <f>IF(Таблица310[[#This Row],[Площадь уборки, га]]=Таблица310[[#This Row],[Площадь уборки до корр]],"нет","да")</f>
        <v>нет</v>
      </c>
      <c r="AN48" s="45">
        <f>Таблица310[[#This Row],[Площадь уборки до корр]]-Таблица310[[#This Row],[Площадь уборки, га]]</f>
        <v>0</v>
      </c>
      <c r="AQ48">
        <v>106</v>
      </c>
      <c r="AR48" t="s">
        <v>417</v>
      </c>
      <c r="AS48">
        <v>2.2576584137641627</v>
      </c>
      <c r="AT48" t="s">
        <v>43</v>
      </c>
    </row>
    <row r="49" spans="1:46" ht="33.75" hidden="1" x14ac:dyDescent="0.25">
      <c r="A49" s="40" t="s">
        <v>102</v>
      </c>
      <c r="B49" s="41">
        <v>11246.9</v>
      </c>
      <c r="C49" s="121">
        <v>56</v>
      </c>
      <c r="D49" s="42">
        <v>107</v>
      </c>
      <c r="E49" s="147">
        <v>45810</v>
      </c>
      <c r="F49" s="41">
        <v>28920</v>
      </c>
      <c r="G49" s="41">
        <v>13310</v>
      </c>
      <c r="H49" s="69">
        <v>15610</v>
      </c>
      <c r="I49" s="41">
        <v>11246.9</v>
      </c>
      <c r="J49" s="40" t="s">
        <v>105</v>
      </c>
      <c r="K49" s="40" t="s">
        <v>301</v>
      </c>
      <c r="L49" s="40" t="s">
        <v>460</v>
      </c>
      <c r="M49" s="35" t="s">
        <v>1151</v>
      </c>
      <c r="N49" s="40" t="s">
        <v>353</v>
      </c>
      <c r="O49" s="40" t="s">
        <v>354</v>
      </c>
      <c r="P49" s="40"/>
      <c r="Q49" s="40" t="s">
        <v>355</v>
      </c>
      <c r="R49" s="40" t="s">
        <v>145</v>
      </c>
      <c r="S49" s="40" t="s">
        <v>146</v>
      </c>
      <c r="T49" s="70" t="s">
        <v>417</v>
      </c>
      <c r="U49" s="68" t="str">
        <f>Таблица310[[#This Row],[Регистратор.Номенклатура]]</f>
        <v>Изюминка</v>
      </c>
      <c r="V49" s="45">
        <f>12*Таблица310[[#This Row],[Регистратор.Вес нетто]]/71490</f>
        <v>2.2341586235837179</v>
      </c>
      <c r="W49" s="40" t="s">
        <v>43</v>
      </c>
      <c r="X49" s="40" t="s">
        <v>19</v>
      </c>
      <c r="Y49" s="40">
        <v>4</v>
      </c>
      <c r="Z49" s="71">
        <v>45810</v>
      </c>
      <c r="AA49" s="40"/>
      <c r="AB49" s="40"/>
      <c r="AC49" s="40" t="s">
        <v>724</v>
      </c>
      <c r="AD49" s="40" t="s">
        <v>511</v>
      </c>
      <c r="AE49" s="40">
        <v>107</v>
      </c>
      <c r="AF49" s="103">
        <v>45810</v>
      </c>
      <c r="AG49" s="40">
        <v>65925</v>
      </c>
      <c r="AH49" s="40">
        <f>VLOOKUP(Таблица310[[#This Row],[№ акта]],'Степень зрелости 2025'!$H$13:$I$583,2,FALSE)</f>
        <v>56</v>
      </c>
      <c r="AI49" s="40" t="str">
        <f>VLOOKUP(Таблица310[[#This Row],[№ акта]],$AQ$1:$AT$594,2,FALSE)</f>
        <v xml:space="preserve"> 2/4</v>
      </c>
      <c r="AJ49" s="40" t="str">
        <f>Таблица310[[#This Row],[Регистратор.Номенклатура]]</f>
        <v>Изюминка</v>
      </c>
      <c r="AK49" s="40" t="str">
        <f>VLOOKUP(Таблица310[[#This Row],[№ акта]],$AQ$1:$AT$594,4,FALSE)</f>
        <v>Учхоз Кубань (богара)</v>
      </c>
      <c r="AL49" s="45">
        <f>VLOOKUP(Таблица310[[#This Row],[№ акта]],$AQ$1:$AT$594,3,FALSE)</f>
        <v>2.2341586235837179</v>
      </c>
      <c r="AM49" s="40" t="str">
        <f>IF(Таблица310[[#This Row],[Площадь уборки, га]]=Таблица310[[#This Row],[Площадь уборки до корр]],"нет","да")</f>
        <v>нет</v>
      </c>
      <c r="AN49" s="45">
        <f>Таблица310[[#This Row],[Площадь уборки до корр]]-Таблица310[[#This Row],[Площадь уборки, га]]</f>
        <v>0</v>
      </c>
      <c r="AQ49">
        <v>107</v>
      </c>
      <c r="AR49" t="s">
        <v>417</v>
      </c>
      <c r="AS49">
        <v>2.2341586235837179</v>
      </c>
      <c r="AT49" t="s">
        <v>43</v>
      </c>
    </row>
    <row r="50" spans="1:46" ht="45" hidden="1" x14ac:dyDescent="0.25">
      <c r="A50" s="40" t="s">
        <v>102</v>
      </c>
      <c r="B50" s="41">
        <v>7714.8</v>
      </c>
      <c r="C50" s="121">
        <v>55</v>
      </c>
      <c r="D50" s="42">
        <v>108</v>
      </c>
      <c r="E50" s="147">
        <v>45810</v>
      </c>
      <c r="F50" s="41">
        <v>23520</v>
      </c>
      <c r="G50" s="41">
        <v>9130</v>
      </c>
      <c r="H50" s="69">
        <v>14390</v>
      </c>
      <c r="I50" s="41">
        <v>7714.8</v>
      </c>
      <c r="J50" s="40" t="s">
        <v>78</v>
      </c>
      <c r="K50" s="40" t="s">
        <v>81</v>
      </c>
      <c r="L50" s="40" t="s">
        <v>110</v>
      </c>
      <c r="M50" s="35" t="s">
        <v>127</v>
      </c>
      <c r="N50" s="40" t="s">
        <v>341</v>
      </c>
      <c r="O50" s="40" t="s">
        <v>342</v>
      </c>
      <c r="P50" s="40"/>
      <c r="Q50" s="40" t="s">
        <v>343</v>
      </c>
      <c r="R50" s="40" t="s">
        <v>131</v>
      </c>
      <c r="S50" s="40" t="s">
        <v>132</v>
      </c>
      <c r="T50" s="40" t="s">
        <v>110</v>
      </c>
      <c r="U50" s="68" t="str">
        <f>Таблица310[[#This Row],[Регистратор.Номенклатура]]</f>
        <v>Оскар</v>
      </c>
      <c r="V50" s="45">
        <f>18*Таблица310[[#This Row],[Регистратор.Вес нетто]]/72040</f>
        <v>2.2812326485285954</v>
      </c>
      <c r="W50" s="72" t="s">
        <v>44</v>
      </c>
      <c r="X50" s="40" t="s">
        <v>19</v>
      </c>
      <c r="Y50" s="40">
        <v>5</v>
      </c>
      <c r="Z50" s="71">
        <v>45810</v>
      </c>
      <c r="AA50" s="40"/>
      <c r="AB50" s="40"/>
      <c r="AC50" s="40" t="s">
        <v>724</v>
      </c>
      <c r="AD50" s="40" t="s">
        <v>511</v>
      </c>
      <c r="AE50" s="40">
        <v>108</v>
      </c>
      <c r="AF50" s="103">
        <v>45810</v>
      </c>
      <c r="AG50" s="40">
        <v>23</v>
      </c>
      <c r="AH50" s="40">
        <f>VLOOKUP(Таблица310[[#This Row],[№ акта]],'Степень зрелости 2025'!$H$13:$I$583,2,FALSE)</f>
        <v>55</v>
      </c>
      <c r="AI50" s="40" t="str">
        <f>VLOOKUP(Таблица310[[#This Row],[№ акта]],$AQ$1:$AT$594,2,FALSE)</f>
        <v>А-44</v>
      </c>
      <c r="AJ50" s="40" t="str">
        <f>Таблица310[[#This Row],[Регистратор.Номенклатура]]</f>
        <v>Оскар</v>
      </c>
      <c r="AK50" s="40" t="str">
        <f>VLOOKUP(Таблица310[[#This Row],[№ акта]],$AQ$1:$AT$594,4,FALSE)</f>
        <v>ГРК собственные семена (богара)</v>
      </c>
      <c r="AL50" s="45">
        <f>VLOOKUP(Таблица310[[#This Row],[№ акта]],$AQ$1:$AT$594,3,FALSE)</f>
        <v>2.2812326485285954</v>
      </c>
      <c r="AM50" s="40" t="str">
        <f>IF(Таблица310[[#This Row],[Площадь уборки, га]]=Таблица310[[#This Row],[Площадь уборки до корр]],"нет","да")</f>
        <v>нет</v>
      </c>
      <c r="AN50" s="45">
        <f>Таблица310[[#This Row],[Площадь уборки до корр]]-Таблица310[[#This Row],[Площадь уборки, га]]</f>
        <v>0</v>
      </c>
      <c r="AQ50">
        <v>108</v>
      </c>
      <c r="AR50" t="s">
        <v>110</v>
      </c>
      <c r="AS50">
        <v>2.2812326485285954</v>
      </c>
      <c r="AT50" t="s">
        <v>44</v>
      </c>
    </row>
    <row r="51" spans="1:46" ht="33.75" hidden="1" x14ac:dyDescent="0.25">
      <c r="A51" s="40" t="s">
        <v>102</v>
      </c>
      <c r="B51" s="41">
        <v>10872.1</v>
      </c>
      <c r="C51" s="121">
        <v>55</v>
      </c>
      <c r="D51" s="42">
        <v>109</v>
      </c>
      <c r="E51" s="147">
        <v>45810</v>
      </c>
      <c r="F51" s="41">
        <v>28350</v>
      </c>
      <c r="G51" s="41">
        <v>13340</v>
      </c>
      <c r="H51" s="69">
        <v>15010</v>
      </c>
      <c r="I51" s="41">
        <v>10872.1</v>
      </c>
      <c r="J51" s="40" t="s">
        <v>105</v>
      </c>
      <c r="K51" s="40" t="s">
        <v>301</v>
      </c>
      <c r="L51" s="40" t="s">
        <v>460</v>
      </c>
      <c r="M51" s="35" t="s">
        <v>1461</v>
      </c>
      <c r="N51" s="40" t="s">
        <v>344</v>
      </c>
      <c r="O51" s="40" t="s">
        <v>345</v>
      </c>
      <c r="P51" s="40"/>
      <c r="Q51" s="40" t="s">
        <v>346</v>
      </c>
      <c r="R51" s="40" t="s">
        <v>149</v>
      </c>
      <c r="S51" s="40" t="s">
        <v>150</v>
      </c>
      <c r="T51" s="70" t="s">
        <v>417</v>
      </c>
      <c r="U51" s="68" t="str">
        <f>Таблица310[[#This Row],[Регистратор.Номенклатура]]</f>
        <v>Изюминка</v>
      </c>
      <c r="V51" s="45">
        <f>12*Таблица310[[#This Row],[Регистратор.Вес нетто]]/71490</f>
        <v>2.239194292908099</v>
      </c>
      <c r="W51" s="40" t="s">
        <v>43</v>
      </c>
      <c r="X51" s="40" t="s">
        <v>19</v>
      </c>
      <c r="Y51" s="40">
        <v>4</v>
      </c>
      <c r="Z51" s="71">
        <v>45810</v>
      </c>
      <c r="AA51" s="40"/>
      <c r="AB51" s="40"/>
      <c r="AC51" s="40" t="s">
        <v>724</v>
      </c>
      <c r="AD51" s="40" t="s">
        <v>511</v>
      </c>
      <c r="AE51" s="40">
        <v>109</v>
      </c>
      <c r="AF51" s="103">
        <v>45810</v>
      </c>
      <c r="AG51" s="40">
        <v>65926</v>
      </c>
      <c r="AH51" s="40">
        <f>VLOOKUP(Таблица310[[#This Row],[№ акта]],'Степень зрелости 2025'!$H$13:$I$583,2,FALSE)</f>
        <v>55</v>
      </c>
      <c r="AI51" s="40" t="str">
        <f>VLOOKUP(Таблица310[[#This Row],[№ акта]],$AQ$1:$AT$594,2,FALSE)</f>
        <v xml:space="preserve"> 2/4</v>
      </c>
      <c r="AJ51" s="40" t="str">
        <f>Таблица310[[#This Row],[Регистратор.Номенклатура]]</f>
        <v>Изюминка</v>
      </c>
      <c r="AK51" s="40" t="str">
        <f>VLOOKUP(Таблица310[[#This Row],[№ акта]],$AQ$1:$AT$594,4,FALSE)</f>
        <v>Учхоз Кубань (богара)</v>
      </c>
      <c r="AL51" s="45">
        <f>VLOOKUP(Таблица310[[#This Row],[№ акта]],$AQ$1:$AT$594,3,FALSE)</f>
        <v>2.239194292908099</v>
      </c>
      <c r="AM51" s="40" t="str">
        <f>IF(Таблица310[[#This Row],[Площадь уборки, га]]=Таблица310[[#This Row],[Площадь уборки до корр]],"нет","да")</f>
        <v>нет</v>
      </c>
      <c r="AN51" s="45">
        <f>Таблица310[[#This Row],[Площадь уборки до корр]]-Таблица310[[#This Row],[Площадь уборки, га]]</f>
        <v>0</v>
      </c>
      <c r="AQ51">
        <v>109</v>
      </c>
      <c r="AR51" t="s">
        <v>417</v>
      </c>
      <c r="AS51">
        <v>2.239194292908099</v>
      </c>
      <c r="AT51" t="s">
        <v>43</v>
      </c>
    </row>
    <row r="52" spans="1:46" ht="34.5" hidden="1" customHeight="1" x14ac:dyDescent="0.25">
      <c r="A52" s="72" t="s">
        <v>102</v>
      </c>
      <c r="B52" s="73">
        <f>Таблица310[[#This Row],[Регистратор.Вес чистый]]</f>
        <v>7282.2</v>
      </c>
      <c r="C52" s="120">
        <v>55</v>
      </c>
      <c r="D52" s="75">
        <v>110</v>
      </c>
      <c r="E52" s="146">
        <v>45811</v>
      </c>
      <c r="F52" s="73">
        <v>23950</v>
      </c>
      <c r="G52" s="73">
        <v>9160</v>
      </c>
      <c r="H52" s="77">
        <v>14790</v>
      </c>
      <c r="I52" s="73">
        <v>7282.2</v>
      </c>
      <c r="J52" s="72" t="s">
        <v>78</v>
      </c>
      <c r="K52" s="72" t="s">
        <v>81</v>
      </c>
      <c r="L52" s="72" t="s">
        <v>110</v>
      </c>
      <c r="M52" s="35" t="s">
        <v>335</v>
      </c>
      <c r="N52" s="72"/>
      <c r="O52" s="72"/>
      <c r="P52" s="72"/>
      <c r="Q52" s="72"/>
      <c r="R52" s="40" t="s">
        <v>339</v>
      </c>
      <c r="S52" s="72"/>
      <c r="T52" s="40" t="s">
        <v>110</v>
      </c>
      <c r="U52" s="68" t="str">
        <f>Таблица310[[#This Row],[Регистратор.Номенклатура]]</f>
        <v>Оскар</v>
      </c>
      <c r="V52" s="45">
        <f>8.6*Таблица310[[#This Row],[Регистратор.Вес нетто]]/26740</f>
        <v>2.9459985041136876</v>
      </c>
      <c r="W52" s="72" t="s">
        <v>44</v>
      </c>
      <c r="X52" s="40" t="s">
        <v>19</v>
      </c>
      <c r="Y52" s="40">
        <v>5</v>
      </c>
      <c r="Z52" s="71">
        <v>45810</v>
      </c>
      <c r="AB52" s="40"/>
      <c r="AC52" s="40" t="s">
        <v>724</v>
      </c>
      <c r="AD52" s="40" t="s">
        <v>511</v>
      </c>
      <c r="AE52" s="40">
        <v>110</v>
      </c>
      <c r="AF52" s="103">
        <v>45811</v>
      </c>
      <c r="AG52" s="40">
        <v>24</v>
      </c>
      <c r="AH52" s="40">
        <f>VLOOKUP(Таблица310[[#This Row],[№ акта]],'Степень зрелости 2025'!$H$13:$I$583,2,FALSE)</f>
        <v>55</v>
      </c>
      <c r="AI52" s="40" t="str">
        <f>VLOOKUP(Таблица310[[#This Row],[№ акта]],$AQ$1:$AT$594,2,FALSE)</f>
        <v>А-44</v>
      </c>
      <c r="AJ52" s="40" t="str">
        <f>Таблица310[[#This Row],[Регистратор.Номенклатура]]</f>
        <v>Оскар</v>
      </c>
      <c r="AK52" s="40" t="str">
        <f>VLOOKUP(Таблица310[[#This Row],[№ акта]],$AQ$1:$AT$594,4,FALSE)</f>
        <v>ГРК собственные семена (богара)</v>
      </c>
      <c r="AL52" s="45">
        <f>VLOOKUP(Таблица310[[#This Row],[№ акта]],$AQ$1:$AT$594,3,FALSE)</f>
        <v>2.2887284841754583</v>
      </c>
      <c r="AM52" s="40" t="str">
        <f>IF(Таблица310[[#This Row],[Площадь уборки, га]]=Таблица310[[#This Row],[Площадь уборки до корр]],"нет","да")</f>
        <v>да</v>
      </c>
      <c r="AN52" s="45">
        <f>Таблица310[[#This Row],[Площадь уборки до корр]]-Таблица310[[#This Row],[Площадь уборки, га]]</f>
        <v>-0.65727001993822931</v>
      </c>
      <c r="AQ52">
        <v>110</v>
      </c>
      <c r="AR52" t="s">
        <v>110</v>
      </c>
      <c r="AS52">
        <v>2.2887284841754583</v>
      </c>
      <c r="AT52" t="s">
        <v>44</v>
      </c>
    </row>
    <row r="53" spans="1:46" ht="34.5" hidden="1" customHeight="1" x14ac:dyDescent="0.25">
      <c r="A53" s="72" t="s">
        <v>102</v>
      </c>
      <c r="B53" s="73">
        <f>Таблица310[[#This Row],[Регистратор.Вес чистый]]</f>
        <v>7590</v>
      </c>
      <c r="C53" s="120">
        <v>55</v>
      </c>
      <c r="D53" s="75">
        <v>111</v>
      </c>
      <c r="E53" s="146">
        <v>45811</v>
      </c>
      <c r="F53" s="73">
        <v>23580</v>
      </c>
      <c r="G53" s="73">
        <v>9200</v>
      </c>
      <c r="H53" s="77">
        <v>14380</v>
      </c>
      <c r="I53" s="73">
        <v>7590</v>
      </c>
      <c r="J53" s="72" t="s">
        <v>78</v>
      </c>
      <c r="K53" s="72" t="s">
        <v>81</v>
      </c>
      <c r="L53" s="72" t="s">
        <v>110</v>
      </c>
      <c r="M53" s="35" t="s">
        <v>127</v>
      </c>
      <c r="N53" s="72"/>
      <c r="O53" s="71"/>
      <c r="P53" s="40"/>
      <c r="R53" s="40" t="s">
        <v>131</v>
      </c>
      <c r="T53" s="40" t="s">
        <v>110</v>
      </c>
      <c r="U53" s="68" t="str">
        <f>Таблица310[[#This Row],[Регистратор.Номенклатура]]</f>
        <v>Оскар</v>
      </c>
      <c r="V53" s="45">
        <f>8.6*Таблица310[[#This Row],[Регистратор.Вес нетто]]/26740</f>
        <v>2.9588631264023935</v>
      </c>
      <c r="W53" s="72" t="s">
        <v>44</v>
      </c>
      <c r="X53" s="40" t="s">
        <v>19</v>
      </c>
      <c r="Y53" s="40">
        <v>5</v>
      </c>
      <c r="Z53" s="71">
        <v>45810</v>
      </c>
      <c r="AB53" s="40"/>
      <c r="AC53" s="40" t="s">
        <v>724</v>
      </c>
      <c r="AD53" s="40" t="s">
        <v>511</v>
      </c>
      <c r="AE53" s="40">
        <v>111</v>
      </c>
      <c r="AF53" s="103">
        <v>45811</v>
      </c>
      <c r="AG53" s="40">
        <v>26</v>
      </c>
      <c r="AH53" s="40">
        <f>VLOOKUP(Таблица310[[#This Row],[№ акта]],'Степень зрелости 2025'!$H$13:$I$583,2,FALSE)</f>
        <v>55</v>
      </c>
      <c r="AI53" s="40" t="str">
        <f>VLOOKUP(Таблица310[[#This Row],[№ акта]],$AQ$1:$AT$594,2,FALSE)</f>
        <v>А-44</v>
      </c>
      <c r="AJ53" s="40" t="str">
        <f>Таблица310[[#This Row],[Регистратор.Номенклатура]]</f>
        <v>Оскар</v>
      </c>
      <c r="AK53" s="40" t="str">
        <f>VLOOKUP(Таблица310[[#This Row],[№ акта]],$AQ$1:$AT$594,4,FALSE)</f>
        <v>ГРК собственные семена (богара)</v>
      </c>
      <c r="AL53" s="45">
        <f>VLOOKUP(Таблица310[[#This Row],[№ акта]],$AQ$1:$AT$594,3,FALSE)</f>
        <v>2.2987229317046087</v>
      </c>
      <c r="AM53" s="40" t="str">
        <f>IF(Таблица310[[#This Row],[Площадь уборки, га]]=Таблица310[[#This Row],[Площадь уборки до корр]],"нет","да")</f>
        <v>да</v>
      </c>
      <c r="AN53" s="45">
        <f>Таблица310[[#This Row],[Площадь уборки до корр]]-Таблица310[[#This Row],[Площадь уборки, га]]</f>
        <v>-0.66014019469778473</v>
      </c>
      <c r="AQ53">
        <v>111</v>
      </c>
      <c r="AR53" t="s">
        <v>110</v>
      </c>
      <c r="AS53">
        <v>2.2987229317046087</v>
      </c>
      <c r="AT53" t="s">
        <v>44</v>
      </c>
    </row>
    <row r="54" spans="1:46" ht="45" hidden="1" x14ac:dyDescent="0.25">
      <c r="A54" s="72" t="s">
        <v>102</v>
      </c>
      <c r="B54" s="73">
        <f>Таблица310[[#This Row],[Регистратор.Вес чистый]]</f>
        <v>6114.4</v>
      </c>
      <c r="C54" s="120">
        <v>56</v>
      </c>
      <c r="D54" s="75">
        <v>112</v>
      </c>
      <c r="E54" s="146">
        <v>45810</v>
      </c>
      <c r="F54" s="73">
        <v>17590</v>
      </c>
      <c r="G54" s="73">
        <v>7060</v>
      </c>
      <c r="H54" s="77">
        <v>10530</v>
      </c>
      <c r="I54" s="73">
        <v>6114.4</v>
      </c>
      <c r="J54" s="72" t="s">
        <v>78</v>
      </c>
      <c r="K54" s="72" t="s">
        <v>81</v>
      </c>
      <c r="L54" s="72" t="s">
        <v>110</v>
      </c>
      <c r="M54" s="35" t="s">
        <v>283</v>
      </c>
      <c r="N54" s="72" t="s">
        <v>284</v>
      </c>
      <c r="O54" s="72" t="s">
        <v>285</v>
      </c>
      <c r="P54" s="72"/>
      <c r="Q54" s="72" t="s">
        <v>286</v>
      </c>
      <c r="R54" s="72" t="s">
        <v>287</v>
      </c>
      <c r="S54" s="72" t="s">
        <v>288</v>
      </c>
      <c r="T54" s="72" t="s">
        <v>110</v>
      </c>
      <c r="U54" s="68" t="str">
        <f>Таблица310[[#This Row],[Регистратор.Номенклатура]]</f>
        <v>Оскар</v>
      </c>
      <c r="V54" s="45">
        <f>18*Таблица310[[#This Row],[Регистратор.Вес нетто]]/72040</f>
        <v>1.7640199888950583</v>
      </c>
      <c r="W54" s="72" t="s">
        <v>44</v>
      </c>
      <c r="X54" s="72" t="s">
        <v>19</v>
      </c>
      <c r="Y54" s="72">
        <v>5</v>
      </c>
      <c r="Z54" s="71">
        <v>45810</v>
      </c>
      <c r="AA54" s="94">
        <f>Таблица310[[#This Row],[Регистратор.Вес нетто]]</f>
        <v>7060</v>
      </c>
      <c r="AB54" s="40" t="s">
        <v>357</v>
      </c>
      <c r="AC54" s="40" t="s">
        <v>724</v>
      </c>
      <c r="AD54" s="40" t="s">
        <v>511</v>
      </c>
      <c r="AE54" s="40">
        <v>112</v>
      </c>
      <c r="AF54" s="103">
        <v>45810</v>
      </c>
      <c r="AG54" s="40" t="s">
        <v>528</v>
      </c>
      <c r="AH54" s="40">
        <f>VLOOKUP(Таблица310[[#This Row],[№ акта]],'Степень зрелости 2025'!$H$13:$I$583,2,FALSE)</f>
        <v>0</v>
      </c>
      <c r="AI54" s="40" t="str">
        <f>VLOOKUP(Таблица310[[#This Row],[№ акта]],$AQ$1:$AT$594,2,FALSE)</f>
        <v>А-44</v>
      </c>
      <c r="AJ54" s="40" t="str">
        <f>Таблица310[[#This Row],[Регистратор.Номенклатура]]</f>
        <v>Оскар</v>
      </c>
      <c r="AK54" s="40" t="str">
        <f>VLOOKUP(Таблица310[[#This Row],[№ акта]],$AQ$1:$AT$594,4,FALSE)</f>
        <v>ГРК собственные семена (богара)</v>
      </c>
      <c r="AL54" s="45">
        <f>VLOOKUP(Таблица310[[#This Row],[№ акта]],$AQ$1:$AT$594,3,FALSE)</f>
        <v>1.7640199888950583</v>
      </c>
      <c r="AM54" s="40" t="str">
        <f>IF(Таблица310[[#This Row],[Площадь уборки, га]]=Таблица310[[#This Row],[Площадь уборки до корр]],"нет","да")</f>
        <v>нет</v>
      </c>
      <c r="AN54" s="45">
        <f>Таблица310[[#This Row],[Площадь уборки до корр]]-Таблица310[[#This Row],[Площадь уборки, га]]</f>
        <v>0</v>
      </c>
      <c r="AQ54">
        <v>112</v>
      </c>
      <c r="AR54" t="s">
        <v>110</v>
      </c>
      <c r="AS54">
        <v>1.7640199888950583</v>
      </c>
      <c r="AT54" t="s">
        <v>44</v>
      </c>
    </row>
    <row r="55" spans="1:46" ht="45" hidden="1" x14ac:dyDescent="0.25">
      <c r="A55" s="72" t="s">
        <v>102</v>
      </c>
      <c r="B55" s="73">
        <f>Таблица310[[#This Row],[Регистратор.Вес чистый]]</f>
        <v>8787</v>
      </c>
      <c r="C55" s="120">
        <v>56</v>
      </c>
      <c r="D55" s="75">
        <v>113</v>
      </c>
      <c r="E55" s="146">
        <v>45810</v>
      </c>
      <c r="F55" s="73">
        <v>27260</v>
      </c>
      <c r="G55" s="73">
        <v>10180</v>
      </c>
      <c r="H55" s="77">
        <v>17080</v>
      </c>
      <c r="I55" s="73">
        <v>8787</v>
      </c>
      <c r="J55" s="72" t="s">
        <v>78</v>
      </c>
      <c r="K55" s="72" t="s">
        <v>81</v>
      </c>
      <c r="L55" s="72" t="s">
        <v>110</v>
      </c>
      <c r="M55" s="35" t="s">
        <v>289</v>
      </c>
      <c r="N55" s="72" t="s">
        <v>290</v>
      </c>
      <c r="O55" s="72" t="s">
        <v>291</v>
      </c>
      <c r="P55" s="72"/>
      <c r="Q55" s="72" t="s">
        <v>292</v>
      </c>
      <c r="R55" s="72" t="s">
        <v>293</v>
      </c>
      <c r="S55" s="72" t="s">
        <v>294</v>
      </c>
      <c r="T55" s="72" t="s">
        <v>110</v>
      </c>
      <c r="U55" s="68" t="str">
        <f>Таблица310[[#This Row],[Регистратор.Номенклатура]]</f>
        <v>Оскар</v>
      </c>
      <c r="V55" s="45">
        <f>18*Таблица310[[#This Row],[Регистратор.Вес нетто]]/72040</f>
        <v>2.5435868961687951</v>
      </c>
      <c r="W55" s="72" t="s">
        <v>44</v>
      </c>
      <c r="X55" s="72" t="s">
        <v>19</v>
      </c>
      <c r="Y55" s="72">
        <v>5</v>
      </c>
      <c r="Z55" s="71">
        <v>45810</v>
      </c>
      <c r="AA55" s="94">
        <f>Таблица310[[#This Row],[Регистратор.Вес нетто]]</f>
        <v>10180</v>
      </c>
      <c r="AB55" s="40" t="s">
        <v>357</v>
      </c>
      <c r="AC55" s="40" t="s">
        <v>724</v>
      </c>
      <c r="AD55" s="40" t="s">
        <v>511</v>
      </c>
      <c r="AE55" s="40">
        <v>113</v>
      </c>
      <c r="AF55" s="103">
        <v>45810</v>
      </c>
      <c r="AG55" s="40" t="s">
        <v>529</v>
      </c>
      <c r="AH55" s="40">
        <f>VLOOKUP(Таблица310[[#This Row],[№ акта]],'Степень зрелости 2025'!$H$13:$I$583,2,FALSE)</f>
        <v>0</v>
      </c>
      <c r="AI55" s="40" t="str">
        <f>VLOOKUP(Таблица310[[#This Row],[№ акта]],$AQ$1:$AT$594,2,FALSE)</f>
        <v>А-44</v>
      </c>
      <c r="AJ55" s="40" t="str">
        <f>Таблица310[[#This Row],[Регистратор.Номенклатура]]</f>
        <v>Оскар</v>
      </c>
      <c r="AK55" s="40" t="str">
        <f>VLOOKUP(Таблица310[[#This Row],[№ акта]],$AQ$1:$AT$594,4,FALSE)</f>
        <v>ГРК собственные семена (богара)</v>
      </c>
      <c r="AL55" s="45">
        <f>VLOOKUP(Таблица310[[#This Row],[№ акта]],$AQ$1:$AT$594,3,FALSE)</f>
        <v>2.5435868961687951</v>
      </c>
      <c r="AM55" s="40" t="str">
        <f>IF(Таблица310[[#This Row],[Площадь уборки, га]]=Таблица310[[#This Row],[Площадь уборки до корр]],"нет","да")</f>
        <v>нет</v>
      </c>
      <c r="AN55" s="45">
        <f>Таблица310[[#This Row],[Площадь уборки до корр]]-Таблица310[[#This Row],[Площадь уборки, га]]</f>
        <v>0</v>
      </c>
      <c r="AQ55">
        <v>113</v>
      </c>
      <c r="AR55" t="s">
        <v>110</v>
      </c>
      <c r="AS55">
        <v>2.5435868961687951</v>
      </c>
      <c r="AT55" t="s">
        <v>44</v>
      </c>
    </row>
    <row r="56" spans="1:46" ht="45" hidden="1" x14ac:dyDescent="0.25">
      <c r="A56" s="72" t="s">
        <v>102</v>
      </c>
      <c r="B56" s="73">
        <f>Таблица310[[#This Row],[Регистратор.Вес чистый]]</f>
        <v>12905.6</v>
      </c>
      <c r="C56" s="120">
        <v>55</v>
      </c>
      <c r="D56" s="75">
        <v>114</v>
      </c>
      <c r="E56" s="146">
        <v>45810</v>
      </c>
      <c r="F56" s="73">
        <v>32700</v>
      </c>
      <c r="G56" s="73">
        <v>14910</v>
      </c>
      <c r="H56" s="77">
        <v>17790</v>
      </c>
      <c r="I56" s="73">
        <v>12905.6</v>
      </c>
      <c r="J56" s="72" t="s">
        <v>78</v>
      </c>
      <c r="K56" s="72" t="s">
        <v>81</v>
      </c>
      <c r="L56" s="72" t="s">
        <v>110</v>
      </c>
      <c r="M56" s="35" t="s">
        <v>295</v>
      </c>
      <c r="N56" s="72" t="s">
        <v>296</v>
      </c>
      <c r="O56" s="72" t="s">
        <v>297</v>
      </c>
      <c r="P56" s="72"/>
      <c r="Q56" s="72" t="s">
        <v>298</v>
      </c>
      <c r="R56" s="72" t="s">
        <v>299</v>
      </c>
      <c r="S56" s="72" t="s">
        <v>300</v>
      </c>
      <c r="T56" s="72" t="s">
        <v>110</v>
      </c>
      <c r="U56" s="68" t="str">
        <f>Таблица310[[#This Row],[Регистратор.Номенклатура]]</f>
        <v>Оскар</v>
      </c>
      <c r="V56" s="45">
        <f>18*Таблица310[[#This Row],[Регистратор.Вес нетто]]/72040</f>
        <v>3.7254303164908382</v>
      </c>
      <c r="W56" s="72" t="s">
        <v>44</v>
      </c>
      <c r="X56" s="72" t="s">
        <v>19</v>
      </c>
      <c r="Y56" s="72">
        <v>5</v>
      </c>
      <c r="Z56" s="71">
        <v>45810</v>
      </c>
      <c r="AA56" s="94">
        <f>Таблица310[[#This Row],[Регистратор.Вес нетто]]</f>
        <v>14910</v>
      </c>
      <c r="AB56" s="40" t="s">
        <v>357</v>
      </c>
      <c r="AC56" s="40" t="s">
        <v>724</v>
      </c>
      <c r="AD56" s="40" t="s">
        <v>511</v>
      </c>
      <c r="AE56" s="40">
        <v>114</v>
      </c>
      <c r="AF56" s="103">
        <v>45810</v>
      </c>
      <c r="AG56" s="40" t="s">
        <v>530</v>
      </c>
      <c r="AH56" s="40">
        <f>VLOOKUP(Таблица310[[#This Row],[№ акта]],'Степень зрелости 2025'!$H$13:$I$583,2,FALSE)</f>
        <v>0</v>
      </c>
      <c r="AI56" s="40" t="str">
        <f>VLOOKUP(Таблица310[[#This Row],[№ акта]],$AQ$1:$AT$594,2,FALSE)</f>
        <v>А-44</v>
      </c>
      <c r="AJ56" s="40" t="str">
        <f>Таблица310[[#This Row],[Регистратор.Номенклатура]]</f>
        <v>Оскар</v>
      </c>
      <c r="AK56" s="40" t="str">
        <f>VLOOKUP(Таблица310[[#This Row],[№ акта]],$AQ$1:$AT$594,4,FALSE)</f>
        <v>ГРК собственные семена (богара)</v>
      </c>
      <c r="AL56" s="45">
        <f>VLOOKUP(Таблица310[[#This Row],[№ акта]],$AQ$1:$AT$594,3,FALSE)</f>
        <v>3.7254303164908382</v>
      </c>
      <c r="AM56" s="40" t="str">
        <f>IF(Таблица310[[#This Row],[Площадь уборки, га]]=Таблица310[[#This Row],[Площадь уборки до корр]],"нет","да")</f>
        <v>нет</v>
      </c>
      <c r="AN56" s="45">
        <f>Таблица310[[#This Row],[Площадь уборки до корр]]-Таблица310[[#This Row],[Площадь уборки, га]]</f>
        <v>0</v>
      </c>
      <c r="AQ56">
        <v>114</v>
      </c>
      <c r="AR56" t="s">
        <v>110</v>
      </c>
      <c r="AS56">
        <v>3.7254303164908382</v>
      </c>
      <c r="AT56" t="s">
        <v>44</v>
      </c>
    </row>
    <row r="57" spans="1:46" ht="33.75" x14ac:dyDescent="0.25">
      <c r="A57" s="72" t="s">
        <v>102</v>
      </c>
      <c r="B57" s="73">
        <f>Таблица310[[#This Row],[Регистратор.Вес чистый]]</f>
        <v>16610</v>
      </c>
      <c r="C57" s="120">
        <v>47</v>
      </c>
      <c r="D57" s="75">
        <v>115</v>
      </c>
      <c r="E57" s="146">
        <v>45810</v>
      </c>
      <c r="F57" s="73">
        <v>34160</v>
      </c>
      <c r="G57" s="73">
        <v>17960</v>
      </c>
      <c r="H57" s="77">
        <v>16200</v>
      </c>
      <c r="I57" s="73">
        <v>16610</v>
      </c>
      <c r="J57" s="72" t="s">
        <v>105</v>
      </c>
      <c r="K57" s="72" t="s">
        <v>301</v>
      </c>
      <c r="L57" s="72" t="s">
        <v>460</v>
      </c>
      <c r="M57" s="35" t="s">
        <v>302</v>
      </c>
      <c r="N57" s="72"/>
      <c r="O57" s="72"/>
      <c r="P57" s="72"/>
      <c r="Q57" s="72" t="s">
        <v>298</v>
      </c>
      <c r="R57" s="72" t="s">
        <v>303</v>
      </c>
      <c r="S57" s="72" t="s">
        <v>300</v>
      </c>
      <c r="T57" s="70" t="s">
        <v>417</v>
      </c>
      <c r="U57" s="68" t="str">
        <f>Таблица310[[#This Row],[Регистратор.Номенклатура]]</f>
        <v>Изюминка</v>
      </c>
      <c r="V57" s="45">
        <f>12*Таблица310[[#This Row],[Регистратор.Вес нетто]]/71490</f>
        <v>3.014687368862778</v>
      </c>
      <c r="W57" s="72" t="s">
        <v>43</v>
      </c>
      <c r="X57" s="72" t="s">
        <v>19</v>
      </c>
      <c r="Y57" s="72">
        <v>4</v>
      </c>
      <c r="Z57" s="71">
        <v>45810</v>
      </c>
      <c r="AA57" s="94">
        <f>Таблица310[[#This Row],[Регистратор.Вес нетто]]</f>
        <v>17960</v>
      </c>
      <c r="AB57" s="40" t="s">
        <v>358</v>
      </c>
      <c r="AC57" s="40" t="s">
        <v>419</v>
      </c>
      <c r="AD57" s="40" t="s">
        <v>511</v>
      </c>
      <c r="AE57" s="40">
        <v>115</v>
      </c>
      <c r="AF57" s="103">
        <v>45810</v>
      </c>
      <c r="AG57" s="40" t="s">
        <v>415</v>
      </c>
      <c r="AH57" s="40">
        <f>VLOOKUP(Таблица310[[#This Row],[№ акта]],'Степень зрелости 2025'!$H$13:$I$583,2,FALSE)</f>
        <v>0</v>
      </c>
      <c r="AI57" s="40" t="str">
        <f>VLOOKUP(Таблица310[[#This Row],[№ акта]],$AQ$1:$AT$594,2,FALSE)</f>
        <v xml:space="preserve"> 2/4</v>
      </c>
      <c r="AJ57" s="40" t="str">
        <f>Таблица310[[#This Row],[Регистратор.Номенклатура]]</f>
        <v>Изюминка</v>
      </c>
      <c r="AK57" s="40" t="str">
        <f>VLOOKUP(Таблица310[[#This Row],[№ акта]],$AQ$1:$AT$594,4,FALSE)</f>
        <v>Учхоз Кубань (богара)</v>
      </c>
      <c r="AL57" s="45">
        <f>VLOOKUP(Таблица310[[#This Row],[№ акта]],$AQ$1:$AT$594,3,FALSE)</f>
        <v>3.014687368862778</v>
      </c>
      <c r="AM57" s="40" t="str">
        <f>IF(Таблица310[[#This Row],[Площадь уборки, га]]=Таблица310[[#This Row],[Площадь уборки до корр]],"нет","да")</f>
        <v>нет</v>
      </c>
      <c r="AN57" s="45">
        <f>Таблица310[[#This Row],[Площадь уборки до корр]]-Таблица310[[#This Row],[Площадь уборки, га]]</f>
        <v>0</v>
      </c>
      <c r="AQ57">
        <v>115</v>
      </c>
      <c r="AR57" t="s">
        <v>417</v>
      </c>
      <c r="AS57">
        <v>3.014687368862778</v>
      </c>
      <c r="AT57" t="s">
        <v>43</v>
      </c>
    </row>
    <row r="58" spans="1:46" ht="45" hidden="1" x14ac:dyDescent="0.25">
      <c r="A58" s="72" t="s">
        <v>102</v>
      </c>
      <c r="B58" s="73">
        <v>4764.1000000000004</v>
      </c>
      <c r="C58" s="120">
        <v>55</v>
      </c>
      <c r="D58" s="75">
        <v>132</v>
      </c>
      <c r="E58" s="146">
        <v>45811</v>
      </c>
      <c r="F58" s="73">
        <v>29230</v>
      </c>
      <c r="G58" s="73">
        <v>6710</v>
      </c>
      <c r="H58" s="77">
        <v>22520</v>
      </c>
      <c r="I58" s="73">
        <v>4764.1000000000004</v>
      </c>
      <c r="J58" s="72" t="s">
        <v>78</v>
      </c>
      <c r="K58" s="72" t="s">
        <v>81</v>
      </c>
      <c r="L58" s="72" t="s">
        <v>422</v>
      </c>
      <c r="M58" s="35" t="s">
        <v>79</v>
      </c>
      <c r="N58" s="72" t="s">
        <v>471</v>
      </c>
      <c r="O58" s="72" t="s">
        <v>472</v>
      </c>
      <c r="P58" s="72"/>
      <c r="Q58" s="72" t="s">
        <v>473</v>
      </c>
      <c r="R58" s="72" t="s">
        <v>80</v>
      </c>
      <c r="S58" s="72" t="s">
        <v>109</v>
      </c>
      <c r="T58" s="70" t="s">
        <v>422</v>
      </c>
      <c r="U58" s="68" t="str">
        <f>Таблица310[[#This Row],[Регистратор.Номенклатура]]</f>
        <v>Оскар</v>
      </c>
      <c r="V58" s="45">
        <f>20.5*Таблица310[[#This Row],[Регистратор.Вес нетто]]/68840</f>
        <v>1.9981841952353283</v>
      </c>
      <c r="W58" s="72" t="s">
        <v>44</v>
      </c>
      <c r="X58" s="72" t="s">
        <v>19</v>
      </c>
      <c r="Y58" s="72">
        <v>6</v>
      </c>
      <c r="Z58" s="71">
        <v>45811</v>
      </c>
      <c r="AA58" s="40"/>
      <c r="AB58" s="40"/>
      <c r="AC58" s="40" t="s">
        <v>724</v>
      </c>
      <c r="AD58" s="40" t="s">
        <v>511</v>
      </c>
      <c r="AE58" s="40">
        <v>132</v>
      </c>
      <c r="AF58" s="103">
        <v>45811</v>
      </c>
      <c r="AG58" s="40">
        <v>30</v>
      </c>
      <c r="AH58" s="40">
        <f>VLOOKUP(Таблица310[[#This Row],[№ акта]],'Степень зрелости 2025'!$H$13:$I$583,2,FALSE)</f>
        <v>55</v>
      </c>
      <c r="AI58" s="40" t="str">
        <f>VLOOKUP(Таблица310[[#This Row],[№ акта]],$AQ$1:$AT$594,2,FALSE)</f>
        <v>А-46</v>
      </c>
      <c r="AJ58" s="40" t="str">
        <f>Таблица310[[#This Row],[Регистратор.Номенклатура]]</f>
        <v>Оскар</v>
      </c>
      <c r="AK58" s="40" t="str">
        <f>VLOOKUP(Таблица310[[#This Row],[№ акта]],$AQ$1:$AT$594,4,FALSE)</f>
        <v>ГРК собственные семена (богара)</v>
      </c>
      <c r="AL58" s="45">
        <f>VLOOKUP(Таблица310[[#This Row],[№ акта]],$AQ$1:$AT$594,3,FALSE)</f>
        <v>2.4216224697944453</v>
      </c>
      <c r="AM58" s="40" t="str">
        <f>IF(Таблица310[[#This Row],[Площадь уборки, га]]=Таблица310[[#This Row],[Площадь уборки до корр]],"нет","да")</f>
        <v>да</v>
      </c>
      <c r="AN58" s="45">
        <f>Таблица310[[#This Row],[Площадь уборки до корр]]-Таблица310[[#This Row],[Площадь уборки, га]]</f>
        <v>0.42343827455911698</v>
      </c>
      <c r="AQ58">
        <v>132</v>
      </c>
      <c r="AR58" t="s">
        <v>422</v>
      </c>
      <c r="AS58">
        <v>2.4216224697944453</v>
      </c>
      <c r="AT58" t="s">
        <v>44</v>
      </c>
    </row>
    <row r="59" spans="1:46" ht="45" hidden="1" x14ac:dyDescent="0.25">
      <c r="A59" s="72" t="s">
        <v>102</v>
      </c>
      <c r="B59" s="73">
        <v>6368.8</v>
      </c>
      <c r="C59" s="120">
        <v>51</v>
      </c>
      <c r="D59" s="75">
        <v>136</v>
      </c>
      <c r="E59" s="146">
        <v>45811</v>
      </c>
      <c r="F59" s="73">
        <v>22520</v>
      </c>
      <c r="G59" s="73">
        <v>8380</v>
      </c>
      <c r="H59" s="77">
        <v>14140</v>
      </c>
      <c r="I59" s="73">
        <v>6368.8</v>
      </c>
      <c r="J59" s="72" t="s">
        <v>78</v>
      </c>
      <c r="K59" s="72" t="s">
        <v>81</v>
      </c>
      <c r="L59" s="72" t="s">
        <v>110</v>
      </c>
      <c r="M59" s="35" t="s">
        <v>79</v>
      </c>
      <c r="N59" s="72" t="s">
        <v>463</v>
      </c>
      <c r="O59" s="72" t="s">
        <v>464</v>
      </c>
      <c r="P59" s="72"/>
      <c r="Q59" s="72" t="s">
        <v>465</v>
      </c>
      <c r="R59" s="72" t="s">
        <v>80</v>
      </c>
      <c r="S59" s="72" t="s">
        <v>109</v>
      </c>
      <c r="T59" s="70" t="s">
        <v>110</v>
      </c>
      <c r="U59" s="68" t="str">
        <f>Таблица310[[#This Row],[Регистратор.Номенклатура]]</f>
        <v>Оскар</v>
      </c>
      <c r="V59" s="45">
        <f>8.6*Таблица310[[#This Row],[Регистратор.Вес нетто]]/26740</f>
        <v>2.695138369483919</v>
      </c>
      <c r="W59" s="72" t="s">
        <v>44</v>
      </c>
      <c r="X59" s="72" t="s">
        <v>19</v>
      </c>
      <c r="Y59" s="72">
        <v>6</v>
      </c>
      <c r="Z59" s="71">
        <v>45811</v>
      </c>
      <c r="AA59" s="40"/>
      <c r="AB59" s="40"/>
      <c r="AC59" s="40" t="s">
        <v>419</v>
      </c>
      <c r="AD59" s="40" t="s">
        <v>511</v>
      </c>
      <c r="AE59" s="40">
        <v>136</v>
      </c>
      <c r="AF59" s="103">
        <v>45811</v>
      </c>
      <c r="AG59" s="40">
        <v>30</v>
      </c>
      <c r="AH59" s="40">
        <f>VLOOKUP(Таблица310[[#This Row],[№ акта]],'Степень зрелости 2025'!$H$13:$I$583,2,FALSE)</f>
        <v>51</v>
      </c>
      <c r="AI59" s="40" t="str">
        <f>VLOOKUP(Таблица310[[#This Row],[№ акта]],$AQ$1:$AT$594,2,FALSE)</f>
        <v>А-44</v>
      </c>
      <c r="AJ59" s="40" t="str">
        <f>Таблица310[[#This Row],[Регистратор.Номенклатура]]</f>
        <v>Оскар</v>
      </c>
      <c r="AK59" s="40" t="str">
        <f>VLOOKUP(Таблица310[[#This Row],[№ акта]],$AQ$1:$AT$594,4,FALSE)</f>
        <v>ГРК собственные семена (богара)</v>
      </c>
      <c r="AL59" s="45">
        <f>VLOOKUP(Таблица310[[#This Row],[№ акта]],$AQ$1:$AT$594,3,FALSE)</f>
        <v>1.6343247196489517</v>
      </c>
      <c r="AM59" s="40" t="str">
        <f>IF(Таблица310[[#This Row],[Площадь уборки, га]]=Таблица310[[#This Row],[Площадь уборки до корр]],"нет","да")</f>
        <v>да</v>
      </c>
      <c r="AN59" s="45">
        <f>Таблица310[[#This Row],[Площадь уборки до корр]]-Таблица310[[#This Row],[Площадь уборки, га]]</f>
        <v>-1.0608136498349674</v>
      </c>
      <c r="AQ59">
        <v>136</v>
      </c>
      <c r="AR59" t="s">
        <v>110</v>
      </c>
      <c r="AS59">
        <v>1.6343247196489517</v>
      </c>
      <c r="AT59" t="s">
        <v>44</v>
      </c>
    </row>
    <row r="60" spans="1:46" ht="45" hidden="1" x14ac:dyDescent="0.25">
      <c r="A60" s="72" t="s">
        <v>102</v>
      </c>
      <c r="B60" s="73">
        <v>3215.4</v>
      </c>
      <c r="C60" s="120">
        <v>50</v>
      </c>
      <c r="D60" s="75">
        <v>137</v>
      </c>
      <c r="E60" s="146">
        <v>45811</v>
      </c>
      <c r="F60" s="73">
        <v>14110</v>
      </c>
      <c r="G60" s="73">
        <v>4660</v>
      </c>
      <c r="H60" s="77">
        <v>9450</v>
      </c>
      <c r="I60" s="73">
        <v>3215.4</v>
      </c>
      <c r="J60" s="72" t="s">
        <v>78</v>
      </c>
      <c r="K60" s="72" t="s">
        <v>81</v>
      </c>
      <c r="L60" s="72" t="s">
        <v>422</v>
      </c>
      <c r="M60" s="35" t="s">
        <v>79</v>
      </c>
      <c r="N60" s="72" t="s">
        <v>461</v>
      </c>
      <c r="O60" s="72" t="s">
        <v>462</v>
      </c>
      <c r="P60" s="72"/>
      <c r="Q60" s="72">
        <v>948.75699999999995</v>
      </c>
      <c r="R60" s="72" t="s">
        <v>80</v>
      </c>
      <c r="S60" s="72"/>
      <c r="T60" s="70" t="s">
        <v>422</v>
      </c>
      <c r="U60" s="68" t="str">
        <f>Таблица310[[#This Row],[Регистратор.Номенклатура]]</f>
        <v>Оскар</v>
      </c>
      <c r="V60" s="45">
        <f>20.5*Таблица310[[#This Row],[Регистратор.Вес нетто]]/68840</f>
        <v>1.3877106333527018</v>
      </c>
      <c r="W60" s="72" t="s">
        <v>44</v>
      </c>
      <c r="X60" s="72" t="s">
        <v>19</v>
      </c>
      <c r="Y60" s="72">
        <v>6</v>
      </c>
      <c r="Z60" s="71">
        <v>45811</v>
      </c>
      <c r="AA60" s="40"/>
      <c r="AB60" s="40"/>
      <c r="AC60" s="40" t="s">
        <v>419</v>
      </c>
      <c r="AD60" s="40" t="s">
        <v>511</v>
      </c>
      <c r="AE60" s="40">
        <v>137</v>
      </c>
      <c r="AF60" s="103">
        <v>45811</v>
      </c>
      <c r="AG60" s="40">
        <v>30</v>
      </c>
      <c r="AH60" s="40">
        <f>VLOOKUP(Таблица310[[#This Row],[№ акта]],'Степень зрелости 2025'!$H$13:$I$583,2,FALSE)</f>
        <v>50</v>
      </c>
      <c r="AI60" s="40" t="str">
        <f>VLOOKUP(Таблица310[[#This Row],[№ акта]],$AQ$1:$AT$594,2,FALSE)</f>
        <v>А-46</v>
      </c>
      <c r="AJ60" s="40" t="str">
        <f>Таблица310[[#This Row],[Регистратор.Номенклатура]]</f>
        <v>Оскар</v>
      </c>
      <c r="AK60" s="40" t="str">
        <f>VLOOKUP(Таблица310[[#This Row],[№ акта]],$AQ$1:$AT$594,4,FALSE)</f>
        <v>ГРК собственные семена (богара)</v>
      </c>
      <c r="AL60" s="45">
        <f>VLOOKUP(Таблица310[[#This Row],[№ акта]],$AQ$1:$AT$594,3,FALSE)</f>
        <v>1.6817825200062764</v>
      </c>
      <c r="AM60" s="40" t="str">
        <f>IF(Таблица310[[#This Row],[Площадь уборки, га]]=Таблица310[[#This Row],[Площадь уборки до корр]],"нет","да")</f>
        <v>да</v>
      </c>
      <c r="AN60" s="45">
        <f>Таблица310[[#This Row],[Площадь уборки до корр]]-Таблица310[[#This Row],[Площадь уборки, га]]</f>
        <v>0.29407188665357453</v>
      </c>
      <c r="AQ60">
        <v>137</v>
      </c>
      <c r="AR60" t="s">
        <v>422</v>
      </c>
      <c r="AS60">
        <v>1.6817825200062764</v>
      </c>
      <c r="AT60" t="s">
        <v>44</v>
      </c>
    </row>
    <row r="61" spans="1:46" ht="33.75" hidden="1" x14ac:dyDescent="0.25">
      <c r="A61" s="72" t="s">
        <v>102</v>
      </c>
      <c r="B61" s="73">
        <v>11018.8</v>
      </c>
      <c r="C61" s="120">
        <v>53</v>
      </c>
      <c r="D61" s="75">
        <v>138</v>
      </c>
      <c r="E61" s="146">
        <v>45811</v>
      </c>
      <c r="F61" s="73">
        <v>34390</v>
      </c>
      <c r="G61" s="73">
        <v>13520</v>
      </c>
      <c r="H61" s="77">
        <v>20870</v>
      </c>
      <c r="I61" s="73">
        <v>11018.8</v>
      </c>
      <c r="J61" s="72" t="s">
        <v>105</v>
      </c>
      <c r="K61" s="72" t="s">
        <v>21</v>
      </c>
      <c r="L61" s="72" t="s">
        <v>460</v>
      </c>
      <c r="M61" s="35" t="s">
        <v>1152</v>
      </c>
      <c r="N61" s="72" t="s">
        <v>466</v>
      </c>
      <c r="O61" s="72" t="s">
        <v>467</v>
      </c>
      <c r="P61" s="72"/>
      <c r="Q61" s="72" t="s">
        <v>468</v>
      </c>
      <c r="R61" s="72" t="s">
        <v>119</v>
      </c>
      <c r="S61" s="72" t="s">
        <v>120</v>
      </c>
      <c r="T61" s="70" t="s">
        <v>417</v>
      </c>
      <c r="U61" s="68" t="str">
        <f>Таблица310[[#This Row],[Регистратор.Номенклатура]]</f>
        <v>Преладо</v>
      </c>
      <c r="V61" s="45">
        <f>33*Таблица310[[#This Row],[Регистратор.Вес нетто]]/201670</f>
        <v>2.2123270689740666</v>
      </c>
      <c r="W61" s="72" t="s">
        <v>43</v>
      </c>
      <c r="X61" s="72" t="s">
        <v>19</v>
      </c>
      <c r="Y61" s="72">
        <v>5</v>
      </c>
      <c r="Z61" s="71">
        <v>45811</v>
      </c>
      <c r="AA61" s="40"/>
      <c r="AB61" s="40"/>
      <c r="AC61" s="40" t="s">
        <v>724</v>
      </c>
      <c r="AD61" s="40" t="s">
        <v>511</v>
      </c>
      <c r="AE61" s="40">
        <v>138</v>
      </c>
      <c r="AF61" s="103">
        <v>45811</v>
      </c>
      <c r="AG61" s="40">
        <v>65933</v>
      </c>
      <c r="AH61" s="40">
        <f>VLOOKUP(Таблица310[[#This Row],[№ акта]],'Степень зрелости 2025'!$H$13:$I$583,2,FALSE)</f>
        <v>53</v>
      </c>
      <c r="AI61" s="40" t="str">
        <f>VLOOKUP(Таблица310[[#This Row],[№ акта]],$AQ$1:$AT$594,2,FALSE)</f>
        <v xml:space="preserve"> 2/4</v>
      </c>
      <c r="AJ61" s="40" t="str">
        <f>Таблица310[[#This Row],[Регистратор.Номенклатура]]</f>
        <v>Преладо</v>
      </c>
      <c r="AK61" s="40" t="str">
        <f>VLOOKUP(Таблица310[[#This Row],[№ акта]],$AQ$1:$AT$594,4,FALSE)</f>
        <v>Учхоз Кубань (богара)</v>
      </c>
      <c r="AL61" s="45">
        <f>VLOOKUP(Таблица310[[#This Row],[№ акта]],$AQ$1:$AT$594,3,FALSE)</f>
        <v>2.2123270689740666</v>
      </c>
      <c r="AM61" s="40" t="str">
        <f>IF(Таблица310[[#This Row],[Площадь уборки, га]]=Таблица310[[#This Row],[Площадь уборки до корр]],"нет","да")</f>
        <v>нет</v>
      </c>
      <c r="AN61" s="45">
        <f>Таблица310[[#This Row],[Площадь уборки до корр]]-Таблица310[[#This Row],[Площадь уборки, га]]</f>
        <v>0</v>
      </c>
      <c r="AQ61">
        <v>138</v>
      </c>
      <c r="AR61" t="s">
        <v>417</v>
      </c>
      <c r="AS61">
        <v>2.2123270689740666</v>
      </c>
      <c r="AT61" t="s">
        <v>43</v>
      </c>
    </row>
    <row r="62" spans="1:46" ht="33.75" hidden="1" x14ac:dyDescent="0.25">
      <c r="A62" s="72" t="s">
        <v>102</v>
      </c>
      <c r="B62" s="73">
        <v>11356</v>
      </c>
      <c r="C62" s="120">
        <v>56</v>
      </c>
      <c r="D62" s="75">
        <v>139</v>
      </c>
      <c r="E62" s="146">
        <v>45811</v>
      </c>
      <c r="F62" s="73">
        <v>28460</v>
      </c>
      <c r="G62" s="73">
        <v>13600</v>
      </c>
      <c r="H62" s="77">
        <v>14860</v>
      </c>
      <c r="I62" s="73">
        <v>11356</v>
      </c>
      <c r="J62" s="72" t="s">
        <v>105</v>
      </c>
      <c r="K62" s="72" t="s">
        <v>21</v>
      </c>
      <c r="L62" s="72" t="s">
        <v>460</v>
      </c>
      <c r="M62" s="35" t="s">
        <v>151</v>
      </c>
      <c r="N62" s="72" t="s">
        <v>483</v>
      </c>
      <c r="O62" s="72" t="s">
        <v>484</v>
      </c>
      <c r="P62" s="72"/>
      <c r="Q62" s="72" t="s">
        <v>485</v>
      </c>
      <c r="R62" s="72" t="s">
        <v>155</v>
      </c>
      <c r="S62" s="72" t="s">
        <v>156</v>
      </c>
      <c r="T62" s="70" t="s">
        <v>417</v>
      </c>
      <c r="U62" s="68" t="str">
        <f>Таблица310[[#This Row],[Регистратор.Номенклатура]]</f>
        <v>Преладо</v>
      </c>
      <c r="V62" s="45">
        <f>33*Таблица310[[#This Row],[Регистратор.Вес нетто]]/201670</f>
        <v>2.2254177616898896</v>
      </c>
      <c r="W62" s="72" t="s">
        <v>43</v>
      </c>
      <c r="X62" s="72" t="s">
        <v>19</v>
      </c>
      <c r="Y62" s="72">
        <v>5</v>
      </c>
      <c r="Z62" s="71">
        <v>45811</v>
      </c>
      <c r="AA62" s="40"/>
      <c r="AB62" s="40"/>
      <c r="AC62" s="40" t="s">
        <v>724</v>
      </c>
      <c r="AD62" s="40" t="s">
        <v>511</v>
      </c>
      <c r="AE62" s="40">
        <v>139</v>
      </c>
      <c r="AF62" s="103">
        <v>45811</v>
      </c>
      <c r="AG62" s="40">
        <v>65935</v>
      </c>
      <c r="AH62" s="40">
        <f>VLOOKUP(Таблица310[[#This Row],[№ акта]],'Степень зрелости 2025'!$H$13:$I$583,2,FALSE)</f>
        <v>56</v>
      </c>
      <c r="AI62" s="40" t="str">
        <f>VLOOKUP(Таблица310[[#This Row],[№ акта]],$AQ$1:$AT$594,2,FALSE)</f>
        <v xml:space="preserve"> 2/4</v>
      </c>
      <c r="AJ62" s="40" t="str">
        <f>Таблица310[[#This Row],[Регистратор.Номенклатура]]</f>
        <v>Преладо</v>
      </c>
      <c r="AK62" s="40" t="str">
        <f>VLOOKUP(Таблица310[[#This Row],[№ акта]],$AQ$1:$AT$594,4,FALSE)</f>
        <v>Учхоз Кубань (богара)</v>
      </c>
      <c r="AL62" s="45">
        <f>VLOOKUP(Таблица310[[#This Row],[№ акта]],$AQ$1:$AT$594,3,FALSE)</f>
        <v>2.2254177616898896</v>
      </c>
      <c r="AM62" s="40" t="str">
        <f>IF(Таблица310[[#This Row],[Площадь уборки, га]]=Таблица310[[#This Row],[Площадь уборки до корр]],"нет","да")</f>
        <v>нет</v>
      </c>
      <c r="AN62" s="45">
        <f>Таблица310[[#This Row],[Площадь уборки до корр]]-Таблица310[[#This Row],[Площадь уборки, га]]</f>
        <v>0</v>
      </c>
      <c r="AQ62">
        <v>139</v>
      </c>
      <c r="AR62" t="s">
        <v>417</v>
      </c>
      <c r="AS62">
        <v>2.2254177616898896</v>
      </c>
      <c r="AT62" t="s">
        <v>43</v>
      </c>
    </row>
    <row r="63" spans="1:46" ht="33.75" hidden="1" x14ac:dyDescent="0.25">
      <c r="A63" s="72" t="s">
        <v>102</v>
      </c>
      <c r="B63" s="73">
        <v>11660.2</v>
      </c>
      <c r="C63" s="120">
        <v>55</v>
      </c>
      <c r="D63" s="75">
        <v>140</v>
      </c>
      <c r="E63" s="146">
        <v>45811</v>
      </c>
      <c r="F63" s="73">
        <v>37510</v>
      </c>
      <c r="G63" s="73">
        <v>13480</v>
      </c>
      <c r="H63" s="77">
        <v>24030</v>
      </c>
      <c r="I63" s="73">
        <v>11660.2</v>
      </c>
      <c r="J63" s="72" t="s">
        <v>105</v>
      </c>
      <c r="K63" s="72" t="s">
        <v>21</v>
      </c>
      <c r="L63" s="72" t="s">
        <v>460</v>
      </c>
      <c r="M63" s="35" t="s">
        <v>160</v>
      </c>
      <c r="N63" s="72" t="s">
        <v>477</v>
      </c>
      <c r="O63" s="72" t="s">
        <v>478</v>
      </c>
      <c r="P63" s="72"/>
      <c r="Q63" s="72" t="s">
        <v>479</v>
      </c>
      <c r="R63" s="72" t="s">
        <v>164</v>
      </c>
      <c r="S63" s="72" t="s">
        <v>165</v>
      </c>
      <c r="T63" s="70" t="s">
        <v>417</v>
      </c>
      <c r="U63" s="68" t="str">
        <f>Таблица310[[#This Row],[Регистратор.Номенклатура]]</f>
        <v>Преладо</v>
      </c>
      <c r="V63" s="45">
        <f>33*Таблица310[[#This Row],[Регистратор.Вес нетто]]/201670</f>
        <v>2.2057817226161549</v>
      </c>
      <c r="W63" s="72" t="s">
        <v>43</v>
      </c>
      <c r="X63" s="72" t="s">
        <v>19</v>
      </c>
      <c r="Y63" s="72">
        <v>5</v>
      </c>
      <c r="Z63" s="71">
        <v>45811</v>
      </c>
      <c r="AA63" s="40"/>
      <c r="AB63" s="40"/>
      <c r="AC63" s="40" t="s">
        <v>724</v>
      </c>
      <c r="AD63" s="40" t="s">
        <v>511</v>
      </c>
      <c r="AE63" s="40">
        <v>140</v>
      </c>
      <c r="AF63" s="103">
        <v>45811</v>
      </c>
      <c r="AG63" s="40">
        <v>65936</v>
      </c>
      <c r="AH63" s="40">
        <f>VLOOKUP(Таблица310[[#This Row],[№ акта]],'Степень зрелости 2025'!$H$13:$I$583,2,FALSE)</f>
        <v>55</v>
      </c>
      <c r="AI63" s="40" t="str">
        <f>VLOOKUP(Таблица310[[#This Row],[№ акта]],$AQ$1:$AT$594,2,FALSE)</f>
        <v xml:space="preserve"> 2/4</v>
      </c>
      <c r="AJ63" s="40" t="str">
        <f>Таблица310[[#This Row],[Регистратор.Номенклатура]]</f>
        <v>Преладо</v>
      </c>
      <c r="AK63" s="40" t="str">
        <f>VLOOKUP(Таблица310[[#This Row],[№ акта]],$AQ$1:$AT$594,4,FALSE)</f>
        <v>Учхоз Кубань (богара)</v>
      </c>
      <c r="AL63" s="45">
        <f>VLOOKUP(Таблица310[[#This Row],[№ акта]],$AQ$1:$AT$594,3,FALSE)</f>
        <v>2.2057817226161549</v>
      </c>
      <c r="AM63" s="40" t="str">
        <f>IF(Таблица310[[#This Row],[Площадь уборки, га]]=Таблица310[[#This Row],[Площадь уборки до корр]],"нет","да")</f>
        <v>нет</v>
      </c>
      <c r="AN63" s="45">
        <f>Таблица310[[#This Row],[Площадь уборки до корр]]-Таблица310[[#This Row],[Площадь уборки, га]]</f>
        <v>0</v>
      </c>
      <c r="AQ63">
        <v>140</v>
      </c>
      <c r="AR63" t="s">
        <v>417</v>
      </c>
      <c r="AS63">
        <v>2.2057817226161549</v>
      </c>
      <c r="AT63" t="s">
        <v>43</v>
      </c>
    </row>
    <row r="64" spans="1:46" ht="45" hidden="1" x14ac:dyDescent="0.25">
      <c r="A64" s="72" t="s">
        <v>102</v>
      </c>
      <c r="B64" s="73">
        <v>3582.2</v>
      </c>
      <c r="C64" s="120">
        <v>55</v>
      </c>
      <c r="D64" s="75">
        <v>141</v>
      </c>
      <c r="E64" s="146">
        <v>45811</v>
      </c>
      <c r="F64" s="73">
        <v>13910</v>
      </c>
      <c r="G64" s="73">
        <v>4450</v>
      </c>
      <c r="H64" s="77">
        <v>9460</v>
      </c>
      <c r="I64" s="73">
        <v>3582.2</v>
      </c>
      <c r="J64" s="72" t="s">
        <v>78</v>
      </c>
      <c r="K64" s="72" t="s">
        <v>81</v>
      </c>
      <c r="L64" s="72" t="s">
        <v>422</v>
      </c>
      <c r="M64" s="35" t="s">
        <v>79</v>
      </c>
      <c r="N64" s="72" t="s">
        <v>469</v>
      </c>
      <c r="O64" s="72" t="s">
        <v>470</v>
      </c>
      <c r="P64" s="72"/>
      <c r="Q64" s="72">
        <v>949.76099999999997</v>
      </c>
      <c r="R64" s="72" t="s">
        <v>80</v>
      </c>
      <c r="S64" s="72"/>
      <c r="T64" s="70" t="s">
        <v>422</v>
      </c>
      <c r="U64" s="68" t="str">
        <f>Таблица310[[#This Row],[Регистратор.Номенклатура]]</f>
        <v>Оскар</v>
      </c>
      <c r="V64" s="45">
        <f>20.5*Таблица310[[#This Row],[Регистратор.Вес нетто]]/68840</f>
        <v>1.3251743172574084</v>
      </c>
      <c r="W64" s="72" t="s">
        <v>44</v>
      </c>
      <c r="X64" s="72" t="s">
        <v>19</v>
      </c>
      <c r="Y64" s="72">
        <v>6</v>
      </c>
      <c r="Z64" s="71">
        <v>45811</v>
      </c>
      <c r="AA64" s="40"/>
      <c r="AB64" s="40"/>
      <c r="AC64" s="40" t="s">
        <v>724</v>
      </c>
      <c r="AD64" s="40" t="s">
        <v>511</v>
      </c>
      <c r="AE64" s="40">
        <v>141</v>
      </c>
      <c r="AF64" s="103">
        <v>45811</v>
      </c>
      <c r="AG64" s="40">
        <v>31</v>
      </c>
      <c r="AH64" s="40">
        <f>VLOOKUP(Таблица310[[#This Row],[№ акта]],'Степень зрелости 2025'!$H$13:$I$583,2,FALSE)</f>
        <v>55</v>
      </c>
      <c r="AI64" s="40" t="str">
        <f>VLOOKUP(Таблица310[[#This Row],[№ акта]],$AQ$1:$AT$594,2,FALSE)</f>
        <v>А-46</v>
      </c>
      <c r="AJ64" s="40" t="str">
        <f>Таблица310[[#This Row],[Регистратор.Номенклатура]]</f>
        <v>Оскар</v>
      </c>
      <c r="AK64" s="40" t="str">
        <f>VLOOKUP(Таблица310[[#This Row],[№ акта]],$AQ$1:$AT$594,4,FALSE)</f>
        <v>ГРК собственные семена (богара)</v>
      </c>
      <c r="AL64" s="45">
        <f>VLOOKUP(Таблица310[[#This Row],[№ акта]],$AQ$1:$AT$594,3,FALSE)</f>
        <v>1.6059940373450494</v>
      </c>
      <c r="AM64" s="40" t="str">
        <f>IF(Таблица310[[#This Row],[Площадь уборки, га]]=Таблица310[[#This Row],[Площадь уборки до корр]],"нет","да")</f>
        <v>да</v>
      </c>
      <c r="AN64" s="45">
        <f>Таблица310[[#This Row],[Площадь уборки до корр]]-Таблица310[[#This Row],[Площадь уборки, га]]</f>
        <v>0.280819720087641</v>
      </c>
      <c r="AQ64">
        <v>141</v>
      </c>
      <c r="AR64" t="s">
        <v>422</v>
      </c>
      <c r="AS64">
        <v>1.6059940373450494</v>
      </c>
      <c r="AT64" t="s">
        <v>44</v>
      </c>
    </row>
    <row r="65" spans="1:46" ht="33.75" hidden="1" x14ac:dyDescent="0.25">
      <c r="A65" s="72" t="s">
        <v>102</v>
      </c>
      <c r="B65" s="73">
        <v>11508</v>
      </c>
      <c r="C65" s="120">
        <v>55</v>
      </c>
      <c r="D65" s="75">
        <v>142</v>
      </c>
      <c r="E65" s="146">
        <v>45811</v>
      </c>
      <c r="F65" s="73">
        <v>28520</v>
      </c>
      <c r="G65" s="73">
        <v>13700</v>
      </c>
      <c r="H65" s="77">
        <v>14820</v>
      </c>
      <c r="I65" s="73">
        <v>11508</v>
      </c>
      <c r="J65" s="72" t="s">
        <v>105</v>
      </c>
      <c r="K65" s="72" t="s">
        <v>21</v>
      </c>
      <c r="L65" s="72" t="s">
        <v>460</v>
      </c>
      <c r="M65" s="35" t="s">
        <v>166</v>
      </c>
      <c r="N65" s="72" t="s">
        <v>474</v>
      </c>
      <c r="O65" s="72" t="s">
        <v>475</v>
      </c>
      <c r="P65" s="72"/>
      <c r="Q65" s="72" t="s">
        <v>476</v>
      </c>
      <c r="R65" s="72" t="s">
        <v>170</v>
      </c>
      <c r="S65" s="72" t="s">
        <v>171</v>
      </c>
      <c r="T65" s="70" t="s">
        <v>417</v>
      </c>
      <c r="U65" s="68" t="str">
        <f>Таблица310[[#This Row],[Регистратор.Номенклатура]]</f>
        <v>Преладо</v>
      </c>
      <c r="V65" s="45">
        <f>33*Таблица310[[#This Row],[Регистратор.Вес нетто]]/201670</f>
        <v>2.2417811275846682</v>
      </c>
      <c r="W65" s="72" t="s">
        <v>43</v>
      </c>
      <c r="X65" s="72" t="s">
        <v>19</v>
      </c>
      <c r="Y65" s="72">
        <v>5</v>
      </c>
      <c r="Z65" s="71">
        <v>45811</v>
      </c>
      <c r="AA65" s="40"/>
      <c r="AB65" s="40"/>
      <c r="AC65" s="40" t="s">
        <v>724</v>
      </c>
      <c r="AD65" s="40" t="s">
        <v>511</v>
      </c>
      <c r="AE65" s="40">
        <v>142</v>
      </c>
      <c r="AF65" s="103">
        <v>45811</v>
      </c>
      <c r="AG65" s="40">
        <v>65937</v>
      </c>
      <c r="AH65" s="40">
        <f>VLOOKUP(Таблица310[[#This Row],[№ акта]],'Степень зрелости 2025'!$H$13:$I$583,2,FALSE)</f>
        <v>55</v>
      </c>
      <c r="AI65" s="40" t="str">
        <f>VLOOKUP(Таблица310[[#This Row],[№ акта]],$AQ$1:$AT$594,2,FALSE)</f>
        <v xml:space="preserve"> 2/4</v>
      </c>
      <c r="AJ65" s="40" t="str">
        <f>Таблица310[[#This Row],[Регистратор.Номенклатура]]</f>
        <v>Преладо</v>
      </c>
      <c r="AK65" s="40" t="str">
        <f>VLOOKUP(Таблица310[[#This Row],[№ акта]],$AQ$1:$AT$594,4,FALSE)</f>
        <v>Учхоз Кубань (богара)</v>
      </c>
      <c r="AL65" s="45">
        <f>VLOOKUP(Таблица310[[#This Row],[№ акта]],$AQ$1:$AT$594,3,FALSE)</f>
        <v>2.2417811275846682</v>
      </c>
      <c r="AM65" s="40" t="str">
        <f>IF(Таблица310[[#This Row],[Площадь уборки, га]]=Таблица310[[#This Row],[Площадь уборки до корр]],"нет","да")</f>
        <v>нет</v>
      </c>
      <c r="AN65" s="45">
        <f>Таблица310[[#This Row],[Площадь уборки до корр]]-Таблица310[[#This Row],[Площадь уборки, га]]</f>
        <v>0</v>
      </c>
      <c r="AQ65">
        <v>142</v>
      </c>
      <c r="AR65" t="s">
        <v>417</v>
      </c>
      <c r="AS65">
        <v>2.2417811275846682</v>
      </c>
      <c r="AT65" t="s">
        <v>43</v>
      </c>
    </row>
    <row r="66" spans="1:46" ht="33.75" hidden="1" x14ac:dyDescent="0.25">
      <c r="A66" s="72" t="s">
        <v>102</v>
      </c>
      <c r="B66" s="73">
        <v>10904</v>
      </c>
      <c r="C66" s="120">
        <v>57</v>
      </c>
      <c r="D66" s="75">
        <v>143</v>
      </c>
      <c r="E66" s="146">
        <v>45811</v>
      </c>
      <c r="F66" s="73">
        <v>28750</v>
      </c>
      <c r="G66" s="73">
        <v>13630</v>
      </c>
      <c r="H66" s="77">
        <v>15120</v>
      </c>
      <c r="I66" s="73">
        <v>10904</v>
      </c>
      <c r="J66" s="72" t="s">
        <v>105</v>
      </c>
      <c r="K66" s="72" t="s">
        <v>21</v>
      </c>
      <c r="L66" s="72" t="s">
        <v>460</v>
      </c>
      <c r="M66" s="35" t="s">
        <v>195</v>
      </c>
      <c r="N66" s="72" t="s">
        <v>486</v>
      </c>
      <c r="O66" s="72" t="s">
        <v>487</v>
      </c>
      <c r="P66" s="72"/>
      <c r="Q66" s="72" t="s">
        <v>488</v>
      </c>
      <c r="R66" s="72" t="s">
        <v>199</v>
      </c>
      <c r="S66" s="72" t="s">
        <v>325</v>
      </c>
      <c r="T66" s="70" t="s">
        <v>417</v>
      </c>
      <c r="U66" s="68" t="str">
        <f>Таблица310[[#This Row],[Регистратор.Номенклатура]]</f>
        <v>Преладо</v>
      </c>
      <c r="V66" s="45">
        <f>33*Таблица310[[#This Row],[Регистратор.Вес нетто]]/201670</f>
        <v>2.2303267714583228</v>
      </c>
      <c r="W66" s="72" t="s">
        <v>43</v>
      </c>
      <c r="X66" s="72" t="s">
        <v>19</v>
      </c>
      <c r="Y66" s="72">
        <v>5</v>
      </c>
      <c r="Z66" s="71">
        <v>45811</v>
      </c>
      <c r="AA66" s="40"/>
      <c r="AB66" s="40"/>
      <c r="AC66" s="40" t="s">
        <v>724</v>
      </c>
      <c r="AD66" s="40" t="s">
        <v>511</v>
      </c>
      <c r="AE66" s="40">
        <v>143</v>
      </c>
      <c r="AF66" s="103">
        <v>45811</v>
      </c>
      <c r="AG66" s="40">
        <v>65938</v>
      </c>
      <c r="AH66" s="40">
        <f>VLOOKUP(Таблица310[[#This Row],[№ акта]],'Степень зрелости 2025'!$H$13:$I$583,2,FALSE)</f>
        <v>57</v>
      </c>
      <c r="AI66" s="40" t="str">
        <f>VLOOKUP(Таблица310[[#This Row],[№ акта]],$AQ$1:$AT$594,2,FALSE)</f>
        <v xml:space="preserve"> 2/4</v>
      </c>
      <c r="AJ66" s="40" t="str">
        <f>Таблица310[[#This Row],[Регистратор.Номенклатура]]</f>
        <v>Преладо</v>
      </c>
      <c r="AK66" s="40" t="str">
        <f>VLOOKUP(Таблица310[[#This Row],[№ акта]],$AQ$1:$AT$594,4,FALSE)</f>
        <v>Учхоз Кубань (богара)</v>
      </c>
      <c r="AL66" s="45">
        <f>VLOOKUP(Таблица310[[#This Row],[№ акта]],$AQ$1:$AT$594,3,FALSE)</f>
        <v>2.2303267714583228</v>
      </c>
      <c r="AM66" s="40" t="str">
        <f>IF(Таблица310[[#This Row],[Площадь уборки, га]]=Таблица310[[#This Row],[Площадь уборки до корр]],"нет","да")</f>
        <v>нет</v>
      </c>
      <c r="AN66" s="45">
        <f>Таблица310[[#This Row],[Площадь уборки до корр]]-Таблица310[[#This Row],[Площадь уборки, га]]</f>
        <v>0</v>
      </c>
      <c r="AQ66">
        <v>143</v>
      </c>
      <c r="AR66" t="s">
        <v>417</v>
      </c>
      <c r="AS66">
        <v>2.2303267714583228</v>
      </c>
      <c r="AT66" t="s">
        <v>43</v>
      </c>
    </row>
    <row r="67" spans="1:46" ht="33.75" hidden="1" x14ac:dyDescent="0.25">
      <c r="A67" s="72" t="s">
        <v>102</v>
      </c>
      <c r="B67" s="73">
        <v>11029</v>
      </c>
      <c r="C67" s="120">
        <v>57</v>
      </c>
      <c r="D67" s="75">
        <v>144</v>
      </c>
      <c r="E67" s="146">
        <v>45811</v>
      </c>
      <c r="F67" s="73">
        <v>28870</v>
      </c>
      <c r="G67" s="73">
        <v>13450</v>
      </c>
      <c r="H67" s="77">
        <v>15420</v>
      </c>
      <c r="I67" s="73">
        <v>11029</v>
      </c>
      <c r="J67" s="72" t="s">
        <v>105</v>
      </c>
      <c r="K67" s="72" t="s">
        <v>21</v>
      </c>
      <c r="L67" s="72" t="s">
        <v>460</v>
      </c>
      <c r="M67" s="35" t="s">
        <v>234</v>
      </c>
      <c r="N67" s="72" t="s">
        <v>489</v>
      </c>
      <c r="O67" s="72" t="s">
        <v>490</v>
      </c>
      <c r="P67" s="72"/>
      <c r="Q67" s="72" t="s">
        <v>491</v>
      </c>
      <c r="R67" s="72" t="s">
        <v>238</v>
      </c>
      <c r="S67" s="72" t="s">
        <v>492</v>
      </c>
      <c r="T67" s="70" t="s">
        <v>417</v>
      </c>
      <c r="U67" s="68" t="str">
        <f>Таблица310[[#This Row],[Регистратор.Номенклатура]]</f>
        <v>Преладо</v>
      </c>
      <c r="V67" s="45">
        <f>33*Таблица310[[#This Row],[Регистратор.Вес нетто]]/201670</f>
        <v>2.2008727128477217</v>
      </c>
      <c r="W67" s="72" t="s">
        <v>43</v>
      </c>
      <c r="X67" s="72" t="s">
        <v>19</v>
      </c>
      <c r="Y67" s="72">
        <v>5</v>
      </c>
      <c r="Z67" s="71">
        <v>45811</v>
      </c>
      <c r="AA67" s="40"/>
      <c r="AB67" s="40"/>
      <c r="AC67" s="40" t="s">
        <v>724</v>
      </c>
      <c r="AD67" s="40" t="s">
        <v>511</v>
      </c>
      <c r="AE67" s="40">
        <v>144</v>
      </c>
      <c r="AF67" s="103">
        <v>45811</v>
      </c>
      <c r="AG67" s="40">
        <v>65939</v>
      </c>
      <c r="AH67" s="40">
        <f>VLOOKUP(Таблица310[[#This Row],[№ акта]],'Степень зрелости 2025'!$H$13:$I$583,2,FALSE)</f>
        <v>57</v>
      </c>
      <c r="AI67" s="40" t="str">
        <f>VLOOKUP(Таблица310[[#This Row],[№ акта]],$AQ$1:$AT$594,2,FALSE)</f>
        <v xml:space="preserve"> 2/4</v>
      </c>
      <c r="AJ67" s="40" t="str">
        <f>Таблица310[[#This Row],[Регистратор.Номенклатура]]</f>
        <v>Преладо</v>
      </c>
      <c r="AK67" s="40" t="str">
        <f>VLOOKUP(Таблица310[[#This Row],[№ акта]],$AQ$1:$AT$594,4,FALSE)</f>
        <v>Учхоз Кубань (богара)</v>
      </c>
      <c r="AL67" s="45">
        <f>VLOOKUP(Таблица310[[#This Row],[№ акта]],$AQ$1:$AT$594,3,FALSE)</f>
        <v>2.2008727128477217</v>
      </c>
      <c r="AM67" s="40" t="str">
        <f>IF(Таблица310[[#This Row],[Площадь уборки, га]]=Таблица310[[#This Row],[Площадь уборки до корр]],"нет","да")</f>
        <v>нет</v>
      </c>
      <c r="AN67" s="45">
        <f>Таблица310[[#This Row],[Площадь уборки до корр]]-Таблица310[[#This Row],[Площадь уборки, га]]</f>
        <v>0</v>
      </c>
      <c r="AQ67">
        <v>144</v>
      </c>
      <c r="AR67" t="s">
        <v>417</v>
      </c>
      <c r="AS67">
        <v>2.2008727128477217</v>
      </c>
      <c r="AT67" t="s">
        <v>43</v>
      </c>
    </row>
    <row r="68" spans="1:46" ht="33.75" hidden="1" x14ac:dyDescent="0.25">
      <c r="A68" s="72" t="s">
        <v>102</v>
      </c>
      <c r="B68" s="73">
        <v>10953.6</v>
      </c>
      <c r="C68" s="120">
        <v>58</v>
      </c>
      <c r="D68" s="75">
        <v>145</v>
      </c>
      <c r="E68" s="146">
        <v>45811</v>
      </c>
      <c r="F68" s="73">
        <v>28210</v>
      </c>
      <c r="G68" s="73">
        <v>13440</v>
      </c>
      <c r="H68" s="77">
        <v>14770</v>
      </c>
      <c r="I68" s="73">
        <v>10953.6</v>
      </c>
      <c r="J68" s="72" t="s">
        <v>105</v>
      </c>
      <c r="K68" s="72" t="s">
        <v>21</v>
      </c>
      <c r="L68" s="72" t="s">
        <v>460</v>
      </c>
      <c r="M68" s="35" t="s">
        <v>133</v>
      </c>
      <c r="N68" s="72" t="s">
        <v>503</v>
      </c>
      <c r="O68" s="72" t="s">
        <v>504</v>
      </c>
      <c r="P68" s="72"/>
      <c r="Q68" s="72" t="s">
        <v>505</v>
      </c>
      <c r="R68" s="72" t="s">
        <v>137</v>
      </c>
      <c r="S68" s="72" t="s">
        <v>138</v>
      </c>
      <c r="T68" s="70" t="s">
        <v>417</v>
      </c>
      <c r="U68" s="68" t="str">
        <f>Таблица310[[#This Row],[Регистратор.Номенклатура]]</f>
        <v>Преладо</v>
      </c>
      <c r="V68" s="45">
        <f>33*Таблица310[[#This Row],[Регистратор.Вес нетто]]/201670</f>
        <v>2.1992363762582436</v>
      </c>
      <c r="W68" s="72" t="s">
        <v>43</v>
      </c>
      <c r="X68" s="72" t="s">
        <v>19</v>
      </c>
      <c r="Y68" s="72">
        <v>5</v>
      </c>
      <c r="Z68" s="71">
        <v>45811</v>
      </c>
      <c r="AA68" s="40"/>
      <c r="AB68" s="40"/>
      <c r="AC68" s="40" t="s">
        <v>724</v>
      </c>
      <c r="AD68" s="40" t="s">
        <v>511</v>
      </c>
      <c r="AE68" s="40">
        <v>145</v>
      </c>
      <c r="AF68" s="103">
        <v>45811</v>
      </c>
      <c r="AG68" s="40">
        <v>65941</v>
      </c>
      <c r="AH68" s="40">
        <f>VLOOKUP(Таблица310[[#This Row],[№ акта]],'Степень зрелости 2025'!$H$13:$I$583,2,FALSE)</f>
        <v>58</v>
      </c>
      <c r="AI68" s="40" t="str">
        <f>VLOOKUP(Таблица310[[#This Row],[№ акта]],$AQ$1:$AT$594,2,FALSE)</f>
        <v xml:space="preserve"> 2/4</v>
      </c>
      <c r="AJ68" s="40" t="str">
        <f>Таблица310[[#This Row],[Регистратор.Номенклатура]]</f>
        <v>Преладо</v>
      </c>
      <c r="AK68" s="40" t="str">
        <f>VLOOKUP(Таблица310[[#This Row],[№ акта]],$AQ$1:$AT$594,4,FALSE)</f>
        <v>Учхоз Кубань (богара)</v>
      </c>
      <c r="AL68" s="45">
        <f>VLOOKUP(Таблица310[[#This Row],[№ акта]],$AQ$1:$AT$594,3,FALSE)</f>
        <v>2.1992363762582436</v>
      </c>
      <c r="AM68" s="40" t="str">
        <f>IF(Таблица310[[#This Row],[Площадь уборки, га]]=Таблица310[[#This Row],[Площадь уборки до корр]],"нет","да")</f>
        <v>нет</v>
      </c>
      <c r="AN68" s="45">
        <f>Таблица310[[#This Row],[Площадь уборки до корр]]-Таблица310[[#This Row],[Площадь уборки, га]]</f>
        <v>0</v>
      </c>
      <c r="AQ68">
        <v>145</v>
      </c>
      <c r="AR68" t="s">
        <v>417</v>
      </c>
      <c r="AS68">
        <v>2.1992363762582436</v>
      </c>
      <c r="AT68" t="s">
        <v>43</v>
      </c>
    </row>
    <row r="69" spans="1:46" ht="33.75" hidden="1" x14ac:dyDescent="0.25">
      <c r="A69" s="72" t="s">
        <v>102</v>
      </c>
      <c r="B69" s="73">
        <v>10483.200000000001</v>
      </c>
      <c r="C69" s="120">
        <v>58</v>
      </c>
      <c r="D69" s="75">
        <v>146</v>
      </c>
      <c r="E69" s="146">
        <v>45812</v>
      </c>
      <c r="F69" s="73">
        <v>29090</v>
      </c>
      <c r="G69" s="73">
        <v>13440</v>
      </c>
      <c r="H69" s="77">
        <v>15650</v>
      </c>
      <c r="I69" s="73">
        <v>10483.200000000001</v>
      </c>
      <c r="J69" s="72" t="s">
        <v>105</v>
      </c>
      <c r="K69" s="72" t="s">
        <v>21</v>
      </c>
      <c r="L69" s="72" t="s">
        <v>460</v>
      </c>
      <c r="M69" s="35" t="s">
        <v>244</v>
      </c>
      <c r="N69" s="72" t="s">
        <v>496</v>
      </c>
      <c r="O69" s="72" t="s">
        <v>497</v>
      </c>
      <c r="P69" s="72"/>
      <c r="Q69" s="72" t="s">
        <v>498</v>
      </c>
      <c r="R69" s="72" t="s">
        <v>248</v>
      </c>
      <c r="S69" s="72" t="s">
        <v>499</v>
      </c>
      <c r="T69" s="70" t="s">
        <v>417</v>
      </c>
      <c r="U69" s="68" t="str">
        <f>Таблица310[[#This Row],[Регистратор.Номенклатура]]</f>
        <v>Преладо</v>
      </c>
      <c r="V69" s="45">
        <f>33*Таблица310[[#This Row],[Регистратор.Вес нетто]]/201670</f>
        <v>2.1992363762582436</v>
      </c>
      <c r="W69" s="72" t="s">
        <v>43</v>
      </c>
      <c r="X69" s="72" t="s">
        <v>19</v>
      </c>
      <c r="Y69" s="72">
        <v>5</v>
      </c>
      <c r="Z69" s="71">
        <v>45811</v>
      </c>
      <c r="AA69" s="40"/>
      <c r="AB69" s="40"/>
      <c r="AC69" s="40" t="s">
        <v>724</v>
      </c>
      <c r="AD69" s="40" t="s">
        <v>511</v>
      </c>
      <c r="AE69" s="40">
        <v>146</v>
      </c>
      <c r="AF69" s="103">
        <v>45812</v>
      </c>
      <c r="AG69" s="40">
        <v>65930</v>
      </c>
      <c r="AH69" s="40">
        <f>VLOOKUP(Таблица310[[#This Row],[№ акта]],'Степень зрелости 2025'!$H$13:$I$583,2,FALSE)</f>
        <v>58</v>
      </c>
      <c r="AI69" s="40" t="str">
        <f>VLOOKUP(Таблица310[[#This Row],[№ акта]],$AQ$1:$AT$594,2,FALSE)</f>
        <v xml:space="preserve"> 2/4</v>
      </c>
      <c r="AJ69" s="40" t="str">
        <f>Таблица310[[#This Row],[Регистратор.Номенклатура]]</f>
        <v>Преладо</v>
      </c>
      <c r="AK69" s="40" t="str">
        <f>VLOOKUP(Таблица310[[#This Row],[№ акта]],$AQ$1:$AT$594,4,FALSE)</f>
        <v>Учхоз Кубань (богара)</v>
      </c>
      <c r="AL69" s="45">
        <f>VLOOKUP(Таблица310[[#This Row],[№ акта]],$AQ$1:$AT$594,3,FALSE)</f>
        <v>2.1992363762582436</v>
      </c>
      <c r="AM69" s="40" t="str">
        <f>IF(Таблица310[[#This Row],[Площадь уборки, га]]=Таблица310[[#This Row],[Площадь уборки до корр]],"нет","да")</f>
        <v>нет</v>
      </c>
      <c r="AN69" s="45">
        <f>Таблица310[[#This Row],[Площадь уборки до корр]]-Таблица310[[#This Row],[Площадь уборки, га]]</f>
        <v>0</v>
      </c>
      <c r="AQ69">
        <v>146</v>
      </c>
      <c r="AR69" t="s">
        <v>417</v>
      </c>
      <c r="AS69">
        <v>2.1992363762582436</v>
      </c>
      <c r="AT69" t="s">
        <v>43</v>
      </c>
    </row>
    <row r="70" spans="1:46" ht="33.75" hidden="1" x14ac:dyDescent="0.25">
      <c r="A70" s="72" t="s">
        <v>102</v>
      </c>
      <c r="B70" s="73">
        <v>11356.8</v>
      </c>
      <c r="C70" s="120">
        <v>57</v>
      </c>
      <c r="D70" s="75">
        <v>147</v>
      </c>
      <c r="E70" s="146">
        <v>45812</v>
      </c>
      <c r="F70" s="73">
        <v>28130</v>
      </c>
      <c r="G70" s="73">
        <v>13440</v>
      </c>
      <c r="H70" s="77">
        <v>14690</v>
      </c>
      <c r="I70" s="73">
        <v>11356.8</v>
      </c>
      <c r="J70" s="72" t="s">
        <v>105</v>
      </c>
      <c r="K70" s="72" t="s">
        <v>21</v>
      </c>
      <c r="L70" s="72" t="s">
        <v>460</v>
      </c>
      <c r="M70" s="35" t="s">
        <v>121</v>
      </c>
      <c r="N70" s="72" t="s">
        <v>493</v>
      </c>
      <c r="O70" s="72" t="s">
        <v>494</v>
      </c>
      <c r="P70" s="72"/>
      <c r="Q70" s="72" t="s">
        <v>495</v>
      </c>
      <c r="R70" s="72" t="s">
        <v>125</v>
      </c>
      <c r="S70" s="72" t="s">
        <v>126</v>
      </c>
      <c r="T70" s="70" t="s">
        <v>417</v>
      </c>
      <c r="U70" s="68" t="str">
        <f>Таблица310[[#This Row],[Регистратор.Номенклатура]]</f>
        <v>Преладо</v>
      </c>
      <c r="V70" s="45">
        <f>33*Таблица310[[#This Row],[Регистратор.Вес нетто]]/201670</f>
        <v>2.1992363762582436</v>
      </c>
      <c r="W70" s="72" t="s">
        <v>43</v>
      </c>
      <c r="X70" s="72" t="s">
        <v>19</v>
      </c>
      <c r="Y70" s="72">
        <v>5</v>
      </c>
      <c r="Z70" s="71">
        <v>45811</v>
      </c>
      <c r="AA70" s="40"/>
      <c r="AB70" s="40"/>
      <c r="AC70" s="40" t="s">
        <v>724</v>
      </c>
      <c r="AD70" s="40" t="s">
        <v>511</v>
      </c>
      <c r="AE70" s="40">
        <v>147</v>
      </c>
      <c r="AF70" s="103">
        <v>45812</v>
      </c>
      <c r="AG70" s="40">
        <v>65942</v>
      </c>
      <c r="AH70" s="40">
        <f>VLOOKUP(Таблица310[[#This Row],[№ акта]],'Степень зрелости 2025'!$H$13:$I$583,2,FALSE)</f>
        <v>57</v>
      </c>
      <c r="AI70" s="40" t="str">
        <f>VLOOKUP(Таблица310[[#This Row],[№ акта]],$AQ$1:$AT$594,2,FALSE)</f>
        <v xml:space="preserve"> 2/4</v>
      </c>
      <c r="AJ70" s="40" t="str">
        <f>Таблица310[[#This Row],[Регистратор.Номенклатура]]</f>
        <v>Преладо</v>
      </c>
      <c r="AK70" s="40" t="str">
        <f>VLOOKUP(Таблица310[[#This Row],[№ акта]],$AQ$1:$AT$594,4,FALSE)</f>
        <v>Учхоз Кубань (богара)</v>
      </c>
      <c r="AL70" s="45">
        <f>VLOOKUP(Таблица310[[#This Row],[№ акта]],$AQ$1:$AT$594,3,FALSE)</f>
        <v>2.1992363762582436</v>
      </c>
      <c r="AM70" s="40" t="str">
        <f>IF(Таблица310[[#This Row],[Площадь уборки, га]]=Таблица310[[#This Row],[Площадь уборки до корр]],"нет","да")</f>
        <v>нет</v>
      </c>
      <c r="AN70" s="45">
        <f>Таблица310[[#This Row],[Площадь уборки до корр]]-Таблица310[[#This Row],[Площадь уборки, га]]</f>
        <v>0</v>
      </c>
      <c r="AQ70">
        <v>147</v>
      </c>
      <c r="AR70" t="s">
        <v>417</v>
      </c>
      <c r="AS70">
        <v>2.1992363762582436</v>
      </c>
      <c r="AT70" t="s">
        <v>43</v>
      </c>
    </row>
    <row r="71" spans="1:46" ht="33.75" hidden="1" x14ac:dyDescent="0.25">
      <c r="A71" s="72" t="s">
        <v>102</v>
      </c>
      <c r="B71" s="73">
        <v>10645</v>
      </c>
      <c r="C71" s="120">
        <v>58</v>
      </c>
      <c r="D71" s="75">
        <v>148</v>
      </c>
      <c r="E71" s="146">
        <v>45812</v>
      </c>
      <c r="F71" s="73">
        <v>28070</v>
      </c>
      <c r="G71" s="73">
        <v>13390</v>
      </c>
      <c r="H71" s="77">
        <v>14680</v>
      </c>
      <c r="I71" s="73">
        <v>10645</v>
      </c>
      <c r="J71" s="72" t="s">
        <v>105</v>
      </c>
      <c r="K71" s="72" t="s">
        <v>21</v>
      </c>
      <c r="L71" s="72" t="s">
        <v>460</v>
      </c>
      <c r="M71" s="35" t="s">
        <v>272</v>
      </c>
      <c r="N71" s="72" t="s">
        <v>500</v>
      </c>
      <c r="O71" s="72" t="s">
        <v>501</v>
      </c>
      <c r="P71" s="72"/>
      <c r="Q71" s="72" t="s">
        <v>502</v>
      </c>
      <c r="R71" s="72" t="s">
        <v>276</v>
      </c>
      <c r="S71" s="72" t="s">
        <v>277</v>
      </c>
      <c r="T71" s="70" t="s">
        <v>417</v>
      </c>
      <c r="U71" s="68" t="str">
        <f>Таблица310[[#This Row],[Регистратор.Номенклатура]]</f>
        <v>Преладо</v>
      </c>
      <c r="V71" s="45">
        <f>33*Таблица310[[#This Row],[Регистратор.Вес нетто]]/201670</f>
        <v>2.1910546933108543</v>
      </c>
      <c r="W71" s="72" t="s">
        <v>43</v>
      </c>
      <c r="X71" s="72" t="s">
        <v>19</v>
      </c>
      <c r="Y71" s="72">
        <v>5</v>
      </c>
      <c r="Z71" s="71">
        <v>45811</v>
      </c>
      <c r="AA71" s="40"/>
      <c r="AB71" s="40"/>
      <c r="AC71" s="40" t="s">
        <v>724</v>
      </c>
      <c r="AD71" s="40" t="s">
        <v>511</v>
      </c>
      <c r="AE71" s="40">
        <v>148</v>
      </c>
      <c r="AF71" s="103">
        <v>45812</v>
      </c>
      <c r="AG71" s="40">
        <v>65943</v>
      </c>
      <c r="AH71" s="40">
        <f>VLOOKUP(Таблица310[[#This Row],[№ акта]],'Степень зрелости 2025'!$H$13:$I$583,2,FALSE)</f>
        <v>58</v>
      </c>
      <c r="AI71" s="40" t="str">
        <f>VLOOKUP(Таблица310[[#This Row],[№ акта]],$AQ$1:$AT$594,2,FALSE)</f>
        <v xml:space="preserve"> 2/4</v>
      </c>
      <c r="AJ71" s="40" t="str">
        <f>Таблица310[[#This Row],[Регистратор.Номенклатура]]</f>
        <v>Преладо</v>
      </c>
      <c r="AK71" s="40" t="str">
        <f>VLOOKUP(Таблица310[[#This Row],[№ акта]],$AQ$1:$AT$594,4,FALSE)</f>
        <v>Учхоз Кубань (богара)</v>
      </c>
      <c r="AL71" s="45">
        <f>VLOOKUP(Таблица310[[#This Row],[№ акта]],$AQ$1:$AT$594,3,FALSE)</f>
        <v>2.1910546933108543</v>
      </c>
      <c r="AM71" s="40" t="str">
        <f>IF(Таблица310[[#This Row],[Площадь уборки, га]]=Таблица310[[#This Row],[Площадь уборки до корр]],"нет","да")</f>
        <v>нет</v>
      </c>
      <c r="AN71" s="45">
        <f>Таблица310[[#This Row],[Площадь уборки до корр]]-Таблица310[[#This Row],[Площадь уборки, га]]</f>
        <v>0</v>
      </c>
      <c r="AQ71">
        <v>148</v>
      </c>
      <c r="AR71" t="s">
        <v>417</v>
      </c>
      <c r="AS71">
        <v>2.1910546933108543</v>
      </c>
      <c r="AT71" t="s">
        <v>43</v>
      </c>
    </row>
    <row r="72" spans="1:46" ht="45" hidden="1" x14ac:dyDescent="0.25">
      <c r="A72" s="72" t="s">
        <v>102</v>
      </c>
      <c r="B72" s="73">
        <v>5545.8</v>
      </c>
      <c r="C72" s="120">
        <v>56</v>
      </c>
      <c r="D72" s="75">
        <v>149</v>
      </c>
      <c r="E72" s="146">
        <v>45812</v>
      </c>
      <c r="F72" s="73">
        <v>16470</v>
      </c>
      <c r="G72" s="73">
        <v>7020</v>
      </c>
      <c r="H72" s="77">
        <v>9450</v>
      </c>
      <c r="I72" s="73">
        <v>5545.8</v>
      </c>
      <c r="J72" s="72" t="s">
        <v>78</v>
      </c>
      <c r="K72" s="72" t="s">
        <v>81</v>
      </c>
      <c r="L72" s="72" t="s">
        <v>422</v>
      </c>
      <c r="M72" s="35" t="s">
        <v>79</v>
      </c>
      <c r="N72" s="72" t="s">
        <v>480</v>
      </c>
      <c r="O72" s="72" t="s">
        <v>481</v>
      </c>
      <c r="P72" s="72"/>
      <c r="Q72" s="72" t="s">
        <v>482</v>
      </c>
      <c r="R72" s="72" t="s">
        <v>80</v>
      </c>
      <c r="S72" s="72"/>
      <c r="T72" s="70" t="s">
        <v>422</v>
      </c>
      <c r="U72" s="68" t="str">
        <f>Таблица310[[#This Row],[Регистратор.Номенклатура]]</f>
        <v>Оскар</v>
      </c>
      <c r="V72" s="45">
        <f>29.2*Таблица310[[#This Row],[Регистратор.Вес нетто]]/69890</f>
        <v>2.9329517813707255</v>
      </c>
      <c r="W72" s="72" t="s">
        <v>44</v>
      </c>
      <c r="X72" s="72" t="s">
        <v>19</v>
      </c>
      <c r="Y72" s="72">
        <v>6</v>
      </c>
      <c r="Z72" s="71">
        <v>45811</v>
      </c>
      <c r="AA72" s="40"/>
      <c r="AB72" s="40"/>
      <c r="AC72" s="40" t="s">
        <v>724</v>
      </c>
      <c r="AD72" s="40" t="s">
        <v>511</v>
      </c>
      <c r="AE72" s="40">
        <v>149</v>
      </c>
      <c r="AF72" s="103">
        <v>45812</v>
      </c>
      <c r="AG72" s="40">
        <v>34</v>
      </c>
      <c r="AH72" s="40">
        <f>VLOOKUP(Таблица310[[#This Row],[№ акта]],'Степень зрелости 2025'!$H$13:$I$583,2,FALSE)</f>
        <v>56</v>
      </c>
      <c r="AI72" s="40" t="str">
        <f>VLOOKUP(Таблица310[[#This Row],[№ акта]],$AQ$1:$AT$594,2,FALSE)</f>
        <v>А-46</v>
      </c>
      <c r="AJ72" s="40" t="str">
        <f>Таблица310[[#This Row],[Регистратор.Номенклатура]]</f>
        <v>Оскар</v>
      </c>
      <c r="AK72" s="40" t="str">
        <f>VLOOKUP(Таблица310[[#This Row],[№ акта]],$AQ$1:$AT$594,4,FALSE)</f>
        <v>ГРК собственные семена (богара)</v>
      </c>
      <c r="AL72" s="45">
        <f>VLOOKUP(Таблица310[[#This Row],[№ акта]],$AQ$1:$AT$594,3,FALSE)</f>
        <v>2.5335007061038759</v>
      </c>
      <c r="AM72" s="40" t="str">
        <f>IF(Таблица310[[#This Row],[Площадь уборки, га]]=Таблица310[[#This Row],[Площадь уборки до корр]],"нет","да")</f>
        <v>да</v>
      </c>
      <c r="AN72" s="45">
        <f>Таблица310[[#This Row],[Площадь уборки до корр]]-Таблица310[[#This Row],[Площадь уборки, га]]</f>
        <v>-0.39945107526684964</v>
      </c>
      <c r="AQ72">
        <v>149</v>
      </c>
      <c r="AR72" t="s">
        <v>422</v>
      </c>
      <c r="AS72">
        <v>2.5335007061038759</v>
      </c>
      <c r="AT72" t="s">
        <v>44</v>
      </c>
    </row>
    <row r="73" spans="1:46" ht="33.75" hidden="1" x14ac:dyDescent="0.25">
      <c r="A73" s="72" t="s">
        <v>102</v>
      </c>
      <c r="B73" s="73">
        <v>11030.2</v>
      </c>
      <c r="C73" s="120">
        <v>58</v>
      </c>
      <c r="D73" s="75">
        <v>150</v>
      </c>
      <c r="E73" s="146">
        <v>45812</v>
      </c>
      <c r="F73" s="73">
        <v>28240</v>
      </c>
      <c r="G73" s="73">
        <v>13370</v>
      </c>
      <c r="H73" s="77">
        <v>14870</v>
      </c>
      <c r="I73" s="73">
        <v>11030.2</v>
      </c>
      <c r="J73" s="72" t="s">
        <v>105</v>
      </c>
      <c r="K73" s="72" t="s">
        <v>21</v>
      </c>
      <c r="L73" s="72" t="s">
        <v>460</v>
      </c>
      <c r="M73" s="35" t="s">
        <v>1253</v>
      </c>
      <c r="N73" s="72" t="s">
        <v>506</v>
      </c>
      <c r="O73" s="72" t="s">
        <v>507</v>
      </c>
      <c r="P73" s="72"/>
      <c r="Q73" s="72" t="s">
        <v>508</v>
      </c>
      <c r="R73" s="72" t="s">
        <v>270</v>
      </c>
      <c r="S73" s="72" t="s">
        <v>271</v>
      </c>
      <c r="T73" s="70" t="s">
        <v>417</v>
      </c>
      <c r="U73" s="68" t="str">
        <f>Таблица310[[#This Row],[Регистратор.Номенклатура]]</f>
        <v>Преладо</v>
      </c>
      <c r="V73" s="45">
        <f>33*Таблица310[[#This Row],[Регистратор.Вес нетто]]/201670</f>
        <v>2.1877820201318987</v>
      </c>
      <c r="W73" s="72" t="s">
        <v>43</v>
      </c>
      <c r="X73" s="72" t="s">
        <v>19</v>
      </c>
      <c r="Y73" s="72">
        <v>5</v>
      </c>
      <c r="Z73" s="71">
        <v>45811</v>
      </c>
      <c r="AA73" s="40"/>
      <c r="AB73" s="40"/>
      <c r="AC73" s="40" t="s">
        <v>724</v>
      </c>
      <c r="AD73" s="40" t="s">
        <v>511</v>
      </c>
      <c r="AE73" s="40">
        <v>150</v>
      </c>
      <c r="AF73" s="103">
        <v>45812</v>
      </c>
      <c r="AG73" s="40">
        <v>65947</v>
      </c>
      <c r="AH73" s="40">
        <f>VLOOKUP(Таблица310[[#This Row],[№ акта]],'Степень зрелости 2025'!$H$13:$I$583,2,FALSE)</f>
        <v>58</v>
      </c>
      <c r="AI73" s="40" t="str">
        <f>VLOOKUP(Таблица310[[#This Row],[№ акта]],$AQ$1:$AT$594,2,FALSE)</f>
        <v xml:space="preserve"> 2/4</v>
      </c>
      <c r="AJ73" s="40" t="str">
        <f>Таблица310[[#This Row],[Регистратор.Номенклатура]]</f>
        <v>Преладо</v>
      </c>
      <c r="AK73" s="40" t="str">
        <f>VLOOKUP(Таблица310[[#This Row],[№ акта]],$AQ$1:$AT$594,4,FALSE)</f>
        <v>Учхоз Кубань (богара)</v>
      </c>
      <c r="AL73" s="45">
        <f>VLOOKUP(Таблица310[[#This Row],[№ акта]],$AQ$1:$AT$594,3,FALSE)</f>
        <v>2.1877820201318987</v>
      </c>
      <c r="AM73" s="40" t="str">
        <f>IF(Таблица310[[#This Row],[Площадь уборки, га]]=Таблица310[[#This Row],[Площадь уборки до корр]],"нет","да")</f>
        <v>нет</v>
      </c>
      <c r="AN73" s="45">
        <f>Таблица310[[#This Row],[Площадь уборки до корр]]-Таблица310[[#This Row],[Площадь уборки, га]]</f>
        <v>0</v>
      </c>
      <c r="AQ73">
        <v>150</v>
      </c>
      <c r="AR73" t="s">
        <v>417</v>
      </c>
      <c r="AS73">
        <v>2.1877820201318987</v>
      </c>
      <c r="AT73" t="s">
        <v>43</v>
      </c>
    </row>
    <row r="74" spans="1:46" ht="56.25" hidden="1" x14ac:dyDescent="0.25">
      <c r="A74" s="72" t="s">
        <v>102</v>
      </c>
      <c r="B74" s="73">
        <f>Таблица310[[#This Row],[Регистратор.Вес чистый]]</f>
        <v>10251</v>
      </c>
      <c r="C74" s="120">
        <v>40</v>
      </c>
      <c r="D74" s="75">
        <v>151</v>
      </c>
      <c r="E74" s="146">
        <v>45811</v>
      </c>
      <c r="F74" s="73">
        <v>28790</v>
      </c>
      <c r="G74" s="73">
        <v>12130</v>
      </c>
      <c r="H74" s="77">
        <v>16660</v>
      </c>
      <c r="I74" s="73">
        <v>10251</v>
      </c>
      <c r="J74" s="72" t="s">
        <v>78</v>
      </c>
      <c r="K74" s="72" t="s">
        <v>81</v>
      </c>
      <c r="L74" s="72" t="s">
        <v>110</v>
      </c>
      <c r="M74" s="35" t="s">
        <v>439</v>
      </c>
      <c r="N74" s="72" t="s">
        <v>446</v>
      </c>
      <c r="O74" s="72" t="s">
        <v>447</v>
      </c>
      <c r="P74" s="72"/>
      <c r="Q74" s="72" t="s">
        <v>448</v>
      </c>
      <c r="R74" s="72" t="s">
        <v>440</v>
      </c>
      <c r="S74" s="72" t="s">
        <v>449</v>
      </c>
      <c r="T74" s="70" t="s">
        <v>422</v>
      </c>
      <c r="U74" s="68" t="str">
        <f>Таблица310[[#This Row],[Регистратор.Номенклатура]]</f>
        <v>Оскар</v>
      </c>
      <c r="V74" s="45">
        <f>20.5*Таблица310[[#This Row],[Регистратор.Вес нетто]]/68840</f>
        <v>3.6122167344567111</v>
      </c>
      <c r="W74" s="72" t="s">
        <v>44</v>
      </c>
      <c r="X74" s="72" t="s">
        <v>19</v>
      </c>
      <c r="Y74" s="72">
        <v>6</v>
      </c>
      <c r="Z74" s="71">
        <v>45811</v>
      </c>
      <c r="AA74" s="94">
        <f>Таблица310[[#This Row],[Регистратор.Вес нетто]]</f>
        <v>12130</v>
      </c>
      <c r="AB74" s="40" t="s">
        <v>1623</v>
      </c>
      <c r="AC74" s="40" t="s">
        <v>419</v>
      </c>
      <c r="AD74" s="40" t="s">
        <v>511</v>
      </c>
      <c r="AE74" s="40">
        <v>151</v>
      </c>
      <c r="AF74" s="103">
        <v>45811</v>
      </c>
      <c r="AG74" s="40" t="s">
        <v>531</v>
      </c>
      <c r="AH74" s="40">
        <f>VLOOKUP(Таблица310[[#This Row],[№ акта]],'Степень зрелости 2025'!$H$13:$I$583,2,FALSE)</f>
        <v>0</v>
      </c>
      <c r="AI74" s="40" t="str">
        <f>VLOOKUP(Таблица310[[#This Row],[№ акта]],$AQ$1:$AT$594,2,FALSE)</f>
        <v>А-44</v>
      </c>
      <c r="AJ74" s="40" t="str">
        <f>Таблица310[[#This Row],[Регистратор.Номенклатура]]</f>
        <v>Оскар</v>
      </c>
      <c r="AK74" s="40" t="str">
        <f>VLOOKUP(Таблица310[[#This Row],[№ акта]],$AQ$1:$AT$594,4,FALSE)</f>
        <v>ГРК собственные семена (богара)</v>
      </c>
      <c r="AL74" s="45">
        <f>VLOOKUP(Таблица310[[#This Row],[№ акта]],$AQ$1:$AT$594,3,FALSE)</f>
        <v>2.3656752803510481</v>
      </c>
      <c r="AM74" s="40" t="str">
        <f>IF(Таблица310[[#This Row],[Площадь уборки, га]]=Таблица310[[#This Row],[Площадь уборки до корр]],"нет","да")</f>
        <v>да</v>
      </c>
      <c r="AN74" s="45">
        <f>Таблица310[[#This Row],[Площадь уборки до корр]]-Таблица310[[#This Row],[Площадь уборки, га]]</f>
        <v>-1.246541454105663</v>
      </c>
      <c r="AQ74">
        <v>151</v>
      </c>
      <c r="AR74" t="s">
        <v>110</v>
      </c>
      <c r="AS74">
        <v>2.3656752803510481</v>
      </c>
      <c r="AT74" t="s">
        <v>44</v>
      </c>
    </row>
    <row r="75" spans="1:46" ht="45" hidden="1" x14ac:dyDescent="0.25">
      <c r="A75" s="72" t="s">
        <v>102</v>
      </c>
      <c r="B75" s="73">
        <f>Таблица310[[#This Row],[Регистратор.Вес чистый]]</f>
        <v>11709.8</v>
      </c>
      <c r="C75" s="120">
        <v>54</v>
      </c>
      <c r="D75" s="75">
        <v>152</v>
      </c>
      <c r="E75" s="146">
        <v>45811</v>
      </c>
      <c r="F75" s="73">
        <v>32620</v>
      </c>
      <c r="G75" s="73">
        <v>13840</v>
      </c>
      <c r="H75" s="77">
        <v>18780</v>
      </c>
      <c r="I75" s="73">
        <v>11709.8</v>
      </c>
      <c r="J75" s="72" t="s">
        <v>78</v>
      </c>
      <c r="K75" s="72" t="s">
        <v>81</v>
      </c>
      <c r="L75" s="72" t="s">
        <v>422</v>
      </c>
      <c r="M75" s="35" t="s">
        <v>442</v>
      </c>
      <c r="N75" s="72" t="s">
        <v>456</v>
      </c>
      <c r="O75" s="72" t="s">
        <v>457</v>
      </c>
      <c r="P75" s="72"/>
      <c r="Q75" s="72" t="s">
        <v>458</v>
      </c>
      <c r="R75" s="72" t="s">
        <v>443</v>
      </c>
      <c r="S75" s="72" t="s">
        <v>459</v>
      </c>
      <c r="T75" s="70" t="s">
        <v>422</v>
      </c>
      <c r="U75" s="68" t="str">
        <f>Таблица310[[#This Row],[Регистратор.Номенклатура]]</f>
        <v>Оскар</v>
      </c>
      <c r="V75" s="45">
        <f>20.5*Таблица310[[#This Row],[Регистратор.Вес нетто]]/68840</f>
        <v>4.1214410226612435</v>
      </c>
      <c r="W75" s="72" t="s">
        <v>44</v>
      </c>
      <c r="X75" s="72" t="s">
        <v>19</v>
      </c>
      <c r="Y75" s="72">
        <v>6</v>
      </c>
      <c r="Z75" s="71">
        <v>45811</v>
      </c>
      <c r="AA75" s="94">
        <f>Таблица310[[#This Row],[Регистратор.Вес нетто]]</f>
        <v>13840</v>
      </c>
      <c r="AB75" s="40" t="s">
        <v>357</v>
      </c>
      <c r="AC75" s="40" t="s">
        <v>724</v>
      </c>
      <c r="AD75" s="40" t="s">
        <v>511</v>
      </c>
      <c r="AE75" s="40">
        <v>152</v>
      </c>
      <c r="AF75" s="103">
        <v>45811</v>
      </c>
      <c r="AG75" s="40" t="s">
        <v>532</v>
      </c>
      <c r="AH75" s="40">
        <f>VLOOKUP(Таблица310[[#This Row],[№ акта]],'Степень зрелости 2025'!$H$13:$I$583,2,FALSE)</f>
        <v>0</v>
      </c>
      <c r="AI75" s="40" t="str">
        <f>VLOOKUP(Таблица310[[#This Row],[№ акта]],$AQ$1:$AT$594,2,FALSE)</f>
        <v>А-46</v>
      </c>
      <c r="AJ75" s="40" t="str">
        <f>Таблица310[[#This Row],[Регистратор.Номенклатура]]</f>
        <v>Оскар</v>
      </c>
      <c r="AK75" s="40" t="str">
        <f>VLOOKUP(Таблица310[[#This Row],[№ акта]],$AQ$1:$AT$594,4,FALSE)</f>
        <v>ГРК собственные семена (богара)</v>
      </c>
      <c r="AL75" s="45">
        <f>VLOOKUP(Таблица310[[#This Row],[№ акта]],$AQ$1:$AT$594,3,FALSE)</f>
        <v>4.9948219049113449</v>
      </c>
      <c r="AM75" s="40" t="str">
        <f>IF(Таблица310[[#This Row],[Площадь уборки, га]]=Таблица310[[#This Row],[Площадь уборки до корр]],"нет","да")</f>
        <v>да</v>
      </c>
      <c r="AN75" s="45">
        <f>Таблица310[[#This Row],[Площадь уборки до корр]]-Таблица310[[#This Row],[Площадь уборки, га]]</f>
        <v>0.87338088225010146</v>
      </c>
      <c r="AQ75">
        <v>152</v>
      </c>
      <c r="AR75" t="s">
        <v>422</v>
      </c>
      <c r="AS75">
        <v>4.9948219049113449</v>
      </c>
      <c r="AT75" t="s">
        <v>44</v>
      </c>
    </row>
    <row r="76" spans="1:46" ht="45" hidden="1" x14ac:dyDescent="0.25">
      <c r="A76" s="72" t="s">
        <v>102</v>
      </c>
      <c r="B76" s="73">
        <f>Таблица310[[#This Row],[Регистратор.Вес чистый]]</f>
        <v>11713</v>
      </c>
      <c r="C76" s="120">
        <v>56</v>
      </c>
      <c r="D76" s="75">
        <v>153</v>
      </c>
      <c r="E76" s="146">
        <v>45811</v>
      </c>
      <c r="F76" s="73">
        <v>31130</v>
      </c>
      <c r="G76" s="73">
        <v>13250</v>
      </c>
      <c r="H76" s="77">
        <v>17880</v>
      </c>
      <c r="I76" s="73">
        <v>11713</v>
      </c>
      <c r="J76" s="72" t="s">
        <v>78</v>
      </c>
      <c r="K76" s="72" t="s">
        <v>81</v>
      </c>
      <c r="L76" s="72" t="s">
        <v>422</v>
      </c>
      <c r="M76" s="35" t="s">
        <v>283</v>
      </c>
      <c r="N76" s="72" t="s">
        <v>450</v>
      </c>
      <c r="O76" s="72" t="s">
        <v>451</v>
      </c>
      <c r="P76" s="72"/>
      <c r="Q76" s="72" t="s">
        <v>452</v>
      </c>
      <c r="R76" s="72" t="s">
        <v>287</v>
      </c>
      <c r="S76" s="72" t="s">
        <v>288</v>
      </c>
      <c r="T76" s="70" t="s">
        <v>422</v>
      </c>
      <c r="U76" s="68" t="str">
        <f>Таблица310[[#This Row],[Регистратор.Номенклатура]]</f>
        <v>Оскар</v>
      </c>
      <c r="V76" s="45">
        <f>20.5*Таблица310[[#This Row],[Регистратор.Вес нетто]]/68840</f>
        <v>3.9457437536316093</v>
      </c>
      <c r="W76" s="72" t="s">
        <v>44</v>
      </c>
      <c r="X76" s="72" t="s">
        <v>19</v>
      </c>
      <c r="Y76" s="72">
        <v>6</v>
      </c>
      <c r="Z76" s="71">
        <v>45811</v>
      </c>
      <c r="AA76" s="94">
        <f>Таблица310[[#This Row],[Регистратор.Вес нетто]]</f>
        <v>13250</v>
      </c>
      <c r="AB76" s="40" t="s">
        <v>357</v>
      </c>
      <c r="AC76" s="40" t="s">
        <v>724</v>
      </c>
      <c r="AD76" s="40" t="s">
        <v>511</v>
      </c>
      <c r="AE76" s="40">
        <v>153</v>
      </c>
      <c r="AF76" s="103">
        <v>45811</v>
      </c>
      <c r="AG76" s="40" t="s">
        <v>533</v>
      </c>
      <c r="AH76" s="40">
        <f>VLOOKUP(Таблица310[[#This Row],[№ акта]],'Степень зрелости 2025'!$H$13:$I$583,2,FALSE)</f>
        <v>0</v>
      </c>
      <c r="AI76" s="40" t="str">
        <f>VLOOKUP(Таблица310[[#This Row],[№ акта]],$AQ$1:$AT$594,2,FALSE)</f>
        <v>А-46</v>
      </c>
      <c r="AJ76" s="40" t="str">
        <f>Таблица310[[#This Row],[Регистратор.Номенклатура]]</f>
        <v>Оскар</v>
      </c>
      <c r="AK76" s="40" t="str">
        <f>VLOOKUP(Таблица310[[#This Row],[№ акта]],$AQ$1:$AT$594,4,FALSE)</f>
        <v>ГРК собственные семена (богара)</v>
      </c>
      <c r="AL76" s="45">
        <f>VLOOKUP(Таблица310[[#This Row],[№ акта]],$AQ$1:$AT$594,3,FALSE)</f>
        <v>4.781892358386945</v>
      </c>
      <c r="AM76" s="40" t="str">
        <f>IF(Таблица310[[#This Row],[Площадь уборки, га]]=Таблица310[[#This Row],[Площадь уборки до корр]],"нет","да")</f>
        <v>да</v>
      </c>
      <c r="AN76" s="45">
        <f>Таблица310[[#This Row],[Площадь уборки до корр]]-Таблица310[[#This Row],[Площадь уборки, га]]</f>
        <v>0.8361486047553357</v>
      </c>
      <c r="AQ76">
        <v>153</v>
      </c>
      <c r="AR76" t="s">
        <v>422</v>
      </c>
      <c r="AS76">
        <v>4.781892358386945</v>
      </c>
      <c r="AT76" t="s">
        <v>44</v>
      </c>
    </row>
    <row r="77" spans="1:46" ht="45" hidden="1" x14ac:dyDescent="0.25">
      <c r="A77" s="72" t="s">
        <v>102</v>
      </c>
      <c r="B77" s="73">
        <f>Таблица310[[#This Row],[Регистратор.Вес чистый]]</f>
        <v>10115.4</v>
      </c>
      <c r="C77" s="120">
        <v>42</v>
      </c>
      <c r="D77" s="75">
        <v>154</v>
      </c>
      <c r="E77" s="146">
        <v>45811</v>
      </c>
      <c r="F77" s="73">
        <v>30790</v>
      </c>
      <c r="G77" s="73">
        <v>13800</v>
      </c>
      <c r="H77" s="77">
        <v>16990</v>
      </c>
      <c r="I77" s="73">
        <v>10115.4</v>
      </c>
      <c r="J77" s="72" t="s">
        <v>78</v>
      </c>
      <c r="K77" s="72" t="s">
        <v>81</v>
      </c>
      <c r="L77" s="72" t="s">
        <v>422</v>
      </c>
      <c r="M77" s="35" t="s">
        <v>289</v>
      </c>
      <c r="N77" s="72" t="s">
        <v>453</v>
      </c>
      <c r="O77" s="72" t="s">
        <v>454</v>
      </c>
      <c r="P77" s="72"/>
      <c r="Q77" s="72" t="s">
        <v>455</v>
      </c>
      <c r="R77" s="72" t="s">
        <v>293</v>
      </c>
      <c r="S77" s="72" t="s">
        <v>294</v>
      </c>
      <c r="T77" s="70" t="s">
        <v>422</v>
      </c>
      <c r="U77" s="68" t="str">
        <f>Таблица310[[#This Row],[Регистратор.Номенклатура]]</f>
        <v>Оскар</v>
      </c>
      <c r="V77" s="45">
        <f>20.5*Таблица310[[#This Row],[Регистратор.Вес нетто]]/68840</f>
        <v>4.1095293434049971</v>
      </c>
      <c r="W77" s="72" t="s">
        <v>44</v>
      </c>
      <c r="X77" s="72" t="s">
        <v>19</v>
      </c>
      <c r="Y77" s="72">
        <v>6</v>
      </c>
      <c r="Z77" s="71">
        <v>45811</v>
      </c>
      <c r="AA77" s="94">
        <f>Таблица310[[#This Row],[Регистратор.Вес нетто]]</f>
        <v>13800</v>
      </c>
      <c r="AB77" s="40" t="s">
        <v>723</v>
      </c>
      <c r="AC77" s="40" t="s">
        <v>419</v>
      </c>
      <c r="AD77" s="40" t="s">
        <v>511</v>
      </c>
      <c r="AE77" s="40">
        <v>154</v>
      </c>
      <c r="AF77" s="103">
        <v>45811</v>
      </c>
      <c r="AG77" s="40" t="s">
        <v>534</v>
      </c>
      <c r="AH77" s="40">
        <f>VLOOKUP(Таблица310[[#This Row],[№ акта]],'Степень зрелости 2025'!$H$13:$I$583,2,FALSE)</f>
        <v>0</v>
      </c>
      <c r="AI77" s="40" t="str">
        <f>VLOOKUP(Таблица310[[#This Row],[№ акта]],$AQ$1:$AT$594,2,FALSE)</f>
        <v>А-46</v>
      </c>
      <c r="AJ77" s="40" t="str">
        <f>Таблица310[[#This Row],[Регистратор.Номенклатура]]</f>
        <v>Оскар</v>
      </c>
      <c r="AK77" s="40" t="str">
        <f>VLOOKUP(Таблица310[[#This Row],[№ акта]],$AQ$1:$AT$594,4,FALSE)</f>
        <v>ГРК собственные семена (богара)</v>
      </c>
      <c r="AL77" s="45">
        <f>VLOOKUP(Таблица310[[#This Row],[№ акта]],$AQ$1:$AT$594,3,FALSE)</f>
        <v>4.9803860034520637</v>
      </c>
      <c r="AM77" s="40" t="str">
        <f>IF(Таблица310[[#This Row],[Площадь уборки, га]]=Таблица310[[#This Row],[Площадь уборки до корр]],"нет","да")</f>
        <v>да</v>
      </c>
      <c r="AN77" s="45">
        <f>Таблица310[[#This Row],[Площадь уборки до корр]]-Таблица310[[#This Row],[Площадь уборки, га]]</f>
        <v>0.87085666004706663</v>
      </c>
      <c r="AQ77">
        <v>154</v>
      </c>
      <c r="AR77" t="s">
        <v>422</v>
      </c>
      <c r="AS77">
        <v>4.9803860034520637</v>
      </c>
      <c r="AT77" t="s">
        <v>44</v>
      </c>
    </row>
    <row r="78" spans="1:46" ht="33.75" hidden="1" x14ac:dyDescent="0.25">
      <c r="A78" s="72" t="s">
        <v>102</v>
      </c>
      <c r="B78" s="73">
        <v>11515</v>
      </c>
      <c r="C78" s="120">
        <v>58</v>
      </c>
      <c r="D78" s="75">
        <v>155</v>
      </c>
      <c r="E78" s="146">
        <v>45812</v>
      </c>
      <c r="F78" s="73">
        <v>27790</v>
      </c>
      <c r="G78" s="73">
        <v>13160</v>
      </c>
      <c r="H78" s="77">
        <v>14630</v>
      </c>
      <c r="I78" s="73">
        <v>11515</v>
      </c>
      <c r="J78" s="72" t="s">
        <v>105</v>
      </c>
      <c r="K78" s="72" t="s">
        <v>21</v>
      </c>
      <c r="L78" s="72" t="s">
        <v>460</v>
      </c>
      <c r="M78" s="35" t="s">
        <v>254</v>
      </c>
      <c r="N78" s="72" t="s">
        <v>603</v>
      </c>
      <c r="O78" s="72" t="s">
        <v>604</v>
      </c>
      <c r="P78" s="72"/>
      <c r="Q78" s="72" t="s">
        <v>605</v>
      </c>
      <c r="R78" s="72" t="s">
        <v>536</v>
      </c>
      <c r="S78" s="72" t="s">
        <v>606</v>
      </c>
      <c r="T78" s="70" t="s">
        <v>417</v>
      </c>
      <c r="U78" s="68" t="str">
        <f>Таблица310[[#This Row],[Регистратор.Номенклатура]]</f>
        <v>Преладо</v>
      </c>
      <c r="V78" s="45">
        <f>33*Таблица310[[#This Row],[Регистратор.Вес нетто]]/201670</f>
        <v>2.1534189517528635</v>
      </c>
      <c r="W78" s="72" t="s">
        <v>43</v>
      </c>
      <c r="X78" s="72" t="s">
        <v>19</v>
      </c>
      <c r="Y78" s="72">
        <v>5</v>
      </c>
      <c r="Z78" s="71">
        <v>45811</v>
      </c>
      <c r="AA78" s="40"/>
      <c r="AB78" s="40" t="s">
        <v>1622</v>
      </c>
      <c r="AC78" s="40" t="s">
        <v>724</v>
      </c>
      <c r="AD78" s="40" t="s">
        <v>511</v>
      </c>
      <c r="AE78" s="40">
        <v>155</v>
      </c>
      <c r="AF78" s="103">
        <v>45812</v>
      </c>
      <c r="AG78" s="40">
        <v>65950</v>
      </c>
      <c r="AH78" s="40">
        <f>VLOOKUP(Таблица310[[#This Row],[№ акта]],'Степень зрелости 2025'!$H$13:$I$583,2,FALSE)</f>
        <v>58</v>
      </c>
      <c r="AI78" s="40" t="str">
        <f>VLOOKUP(Таблица310[[#This Row],[№ акта]],$AQ$1:$AT$594,2,FALSE)</f>
        <v xml:space="preserve"> 2/4</v>
      </c>
      <c r="AJ78" s="40" t="str">
        <f>Таблица310[[#This Row],[Регистратор.Номенклатура]]</f>
        <v>Преладо</v>
      </c>
      <c r="AK78" s="40" t="str">
        <f>VLOOKUP(Таблица310[[#This Row],[№ акта]],$AQ$1:$AT$594,4,FALSE)</f>
        <v>Учхоз Кубань (богара)</v>
      </c>
      <c r="AL78" s="45">
        <f>VLOOKUP(Таблица310[[#This Row],[№ акта]],$AQ$1:$AT$594,3,FALSE)</f>
        <v>2.1534189517528635</v>
      </c>
      <c r="AM78" s="40" t="str">
        <f>IF(Таблица310[[#This Row],[Площадь уборки, га]]=Таблица310[[#This Row],[Площадь уборки до корр]],"нет","да")</f>
        <v>нет</v>
      </c>
      <c r="AN78" s="45">
        <f>Таблица310[[#This Row],[Площадь уборки до корр]]-Таблица310[[#This Row],[Площадь уборки, га]]</f>
        <v>0</v>
      </c>
      <c r="AQ78">
        <v>155</v>
      </c>
      <c r="AR78" t="s">
        <v>417</v>
      </c>
      <c r="AS78">
        <v>2.1534189517528635</v>
      </c>
      <c r="AT78" t="s">
        <v>43</v>
      </c>
    </row>
    <row r="79" spans="1:46" ht="33.75" hidden="1" x14ac:dyDescent="0.25">
      <c r="A79" s="72" t="s">
        <v>102</v>
      </c>
      <c r="B79" s="73">
        <v>11593.7</v>
      </c>
      <c r="C79" s="120">
        <v>56</v>
      </c>
      <c r="D79" s="75">
        <v>156</v>
      </c>
      <c r="E79" s="146">
        <v>45812</v>
      </c>
      <c r="F79" s="73">
        <v>27800</v>
      </c>
      <c r="G79" s="73">
        <v>13250</v>
      </c>
      <c r="H79" s="77">
        <v>14550</v>
      </c>
      <c r="I79" s="73">
        <v>11593.7</v>
      </c>
      <c r="J79" s="72" t="s">
        <v>105</v>
      </c>
      <c r="K79" s="72" t="s">
        <v>21</v>
      </c>
      <c r="L79" s="72" t="s">
        <v>460</v>
      </c>
      <c r="M79" s="35" t="s">
        <v>239</v>
      </c>
      <c r="N79" s="72" t="s">
        <v>598</v>
      </c>
      <c r="O79" s="72" t="s">
        <v>599</v>
      </c>
      <c r="P79" s="72"/>
      <c r="Q79" s="72" t="s">
        <v>600</v>
      </c>
      <c r="R79" s="72" t="s">
        <v>243</v>
      </c>
      <c r="S79" s="72" t="s">
        <v>597</v>
      </c>
      <c r="T79" s="70" t="s">
        <v>417</v>
      </c>
      <c r="U79" s="68" t="str">
        <f>Таблица310[[#This Row],[Регистратор.Номенклатура]]</f>
        <v>Преладо</v>
      </c>
      <c r="V79" s="45">
        <f>33*Таблица310[[#This Row],[Регистратор.Вес нетто]]/201670</f>
        <v>2.1681459810581645</v>
      </c>
      <c r="W79" s="72" t="s">
        <v>43</v>
      </c>
      <c r="X79" s="72" t="s">
        <v>19</v>
      </c>
      <c r="Y79" s="72">
        <v>5</v>
      </c>
      <c r="Z79" s="71">
        <v>45811</v>
      </c>
      <c r="AA79" s="40"/>
      <c r="AB79" s="40" t="s">
        <v>1622</v>
      </c>
      <c r="AC79" s="40" t="s">
        <v>724</v>
      </c>
      <c r="AD79" s="40" t="s">
        <v>511</v>
      </c>
      <c r="AE79" s="40">
        <v>156</v>
      </c>
      <c r="AF79" s="103">
        <v>45812</v>
      </c>
      <c r="AG79" s="40">
        <v>65948</v>
      </c>
      <c r="AH79" s="40">
        <f>VLOOKUP(Таблица310[[#This Row],[№ акта]],'Степень зрелости 2025'!$H$13:$I$583,2,FALSE)</f>
        <v>56</v>
      </c>
      <c r="AI79" s="40" t="str">
        <f>VLOOKUP(Таблица310[[#This Row],[№ акта]],$AQ$1:$AT$594,2,FALSE)</f>
        <v xml:space="preserve"> 2/4</v>
      </c>
      <c r="AJ79" s="40" t="str">
        <f>Таблица310[[#This Row],[Регистратор.Номенклатура]]</f>
        <v>Преладо</v>
      </c>
      <c r="AK79" s="40" t="str">
        <f>VLOOKUP(Таблица310[[#This Row],[№ акта]],$AQ$1:$AT$594,4,FALSE)</f>
        <v>Учхоз Кубань (богара)</v>
      </c>
      <c r="AL79" s="45">
        <f>VLOOKUP(Таблица310[[#This Row],[№ акта]],$AQ$1:$AT$594,3,FALSE)</f>
        <v>2.1681459810581645</v>
      </c>
      <c r="AM79" s="40" t="str">
        <f>IF(Таблица310[[#This Row],[Площадь уборки, га]]=Таблица310[[#This Row],[Площадь уборки до корр]],"нет","да")</f>
        <v>нет</v>
      </c>
      <c r="AN79" s="45">
        <f>Таблица310[[#This Row],[Площадь уборки до корр]]-Таблица310[[#This Row],[Площадь уборки, га]]</f>
        <v>0</v>
      </c>
      <c r="AQ79">
        <v>156</v>
      </c>
      <c r="AR79" t="s">
        <v>417</v>
      </c>
      <c r="AS79">
        <v>2.1681459810581645</v>
      </c>
      <c r="AT79" t="s">
        <v>43</v>
      </c>
    </row>
    <row r="80" spans="1:46" ht="33.75" hidden="1" x14ac:dyDescent="0.25">
      <c r="A80" s="72" t="s">
        <v>102</v>
      </c>
      <c r="B80" s="73">
        <v>11810.4</v>
      </c>
      <c r="C80" s="120">
        <v>59</v>
      </c>
      <c r="D80" s="75">
        <v>176</v>
      </c>
      <c r="E80" s="146">
        <v>45812</v>
      </c>
      <c r="F80" s="73">
        <v>28330</v>
      </c>
      <c r="G80" s="73">
        <v>13300</v>
      </c>
      <c r="H80" s="77">
        <v>15030</v>
      </c>
      <c r="I80" s="73">
        <v>11810.4</v>
      </c>
      <c r="J80" s="72" t="s">
        <v>105</v>
      </c>
      <c r="K80" s="72" t="s">
        <v>21</v>
      </c>
      <c r="L80" s="72" t="s">
        <v>460</v>
      </c>
      <c r="M80" s="35" t="s">
        <v>249</v>
      </c>
      <c r="N80" s="72" t="s">
        <v>615</v>
      </c>
      <c r="O80" s="72" t="s">
        <v>616</v>
      </c>
      <c r="P80" s="72"/>
      <c r="Q80" s="72" t="s">
        <v>617</v>
      </c>
      <c r="R80" s="72" t="s">
        <v>253</v>
      </c>
      <c r="S80" s="72" t="s">
        <v>593</v>
      </c>
      <c r="T80" s="70" t="s">
        <v>417</v>
      </c>
      <c r="U80" s="68" t="str">
        <f>Таблица310[[#This Row],[Регистратор.Номенклатура]]</f>
        <v>Преладо</v>
      </c>
      <c r="V80" s="45">
        <f>33*Таблица310[[#This Row],[Регистратор.Вес нетто]]/201670</f>
        <v>2.1763276640055538</v>
      </c>
      <c r="W80" s="72" t="s">
        <v>43</v>
      </c>
      <c r="X80" s="72" t="s">
        <v>19</v>
      </c>
      <c r="Y80" s="72">
        <v>5</v>
      </c>
      <c r="Z80" s="71">
        <v>45811</v>
      </c>
      <c r="AA80" s="40"/>
      <c r="AB80" s="40" t="s">
        <v>1622</v>
      </c>
      <c r="AC80" s="40" t="s">
        <v>724</v>
      </c>
      <c r="AD80" s="40" t="s">
        <v>511</v>
      </c>
      <c r="AE80" s="40">
        <v>176</v>
      </c>
      <c r="AF80" s="103">
        <v>45812</v>
      </c>
      <c r="AG80" s="40">
        <v>130776</v>
      </c>
      <c r="AH80" s="40">
        <f>VLOOKUP(Таблица310[[#This Row],[№ акта]],'Степень зрелости 2025'!$H$13:$I$583,2,FALSE)</f>
        <v>59</v>
      </c>
      <c r="AI80" s="40" t="str">
        <f>VLOOKUP(Таблица310[[#This Row],[№ акта]],$AQ$1:$AT$594,2,FALSE)</f>
        <v xml:space="preserve"> 2/4</v>
      </c>
      <c r="AJ80" s="40" t="str">
        <f>Таблица310[[#This Row],[Регистратор.Номенклатура]]</f>
        <v>Преладо</v>
      </c>
      <c r="AK80" s="40" t="str">
        <f>VLOOKUP(Таблица310[[#This Row],[№ акта]],$AQ$1:$AT$594,4,FALSE)</f>
        <v>Учхоз Кубань (богара)</v>
      </c>
      <c r="AL80" s="45">
        <f>VLOOKUP(Таблица310[[#This Row],[№ акта]],$AQ$1:$AT$594,3,FALSE)</f>
        <v>2.1763276640055538</v>
      </c>
      <c r="AM80" s="40" t="str">
        <f>IF(Таблица310[[#This Row],[Площадь уборки, га]]=Таблица310[[#This Row],[Площадь уборки до корр]],"нет","да")</f>
        <v>нет</v>
      </c>
      <c r="AN80" s="45">
        <f>Таблица310[[#This Row],[Площадь уборки до корр]]-Таблица310[[#This Row],[Площадь уборки, га]]</f>
        <v>0</v>
      </c>
      <c r="AQ80">
        <v>176</v>
      </c>
      <c r="AR80" t="s">
        <v>417</v>
      </c>
      <c r="AS80">
        <v>2.1763276640055538</v>
      </c>
      <c r="AT80" t="s">
        <v>43</v>
      </c>
    </row>
    <row r="81" spans="1:46" ht="33.75" hidden="1" x14ac:dyDescent="0.25">
      <c r="A81" s="72" t="s">
        <v>102</v>
      </c>
      <c r="B81" s="73">
        <v>11542.5</v>
      </c>
      <c r="C81" s="120">
        <v>58</v>
      </c>
      <c r="D81" s="75">
        <v>177</v>
      </c>
      <c r="E81" s="146">
        <v>45812</v>
      </c>
      <c r="F81" s="73">
        <v>29200</v>
      </c>
      <c r="G81" s="73">
        <v>13500</v>
      </c>
      <c r="H81" s="77">
        <v>15700</v>
      </c>
      <c r="I81" s="73">
        <v>11542.5</v>
      </c>
      <c r="J81" s="72" t="s">
        <v>105</v>
      </c>
      <c r="K81" s="72" t="s">
        <v>21</v>
      </c>
      <c r="L81" s="72" t="s">
        <v>460</v>
      </c>
      <c r="M81" s="35" t="s">
        <v>1151</v>
      </c>
      <c r="N81" s="72" t="s">
        <v>607</v>
      </c>
      <c r="O81" s="72" t="s">
        <v>608</v>
      </c>
      <c r="P81" s="72"/>
      <c r="Q81" s="72" t="s">
        <v>609</v>
      </c>
      <c r="R81" s="72" t="s">
        <v>145</v>
      </c>
      <c r="S81" s="72" t="s">
        <v>146</v>
      </c>
      <c r="T81" s="70" t="s">
        <v>417</v>
      </c>
      <c r="U81" s="68" t="str">
        <f>Таблица310[[#This Row],[Регистратор.Номенклатура]]</f>
        <v>Преладо</v>
      </c>
      <c r="V81" s="45">
        <f>33*Таблица310[[#This Row],[Регистратор.Вес нетто]]/201670</f>
        <v>2.209054395795111</v>
      </c>
      <c r="W81" s="72" t="s">
        <v>43</v>
      </c>
      <c r="X81" s="72" t="s">
        <v>19</v>
      </c>
      <c r="Y81" s="72">
        <v>5</v>
      </c>
      <c r="Z81" s="71">
        <v>45811</v>
      </c>
      <c r="AA81" s="40"/>
      <c r="AB81" s="40" t="s">
        <v>1622</v>
      </c>
      <c r="AC81" s="40" t="s">
        <v>724</v>
      </c>
      <c r="AD81" s="40" t="s">
        <v>511</v>
      </c>
      <c r="AE81" s="40">
        <v>177</v>
      </c>
      <c r="AF81" s="103">
        <v>45812</v>
      </c>
      <c r="AG81" s="40">
        <v>130777</v>
      </c>
      <c r="AH81" s="40">
        <f>VLOOKUP(Таблица310[[#This Row],[№ акта]],'Степень зрелости 2025'!$H$13:$I$583,2,FALSE)</f>
        <v>58</v>
      </c>
      <c r="AI81" s="40" t="str">
        <f>VLOOKUP(Таблица310[[#This Row],[№ акта]],$AQ$1:$AT$594,2,FALSE)</f>
        <v xml:space="preserve"> 2/4</v>
      </c>
      <c r="AJ81" s="40" t="str">
        <f>Таблица310[[#This Row],[Регистратор.Номенклатура]]</f>
        <v>Преладо</v>
      </c>
      <c r="AK81" s="40" t="str">
        <f>VLOOKUP(Таблица310[[#This Row],[№ акта]],$AQ$1:$AT$594,4,FALSE)</f>
        <v>Учхоз Кубань (богара)</v>
      </c>
      <c r="AL81" s="45">
        <f>VLOOKUP(Таблица310[[#This Row],[№ акта]],$AQ$1:$AT$594,3,FALSE)</f>
        <v>2.209054395795111</v>
      </c>
      <c r="AM81" s="40" t="str">
        <f>IF(Таблица310[[#This Row],[Площадь уборки, га]]=Таблица310[[#This Row],[Площадь уборки до корр]],"нет","да")</f>
        <v>нет</v>
      </c>
      <c r="AN81" s="45">
        <f>Таблица310[[#This Row],[Площадь уборки до корр]]-Таблица310[[#This Row],[Площадь уборки, га]]</f>
        <v>0</v>
      </c>
      <c r="AQ81">
        <v>177</v>
      </c>
      <c r="AR81" t="s">
        <v>417</v>
      </c>
      <c r="AS81">
        <v>2.209054395795111</v>
      </c>
      <c r="AT81" t="s">
        <v>43</v>
      </c>
    </row>
    <row r="82" spans="1:46" ht="33.75" hidden="1" x14ac:dyDescent="0.25">
      <c r="A82" s="72" t="s">
        <v>102</v>
      </c>
      <c r="B82" s="73">
        <v>11576.2</v>
      </c>
      <c r="C82" s="120">
        <v>59</v>
      </c>
      <c r="D82" s="75">
        <v>178</v>
      </c>
      <c r="E82" s="146">
        <v>45812</v>
      </c>
      <c r="F82" s="73">
        <v>28280</v>
      </c>
      <c r="G82" s="73">
        <v>13230</v>
      </c>
      <c r="H82" s="77">
        <v>15050</v>
      </c>
      <c r="I82" s="73">
        <v>11576.2</v>
      </c>
      <c r="J82" s="72" t="s">
        <v>105</v>
      </c>
      <c r="K82" s="72" t="s">
        <v>21</v>
      </c>
      <c r="L82" s="72" t="s">
        <v>460</v>
      </c>
      <c r="M82" s="35" t="s">
        <v>1461</v>
      </c>
      <c r="N82" s="72" t="s">
        <v>612</v>
      </c>
      <c r="O82" s="72" t="s">
        <v>613</v>
      </c>
      <c r="P82" s="72"/>
      <c r="Q82" s="72" t="s">
        <v>614</v>
      </c>
      <c r="R82" s="72" t="s">
        <v>149</v>
      </c>
      <c r="S82" s="72" t="s">
        <v>150</v>
      </c>
      <c r="T82" s="70" t="s">
        <v>417</v>
      </c>
      <c r="U82" s="68" t="str">
        <f>Таблица310[[#This Row],[Регистратор.Номенклатура]]</f>
        <v>Преладо</v>
      </c>
      <c r="V82" s="45">
        <f>33.5*Таблица310[[#This Row],[Регистратор.Вес нетто]]/219010</f>
        <v>2.0236747180494041</v>
      </c>
      <c r="W82" s="72" t="s">
        <v>43</v>
      </c>
      <c r="X82" s="72" t="s">
        <v>19</v>
      </c>
      <c r="Y82" s="72">
        <v>6</v>
      </c>
      <c r="Z82" s="71">
        <v>45812</v>
      </c>
      <c r="AA82" s="40"/>
      <c r="AB82" s="40"/>
      <c r="AC82" s="40" t="s">
        <v>724</v>
      </c>
      <c r="AD82" s="40" t="s">
        <v>511</v>
      </c>
      <c r="AE82" s="40">
        <v>178</v>
      </c>
      <c r="AF82" s="103">
        <v>45812</v>
      </c>
      <c r="AG82" s="40">
        <v>130778</v>
      </c>
      <c r="AH82" s="40">
        <f>VLOOKUP(Таблица310[[#This Row],[№ акта]],'Степень зрелости 2025'!$H$13:$I$583,2,FALSE)</f>
        <v>59</v>
      </c>
      <c r="AI82" s="40" t="str">
        <f>VLOOKUP(Таблица310[[#This Row],[№ акта]],$AQ$1:$AT$594,2,FALSE)</f>
        <v xml:space="preserve"> 2/4</v>
      </c>
      <c r="AJ82" s="40" t="str">
        <f>Таблица310[[#This Row],[Регистратор.Номенклатура]]</f>
        <v>Преладо</v>
      </c>
      <c r="AK82" s="40" t="str">
        <f>VLOOKUP(Таблица310[[#This Row],[№ акта]],$AQ$1:$AT$594,4,FALSE)</f>
        <v>Учхоз Кубань (богара)</v>
      </c>
      <c r="AL82" s="45">
        <f>VLOOKUP(Таблица310[[#This Row],[№ акта]],$AQ$1:$AT$594,3,FALSE)</f>
        <v>2.0236747180494041</v>
      </c>
      <c r="AM82" s="40" t="str">
        <f>IF(Таблица310[[#This Row],[Площадь уборки, га]]=Таблица310[[#This Row],[Площадь уборки до корр]],"нет","да")</f>
        <v>нет</v>
      </c>
      <c r="AN82" s="45">
        <f>Таблица310[[#This Row],[Площадь уборки до корр]]-Таблица310[[#This Row],[Площадь уборки, га]]</f>
        <v>0</v>
      </c>
      <c r="AQ82">
        <v>178</v>
      </c>
      <c r="AR82" t="s">
        <v>417</v>
      </c>
      <c r="AS82">
        <v>2.0236747180494041</v>
      </c>
      <c r="AT82" t="s">
        <v>43</v>
      </c>
    </row>
    <row r="83" spans="1:46" ht="33.75" hidden="1" x14ac:dyDescent="0.25">
      <c r="A83" s="72" t="s">
        <v>102</v>
      </c>
      <c r="B83" s="73">
        <v>11409.3</v>
      </c>
      <c r="C83" s="120">
        <v>62</v>
      </c>
      <c r="D83" s="75">
        <v>179</v>
      </c>
      <c r="E83" s="146">
        <v>45812</v>
      </c>
      <c r="F83" s="73">
        <v>28130</v>
      </c>
      <c r="G83" s="73">
        <v>13190</v>
      </c>
      <c r="H83" s="77">
        <v>14940</v>
      </c>
      <c r="I83" s="73">
        <v>11409.3</v>
      </c>
      <c r="J83" s="72" t="s">
        <v>105</v>
      </c>
      <c r="K83" s="72" t="s">
        <v>301</v>
      </c>
      <c r="L83" s="72" t="s">
        <v>460</v>
      </c>
      <c r="M83" s="35" t="s">
        <v>311</v>
      </c>
      <c r="N83" s="72" t="s">
        <v>628</v>
      </c>
      <c r="O83" s="72" t="s">
        <v>629</v>
      </c>
      <c r="P83" s="72"/>
      <c r="Q83" s="72" t="s">
        <v>630</v>
      </c>
      <c r="R83" s="72" t="s">
        <v>315</v>
      </c>
      <c r="S83" s="72" t="s">
        <v>316</v>
      </c>
      <c r="T83" s="70" t="s">
        <v>417</v>
      </c>
      <c r="U83" s="68" t="str">
        <f>Таблица310[[#This Row],[Регистратор.Номенклатура]]</f>
        <v>Изюминка</v>
      </c>
      <c r="V83" s="45">
        <f>33.5*Таблица310[[#This Row],[Регистратор.Вес нетто]]/219010</f>
        <v>2.0175562759691337</v>
      </c>
      <c r="W83" s="72" t="s">
        <v>43</v>
      </c>
      <c r="X83" s="72" t="s">
        <v>19</v>
      </c>
      <c r="Y83" s="72">
        <v>6</v>
      </c>
      <c r="Z83" s="71">
        <v>45812</v>
      </c>
      <c r="AA83" s="40"/>
      <c r="AB83" s="40"/>
      <c r="AC83" s="40" t="s">
        <v>724</v>
      </c>
      <c r="AD83" s="40" t="s">
        <v>511</v>
      </c>
      <c r="AE83" s="40">
        <v>179</v>
      </c>
      <c r="AF83" s="103">
        <v>45812</v>
      </c>
      <c r="AG83" s="40">
        <v>130781</v>
      </c>
      <c r="AH83" s="40">
        <f>VLOOKUP(Таблица310[[#This Row],[№ акта]],'Степень зрелости 2025'!$H$13:$I$583,2,FALSE)</f>
        <v>62</v>
      </c>
      <c r="AI83" s="40" t="str">
        <f>VLOOKUP(Таблица310[[#This Row],[№ акта]],$AQ$1:$AT$594,2,FALSE)</f>
        <v xml:space="preserve"> 2/4</v>
      </c>
      <c r="AJ83" s="40" t="str">
        <f>Таблица310[[#This Row],[Регистратор.Номенклатура]]</f>
        <v>Изюминка</v>
      </c>
      <c r="AK83" s="40" t="str">
        <f>VLOOKUP(Таблица310[[#This Row],[№ акта]],$AQ$1:$AT$594,4,FALSE)</f>
        <v>Учхоз Кубань (богара)</v>
      </c>
      <c r="AL83" s="45">
        <f>VLOOKUP(Таблица310[[#This Row],[№ акта]],$AQ$1:$AT$594,3,FALSE)</f>
        <v>2.0175562759691337</v>
      </c>
      <c r="AM83" s="40" t="str">
        <f>IF(Таблица310[[#This Row],[Площадь уборки, га]]=Таблица310[[#This Row],[Площадь уборки до корр]],"нет","да")</f>
        <v>нет</v>
      </c>
      <c r="AN83" s="45">
        <f>Таблица310[[#This Row],[Площадь уборки до корр]]-Таблица310[[#This Row],[Площадь уборки, га]]</f>
        <v>0</v>
      </c>
      <c r="AQ83">
        <v>179</v>
      </c>
      <c r="AR83" t="s">
        <v>417</v>
      </c>
      <c r="AS83">
        <v>2.0175562759691337</v>
      </c>
      <c r="AT83" t="s">
        <v>43</v>
      </c>
    </row>
    <row r="84" spans="1:46" ht="33.75" hidden="1" x14ac:dyDescent="0.25">
      <c r="A84" s="72" t="s">
        <v>102</v>
      </c>
      <c r="B84" s="73">
        <v>13755</v>
      </c>
      <c r="C84" s="120">
        <v>62</v>
      </c>
      <c r="D84" s="75">
        <v>180</v>
      </c>
      <c r="E84" s="146">
        <v>45812</v>
      </c>
      <c r="F84" s="73">
        <v>34410</v>
      </c>
      <c r="G84" s="73">
        <v>15720</v>
      </c>
      <c r="H84" s="77">
        <v>18690</v>
      </c>
      <c r="I84" s="73">
        <v>13755</v>
      </c>
      <c r="J84" s="72" t="s">
        <v>105</v>
      </c>
      <c r="K84" s="72" t="s">
        <v>21</v>
      </c>
      <c r="L84" s="72" t="s">
        <v>460</v>
      </c>
      <c r="M84" s="35" t="s">
        <v>347</v>
      </c>
      <c r="N84" s="72" t="s">
        <v>643</v>
      </c>
      <c r="O84" s="72" t="s">
        <v>644</v>
      </c>
      <c r="P84" s="72"/>
      <c r="Q84" s="72" t="s">
        <v>645</v>
      </c>
      <c r="R84" s="72" t="s">
        <v>351</v>
      </c>
      <c r="S84" s="72" t="s">
        <v>352</v>
      </c>
      <c r="T84" s="70" t="s">
        <v>417</v>
      </c>
      <c r="U84" s="68" t="str">
        <f>Таблица310[[#This Row],[Регистратор.Номенклатура]]</f>
        <v>Преладо</v>
      </c>
      <c r="V84" s="45">
        <f>33.5*Таблица310[[#This Row],[Регистратор.Вес нетто]]/219010</f>
        <v>2.4045477375462307</v>
      </c>
      <c r="W84" s="72" t="s">
        <v>43</v>
      </c>
      <c r="X84" s="72" t="s">
        <v>19</v>
      </c>
      <c r="Y84" s="72">
        <v>6</v>
      </c>
      <c r="Z84" s="71">
        <v>45812</v>
      </c>
      <c r="AA84" s="40"/>
      <c r="AB84" s="40"/>
      <c r="AC84" s="40" t="s">
        <v>724</v>
      </c>
      <c r="AD84" s="40" t="s">
        <v>511</v>
      </c>
      <c r="AE84" s="40">
        <v>180</v>
      </c>
      <c r="AF84" s="103">
        <v>45812</v>
      </c>
      <c r="AG84" s="40">
        <v>130782</v>
      </c>
      <c r="AH84" s="40">
        <f>VLOOKUP(Таблица310[[#This Row],[№ акта]],'Степень зрелости 2025'!$H$13:$I$583,2,FALSE)</f>
        <v>62</v>
      </c>
      <c r="AI84" s="40" t="str">
        <f>VLOOKUP(Таблица310[[#This Row],[№ акта]],$AQ$1:$AT$594,2,FALSE)</f>
        <v xml:space="preserve"> 2/4</v>
      </c>
      <c r="AJ84" s="40" t="str">
        <f>Таблица310[[#This Row],[Регистратор.Номенклатура]]</f>
        <v>Преладо</v>
      </c>
      <c r="AK84" s="40" t="str">
        <f>VLOOKUP(Таблица310[[#This Row],[№ акта]],$AQ$1:$AT$594,4,FALSE)</f>
        <v>Учхоз Кубань (богара)</v>
      </c>
      <c r="AL84" s="45">
        <f>VLOOKUP(Таблица310[[#This Row],[№ акта]],$AQ$1:$AT$594,3,FALSE)</f>
        <v>2.4045477375462307</v>
      </c>
      <c r="AM84" s="40" t="str">
        <f>IF(Таблица310[[#This Row],[Площадь уборки, га]]=Таблица310[[#This Row],[Площадь уборки до корр]],"нет","да")</f>
        <v>нет</v>
      </c>
      <c r="AN84" s="45">
        <f>Таблица310[[#This Row],[Площадь уборки до корр]]-Таблица310[[#This Row],[Площадь уборки, га]]</f>
        <v>0</v>
      </c>
      <c r="AQ84">
        <v>180</v>
      </c>
      <c r="AR84" t="s">
        <v>417</v>
      </c>
      <c r="AS84">
        <v>2.4045477375462307</v>
      </c>
      <c r="AT84" t="s">
        <v>43</v>
      </c>
    </row>
    <row r="85" spans="1:46" ht="33.75" hidden="1" x14ac:dyDescent="0.25">
      <c r="A85" s="72" t="s">
        <v>102</v>
      </c>
      <c r="B85" s="73">
        <v>11495.8</v>
      </c>
      <c r="C85" s="120">
        <v>64</v>
      </c>
      <c r="D85" s="75">
        <v>181</v>
      </c>
      <c r="E85" s="146">
        <v>45812</v>
      </c>
      <c r="F85" s="73">
        <v>27680</v>
      </c>
      <c r="G85" s="73">
        <v>13290</v>
      </c>
      <c r="H85" s="77">
        <v>14390</v>
      </c>
      <c r="I85" s="73">
        <v>11495.8</v>
      </c>
      <c r="J85" s="72" t="s">
        <v>105</v>
      </c>
      <c r="K85" s="72" t="s">
        <v>21</v>
      </c>
      <c r="L85" s="72" t="s">
        <v>460</v>
      </c>
      <c r="M85" s="35" t="s">
        <v>1312</v>
      </c>
      <c r="N85" s="72" t="s">
        <v>650</v>
      </c>
      <c r="O85" s="72" t="s">
        <v>651</v>
      </c>
      <c r="P85" s="72"/>
      <c r="Q85" s="72" t="s">
        <v>652</v>
      </c>
      <c r="R85" s="72" t="s">
        <v>320</v>
      </c>
      <c r="S85" s="72" t="s">
        <v>321</v>
      </c>
      <c r="T85" s="70" t="s">
        <v>417</v>
      </c>
      <c r="U85" s="68" t="str">
        <f>Таблица310[[#This Row],[Регистратор.Номенклатура]]</f>
        <v>Преладо</v>
      </c>
      <c r="V85" s="45">
        <f>33.5*Таблица310[[#This Row],[Регистратор.Вес нетто]]/219010</f>
        <v>2.0328523811698096</v>
      </c>
      <c r="W85" s="72" t="s">
        <v>43</v>
      </c>
      <c r="X85" s="72" t="s">
        <v>19</v>
      </c>
      <c r="Y85" s="72">
        <v>6</v>
      </c>
      <c r="Z85" s="71">
        <v>45812</v>
      </c>
      <c r="AA85" s="40"/>
      <c r="AB85" s="40"/>
      <c r="AC85" s="40" t="s">
        <v>725</v>
      </c>
      <c r="AD85" s="40" t="s">
        <v>511</v>
      </c>
      <c r="AE85" s="40">
        <v>181</v>
      </c>
      <c r="AF85" s="103">
        <v>45812</v>
      </c>
      <c r="AG85" s="40">
        <v>130783</v>
      </c>
      <c r="AH85" s="40">
        <f>VLOOKUP(Таблица310[[#This Row],[№ акта]],'Степень зрелости 2025'!$H$13:$I$583,2,FALSE)</f>
        <v>64</v>
      </c>
      <c r="AI85" s="40" t="str">
        <f>VLOOKUP(Таблица310[[#This Row],[№ акта]],$AQ$1:$AT$594,2,FALSE)</f>
        <v xml:space="preserve"> 2/4</v>
      </c>
      <c r="AJ85" s="40" t="str">
        <f>Таблица310[[#This Row],[Регистратор.Номенклатура]]</f>
        <v>Преладо</v>
      </c>
      <c r="AK85" s="40" t="str">
        <f>VLOOKUP(Таблица310[[#This Row],[№ акта]],$AQ$1:$AT$594,4,FALSE)</f>
        <v>Учхоз Кубань (богара)</v>
      </c>
      <c r="AL85" s="45">
        <f>VLOOKUP(Таблица310[[#This Row],[№ акта]],$AQ$1:$AT$594,3,FALSE)</f>
        <v>2.0328523811698096</v>
      </c>
      <c r="AM85" s="40" t="str">
        <f>IF(Таблица310[[#This Row],[Площадь уборки, га]]=Таблица310[[#This Row],[Площадь уборки до корр]],"нет","да")</f>
        <v>нет</v>
      </c>
      <c r="AN85" s="45">
        <f>Таблица310[[#This Row],[Площадь уборки до корр]]-Таблица310[[#This Row],[Площадь уборки, га]]</f>
        <v>0</v>
      </c>
      <c r="AQ85">
        <v>181</v>
      </c>
      <c r="AR85" t="s">
        <v>417</v>
      </c>
      <c r="AS85">
        <v>2.0328523811698096</v>
      </c>
      <c r="AT85" t="s">
        <v>43</v>
      </c>
    </row>
    <row r="86" spans="1:46" ht="22.5" hidden="1" x14ac:dyDescent="0.25">
      <c r="A86" s="72" t="s">
        <v>102</v>
      </c>
      <c r="B86" s="73">
        <v>1875.9</v>
      </c>
      <c r="C86" s="120">
        <v>57</v>
      </c>
      <c r="D86" s="75">
        <v>182</v>
      </c>
      <c r="E86" s="146">
        <v>45812</v>
      </c>
      <c r="F86" s="73">
        <v>11950</v>
      </c>
      <c r="G86" s="73">
        <v>2220</v>
      </c>
      <c r="H86" s="77">
        <v>9730</v>
      </c>
      <c r="I86" s="73">
        <v>1875.9</v>
      </c>
      <c r="J86" s="72" t="s">
        <v>78</v>
      </c>
      <c r="K86" s="72" t="s">
        <v>524</v>
      </c>
      <c r="L86" s="72" t="s">
        <v>523</v>
      </c>
      <c r="M86" s="35" t="s">
        <v>127</v>
      </c>
      <c r="N86" s="72" t="s">
        <v>601</v>
      </c>
      <c r="O86" s="72" t="s">
        <v>602</v>
      </c>
      <c r="P86" s="72"/>
      <c r="Q86" s="72">
        <v>780</v>
      </c>
      <c r="R86" s="72" t="s">
        <v>131</v>
      </c>
      <c r="S86" s="72" t="s">
        <v>132</v>
      </c>
      <c r="T86" s="70" t="s">
        <v>523</v>
      </c>
      <c r="U86" s="68" t="str">
        <f>Таблица310[[#This Row],[Регистратор.Номенклатура]]</f>
        <v>Авола</v>
      </c>
      <c r="V86" s="45">
        <v>0.8</v>
      </c>
      <c r="W86" s="72" t="s">
        <v>46</v>
      </c>
      <c r="X86" s="93" t="s">
        <v>19</v>
      </c>
      <c r="Y86" s="72">
        <v>7</v>
      </c>
      <c r="Z86" s="71">
        <v>45812</v>
      </c>
      <c r="AA86" s="40"/>
      <c r="AB86" s="40"/>
      <c r="AC86" s="40" t="s">
        <v>724</v>
      </c>
      <c r="AD86" s="40" t="s">
        <v>511</v>
      </c>
      <c r="AE86" s="40">
        <v>182</v>
      </c>
      <c r="AF86" s="103">
        <v>45812</v>
      </c>
      <c r="AG86" s="40">
        <v>37</v>
      </c>
      <c r="AH86" s="40">
        <f>VLOOKUP(Таблица310[[#This Row],[№ акта]],'Степень зрелости 2025'!$H$13:$I$583,2,FALSE)</f>
        <v>57</v>
      </c>
      <c r="AI86" s="40" t="str">
        <f>VLOOKUP(Таблица310[[#This Row],[№ акта]],$AQ$1:$AT$594,2,FALSE)</f>
        <v>А-57</v>
      </c>
      <c r="AJ86" s="40" t="str">
        <f>Таблица310[[#This Row],[Регистратор.Номенклатура]]</f>
        <v>Авола</v>
      </c>
      <c r="AK86" s="40" t="str">
        <f>VLOOKUP(Таблица310[[#This Row],[№ акта]],$AQ$1:$AT$594,4,FALSE)</f>
        <v>ГРК (богара)</v>
      </c>
      <c r="AL86" s="45">
        <f>VLOOKUP(Таблица310[[#This Row],[№ акта]],$AQ$1:$AT$594,3,FALSE)</f>
        <v>0.8</v>
      </c>
      <c r="AM86" s="40" t="str">
        <f>IF(Таблица310[[#This Row],[Площадь уборки, га]]=Таблица310[[#This Row],[Площадь уборки до корр]],"нет","да")</f>
        <v>нет</v>
      </c>
      <c r="AN86" s="45">
        <f>Таблица310[[#This Row],[Площадь уборки до корр]]-Таблица310[[#This Row],[Площадь уборки, га]]</f>
        <v>0</v>
      </c>
      <c r="AQ86">
        <v>182</v>
      </c>
      <c r="AR86" t="s">
        <v>523</v>
      </c>
      <c r="AS86">
        <v>0.8</v>
      </c>
      <c r="AT86" t="s">
        <v>46</v>
      </c>
    </row>
    <row r="87" spans="1:46" ht="33.75" hidden="1" x14ac:dyDescent="0.25">
      <c r="A87" s="72" t="s">
        <v>102</v>
      </c>
      <c r="B87" s="73">
        <v>11948.2</v>
      </c>
      <c r="C87" s="120">
        <v>62</v>
      </c>
      <c r="D87" s="75">
        <v>183</v>
      </c>
      <c r="E87" s="146">
        <v>45812</v>
      </c>
      <c r="F87" s="73">
        <v>28130</v>
      </c>
      <c r="G87" s="73">
        <v>13350</v>
      </c>
      <c r="H87" s="77">
        <v>14780</v>
      </c>
      <c r="I87" s="73">
        <v>11948.2</v>
      </c>
      <c r="J87" s="72" t="s">
        <v>105</v>
      </c>
      <c r="K87" s="72" t="s">
        <v>21</v>
      </c>
      <c r="L87" s="72" t="s">
        <v>460</v>
      </c>
      <c r="M87" s="35" t="s">
        <v>335</v>
      </c>
      <c r="N87" s="72" t="s">
        <v>634</v>
      </c>
      <c r="O87" s="72" t="s">
        <v>635</v>
      </c>
      <c r="P87" s="72"/>
      <c r="Q87" s="72" t="s">
        <v>636</v>
      </c>
      <c r="R87" s="72" t="s">
        <v>339</v>
      </c>
      <c r="S87" s="72" t="s">
        <v>340</v>
      </c>
      <c r="T87" s="70" t="s">
        <v>417</v>
      </c>
      <c r="U87" s="68" t="str">
        <f>Таблица310[[#This Row],[Регистратор.Номенклатура]]</f>
        <v>Преладо</v>
      </c>
      <c r="V87" s="45">
        <f>33.5*Таблица310[[#This Row],[Регистратор.Вес нетто]]/219010</f>
        <v>2.0420300442902151</v>
      </c>
      <c r="W87" s="72" t="s">
        <v>43</v>
      </c>
      <c r="X87" s="72" t="s">
        <v>19</v>
      </c>
      <c r="Y87" s="72">
        <v>6</v>
      </c>
      <c r="Z87" s="71">
        <v>45812</v>
      </c>
      <c r="AA87" s="40"/>
      <c r="AB87" s="40"/>
      <c r="AC87" s="40" t="s">
        <v>724</v>
      </c>
      <c r="AD87" s="40" t="s">
        <v>511</v>
      </c>
      <c r="AE87" s="40">
        <v>183</v>
      </c>
      <c r="AF87" s="103">
        <v>45812</v>
      </c>
      <c r="AG87" s="40">
        <v>130784</v>
      </c>
      <c r="AH87" s="40">
        <f>VLOOKUP(Таблица310[[#This Row],[№ акта]],'Степень зрелости 2025'!$H$13:$I$583,2,FALSE)</f>
        <v>62</v>
      </c>
      <c r="AI87" s="40" t="str">
        <f>VLOOKUP(Таблица310[[#This Row],[№ акта]],$AQ$1:$AT$594,2,FALSE)</f>
        <v xml:space="preserve"> 2/4</v>
      </c>
      <c r="AJ87" s="40" t="str">
        <f>Таблица310[[#This Row],[Регистратор.Номенклатура]]</f>
        <v>Преладо</v>
      </c>
      <c r="AK87" s="40" t="str">
        <f>VLOOKUP(Таблица310[[#This Row],[№ акта]],$AQ$1:$AT$594,4,FALSE)</f>
        <v>Учхоз Кубань (богара)</v>
      </c>
      <c r="AL87" s="45">
        <f>VLOOKUP(Таблица310[[#This Row],[№ акта]],$AQ$1:$AT$594,3,FALSE)</f>
        <v>2.0420300442902151</v>
      </c>
      <c r="AM87" s="40" t="str">
        <f>IF(Таблица310[[#This Row],[Площадь уборки, га]]=Таблица310[[#This Row],[Площадь уборки до корр]],"нет","да")</f>
        <v>нет</v>
      </c>
      <c r="AN87" s="45">
        <f>Таблица310[[#This Row],[Площадь уборки до корр]]-Таблица310[[#This Row],[Площадь уборки, га]]</f>
        <v>0</v>
      </c>
      <c r="AQ87">
        <v>183</v>
      </c>
      <c r="AR87" t="s">
        <v>417</v>
      </c>
      <c r="AS87">
        <v>2.0420300442902151</v>
      </c>
      <c r="AT87" t="s">
        <v>43</v>
      </c>
    </row>
    <row r="88" spans="1:46" ht="33.75" hidden="1" x14ac:dyDescent="0.25">
      <c r="A88" s="72" t="s">
        <v>102</v>
      </c>
      <c r="B88" s="73">
        <v>13209.6</v>
      </c>
      <c r="C88" s="120">
        <v>62</v>
      </c>
      <c r="D88" s="75">
        <v>184</v>
      </c>
      <c r="E88" s="146">
        <v>45812</v>
      </c>
      <c r="F88" s="73">
        <v>36430</v>
      </c>
      <c r="G88" s="73">
        <v>15360</v>
      </c>
      <c r="H88" s="77">
        <v>21070</v>
      </c>
      <c r="I88" s="73">
        <v>13209.6</v>
      </c>
      <c r="J88" s="72" t="s">
        <v>105</v>
      </c>
      <c r="K88" s="72" t="s">
        <v>21</v>
      </c>
      <c r="L88" s="72" t="s">
        <v>460</v>
      </c>
      <c r="M88" s="35" t="s">
        <v>1152</v>
      </c>
      <c r="N88" s="72" t="s">
        <v>640</v>
      </c>
      <c r="O88" s="72" t="s">
        <v>641</v>
      </c>
      <c r="P88" s="72"/>
      <c r="Q88" s="72" t="s">
        <v>642</v>
      </c>
      <c r="R88" s="72" t="s">
        <v>119</v>
      </c>
      <c r="S88" s="72" t="s">
        <v>120</v>
      </c>
      <c r="T88" s="70" t="s">
        <v>417</v>
      </c>
      <c r="U88" s="68" t="str">
        <f>Таблица310[[#This Row],[Регистратор.Номенклатура]]</f>
        <v>Преладо</v>
      </c>
      <c r="V88" s="45">
        <f>33.5*Таблица310[[#This Row],[Регистратор.Вес нетто]]/219010</f>
        <v>2.3494817588237979</v>
      </c>
      <c r="W88" s="72" t="s">
        <v>43</v>
      </c>
      <c r="X88" s="72" t="s">
        <v>19</v>
      </c>
      <c r="Y88" s="72">
        <v>6</v>
      </c>
      <c r="Z88" s="71">
        <v>45812</v>
      </c>
      <c r="AA88" s="40"/>
      <c r="AB88" s="40"/>
      <c r="AC88" s="40" t="s">
        <v>724</v>
      </c>
      <c r="AD88" s="40" t="s">
        <v>511</v>
      </c>
      <c r="AE88" s="40">
        <v>184</v>
      </c>
      <c r="AF88" s="103">
        <v>45812</v>
      </c>
      <c r="AG88" s="40">
        <v>130786</v>
      </c>
      <c r="AH88" s="40">
        <f>VLOOKUP(Таблица310[[#This Row],[№ акта]],'Степень зрелости 2025'!$H$13:$I$583,2,FALSE)</f>
        <v>62</v>
      </c>
      <c r="AI88" s="40" t="str">
        <f>VLOOKUP(Таблица310[[#This Row],[№ акта]],$AQ$1:$AT$594,2,FALSE)</f>
        <v xml:space="preserve"> 2/4</v>
      </c>
      <c r="AJ88" s="40" t="str">
        <f>Таблица310[[#This Row],[Регистратор.Номенклатура]]</f>
        <v>Преладо</v>
      </c>
      <c r="AK88" s="40" t="str">
        <f>VLOOKUP(Таблица310[[#This Row],[№ акта]],$AQ$1:$AT$594,4,FALSE)</f>
        <v>Учхоз Кубань (богара)</v>
      </c>
      <c r="AL88" s="45">
        <f>VLOOKUP(Таблица310[[#This Row],[№ акта]],$AQ$1:$AT$594,3,FALSE)</f>
        <v>2.3494817588237979</v>
      </c>
      <c r="AM88" s="40" t="str">
        <f>IF(Таблица310[[#This Row],[Площадь уборки, га]]=Таблица310[[#This Row],[Площадь уборки до корр]],"нет","да")</f>
        <v>нет</v>
      </c>
      <c r="AN88" s="45">
        <f>Таблица310[[#This Row],[Площадь уборки до корр]]-Таблица310[[#This Row],[Площадь уборки, га]]</f>
        <v>0</v>
      </c>
      <c r="AQ88">
        <v>184</v>
      </c>
      <c r="AR88" t="s">
        <v>417</v>
      </c>
      <c r="AS88">
        <v>2.3494817588237979</v>
      </c>
      <c r="AT88" t="s">
        <v>43</v>
      </c>
    </row>
    <row r="89" spans="1:46" ht="33.75" hidden="1" x14ac:dyDescent="0.25">
      <c r="A89" s="72" t="s">
        <v>102</v>
      </c>
      <c r="B89" s="73">
        <v>12105.4</v>
      </c>
      <c r="C89" s="120">
        <v>59</v>
      </c>
      <c r="D89" s="75">
        <v>185</v>
      </c>
      <c r="E89" s="146">
        <v>45812</v>
      </c>
      <c r="F89" s="73">
        <v>28110</v>
      </c>
      <c r="G89" s="73">
        <v>13230</v>
      </c>
      <c r="H89" s="77">
        <v>14880</v>
      </c>
      <c r="I89" s="73">
        <v>12105.4</v>
      </c>
      <c r="J89" s="72" t="s">
        <v>105</v>
      </c>
      <c r="K89" s="72" t="s">
        <v>21</v>
      </c>
      <c r="L89" s="72" t="s">
        <v>460</v>
      </c>
      <c r="M89" s="35" t="s">
        <v>151</v>
      </c>
      <c r="N89" s="72" t="s">
        <v>618</v>
      </c>
      <c r="O89" s="72" t="s">
        <v>619</v>
      </c>
      <c r="P89" s="72"/>
      <c r="Q89" s="72" t="s">
        <v>620</v>
      </c>
      <c r="R89" s="72" t="s">
        <v>155</v>
      </c>
      <c r="S89" s="72" t="s">
        <v>156</v>
      </c>
      <c r="T89" s="70" t="s">
        <v>417</v>
      </c>
      <c r="U89" s="68" t="str">
        <f>Таблица310[[#This Row],[Регистратор.Номенклатура]]</f>
        <v>Преладо</v>
      </c>
      <c r="V89" s="45">
        <f>33.5*Таблица310[[#This Row],[Регистратор.Вес нетто]]/219010</f>
        <v>2.0236747180494041</v>
      </c>
      <c r="W89" s="72" t="s">
        <v>43</v>
      </c>
      <c r="X89" s="72" t="s">
        <v>19</v>
      </c>
      <c r="Y89" s="72">
        <v>6</v>
      </c>
      <c r="Z89" s="71">
        <v>45812</v>
      </c>
      <c r="AA89" s="40"/>
      <c r="AB89" s="40"/>
      <c r="AC89" s="40" t="s">
        <v>724</v>
      </c>
      <c r="AD89" s="40" t="s">
        <v>511</v>
      </c>
      <c r="AE89" s="40">
        <v>185</v>
      </c>
      <c r="AF89" s="103">
        <v>45812</v>
      </c>
      <c r="AG89" s="40">
        <v>130787</v>
      </c>
      <c r="AH89" s="40">
        <f>VLOOKUP(Таблица310[[#This Row],[№ акта]],'Степень зрелости 2025'!$H$13:$I$583,2,FALSE)</f>
        <v>59</v>
      </c>
      <c r="AI89" s="40" t="str">
        <f>VLOOKUP(Таблица310[[#This Row],[№ акта]],$AQ$1:$AT$594,2,FALSE)</f>
        <v xml:space="preserve"> 2/4</v>
      </c>
      <c r="AJ89" s="40" t="str">
        <f>Таблица310[[#This Row],[Регистратор.Номенклатура]]</f>
        <v>Преладо</v>
      </c>
      <c r="AK89" s="40" t="str">
        <f>VLOOKUP(Таблица310[[#This Row],[№ акта]],$AQ$1:$AT$594,4,FALSE)</f>
        <v>Учхоз Кубань (богара)</v>
      </c>
      <c r="AL89" s="45">
        <f>VLOOKUP(Таблица310[[#This Row],[№ акта]],$AQ$1:$AT$594,3,FALSE)</f>
        <v>2.0236747180494041</v>
      </c>
      <c r="AM89" s="40" t="str">
        <f>IF(Таблица310[[#This Row],[Площадь уборки, га]]=Таблица310[[#This Row],[Площадь уборки до корр]],"нет","да")</f>
        <v>нет</v>
      </c>
      <c r="AN89" s="45">
        <f>Таблица310[[#This Row],[Площадь уборки до корр]]-Таблица310[[#This Row],[Площадь уборки, га]]</f>
        <v>0</v>
      </c>
      <c r="AQ89">
        <v>185</v>
      </c>
      <c r="AR89" t="s">
        <v>417</v>
      </c>
      <c r="AS89">
        <v>2.0236747180494041</v>
      </c>
      <c r="AT89" t="s">
        <v>43</v>
      </c>
    </row>
    <row r="90" spans="1:46" ht="45" hidden="1" x14ac:dyDescent="0.25">
      <c r="A90" s="72" t="s">
        <v>102</v>
      </c>
      <c r="B90" s="73">
        <v>4001.6</v>
      </c>
      <c r="C90" s="120">
        <v>61</v>
      </c>
      <c r="D90" s="75">
        <v>186</v>
      </c>
      <c r="E90" s="146">
        <v>45812</v>
      </c>
      <c r="F90" s="73">
        <v>14600</v>
      </c>
      <c r="G90" s="73">
        <v>4880</v>
      </c>
      <c r="H90" s="77">
        <v>9720</v>
      </c>
      <c r="I90" s="73">
        <v>4001.6</v>
      </c>
      <c r="J90" s="72" t="s">
        <v>78</v>
      </c>
      <c r="K90" s="72" t="s">
        <v>81</v>
      </c>
      <c r="L90" s="72" t="s">
        <v>422</v>
      </c>
      <c r="M90" s="35" t="s">
        <v>127</v>
      </c>
      <c r="N90" s="72" t="s">
        <v>621</v>
      </c>
      <c r="O90" s="72" t="s">
        <v>622</v>
      </c>
      <c r="P90" s="72"/>
      <c r="Q90" s="72">
        <v>784.97400000000005</v>
      </c>
      <c r="R90" s="72" t="s">
        <v>131</v>
      </c>
      <c r="S90" s="72"/>
      <c r="T90" s="70" t="s">
        <v>422</v>
      </c>
      <c r="U90" s="68" t="str">
        <f>Таблица310[[#This Row],[Регистратор.Номенклатура]]</f>
        <v>Оскар</v>
      </c>
      <c r="V90" s="45">
        <f>29.2*Таблица310[[#This Row],[Регистратор.Вес нетто]]/69890</f>
        <v>2.0388610673916152</v>
      </c>
      <c r="W90" s="72" t="s">
        <v>44</v>
      </c>
      <c r="X90" s="93" t="s">
        <v>19</v>
      </c>
      <c r="Y90" s="72">
        <v>7</v>
      </c>
      <c r="Z90" s="71">
        <v>45812</v>
      </c>
      <c r="AA90" s="40"/>
      <c r="AB90" s="40"/>
      <c r="AC90" s="40" t="s">
        <v>724</v>
      </c>
      <c r="AD90" s="40" t="s">
        <v>511</v>
      </c>
      <c r="AE90" s="40">
        <v>186</v>
      </c>
      <c r="AF90" s="103">
        <v>45812</v>
      </c>
      <c r="AG90" s="40">
        <v>39</v>
      </c>
      <c r="AH90" s="40">
        <f>VLOOKUP(Таблица310[[#This Row],[№ акта]],'Степень зрелости 2025'!$H$13:$I$583,2,FALSE)</f>
        <v>61</v>
      </c>
      <c r="AI90" s="40" t="str">
        <f>VLOOKUP(Таблица310[[#This Row],[№ акта]],$AQ$1:$AT$594,2,FALSE)</f>
        <v>А-46</v>
      </c>
      <c r="AJ90" s="40" t="str">
        <f>Таблица310[[#This Row],[Регистратор.Номенклатура]]</f>
        <v>Оскар</v>
      </c>
      <c r="AK90" s="40" t="str">
        <f>VLOOKUP(Таблица310[[#This Row],[№ акта]],$AQ$1:$AT$594,4,FALSE)</f>
        <v>ГРК собственные семена (богара)</v>
      </c>
      <c r="AL90" s="45">
        <f>VLOOKUP(Таблица310[[#This Row],[№ акта]],$AQ$1:$AT$594,3,FALSE)</f>
        <v>2.0731204943357362</v>
      </c>
      <c r="AM90" s="40" t="str">
        <f>IF(Таблица310[[#This Row],[Площадь уборки, га]]=Таблица310[[#This Row],[Площадь уборки до корр]],"нет","да")</f>
        <v>да</v>
      </c>
      <c r="AN90" s="45">
        <f>Таблица310[[#This Row],[Площадь уборки до корр]]-Таблица310[[#This Row],[Площадь уборки, га]]</f>
        <v>3.4259426944120985E-2</v>
      </c>
      <c r="AQ90">
        <v>186</v>
      </c>
      <c r="AR90" t="s">
        <v>422</v>
      </c>
      <c r="AS90">
        <v>2.0731204943357362</v>
      </c>
      <c r="AT90" t="s">
        <v>44</v>
      </c>
    </row>
    <row r="91" spans="1:46" ht="45" hidden="1" x14ac:dyDescent="0.25">
      <c r="A91" s="72" t="s">
        <v>102</v>
      </c>
      <c r="B91" s="73">
        <v>4058.7</v>
      </c>
      <c r="C91" s="120">
        <v>64</v>
      </c>
      <c r="D91" s="75">
        <v>187</v>
      </c>
      <c r="E91" s="146">
        <v>45813</v>
      </c>
      <c r="F91" s="73">
        <v>14600</v>
      </c>
      <c r="G91" s="73">
        <v>4890</v>
      </c>
      <c r="H91" s="77">
        <v>9710</v>
      </c>
      <c r="I91" s="73">
        <v>4058.7</v>
      </c>
      <c r="J91" s="72" t="s">
        <v>78</v>
      </c>
      <c r="K91" s="72" t="s">
        <v>81</v>
      </c>
      <c r="L91" s="72" t="s">
        <v>422</v>
      </c>
      <c r="M91" s="35" t="s">
        <v>127</v>
      </c>
      <c r="N91" s="72" t="s">
        <v>646</v>
      </c>
      <c r="O91" s="72" t="s">
        <v>647</v>
      </c>
      <c r="P91" s="72"/>
      <c r="Q91" s="72">
        <v>975.78499999999997</v>
      </c>
      <c r="R91" s="72" t="s">
        <v>131</v>
      </c>
      <c r="S91" s="72"/>
      <c r="T91" s="70" t="s">
        <v>422</v>
      </c>
      <c r="U91" s="68" t="str">
        <f>Таблица310[[#This Row],[Регистратор.Номенклатура]]</f>
        <v>Оскар</v>
      </c>
      <c r="V91" s="45">
        <f>6.3*Таблица310[[#This Row],[Регистратор.Вес нетто]]/28750</f>
        <v>1.0715478260869564</v>
      </c>
      <c r="W91" s="72" t="s">
        <v>44</v>
      </c>
      <c r="X91" s="93" t="s">
        <v>19</v>
      </c>
      <c r="Y91" s="72">
        <v>7</v>
      </c>
      <c r="Z91" s="71">
        <v>45812</v>
      </c>
      <c r="AA91" s="40"/>
      <c r="AB91" s="40"/>
      <c r="AC91" s="40" t="s">
        <v>725</v>
      </c>
      <c r="AD91" s="40" t="s">
        <v>550</v>
      </c>
      <c r="AE91" s="40">
        <v>187</v>
      </c>
      <c r="AF91" s="103">
        <v>45813</v>
      </c>
      <c r="AG91" s="40">
        <v>40</v>
      </c>
      <c r="AH91" s="40">
        <f>VLOOKUP(Таблица310[[#This Row],[№ акта]],'Степень зрелости 2025'!$H$13:$I$583,2,FALSE)</f>
        <v>64</v>
      </c>
      <c r="AI91" s="40" t="str">
        <f>VLOOKUP(Таблица310[[#This Row],[№ акта]],$AQ$1:$AT$594,2,FALSE)</f>
        <v>А-46</v>
      </c>
      <c r="AJ91" s="40" t="str">
        <f>Таблица310[[#This Row],[Регистратор.Номенклатура]]</f>
        <v>Оскар</v>
      </c>
      <c r="AK91" s="40" t="str">
        <f>VLOOKUP(Таблица310[[#This Row],[№ акта]],$AQ$1:$AT$594,4,FALSE)</f>
        <v>ГРК собственные семена (богара)</v>
      </c>
      <c r="AL91" s="45">
        <f>VLOOKUP(Таблица310[[#This Row],[№ акта]],$AQ$1:$AT$594,3,FALSE)</f>
        <v>2.0773686920700309</v>
      </c>
      <c r="AM91" s="40" t="str">
        <f>IF(Таблица310[[#This Row],[Площадь уборки, га]]=Таблица310[[#This Row],[Площадь уборки до корр]],"нет","да")</f>
        <v>да</v>
      </c>
      <c r="AN91" s="45">
        <f>Таблица310[[#This Row],[Площадь уборки до корр]]-Таблица310[[#This Row],[Площадь уборки, га]]</f>
        <v>1.0058208659830745</v>
      </c>
      <c r="AQ91">
        <v>187</v>
      </c>
      <c r="AR91" t="s">
        <v>422</v>
      </c>
      <c r="AS91">
        <v>2.0773686920700309</v>
      </c>
      <c r="AT91" t="s">
        <v>44</v>
      </c>
    </row>
    <row r="92" spans="1:46" ht="33.75" hidden="1" x14ac:dyDescent="0.25">
      <c r="A92" s="72" t="s">
        <v>102</v>
      </c>
      <c r="B92" s="73">
        <v>12379.9</v>
      </c>
      <c r="C92" s="120">
        <v>62</v>
      </c>
      <c r="D92" s="75">
        <v>188</v>
      </c>
      <c r="E92" s="146">
        <v>45813</v>
      </c>
      <c r="F92" s="73">
        <v>37550</v>
      </c>
      <c r="G92" s="73">
        <v>13530</v>
      </c>
      <c r="H92" s="77">
        <v>24020</v>
      </c>
      <c r="I92" s="73">
        <v>12379.9</v>
      </c>
      <c r="J92" s="72" t="s">
        <v>105</v>
      </c>
      <c r="K92" s="72" t="s">
        <v>21</v>
      </c>
      <c r="L92" s="72" t="s">
        <v>460</v>
      </c>
      <c r="M92" s="35" t="s">
        <v>160</v>
      </c>
      <c r="N92" s="72" t="s">
        <v>637</v>
      </c>
      <c r="O92" s="72" t="s">
        <v>638</v>
      </c>
      <c r="P92" s="72"/>
      <c r="Q92" s="72" t="s">
        <v>639</v>
      </c>
      <c r="R92" s="72" t="s">
        <v>164</v>
      </c>
      <c r="S92" s="72" t="s">
        <v>165</v>
      </c>
      <c r="T92" s="70" t="s">
        <v>417</v>
      </c>
      <c r="U92" s="68" t="str">
        <f>Таблица310[[#This Row],[Регистратор.Номенклатура]]</f>
        <v>Преладо</v>
      </c>
      <c r="V92" s="45">
        <f>33.5*Таблица310[[#This Row],[Регистратор.Вес нетто]]/219010</f>
        <v>2.0695630336514315</v>
      </c>
      <c r="W92" s="72" t="s">
        <v>43</v>
      </c>
      <c r="X92" s="72" t="s">
        <v>19</v>
      </c>
      <c r="Y92" s="72">
        <v>6</v>
      </c>
      <c r="Z92" s="71">
        <v>45812</v>
      </c>
      <c r="AA92" s="40"/>
      <c r="AB92" s="40"/>
      <c r="AC92" s="40" t="s">
        <v>724</v>
      </c>
      <c r="AD92" s="40" t="s">
        <v>511</v>
      </c>
      <c r="AE92" s="40">
        <v>188</v>
      </c>
      <c r="AF92" s="103">
        <v>45813</v>
      </c>
      <c r="AG92" s="40">
        <v>130788</v>
      </c>
      <c r="AH92" s="40">
        <f>VLOOKUP(Таблица310[[#This Row],[№ акта]],'Степень зрелости 2025'!$H$13:$I$583,2,FALSE)</f>
        <v>62</v>
      </c>
      <c r="AI92" s="40" t="str">
        <f>VLOOKUP(Таблица310[[#This Row],[№ акта]],$AQ$1:$AT$594,2,FALSE)</f>
        <v xml:space="preserve"> 2/4</v>
      </c>
      <c r="AJ92" s="40" t="str">
        <f>Таблица310[[#This Row],[Регистратор.Номенклатура]]</f>
        <v>Преладо</v>
      </c>
      <c r="AK92" s="40" t="str">
        <f>VLOOKUP(Таблица310[[#This Row],[№ акта]],$AQ$1:$AT$594,4,FALSE)</f>
        <v>Учхоз Кубань (богара)</v>
      </c>
      <c r="AL92" s="45">
        <f>VLOOKUP(Таблица310[[#This Row],[№ акта]],$AQ$1:$AT$594,3,FALSE)</f>
        <v>2.0695630336514315</v>
      </c>
      <c r="AM92" s="40" t="str">
        <f>IF(Таблица310[[#This Row],[Площадь уборки, га]]=Таблица310[[#This Row],[Площадь уборки до корр]],"нет","да")</f>
        <v>нет</v>
      </c>
      <c r="AN92" s="45">
        <f>Таблица310[[#This Row],[Площадь уборки до корр]]-Таблица310[[#This Row],[Площадь уборки, га]]</f>
        <v>0</v>
      </c>
      <c r="AQ92">
        <v>188</v>
      </c>
      <c r="AR92" t="s">
        <v>417</v>
      </c>
      <c r="AS92">
        <v>2.0695630336514315</v>
      </c>
      <c r="AT92" t="s">
        <v>43</v>
      </c>
    </row>
    <row r="93" spans="1:46" ht="45" hidden="1" x14ac:dyDescent="0.25">
      <c r="A93" s="72" t="s">
        <v>102</v>
      </c>
      <c r="B93" s="73">
        <v>4149.6000000000004</v>
      </c>
      <c r="C93" s="120">
        <v>64</v>
      </c>
      <c r="D93" s="75">
        <v>189</v>
      </c>
      <c r="E93" s="146">
        <v>45813</v>
      </c>
      <c r="F93" s="73">
        <v>14640</v>
      </c>
      <c r="G93" s="73">
        <v>4940</v>
      </c>
      <c r="H93" s="77">
        <v>9700</v>
      </c>
      <c r="I93" s="73">
        <v>4149.6000000000004</v>
      </c>
      <c r="J93" s="72" t="s">
        <v>78</v>
      </c>
      <c r="K93" s="72" t="s">
        <v>81</v>
      </c>
      <c r="L93" s="72" t="s">
        <v>422</v>
      </c>
      <c r="M93" s="35" t="s">
        <v>127</v>
      </c>
      <c r="N93" s="72" t="s">
        <v>648</v>
      </c>
      <c r="O93" s="72" t="s">
        <v>649</v>
      </c>
      <c r="P93" s="72"/>
      <c r="Q93" s="72">
        <v>976.78599999999994</v>
      </c>
      <c r="R93" s="72" t="s">
        <v>131</v>
      </c>
      <c r="S93" s="72"/>
      <c r="T93" s="70" t="s">
        <v>422</v>
      </c>
      <c r="U93" s="68" t="str">
        <f>Таблица310[[#This Row],[Регистратор.Номенклатура]]</f>
        <v>Оскар</v>
      </c>
      <c r="V93" s="45">
        <f>6.3*Таблица310[[#This Row],[Регистратор.Вес нетто]]/28750</f>
        <v>1.082504347826087</v>
      </c>
      <c r="W93" s="72" t="s">
        <v>44</v>
      </c>
      <c r="X93" s="93" t="s">
        <v>19</v>
      </c>
      <c r="Y93" s="72">
        <v>7</v>
      </c>
      <c r="Z93" s="71">
        <v>45812</v>
      </c>
      <c r="AA93" s="40"/>
      <c r="AB93" s="40"/>
      <c r="AC93" s="40" t="s">
        <v>725</v>
      </c>
      <c r="AD93" s="40" t="s">
        <v>550</v>
      </c>
      <c r="AE93" s="40">
        <v>189</v>
      </c>
      <c r="AF93" s="103">
        <v>45813</v>
      </c>
      <c r="AG93" s="40">
        <v>41</v>
      </c>
      <c r="AH93" s="40">
        <f>VLOOKUP(Таблица310[[#This Row],[№ акта]],'Степень зрелости 2025'!$H$13:$I$583,2,FALSE)</f>
        <v>64</v>
      </c>
      <c r="AI93" s="40" t="str">
        <f>VLOOKUP(Таблица310[[#This Row],[№ акта]],$AQ$1:$AT$594,2,FALSE)</f>
        <v>А-46</v>
      </c>
      <c r="AJ93" s="40" t="str">
        <f>Таблица310[[#This Row],[Регистратор.Номенклатура]]</f>
        <v>Оскар</v>
      </c>
      <c r="AK93" s="40" t="str">
        <f>VLOOKUP(Таблица310[[#This Row],[№ акта]],$AQ$1:$AT$594,4,FALSE)</f>
        <v>ГРК собственные семена (богара)</v>
      </c>
      <c r="AL93" s="45">
        <f>VLOOKUP(Таблица310[[#This Row],[№ акта]],$AQ$1:$AT$594,3,FALSE)</f>
        <v>2.0986096807415038</v>
      </c>
      <c r="AM93" s="40" t="str">
        <f>IF(Таблица310[[#This Row],[Площадь уборки, га]]=Таблица310[[#This Row],[Площадь уборки до корр]],"нет","да")</f>
        <v>да</v>
      </c>
      <c r="AN93" s="45">
        <f>Таблица310[[#This Row],[Площадь уборки до корр]]-Таблица310[[#This Row],[Площадь уборки, га]]</f>
        <v>1.0161053329154168</v>
      </c>
      <c r="AQ93">
        <v>189</v>
      </c>
      <c r="AR93" t="s">
        <v>422</v>
      </c>
      <c r="AS93">
        <v>2.0986096807415038</v>
      </c>
      <c r="AT93" t="s">
        <v>44</v>
      </c>
    </row>
    <row r="94" spans="1:46" ht="45" hidden="1" x14ac:dyDescent="0.25">
      <c r="A94" s="72" t="s">
        <v>102</v>
      </c>
      <c r="B94" s="73">
        <v>4282.8</v>
      </c>
      <c r="C94" s="120">
        <v>62</v>
      </c>
      <c r="D94" s="75">
        <v>190</v>
      </c>
      <c r="E94" s="146">
        <v>45813</v>
      </c>
      <c r="F94" s="73">
        <v>14670</v>
      </c>
      <c r="G94" s="73">
        <v>4980</v>
      </c>
      <c r="H94" s="77">
        <v>9690</v>
      </c>
      <c r="I94" s="73">
        <v>4282.8</v>
      </c>
      <c r="J94" s="72" t="s">
        <v>78</v>
      </c>
      <c r="K94" s="72" t="s">
        <v>81</v>
      </c>
      <c r="L94" s="72" t="s">
        <v>422</v>
      </c>
      <c r="M94" s="35" t="s">
        <v>127</v>
      </c>
      <c r="N94" s="72" t="s">
        <v>626</v>
      </c>
      <c r="O94" s="72" t="s">
        <v>627</v>
      </c>
      <c r="P94" s="72"/>
      <c r="Q94" s="72">
        <v>977.78700000000003</v>
      </c>
      <c r="R94" s="72" t="s">
        <v>131</v>
      </c>
      <c r="S94" s="72"/>
      <c r="T94" s="70" t="s">
        <v>422</v>
      </c>
      <c r="U94" s="68" t="str">
        <f>Таблица310[[#This Row],[Регистратор.Номенклатура]]</f>
        <v>Оскар</v>
      </c>
      <c r="V94" s="45">
        <f>6.3*Таблица310[[#This Row],[Регистратор.Вес нетто]]/28750</f>
        <v>1.0912695652173914</v>
      </c>
      <c r="W94" s="72" t="s">
        <v>44</v>
      </c>
      <c r="X94" s="93" t="s">
        <v>19</v>
      </c>
      <c r="Y94" s="72">
        <v>7</v>
      </c>
      <c r="Z94" s="71">
        <v>45812</v>
      </c>
      <c r="AA94" s="40"/>
      <c r="AB94" s="40"/>
      <c r="AC94" s="40" t="s">
        <v>724</v>
      </c>
      <c r="AD94" s="40" t="s">
        <v>511</v>
      </c>
      <c r="AE94" s="40">
        <v>190</v>
      </c>
      <c r="AF94" s="103">
        <v>45813</v>
      </c>
      <c r="AG94" s="40">
        <v>42</v>
      </c>
      <c r="AH94" s="40">
        <f>VLOOKUP(Таблица310[[#This Row],[№ акта]],'Степень зрелости 2025'!$H$13:$I$583,2,FALSE)</f>
        <v>62</v>
      </c>
      <c r="AI94" s="40" t="str">
        <f>VLOOKUP(Таблица310[[#This Row],[№ акта]],$AQ$1:$AT$594,2,FALSE)</f>
        <v>А-46</v>
      </c>
      <c r="AJ94" s="40" t="str">
        <f>Таблица310[[#This Row],[Регистратор.Номенклатура]]</f>
        <v>Оскар</v>
      </c>
      <c r="AK94" s="40" t="str">
        <f>VLOOKUP(Таблица310[[#This Row],[№ акта]],$AQ$1:$AT$594,4,FALSE)</f>
        <v>ГРК собственные семена (богара)</v>
      </c>
      <c r="AL94" s="45">
        <f>VLOOKUP(Таблица310[[#This Row],[№ акта]],$AQ$1:$AT$594,3,FALSE)</f>
        <v>2.1156024716786819</v>
      </c>
      <c r="AM94" s="40" t="str">
        <f>IF(Таблица310[[#This Row],[Площадь уборки, га]]=Таблица310[[#This Row],[Площадь уборки до корр]],"нет","да")</f>
        <v>да</v>
      </c>
      <c r="AN94" s="45">
        <f>Таблица310[[#This Row],[Площадь уборки до корр]]-Таблица310[[#This Row],[Площадь уборки, га]]</f>
        <v>1.0243329064612905</v>
      </c>
      <c r="AQ94">
        <v>190</v>
      </c>
      <c r="AR94" t="s">
        <v>422</v>
      </c>
      <c r="AS94">
        <v>2.1156024716786819</v>
      </c>
      <c r="AT94" t="s">
        <v>44</v>
      </c>
    </row>
    <row r="95" spans="1:46" ht="33.75" hidden="1" x14ac:dyDescent="0.25">
      <c r="A95" s="72" t="s">
        <v>102</v>
      </c>
      <c r="B95" s="73">
        <v>11837</v>
      </c>
      <c r="C95" s="120">
        <v>61</v>
      </c>
      <c r="D95" s="75">
        <v>191</v>
      </c>
      <c r="E95" s="146">
        <v>45813</v>
      </c>
      <c r="F95" s="73">
        <v>28860</v>
      </c>
      <c r="G95" s="73">
        <v>13300</v>
      </c>
      <c r="H95" s="77">
        <v>15560</v>
      </c>
      <c r="I95" s="73">
        <v>11837</v>
      </c>
      <c r="J95" s="72" t="s">
        <v>105</v>
      </c>
      <c r="K95" s="72" t="s">
        <v>21</v>
      </c>
      <c r="L95" s="72" t="s">
        <v>460</v>
      </c>
      <c r="M95" s="35" t="s">
        <v>234</v>
      </c>
      <c r="N95" s="72" t="s">
        <v>623</v>
      </c>
      <c r="O95" s="72" t="s">
        <v>624</v>
      </c>
      <c r="P95" s="72"/>
      <c r="Q95" s="72" t="s">
        <v>625</v>
      </c>
      <c r="R95" s="72" t="s">
        <v>238</v>
      </c>
      <c r="S95" s="72" t="s">
        <v>492</v>
      </c>
      <c r="T95" s="70" t="s">
        <v>417</v>
      </c>
      <c r="U95" s="68" t="str">
        <f>Таблица310[[#This Row],[Регистратор.Номенклатура]]</f>
        <v>Преладо</v>
      </c>
      <c r="V95" s="45">
        <f>33.5*Таблица310[[#This Row],[Регистратор.Вес нетто]]/219010</f>
        <v>2.0343819916898771</v>
      </c>
      <c r="W95" s="72" t="s">
        <v>43</v>
      </c>
      <c r="X95" s="72" t="s">
        <v>19</v>
      </c>
      <c r="Y95" s="72">
        <v>6</v>
      </c>
      <c r="Z95" s="71">
        <v>45812</v>
      </c>
      <c r="AA95" s="40"/>
      <c r="AB95" s="40"/>
      <c r="AC95" s="40" t="s">
        <v>724</v>
      </c>
      <c r="AD95" s="40" t="s">
        <v>511</v>
      </c>
      <c r="AE95" s="40">
        <v>191</v>
      </c>
      <c r="AF95" s="103">
        <v>45813</v>
      </c>
      <c r="AG95" s="40">
        <v>130790</v>
      </c>
      <c r="AH95" s="40">
        <f>VLOOKUP(Таблица310[[#This Row],[№ акта]],'Степень зрелости 2025'!$H$13:$I$583,2,FALSE)</f>
        <v>61</v>
      </c>
      <c r="AI95" s="40" t="str">
        <f>VLOOKUP(Таблица310[[#This Row],[№ акта]],$AQ$1:$AT$594,2,FALSE)</f>
        <v xml:space="preserve"> 2/4</v>
      </c>
      <c r="AJ95" s="40" t="str">
        <f>Таблица310[[#This Row],[Регистратор.Номенклатура]]</f>
        <v>Преладо</v>
      </c>
      <c r="AK95" s="40" t="str">
        <f>VLOOKUP(Таблица310[[#This Row],[№ акта]],$AQ$1:$AT$594,4,FALSE)</f>
        <v>Учхоз Кубань (богара)</v>
      </c>
      <c r="AL95" s="45">
        <f>VLOOKUP(Таблица310[[#This Row],[№ акта]],$AQ$1:$AT$594,3,FALSE)</f>
        <v>2.0343819916898771</v>
      </c>
      <c r="AM95" s="40" t="str">
        <f>IF(Таблица310[[#This Row],[Площадь уборки, га]]=Таблица310[[#This Row],[Площадь уборки до корр]],"нет","да")</f>
        <v>нет</v>
      </c>
      <c r="AN95" s="45">
        <f>Таблица310[[#This Row],[Площадь уборки до корр]]-Таблица310[[#This Row],[Площадь уборки, га]]</f>
        <v>0</v>
      </c>
      <c r="AQ95">
        <v>191</v>
      </c>
      <c r="AR95" t="s">
        <v>417</v>
      </c>
      <c r="AS95">
        <v>2.0343819916898771</v>
      </c>
      <c r="AT95" t="s">
        <v>43</v>
      </c>
    </row>
    <row r="96" spans="1:46" ht="45" hidden="1" x14ac:dyDescent="0.25">
      <c r="A96" s="72" t="s">
        <v>102</v>
      </c>
      <c r="B96" s="73">
        <v>12230.4</v>
      </c>
      <c r="C96" s="120">
        <v>57</v>
      </c>
      <c r="D96" s="75">
        <v>192</v>
      </c>
      <c r="E96" s="146">
        <v>45812</v>
      </c>
      <c r="F96" s="73">
        <v>33490</v>
      </c>
      <c r="G96" s="73">
        <v>14720</v>
      </c>
      <c r="H96" s="77">
        <v>18770</v>
      </c>
      <c r="I96" s="73">
        <v>12230.4</v>
      </c>
      <c r="J96" s="72" t="s">
        <v>78</v>
      </c>
      <c r="K96" s="72" t="s">
        <v>81</v>
      </c>
      <c r="L96" s="72" t="s">
        <v>422</v>
      </c>
      <c r="M96" s="35" t="s">
        <v>442</v>
      </c>
      <c r="N96" s="72" t="s">
        <v>574</v>
      </c>
      <c r="O96" s="72" t="s">
        <v>575</v>
      </c>
      <c r="P96" s="72"/>
      <c r="Q96" s="72" t="s">
        <v>576</v>
      </c>
      <c r="R96" s="72" t="s">
        <v>443</v>
      </c>
      <c r="S96" s="72" t="s">
        <v>459</v>
      </c>
      <c r="T96" s="70" t="s">
        <v>422</v>
      </c>
      <c r="U96" s="68" t="str">
        <f>Таблица310[[#This Row],[Регистратор.Номенклатура]]</f>
        <v>Оскар</v>
      </c>
      <c r="V96" s="45">
        <f>29.2*Таблица310[[#This Row],[Регистратор.Вес нетто]]/69890</f>
        <v>6.1500071540992991</v>
      </c>
      <c r="W96" s="72" t="s">
        <v>44</v>
      </c>
      <c r="X96" s="93" t="s">
        <v>19</v>
      </c>
      <c r="Y96" s="72">
        <v>7</v>
      </c>
      <c r="Z96" s="71">
        <v>45812</v>
      </c>
      <c r="AA96" s="94">
        <f>Таблица310[[#This Row],[Регистратор.Вес нетто]]</f>
        <v>14720</v>
      </c>
      <c r="AB96" s="40" t="s">
        <v>357</v>
      </c>
      <c r="AC96" s="40" t="s">
        <v>724</v>
      </c>
      <c r="AD96" s="40" t="s">
        <v>511</v>
      </c>
      <c r="AE96" s="40">
        <v>192</v>
      </c>
      <c r="AF96" s="103">
        <v>45812</v>
      </c>
      <c r="AG96" s="40" t="s">
        <v>676</v>
      </c>
      <c r="AH96" s="40">
        <f>VLOOKUP(Таблица310[[#This Row],[№ акта]],'Степень зрелости 2025'!$H$13:$I$583,2,FALSE)</f>
        <v>0</v>
      </c>
      <c r="AI96" s="40" t="str">
        <f>VLOOKUP(Таблица310[[#This Row],[№ акта]],$AQ$1:$AT$594,2,FALSE)</f>
        <v>А-46</v>
      </c>
      <c r="AJ96" s="40" t="str">
        <f>Таблица310[[#This Row],[Регистратор.Номенклатура]]</f>
        <v>Оскар</v>
      </c>
      <c r="AK96" s="40" t="str">
        <f>VLOOKUP(Таблица310[[#This Row],[№ акта]],$AQ$1:$AT$594,4,FALSE)</f>
        <v>ГРК собственные семена (богара)</v>
      </c>
      <c r="AL96" s="45">
        <f>VLOOKUP(Таблица310[[#This Row],[№ акта]],$AQ$1:$AT$594,3,FALSE)</f>
        <v>6.2533470648815657</v>
      </c>
      <c r="AM96" s="40" t="str">
        <f>IF(Таблица310[[#This Row],[Площадь уборки, га]]=Таблица310[[#This Row],[Площадь уборки до корр]],"нет","да")</f>
        <v>да</v>
      </c>
      <c r="AN96" s="45">
        <f>Таблица310[[#This Row],[Площадь уборки до корр]]-Таблица310[[#This Row],[Площадь уборки, га]]</f>
        <v>0.10333991078226656</v>
      </c>
      <c r="AQ96">
        <v>192</v>
      </c>
      <c r="AR96" t="s">
        <v>422</v>
      </c>
      <c r="AS96">
        <v>6.2533470648815657</v>
      </c>
      <c r="AT96" t="s">
        <v>44</v>
      </c>
    </row>
    <row r="97" spans="1:46" ht="45" hidden="1" x14ac:dyDescent="0.25">
      <c r="A97" s="72" t="s">
        <v>102</v>
      </c>
      <c r="B97" s="73">
        <v>11044.8</v>
      </c>
      <c r="C97" s="120">
        <v>43</v>
      </c>
      <c r="D97" s="75">
        <v>193</v>
      </c>
      <c r="E97" s="146">
        <v>45812</v>
      </c>
      <c r="F97" s="73">
        <v>32100</v>
      </c>
      <c r="G97" s="73">
        <v>14480</v>
      </c>
      <c r="H97" s="77">
        <v>17620</v>
      </c>
      <c r="I97" s="73">
        <v>11044.8</v>
      </c>
      <c r="J97" s="72" t="s">
        <v>557</v>
      </c>
      <c r="K97" s="72" t="s">
        <v>81</v>
      </c>
      <c r="L97" s="72" t="s">
        <v>422</v>
      </c>
      <c r="M97" s="35" t="s">
        <v>295</v>
      </c>
      <c r="N97" s="72" t="s">
        <v>571</v>
      </c>
      <c r="O97" s="72" t="s">
        <v>572</v>
      </c>
      <c r="P97" s="72"/>
      <c r="Q97" s="72" t="s">
        <v>573</v>
      </c>
      <c r="R97" s="72" t="s">
        <v>299</v>
      </c>
      <c r="S97" s="72" t="s">
        <v>300</v>
      </c>
      <c r="T97" s="70" t="s">
        <v>422</v>
      </c>
      <c r="U97" s="68" t="str">
        <f>Таблица310[[#This Row],[Регистратор.Номенклатура]]</f>
        <v>Оскар</v>
      </c>
      <c r="V97" s="45">
        <f>29.2*Таблица310[[#This Row],[Регистратор.Вес нетто]]/69890</f>
        <v>6.0497352983259409</v>
      </c>
      <c r="W97" s="72" t="s">
        <v>44</v>
      </c>
      <c r="X97" s="93" t="s">
        <v>19</v>
      </c>
      <c r="Y97" s="72">
        <v>7</v>
      </c>
      <c r="Z97" s="71">
        <v>45812</v>
      </c>
      <c r="AA97" s="94">
        <f>Таблица310[[#This Row],[Регистратор.Вес нетто]]</f>
        <v>14480</v>
      </c>
      <c r="AB97" s="40" t="s">
        <v>357</v>
      </c>
      <c r="AC97" s="40" t="s">
        <v>419</v>
      </c>
      <c r="AD97" s="40" t="s">
        <v>511</v>
      </c>
      <c r="AE97" s="40">
        <v>193</v>
      </c>
      <c r="AF97" s="103">
        <v>45812</v>
      </c>
      <c r="AG97" s="40" t="s">
        <v>677</v>
      </c>
      <c r="AH97" s="40">
        <f>VLOOKUP(Таблица310[[#This Row],[№ акта]],'Степень зрелости 2025'!$H$13:$I$583,2,FALSE)</f>
        <v>0</v>
      </c>
      <c r="AI97" s="40" t="str">
        <f>VLOOKUP(Таблица310[[#This Row],[№ акта]],$AQ$1:$AT$594,2,FALSE)</f>
        <v>А-46</v>
      </c>
      <c r="AJ97" s="40" t="str">
        <f>Таблица310[[#This Row],[Регистратор.Номенклатура]]</f>
        <v>Оскар</v>
      </c>
      <c r="AK97" s="40" t="str">
        <f>VLOOKUP(Таблица310[[#This Row],[№ акта]],$AQ$1:$AT$594,4,FALSE)</f>
        <v>ГРК собственные семена (богара)</v>
      </c>
      <c r="AL97" s="45">
        <f>VLOOKUP(Таблица310[[#This Row],[№ акта]],$AQ$1:$AT$594,3,FALSE)</f>
        <v>6.1513903192584962</v>
      </c>
      <c r="AM97" s="40" t="str">
        <f>IF(Таблица310[[#This Row],[Площадь уборки, га]]=Таблица310[[#This Row],[Площадь уборки до корр]],"нет","да")</f>
        <v>да</v>
      </c>
      <c r="AN97" s="45">
        <f>Таблица310[[#This Row],[Площадь уборки до корр]]-Таблица310[[#This Row],[Площадь уборки, га]]</f>
        <v>0.1016550209325553</v>
      </c>
      <c r="AQ97">
        <v>193</v>
      </c>
      <c r="AR97" t="s">
        <v>422</v>
      </c>
      <c r="AS97">
        <v>6.1513903192584962</v>
      </c>
      <c r="AT97" t="s">
        <v>44</v>
      </c>
    </row>
    <row r="98" spans="1:46" ht="45" hidden="1" x14ac:dyDescent="0.25">
      <c r="A98" s="72" t="s">
        <v>102</v>
      </c>
      <c r="B98" s="73">
        <v>9785</v>
      </c>
      <c r="C98" s="120">
        <v>43</v>
      </c>
      <c r="D98" s="75">
        <v>194</v>
      </c>
      <c r="E98" s="146">
        <v>45812</v>
      </c>
      <c r="F98" s="73">
        <v>30820</v>
      </c>
      <c r="G98" s="73">
        <v>14340</v>
      </c>
      <c r="H98" s="77">
        <v>16480</v>
      </c>
      <c r="I98" s="73">
        <v>9785</v>
      </c>
      <c r="J98" s="72" t="s">
        <v>78</v>
      </c>
      <c r="K98" s="72" t="s">
        <v>81</v>
      </c>
      <c r="L98" s="72" t="s">
        <v>422</v>
      </c>
      <c r="M98" s="35" t="s">
        <v>439</v>
      </c>
      <c r="N98" s="72" t="s">
        <v>568</v>
      </c>
      <c r="O98" s="72" t="s">
        <v>569</v>
      </c>
      <c r="P98" s="72"/>
      <c r="Q98" s="72" t="s">
        <v>570</v>
      </c>
      <c r="R98" s="72" t="s">
        <v>440</v>
      </c>
      <c r="S98" s="72" t="s">
        <v>449</v>
      </c>
      <c r="T98" s="70" t="s">
        <v>422</v>
      </c>
      <c r="U98" s="68" t="str">
        <f>Таблица310[[#This Row],[Регистратор.Номенклатура]]</f>
        <v>Оскар</v>
      </c>
      <c r="V98" s="45">
        <f>29.2*Таблица310[[#This Row],[Регистратор.Вес нетто]]/69890</f>
        <v>5.9912433824581486</v>
      </c>
      <c r="W98" s="72" t="s">
        <v>44</v>
      </c>
      <c r="X98" s="93" t="s">
        <v>19</v>
      </c>
      <c r="Y98" s="72">
        <v>7</v>
      </c>
      <c r="Z98" s="71">
        <v>45812</v>
      </c>
      <c r="AA98" s="94">
        <f>Таблица310[[#This Row],[Регистратор.Вес нетто]]</f>
        <v>14340</v>
      </c>
      <c r="AB98" s="40" t="s">
        <v>723</v>
      </c>
      <c r="AC98" s="40" t="s">
        <v>419</v>
      </c>
      <c r="AD98" s="40" t="s">
        <v>511</v>
      </c>
      <c r="AE98" s="40">
        <v>194</v>
      </c>
      <c r="AF98" s="103">
        <v>45812</v>
      </c>
      <c r="AG98" s="40" t="s">
        <v>559</v>
      </c>
      <c r="AH98" s="40">
        <f>VLOOKUP(Таблица310[[#This Row],[№ акта]],'Степень зрелости 2025'!$H$13:$I$583,2,FALSE)</f>
        <v>0</v>
      </c>
      <c r="AI98" s="40" t="str">
        <f>VLOOKUP(Таблица310[[#This Row],[№ акта]],$AQ$1:$AT$594,2,FALSE)</f>
        <v>А-46</v>
      </c>
      <c r="AJ98" s="40" t="str">
        <f>Таблица310[[#This Row],[Регистратор.Номенклатура]]</f>
        <v>Оскар</v>
      </c>
      <c r="AK98" s="40" t="str">
        <f>VLOOKUP(Таблица310[[#This Row],[№ акта]],$AQ$1:$AT$594,4,FALSE)</f>
        <v>ГРК собственные семена (богара)</v>
      </c>
      <c r="AL98" s="45">
        <f>VLOOKUP(Таблица310[[#This Row],[№ акта]],$AQ$1:$AT$594,3,FALSE)</f>
        <v>6.0919155509783725</v>
      </c>
      <c r="AM98" s="40" t="str">
        <f>IF(Таблица310[[#This Row],[Площадь уборки, га]]=Таблица310[[#This Row],[Площадь уборки до корр]],"нет","да")</f>
        <v>да</v>
      </c>
      <c r="AN98" s="45">
        <f>Таблица310[[#This Row],[Площадь уборки до корр]]-Таблица310[[#This Row],[Площадь уборки, га]]</f>
        <v>0.10067216852022387</v>
      </c>
      <c r="AQ98">
        <v>194</v>
      </c>
      <c r="AR98" t="s">
        <v>422</v>
      </c>
      <c r="AS98">
        <v>6.0919155509783725</v>
      </c>
      <c r="AT98" t="s">
        <v>44</v>
      </c>
    </row>
    <row r="99" spans="1:46" ht="45" hidden="1" x14ac:dyDescent="0.25">
      <c r="A99" s="72" t="s">
        <v>102</v>
      </c>
      <c r="B99" s="73">
        <v>14450</v>
      </c>
      <c r="C99" s="120">
        <v>51</v>
      </c>
      <c r="D99" s="75">
        <v>195</v>
      </c>
      <c r="E99" s="146">
        <v>45812</v>
      </c>
      <c r="F99" s="73">
        <v>32190</v>
      </c>
      <c r="G99" s="73">
        <v>14450</v>
      </c>
      <c r="H99" s="77">
        <v>17740</v>
      </c>
      <c r="I99" s="73">
        <v>12716</v>
      </c>
      <c r="J99" s="72" t="s">
        <v>557</v>
      </c>
      <c r="K99" s="72" t="s">
        <v>81</v>
      </c>
      <c r="L99" s="72" t="s">
        <v>422</v>
      </c>
      <c r="M99" s="35" t="s">
        <v>283</v>
      </c>
      <c r="N99" s="72" t="s">
        <v>578</v>
      </c>
      <c r="O99" s="72" t="s">
        <v>579</v>
      </c>
      <c r="P99" s="72"/>
      <c r="Q99" s="72" t="s">
        <v>580</v>
      </c>
      <c r="R99" s="72" t="s">
        <v>287</v>
      </c>
      <c r="S99" s="72" t="s">
        <v>288</v>
      </c>
      <c r="T99" s="70" t="s">
        <v>422</v>
      </c>
      <c r="U99" s="68" t="str">
        <f>Таблица310[[#This Row],[Регистратор.Номенклатура]]</f>
        <v>Оскар</v>
      </c>
      <c r="V99" s="45">
        <f>29.2*Таблица310[[#This Row],[Регистратор.Вес нетто]]/69890</f>
        <v>6.0372013163542713</v>
      </c>
      <c r="W99" s="72" t="s">
        <v>44</v>
      </c>
      <c r="X99" s="93" t="s">
        <v>19</v>
      </c>
      <c r="Y99" s="72">
        <v>7</v>
      </c>
      <c r="Z99" s="71">
        <v>45812</v>
      </c>
      <c r="AA99" s="94">
        <f>Таблица310[[#This Row],[Регистратор.Вес нетто]]</f>
        <v>14450</v>
      </c>
      <c r="AB99" s="40" t="s">
        <v>357</v>
      </c>
      <c r="AC99" s="40" t="s">
        <v>419</v>
      </c>
      <c r="AD99" s="40" t="s">
        <v>511</v>
      </c>
      <c r="AE99" s="40">
        <v>195</v>
      </c>
      <c r="AF99" s="103">
        <v>45812</v>
      </c>
      <c r="AG99" s="40" t="s">
        <v>863</v>
      </c>
      <c r="AH99" s="40">
        <f>VLOOKUP(Таблица310[[#This Row],[№ акта]],'Степень зрелости 2025'!$H$13:$I$583,2,FALSE)</f>
        <v>0</v>
      </c>
      <c r="AI99" s="40" t="str">
        <f>VLOOKUP(Таблица310[[#This Row],[№ акта]],$AQ$1:$AT$594,2,FALSE)</f>
        <v>А-46</v>
      </c>
      <c r="AJ99" s="40" t="str">
        <f>Таблица310[[#This Row],[Регистратор.Номенклатура]]</f>
        <v>Оскар</v>
      </c>
      <c r="AK99" s="40" t="str">
        <f>VLOOKUP(Таблица310[[#This Row],[№ акта]],$AQ$1:$AT$594,4,FALSE)</f>
        <v>ГРК собственные семена (богара)</v>
      </c>
      <c r="AL99" s="45">
        <f>VLOOKUP(Таблица310[[#This Row],[№ акта]],$AQ$1:$AT$594,3,FALSE)</f>
        <v>6.1386457260556124</v>
      </c>
      <c r="AM99" s="40" t="str">
        <f>IF(Таблица310[[#This Row],[Площадь уборки, га]]=Таблица310[[#This Row],[Площадь уборки до корр]],"нет","да")</f>
        <v>да</v>
      </c>
      <c r="AN99" s="45">
        <f>Таблица310[[#This Row],[Площадь уборки до корр]]-Таблица310[[#This Row],[Площадь уборки, га]]</f>
        <v>0.10144440970134116</v>
      </c>
      <c r="AQ99">
        <v>195</v>
      </c>
      <c r="AR99" t="s">
        <v>422</v>
      </c>
      <c r="AS99">
        <v>6.1386457260556124</v>
      </c>
      <c r="AT99" t="s">
        <v>44</v>
      </c>
    </row>
    <row r="100" spans="1:46" ht="33.75" hidden="1" x14ac:dyDescent="0.25">
      <c r="A100" s="72" t="s">
        <v>102</v>
      </c>
      <c r="B100" s="73">
        <v>11797</v>
      </c>
      <c r="C100" s="120">
        <v>62</v>
      </c>
      <c r="D100" s="75">
        <v>196</v>
      </c>
      <c r="E100" s="146">
        <v>45813</v>
      </c>
      <c r="F100" s="73">
        <v>28060</v>
      </c>
      <c r="G100" s="73">
        <v>13330</v>
      </c>
      <c r="H100" s="77">
        <v>14730</v>
      </c>
      <c r="I100" s="73">
        <v>11797</v>
      </c>
      <c r="J100" s="72" t="s">
        <v>105</v>
      </c>
      <c r="K100" s="72" t="s">
        <v>21</v>
      </c>
      <c r="L100" s="72" t="s">
        <v>460</v>
      </c>
      <c r="M100" s="35" t="s">
        <v>272</v>
      </c>
      <c r="N100" s="72" t="s">
        <v>631</v>
      </c>
      <c r="O100" s="72" t="s">
        <v>632</v>
      </c>
      <c r="P100" s="72"/>
      <c r="Q100" s="72" t="s">
        <v>633</v>
      </c>
      <c r="R100" s="72" t="s">
        <v>276</v>
      </c>
      <c r="S100" s="72" t="s">
        <v>277</v>
      </c>
      <c r="T100" s="70" t="s">
        <v>417</v>
      </c>
      <c r="U100" s="68" t="str">
        <f>Таблица310[[#This Row],[Регистратор.Номенклатура]]</f>
        <v>Преладо</v>
      </c>
      <c r="V100" s="45">
        <f>33.5*Таблица310[[#This Row],[Регистратор.Вес нетто]]/219010</f>
        <v>2.0389708232500801</v>
      </c>
      <c r="W100" s="72" t="s">
        <v>43</v>
      </c>
      <c r="X100" s="72" t="s">
        <v>19</v>
      </c>
      <c r="Y100" s="72">
        <v>6</v>
      </c>
      <c r="Z100" s="71">
        <v>45812</v>
      </c>
      <c r="AA100" s="40"/>
      <c r="AB100" s="40"/>
      <c r="AC100" s="40" t="s">
        <v>724</v>
      </c>
      <c r="AD100" s="40" t="s">
        <v>511</v>
      </c>
      <c r="AE100" s="40">
        <v>196</v>
      </c>
      <c r="AF100" s="103">
        <v>45813</v>
      </c>
      <c r="AG100" s="40">
        <v>130791</v>
      </c>
      <c r="AH100" s="40">
        <f>VLOOKUP(Таблица310[[#This Row],[№ акта]],'Степень зрелости 2025'!$H$13:$I$583,2,FALSE)</f>
        <v>62</v>
      </c>
      <c r="AI100" s="40" t="str">
        <f>VLOOKUP(Таблица310[[#This Row],[№ акта]],$AQ$1:$AT$594,2,FALSE)</f>
        <v xml:space="preserve"> 2/4</v>
      </c>
      <c r="AJ100" s="40" t="str">
        <f>Таблица310[[#This Row],[Регистратор.Номенклатура]]</f>
        <v>Преладо</v>
      </c>
      <c r="AK100" s="40" t="str">
        <f>VLOOKUP(Таблица310[[#This Row],[№ акта]],$AQ$1:$AT$594,4,FALSE)</f>
        <v>Учхоз Кубань (богара)</v>
      </c>
      <c r="AL100" s="45">
        <f>VLOOKUP(Таблица310[[#This Row],[№ акта]],$AQ$1:$AT$594,3,FALSE)</f>
        <v>2.0389708232500801</v>
      </c>
      <c r="AM100" s="40" t="str">
        <f>IF(Таблица310[[#This Row],[Площадь уборки, га]]=Таблица310[[#This Row],[Площадь уборки до корр]],"нет","да")</f>
        <v>нет</v>
      </c>
      <c r="AN100" s="45">
        <f>Таблица310[[#This Row],[Площадь уборки до корр]]-Таблица310[[#This Row],[Площадь уборки, га]]</f>
        <v>0</v>
      </c>
      <c r="AQ100">
        <v>196</v>
      </c>
      <c r="AR100" t="s">
        <v>417</v>
      </c>
      <c r="AS100">
        <v>2.0389708232500801</v>
      </c>
      <c r="AT100" t="s">
        <v>43</v>
      </c>
    </row>
    <row r="101" spans="1:46" ht="33.75" x14ac:dyDescent="0.25">
      <c r="A101" s="72" t="s">
        <v>102</v>
      </c>
      <c r="B101" s="73">
        <v>17110</v>
      </c>
      <c r="C101" s="120">
        <v>57</v>
      </c>
      <c r="D101" s="75">
        <v>197</v>
      </c>
      <c r="E101" s="146">
        <v>45811</v>
      </c>
      <c r="F101" s="73">
        <v>32800</v>
      </c>
      <c r="G101" s="73">
        <v>18300</v>
      </c>
      <c r="H101" s="77">
        <v>14500</v>
      </c>
      <c r="I101" s="73">
        <v>17110</v>
      </c>
      <c r="J101" s="72" t="s">
        <v>105</v>
      </c>
      <c r="K101" s="72" t="s">
        <v>21</v>
      </c>
      <c r="L101" s="72" t="s">
        <v>460</v>
      </c>
      <c r="M101" s="35" t="s">
        <v>564</v>
      </c>
      <c r="N101" s="72"/>
      <c r="O101" s="72"/>
      <c r="P101" s="72"/>
      <c r="Q101" s="72" t="s">
        <v>577</v>
      </c>
      <c r="R101" s="72" t="s">
        <v>565</v>
      </c>
      <c r="S101" s="72"/>
      <c r="T101" s="70" t="s">
        <v>417</v>
      </c>
      <c r="U101" s="68" t="str">
        <f>Таблица310[[#This Row],[Регистратор.Номенклатура]]</f>
        <v>Преладо</v>
      </c>
      <c r="V101" s="45">
        <f>33.5*Таблица310[[#This Row],[Регистратор.Вес нетто]]/219010</f>
        <v>2.7991872517236658</v>
      </c>
      <c r="W101" s="72" t="s">
        <v>43</v>
      </c>
      <c r="X101" s="72" t="s">
        <v>19</v>
      </c>
      <c r="Y101" s="72">
        <v>6</v>
      </c>
      <c r="Z101" s="71">
        <v>45812</v>
      </c>
      <c r="AA101" s="94">
        <f>Таблица310[[#This Row],[Регистратор.Вес нетто]]</f>
        <v>18300</v>
      </c>
      <c r="AB101" s="40" t="s">
        <v>358</v>
      </c>
      <c r="AC101" s="40" t="s">
        <v>724</v>
      </c>
      <c r="AD101" s="40" t="s">
        <v>511</v>
      </c>
      <c r="AE101" s="40">
        <v>197</v>
      </c>
      <c r="AF101" s="103">
        <v>45811</v>
      </c>
      <c r="AG101" s="40" t="s">
        <v>563</v>
      </c>
      <c r="AH101" s="40">
        <f>VLOOKUP(Таблица310[[#This Row],[№ акта]],'Степень зрелости 2025'!$H$13:$I$583,2,FALSE)</f>
        <v>0</v>
      </c>
      <c r="AI101" s="40" t="str">
        <f>VLOOKUP(Таблица310[[#This Row],[№ акта]],$AQ$1:$AT$594,2,FALSE)</f>
        <v xml:space="preserve"> 2/4</v>
      </c>
      <c r="AJ101" s="40" t="str">
        <f>Таблица310[[#This Row],[Регистратор.Номенклатура]]</f>
        <v>Преладо</v>
      </c>
      <c r="AK101" s="40" t="str">
        <f>VLOOKUP(Таблица310[[#This Row],[№ акта]],$AQ$1:$AT$594,4,FALSE)</f>
        <v>Учхоз Кубань (богара)</v>
      </c>
      <c r="AL101" s="45">
        <f>VLOOKUP(Таблица310[[#This Row],[№ акта]],$AQ$1:$AT$594,3,FALSE)</f>
        <v>2.7991872517236658</v>
      </c>
      <c r="AM101" s="40" t="str">
        <f>IF(Таблица310[[#This Row],[Площадь уборки, га]]=Таблица310[[#This Row],[Площадь уборки до корр]],"нет","да")</f>
        <v>нет</v>
      </c>
      <c r="AN101" s="45">
        <f>Таблица310[[#This Row],[Площадь уборки до корр]]-Таблица310[[#This Row],[Площадь уборки, га]]</f>
        <v>0</v>
      </c>
      <c r="AQ101">
        <v>197</v>
      </c>
      <c r="AR101" t="s">
        <v>417</v>
      </c>
      <c r="AS101">
        <v>2.7991872517236658</v>
      </c>
      <c r="AT101" t="s">
        <v>43</v>
      </c>
    </row>
    <row r="102" spans="1:46" ht="33.75" hidden="1" x14ac:dyDescent="0.25">
      <c r="A102" s="72" t="s">
        <v>102</v>
      </c>
      <c r="B102" s="73">
        <v>12118.7</v>
      </c>
      <c r="C102" s="120">
        <v>47</v>
      </c>
      <c r="D102" s="75">
        <v>198</v>
      </c>
      <c r="E102" s="146">
        <v>45813</v>
      </c>
      <c r="F102" s="73">
        <v>29030</v>
      </c>
      <c r="G102" s="73">
        <v>14170</v>
      </c>
      <c r="H102" s="77">
        <v>22250</v>
      </c>
      <c r="I102" s="73">
        <v>12728.9</v>
      </c>
      <c r="J102" s="72" t="s">
        <v>105</v>
      </c>
      <c r="K102" s="72" t="s">
        <v>21</v>
      </c>
      <c r="L102" s="72" t="s">
        <v>365</v>
      </c>
      <c r="M102" s="35" t="s">
        <v>1253</v>
      </c>
      <c r="N102" s="72" t="s">
        <v>653</v>
      </c>
      <c r="O102" s="72" t="s">
        <v>654</v>
      </c>
      <c r="P102" s="72"/>
      <c r="Q102" s="72" t="s">
        <v>655</v>
      </c>
      <c r="R102" s="72" t="s">
        <v>270</v>
      </c>
      <c r="S102" s="72" t="s">
        <v>271</v>
      </c>
      <c r="T102" s="70" t="s">
        <v>365</v>
      </c>
      <c r="U102" s="68" t="str">
        <f>Таблица310[[#This Row],[Регистратор.Номенклатура]]</f>
        <v>Преладо</v>
      </c>
      <c r="V102" s="45">
        <f>6.5*Таблица310[[#This Row],[Регистратор.Вес нетто]]/40880</f>
        <v>2.2530577299412915</v>
      </c>
      <c r="W102" s="72" t="s">
        <v>43</v>
      </c>
      <c r="X102" s="72" t="s">
        <v>19</v>
      </c>
      <c r="Y102" s="72">
        <v>6</v>
      </c>
      <c r="Z102" s="71">
        <v>45812</v>
      </c>
      <c r="AA102" s="40"/>
      <c r="AB102" s="40" t="s">
        <v>838</v>
      </c>
      <c r="AC102" s="40" t="s">
        <v>419</v>
      </c>
      <c r="AD102" s="40" t="s">
        <v>511</v>
      </c>
      <c r="AE102" s="40">
        <v>198</v>
      </c>
      <c r="AF102" s="103">
        <v>45813</v>
      </c>
      <c r="AG102" s="40">
        <v>130792</v>
      </c>
      <c r="AH102" s="40">
        <f>VLOOKUP(Таблица310[[#This Row],[№ акта]],'Степень зрелости 2025'!$H$13:$I$583,2,FALSE)</f>
        <v>60</v>
      </c>
      <c r="AI102" s="40" t="str">
        <f>VLOOKUP(Таблица310[[#This Row],[№ акта]],$AQ$1:$AT$594,2,FALSE)</f>
        <v>1/8.1</v>
      </c>
      <c r="AJ102" s="40" t="str">
        <f>Таблица310[[#This Row],[Регистратор.Номенклатура]]</f>
        <v>Преладо</v>
      </c>
      <c r="AK102" s="40" t="str">
        <f>VLOOKUP(Таблица310[[#This Row],[№ акта]],$AQ$1:$AT$594,4,FALSE)</f>
        <v>Учхоз Кубань (богара)</v>
      </c>
      <c r="AL102" s="45">
        <f>VLOOKUP(Таблица310[[#This Row],[№ акта]],$AQ$1:$AT$594,3,FALSE)</f>
        <v>2.2530577299412915</v>
      </c>
      <c r="AM102" s="40" t="str">
        <f>IF(Таблица310[[#This Row],[Площадь уборки, га]]=Таблица310[[#This Row],[Площадь уборки до корр]],"нет","да")</f>
        <v>нет</v>
      </c>
      <c r="AN102" s="45">
        <f>Таблица310[[#This Row],[Площадь уборки до корр]]-Таблица310[[#This Row],[Площадь уборки, га]]</f>
        <v>0</v>
      </c>
      <c r="AQ102">
        <v>198</v>
      </c>
      <c r="AR102" t="s">
        <v>365</v>
      </c>
      <c r="AS102">
        <v>2.2530577299412915</v>
      </c>
      <c r="AT102" t="s">
        <v>43</v>
      </c>
    </row>
    <row r="103" spans="1:46" ht="33.75" hidden="1" x14ac:dyDescent="0.25">
      <c r="A103" s="72" t="s">
        <v>102</v>
      </c>
      <c r="B103" s="73">
        <v>10716.6</v>
      </c>
      <c r="C103" s="120">
        <v>50</v>
      </c>
      <c r="D103" s="75">
        <v>199</v>
      </c>
      <c r="E103" s="146">
        <v>45813</v>
      </c>
      <c r="F103" s="73">
        <v>28060</v>
      </c>
      <c r="G103" s="73">
        <v>13480</v>
      </c>
      <c r="H103" s="77">
        <v>14580</v>
      </c>
      <c r="I103" s="73">
        <v>10716.6</v>
      </c>
      <c r="J103" s="72" t="s">
        <v>105</v>
      </c>
      <c r="K103" s="72" t="s">
        <v>21</v>
      </c>
      <c r="L103" s="72" t="s">
        <v>365</v>
      </c>
      <c r="M103" s="35" t="s">
        <v>121</v>
      </c>
      <c r="N103" s="72" t="s">
        <v>584</v>
      </c>
      <c r="O103" s="72" t="s">
        <v>585</v>
      </c>
      <c r="P103" s="72"/>
      <c r="Q103" s="72" t="s">
        <v>586</v>
      </c>
      <c r="R103" s="72" t="s">
        <v>125</v>
      </c>
      <c r="S103" s="72" t="s">
        <v>126</v>
      </c>
      <c r="T103" s="70" t="s">
        <v>365</v>
      </c>
      <c r="U103" s="68" t="str">
        <f>Таблица310[[#This Row],[Регистратор.Номенклатура]]</f>
        <v>Преладо</v>
      </c>
      <c r="V103" s="45">
        <f>6.5*Таблица310[[#This Row],[Регистратор.Вес нетто]]/40880</f>
        <v>2.1433463796477494</v>
      </c>
      <c r="W103" s="72" t="s">
        <v>43</v>
      </c>
      <c r="X103" s="72" t="s">
        <v>19</v>
      </c>
      <c r="Y103" s="72">
        <v>6</v>
      </c>
      <c r="Z103" s="71">
        <v>45812</v>
      </c>
      <c r="AA103" s="40"/>
      <c r="AB103" s="40"/>
      <c r="AC103" s="40" t="s">
        <v>419</v>
      </c>
      <c r="AD103" s="40" t="s">
        <v>511</v>
      </c>
      <c r="AE103" s="40">
        <v>199</v>
      </c>
      <c r="AF103" s="103">
        <v>45813</v>
      </c>
      <c r="AG103" s="40">
        <v>130793</v>
      </c>
      <c r="AH103" s="40">
        <f>VLOOKUP(Таблица310[[#This Row],[№ акта]],'Степень зрелости 2025'!$H$13:$I$583,2,FALSE)</f>
        <v>50</v>
      </c>
      <c r="AI103" s="40" t="str">
        <f>VLOOKUP(Таблица310[[#This Row],[№ акта]],$AQ$1:$AT$594,2,FALSE)</f>
        <v>1/8.1</v>
      </c>
      <c r="AJ103" s="40" t="str">
        <f>Таблица310[[#This Row],[Регистратор.Номенклатура]]</f>
        <v>Преладо</v>
      </c>
      <c r="AK103" s="40" t="str">
        <f>VLOOKUP(Таблица310[[#This Row],[№ акта]],$AQ$1:$AT$594,4,FALSE)</f>
        <v>Учхоз Кубань (богара)</v>
      </c>
      <c r="AL103" s="45">
        <f>VLOOKUP(Таблица310[[#This Row],[№ акта]],$AQ$1:$AT$594,3,FALSE)</f>
        <v>2.1433463796477494</v>
      </c>
      <c r="AM103" s="40" t="str">
        <f>IF(Таблица310[[#This Row],[Площадь уборки, га]]=Таблица310[[#This Row],[Площадь уборки до корр]],"нет","да")</f>
        <v>нет</v>
      </c>
      <c r="AN103" s="45">
        <f>Таблица310[[#This Row],[Площадь уборки до корр]]-Таблица310[[#This Row],[Площадь уборки, га]]</f>
        <v>0</v>
      </c>
      <c r="AQ103">
        <v>199</v>
      </c>
      <c r="AR103" t="s">
        <v>365</v>
      </c>
      <c r="AS103">
        <v>2.1433463796477494</v>
      </c>
      <c r="AT103" t="s">
        <v>43</v>
      </c>
    </row>
    <row r="104" spans="1:46" ht="33.75" hidden="1" x14ac:dyDescent="0.25">
      <c r="A104" s="72" t="s">
        <v>102</v>
      </c>
      <c r="B104" s="73">
        <v>10253.200000000001</v>
      </c>
      <c r="C104" s="120">
        <v>50</v>
      </c>
      <c r="D104" s="75">
        <v>200</v>
      </c>
      <c r="E104" s="146">
        <v>45813</v>
      </c>
      <c r="F104" s="73">
        <v>28080</v>
      </c>
      <c r="G104" s="73">
        <v>13230</v>
      </c>
      <c r="H104" s="77">
        <v>14850</v>
      </c>
      <c r="I104" s="73">
        <v>10253.200000000001</v>
      </c>
      <c r="J104" s="72" t="s">
        <v>105</v>
      </c>
      <c r="K104" s="72" t="s">
        <v>21</v>
      </c>
      <c r="L104" s="72" t="s">
        <v>365</v>
      </c>
      <c r="M104" s="35" t="s">
        <v>133</v>
      </c>
      <c r="N104" s="72" t="s">
        <v>581</v>
      </c>
      <c r="O104" s="72" t="s">
        <v>582</v>
      </c>
      <c r="P104" s="72"/>
      <c r="Q104" s="72" t="s">
        <v>583</v>
      </c>
      <c r="R104" s="72" t="s">
        <v>137</v>
      </c>
      <c r="S104" s="72" t="s">
        <v>138</v>
      </c>
      <c r="T104" s="70" t="s">
        <v>365</v>
      </c>
      <c r="U104" s="68" t="str">
        <f>Таблица310[[#This Row],[Регистратор.Номенклатура]]</f>
        <v>Преладо</v>
      </c>
      <c r="V104" s="45">
        <f>6.5*Таблица310[[#This Row],[Регистратор.Вес нетто]]/40880</f>
        <v>2.1035958904109591</v>
      </c>
      <c r="W104" s="72" t="s">
        <v>43</v>
      </c>
      <c r="X104" s="72" t="s">
        <v>19</v>
      </c>
      <c r="Y104" s="72">
        <v>6</v>
      </c>
      <c r="Z104" s="71">
        <v>45812</v>
      </c>
      <c r="AA104" s="40"/>
      <c r="AB104" s="40"/>
      <c r="AC104" s="40" t="s">
        <v>419</v>
      </c>
      <c r="AD104" s="40" t="s">
        <v>511</v>
      </c>
      <c r="AE104" s="40">
        <v>200</v>
      </c>
      <c r="AF104" s="103">
        <v>45813</v>
      </c>
      <c r="AG104" s="40">
        <v>130794</v>
      </c>
      <c r="AH104" s="40">
        <f>VLOOKUP(Таблица310[[#This Row],[№ акта]],'Степень зрелости 2025'!$H$13:$I$583,2,FALSE)</f>
        <v>50</v>
      </c>
      <c r="AI104" s="40" t="str">
        <f>VLOOKUP(Таблица310[[#This Row],[№ акта]],$AQ$1:$AT$594,2,FALSE)</f>
        <v>1/8.1</v>
      </c>
      <c r="AJ104" s="40" t="str">
        <f>Таблица310[[#This Row],[Регистратор.Номенклатура]]</f>
        <v>Преладо</v>
      </c>
      <c r="AK104" s="40" t="str">
        <f>VLOOKUP(Таблица310[[#This Row],[№ акта]],$AQ$1:$AT$594,4,FALSE)</f>
        <v>Учхоз Кубань (богара)</v>
      </c>
      <c r="AL104" s="45">
        <f>VLOOKUP(Таблица310[[#This Row],[№ акта]],$AQ$1:$AT$594,3,FALSE)</f>
        <v>2.1035958904109591</v>
      </c>
      <c r="AM104" s="40" t="str">
        <f>IF(Таблица310[[#This Row],[Площадь уборки, га]]=Таблица310[[#This Row],[Площадь уборки до корр]],"нет","да")</f>
        <v>нет</v>
      </c>
      <c r="AN104" s="45">
        <f>Таблица310[[#This Row],[Площадь уборки до корр]]-Таблица310[[#This Row],[Площадь уборки, га]]</f>
        <v>0</v>
      </c>
      <c r="AQ104">
        <v>200</v>
      </c>
      <c r="AR104" t="s">
        <v>365</v>
      </c>
      <c r="AS104">
        <v>2.1035958904109591</v>
      </c>
      <c r="AT104" t="s">
        <v>43</v>
      </c>
    </row>
    <row r="105" spans="1:46" ht="33.75" x14ac:dyDescent="0.25">
      <c r="A105" s="72" t="s">
        <v>102</v>
      </c>
      <c r="B105" s="73">
        <v>13550.64</v>
      </c>
      <c r="C105" s="120">
        <v>57</v>
      </c>
      <c r="D105" s="75">
        <v>201</v>
      </c>
      <c r="E105" s="146">
        <v>45812</v>
      </c>
      <c r="F105" s="73">
        <v>33040</v>
      </c>
      <c r="G105" s="73">
        <v>15900</v>
      </c>
      <c r="H105" s="77">
        <v>17140</v>
      </c>
      <c r="I105" s="73">
        <v>13550.6</v>
      </c>
      <c r="J105" s="72" t="s">
        <v>105</v>
      </c>
      <c r="K105" s="72" t="s">
        <v>21</v>
      </c>
      <c r="L105" s="72" t="s">
        <v>460</v>
      </c>
      <c r="M105" s="35" t="s">
        <v>514</v>
      </c>
      <c r="N105" s="72"/>
      <c r="O105" s="72"/>
      <c r="P105" s="72"/>
      <c r="Q105" s="72" t="s">
        <v>577</v>
      </c>
      <c r="R105" s="72" t="s">
        <v>515</v>
      </c>
      <c r="S105" s="72"/>
      <c r="T105" s="70" t="s">
        <v>417</v>
      </c>
      <c r="U105" s="68" t="str">
        <f>Таблица310[[#This Row],[Регистратор.Номенклатура]]</f>
        <v>Преладо</v>
      </c>
      <c r="V105" s="45">
        <f>33.5*Таблица310[[#This Row],[Регистратор.Вес нетто]]/219010</f>
        <v>2.4320807269074471</v>
      </c>
      <c r="W105" s="72" t="s">
        <v>43</v>
      </c>
      <c r="X105" s="72" t="s">
        <v>19</v>
      </c>
      <c r="Y105" s="72">
        <v>6</v>
      </c>
      <c r="Z105" s="71">
        <v>45812</v>
      </c>
      <c r="AA105" s="94">
        <f>Таблица310[[#This Row],[Регистратор.Вес нетто]]</f>
        <v>15900</v>
      </c>
      <c r="AB105" s="40" t="s">
        <v>357</v>
      </c>
      <c r="AC105" s="40" t="s">
        <v>724</v>
      </c>
      <c r="AD105" s="40" t="s">
        <v>511</v>
      </c>
      <c r="AE105" s="40">
        <v>201</v>
      </c>
      <c r="AF105" s="103">
        <v>45812</v>
      </c>
      <c r="AG105" s="40" t="s">
        <v>673</v>
      </c>
      <c r="AH105" s="40">
        <f>VLOOKUP(Таблица310[[#This Row],[№ акта]],'Степень зрелости 2025'!$H$13:$I$583,2,FALSE)</f>
        <v>0</v>
      </c>
      <c r="AI105" s="40" t="str">
        <f>VLOOKUP(Таблица310[[#This Row],[№ акта]],$AQ$1:$AT$594,2,FALSE)</f>
        <v xml:space="preserve"> 2/4</v>
      </c>
      <c r="AJ105" s="40" t="str">
        <f>Таблица310[[#This Row],[Регистратор.Номенклатура]]</f>
        <v>Преладо</v>
      </c>
      <c r="AK105" s="40" t="str">
        <f>VLOOKUP(Таблица310[[#This Row],[№ акта]],$AQ$1:$AT$594,4,FALSE)</f>
        <v>Учхоз Кубань (богара)</v>
      </c>
      <c r="AL105" s="45">
        <f>VLOOKUP(Таблица310[[#This Row],[№ акта]],$AQ$1:$AT$594,3,FALSE)</f>
        <v>2.4320807269074471</v>
      </c>
      <c r="AM105" s="40" t="str">
        <f>IF(Таблица310[[#This Row],[Площадь уборки, га]]=Таблица310[[#This Row],[Площадь уборки до корр]],"нет","да")</f>
        <v>нет</v>
      </c>
      <c r="AN105" s="45">
        <f>Таблица310[[#This Row],[Площадь уборки до корр]]-Таблица310[[#This Row],[Площадь уборки, га]]</f>
        <v>0</v>
      </c>
      <c r="AQ105">
        <v>201</v>
      </c>
      <c r="AR105" t="s">
        <v>417</v>
      </c>
      <c r="AS105">
        <v>2.4320807269074471</v>
      </c>
      <c r="AT105" t="s">
        <v>43</v>
      </c>
    </row>
    <row r="106" spans="1:46" ht="33.75" x14ac:dyDescent="0.25">
      <c r="A106" s="72" t="s">
        <v>102</v>
      </c>
      <c r="B106" s="73">
        <v>15820</v>
      </c>
      <c r="C106" s="120">
        <v>59</v>
      </c>
      <c r="D106" s="75">
        <v>202</v>
      </c>
      <c r="E106" s="146">
        <v>45812</v>
      </c>
      <c r="F106" s="73">
        <v>34180</v>
      </c>
      <c r="G106" s="73">
        <v>15820</v>
      </c>
      <c r="H106" s="77">
        <v>18360</v>
      </c>
      <c r="I106" s="73">
        <v>13692.1</v>
      </c>
      <c r="J106" s="72" t="s">
        <v>105</v>
      </c>
      <c r="K106" s="72" t="s">
        <v>21</v>
      </c>
      <c r="L106" s="72" t="s">
        <v>460</v>
      </c>
      <c r="M106" s="35" t="s">
        <v>517</v>
      </c>
      <c r="N106" s="72"/>
      <c r="O106" s="72"/>
      <c r="P106" s="72"/>
      <c r="Q106" s="72" t="s">
        <v>577</v>
      </c>
      <c r="R106" s="72" t="s">
        <v>518</v>
      </c>
      <c r="S106" s="72"/>
      <c r="T106" s="70" t="s">
        <v>417</v>
      </c>
      <c r="U106" s="68" t="str">
        <f>Таблица310[[#This Row],[Регистратор.Номенклатура]]</f>
        <v>Преладо</v>
      </c>
      <c r="V106" s="45">
        <f>33.5*Таблица310[[#This Row],[Регистратор.Вес нетто]]/219010</f>
        <v>2.4198438427469067</v>
      </c>
      <c r="W106" s="72" t="s">
        <v>43</v>
      </c>
      <c r="X106" s="72" t="s">
        <v>19</v>
      </c>
      <c r="Y106" s="72">
        <v>6</v>
      </c>
      <c r="Z106" s="71">
        <v>45812</v>
      </c>
      <c r="AA106" s="94">
        <f>Таблица310[[#This Row],[Регистратор.Вес нетто]]</f>
        <v>15820</v>
      </c>
      <c r="AB106" s="40" t="s">
        <v>357</v>
      </c>
      <c r="AC106" s="40" t="s">
        <v>724</v>
      </c>
      <c r="AD106" s="40" t="s">
        <v>511</v>
      </c>
      <c r="AE106" s="40">
        <v>202</v>
      </c>
      <c r="AF106" s="103">
        <v>45812</v>
      </c>
      <c r="AG106" s="40" t="s">
        <v>728</v>
      </c>
      <c r="AH106" s="40">
        <f>VLOOKUP(Таблица310[[#This Row],[№ акта]],'Степень зрелости 2025'!$H$13:$I$583,2,FALSE)</f>
        <v>0</v>
      </c>
      <c r="AI106" s="40" t="str">
        <f>VLOOKUP(Таблица310[[#This Row],[№ акта]],$AQ$1:$AT$594,2,FALSE)</f>
        <v xml:space="preserve"> 2/4</v>
      </c>
      <c r="AJ106" s="40" t="str">
        <f>Таблица310[[#This Row],[Регистратор.Номенклатура]]</f>
        <v>Преладо</v>
      </c>
      <c r="AK106" s="40" t="str">
        <f>VLOOKUP(Таблица310[[#This Row],[№ акта]],$AQ$1:$AT$594,4,FALSE)</f>
        <v>Учхоз Кубань (богара)</v>
      </c>
      <c r="AL106" s="45">
        <f>VLOOKUP(Таблица310[[#This Row],[№ акта]],$AQ$1:$AT$594,3,FALSE)</f>
        <v>2.4198438427469067</v>
      </c>
      <c r="AM106" s="40" t="str">
        <f>IF(Таблица310[[#This Row],[Площадь уборки, га]]=Таблица310[[#This Row],[Площадь уборки до корр]],"нет","да")</f>
        <v>нет</v>
      </c>
      <c r="AN106" s="45">
        <f>Таблица310[[#This Row],[Площадь уборки до корр]]-Таблица310[[#This Row],[Площадь уборки, га]]</f>
        <v>0</v>
      </c>
      <c r="AQ106">
        <v>202</v>
      </c>
      <c r="AR106" t="s">
        <v>417</v>
      </c>
      <c r="AS106">
        <v>2.4198438427469067</v>
      </c>
      <c r="AT106" t="s">
        <v>43</v>
      </c>
    </row>
    <row r="107" spans="1:46" ht="33.75" x14ac:dyDescent="0.25">
      <c r="A107" s="72" t="s">
        <v>102</v>
      </c>
      <c r="B107" s="73">
        <v>15540</v>
      </c>
      <c r="C107" s="120">
        <v>62</v>
      </c>
      <c r="D107" s="75">
        <v>203</v>
      </c>
      <c r="E107" s="146">
        <v>45812</v>
      </c>
      <c r="F107" s="73">
        <v>32580</v>
      </c>
      <c r="G107" s="73">
        <v>15540</v>
      </c>
      <c r="H107" s="77">
        <v>17040</v>
      </c>
      <c r="I107" s="73">
        <v>13560.5</v>
      </c>
      <c r="J107" s="72" t="s">
        <v>105</v>
      </c>
      <c r="K107" s="72" t="s">
        <v>21</v>
      </c>
      <c r="L107" s="72" t="s">
        <v>460</v>
      </c>
      <c r="M107" s="35" t="s">
        <v>514</v>
      </c>
      <c r="N107" s="72"/>
      <c r="O107" s="72"/>
      <c r="P107" s="72"/>
      <c r="Q107" s="72" t="s">
        <v>577</v>
      </c>
      <c r="R107" s="72" t="s">
        <v>515</v>
      </c>
      <c r="S107" s="72"/>
      <c r="T107" s="70" t="s">
        <v>417</v>
      </c>
      <c r="U107" s="68" t="str">
        <f>Таблица310[[#This Row],[Регистратор.Номенклатура]]</f>
        <v>Преладо</v>
      </c>
      <c r="V107" s="45">
        <f>33.5*Таблица310[[#This Row],[Регистратор.Вес нетто]]/219010</f>
        <v>2.3770147481850143</v>
      </c>
      <c r="W107" s="72" t="s">
        <v>43</v>
      </c>
      <c r="X107" s="72" t="s">
        <v>19</v>
      </c>
      <c r="Y107" s="72">
        <v>6</v>
      </c>
      <c r="Z107" s="71">
        <v>45812</v>
      </c>
      <c r="AA107" s="94">
        <f>Таблица310[[#This Row],[Регистратор.Вес нетто]]</f>
        <v>15540</v>
      </c>
      <c r="AB107" s="40" t="s">
        <v>357</v>
      </c>
      <c r="AC107" s="40" t="s">
        <v>724</v>
      </c>
      <c r="AD107" s="40" t="s">
        <v>511</v>
      </c>
      <c r="AE107" s="40">
        <v>203</v>
      </c>
      <c r="AF107" s="103">
        <v>45812</v>
      </c>
      <c r="AG107" s="40" t="s">
        <v>729</v>
      </c>
      <c r="AH107" s="40">
        <f>VLOOKUP(Таблица310[[#This Row],[№ акта]],'Степень зрелости 2025'!$H$13:$I$583,2,FALSE)</f>
        <v>0</v>
      </c>
      <c r="AI107" s="40" t="str">
        <f>VLOOKUP(Таблица310[[#This Row],[№ акта]],$AQ$1:$AT$594,2,FALSE)</f>
        <v xml:space="preserve"> 2/4</v>
      </c>
      <c r="AJ107" s="40" t="str">
        <f>Таблица310[[#This Row],[Регистратор.Номенклатура]]</f>
        <v>Преладо</v>
      </c>
      <c r="AK107" s="40" t="str">
        <f>VLOOKUP(Таблица310[[#This Row],[№ акта]],$AQ$1:$AT$594,4,FALSE)</f>
        <v>Учхоз Кубань (богара)</v>
      </c>
      <c r="AL107" s="45">
        <f>VLOOKUP(Таблица310[[#This Row],[№ акта]],$AQ$1:$AT$594,3,FALSE)</f>
        <v>2.3770147481850143</v>
      </c>
      <c r="AM107" s="40" t="str">
        <f>IF(Таблица310[[#This Row],[Площадь уборки, га]]=Таблица310[[#This Row],[Площадь уборки до корр]],"нет","да")</f>
        <v>нет</v>
      </c>
      <c r="AN107" s="45">
        <f>Таблица310[[#This Row],[Площадь уборки до корр]]-Таблица310[[#This Row],[Площадь уборки, га]]</f>
        <v>0</v>
      </c>
      <c r="AQ107">
        <v>203</v>
      </c>
      <c r="AR107" t="s">
        <v>417</v>
      </c>
      <c r="AS107">
        <v>2.3770147481850143</v>
      </c>
      <c r="AT107" t="s">
        <v>43</v>
      </c>
    </row>
    <row r="108" spans="1:46" ht="33.75" x14ac:dyDescent="0.25">
      <c r="A108" s="72" t="s">
        <v>102</v>
      </c>
      <c r="B108" s="73">
        <v>13632.4</v>
      </c>
      <c r="C108" s="120">
        <v>58</v>
      </c>
      <c r="D108" s="75">
        <v>204</v>
      </c>
      <c r="E108" s="146">
        <v>45812</v>
      </c>
      <c r="F108" s="73">
        <v>32040</v>
      </c>
      <c r="G108" s="73">
        <v>15920</v>
      </c>
      <c r="H108" s="77">
        <v>16120</v>
      </c>
      <c r="I108" s="73">
        <v>13632.4</v>
      </c>
      <c r="J108" s="72" t="s">
        <v>105</v>
      </c>
      <c r="K108" s="72" t="s">
        <v>21</v>
      </c>
      <c r="L108" s="72" t="s">
        <v>460</v>
      </c>
      <c r="M108" s="35" t="s">
        <v>521</v>
      </c>
      <c r="N108" s="72"/>
      <c r="O108" s="72"/>
      <c r="P108" s="72"/>
      <c r="Q108" s="72" t="s">
        <v>577</v>
      </c>
      <c r="R108" s="72" t="s">
        <v>675</v>
      </c>
      <c r="S108" s="72"/>
      <c r="T108" s="70" t="s">
        <v>417</v>
      </c>
      <c r="U108" s="68" t="str">
        <f>Таблица310[[#This Row],[Регистратор.Номенклатура]]</f>
        <v>Преладо</v>
      </c>
      <c r="V108" s="45">
        <f>33.5*Таблица310[[#This Row],[Регистратор.Вес нетто]]/219010</f>
        <v>2.4351399479475822</v>
      </c>
      <c r="W108" s="72" t="s">
        <v>43</v>
      </c>
      <c r="X108" s="72" t="s">
        <v>19</v>
      </c>
      <c r="Y108" s="72">
        <v>6</v>
      </c>
      <c r="Z108" s="71">
        <v>45812</v>
      </c>
      <c r="AA108" s="94">
        <f>Таблица310[[#This Row],[Регистратор.Вес нетто]]</f>
        <v>15920</v>
      </c>
      <c r="AB108" s="40" t="s">
        <v>357</v>
      </c>
      <c r="AC108" s="40" t="s">
        <v>724</v>
      </c>
      <c r="AD108" s="40" t="s">
        <v>511</v>
      </c>
      <c r="AE108" s="40">
        <v>204</v>
      </c>
      <c r="AF108" s="103">
        <v>45812</v>
      </c>
      <c r="AG108" s="40" t="s">
        <v>674</v>
      </c>
      <c r="AH108" s="40">
        <f>VLOOKUP(Таблица310[[#This Row],[№ акта]],'Степень зрелости 2025'!$H$13:$I$583,2,FALSE)</f>
        <v>0</v>
      </c>
      <c r="AI108" s="40" t="str">
        <f>VLOOKUP(Таблица310[[#This Row],[№ акта]],$AQ$1:$AT$594,2,FALSE)</f>
        <v xml:space="preserve"> 2/4</v>
      </c>
      <c r="AJ108" s="40" t="str">
        <f>Таблица310[[#This Row],[Регистратор.Номенклатура]]</f>
        <v>Преладо</v>
      </c>
      <c r="AK108" s="40" t="str">
        <f>VLOOKUP(Таблица310[[#This Row],[№ акта]],$AQ$1:$AT$594,4,FALSE)</f>
        <v>Учхоз Кубань (богара)</v>
      </c>
      <c r="AL108" s="45">
        <f>VLOOKUP(Таблица310[[#This Row],[№ акта]],$AQ$1:$AT$594,3,FALSE)</f>
        <v>2.4351399479475822</v>
      </c>
      <c r="AM108" s="40" t="str">
        <f>IF(Таблица310[[#This Row],[Площадь уборки, га]]=Таблица310[[#This Row],[Площадь уборки до корр]],"нет","да")</f>
        <v>нет</v>
      </c>
      <c r="AN108" s="45">
        <f>Таблица310[[#This Row],[Площадь уборки до корр]]-Таблица310[[#This Row],[Площадь уборки, га]]</f>
        <v>0</v>
      </c>
      <c r="AQ108">
        <v>204</v>
      </c>
      <c r="AR108" t="s">
        <v>417</v>
      </c>
      <c r="AS108">
        <v>2.4351399479475822</v>
      </c>
      <c r="AT108" t="s">
        <v>43</v>
      </c>
    </row>
    <row r="109" spans="1:46" ht="22.5" hidden="1" x14ac:dyDescent="0.25">
      <c r="A109" s="72" t="s">
        <v>102</v>
      </c>
      <c r="B109" s="73">
        <v>4059</v>
      </c>
      <c r="C109" s="120">
        <v>59</v>
      </c>
      <c r="D109" s="75">
        <v>205</v>
      </c>
      <c r="E109" s="146">
        <v>45813</v>
      </c>
      <c r="F109" s="73">
        <v>14400</v>
      </c>
      <c r="G109" s="73">
        <v>4920</v>
      </c>
      <c r="H109" s="77">
        <v>9480</v>
      </c>
      <c r="I109" s="73">
        <v>4059</v>
      </c>
      <c r="J109" s="72" t="s">
        <v>78</v>
      </c>
      <c r="K109" s="72" t="s">
        <v>524</v>
      </c>
      <c r="L109" s="72" t="s">
        <v>523</v>
      </c>
      <c r="M109" s="35" t="s">
        <v>79</v>
      </c>
      <c r="N109" s="72" t="s">
        <v>610</v>
      </c>
      <c r="O109" s="72" t="s">
        <v>611</v>
      </c>
      <c r="P109" s="72"/>
      <c r="Q109" s="72">
        <v>981.98</v>
      </c>
      <c r="R109" s="72" t="s">
        <v>80</v>
      </c>
      <c r="S109" s="72"/>
      <c r="T109" s="70" t="s">
        <v>523</v>
      </c>
      <c r="U109" s="68" t="str">
        <f>Таблица310[[#This Row],[Регистратор.Номенклатура]]</f>
        <v>Авола</v>
      </c>
      <c r="V109" s="45">
        <f>23.2*Таблица310[[#This Row],[Регистратор.Вес нетто]]/49520</f>
        <v>2.3050080775444264</v>
      </c>
      <c r="W109" s="72" t="s">
        <v>46</v>
      </c>
      <c r="X109" s="93" t="s">
        <v>19</v>
      </c>
      <c r="Y109" s="72">
        <v>8</v>
      </c>
      <c r="Z109" s="71">
        <v>45813</v>
      </c>
      <c r="AA109" s="40"/>
      <c r="AB109" s="40"/>
      <c r="AC109" s="40" t="s">
        <v>724</v>
      </c>
      <c r="AD109" s="40" t="s">
        <v>511</v>
      </c>
      <c r="AE109" s="40">
        <v>205</v>
      </c>
      <c r="AF109" s="103">
        <v>45813</v>
      </c>
      <c r="AG109" s="40">
        <v>45</v>
      </c>
      <c r="AH109" s="40">
        <f>VLOOKUP(Таблица310[[#This Row],[№ акта]],'Степень зрелости 2025'!$H$13:$I$583,2,FALSE)</f>
        <v>59</v>
      </c>
      <c r="AI109" s="40" t="str">
        <f>VLOOKUP(Таблица310[[#This Row],[№ акта]],$AQ$1:$AT$594,2,FALSE)</f>
        <v>А-57</v>
      </c>
      <c r="AJ109" s="40" t="str">
        <f>Таблица310[[#This Row],[Регистратор.Номенклатура]]</f>
        <v>Авола</v>
      </c>
      <c r="AK109" s="40" t="str">
        <f>VLOOKUP(Таблица310[[#This Row],[№ акта]],$AQ$1:$AT$594,4,FALSE)</f>
        <v>ГРК (богара)</v>
      </c>
      <c r="AL109" s="45">
        <f>VLOOKUP(Таблица310[[#This Row],[№ акта]],$AQ$1:$AT$594,3,FALSE)</f>
        <v>1.7978075517661389</v>
      </c>
      <c r="AM109" s="40" t="str">
        <f>IF(Таблица310[[#This Row],[Площадь уборки, га]]=Таблица310[[#This Row],[Площадь уборки до корр]],"нет","да")</f>
        <v>да</v>
      </c>
      <c r="AN109" s="45">
        <f>Таблица310[[#This Row],[Площадь уборки до корр]]-Таблица310[[#This Row],[Площадь уборки, га]]</f>
        <v>-0.50720052577828745</v>
      </c>
      <c r="AQ109">
        <v>205</v>
      </c>
      <c r="AR109" t="s">
        <v>523</v>
      </c>
      <c r="AS109">
        <v>1.7978075517661389</v>
      </c>
      <c r="AT109" t="s">
        <v>46</v>
      </c>
    </row>
    <row r="110" spans="1:46" ht="33.75" hidden="1" x14ac:dyDescent="0.25">
      <c r="A110" s="72" t="s">
        <v>102</v>
      </c>
      <c r="B110" s="73">
        <v>11154</v>
      </c>
      <c r="C110" s="120">
        <v>51</v>
      </c>
      <c r="D110" s="75">
        <v>206</v>
      </c>
      <c r="E110" s="146">
        <v>45813</v>
      </c>
      <c r="F110" s="73">
        <v>28060</v>
      </c>
      <c r="G110" s="73">
        <v>13520</v>
      </c>
      <c r="H110" s="77">
        <v>14540</v>
      </c>
      <c r="I110" s="73">
        <v>11154</v>
      </c>
      <c r="J110" s="72" t="s">
        <v>105</v>
      </c>
      <c r="K110" s="72" t="s">
        <v>21</v>
      </c>
      <c r="L110" s="72" t="s">
        <v>365</v>
      </c>
      <c r="M110" s="35" t="s">
        <v>239</v>
      </c>
      <c r="N110" s="72" t="s">
        <v>594</v>
      </c>
      <c r="O110" s="72" t="s">
        <v>595</v>
      </c>
      <c r="P110" s="72"/>
      <c r="Q110" s="72" t="s">
        <v>596</v>
      </c>
      <c r="R110" s="72" t="s">
        <v>243</v>
      </c>
      <c r="S110" s="72" t="s">
        <v>597</v>
      </c>
      <c r="T110" s="70" t="s">
        <v>365</v>
      </c>
      <c r="U110" s="68" t="str">
        <f>Таблица310[[#This Row],[Регистратор.Номенклатура]]</f>
        <v>Преладо</v>
      </c>
      <c r="V110" s="45">
        <f>40.2*Таблица310[[#This Row],[Регистратор.Вес нетто]]/176990</f>
        <v>3.0708175603141421</v>
      </c>
      <c r="W110" s="72" t="s">
        <v>43</v>
      </c>
      <c r="X110" s="93" t="s">
        <v>19</v>
      </c>
      <c r="Y110" s="72">
        <v>7</v>
      </c>
      <c r="Z110" s="71">
        <v>45813</v>
      </c>
      <c r="AA110" s="40"/>
      <c r="AB110" s="40"/>
      <c r="AC110" s="40" t="s">
        <v>419</v>
      </c>
      <c r="AD110" s="40" t="s">
        <v>511</v>
      </c>
      <c r="AE110" s="40">
        <v>206</v>
      </c>
      <c r="AF110" s="103">
        <v>45813</v>
      </c>
      <c r="AG110" s="40">
        <v>130796</v>
      </c>
      <c r="AH110" s="40">
        <f>VLOOKUP(Таблица310[[#This Row],[№ акта]],'Степень зрелости 2025'!$H$13:$I$583,2,FALSE)</f>
        <v>51</v>
      </c>
      <c r="AI110" s="40" t="str">
        <f>VLOOKUP(Таблица310[[#This Row],[№ акта]],$AQ$1:$AT$594,2,FALSE)</f>
        <v>1/8.1</v>
      </c>
      <c r="AJ110" s="40" t="str">
        <f>Таблица310[[#This Row],[Регистратор.Номенклатура]]</f>
        <v>Преладо</v>
      </c>
      <c r="AK110" s="40" t="str">
        <f>VLOOKUP(Таблица310[[#This Row],[№ акта]],$AQ$1:$AT$594,4,FALSE)</f>
        <v>Учхоз Кубань (богара)</v>
      </c>
      <c r="AL110" s="45">
        <f>VLOOKUP(Таблица310[[#This Row],[№ акта]],$AQ$1:$AT$594,3,FALSE)</f>
        <v>3.0708175603141421</v>
      </c>
      <c r="AM110" s="40" t="str">
        <f>IF(Таблица310[[#This Row],[Площадь уборки, га]]=Таблица310[[#This Row],[Площадь уборки до корр]],"нет","да")</f>
        <v>нет</v>
      </c>
      <c r="AN110" s="45">
        <f>Таблица310[[#This Row],[Площадь уборки до корр]]-Таблица310[[#This Row],[Площадь уборки, га]]</f>
        <v>0</v>
      </c>
      <c r="AQ110">
        <v>206</v>
      </c>
      <c r="AR110" t="s">
        <v>365</v>
      </c>
      <c r="AS110">
        <v>3.0708175603141421</v>
      </c>
      <c r="AT110" t="s">
        <v>43</v>
      </c>
    </row>
    <row r="111" spans="1:46" ht="22.5" hidden="1" x14ac:dyDescent="0.25">
      <c r="A111" s="72" t="s">
        <v>102</v>
      </c>
      <c r="B111" s="73">
        <f>Таблица310[[#This Row],[Регистратор.Вес чистый]]</f>
        <v>0</v>
      </c>
      <c r="C111" s="120"/>
      <c r="D111" s="75">
        <v>207</v>
      </c>
      <c r="E111" s="146">
        <v>45812</v>
      </c>
      <c r="F111" s="73"/>
      <c r="G111" s="73"/>
      <c r="H111" s="77"/>
      <c r="I111" s="73"/>
      <c r="J111" s="72" t="s">
        <v>78</v>
      </c>
      <c r="K111" s="72" t="s">
        <v>524</v>
      </c>
      <c r="L111" s="72" t="s">
        <v>523</v>
      </c>
      <c r="M111" s="35" t="s">
        <v>127</v>
      </c>
      <c r="N111" s="72"/>
      <c r="O111" s="72"/>
      <c r="P111" s="72"/>
      <c r="Q111" s="72"/>
      <c r="R111" s="72" t="s">
        <v>131</v>
      </c>
      <c r="S111" s="72"/>
      <c r="T111" s="70"/>
      <c r="U111" s="68" t="str">
        <f>Таблица310[[#This Row],[Регистратор.Номенклатура]]</f>
        <v>Авола</v>
      </c>
      <c r="V111" s="45"/>
      <c r="W111" s="72"/>
      <c r="X111" s="93"/>
      <c r="Y111" s="72"/>
      <c r="Z111" s="71"/>
      <c r="AA111" s="94"/>
      <c r="AB111" s="40" t="s">
        <v>822</v>
      </c>
      <c r="AC111" s="40"/>
      <c r="AD111" s="40"/>
      <c r="AE111" s="40">
        <v>207</v>
      </c>
      <c r="AF111" s="103">
        <v>45812</v>
      </c>
      <c r="AG111" s="40">
        <v>37</v>
      </c>
      <c r="AH111" s="40" t="e">
        <f>VLOOKUP(Таблица310[[#This Row],[№ акта]],'Степень зрелости 2025'!$H$13:$I$583,2,FALSE)</f>
        <v>#N/A</v>
      </c>
      <c r="AI111" s="40">
        <f>VLOOKUP(Таблица310[[#This Row],[№ акта]],$AQ$1:$AT$594,2,FALSE)</f>
        <v>0</v>
      </c>
      <c r="AJ111" s="40" t="str">
        <f>Таблица310[[#This Row],[Регистратор.Номенклатура]]</f>
        <v>Авола</v>
      </c>
      <c r="AK111" s="40">
        <f>VLOOKUP(Таблица310[[#This Row],[№ акта]],$AQ$1:$AT$594,4,FALSE)</f>
        <v>0</v>
      </c>
      <c r="AL111" s="45">
        <f>VLOOKUP(Таблица310[[#This Row],[№ акта]],$AQ$1:$AT$594,3,FALSE)</f>
        <v>0</v>
      </c>
      <c r="AM111" s="40" t="str">
        <f>IF(Таблица310[[#This Row],[Площадь уборки, га]]=Таблица310[[#This Row],[Площадь уборки до корр]],"нет","да")</f>
        <v>нет</v>
      </c>
      <c r="AN111" s="45">
        <f>Таблица310[[#This Row],[Площадь уборки до корр]]-Таблица310[[#This Row],[Площадь уборки, га]]</f>
        <v>0</v>
      </c>
      <c r="AQ111">
        <v>207</v>
      </c>
    </row>
    <row r="112" spans="1:46" ht="33.75" hidden="1" x14ac:dyDescent="0.25">
      <c r="A112" s="72" t="s">
        <v>102</v>
      </c>
      <c r="B112" s="73">
        <v>10875.5</v>
      </c>
      <c r="C112" s="120">
        <v>51</v>
      </c>
      <c r="D112" s="75">
        <v>208</v>
      </c>
      <c r="E112" s="146">
        <v>45813</v>
      </c>
      <c r="F112" s="73">
        <v>28680</v>
      </c>
      <c r="G112" s="73">
        <v>13510</v>
      </c>
      <c r="H112" s="77">
        <v>15170</v>
      </c>
      <c r="I112" s="73">
        <v>10875.5</v>
      </c>
      <c r="J112" s="72" t="s">
        <v>105</v>
      </c>
      <c r="K112" s="72" t="s">
        <v>21</v>
      </c>
      <c r="L112" s="72" t="s">
        <v>365</v>
      </c>
      <c r="M112" s="35" t="s">
        <v>249</v>
      </c>
      <c r="N112" s="72" t="s">
        <v>590</v>
      </c>
      <c r="O112" s="72" t="s">
        <v>591</v>
      </c>
      <c r="P112" s="72"/>
      <c r="Q112" s="72" t="s">
        <v>592</v>
      </c>
      <c r="R112" s="72" t="s">
        <v>253</v>
      </c>
      <c r="S112" s="72" t="s">
        <v>593</v>
      </c>
      <c r="T112" s="70" t="s">
        <v>365</v>
      </c>
      <c r="U112" s="68" t="str">
        <f>Таблица310[[#This Row],[Регистратор.Номенклатура]]</f>
        <v>Преладо</v>
      </c>
      <c r="V112" s="45">
        <f>40.2*Таблица310[[#This Row],[Регистратор.Вес нетто]]/176990</f>
        <v>3.0685462455505963</v>
      </c>
      <c r="W112" s="72" t="s">
        <v>43</v>
      </c>
      <c r="X112" s="93" t="s">
        <v>19</v>
      </c>
      <c r="Y112" s="72">
        <v>7</v>
      </c>
      <c r="Z112" s="71">
        <v>45813</v>
      </c>
      <c r="AA112" s="40"/>
      <c r="AB112" s="40"/>
      <c r="AC112" s="40" t="s">
        <v>419</v>
      </c>
      <c r="AD112" s="40" t="s">
        <v>511</v>
      </c>
      <c r="AE112" s="40">
        <v>208</v>
      </c>
      <c r="AF112" s="103">
        <v>45813</v>
      </c>
      <c r="AG112" s="40">
        <v>130797</v>
      </c>
      <c r="AH112" s="40">
        <f>VLOOKUP(Таблица310[[#This Row],[№ акта]],'Степень зрелости 2025'!$H$13:$I$583,2,FALSE)</f>
        <v>51</v>
      </c>
      <c r="AI112" s="40" t="str">
        <f>VLOOKUP(Таблица310[[#This Row],[№ акта]],$AQ$1:$AT$594,2,FALSE)</f>
        <v>1/8.1</v>
      </c>
      <c r="AJ112" s="40" t="str">
        <f>Таблица310[[#This Row],[Регистратор.Номенклатура]]</f>
        <v>Преладо</v>
      </c>
      <c r="AK112" s="40" t="str">
        <f>VLOOKUP(Таблица310[[#This Row],[№ акта]],$AQ$1:$AT$594,4,FALSE)</f>
        <v>Учхоз Кубань (богара)</v>
      </c>
      <c r="AL112" s="45">
        <f>VLOOKUP(Таблица310[[#This Row],[№ акта]],$AQ$1:$AT$594,3,FALSE)</f>
        <v>3.0685462455505963</v>
      </c>
      <c r="AM112" s="40" t="str">
        <f>IF(Таблица310[[#This Row],[Площадь уборки, га]]=Таблица310[[#This Row],[Площадь уборки до корр]],"нет","да")</f>
        <v>нет</v>
      </c>
      <c r="AN112" s="45">
        <f>Таблица310[[#This Row],[Площадь уборки до корр]]-Таблица310[[#This Row],[Площадь уборки, га]]</f>
        <v>0</v>
      </c>
      <c r="AQ112">
        <v>208</v>
      </c>
      <c r="AR112" t="s">
        <v>365</v>
      </c>
      <c r="AS112">
        <v>3.0685462455505963</v>
      </c>
      <c r="AT112" t="s">
        <v>43</v>
      </c>
    </row>
    <row r="113" spans="1:46 16367:16374" ht="25.5" hidden="1" customHeight="1" x14ac:dyDescent="0.25">
      <c r="A113" s="72" t="s">
        <v>102</v>
      </c>
      <c r="B113" s="73">
        <v>11431.1</v>
      </c>
      <c r="C113" s="120">
        <v>50</v>
      </c>
      <c r="D113" s="75">
        <v>209</v>
      </c>
      <c r="E113" s="146">
        <v>45813</v>
      </c>
      <c r="F113" s="73">
        <v>29330</v>
      </c>
      <c r="G113" s="73">
        <v>13690</v>
      </c>
      <c r="H113" s="77">
        <v>15640</v>
      </c>
      <c r="I113" s="73">
        <v>11431.1</v>
      </c>
      <c r="J113" s="72" t="s">
        <v>105</v>
      </c>
      <c r="K113" s="72" t="s">
        <v>21</v>
      </c>
      <c r="L113" s="72" t="s">
        <v>365</v>
      </c>
      <c r="M113" s="35" t="s">
        <v>1151</v>
      </c>
      <c r="N113" s="72" t="s">
        <v>587</v>
      </c>
      <c r="O113" s="72" t="s">
        <v>588</v>
      </c>
      <c r="P113" s="72"/>
      <c r="Q113" s="72" t="s">
        <v>589</v>
      </c>
      <c r="R113" s="72" t="s">
        <v>145</v>
      </c>
      <c r="S113" s="72" t="s">
        <v>146</v>
      </c>
      <c r="T113" s="70" t="s">
        <v>365</v>
      </c>
      <c r="U113" s="68" t="str">
        <f>Таблица310[[#This Row],[Регистратор.Номенклатура]]</f>
        <v>Преладо</v>
      </c>
      <c r="V113" s="45">
        <f>40.2*Таблица310[[#This Row],[Регистратор.Вес нетто]]/176990</f>
        <v>3.1094299112944235</v>
      </c>
      <c r="W113" s="72" t="s">
        <v>43</v>
      </c>
      <c r="X113" s="93" t="s">
        <v>19</v>
      </c>
      <c r="Y113" s="72">
        <v>7</v>
      </c>
      <c r="Z113" s="71">
        <v>45813</v>
      </c>
      <c r="AA113" s="40"/>
      <c r="AB113" s="40"/>
      <c r="AC113" s="40" t="s">
        <v>419</v>
      </c>
      <c r="AD113" s="40" t="s">
        <v>511</v>
      </c>
      <c r="AE113" s="40">
        <v>209</v>
      </c>
      <c r="AF113" s="103">
        <v>45813</v>
      </c>
      <c r="AG113" s="40">
        <v>130798</v>
      </c>
      <c r="AH113" s="40">
        <f>VLOOKUP(Таблица310[[#This Row],[№ акта]],'Степень зрелости 2025'!$H$13:$I$583,2,FALSE)</f>
        <v>50</v>
      </c>
      <c r="AI113" s="40" t="str">
        <f>VLOOKUP(Таблица310[[#This Row],[№ акта]],$AQ$1:$AT$594,2,FALSE)</f>
        <v>1/8.1</v>
      </c>
      <c r="AJ113" s="40" t="str">
        <f>Таблица310[[#This Row],[Регистратор.Номенклатура]]</f>
        <v>Преладо</v>
      </c>
      <c r="AK113" s="40" t="str">
        <f>VLOOKUP(Таблица310[[#This Row],[№ акта]],$AQ$1:$AT$594,4,FALSE)</f>
        <v>Учхоз Кубань (богара)</v>
      </c>
      <c r="AL113" s="45">
        <f>VLOOKUP(Таблица310[[#This Row],[№ акта]],$AQ$1:$AT$594,3,FALSE)</f>
        <v>3.1094299112944235</v>
      </c>
      <c r="AM113" s="40" t="str">
        <f>IF(Таблица310[[#This Row],[Площадь уборки, га]]=Таблица310[[#This Row],[Площадь уборки до корр]],"нет","да")</f>
        <v>нет</v>
      </c>
      <c r="AN113" s="45">
        <f>Таблица310[[#This Row],[Площадь уборки до корр]]-Таблица310[[#This Row],[Площадь уборки, га]]</f>
        <v>0</v>
      </c>
      <c r="AQ113">
        <v>209</v>
      </c>
      <c r="AR113" t="s">
        <v>365</v>
      </c>
      <c r="AS113">
        <v>3.1094299112944235</v>
      </c>
      <c r="AT113" t="s">
        <v>43</v>
      </c>
    </row>
    <row r="114" spans="1:46 16367:16374" ht="25.5" hidden="1" customHeight="1" x14ac:dyDescent="0.25">
      <c r="A114" s="72" t="s">
        <v>102</v>
      </c>
      <c r="B114" s="73">
        <v>10915.3</v>
      </c>
      <c r="C114" s="120">
        <v>50</v>
      </c>
      <c r="D114" s="75">
        <v>210</v>
      </c>
      <c r="E114" s="146">
        <v>45813</v>
      </c>
      <c r="F114" s="73">
        <v>28640</v>
      </c>
      <c r="G114" s="73">
        <v>13730</v>
      </c>
      <c r="H114" s="72">
        <v>14910</v>
      </c>
      <c r="I114" s="72">
        <v>10915.3</v>
      </c>
      <c r="J114" s="72" t="s">
        <v>105</v>
      </c>
      <c r="K114" s="72" t="s">
        <v>21</v>
      </c>
      <c r="L114" s="72" t="s">
        <v>365</v>
      </c>
      <c r="M114" s="35" t="s">
        <v>1461</v>
      </c>
      <c r="N114" s="45" t="s">
        <v>690</v>
      </c>
      <c r="O114" s="72" t="s">
        <v>691</v>
      </c>
      <c r="P114" s="72"/>
      <c r="Q114" s="72" t="s">
        <v>692</v>
      </c>
      <c r="R114" s="71" t="s">
        <v>149</v>
      </c>
      <c r="S114" s="40" t="s">
        <v>150</v>
      </c>
      <c r="T114" s="70" t="s">
        <v>365</v>
      </c>
      <c r="U114" s="68" t="str">
        <f>Таблица310[[#This Row],[Регистратор.Номенклатура]]</f>
        <v>Преладо</v>
      </c>
      <c r="V114" s="45">
        <f>40.2*Таблица310[[#This Row],[Регистратор.Вес нетто]]/176990</f>
        <v>3.1185151703486071</v>
      </c>
      <c r="W114" s="72" t="s">
        <v>43</v>
      </c>
      <c r="X114" s="93" t="s">
        <v>19</v>
      </c>
      <c r="Y114" s="72">
        <v>7</v>
      </c>
      <c r="Z114" s="71">
        <v>45813</v>
      </c>
      <c r="AC114" s="40" t="s">
        <v>419</v>
      </c>
      <c r="AD114" s="40" t="s">
        <v>511</v>
      </c>
      <c r="AE114" s="40">
        <v>210</v>
      </c>
      <c r="AF114" s="103">
        <v>45813</v>
      </c>
      <c r="AG114" s="40">
        <v>130799</v>
      </c>
      <c r="AH114" s="40">
        <f>VLOOKUP(Таблица310[[#This Row],[№ акта]],'Степень зрелости 2025'!$H$13:$I$583,2,FALSE)</f>
        <v>50</v>
      </c>
      <c r="AI114" s="40" t="str">
        <f>VLOOKUP(Таблица310[[#This Row],[№ акта]],$AQ$1:$AT$594,2,FALSE)</f>
        <v>1/8.1</v>
      </c>
      <c r="AJ114" s="40" t="str">
        <f>Таблица310[[#This Row],[Регистратор.Номенклатура]]</f>
        <v>Преладо</v>
      </c>
      <c r="AK114" s="40" t="str">
        <f>VLOOKUP(Таблица310[[#This Row],[№ акта]],$AQ$1:$AT$594,4,FALSE)</f>
        <v>Учхоз Кубань (богара)</v>
      </c>
      <c r="AL114" s="45">
        <f>VLOOKUP(Таблица310[[#This Row],[№ акта]],$AQ$1:$AT$594,3,FALSE)</f>
        <v>3.1185151703486071</v>
      </c>
      <c r="AM114" s="40" t="str">
        <f>IF(Таблица310[[#This Row],[Площадь уборки, га]]=Таблица310[[#This Row],[Площадь уборки до корр]],"нет","да")</f>
        <v>нет</v>
      </c>
      <c r="AN114" s="45">
        <f>Таблица310[[#This Row],[Площадь уборки до корр]]-Таблица310[[#This Row],[Площадь уборки, га]]</f>
        <v>0</v>
      </c>
      <c r="AQ114">
        <v>210</v>
      </c>
      <c r="AR114" t="s">
        <v>365</v>
      </c>
      <c r="AS114">
        <v>3.1185151703486071</v>
      </c>
      <c r="AT114" t="s">
        <v>43</v>
      </c>
      <c r="XEM114" s="72"/>
      <c r="XEN114" s="73"/>
      <c r="XEO114" s="74"/>
      <c r="XEP114" s="75"/>
      <c r="XEQ114" s="76"/>
      <c r="XER114" s="73"/>
    </row>
    <row r="115" spans="1:46 16367:16374" ht="25.5" hidden="1" customHeight="1" x14ac:dyDescent="0.25">
      <c r="A115" s="72" t="s">
        <v>102</v>
      </c>
      <c r="B115" s="73">
        <v>11263.3</v>
      </c>
      <c r="C115" s="120">
        <v>54</v>
      </c>
      <c r="D115" s="75">
        <v>211</v>
      </c>
      <c r="E115" s="146">
        <v>45813</v>
      </c>
      <c r="F115" s="73">
        <v>28760</v>
      </c>
      <c r="G115" s="73">
        <v>13820</v>
      </c>
      <c r="H115" s="72">
        <v>14940</v>
      </c>
      <c r="I115" s="72">
        <v>11263.3</v>
      </c>
      <c r="J115" s="72" t="s">
        <v>105</v>
      </c>
      <c r="K115" s="72" t="s">
        <v>21</v>
      </c>
      <c r="L115" s="72" t="s">
        <v>365</v>
      </c>
      <c r="M115" s="35" t="s">
        <v>311</v>
      </c>
      <c r="N115" s="45" t="s">
        <v>714</v>
      </c>
      <c r="O115" s="72" t="s">
        <v>715</v>
      </c>
      <c r="P115" s="72"/>
      <c r="Q115" s="72" t="s">
        <v>716</v>
      </c>
      <c r="R115" s="71" t="s">
        <v>315</v>
      </c>
      <c r="S115" s="40" t="s">
        <v>316</v>
      </c>
      <c r="T115" s="70" t="s">
        <v>365</v>
      </c>
      <c r="U115" s="68" t="str">
        <f>Таблица310[[#This Row],[Регистратор.Номенклатура]]</f>
        <v>Преладо</v>
      </c>
      <c r="V115" s="45">
        <f>40.2*Таблица310[[#This Row],[Регистратор.Вес нетто]]/176990</f>
        <v>3.1389570032205207</v>
      </c>
      <c r="W115" s="72" t="s">
        <v>43</v>
      </c>
      <c r="X115" s="93" t="s">
        <v>19</v>
      </c>
      <c r="Y115" s="72">
        <v>7</v>
      </c>
      <c r="Z115" s="71">
        <v>45813</v>
      </c>
      <c r="AC115" s="40" t="s">
        <v>724</v>
      </c>
      <c r="AD115" s="40" t="s">
        <v>511</v>
      </c>
      <c r="AE115" s="40">
        <v>211</v>
      </c>
      <c r="AF115" s="103">
        <v>45813</v>
      </c>
      <c r="AG115" s="40">
        <v>130800</v>
      </c>
      <c r="AH115" s="40">
        <f>VLOOKUP(Таблица310[[#This Row],[№ акта]],'Степень зрелости 2025'!$H$13:$I$583,2,FALSE)</f>
        <v>54</v>
      </c>
      <c r="AI115" s="40" t="str">
        <f>VLOOKUP(Таблица310[[#This Row],[№ акта]],$AQ$1:$AT$594,2,FALSE)</f>
        <v>1/8.1</v>
      </c>
      <c r="AJ115" s="40" t="str">
        <f>Таблица310[[#This Row],[Регистратор.Номенклатура]]</f>
        <v>Преладо</v>
      </c>
      <c r="AK115" s="40" t="str">
        <f>VLOOKUP(Таблица310[[#This Row],[№ акта]],$AQ$1:$AT$594,4,FALSE)</f>
        <v>Учхоз Кубань (богара)</v>
      </c>
      <c r="AL115" s="45">
        <f>VLOOKUP(Таблица310[[#This Row],[№ акта]],$AQ$1:$AT$594,3,FALSE)</f>
        <v>3.1389570032205207</v>
      </c>
      <c r="AM115" s="40" t="str">
        <f>IF(Таблица310[[#This Row],[Площадь уборки, га]]=Таблица310[[#This Row],[Площадь уборки до корр]],"нет","да")</f>
        <v>нет</v>
      </c>
      <c r="AN115" s="45">
        <f>Таблица310[[#This Row],[Площадь уборки до корр]]-Таблица310[[#This Row],[Площадь уборки, га]]</f>
        <v>0</v>
      </c>
      <c r="AQ115">
        <v>211</v>
      </c>
      <c r="AR115" t="s">
        <v>365</v>
      </c>
      <c r="AS115">
        <v>3.1389570032205207</v>
      </c>
      <c r="AT115" t="s">
        <v>43</v>
      </c>
      <c r="XEM115" s="72"/>
      <c r="XEN115" s="73"/>
      <c r="XEO115" s="74"/>
      <c r="XEP115" s="75"/>
      <c r="XEQ115" s="76"/>
      <c r="XER115" s="73"/>
    </row>
    <row r="116" spans="1:46 16367:16374" ht="25.5" hidden="1" customHeight="1" x14ac:dyDescent="0.25">
      <c r="A116" s="72" t="s">
        <v>102</v>
      </c>
      <c r="B116" s="73">
        <v>11489.6</v>
      </c>
      <c r="C116" s="120">
        <v>53</v>
      </c>
      <c r="D116" s="75">
        <v>212</v>
      </c>
      <c r="E116" s="146">
        <v>45813</v>
      </c>
      <c r="F116" s="73">
        <v>32460</v>
      </c>
      <c r="G116" s="73">
        <v>13760</v>
      </c>
      <c r="H116" s="72">
        <v>18700</v>
      </c>
      <c r="I116" s="72">
        <v>11489.6</v>
      </c>
      <c r="J116" s="72" t="s">
        <v>105</v>
      </c>
      <c r="K116" s="72" t="s">
        <v>21</v>
      </c>
      <c r="L116" s="72" t="s">
        <v>365</v>
      </c>
      <c r="M116" s="35" t="s">
        <v>347</v>
      </c>
      <c r="N116" s="45" t="s">
        <v>699</v>
      </c>
      <c r="O116" s="72" t="s">
        <v>700</v>
      </c>
      <c r="P116" s="72"/>
      <c r="Q116" s="72" t="s">
        <v>701</v>
      </c>
      <c r="R116" s="71" t="s">
        <v>351</v>
      </c>
      <c r="S116" s="40" t="s">
        <v>352</v>
      </c>
      <c r="T116" s="70" t="s">
        <v>365</v>
      </c>
      <c r="U116" s="68" t="str">
        <f>Таблица310[[#This Row],[Регистратор.Номенклатура]]</f>
        <v>Преладо</v>
      </c>
      <c r="V116" s="45">
        <f>40.2*Таблица310[[#This Row],[Регистратор.Вес нетто]]/176990</f>
        <v>3.125329114639245</v>
      </c>
      <c r="W116" s="72" t="s">
        <v>43</v>
      </c>
      <c r="X116" s="93" t="s">
        <v>19</v>
      </c>
      <c r="Y116" s="72">
        <v>7</v>
      </c>
      <c r="Z116" s="71">
        <v>45813</v>
      </c>
      <c r="AC116" s="40" t="s">
        <v>724</v>
      </c>
      <c r="AD116" s="40" t="s">
        <v>511</v>
      </c>
      <c r="AE116" s="40">
        <v>212</v>
      </c>
      <c r="AF116" s="103">
        <v>45813</v>
      </c>
      <c r="AG116" s="40">
        <v>130751</v>
      </c>
      <c r="AH116" s="40">
        <f>VLOOKUP(Таблица310[[#This Row],[№ акта]],'Степень зрелости 2025'!$H$13:$I$583,2,FALSE)</f>
        <v>53</v>
      </c>
      <c r="AI116" s="40" t="str">
        <f>VLOOKUP(Таблица310[[#This Row],[№ акта]],$AQ$1:$AT$594,2,FALSE)</f>
        <v>1/8.1</v>
      </c>
      <c r="AJ116" s="40" t="str">
        <f>Таблица310[[#This Row],[Регистратор.Номенклатура]]</f>
        <v>Преладо</v>
      </c>
      <c r="AK116" s="40" t="str">
        <f>VLOOKUP(Таблица310[[#This Row],[№ акта]],$AQ$1:$AT$594,4,FALSE)</f>
        <v>Учхоз Кубань (богара)</v>
      </c>
      <c r="AL116" s="45">
        <f>VLOOKUP(Таблица310[[#This Row],[№ акта]],$AQ$1:$AT$594,3,FALSE)</f>
        <v>3.125329114639245</v>
      </c>
      <c r="AM116" s="40" t="str">
        <f>IF(Таблица310[[#This Row],[Площадь уборки, га]]=Таблица310[[#This Row],[Площадь уборки до корр]],"нет","да")</f>
        <v>нет</v>
      </c>
      <c r="AN116" s="45">
        <f>Таблица310[[#This Row],[Площадь уборки до корр]]-Таблица310[[#This Row],[Площадь уборки, га]]</f>
        <v>0</v>
      </c>
      <c r="AQ116">
        <v>212</v>
      </c>
      <c r="AR116" t="s">
        <v>365</v>
      </c>
      <c r="AS116">
        <v>3.125329114639245</v>
      </c>
      <c r="AT116" t="s">
        <v>43</v>
      </c>
      <c r="XEM116" s="72"/>
      <c r="XEN116" s="73"/>
      <c r="XEO116" s="74"/>
      <c r="XEP116" s="75"/>
      <c r="XEQ116" s="76"/>
      <c r="XER116" s="73"/>
    </row>
    <row r="117" spans="1:46 16367:16374" ht="25.5" hidden="1" customHeight="1" x14ac:dyDescent="0.25">
      <c r="A117" s="72" t="s">
        <v>102</v>
      </c>
      <c r="B117" s="73">
        <v>11393.2</v>
      </c>
      <c r="C117" s="120">
        <v>54</v>
      </c>
      <c r="D117" s="75">
        <v>213</v>
      </c>
      <c r="E117" s="146">
        <v>45813</v>
      </c>
      <c r="F117" s="73">
        <v>28200</v>
      </c>
      <c r="G117" s="73">
        <v>13810</v>
      </c>
      <c r="H117" s="72">
        <v>14390</v>
      </c>
      <c r="I117" s="72">
        <v>11393.2</v>
      </c>
      <c r="J117" s="72" t="s">
        <v>105</v>
      </c>
      <c r="K117" s="72" t="s">
        <v>21</v>
      </c>
      <c r="L117" s="72" t="s">
        <v>365</v>
      </c>
      <c r="M117" s="35" t="s">
        <v>1312</v>
      </c>
      <c r="N117" s="45" t="s">
        <v>720</v>
      </c>
      <c r="O117" s="72" t="s">
        <v>721</v>
      </c>
      <c r="P117" s="72"/>
      <c r="Q117" s="72" t="s">
        <v>722</v>
      </c>
      <c r="R117" s="71" t="s">
        <v>320</v>
      </c>
      <c r="S117" s="40" t="s">
        <v>321</v>
      </c>
      <c r="T117" s="70" t="s">
        <v>365</v>
      </c>
      <c r="U117" s="68" t="str">
        <f>Таблица310[[#This Row],[Регистратор.Номенклатура]]</f>
        <v>Преладо</v>
      </c>
      <c r="V117" s="45">
        <f>40.2*Таблица310[[#This Row],[Регистратор.Вес нетто]]/176990</f>
        <v>3.1366856884569749</v>
      </c>
      <c r="W117" s="72" t="s">
        <v>43</v>
      </c>
      <c r="X117" s="93" t="s">
        <v>19</v>
      </c>
      <c r="Y117" s="72">
        <v>7</v>
      </c>
      <c r="Z117" s="71">
        <v>45813</v>
      </c>
      <c r="AC117" s="40" t="s">
        <v>724</v>
      </c>
      <c r="AD117" s="40" t="s">
        <v>511</v>
      </c>
      <c r="AE117" s="40">
        <v>213</v>
      </c>
      <c r="AF117" s="103">
        <v>45813</v>
      </c>
      <c r="AG117" s="40">
        <v>130752</v>
      </c>
      <c r="AH117" s="40">
        <f>VLOOKUP(Таблица310[[#This Row],[№ акта]],'Степень зрелости 2025'!$H$13:$I$583,2,FALSE)</f>
        <v>54</v>
      </c>
      <c r="AI117" s="40" t="str">
        <f>VLOOKUP(Таблица310[[#This Row],[№ акта]],$AQ$1:$AT$594,2,FALSE)</f>
        <v>1/8.1</v>
      </c>
      <c r="AJ117" s="40" t="str">
        <f>Таблица310[[#This Row],[Регистратор.Номенклатура]]</f>
        <v>Преладо</v>
      </c>
      <c r="AK117" s="40" t="str">
        <f>VLOOKUP(Таблица310[[#This Row],[№ акта]],$AQ$1:$AT$594,4,FALSE)</f>
        <v>Учхоз Кубань (богара)</v>
      </c>
      <c r="AL117" s="45">
        <f>VLOOKUP(Таблица310[[#This Row],[№ акта]],$AQ$1:$AT$594,3,FALSE)</f>
        <v>3.1366856884569749</v>
      </c>
      <c r="AM117" s="40" t="str">
        <f>IF(Таблица310[[#This Row],[Площадь уборки, га]]=Таблица310[[#This Row],[Площадь уборки до корр]],"нет","да")</f>
        <v>нет</v>
      </c>
      <c r="AN117" s="45">
        <f>Таблица310[[#This Row],[Площадь уборки до корр]]-Таблица310[[#This Row],[Площадь уборки, га]]</f>
        <v>0</v>
      </c>
      <c r="AQ117">
        <v>213</v>
      </c>
      <c r="AR117" t="s">
        <v>365</v>
      </c>
      <c r="AS117">
        <v>3.1366856884569749</v>
      </c>
      <c r="AT117" t="s">
        <v>43</v>
      </c>
      <c r="XEM117" s="72"/>
      <c r="XEN117" s="73"/>
      <c r="XEO117" s="74"/>
      <c r="XEP117" s="75"/>
      <c r="XEQ117" s="76"/>
      <c r="XER117" s="73"/>
    </row>
    <row r="118" spans="1:46 16367:16374" ht="25.5" hidden="1" customHeight="1" x14ac:dyDescent="0.25">
      <c r="A118" s="72" t="s">
        <v>102</v>
      </c>
      <c r="B118" s="73">
        <v>5347.5</v>
      </c>
      <c r="C118" s="120">
        <v>54</v>
      </c>
      <c r="D118" s="75">
        <v>214</v>
      </c>
      <c r="E118" s="146">
        <v>45813</v>
      </c>
      <c r="F118" s="73">
        <v>16370</v>
      </c>
      <c r="G118" s="73">
        <v>6900</v>
      </c>
      <c r="H118" s="72">
        <v>9470</v>
      </c>
      <c r="I118" s="72">
        <v>5347.5</v>
      </c>
      <c r="J118" s="72" t="s">
        <v>78</v>
      </c>
      <c r="K118" s="72" t="s">
        <v>524</v>
      </c>
      <c r="L118" s="72" t="s">
        <v>523</v>
      </c>
      <c r="M118" s="35" t="s">
        <v>79</v>
      </c>
      <c r="N118" s="45" t="s">
        <v>711</v>
      </c>
      <c r="O118" s="72" t="s">
        <v>712</v>
      </c>
      <c r="P118" s="93"/>
      <c r="Q118" s="72" t="s">
        <v>713</v>
      </c>
      <c r="R118" s="71" t="s">
        <v>80</v>
      </c>
      <c r="S118" s="40"/>
      <c r="T118" s="40" t="s">
        <v>523</v>
      </c>
      <c r="U118" s="68" t="str">
        <f>Таблица310[[#This Row],[Регистратор.Номенклатура]]</f>
        <v>Авола</v>
      </c>
      <c r="V118" s="45">
        <f>23.2*Таблица310[[#This Row],[Регистратор.Вес нетто]]/49520</f>
        <v>3.232633279483037</v>
      </c>
      <c r="W118" s="72" t="s">
        <v>46</v>
      </c>
      <c r="X118" s="93" t="s">
        <v>19</v>
      </c>
      <c r="Y118" s="72">
        <v>8</v>
      </c>
      <c r="Z118" s="71">
        <v>45813</v>
      </c>
      <c r="AC118" s="40" t="s">
        <v>724</v>
      </c>
      <c r="AD118" s="40" t="s">
        <v>511</v>
      </c>
      <c r="AE118" s="40">
        <v>214</v>
      </c>
      <c r="AF118" s="103">
        <v>45813</v>
      </c>
      <c r="AG118" s="40">
        <v>47</v>
      </c>
      <c r="AH118" s="40">
        <f>VLOOKUP(Таблица310[[#This Row],[№ акта]],'Степень зрелости 2025'!$H$13:$I$583,2,FALSE)</f>
        <v>54</v>
      </c>
      <c r="AI118" s="40" t="str">
        <f>VLOOKUP(Таблица310[[#This Row],[№ акта]],$AQ$1:$AT$594,2,FALSE)</f>
        <v>А-57</v>
      </c>
      <c r="AJ118" s="40" t="str">
        <f>Таблица310[[#This Row],[Регистратор.Номенклатура]]</f>
        <v>Авола</v>
      </c>
      <c r="AK118" s="40" t="str">
        <f>VLOOKUP(Таблица310[[#This Row],[№ акта]],$AQ$1:$AT$594,4,FALSE)</f>
        <v>ГРК (богара)</v>
      </c>
      <c r="AL118" s="45">
        <f>VLOOKUP(Таблица310[[#This Row],[№ акта]],$AQ$1:$AT$594,3,FALSE)</f>
        <v>2.5213154689403168</v>
      </c>
      <c r="AM118" s="40" t="str">
        <f>IF(Таблица310[[#This Row],[Площадь уборки, га]]=Таблица310[[#This Row],[Площадь уборки до корр]],"нет","да")</f>
        <v>да</v>
      </c>
      <c r="AN118" s="45">
        <f>Таблица310[[#This Row],[Площадь уборки до корр]]-Таблица310[[#This Row],[Площадь уборки, га]]</f>
        <v>-0.71131781054272025</v>
      </c>
      <c r="AQ118">
        <v>214</v>
      </c>
      <c r="AR118" t="s">
        <v>523</v>
      </c>
      <c r="AS118">
        <v>2.5213154689403168</v>
      </c>
      <c r="AT118" t="s">
        <v>46</v>
      </c>
      <c r="XEO118" s="72"/>
      <c r="XEP118" s="73"/>
      <c r="XEQ118" s="74"/>
      <c r="XER118" s="75"/>
      <c r="XES118" s="76"/>
      <c r="XET118" s="73"/>
    </row>
    <row r="119" spans="1:46 16367:16374" ht="25.5" hidden="1" customHeight="1" x14ac:dyDescent="0.25">
      <c r="A119" s="72" t="s">
        <v>102</v>
      </c>
      <c r="B119" s="73">
        <v>11365.2</v>
      </c>
      <c r="C119" s="120">
        <v>54</v>
      </c>
      <c r="D119" s="75">
        <v>215</v>
      </c>
      <c r="E119" s="146">
        <v>45813</v>
      </c>
      <c r="F119" s="73">
        <v>28130</v>
      </c>
      <c r="G119" s="73">
        <v>13450</v>
      </c>
      <c r="H119" s="72">
        <v>14680</v>
      </c>
      <c r="I119" s="72">
        <v>11365.2</v>
      </c>
      <c r="J119" s="72" t="s">
        <v>105</v>
      </c>
      <c r="K119" s="72" t="s">
        <v>21</v>
      </c>
      <c r="L119" s="72" t="s">
        <v>365</v>
      </c>
      <c r="M119" s="35" t="s">
        <v>335</v>
      </c>
      <c r="N119" s="45" t="s">
        <v>717</v>
      </c>
      <c r="O119" s="72" t="s">
        <v>718</v>
      </c>
      <c r="P119" s="72"/>
      <c r="Q119" s="72" t="s">
        <v>719</v>
      </c>
      <c r="R119" s="71" t="s">
        <v>339</v>
      </c>
      <c r="S119" s="40" t="s">
        <v>340</v>
      </c>
      <c r="T119" s="70" t="s">
        <v>365</v>
      </c>
      <c r="U119" s="68" t="str">
        <f>Таблица310[[#This Row],[Регистратор.Номенклатура]]</f>
        <v>Преладо</v>
      </c>
      <c r="V119" s="45">
        <f>40.2*Таблица310[[#This Row],[Регистратор.Вес нетто]]/176990</f>
        <v>3.0549183569693201</v>
      </c>
      <c r="W119" s="72" t="s">
        <v>43</v>
      </c>
      <c r="X119" s="93" t="s">
        <v>19</v>
      </c>
      <c r="Y119" s="72">
        <v>7</v>
      </c>
      <c r="Z119" s="71">
        <v>45813</v>
      </c>
      <c r="AC119" s="40" t="s">
        <v>724</v>
      </c>
      <c r="AD119" s="40" t="s">
        <v>511</v>
      </c>
      <c r="AE119" s="40">
        <v>215</v>
      </c>
      <c r="AF119" s="103">
        <v>45813</v>
      </c>
      <c r="AG119" s="40">
        <v>130753</v>
      </c>
      <c r="AH119" s="40">
        <f>VLOOKUP(Таблица310[[#This Row],[№ акта]],'Степень зрелости 2025'!$H$13:$I$583,2,FALSE)</f>
        <v>54</v>
      </c>
      <c r="AI119" s="40" t="str">
        <f>VLOOKUP(Таблица310[[#This Row],[№ акта]],$AQ$1:$AT$594,2,FALSE)</f>
        <v>1/8.1</v>
      </c>
      <c r="AJ119" s="40" t="str">
        <f>Таблица310[[#This Row],[Регистратор.Номенклатура]]</f>
        <v>Преладо</v>
      </c>
      <c r="AK119" s="40" t="str">
        <f>VLOOKUP(Таблица310[[#This Row],[№ акта]],$AQ$1:$AT$594,4,FALSE)</f>
        <v>Учхоз Кубань (богара)</v>
      </c>
      <c r="AL119" s="45">
        <f>VLOOKUP(Таблица310[[#This Row],[№ акта]],$AQ$1:$AT$594,3,FALSE)</f>
        <v>3.0549183569693201</v>
      </c>
      <c r="AM119" s="40" t="str">
        <f>IF(Таблица310[[#This Row],[Площадь уборки, га]]=Таблица310[[#This Row],[Площадь уборки до корр]],"нет","да")</f>
        <v>нет</v>
      </c>
      <c r="AN119" s="45">
        <f>Таблица310[[#This Row],[Площадь уборки до корр]]-Таблица310[[#This Row],[Площадь уборки, га]]</f>
        <v>0</v>
      </c>
      <c r="AQ119">
        <v>215</v>
      </c>
      <c r="AR119" t="s">
        <v>365</v>
      </c>
      <c r="AS119">
        <v>3.0549183569693201</v>
      </c>
      <c r="AT119" t="s">
        <v>43</v>
      </c>
      <c r="XEM119" s="72"/>
      <c r="XEN119" s="73"/>
      <c r="XEO119" s="74"/>
      <c r="XEP119" s="75"/>
      <c r="XEQ119" s="76"/>
      <c r="XER119" s="73"/>
    </row>
    <row r="120" spans="1:46 16367:16374" ht="25.5" hidden="1" customHeight="1" x14ac:dyDescent="0.25">
      <c r="A120" s="72" t="s">
        <v>102</v>
      </c>
      <c r="B120" s="73">
        <v>11092.1</v>
      </c>
      <c r="C120" s="120">
        <v>53</v>
      </c>
      <c r="D120" s="75">
        <v>216</v>
      </c>
      <c r="E120" s="146">
        <v>45813</v>
      </c>
      <c r="F120" s="73">
        <v>34520</v>
      </c>
      <c r="G120" s="73">
        <v>13610</v>
      </c>
      <c r="H120" s="72">
        <v>20910</v>
      </c>
      <c r="I120" s="72">
        <v>11092.1</v>
      </c>
      <c r="J120" s="72" t="s">
        <v>105</v>
      </c>
      <c r="K120" s="72" t="s">
        <v>21</v>
      </c>
      <c r="L120" s="72" t="s">
        <v>365</v>
      </c>
      <c r="M120" s="35" t="s">
        <v>1152</v>
      </c>
      <c r="N120" s="45" t="s">
        <v>693</v>
      </c>
      <c r="O120" s="72" t="s">
        <v>694</v>
      </c>
      <c r="P120" s="72"/>
      <c r="Q120" s="72" t="s">
        <v>695</v>
      </c>
      <c r="R120" s="71" t="s">
        <v>119</v>
      </c>
      <c r="S120" s="40" t="s">
        <v>120</v>
      </c>
      <c r="T120" s="70" t="s">
        <v>365</v>
      </c>
      <c r="U120" s="68" t="str">
        <f>Таблица310[[#This Row],[Регистратор.Номенклатура]]</f>
        <v>Преладо</v>
      </c>
      <c r="V120" s="45">
        <f>40.2*Таблица310[[#This Row],[Регистратор.Вес нетто]]/176990</f>
        <v>3.0912593931860557</v>
      </c>
      <c r="W120" s="72" t="s">
        <v>43</v>
      </c>
      <c r="X120" s="93" t="s">
        <v>19</v>
      </c>
      <c r="Y120" s="72">
        <v>7</v>
      </c>
      <c r="Z120" s="71">
        <v>45813</v>
      </c>
      <c r="AC120" s="40" t="s">
        <v>724</v>
      </c>
      <c r="AD120" s="40" t="s">
        <v>511</v>
      </c>
      <c r="AE120" s="40">
        <v>216</v>
      </c>
      <c r="AF120" s="103">
        <v>45813</v>
      </c>
      <c r="AG120" s="40">
        <v>130756</v>
      </c>
      <c r="AH120" s="40">
        <f>VLOOKUP(Таблица310[[#This Row],[№ акта]],'Степень зрелости 2025'!$H$13:$I$583,2,FALSE)</f>
        <v>53</v>
      </c>
      <c r="AI120" s="40" t="str">
        <f>VLOOKUP(Таблица310[[#This Row],[№ акта]],$AQ$1:$AT$594,2,FALSE)</f>
        <v>1/8.1</v>
      </c>
      <c r="AJ120" s="40" t="str">
        <f>Таблица310[[#This Row],[Регистратор.Номенклатура]]</f>
        <v>Преладо</v>
      </c>
      <c r="AK120" s="40" t="str">
        <f>VLOOKUP(Таблица310[[#This Row],[№ акта]],$AQ$1:$AT$594,4,FALSE)</f>
        <v>Учхоз Кубань (богара)</v>
      </c>
      <c r="AL120" s="45">
        <f>VLOOKUP(Таблица310[[#This Row],[№ акта]],$AQ$1:$AT$594,3,FALSE)</f>
        <v>3.0912593931860557</v>
      </c>
      <c r="AM120" s="40" t="str">
        <f>IF(Таблица310[[#This Row],[Площадь уборки, га]]=Таблица310[[#This Row],[Площадь уборки до корр]],"нет","да")</f>
        <v>нет</v>
      </c>
      <c r="AN120" s="45">
        <f>Таблица310[[#This Row],[Площадь уборки до корр]]-Таблица310[[#This Row],[Площадь уборки, га]]</f>
        <v>0</v>
      </c>
      <c r="AQ120">
        <v>216</v>
      </c>
      <c r="AR120" t="s">
        <v>365</v>
      </c>
      <c r="AS120">
        <v>3.0912593931860557</v>
      </c>
      <c r="AT120" t="s">
        <v>43</v>
      </c>
      <c r="XEM120" s="72"/>
      <c r="XEN120" s="73"/>
      <c r="XEO120" s="74"/>
      <c r="XEP120" s="75"/>
      <c r="XEQ120" s="76"/>
      <c r="XER120" s="73"/>
    </row>
    <row r="121" spans="1:46 16367:16374" ht="25.5" hidden="1" customHeight="1" x14ac:dyDescent="0.25">
      <c r="A121" s="72" t="s">
        <v>102</v>
      </c>
      <c r="B121" s="73">
        <v>11458.2</v>
      </c>
      <c r="C121" s="120">
        <v>53</v>
      </c>
      <c r="D121" s="75">
        <v>217</v>
      </c>
      <c r="E121" s="146">
        <v>45813</v>
      </c>
      <c r="F121" s="73">
        <v>28420</v>
      </c>
      <c r="G121" s="73">
        <v>13560</v>
      </c>
      <c r="H121" s="72">
        <v>14860</v>
      </c>
      <c r="I121" s="72">
        <v>11458.2</v>
      </c>
      <c r="J121" s="72" t="s">
        <v>105</v>
      </c>
      <c r="K121" s="72" t="s">
        <v>21</v>
      </c>
      <c r="L121" s="72" t="s">
        <v>365</v>
      </c>
      <c r="M121" s="35" t="s">
        <v>151</v>
      </c>
      <c r="N121" s="45" t="s">
        <v>696</v>
      </c>
      <c r="O121" s="72" t="s">
        <v>697</v>
      </c>
      <c r="P121" s="72"/>
      <c r="Q121" s="72" t="s">
        <v>698</v>
      </c>
      <c r="R121" s="71" t="s">
        <v>155</v>
      </c>
      <c r="S121" s="40" t="s">
        <v>156</v>
      </c>
      <c r="T121" s="70" t="s">
        <v>365</v>
      </c>
      <c r="U121" s="68" t="str">
        <f>Таблица310[[#This Row],[Регистратор.Номенклатура]]</f>
        <v>Преладо</v>
      </c>
      <c r="V121" s="45">
        <f>40.2*Таблица310[[#This Row],[Регистратор.Вес нетто]]/176990</f>
        <v>3.0799028193683258</v>
      </c>
      <c r="W121" s="72" t="s">
        <v>43</v>
      </c>
      <c r="X121" s="93" t="s">
        <v>19</v>
      </c>
      <c r="Y121" s="72">
        <v>7</v>
      </c>
      <c r="Z121" s="71">
        <v>45813</v>
      </c>
      <c r="AC121" s="40" t="s">
        <v>724</v>
      </c>
      <c r="AD121" s="40" t="s">
        <v>511</v>
      </c>
      <c r="AE121" s="40">
        <v>217</v>
      </c>
      <c r="AF121" s="103">
        <v>45813</v>
      </c>
      <c r="AG121" s="40">
        <v>130755</v>
      </c>
      <c r="AH121" s="40">
        <f>VLOOKUP(Таблица310[[#This Row],[№ акта]],'Степень зрелости 2025'!$H$13:$I$583,2,FALSE)</f>
        <v>53</v>
      </c>
      <c r="AI121" s="40" t="str">
        <f>VLOOKUP(Таблица310[[#This Row],[№ акта]],$AQ$1:$AT$594,2,FALSE)</f>
        <v>1/8.1</v>
      </c>
      <c r="AJ121" s="40" t="str">
        <f>Таблица310[[#This Row],[Регистратор.Номенклатура]]</f>
        <v>Преладо</v>
      </c>
      <c r="AK121" s="40" t="str">
        <f>VLOOKUP(Таблица310[[#This Row],[№ акта]],$AQ$1:$AT$594,4,FALSE)</f>
        <v>Учхоз Кубань (богара)</v>
      </c>
      <c r="AL121" s="45">
        <f>VLOOKUP(Таблица310[[#This Row],[№ акта]],$AQ$1:$AT$594,3,FALSE)</f>
        <v>3.0799028193683258</v>
      </c>
      <c r="AM121" s="40" t="str">
        <f>IF(Таблица310[[#This Row],[Площадь уборки, га]]=Таблица310[[#This Row],[Площадь уборки до корр]],"нет","да")</f>
        <v>нет</v>
      </c>
      <c r="AN121" s="45">
        <f>Таблица310[[#This Row],[Площадь уборки до корр]]-Таблица310[[#This Row],[Площадь уборки, га]]</f>
        <v>0</v>
      </c>
      <c r="AQ121">
        <v>217</v>
      </c>
      <c r="AR121" t="s">
        <v>365</v>
      </c>
      <c r="AS121">
        <v>3.0799028193683258</v>
      </c>
      <c r="AT121" t="s">
        <v>43</v>
      </c>
      <c r="XEM121" s="72"/>
      <c r="XEN121" s="73"/>
      <c r="XEO121" s="74"/>
      <c r="XEP121" s="75"/>
      <c r="XEQ121" s="76"/>
      <c r="XER121" s="73"/>
    </row>
    <row r="122" spans="1:46 16367:16374" ht="25.5" hidden="1" customHeight="1" x14ac:dyDescent="0.25">
      <c r="A122" s="72" t="s">
        <v>102</v>
      </c>
      <c r="B122" s="73">
        <v>11738</v>
      </c>
      <c r="C122" s="120">
        <v>53</v>
      </c>
      <c r="D122" s="75">
        <v>218</v>
      </c>
      <c r="E122" s="146">
        <v>45813</v>
      </c>
      <c r="F122" s="73">
        <v>37580</v>
      </c>
      <c r="G122" s="73">
        <v>13570</v>
      </c>
      <c r="H122" s="72">
        <v>24010</v>
      </c>
      <c r="I122" s="72">
        <v>11738</v>
      </c>
      <c r="J122" s="72" t="s">
        <v>105</v>
      </c>
      <c r="K122" s="72" t="s">
        <v>21</v>
      </c>
      <c r="L122" s="72" t="s">
        <v>365</v>
      </c>
      <c r="M122" s="35" t="s">
        <v>160</v>
      </c>
      <c r="N122" s="45" t="s">
        <v>705</v>
      </c>
      <c r="O122" s="72" t="s">
        <v>706</v>
      </c>
      <c r="P122" s="72"/>
      <c r="Q122" s="72" t="s">
        <v>707</v>
      </c>
      <c r="R122" s="71" t="s">
        <v>164</v>
      </c>
      <c r="S122" s="40" t="s">
        <v>165</v>
      </c>
      <c r="T122" s="70" t="s">
        <v>365</v>
      </c>
      <c r="U122" s="68" t="str">
        <f>Таблица310[[#This Row],[Регистратор.Номенклатура]]</f>
        <v>Преладо</v>
      </c>
      <c r="V122" s="45">
        <f>40.2*Таблица310[[#This Row],[Регистратор.Вес нетто]]/176990</f>
        <v>3.082174134131872</v>
      </c>
      <c r="W122" s="72" t="s">
        <v>43</v>
      </c>
      <c r="X122" s="93" t="s">
        <v>19</v>
      </c>
      <c r="Y122" s="72">
        <v>7</v>
      </c>
      <c r="Z122" s="71">
        <v>45813</v>
      </c>
      <c r="AC122" s="40" t="s">
        <v>724</v>
      </c>
      <c r="AD122" s="40" t="s">
        <v>511</v>
      </c>
      <c r="AE122" s="40">
        <v>218</v>
      </c>
      <c r="AF122" s="103">
        <v>45813</v>
      </c>
      <c r="AG122" s="40">
        <v>130754</v>
      </c>
      <c r="AH122" s="40">
        <f>VLOOKUP(Таблица310[[#This Row],[№ акта]],'Степень зрелости 2025'!$H$13:$I$583,2,FALSE)</f>
        <v>53</v>
      </c>
      <c r="AI122" s="40" t="str">
        <f>VLOOKUP(Таблица310[[#This Row],[№ акта]],$AQ$1:$AT$594,2,FALSE)</f>
        <v>1/8.1</v>
      </c>
      <c r="AJ122" s="40" t="str">
        <f>Таблица310[[#This Row],[Регистратор.Номенклатура]]</f>
        <v>Преладо</v>
      </c>
      <c r="AK122" s="40" t="str">
        <f>VLOOKUP(Таблица310[[#This Row],[№ акта]],$AQ$1:$AT$594,4,FALSE)</f>
        <v>Учхоз Кубань (богара)</v>
      </c>
      <c r="AL122" s="45">
        <f>VLOOKUP(Таблица310[[#This Row],[№ акта]],$AQ$1:$AT$594,3,FALSE)</f>
        <v>3.082174134131872</v>
      </c>
      <c r="AM122" s="40" t="str">
        <f>IF(Таблица310[[#This Row],[Площадь уборки, га]]=Таблица310[[#This Row],[Площадь уборки до корр]],"нет","да")</f>
        <v>нет</v>
      </c>
      <c r="AN122" s="45">
        <f>Таблица310[[#This Row],[Площадь уборки до корр]]-Таблица310[[#This Row],[Площадь уборки, га]]</f>
        <v>0</v>
      </c>
      <c r="AQ122">
        <v>218</v>
      </c>
      <c r="AR122" t="s">
        <v>365</v>
      </c>
      <c r="AS122">
        <v>3.082174134131872</v>
      </c>
      <c r="AT122" t="s">
        <v>43</v>
      </c>
      <c r="XEM122" s="72"/>
      <c r="XEN122" s="73"/>
      <c r="XEO122" s="74"/>
      <c r="XEP122" s="75"/>
      <c r="XEQ122" s="76"/>
      <c r="XER122" s="73"/>
    </row>
    <row r="123" spans="1:46 16367:16374" ht="25.5" hidden="1" customHeight="1" x14ac:dyDescent="0.25">
      <c r="A123" s="72" t="s">
        <v>102</v>
      </c>
      <c r="B123" s="73">
        <v>11686.1</v>
      </c>
      <c r="C123" s="120">
        <v>53</v>
      </c>
      <c r="D123" s="75">
        <v>219</v>
      </c>
      <c r="E123" s="146">
        <v>45814</v>
      </c>
      <c r="F123" s="73">
        <v>27270</v>
      </c>
      <c r="G123" s="73">
        <v>13510</v>
      </c>
      <c r="H123" s="72">
        <v>13760</v>
      </c>
      <c r="I123" s="72">
        <v>11686.1</v>
      </c>
      <c r="J123" s="72" t="s">
        <v>105</v>
      </c>
      <c r="K123" s="72" t="s">
        <v>21</v>
      </c>
      <c r="L123" s="72" t="s">
        <v>672</v>
      </c>
      <c r="M123" s="35" t="s">
        <v>212</v>
      </c>
      <c r="N123" s="45" t="s">
        <v>702</v>
      </c>
      <c r="O123" s="72" t="s">
        <v>703</v>
      </c>
      <c r="P123" s="72"/>
      <c r="Q123" s="72" t="s">
        <v>704</v>
      </c>
      <c r="R123" s="71" t="s">
        <v>216</v>
      </c>
      <c r="S123" s="40" t="s">
        <v>304</v>
      </c>
      <c r="T123" s="70" t="s">
        <v>365</v>
      </c>
      <c r="U123" s="68" t="str">
        <f>Таблица310[[#This Row],[Регистратор.Номенклатура]]</f>
        <v>Преладо</v>
      </c>
      <c r="V123" s="45">
        <f>40.2*Таблица310[[#This Row],[Регистратор.Вес нетто]]/176990</f>
        <v>3.0685462455505963</v>
      </c>
      <c r="W123" s="72" t="s">
        <v>43</v>
      </c>
      <c r="X123" s="93" t="s">
        <v>19</v>
      </c>
      <c r="Y123" s="72">
        <v>7</v>
      </c>
      <c r="Z123" s="71">
        <v>45813</v>
      </c>
      <c r="AC123" s="40" t="s">
        <v>724</v>
      </c>
      <c r="AD123" s="40" t="s">
        <v>511</v>
      </c>
      <c r="AE123" s="40">
        <v>219</v>
      </c>
      <c r="AF123" s="103">
        <v>45814</v>
      </c>
      <c r="AG123" s="40">
        <v>130757</v>
      </c>
      <c r="AH123" s="40">
        <f>VLOOKUP(Таблица310[[#This Row],[№ акта]],'Степень зрелости 2025'!$H$13:$I$583,2,FALSE)</f>
        <v>53</v>
      </c>
      <c r="AI123" s="40" t="str">
        <f>VLOOKUP(Таблица310[[#This Row],[№ акта]],$AQ$1:$AT$594,2,FALSE)</f>
        <v>1/8.1</v>
      </c>
      <c r="AJ123" s="40" t="str">
        <f>Таблица310[[#This Row],[Регистратор.Номенклатура]]</f>
        <v>Преладо</v>
      </c>
      <c r="AK123" s="40" t="str">
        <f>VLOOKUP(Таблица310[[#This Row],[№ акта]],$AQ$1:$AT$594,4,FALSE)</f>
        <v>Учхоз Кубань (богара)</v>
      </c>
      <c r="AL123" s="45">
        <f>VLOOKUP(Таблица310[[#This Row],[№ акта]],$AQ$1:$AT$594,3,FALSE)</f>
        <v>3.0685462455505963</v>
      </c>
      <c r="AM123" s="40" t="str">
        <f>IF(Таблица310[[#This Row],[Площадь уборки, га]]=Таблица310[[#This Row],[Площадь уборки до корр]],"нет","да")</f>
        <v>нет</v>
      </c>
      <c r="AN123" s="45">
        <f>Таблица310[[#This Row],[Площадь уборки до корр]]-Таблица310[[#This Row],[Площадь уборки, га]]</f>
        <v>0</v>
      </c>
      <c r="AQ123">
        <v>219</v>
      </c>
      <c r="AR123" t="s">
        <v>365</v>
      </c>
      <c r="AS123">
        <v>3.0685462455505963</v>
      </c>
      <c r="AT123" t="s">
        <v>43</v>
      </c>
      <c r="XEM123" s="72"/>
      <c r="XEN123" s="73"/>
      <c r="XEO123" s="74"/>
      <c r="XEP123" s="75"/>
      <c r="XEQ123" s="76"/>
      <c r="XER123" s="73"/>
    </row>
    <row r="124" spans="1:46 16367:16374" ht="25.5" hidden="1" customHeight="1" x14ac:dyDescent="0.25">
      <c r="A124" s="72" t="s">
        <v>102</v>
      </c>
      <c r="B124" s="73">
        <v>13940</v>
      </c>
      <c r="C124" s="120">
        <v>46</v>
      </c>
      <c r="D124" s="75">
        <v>220</v>
      </c>
      <c r="E124" s="146">
        <v>45813</v>
      </c>
      <c r="F124" s="73">
        <v>31040</v>
      </c>
      <c r="G124" s="73">
        <v>13940</v>
      </c>
      <c r="H124" s="72">
        <v>17100</v>
      </c>
      <c r="I124" s="73">
        <v>10413.200000000001</v>
      </c>
      <c r="J124" s="72" t="s">
        <v>557</v>
      </c>
      <c r="K124" s="72" t="s">
        <v>81</v>
      </c>
      <c r="L124" s="72" t="s">
        <v>422</v>
      </c>
      <c r="M124" s="35" t="s">
        <v>289</v>
      </c>
      <c r="N124" s="45" t="s">
        <v>684</v>
      </c>
      <c r="O124" s="72" t="s">
        <v>685</v>
      </c>
      <c r="P124" s="72"/>
      <c r="Q124" s="72" t="s">
        <v>686</v>
      </c>
      <c r="R124" s="71" t="s">
        <v>293</v>
      </c>
      <c r="S124" s="40" t="s">
        <v>294</v>
      </c>
      <c r="T124" s="70" t="s">
        <v>422</v>
      </c>
      <c r="U124" s="68" t="str">
        <f>Таблица310[[#This Row],[Регистратор.Номенклатура]]</f>
        <v>Оскар</v>
      </c>
      <c r="V124" s="45">
        <f>6.3*Таблица310[[#This Row],[Регистратор.Вес нетто]]/28750</f>
        <v>3.0546782608695651</v>
      </c>
      <c r="W124" s="72" t="s">
        <v>44</v>
      </c>
      <c r="X124" s="93" t="s">
        <v>19</v>
      </c>
      <c r="Y124" s="72">
        <v>8</v>
      </c>
      <c r="Z124" s="71">
        <v>45813</v>
      </c>
      <c r="AA124" s="94">
        <f>Таблица310[[#This Row],[Регистратор.Вес нетто]]</f>
        <v>13940</v>
      </c>
      <c r="AB124" s="40" t="s">
        <v>357</v>
      </c>
      <c r="AC124" s="40" t="s">
        <v>419</v>
      </c>
      <c r="AD124" s="40" t="s">
        <v>511</v>
      </c>
      <c r="AE124" s="40">
        <v>220</v>
      </c>
      <c r="AF124" s="103">
        <v>45813</v>
      </c>
      <c r="AG124" s="40" t="s">
        <v>730</v>
      </c>
      <c r="AH124" s="40">
        <f>VLOOKUP(Таблица310[[#This Row],[№ акта]],'Степень зрелости 2025'!$H$13:$I$583,2,FALSE)</f>
        <v>0</v>
      </c>
      <c r="AI124" s="40" t="str">
        <f>VLOOKUP(Таблица310[[#This Row],[№ акта]],$AQ$1:$AT$594,2,FALSE)</f>
        <v>А-57</v>
      </c>
      <c r="AJ124" s="40" t="str">
        <f>Таблица310[[#This Row],[Регистратор.Номенклатура]]</f>
        <v>Оскар</v>
      </c>
      <c r="AK124" s="40" t="str">
        <f>VLOOKUP(Таблица310[[#This Row],[№ акта]],$AQ$1:$AT$594,4,FALSE)</f>
        <v>ГРК (богара)</v>
      </c>
      <c r="AL124" s="45">
        <f>VLOOKUP(Таблица310[[#This Row],[№ акта]],$AQ$1:$AT$594,3,FALSE)</f>
        <v>5.0937880633373931</v>
      </c>
      <c r="AM124" s="40" t="str">
        <f>IF(Таблица310[[#This Row],[Площадь уборки, га]]=Таблица310[[#This Row],[Площадь уборки до корр]],"нет","да")</f>
        <v>да</v>
      </c>
      <c r="AN124" s="45">
        <f>Таблица310[[#This Row],[Площадь уборки до корр]]-Таблица310[[#This Row],[Площадь уборки, га]]</f>
        <v>2.039109802467828</v>
      </c>
      <c r="AQ124">
        <v>220</v>
      </c>
      <c r="AR124" t="s">
        <v>523</v>
      </c>
      <c r="AS124">
        <v>5.0937880633373931</v>
      </c>
      <c r="AT124" t="s">
        <v>46</v>
      </c>
      <c r="XEM124" s="72"/>
      <c r="XEN124" s="73"/>
      <c r="XEO124" s="74"/>
      <c r="XEP124" s="75"/>
      <c r="XEQ124" s="76"/>
      <c r="XER124" s="73"/>
    </row>
    <row r="125" spans="1:46 16367:16374" ht="25.5" hidden="1" customHeight="1" x14ac:dyDescent="0.25">
      <c r="A125" s="72" t="s">
        <v>102</v>
      </c>
      <c r="B125" s="73">
        <v>9550</v>
      </c>
      <c r="C125" s="120">
        <v>58</v>
      </c>
      <c r="D125" s="75">
        <v>221</v>
      </c>
      <c r="E125" s="146">
        <v>45813</v>
      </c>
      <c r="F125" s="73">
        <v>26090</v>
      </c>
      <c r="G125" s="73">
        <v>9550</v>
      </c>
      <c r="H125" s="72">
        <v>16540</v>
      </c>
      <c r="I125" s="73">
        <v>7928.2</v>
      </c>
      <c r="J125" s="72" t="s">
        <v>78</v>
      </c>
      <c r="K125" s="72" t="s">
        <v>524</v>
      </c>
      <c r="L125" s="72" t="s">
        <v>523</v>
      </c>
      <c r="M125" s="35" t="s">
        <v>439</v>
      </c>
      <c r="N125" s="45" t="s">
        <v>678</v>
      </c>
      <c r="O125" s="72" t="s">
        <v>679</v>
      </c>
      <c r="P125" s="72"/>
      <c r="Q125" s="72" t="s">
        <v>680</v>
      </c>
      <c r="R125" s="71" t="s">
        <v>440</v>
      </c>
      <c r="S125" s="40" t="s">
        <v>449</v>
      </c>
      <c r="T125" s="40" t="s">
        <v>523</v>
      </c>
      <c r="U125" s="68" t="str">
        <f>Таблица310[[#This Row],[Регистратор.Номенклатура]]</f>
        <v>Авола</v>
      </c>
      <c r="V125" s="45">
        <f>23.2*Таблица310[[#This Row],[Регистратор.Вес нетто]]/49520</f>
        <v>4.474151857835218</v>
      </c>
      <c r="W125" s="72" t="s">
        <v>46</v>
      </c>
      <c r="X125" s="93" t="s">
        <v>19</v>
      </c>
      <c r="Y125" s="72">
        <v>8</v>
      </c>
      <c r="Z125" s="71">
        <v>45813</v>
      </c>
      <c r="AA125" s="94">
        <f>Таблица310[[#This Row],[Регистратор.Вес нетто]]</f>
        <v>9550</v>
      </c>
      <c r="AB125" s="40" t="s">
        <v>357</v>
      </c>
      <c r="AC125" s="40" t="s">
        <v>724</v>
      </c>
      <c r="AD125" s="40" t="s">
        <v>511</v>
      </c>
      <c r="AE125" s="40">
        <v>221</v>
      </c>
      <c r="AF125" s="103">
        <v>45813</v>
      </c>
      <c r="AG125" s="40" t="s">
        <v>731</v>
      </c>
      <c r="AH125" s="40">
        <f>VLOOKUP(Таблица310[[#This Row],[№ акта]],'Степень зрелости 2025'!$H$13:$I$583,2,FALSE)</f>
        <v>0</v>
      </c>
      <c r="AI125" s="40" t="str">
        <f>VLOOKUP(Таблица310[[#This Row],[№ акта]],$AQ$1:$AT$594,2,FALSE)</f>
        <v>А-57</v>
      </c>
      <c r="AJ125" s="40" t="str">
        <f>Таблица310[[#This Row],[Регистратор.Номенклатура]]</f>
        <v>Авола</v>
      </c>
      <c r="AK125" s="40" t="str">
        <f>VLOOKUP(Таблица310[[#This Row],[№ акта]],$AQ$1:$AT$594,4,FALSE)</f>
        <v>ГРК (богара)</v>
      </c>
      <c r="AL125" s="45">
        <f>VLOOKUP(Таблица310[[#This Row],[№ акта]],$AQ$1:$AT$594,3,FALSE)</f>
        <v>3.4896467722289892</v>
      </c>
      <c r="AM125" s="40" t="str">
        <f>IF(Таблица310[[#This Row],[Площадь уборки, га]]=Таблица310[[#This Row],[Площадь уборки до корр]],"нет","да")</f>
        <v>да</v>
      </c>
      <c r="AN125" s="45">
        <f>Таблица310[[#This Row],[Площадь уборки до корр]]-Таблица310[[#This Row],[Площадь уборки, га]]</f>
        <v>-0.98450508560622874</v>
      </c>
      <c r="AQ125">
        <v>221</v>
      </c>
      <c r="AR125" t="s">
        <v>523</v>
      </c>
      <c r="AS125">
        <v>3.4896467722289892</v>
      </c>
      <c r="AT125" t="s">
        <v>46</v>
      </c>
      <c r="XEM125" s="72"/>
      <c r="XEN125" s="73"/>
      <c r="XEO125" s="74"/>
      <c r="XEP125" s="75"/>
      <c r="XEQ125" s="76"/>
      <c r="XER125" s="73"/>
    </row>
    <row r="126" spans="1:46 16367:16374" ht="25.5" hidden="1" customHeight="1" x14ac:dyDescent="0.25">
      <c r="A126" s="72" t="s">
        <v>102</v>
      </c>
      <c r="B126" s="73">
        <v>14290</v>
      </c>
      <c r="C126" s="120">
        <v>57</v>
      </c>
      <c r="D126" s="75">
        <v>222</v>
      </c>
      <c r="E126" s="146">
        <v>45813</v>
      </c>
      <c r="F126" s="73">
        <v>33080</v>
      </c>
      <c r="G126" s="73">
        <v>14290</v>
      </c>
      <c r="H126" s="72">
        <v>18790</v>
      </c>
      <c r="I126" s="73">
        <v>12725.4</v>
      </c>
      <c r="J126" s="72" t="s">
        <v>78</v>
      </c>
      <c r="K126" s="72" t="s">
        <v>81</v>
      </c>
      <c r="L126" s="72" t="s">
        <v>523</v>
      </c>
      <c r="M126" s="35" t="s">
        <v>442</v>
      </c>
      <c r="N126" s="45" t="s">
        <v>687</v>
      </c>
      <c r="O126" s="72" t="s">
        <v>688</v>
      </c>
      <c r="P126" s="72"/>
      <c r="Q126" s="72" t="s">
        <v>689</v>
      </c>
      <c r="R126" s="71" t="s">
        <v>443</v>
      </c>
      <c r="S126" s="40" t="s">
        <v>459</v>
      </c>
      <c r="T126" s="40" t="s">
        <v>523</v>
      </c>
      <c r="U126" s="68" t="str">
        <f>Таблица310[[#This Row],[Регистратор.Номенклатура]]</f>
        <v>Оскар</v>
      </c>
      <c r="V126" s="45">
        <f>23.2*Таблица310[[#This Row],[Регистратор.Вес нетто]]/49520</f>
        <v>6.6948303715670434</v>
      </c>
      <c r="W126" s="72" t="s">
        <v>46</v>
      </c>
      <c r="X126" s="93" t="s">
        <v>19</v>
      </c>
      <c r="Y126" s="72">
        <v>8</v>
      </c>
      <c r="Z126" s="71">
        <v>45813</v>
      </c>
      <c r="AA126" s="94">
        <f>Таблица310[[#This Row],[Регистратор.Вес нетто]]</f>
        <v>14290</v>
      </c>
      <c r="AB126" s="40" t="s">
        <v>357</v>
      </c>
      <c r="AC126" s="40" t="s">
        <v>724</v>
      </c>
      <c r="AD126" s="40" t="s">
        <v>511</v>
      </c>
      <c r="AE126" s="40">
        <v>222</v>
      </c>
      <c r="AF126" s="103">
        <v>45813</v>
      </c>
      <c r="AG126" s="40" t="s">
        <v>732</v>
      </c>
      <c r="AH126" s="40">
        <f>VLOOKUP(Таблица310[[#This Row],[№ акта]],'Степень зрелости 2025'!$H$13:$I$583,2,FALSE)</f>
        <v>0</v>
      </c>
      <c r="AI126" s="40" t="str">
        <f>VLOOKUP(Таблица310[[#This Row],[№ акта]],$AQ$1:$AT$594,2,FALSE)</f>
        <v>А-57</v>
      </c>
      <c r="AJ126" s="40" t="str">
        <f>Таблица310[[#This Row],[Регистратор.Номенклатура]]</f>
        <v>Оскар</v>
      </c>
      <c r="AK126" s="40" t="str">
        <f>VLOOKUP(Таблица310[[#This Row],[№ акта]],$AQ$1:$AT$594,4,FALSE)</f>
        <v>ГРК (богара)</v>
      </c>
      <c r="AL126" s="45">
        <f>VLOOKUP(Таблица310[[#This Row],[№ акта]],$AQ$1:$AT$594,3,FALSE)</f>
        <v>5.2216808769792937</v>
      </c>
      <c r="AM126" s="40" t="str">
        <f>IF(Таблица310[[#This Row],[Площадь уборки, га]]=Таблица310[[#This Row],[Площадь уборки до корр]],"нет","да")</f>
        <v>да</v>
      </c>
      <c r="AN126" s="45">
        <f>Таблица310[[#This Row],[Площадь уборки до корр]]-Таблица310[[#This Row],[Площадь уборки, га]]</f>
        <v>-1.4731494945877497</v>
      </c>
      <c r="AQ126">
        <v>222</v>
      </c>
      <c r="AR126" t="s">
        <v>523</v>
      </c>
      <c r="AS126">
        <v>5.2216808769792937</v>
      </c>
      <c r="AT126" t="s">
        <v>46</v>
      </c>
      <c r="XEM126" s="72"/>
      <c r="XEN126" s="73"/>
      <c r="XEO126" s="74"/>
      <c r="XEP126" s="75"/>
      <c r="XEQ126" s="76"/>
      <c r="XER126" s="73"/>
    </row>
    <row r="127" spans="1:46 16367:16374" ht="25.5" hidden="1" customHeight="1" x14ac:dyDescent="0.25">
      <c r="A127" s="72" t="s">
        <v>102</v>
      </c>
      <c r="B127" s="73">
        <v>13860</v>
      </c>
      <c r="C127" s="120">
        <v>60</v>
      </c>
      <c r="D127" s="75">
        <v>223</v>
      </c>
      <c r="E127" s="146">
        <v>45813</v>
      </c>
      <c r="F127" s="73">
        <v>31650</v>
      </c>
      <c r="G127" s="73">
        <v>13860</v>
      </c>
      <c r="H127" s="72">
        <v>17790</v>
      </c>
      <c r="I127" s="73">
        <v>11448.4</v>
      </c>
      <c r="J127" s="72" t="s">
        <v>557</v>
      </c>
      <c r="K127" s="72" t="s">
        <v>524</v>
      </c>
      <c r="L127" s="72" t="s">
        <v>523</v>
      </c>
      <c r="M127" s="35" t="s">
        <v>295</v>
      </c>
      <c r="N127" s="45" t="s">
        <v>681</v>
      </c>
      <c r="O127" s="72" t="s">
        <v>682</v>
      </c>
      <c r="P127" s="72"/>
      <c r="Q127" s="72" t="s">
        <v>683</v>
      </c>
      <c r="R127" s="71" t="s">
        <v>299</v>
      </c>
      <c r="S127" s="40" t="s">
        <v>300</v>
      </c>
      <c r="T127" s="40" t="s">
        <v>523</v>
      </c>
      <c r="U127" s="68" t="str">
        <f>Таблица310[[#This Row],[Регистратор.Номенклатура]]</f>
        <v>Авола</v>
      </c>
      <c r="V127" s="45">
        <f>23.2*Таблица310[[#This Row],[Регистратор.Вес нетто]]/49520</f>
        <v>6.4933764135702745</v>
      </c>
      <c r="W127" s="72" t="s">
        <v>46</v>
      </c>
      <c r="X127" s="93" t="s">
        <v>19</v>
      </c>
      <c r="Y127" s="72">
        <v>8</v>
      </c>
      <c r="Z127" s="71">
        <v>45813</v>
      </c>
      <c r="AA127" s="94">
        <f>Таблица310[[#This Row],[Регистратор.Вес нетто]]</f>
        <v>13860</v>
      </c>
      <c r="AB127" s="40" t="s">
        <v>357</v>
      </c>
      <c r="AC127" s="40" t="s">
        <v>724</v>
      </c>
      <c r="AD127" s="40" t="s">
        <v>511</v>
      </c>
      <c r="AE127" s="40">
        <v>223</v>
      </c>
      <c r="AF127" s="103">
        <v>45813</v>
      </c>
      <c r="AG127" s="40" t="s">
        <v>733</v>
      </c>
      <c r="AH127" s="40">
        <f>VLOOKUP(Таблица310[[#This Row],[№ акта]],'Степень зрелости 2025'!$H$13:$I$583,2,FALSE)</f>
        <v>0</v>
      </c>
      <c r="AI127" s="40" t="str">
        <f>VLOOKUP(Таблица310[[#This Row],[№ акта]],$AQ$1:$AT$594,2,FALSE)</f>
        <v>А-57</v>
      </c>
      <c r="AJ127" s="40" t="str">
        <f>Таблица310[[#This Row],[Регистратор.Номенклатура]]</f>
        <v>Авола</v>
      </c>
      <c r="AK127" s="40" t="str">
        <f>VLOOKUP(Таблица310[[#This Row],[№ акта]],$AQ$1:$AT$594,4,FALSE)</f>
        <v>ГРК (богара)</v>
      </c>
      <c r="AL127" s="45">
        <f>VLOOKUP(Таблица310[[#This Row],[№ акта]],$AQ$1:$AT$594,3,FALSE)</f>
        <v>5.0645554202192447</v>
      </c>
      <c r="AM127" s="40" t="str">
        <f>IF(Таблица310[[#This Row],[Площадь уборки, га]]=Таблица310[[#This Row],[Площадь уборки до корр]],"нет","да")</f>
        <v>да</v>
      </c>
      <c r="AN127" s="45">
        <f>Таблица310[[#This Row],[Площадь уборки до корр]]-Таблица310[[#This Row],[Площадь уборки, га]]</f>
        <v>-1.4288209933510299</v>
      </c>
      <c r="AQ127">
        <v>223</v>
      </c>
      <c r="AR127" t="s">
        <v>523</v>
      </c>
      <c r="AS127">
        <v>5.0645554202192447</v>
      </c>
      <c r="AT127" t="s">
        <v>46</v>
      </c>
      <c r="XEM127" s="72"/>
      <c r="XEN127" s="73"/>
      <c r="XEO127" s="74"/>
      <c r="XEP127" s="75"/>
      <c r="XEQ127" s="76"/>
      <c r="XER127" s="73"/>
    </row>
    <row r="128" spans="1:46 16367:16374" ht="25.5" hidden="1" customHeight="1" x14ac:dyDescent="0.25">
      <c r="A128" s="72" t="s">
        <v>102</v>
      </c>
      <c r="B128" s="73">
        <v>11768.7</v>
      </c>
      <c r="C128" s="120">
        <v>53</v>
      </c>
      <c r="D128" s="75">
        <v>224</v>
      </c>
      <c r="E128" s="146">
        <v>45814</v>
      </c>
      <c r="F128" s="73">
        <v>28040</v>
      </c>
      <c r="G128" s="73">
        <v>13450</v>
      </c>
      <c r="H128" s="72">
        <v>14590</v>
      </c>
      <c r="I128" s="73">
        <v>11768.7</v>
      </c>
      <c r="J128" s="72" t="s">
        <v>105</v>
      </c>
      <c r="K128" s="72" t="s">
        <v>21</v>
      </c>
      <c r="L128" s="72" t="s">
        <v>672</v>
      </c>
      <c r="M128" s="35" t="s">
        <v>254</v>
      </c>
      <c r="N128" s="45" t="s">
        <v>708</v>
      </c>
      <c r="O128" s="72" t="s">
        <v>709</v>
      </c>
      <c r="P128" s="72"/>
      <c r="Q128" s="72" t="s">
        <v>710</v>
      </c>
      <c r="R128" s="71" t="s">
        <v>536</v>
      </c>
      <c r="S128" s="40" t="s">
        <v>606</v>
      </c>
      <c r="T128" s="70" t="s">
        <v>365</v>
      </c>
      <c r="U128" s="68" t="str">
        <f>Таблица310[[#This Row],[Регистратор.Номенклатура]]</f>
        <v>Преладо</v>
      </c>
      <c r="V128" s="45">
        <f>40.2*Таблица310[[#This Row],[Регистратор.Вес нетто]]/176990</f>
        <v>3.0549183569693201</v>
      </c>
      <c r="W128" s="72" t="s">
        <v>43</v>
      </c>
      <c r="X128" s="93" t="s">
        <v>19</v>
      </c>
      <c r="Y128" s="72">
        <v>7</v>
      </c>
      <c r="Z128" s="71">
        <v>45813</v>
      </c>
      <c r="AC128" s="40" t="s">
        <v>724</v>
      </c>
      <c r="AD128" s="40" t="s">
        <v>511</v>
      </c>
      <c r="AE128" s="40">
        <v>224</v>
      </c>
      <c r="AF128" s="103">
        <v>45814</v>
      </c>
      <c r="AG128" s="40">
        <v>130758</v>
      </c>
      <c r="AH128" s="40">
        <f>VLOOKUP(Таблица310[[#This Row],[№ акта]],'Степень зрелости 2025'!$H$13:$I$583,2,FALSE)</f>
        <v>53</v>
      </c>
      <c r="AI128" s="40" t="str">
        <f>VLOOKUP(Таблица310[[#This Row],[№ акта]],$AQ$1:$AT$594,2,FALSE)</f>
        <v>1/8.1</v>
      </c>
      <c r="AJ128" s="40" t="str">
        <f>Таблица310[[#This Row],[Регистратор.Номенклатура]]</f>
        <v>Преладо</v>
      </c>
      <c r="AK128" s="40" t="str">
        <f>VLOOKUP(Таблица310[[#This Row],[№ акта]],$AQ$1:$AT$594,4,FALSE)</f>
        <v>Учхоз Кубань (богара)</v>
      </c>
      <c r="AL128" s="45">
        <f>VLOOKUP(Таблица310[[#This Row],[№ акта]],$AQ$1:$AT$594,3,FALSE)</f>
        <v>3.0549183569693201</v>
      </c>
      <c r="AM128" s="40" t="str">
        <f>IF(Таблица310[[#This Row],[Площадь уборки, га]]=Таблица310[[#This Row],[Площадь уборки до корр]],"нет","да")</f>
        <v>нет</v>
      </c>
      <c r="AN128" s="45">
        <f>Таблица310[[#This Row],[Площадь уборки до корр]]-Таблица310[[#This Row],[Площадь уборки, га]]</f>
        <v>0</v>
      </c>
      <c r="AQ128">
        <v>224</v>
      </c>
      <c r="AR128" t="s">
        <v>365</v>
      </c>
      <c r="AS128">
        <v>3.0549183569693201</v>
      </c>
      <c r="AT128" t="s">
        <v>43</v>
      </c>
      <c r="XEM128" s="72"/>
      <c r="XEN128" s="73"/>
      <c r="XEO128" s="74"/>
      <c r="XEP128" s="75"/>
      <c r="XEQ128" s="76"/>
      <c r="XER128" s="73"/>
    </row>
    <row r="129" spans="1:46 16367:16372" ht="25.5" hidden="1" customHeight="1" x14ac:dyDescent="0.25">
      <c r="A129" s="72"/>
      <c r="B129" s="73"/>
      <c r="C129" s="120">
        <f>Таблица310[[#This Row],[Степень зрелости вспом]]</f>
        <v>53</v>
      </c>
      <c r="D129" s="75">
        <v>225</v>
      </c>
      <c r="E129" s="146">
        <v>45814</v>
      </c>
      <c r="F129" s="73">
        <v>28180</v>
      </c>
      <c r="G129" s="73">
        <v>13440</v>
      </c>
      <c r="H129" s="77">
        <v>14740</v>
      </c>
      <c r="I129" s="73">
        <v>11356.8</v>
      </c>
      <c r="J129" s="72" t="s">
        <v>105</v>
      </c>
      <c r="K129" s="72" t="s">
        <v>21</v>
      </c>
      <c r="L129" s="72" t="s">
        <v>672</v>
      </c>
      <c r="M129" s="35" t="s">
        <v>272</v>
      </c>
      <c r="N129" s="40"/>
      <c r="O129" s="72"/>
      <c r="P129" s="72"/>
      <c r="Q129" s="72"/>
      <c r="R129" s="72" t="s">
        <v>276</v>
      </c>
      <c r="S129" s="40"/>
      <c r="T129" s="70" t="s">
        <v>365</v>
      </c>
      <c r="U129" s="68" t="str">
        <f>Таблица310[[#This Row],[Регистратор.Номенклатура]]</f>
        <v>Преладо</v>
      </c>
      <c r="V129" s="45">
        <f>30*Таблица310[[#This Row],[Регистратор.Вес нетто]]/250190</f>
        <v>1.6115752028458372</v>
      </c>
      <c r="W129" s="72" t="s">
        <v>43</v>
      </c>
      <c r="X129" s="72" t="s">
        <v>19</v>
      </c>
      <c r="Y129" s="72">
        <v>8</v>
      </c>
      <c r="Z129" s="71">
        <v>45814</v>
      </c>
      <c r="AA129" s="40"/>
      <c r="AB129" s="40"/>
      <c r="AC129" s="40" t="s">
        <v>724</v>
      </c>
      <c r="AD129" s="40" t="s">
        <v>511</v>
      </c>
      <c r="AE129" s="40">
        <v>225</v>
      </c>
      <c r="AF129" s="103">
        <v>45814</v>
      </c>
      <c r="AG129" s="40">
        <v>130759</v>
      </c>
      <c r="AH129" s="40">
        <f>VLOOKUP(Таблица310[[#This Row],[№ акта]],'Степень зрелости 2025'!$H$13:$I$583,2,FALSE)</f>
        <v>53</v>
      </c>
      <c r="AI129" s="40" t="str">
        <f>VLOOKUP(Таблица310[[#This Row],[№ акта]],$AQ$1:$AT$594,2,FALSE)</f>
        <v>1/8.1</v>
      </c>
      <c r="AJ129" s="40" t="str">
        <f>Таблица310[[#This Row],[Регистратор.Номенклатура]]</f>
        <v>Преладо</v>
      </c>
      <c r="AK129" s="40" t="str">
        <f>VLOOKUP(Таблица310[[#This Row],[№ акта]],$AQ$1:$AT$594,4,FALSE)</f>
        <v>Учхоз Кубань (богара)</v>
      </c>
      <c r="AL129" s="45">
        <f>VLOOKUP(Таблица310[[#This Row],[№ акта]],$AQ$1:$AT$594,3,FALSE)</f>
        <v>1.6115752028458372</v>
      </c>
      <c r="AM129" s="40" t="str">
        <f>IF(Таблица310[[#This Row],[Площадь уборки, га]]=Таблица310[[#This Row],[Площадь уборки до корр]],"нет","да")</f>
        <v>нет</v>
      </c>
      <c r="AN129" s="45">
        <f>Таблица310[[#This Row],[Площадь уборки до корр]]-Таблица310[[#This Row],[Площадь уборки, га]]</f>
        <v>0</v>
      </c>
      <c r="AQ129">
        <v>225</v>
      </c>
      <c r="AR129" t="s">
        <v>365</v>
      </c>
      <c r="AS129">
        <v>1.6115752028458372</v>
      </c>
      <c r="AT129" t="s">
        <v>43</v>
      </c>
      <c r="XEM129" s="72"/>
      <c r="XEN129" s="73"/>
      <c r="XEO129" s="74"/>
      <c r="XEP129" s="75"/>
      <c r="XEQ129" s="76"/>
      <c r="XER129" s="73"/>
    </row>
    <row r="130" spans="1:46 16367:16372" ht="25.5" hidden="1" customHeight="1" x14ac:dyDescent="0.25">
      <c r="A130" s="72"/>
      <c r="B130" s="73"/>
      <c r="C130" s="120">
        <f>Таблица310[[#This Row],[Степень зрелости вспом]]</f>
        <v>54</v>
      </c>
      <c r="D130" s="75">
        <v>226</v>
      </c>
      <c r="E130" s="146">
        <v>45814</v>
      </c>
      <c r="F130" s="73">
        <v>28240</v>
      </c>
      <c r="G130" s="73">
        <v>13420</v>
      </c>
      <c r="H130" s="77">
        <v>14820</v>
      </c>
      <c r="I130" s="73">
        <v>11474.1</v>
      </c>
      <c r="J130" s="72" t="s">
        <v>105</v>
      </c>
      <c r="K130" s="72" t="s">
        <v>21</v>
      </c>
      <c r="L130" s="72" t="s">
        <v>672</v>
      </c>
      <c r="M130" s="35" t="s">
        <v>1253</v>
      </c>
      <c r="N130" s="40"/>
      <c r="O130" s="72"/>
      <c r="P130" s="72"/>
      <c r="Q130" s="72"/>
      <c r="R130" s="72" t="s">
        <v>270</v>
      </c>
      <c r="S130" s="40"/>
      <c r="T130" s="70" t="s">
        <v>365</v>
      </c>
      <c r="U130" s="68" t="str">
        <f>Таблица310[[#This Row],[Регистратор.Номенклатура]]</f>
        <v>Преладо</v>
      </c>
      <c r="V130" s="45">
        <f>30*Таблица310[[#This Row],[Регистратор.Вес нетто]]/250190</f>
        <v>1.6091770254606499</v>
      </c>
      <c r="W130" s="72" t="s">
        <v>43</v>
      </c>
      <c r="X130" s="72" t="s">
        <v>19</v>
      </c>
      <c r="Y130" s="72">
        <v>8</v>
      </c>
      <c r="Z130" s="71">
        <v>45814</v>
      </c>
      <c r="AA130" s="40"/>
      <c r="AB130" s="40"/>
      <c r="AC130" s="40" t="s">
        <v>724</v>
      </c>
      <c r="AD130" s="40" t="s">
        <v>511</v>
      </c>
      <c r="AE130" s="40">
        <v>226</v>
      </c>
      <c r="AF130" s="103">
        <v>45814</v>
      </c>
      <c r="AG130" s="40">
        <v>130760</v>
      </c>
      <c r="AH130" s="40">
        <f>VLOOKUP(Таблица310[[#This Row],[№ акта]],'Степень зрелости 2025'!$H$13:$I$583,2,FALSE)</f>
        <v>54</v>
      </c>
      <c r="AI130" s="40" t="str">
        <f>VLOOKUP(Таблица310[[#This Row],[№ акта]],$AQ$1:$AT$594,2,FALSE)</f>
        <v>1/8.1</v>
      </c>
      <c r="AJ130" s="40" t="str">
        <f>Таблица310[[#This Row],[Регистратор.Номенклатура]]</f>
        <v>Преладо</v>
      </c>
      <c r="AK130" s="40" t="str">
        <f>VLOOKUP(Таблица310[[#This Row],[№ акта]],$AQ$1:$AT$594,4,FALSE)</f>
        <v>Учхоз Кубань (богара)</v>
      </c>
      <c r="AL130" s="45">
        <f>VLOOKUP(Таблица310[[#This Row],[№ акта]],$AQ$1:$AT$594,3,FALSE)</f>
        <v>1.6091770254606499</v>
      </c>
      <c r="AM130" s="40" t="str">
        <f>IF(Таблица310[[#This Row],[Площадь уборки, га]]=Таблица310[[#This Row],[Площадь уборки до корр]],"нет","да")</f>
        <v>нет</v>
      </c>
      <c r="AN130" s="45">
        <f>Таблица310[[#This Row],[Площадь уборки до корр]]-Таблица310[[#This Row],[Площадь уборки, га]]</f>
        <v>0</v>
      </c>
      <c r="AQ130">
        <v>226</v>
      </c>
      <c r="AR130" t="s">
        <v>365</v>
      </c>
      <c r="AS130">
        <v>1.6091770254606499</v>
      </c>
      <c r="AT130" t="s">
        <v>43</v>
      </c>
      <c r="XEM130" s="72"/>
      <c r="XEN130" s="73"/>
      <c r="XEO130" s="74"/>
      <c r="XEP130" s="75"/>
      <c r="XEQ130" s="76"/>
      <c r="XER130" s="73"/>
    </row>
    <row r="131" spans="1:46 16367:16372" ht="25.5" hidden="1" customHeight="1" x14ac:dyDescent="0.25">
      <c r="A131" s="72"/>
      <c r="B131" s="73"/>
      <c r="C131" s="120">
        <f>Таблица310[[#This Row],[Степень зрелости вспом]]</f>
        <v>59</v>
      </c>
      <c r="D131" s="75">
        <v>227</v>
      </c>
      <c r="E131" s="146">
        <v>45814</v>
      </c>
      <c r="F131" s="73">
        <v>9090</v>
      </c>
      <c r="G131" s="73">
        <v>4490</v>
      </c>
      <c r="H131" s="77">
        <v>4600</v>
      </c>
      <c r="I131" s="73">
        <v>3906.3</v>
      </c>
      <c r="J131" s="72" t="s">
        <v>78</v>
      </c>
      <c r="K131" s="72" t="s">
        <v>524</v>
      </c>
      <c r="L131" s="72" t="s">
        <v>523</v>
      </c>
      <c r="M131" s="35" t="s">
        <v>737</v>
      </c>
      <c r="N131" s="40"/>
      <c r="O131" s="72"/>
      <c r="P131" s="72"/>
      <c r="Q131" s="72"/>
      <c r="R131" s="72" t="s">
        <v>738</v>
      </c>
      <c r="S131" s="40"/>
      <c r="T131" s="70" t="s">
        <v>523</v>
      </c>
      <c r="U131" s="68" t="str">
        <f>Таблица310[[#This Row],[Регистратор.Номенклатура]]</f>
        <v>Авола</v>
      </c>
      <c r="V131" s="45">
        <f>14*Таблица310[[#This Row],[Регистратор.Вес нетто]]/64630</f>
        <v>0.97261333745938416</v>
      </c>
      <c r="W131" s="72" t="s">
        <v>46</v>
      </c>
      <c r="X131" s="72" t="s">
        <v>19</v>
      </c>
      <c r="Y131" s="72">
        <v>9</v>
      </c>
      <c r="Z131" s="71">
        <v>45814</v>
      </c>
      <c r="AA131" s="40"/>
      <c r="AB131" s="40"/>
      <c r="AC131" s="40" t="s">
        <v>724</v>
      </c>
      <c r="AD131" s="40" t="s">
        <v>511</v>
      </c>
      <c r="AE131" s="40">
        <v>227</v>
      </c>
      <c r="AF131" s="103">
        <v>45814</v>
      </c>
      <c r="AG131" s="40">
        <v>51</v>
      </c>
      <c r="AH131" s="40">
        <f>VLOOKUP(Таблица310[[#This Row],[№ акта]],'Степень зрелости 2025'!$H$13:$I$583,2,FALSE)</f>
        <v>59</v>
      </c>
      <c r="AI131" s="40" t="str">
        <f>VLOOKUP(Таблица310[[#This Row],[№ акта]],$AQ$1:$AT$594,2,FALSE)</f>
        <v>А-57</v>
      </c>
      <c r="AJ131" s="40" t="str">
        <f>Таблица310[[#This Row],[Регистратор.Номенклатура]]</f>
        <v>Авола</v>
      </c>
      <c r="AK131" s="40" t="str">
        <f>VLOOKUP(Таблица310[[#This Row],[№ акта]],$AQ$1:$AT$594,4,FALSE)</f>
        <v>ГРК (богара)</v>
      </c>
      <c r="AL131" s="45">
        <f>VLOOKUP(Таблица310[[#This Row],[№ акта]],$AQ$1:$AT$594,3,FALSE)</f>
        <v>0.97261333745938416</v>
      </c>
      <c r="AM131" s="40" t="str">
        <f>IF(Таблица310[[#This Row],[Площадь уборки, га]]=Таблица310[[#This Row],[Площадь уборки до корр]],"нет","да")</f>
        <v>нет</v>
      </c>
      <c r="AN131" s="45">
        <f>Таблица310[[#This Row],[Площадь уборки до корр]]-Таблица310[[#This Row],[Площадь уборки, га]]</f>
        <v>0</v>
      </c>
      <c r="AQ131">
        <v>227</v>
      </c>
      <c r="AR131" t="s">
        <v>523</v>
      </c>
      <c r="AS131">
        <v>0.97261333745938416</v>
      </c>
      <c r="AT131" t="s">
        <v>46</v>
      </c>
      <c r="XEM131" s="72"/>
      <c r="XEN131" s="73"/>
      <c r="XEO131" s="74"/>
      <c r="XEP131" s="75"/>
      <c r="XEQ131" s="76"/>
      <c r="XER131" s="73"/>
    </row>
    <row r="132" spans="1:46 16367:16372" ht="25.5" hidden="1" customHeight="1" x14ac:dyDescent="0.25">
      <c r="A132" s="72"/>
      <c r="B132" s="73"/>
      <c r="C132" s="120">
        <f>Таблица310[[#This Row],[Степень зрелости вспом]]</f>
        <v>57</v>
      </c>
      <c r="D132" s="75">
        <v>228</v>
      </c>
      <c r="E132" s="146">
        <v>45814</v>
      </c>
      <c r="F132" s="73">
        <v>28880</v>
      </c>
      <c r="G132" s="73">
        <v>13440</v>
      </c>
      <c r="H132" s="77">
        <v>15440</v>
      </c>
      <c r="I132" s="73">
        <v>10953.6</v>
      </c>
      <c r="J132" s="72" t="s">
        <v>105</v>
      </c>
      <c r="K132" s="72" t="s">
        <v>21</v>
      </c>
      <c r="L132" s="72" t="s">
        <v>672</v>
      </c>
      <c r="M132" s="35" t="s">
        <v>234</v>
      </c>
      <c r="N132" s="40"/>
      <c r="O132" s="72"/>
      <c r="P132" s="72"/>
      <c r="Q132" s="72"/>
      <c r="R132" s="72" t="s">
        <v>238</v>
      </c>
      <c r="S132" s="40"/>
      <c r="T132" s="70" t="s">
        <v>365</v>
      </c>
      <c r="U132" s="68" t="str">
        <f>Таблица310[[#This Row],[Регистратор.Номенклатура]]</f>
        <v>Преладо</v>
      </c>
      <c r="V132" s="45">
        <f>30*Таблица310[[#This Row],[Регистратор.Вес нетто]]/250190</f>
        <v>1.6115752028458372</v>
      </c>
      <c r="W132" s="72" t="s">
        <v>43</v>
      </c>
      <c r="X132" s="72" t="s">
        <v>19</v>
      </c>
      <c r="Y132" s="72">
        <v>8</v>
      </c>
      <c r="Z132" s="71">
        <v>45814</v>
      </c>
      <c r="AA132" s="40"/>
      <c r="AB132" s="40"/>
      <c r="AC132" s="40" t="s">
        <v>724</v>
      </c>
      <c r="AD132" s="40" t="s">
        <v>511</v>
      </c>
      <c r="AE132" s="40">
        <v>228</v>
      </c>
      <c r="AF132" s="103">
        <v>45814</v>
      </c>
      <c r="AG132" s="40">
        <v>130761</v>
      </c>
      <c r="AH132" s="40">
        <f>VLOOKUP(Таблица310[[#This Row],[№ акта]],'Степень зрелости 2025'!$H$13:$I$583,2,FALSE)</f>
        <v>57</v>
      </c>
      <c r="AI132" s="40" t="str">
        <f>VLOOKUP(Таблица310[[#This Row],[№ акта]],$AQ$1:$AT$594,2,FALSE)</f>
        <v>1/8.1</v>
      </c>
      <c r="AJ132" s="40" t="str">
        <f>Таблица310[[#This Row],[Регистратор.Номенклатура]]</f>
        <v>Преладо</v>
      </c>
      <c r="AK132" s="40" t="str">
        <f>VLOOKUP(Таблица310[[#This Row],[№ акта]],$AQ$1:$AT$594,4,FALSE)</f>
        <v>Учхоз Кубань (богара)</v>
      </c>
      <c r="AL132" s="45">
        <f>VLOOKUP(Таблица310[[#This Row],[№ акта]],$AQ$1:$AT$594,3,FALSE)</f>
        <v>1.6115752028458372</v>
      </c>
      <c r="AM132" s="40" t="str">
        <f>IF(Таблица310[[#This Row],[Площадь уборки, га]]=Таблица310[[#This Row],[Площадь уборки до корр]],"нет","да")</f>
        <v>нет</v>
      </c>
      <c r="AN132" s="45">
        <f>Таблица310[[#This Row],[Площадь уборки до корр]]-Таблица310[[#This Row],[Площадь уборки, га]]</f>
        <v>0</v>
      </c>
      <c r="AQ132">
        <v>228</v>
      </c>
      <c r="AR132" t="s">
        <v>365</v>
      </c>
      <c r="AS132">
        <v>1.6115752028458372</v>
      </c>
      <c r="AT132" t="s">
        <v>43</v>
      </c>
      <c r="XEM132" s="72"/>
      <c r="XEN132" s="73"/>
      <c r="XEO132" s="74"/>
      <c r="XEP132" s="75"/>
      <c r="XEQ132" s="76"/>
      <c r="XER132" s="73"/>
    </row>
    <row r="133" spans="1:46 16367:16372" ht="25.5" hidden="1" customHeight="1" x14ac:dyDescent="0.25">
      <c r="A133" s="72"/>
      <c r="B133" s="73"/>
      <c r="C133" s="120">
        <f>Таблица310[[#This Row],[Степень зрелости вспом]]</f>
        <v>54</v>
      </c>
      <c r="D133" s="75">
        <v>229</v>
      </c>
      <c r="E133" s="146">
        <v>45814</v>
      </c>
      <c r="F133" s="73">
        <v>28090</v>
      </c>
      <c r="G133" s="73">
        <v>13300</v>
      </c>
      <c r="H133" s="77">
        <v>14790</v>
      </c>
      <c r="I133" s="73">
        <v>10972.5</v>
      </c>
      <c r="J133" s="72" t="s">
        <v>105</v>
      </c>
      <c r="K133" s="72" t="s">
        <v>21</v>
      </c>
      <c r="L133" s="72" t="s">
        <v>672</v>
      </c>
      <c r="M133" s="35" t="s">
        <v>133</v>
      </c>
      <c r="N133" s="40"/>
      <c r="O133" s="72"/>
      <c r="P133" s="72"/>
      <c r="Q133" s="72"/>
      <c r="R133" s="72" t="s">
        <v>137</v>
      </c>
      <c r="S133" s="40"/>
      <c r="T133" s="70" t="s">
        <v>365</v>
      </c>
      <c r="U133" s="68" t="str">
        <f>Таблица310[[#This Row],[Регистратор.Номенклатура]]</f>
        <v>Преладо</v>
      </c>
      <c r="V133" s="45">
        <f>30*Таблица310[[#This Row],[Регистратор.Вес нетто]]/250190</f>
        <v>1.5947879611495264</v>
      </c>
      <c r="W133" s="72" t="s">
        <v>43</v>
      </c>
      <c r="X133" s="72" t="s">
        <v>19</v>
      </c>
      <c r="Y133" s="40">
        <v>8</v>
      </c>
      <c r="Z133" s="71">
        <v>45814</v>
      </c>
      <c r="AA133" s="40"/>
      <c r="AB133" s="40"/>
      <c r="AC133" s="40" t="s">
        <v>724</v>
      </c>
      <c r="AD133" s="40" t="s">
        <v>511</v>
      </c>
      <c r="AE133" s="40">
        <v>229</v>
      </c>
      <c r="AF133" s="103">
        <v>45814</v>
      </c>
      <c r="AG133" s="40">
        <v>130762</v>
      </c>
      <c r="AH133" s="40">
        <f>VLOOKUP(Таблица310[[#This Row],[№ акта]],'Степень зрелости 2025'!$H$13:$I$583,2,FALSE)</f>
        <v>54</v>
      </c>
      <c r="AI133" s="40" t="str">
        <f>VLOOKUP(Таблица310[[#This Row],[№ акта]],$AQ$1:$AT$594,2,FALSE)</f>
        <v>1/8.1</v>
      </c>
      <c r="AJ133" s="40" t="str">
        <f>Таблица310[[#This Row],[Регистратор.Номенклатура]]</f>
        <v>Преладо</v>
      </c>
      <c r="AK133" s="40" t="str">
        <f>VLOOKUP(Таблица310[[#This Row],[№ акта]],$AQ$1:$AT$594,4,FALSE)</f>
        <v>Учхоз Кубань (богара)</v>
      </c>
      <c r="AL133" s="45">
        <f>VLOOKUP(Таблица310[[#This Row],[№ акта]],$AQ$1:$AT$594,3,FALSE)</f>
        <v>1.5947879611495264</v>
      </c>
      <c r="AM133" s="40" t="str">
        <f>IF(Таблица310[[#This Row],[Площадь уборки, га]]=Таблица310[[#This Row],[Площадь уборки до корр]],"нет","да")</f>
        <v>нет</v>
      </c>
      <c r="AN133" s="45">
        <f>Таблица310[[#This Row],[Площадь уборки до корр]]-Таблица310[[#This Row],[Площадь уборки, га]]</f>
        <v>0</v>
      </c>
      <c r="AQ133">
        <v>229</v>
      </c>
      <c r="AR133" t="s">
        <v>365</v>
      </c>
      <c r="AS133">
        <v>1.5947879611495264</v>
      </c>
      <c r="AT133" t="s">
        <v>43</v>
      </c>
      <c r="XEM133" s="72"/>
      <c r="XEN133" s="73"/>
      <c r="XEO133" s="74"/>
      <c r="XEP133" s="75"/>
      <c r="XEQ133" s="76"/>
      <c r="XER133" s="73"/>
    </row>
    <row r="134" spans="1:46 16367:16372" ht="25.5" hidden="1" customHeight="1" x14ac:dyDescent="0.25">
      <c r="A134" s="72"/>
      <c r="B134" s="73"/>
      <c r="C134" s="120">
        <f>Таблица310[[#This Row],[Степень зрелости вспом]]</f>
        <v>53</v>
      </c>
      <c r="D134" s="75">
        <v>230</v>
      </c>
      <c r="E134" s="146">
        <v>45814</v>
      </c>
      <c r="F134" s="73">
        <v>28290</v>
      </c>
      <c r="G134" s="73">
        <v>13230</v>
      </c>
      <c r="H134" s="77">
        <v>15060</v>
      </c>
      <c r="I134" s="73">
        <v>11840.8</v>
      </c>
      <c r="J134" s="72" t="s">
        <v>105</v>
      </c>
      <c r="K134" s="72" t="s">
        <v>21</v>
      </c>
      <c r="L134" s="72" t="s">
        <v>672</v>
      </c>
      <c r="M134" s="35" t="s">
        <v>249</v>
      </c>
      <c r="N134" s="40"/>
      <c r="O134" s="72"/>
      <c r="P134" s="72"/>
      <c r="Q134" s="72"/>
      <c r="R134" s="72" t="s">
        <v>253</v>
      </c>
      <c r="S134" s="40"/>
      <c r="T134" s="70" t="s">
        <v>365</v>
      </c>
      <c r="U134" s="68" t="str">
        <f>Таблица310[[#This Row],[Регистратор.Номенклатура]]</f>
        <v>Преладо</v>
      </c>
      <c r="V134" s="45">
        <f>30*Таблица310[[#This Row],[Регистратор.Вес нетто]]/250190</f>
        <v>1.5863943403013709</v>
      </c>
      <c r="W134" s="72" t="s">
        <v>43</v>
      </c>
      <c r="X134" s="72" t="s">
        <v>19</v>
      </c>
      <c r="Y134" s="40">
        <v>8</v>
      </c>
      <c r="Z134" s="71">
        <v>45814</v>
      </c>
      <c r="AA134" s="40"/>
      <c r="AB134" s="40"/>
      <c r="AC134" s="40" t="s">
        <v>724</v>
      </c>
      <c r="AD134" s="40" t="s">
        <v>511</v>
      </c>
      <c r="AE134" s="40">
        <v>230</v>
      </c>
      <c r="AF134" s="103">
        <v>45814</v>
      </c>
      <c r="AG134" s="40">
        <v>130763</v>
      </c>
      <c r="AH134" s="40">
        <f>VLOOKUP(Таблица310[[#This Row],[№ акта]],'Степень зрелости 2025'!$H$13:$I$583,2,FALSE)</f>
        <v>53</v>
      </c>
      <c r="AI134" s="40" t="str">
        <f>VLOOKUP(Таблица310[[#This Row],[№ акта]],$AQ$1:$AT$594,2,FALSE)</f>
        <v>1/8.1</v>
      </c>
      <c r="AJ134" s="40" t="str">
        <f>Таблица310[[#This Row],[Регистратор.Номенклатура]]</f>
        <v>Преладо</v>
      </c>
      <c r="AK134" s="40" t="str">
        <f>VLOOKUP(Таблица310[[#This Row],[№ акта]],$AQ$1:$AT$594,4,FALSE)</f>
        <v>Учхоз Кубань (богара)</v>
      </c>
      <c r="AL134" s="45">
        <f>VLOOKUP(Таблица310[[#This Row],[№ акта]],$AQ$1:$AT$594,3,FALSE)</f>
        <v>1.5863943403013709</v>
      </c>
      <c r="AM134" s="40" t="str">
        <f>IF(Таблица310[[#This Row],[Площадь уборки, га]]=Таблица310[[#This Row],[Площадь уборки до корр]],"нет","да")</f>
        <v>нет</v>
      </c>
      <c r="AN134" s="45">
        <f>Таблица310[[#This Row],[Площадь уборки до корр]]-Таблица310[[#This Row],[Площадь уборки, га]]</f>
        <v>0</v>
      </c>
      <c r="AQ134">
        <v>230</v>
      </c>
      <c r="AR134" t="s">
        <v>365</v>
      </c>
      <c r="AS134">
        <v>1.5863943403013709</v>
      </c>
      <c r="AT134" t="s">
        <v>43</v>
      </c>
      <c r="XEM134" s="72"/>
      <c r="XEN134" s="73"/>
      <c r="XEO134" s="74"/>
      <c r="XEP134" s="75"/>
      <c r="XEQ134" s="76"/>
      <c r="XER134" s="73"/>
    </row>
    <row r="135" spans="1:46 16367:16372" ht="25.5" hidden="1" customHeight="1" x14ac:dyDescent="0.25">
      <c r="A135" s="72"/>
      <c r="B135" s="73"/>
      <c r="C135" s="120">
        <f>Таблица310[[#This Row],[Степень зрелости вспом]]</f>
        <v>63</v>
      </c>
      <c r="D135" s="75">
        <v>231</v>
      </c>
      <c r="E135" s="146">
        <v>45814</v>
      </c>
      <c r="F135" s="73">
        <v>14210</v>
      </c>
      <c r="G135" s="73">
        <v>4490</v>
      </c>
      <c r="H135" s="77">
        <v>9720</v>
      </c>
      <c r="I135" s="73">
        <v>4018.5</v>
      </c>
      <c r="J135" s="72" t="s">
        <v>78</v>
      </c>
      <c r="K135" s="72" t="s">
        <v>524</v>
      </c>
      <c r="L135" s="72" t="s">
        <v>523</v>
      </c>
      <c r="M135" s="35" t="s">
        <v>127</v>
      </c>
      <c r="N135" s="40"/>
      <c r="O135" s="72"/>
      <c r="P135" s="72"/>
      <c r="Q135" s="72"/>
      <c r="R135" s="72" t="s">
        <v>131</v>
      </c>
      <c r="S135" s="40"/>
      <c r="T135" s="70" t="s">
        <v>523</v>
      </c>
      <c r="U135" s="68" t="str">
        <f>Таблица310[[#This Row],[Регистратор.Номенклатура]]</f>
        <v>Авола</v>
      </c>
      <c r="V135" s="45">
        <f>14*Таблица310[[#This Row],[Регистратор.Вес нетто]]/64630</f>
        <v>0.97261333745938416</v>
      </c>
      <c r="W135" s="72" t="s">
        <v>46</v>
      </c>
      <c r="X135" s="72" t="s">
        <v>19</v>
      </c>
      <c r="Y135" s="40">
        <v>9</v>
      </c>
      <c r="Z135" s="71">
        <v>45814</v>
      </c>
      <c r="AA135" s="40"/>
      <c r="AB135" s="40"/>
      <c r="AC135" s="40" t="s">
        <v>724</v>
      </c>
      <c r="AD135" s="40" t="s">
        <v>511</v>
      </c>
      <c r="AE135" s="40">
        <v>231</v>
      </c>
      <c r="AF135" s="103">
        <v>45814</v>
      </c>
      <c r="AG135" s="40">
        <v>52</v>
      </c>
      <c r="AH135" s="40">
        <f>VLOOKUP(Таблица310[[#This Row],[№ акта]],'Степень зрелости 2025'!$H$13:$I$583,2,FALSE)</f>
        <v>63</v>
      </c>
      <c r="AI135" s="40" t="str">
        <f>VLOOKUP(Таблица310[[#This Row],[№ акта]],$AQ$1:$AT$594,2,FALSE)</f>
        <v>А-57</v>
      </c>
      <c r="AJ135" s="40" t="str">
        <f>Таблица310[[#This Row],[Регистратор.Номенклатура]]</f>
        <v>Авола</v>
      </c>
      <c r="AK135" s="40" t="str">
        <f>VLOOKUP(Таблица310[[#This Row],[№ акта]],$AQ$1:$AT$594,4,FALSE)</f>
        <v>ГРК (богара)</v>
      </c>
      <c r="AL135" s="45">
        <f>VLOOKUP(Таблица310[[#This Row],[№ акта]],$AQ$1:$AT$594,3,FALSE)</f>
        <v>0.97261333745938416</v>
      </c>
      <c r="AM135" s="40" t="str">
        <f>IF(Таблица310[[#This Row],[Площадь уборки, га]]=Таблица310[[#This Row],[Площадь уборки до корр]],"нет","да")</f>
        <v>нет</v>
      </c>
      <c r="AN135" s="45">
        <f>Таблица310[[#This Row],[Площадь уборки до корр]]-Таблица310[[#This Row],[Площадь уборки, га]]</f>
        <v>0</v>
      </c>
      <c r="AQ135">
        <v>231</v>
      </c>
      <c r="AR135" t="s">
        <v>523</v>
      </c>
      <c r="AS135">
        <v>0.97261333745938416</v>
      </c>
      <c r="AT135" t="s">
        <v>46</v>
      </c>
      <c r="XEM135" s="72"/>
      <c r="XEN135" s="73"/>
      <c r="XEO135" s="74"/>
      <c r="XEP135" s="75"/>
      <c r="XEQ135" s="76"/>
      <c r="XER135" s="73"/>
    </row>
    <row r="136" spans="1:46 16367:16372" ht="25.5" hidden="1" customHeight="1" x14ac:dyDescent="0.25">
      <c r="A136" s="72"/>
      <c r="B136" s="73"/>
      <c r="C136" s="120">
        <f>Таблица310[[#This Row],[Степень зрелости вспом]]</f>
        <v>56</v>
      </c>
      <c r="D136" s="75">
        <v>232</v>
      </c>
      <c r="E136" s="146">
        <v>45814</v>
      </c>
      <c r="F136" s="73">
        <v>29310</v>
      </c>
      <c r="G136" s="73">
        <v>13670</v>
      </c>
      <c r="H136" s="77">
        <v>15640</v>
      </c>
      <c r="I136" s="73">
        <v>10936</v>
      </c>
      <c r="J136" s="72" t="s">
        <v>105</v>
      </c>
      <c r="K136" s="72" t="s">
        <v>21</v>
      </c>
      <c r="L136" s="72" t="s">
        <v>672</v>
      </c>
      <c r="M136" s="35" t="s">
        <v>1151</v>
      </c>
      <c r="N136" s="40"/>
      <c r="O136" s="72"/>
      <c r="P136" s="72"/>
      <c r="Q136" s="72"/>
      <c r="R136" s="72" t="s">
        <v>145</v>
      </c>
      <c r="S136" s="40"/>
      <c r="T136" s="70" t="s">
        <v>365</v>
      </c>
      <c r="U136" s="68" t="str">
        <f>Таблица310[[#This Row],[Регистратор.Номенклатура]]</f>
        <v>Преладо</v>
      </c>
      <c r="V136" s="45">
        <f>30*Таблица310[[#This Row],[Регистратор.Вес нетто]]/250190</f>
        <v>1.6391542427754906</v>
      </c>
      <c r="W136" s="72" t="s">
        <v>43</v>
      </c>
      <c r="X136" s="72" t="s">
        <v>19</v>
      </c>
      <c r="Y136" s="40">
        <v>8</v>
      </c>
      <c r="Z136" s="71">
        <v>45814</v>
      </c>
      <c r="AA136" s="40"/>
      <c r="AB136" s="40"/>
      <c r="AC136" s="40" t="s">
        <v>724</v>
      </c>
      <c r="AD136" s="40" t="s">
        <v>511</v>
      </c>
      <c r="AE136" s="40">
        <v>232</v>
      </c>
      <c r="AF136" s="103">
        <v>45814</v>
      </c>
      <c r="AG136" s="40">
        <v>130764</v>
      </c>
      <c r="AH136" s="40">
        <f>VLOOKUP(Таблица310[[#This Row],[№ акта]],'Степень зрелости 2025'!$H$13:$I$583,2,FALSE)</f>
        <v>56</v>
      </c>
      <c r="AI136" s="40" t="str">
        <f>VLOOKUP(Таблица310[[#This Row],[№ акта]],$AQ$1:$AT$594,2,FALSE)</f>
        <v>1/8.1</v>
      </c>
      <c r="AJ136" s="40" t="str">
        <f>Таблица310[[#This Row],[Регистратор.Номенклатура]]</f>
        <v>Преладо</v>
      </c>
      <c r="AK136" s="40" t="str">
        <f>VLOOKUP(Таблица310[[#This Row],[№ акта]],$AQ$1:$AT$594,4,FALSE)</f>
        <v>Учхоз Кубань (богара)</v>
      </c>
      <c r="AL136" s="45">
        <f>VLOOKUP(Таблица310[[#This Row],[№ акта]],$AQ$1:$AT$594,3,FALSE)</f>
        <v>1.6391542427754906</v>
      </c>
      <c r="AM136" s="40" t="str">
        <f>IF(Таблица310[[#This Row],[Площадь уборки, га]]=Таблица310[[#This Row],[Площадь уборки до корр]],"нет","да")</f>
        <v>нет</v>
      </c>
      <c r="AN136" s="45">
        <f>Таблица310[[#This Row],[Площадь уборки до корр]]-Таблица310[[#This Row],[Площадь уборки, га]]</f>
        <v>0</v>
      </c>
      <c r="AQ136">
        <v>232</v>
      </c>
      <c r="AR136" t="s">
        <v>365</v>
      </c>
      <c r="AS136">
        <v>1.6391542427754906</v>
      </c>
      <c r="AT136" t="s">
        <v>43</v>
      </c>
      <c r="XEM136" s="72"/>
      <c r="XEN136" s="73"/>
      <c r="XEO136" s="74"/>
      <c r="XEP136" s="75"/>
      <c r="XEQ136" s="76"/>
      <c r="XER136" s="73"/>
    </row>
    <row r="137" spans="1:46 16367:16372" ht="25.5" hidden="1" customHeight="1" x14ac:dyDescent="0.25">
      <c r="A137" s="72"/>
      <c r="B137" s="73"/>
      <c r="C137" s="120">
        <f>Таблица310[[#This Row],[Степень зрелости вспом]]</f>
        <v>55</v>
      </c>
      <c r="D137" s="75">
        <v>233</v>
      </c>
      <c r="E137" s="146">
        <v>45814</v>
      </c>
      <c r="F137" s="73">
        <v>28580</v>
      </c>
      <c r="G137" s="73">
        <v>13670</v>
      </c>
      <c r="H137" s="77">
        <v>14910</v>
      </c>
      <c r="I137" s="73">
        <v>11004.3</v>
      </c>
      <c r="J137" s="72" t="s">
        <v>105</v>
      </c>
      <c r="K137" s="72" t="s">
        <v>21</v>
      </c>
      <c r="L137" s="72" t="s">
        <v>672</v>
      </c>
      <c r="M137" s="35" t="s">
        <v>1461</v>
      </c>
      <c r="N137" s="40"/>
      <c r="O137" s="72"/>
      <c r="P137" s="72"/>
      <c r="Q137" s="72"/>
      <c r="R137" s="72" t="s">
        <v>149</v>
      </c>
      <c r="S137" s="40"/>
      <c r="T137" s="70" t="s">
        <v>365</v>
      </c>
      <c r="U137" s="68" t="str">
        <f>Таблица310[[#This Row],[Регистратор.Номенклатура]]</f>
        <v>Преладо</v>
      </c>
      <c r="V137" s="45">
        <f>30*Таблица310[[#This Row],[Регистратор.Вес нетто]]/250190</f>
        <v>1.6391542427754906</v>
      </c>
      <c r="W137" s="72" t="s">
        <v>43</v>
      </c>
      <c r="X137" s="72" t="s">
        <v>19</v>
      </c>
      <c r="Y137" s="40">
        <v>8</v>
      </c>
      <c r="Z137" s="71">
        <v>45814</v>
      </c>
      <c r="AA137" s="40"/>
      <c r="AB137" s="40"/>
      <c r="AC137" s="40" t="s">
        <v>724</v>
      </c>
      <c r="AD137" s="40" t="s">
        <v>511</v>
      </c>
      <c r="AE137" s="40">
        <v>233</v>
      </c>
      <c r="AF137" s="103">
        <v>45814</v>
      </c>
      <c r="AG137" s="40">
        <v>130765</v>
      </c>
      <c r="AH137" s="40">
        <f>VLOOKUP(Таблица310[[#This Row],[№ акта]],'Степень зрелости 2025'!$H$13:$I$583,2,FALSE)</f>
        <v>55</v>
      </c>
      <c r="AI137" s="40" t="str">
        <f>VLOOKUP(Таблица310[[#This Row],[№ акта]],$AQ$1:$AT$594,2,FALSE)</f>
        <v>1/8.1</v>
      </c>
      <c r="AJ137" s="40" t="str">
        <f>Таблица310[[#This Row],[Регистратор.Номенклатура]]</f>
        <v>Преладо</v>
      </c>
      <c r="AK137" s="40" t="str">
        <f>VLOOKUP(Таблица310[[#This Row],[№ акта]],$AQ$1:$AT$594,4,FALSE)</f>
        <v>Учхоз Кубань (богара)</v>
      </c>
      <c r="AL137" s="45">
        <f>VLOOKUP(Таблица310[[#This Row],[№ акта]],$AQ$1:$AT$594,3,FALSE)</f>
        <v>1.6391542427754906</v>
      </c>
      <c r="AM137" s="40" t="str">
        <f>IF(Таблица310[[#This Row],[Площадь уборки, га]]=Таблица310[[#This Row],[Площадь уборки до корр]],"нет","да")</f>
        <v>нет</v>
      </c>
      <c r="AN137" s="45">
        <f>Таблица310[[#This Row],[Площадь уборки до корр]]-Таблица310[[#This Row],[Площадь уборки, га]]</f>
        <v>0</v>
      </c>
      <c r="AQ137">
        <v>233</v>
      </c>
      <c r="AR137" t="s">
        <v>365</v>
      </c>
      <c r="AS137">
        <v>1.6391542427754906</v>
      </c>
      <c r="AT137" t="s">
        <v>43</v>
      </c>
      <c r="XEM137" s="72"/>
      <c r="XEN137" s="73"/>
      <c r="XEO137" s="74"/>
      <c r="XEP137" s="75"/>
      <c r="XEQ137" s="76"/>
      <c r="XER137" s="73"/>
    </row>
    <row r="138" spans="1:46 16367:16372" ht="25.5" hidden="1" customHeight="1" x14ac:dyDescent="0.25">
      <c r="A138" s="72"/>
      <c r="B138" s="73"/>
      <c r="C138" s="120">
        <f>Таблица310[[#This Row],[Степень зрелости вспом]]</f>
        <v>63</v>
      </c>
      <c r="D138" s="75">
        <v>234</v>
      </c>
      <c r="E138" s="146">
        <v>45814</v>
      </c>
      <c r="F138" s="73">
        <v>6920</v>
      </c>
      <c r="G138" s="73">
        <v>2320</v>
      </c>
      <c r="H138" s="77">
        <v>4600</v>
      </c>
      <c r="I138" s="73">
        <v>2030</v>
      </c>
      <c r="J138" s="72" t="s">
        <v>78</v>
      </c>
      <c r="K138" s="72" t="s">
        <v>747</v>
      </c>
      <c r="L138" s="72" t="s">
        <v>746</v>
      </c>
      <c r="M138" s="35" t="s">
        <v>737</v>
      </c>
      <c r="N138" s="40"/>
      <c r="O138" s="72"/>
      <c r="P138" s="72"/>
      <c r="Q138" s="72"/>
      <c r="R138" s="72" t="s">
        <v>738</v>
      </c>
      <c r="S138" s="40"/>
      <c r="T138" s="70" t="s">
        <v>746</v>
      </c>
      <c r="U138" s="68" t="str">
        <f>Таблица310[[#This Row],[Регистратор.Номенклатура]]</f>
        <v>Увертюра</v>
      </c>
      <c r="V138" s="45">
        <v>0.1</v>
      </c>
      <c r="W138" s="72" t="s">
        <v>46</v>
      </c>
      <c r="X138" s="72" t="s">
        <v>19</v>
      </c>
      <c r="Y138" s="40">
        <v>9</v>
      </c>
      <c r="Z138" s="71">
        <v>45814</v>
      </c>
      <c r="AA138" s="40"/>
      <c r="AB138" s="40" t="s">
        <v>1624</v>
      </c>
      <c r="AC138" s="40" t="s">
        <v>724</v>
      </c>
      <c r="AD138" s="40" t="s">
        <v>511</v>
      </c>
      <c r="AE138" s="40">
        <v>234</v>
      </c>
      <c r="AF138" s="103">
        <v>45814</v>
      </c>
      <c r="AG138" s="40">
        <v>53</v>
      </c>
      <c r="AH138" s="40">
        <f>VLOOKUP(Таблица310[[#This Row],[№ акта]],'Степень зрелости 2025'!$H$13:$I$583,2,FALSE)</f>
        <v>63</v>
      </c>
      <c r="AI138" s="40" t="str">
        <f>VLOOKUP(Таблица310[[#This Row],[№ акта]],$AQ$1:$AT$594,2,FALSE)</f>
        <v>А-87</v>
      </c>
      <c r="AJ138" s="40" t="str">
        <f>Таблица310[[#This Row],[Регистратор.Номенклатура]]</f>
        <v>Увертюра</v>
      </c>
      <c r="AK138" s="40" t="str">
        <f>VLOOKUP(Таблица310[[#This Row],[№ акта]],$AQ$1:$AT$594,4,FALSE)</f>
        <v>ГРК (богара)</v>
      </c>
      <c r="AL138" s="45">
        <f>VLOOKUP(Таблица310[[#This Row],[№ акта]],$AQ$1:$AT$594,3,FALSE)</f>
        <v>3.1</v>
      </c>
      <c r="AM138" s="40" t="str">
        <f>IF(Таблица310[[#This Row],[Площадь уборки, га]]=Таблица310[[#This Row],[Площадь уборки до корр]],"нет","да")</f>
        <v>да</v>
      </c>
      <c r="AN138" s="45">
        <f>Таблица310[[#This Row],[Площадь уборки до корр]]-Таблица310[[#This Row],[Площадь уборки, га]]</f>
        <v>3</v>
      </c>
      <c r="AQ138">
        <v>234</v>
      </c>
      <c r="AR138" t="s">
        <v>746</v>
      </c>
      <c r="AS138">
        <v>3.1</v>
      </c>
      <c r="AT138" t="s">
        <v>46</v>
      </c>
      <c r="XEM138" s="72"/>
      <c r="XEN138" s="73"/>
      <c r="XEO138" s="74"/>
      <c r="XEP138" s="75"/>
      <c r="XEQ138" s="76"/>
      <c r="XER138" s="73"/>
    </row>
    <row r="139" spans="1:46 16367:16372" ht="25.5" hidden="1" customHeight="1" x14ac:dyDescent="0.25">
      <c r="A139" s="72"/>
      <c r="B139" s="73"/>
      <c r="C139" s="120">
        <f>Таблица310[[#This Row],[Степень зрелости вспом]]</f>
        <v>59</v>
      </c>
      <c r="D139" s="75">
        <v>235</v>
      </c>
      <c r="E139" s="146">
        <v>45814</v>
      </c>
      <c r="F139" s="73">
        <v>28770</v>
      </c>
      <c r="G139" s="73">
        <v>13840</v>
      </c>
      <c r="H139" s="77">
        <v>14930</v>
      </c>
      <c r="I139" s="73">
        <v>11556.4</v>
      </c>
      <c r="J139" s="72" t="s">
        <v>105</v>
      </c>
      <c r="K139" s="72" t="s">
        <v>21</v>
      </c>
      <c r="L139" s="72" t="s">
        <v>672</v>
      </c>
      <c r="M139" s="35" t="s">
        <v>329</v>
      </c>
      <c r="N139" s="40"/>
      <c r="O139" s="72"/>
      <c r="P139" s="72"/>
      <c r="Q139" s="72"/>
      <c r="R139" s="72" t="s">
        <v>333</v>
      </c>
      <c r="S139" s="40"/>
      <c r="T139" s="70" t="s">
        <v>365</v>
      </c>
      <c r="U139" s="68" t="str">
        <f>Таблица310[[#This Row],[Регистратор.Номенклатура]]</f>
        <v>Преладо</v>
      </c>
      <c r="V139" s="45">
        <f>30*Таблица310[[#This Row],[Регистратор.Вес нетто]]/250190</f>
        <v>1.6595387505495822</v>
      </c>
      <c r="W139" s="72" t="s">
        <v>43</v>
      </c>
      <c r="X139" s="72" t="s">
        <v>19</v>
      </c>
      <c r="Y139" s="40">
        <v>8</v>
      </c>
      <c r="Z139" s="71">
        <v>45814</v>
      </c>
      <c r="AA139" s="40"/>
      <c r="AB139" s="40"/>
      <c r="AC139" s="40" t="s">
        <v>724</v>
      </c>
      <c r="AD139" s="40" t="s">
        <v>511</v>
      </c>
      <c r="AE139" s="40">
        <v>235</v>
      </c>
      <c r="AF139" s="103">
        <v>45814</v>
      </c>
      <c r="AG139" s="40">
        <v>130767</v>
      </c>
      <c r="AH139" s="40">
        <f>VLOOKUP(Таблица310[[#This Row],[№ акта]],'Степень зрелости 2025'!$H$13:$I$583,2,FALSE)</f>
        <v>59</v>
      </c>
      <c r="AI139" s="40" t="str">
        <f>VLOOKUP(Таблица310[[#This Row],[№ акта]],$AQ$1:$AT$594,2,FALSE)</f>
        <v>1/8.1</v>
      </c>
      <c r="AJ139" s="40" t="str">
        <f>Таблица310[[#This Row],[Регистратор.Номенклатура]]</f>
        <v>Преладо</v>
      </c>
      <c r="AK139" s="40" t="str">
        <f>VLOOKUP(Таблица310[[#This Row],[№ акта]],$AQ$1:$AT$594,4,FALSE)</f>
        <v>Учхоз Кубань (богара)</v>
      </c>
      <c r="AL139" s="45">
        <f>VLOOKUP(Таблица310[[#This Row],[№ акта]],$AQ$1:$AT$594,3,FALSE)</f>
        <v>1.6595387505495822</v>
      </c>
      <c r="AM139" s="40" t="str">
        <f>IF(Таблица310[[#This Row],[Площадь уборки, га]]=Таблица310[[#This Row],[Площадь уборки до корр]],"нет","да")</f>
        <v>нет</v>
      </c>
      <c r="AN139" s="45">
        <f>Таблица310[[#This Row],[Площадь уборки до корр]]-Таблица310[[#This Row],[Площадь уборки, га]]</f>
        <v>0</v>
      </c>
      <c r="AQ139">
        <v>235</v>
      </c>
      <c r="AR139" t="s">
        <v>365</v>
      </c>
      <c r="AS139">
        <v>1.6595387505495822</v>
      </c>
      <c r="AT139" t="s">
        <v>43</v>
      </c>
      <c r="XEM139" s="72"/>
      <c r="XEN139" s="73"/>
      <c r="XEO139" s="74"/>
      <c r="XEP139" s="75"/>
      <c r="XEQ139" s="76"/>
      <c r="XER139" s="73"/>
    </row>
    <row r="140" spans="1:46 16367:16372" ht="25.5" hidden="1" customHeight="1" x14ac:dyDescent="0.25">
      <c r="A140" s="72"/>
      <c r="B140" s="73"/>
      <c r="C140" s="120">
        <f>Таблица310[[#This Row],[Степень зрелости вспом]]</f>
        <v>56</v>
      </c>
      <c r="D140" s="75">
        <v>236</v>
      </c>
      <c r="E140" s="146">
        <v>45814</v>
      </c>
      <c r="F140" s="73">
        <v>28260</v>
      </c>
      <c r="G140" s="73">
        <v>13630</v>
      </c>
      <c r="H140" s="77">
        <v>14630</v>
      </c>
      <c r="I140" s="73">
        <v>11244.7</v>
      </c>
      <c r="J140" s="72" t="s">
        <v>105</v>
      </c>
      <c r="K140" s="72" t="s">
        <v>21</v>
      </c>
      <c r="L140" s="72" t="s">
        <v>672</v>
      </c>
      <c r="M140" s="35" t="s">
        <v>166</v>
      </c>
      <c r="N140" s="40"/>
      <c r="O140" s="72"/>
      <c r="P140" s="72"/>
      <c r="Q140" s="72"/>
      <c r="R140" s="72" t="s">
        <v>170</v>
      </c>
      <c r="S140" s="40"/>
      <c r="T140" s="70" t="s">
        <v>365</v>
      </c>
      <c r="U140" s="68" t="str">
        <f>Таблица310[[#This Row],[Регистратор.Номенклатура]]</f>
        <v>Преладо</v>
      </c>
      <c r="V140" s="45">
        <f>30*Таблица310[[#This Row],[Регистратор.Вес нетто]]/250190</f>
        <v>1.6343578880051162</v>
      </c>
      <c r="W140" s="72" t="s">
        <v>43</v>
      </c>
      <c r="X140" s="72" t="s">
        <v>19</v>
      </c>
      <c r="Y140" s="40">
        <v>8</v>
      </c>
      <c r="Z140" s="71">
        <v>45814</v>
      </c>
      <c r="AA140" s="40"/>
      <c r="AB140" s="40"/>
      <c r="AC140" s="40" t="s">
        <v>724</v>
      </c>
      <c r="AD140" s="40" t="s">
        <v>511</v>
      </c>
      <c r="AE140" s="40">
        <v>236</v>
      </c>
      <c r="AF140" s="103">
        <v>45814</v>
      </c>
      <c r="AG140" s="40">
        <v>130766</v>
      </c>
      <c r="AH140" s="40">
        <f>VLOOKUP(Таблица310[[#This Row],[№ акта]],'Степень зрелости 2025'!$H$13:$I$583,2,FALSE)</f>
        <v>56</v>
      </c>
      <c r="AI140" s="40" t="str">
        <f>VLOOKUP(Таблица310[[#This Row],[№ акта]],$AQ$1:$AT$594,2,FALSE)</f>
        <v>1/8.1</v>
      </c>
      <c r="AJ140" s="40" t="str">
        <f>Таблица310[[#This Row],[Регистратор.Номенклатура]]</f>
        <v>Преладо</v>
      </c>
      <c r="AK140" s="40" t="str">
        <f>VLOOKUP(Таблица310[[#This Row],[№ акта]],$AQ$1:$AT$594,4,FALSE)</f>
        <v>Учхоз Кубань (богара)</v>
      </c>
      <c r="AL140" s="45">
        <f>VLOOKUP(Таблица310[[#This Row],[№ акта]],$AQ$1:$AT$594,3,FALSE)</f>
        <v>1.6343578880051162</v>
      </c>
      <c r="AM140" s="40" t="str">
        <f>IF(Таблица310[[#This Row],[Площадь уборки, га]]=Таблица310[[#This Row],[Площадь уборки до корр]],"нет","да")</f>
        <v>нет</v>
      </c>
      <c r="AN140" s="45">
        <f>Таблица310[[#This Row],[Площадь уборки до корр]]-Таблица310[[#This Row],[Площадь уборки, га]]</f>
        <v>0</v>
      </c>
      <c r="AQ140">
        <v>236</v>
      </c>
      <c r="AR140" t="s">
        <v>365</v>
      </c>
      <c r="AS140">
        <v>1.6343578880051162</v>
      </c>
      <c r="AT140" t="s">
        <v>43</v>
      </c>
      <c r="XEM140" s="72"/>
      <c r="XEN140" s="73"/>
      <c r="XEO140" s="74"/>
      <c r="XEP140" s="75"/>
      <c r="XEQ140" s="76"/>
      <c r="XER140" s="73"/>
    </row>
    <row r="141" spans="1:46 16367:16372" ht="25.5" hidden="1" customHeight="1" x14ac:dyDescent="0.25">
      <c r="A141" s="72"/>
      <c r="B141" s="73"/>
      <c r="C141" s="120">
        <f>Таблица310[[#This Row],[Степень зрелости вспом]]</f>
        <v>59</v>
      </c>
      <c r="D141" s="75">
        <v>237</v>
      </c>
      <c r="E141" s="146">
        <v>45814</v>
      </c>
      <c r="F141" s="73">
        <v>29270</v>
      </c>
      <c r="G141" s="73">
        <v>13910</v>
      </c>
      <c r="H141" s="77">
        <v>15360</v>
      </c>
      <c r="I141" s="73">
        <v>11336.6</v>
      </c>
      <c r="J141" s="72" t="s">
        <v>105</v>
      </c>
      <c r="K141" s="72" t="s">
        <v>21</v>
      </c>
      <c r="L141" s="72" t="s">
        <v>672</v>
      </c>
      <c r="M141" s="35" t="s">
        <v>111</v>
      </c>
      <c r="N141" s="40"/>
      <c r="O141" s="72"/>
      <c r="P141" s="72"/>
      <c r="Q141" s="72"/>
      <c r="R141" s="72" t="s">
        <v>114</v>
      </c>
      <c r="S141" s="40"/>
      <c r="T141" s="70" t="s">
        <v>365</v>
      </c>
      <c r="U141" s="68" t="str">
        <f>Таблица310[[#This Row],[Регистратор.Номенклатура]]</f>
        <v>Преладо</v>
      </c>
      <c r="V141" s="45">
        <f>30*Таблица310[[#This Row],[Регистратор.Вес нетто]]/250190</f>
        <v>1.6679323713977376</v>
      </c>
      <c r="W141" s="72" t="s">
        <v>43</v>
      </c>
      <c r="X141" s="72" t="s">
        <v>19</v>
      </c>
      <c r="Y141" s="40">
        <v>8</v>
      </c>
      <c r="Z141" s="71">
        <v>45814</v>
      </c>
      <c r="AA141" s="40"/>
      <c r="AB141" s="40"/>
      <c r="AC141" s="40" t="s">
        <v>724</v>
      </c>
      <c r="AD141" s="40" t="s">
        <v>511</v>
      </c>
      <c r="AE141" s="40">
        <v>237</v>
      </c>
      <c r="AF141" s="103">
        <v>45814</v>
      </c>
      <c r="AG141" s="40">
        <v>130768</v>
      </c>
      <c r="AH141" s="40">
        <f>VLOOKUP(Таблица310[[#This Row],[№ акта]],'Степень зрелости 2025'!$H$13:$I$583,2,FALSE)</f>
        <v>59</v>
      </c>
      <c r="AI141" s="40" t="str">
        <f>VLOOKUP(Таблица310[[#This Row],[№ акта]],$AQ$1:$AT$594,2,FALSE)</f>
        <v>1/8.1</v>
      </c>
      <c r="AJ141" s="40" t="str">
        <f>Таблица310[[#This Row],[Регистратор.Номенклатура]]</f>
        <v>Преладо</v>
      </c>
      <c r="AK141" s="40" t="str">
        <f>VLOOKUP(Таблица310[[#This Row],[№ акта]],$AQ$1:$AT$594,4,FALSE)</f>
        <v>Учхоз Кубань (богара)</v>
      </c>
      <c r="AL141" s="45">
        <f>VLOOKUP(Таблица310[[#This Row],[№ акта]],$AQ$1:$AT$594,3,FALSE)</f>
        <v>1.6679323713977376</v>
      </c>
      <c r="AM141" s="40" t="str">
        <f>IF(Таблица310[[#This Row],[Площадь уборки, га]]=Таблица310[[#This Row],[Площадь уборки до корр]],"нет","да")</f>
        <v>нет</v>
      </c>
      <c r="AN141" s="45">
        <f>Таблица310[[#This Row],[Площадь уборки до корр]]-Таблица310[[#This Row],[Площадь уборки, га]]</f>
        <v>0</v>
      </c>
      <c r="AQ141">
        <v>237</v>
      </c>
      <c r="AR141" t="s">
        <v>365</v>
      </c>
      <c r="AS141">
        <v>1.6679323713977376</v>
      </c>
      <c r="AT141" t="s">
        <v>43</v>
      </c>
      <c r="XEM141" s="72"/>
      <c r="XEN141" s="73"/>
      <c r="XEO141" s="74"/>
      <c r="XEP141" s="75"/>
      <c r="XEQ141" s="76"/>
      <c r="XER141" s="73"/>
    </row>
    <row r="142" spans="1:46 16367:16372" ht="25.5" hidden="1" customHeight="1" x14ac:dyDescent="0.25">
      <c r="A142" s="72"/>
      <c r="B142" s="73"/>
      <c r="C142" s="120">
        <f>Таблица310[[#This Row],[Степень зрелости вспом]]</f>
        <v>57</v>
      </c>
      <c r="D142" s="75">
        <v>238</v>
      </c>
      <c r="E142" s="146">
        <v>45814</v>
      </c>
      <c r="F142" s="73">
        <v>28690</v>
      </c>
      <c r="G142" s="73">
        <v>13730</v>
      </c>
      <c r="H142" s="77">
        <v>14960</v>
      </c>
      <c r="I142" s="73">
        <v>11327.2</v>
      </c>
      <c r="J142" s="72" t="s">
        <v>105</v>
      </c>
      <c r="K142" s="72" t="s">
        <v>21</v>
      </c>
      <c r="L142" s="72" t="s">
        <v>672</v>
      </c>
      <c r="M142" s="35" t="s">
        <v>311</v>
      </c>
      <c r="N142" s="40"/>
      <c r="O142" s="72"/>
      <c r="P142" s="72"/>
      <c r="Q142" s="72"/>
      <c r="R142" s="72" t="s">
        <v>315</v>
      </c>
      <c r="S142" s="40"/>
      <c r="T142" s="70" t="s">
        <v>365</v>
      </c>
      <c r="U142" s="68" t="str">
        <f>Таблица310[[#This Row],[Регистратор.Номенклатура]]</f>
        <v>Преладо</v>
      </c>
      <c r="V142" s="45">
        <f>30*Таблица310[[#This Row],[Регистратор.Вес нетто]]/250190</f>
        <v>1.6463487749310524</v>
      </c>
      <c r="W142" s="72" t="s">
        <v>43</v>
      </c>
      <c r="X142" s="72" t="s">
        <v>19</v>
      </c>
      <c r="Y142" s="40">
        <v>8</v>
      </c>
      <c r="Z142" s="71">
        <v>45814</v>
      </c>
      <c r="AA142" s="40"/>
      <c r="AB142" s="40"/>
      <c r="AC142" s="40" t="s">
        <v>724</v>
      </c>
      <c r="AD142" s="40" t="s">
        <v>511</v>
      </c>
      <c r="AE142" s="40">
        <v>238</v>
      </c>
      <c r="AF142" s="103">
        <v>45814</v>
      </c>
      <c r="AG142" s="40">
        <v>130770</v>
      </c>
      <c r="AH142" s="40">
        <f>VLOOKUP(Таблица310[[#This Row],[№ акта]],'Степень зрелости 2025'!$H$13:$I$583,2,FALSE)</f>
        <v>57</v>
      </c>
      <c r="AI142" s="40" t="str">
        <f>VLOOKUP(Таблица310[[#This Row],[№ акта]],$AQ$1:$AT$594,2,FALSE)</f>
        <v>1/8.1</v>
      </c>
      <c r="AJ142" s="40" t="str">
        <f>Таблица310[[#This Row],[Регистратор.Номенклатура]]</f>
        <v>Преладо</v>
      </c>
      <c r="AK142" s="40" t="str">
        <f>VLOOKUP(Таблица310[[#This Row],[№ акта]],$AQ$1:$AT$594,4,FALSE)</f>
        <v>Учхоз Кубань (богара)</v>
      </c>
      <c r="AL142" s="45">
        <f>VLOOKUP(Таблица310[[#This Row],[№ акта]],$AQ$1:$AT$594,3,FALSE)</f>
        <v>1.6463487749310524</v>
      </c>
      <c r="AM142" s="40" t="str">
        <f>IF(Таблица310[[#This Row],[Площадь уборки, га]]=Таблица310[[#This Row],[Площадь уборки до корр]],"нет","да")</f>
        <v>нет</v>
      </c>
      <c r="AN142" s="45">
        <f>Таблица310[[#This Row],[Площадь уборки до корр]]-Таблица310[[#This Row],[Площадь уборки, га]]</f>
        <v>0</v>
      </c>
      <c r="AQ142">
        <v>238</v>
      </c>
      <c r="AR142" t="s">
        <v>365</v>
      </c>
      <c r="AS142">
        <v>1.6463487749310524</v>
      </c>
      <c r="AT142" t="s">
        <v>43</v>
      </c>
      <c r="XEM142" s="72"/>
      <c r="XEN142" s="73"/>
      <c r="XEO142" s="74"/>
      <c r="XEP142" s="75"/>
      <c r="XEQ142" s="76"/>
      <c r="XER142" s="73"/>
    </row>
    <row r="143" spans="1:46 16367:16372" ht="25.5" hidden="1" customHeight="1" x14ac:dyDescent="0.25">
      <c r="A143" s="72"/>
      <c r="B143" s="73"/>
      <c r="C143" s="120">
        <f>Таблица310[[#This Row],[Степень зрелости вспом]]</f>
        <v>59</v>
      </c>
      <c r="D143" s="75">
        <v>239</v>
      </c>
      <c r="E143" s="146">
        <v>45815</v>
      </c>
      <c r="F143" s="73">
        <v>32400</v>
      </c>
      <c r="G143" s="73">
        <v>13680</v>
      </c>
      <c r="H143" s="77">
        <v>18720</v>
      </c>
      <c r="I143" s="73">
        <v>11149.2</v>
      </c>
      <c r="J143" s="72" t="s">
        <v>105</v>
      </c>
      <c r="K143" s="72" t="s">
        <v>21</v>
      </c>
      <c r="L143" s="72" t="s">
        <v>672</v>
      </c>
      <c r="M143" s="35" t="s">
        <v>347</v>
      </c>
      <c r="N143" s="40"/>
      <c r="O143" s="72"/>
      <c r="P143" s="72"/>
      <c r="Q143" s="72"/>
      <c r="R143" s="72" t="s">
        <v>351</v>
      </c>
      <c r="S143" s="40"/>
      <c r="T143" s="70" t="s">
        <v>365</v>
      </c>
      <c r="U143" s="68" t="str">
        <f>Таблица310[[#This Row],[Регистратор.Номенклатура]]</f>
        <v>Преладо</v>
      </c>
      <c r="V143" s="45">
        <f>30*Таблица310[[#This Row],[Регистратор.Вес нетто]]/250190</f>
        <v>1.6403533314680843</v>
      </c>
      <c r="W143" s="72" t="s">
        <v>43</v>
      </c>
      <c r="X143" s="72" t="s">
        <v>19</v>
      </c>
      <c r="Y143" s="40">
        <v>8</v>
      </c>
      <c r="Z143" s="71">
        <v>45814</v>
      </c>
      <c r="AA143" s="40"/>
      <c r="AB143" s="40"/>
      <c r="AC143" s="40" t="s">
        <v>724</v>
      </c>
      <c r="AD143" s="40" t="s">
        <v>511</v>
      </c>
      <c r="AE143" s="40">
        <v>239</v>
      </c>
      <c r="AF143" s="103">
        <v>45815</v>
      </c>
      <c r="AG143" s="40">
        <v>130771</v>
      </c>
      <c r="AH143" s="40">
        <f>VLOOKUP(Таблица310[[#This Row],[№ акта]],'Степень зрелости 2025'!$H$13:$I$583,2,FALSE)</f>
        <v>59</v>
      </c>
      <c r="AI143" s="40" t="str">
        <f>VLOOKUP(Таблица310[[#This Row],[№ акта]],$AQ$1:$AT$594,2,FALSE)</f>
        <v>1/8.1</v>
      </c>
      <c r="AJ143" s="40" t="str">
        <f>Таблица310[[#This Row],[Регистратор.Номенклатура]]</f>
        <v>Преладо</v>
      </c>
      <c r="AK143" s="40" t="str">
        <f>VLOOKUP(Таблица310[[#This Row],[№ акта]],$AQ$1:$AT$594,4,FALSE)</f>
        <v>Учхоз Кубань (богара)</v>
      </c>
      <c r="AL143" s="45">
        <f>VLOOKUP(Таблица310[[#This Row],[№ акта]],$AQ$1:$AT$594,3,FALSE)</f>
        <v>1.6403533314680843</v>
      </c>
      <c r="AM143" s="40" t="str">
        <f>IF(Таблица310[[#This Row],[Площадь уборки, га]]=Таблица310[[#This Row],[Площадь уборки до корр]],"нет","да")</f>
        <v>нет</v>
      </c>
      <c r="AN143" s="45">
        <f>Таблица310[[#This Row],[Площадь уборки до корр]]-Таблица310[[#This Row],[Площадь уборки, га]]</f>
        <v>0</v>
      </c>
      <c r="AQ143">
        <v>239</v>
      </c>
      <c r="AR143" t="s">
        <v>365</v>
      </c>
      <c r="AS143">
        <v>1.6403533314680843</v>
      </c>
      <c r="AT143" t="s">
        <v>43</v>
      </c>
      <c r="XEM143" s="72"/>
      <c r="XEN143" s="73"/>
      <c r="XEO143" s="74"/>
      <c r="XEP143" s="75"/>
      <c r="XEQ143" s="76"/>
      <c r="XER143" s="73"/>
    </row>
    <row r="144" spans="1:46 16367:16372" ht="25.5" hidden="1" customHeight="1" x14ac:dyDescent="0.25">
      <c r="A144" s="72"/>
      <c r="B144" s="73"/>
      <c r="C144" s="120">
        <f>Таблица310[[#This Row],[Степень зрелости вспом]]</f>
        <v>56</v>
      </c>
      <c r="D144" s="75">
        <v>240</v>
      </c>
      <c r="E144" s="146">
        <v>45815</v>
      </c>
      <c r="F144" s="73">
        <v>28010</v>
      </c>
      <c r="G144" s="169">
        <v>13610</v>
      </c>
      <c r="H144" s="77">
        <v>14400</v>
      </c>
      <c r="I144" s="73">
        <v>11772.6</v>
      </c>
      <c r="J144" s="72" t="s">
        <v>78</v>
      </c>
      <c r="K144" s="72" t="s">
        <v>21</v>
      </c>
      <c r="L144" s="72" t="s">
        <v>754</v>
      </c>
      <c r="M144" s="35" t="s">
        <v>127</v>
      </c>
      <c r="N144" s="40"/>
      <c r="O144" s="72"/>
      <c r="P144" s="72"/>
      <c r="Q144" s="72"/>
      <c r="R144" s="72" t="s">
        <v>131</v>
      </c>
      <c r="S144" s="40"/>
      <c r="T144" s="70" t="s">
        <v>754</v>
      </c>
      <c r="U144" s="68" t="str">
        <f>Таблица310[[#This Row],[Регистратор.Номенклатура]]</f>
        <v>Преладо</v>
      </c>
      <c r="V144" s="45">
        <f>6.1*Таблица310[[#This Row],[Регистратор.Вес нетто]]/92910</f>
        <v>0.89356366376062857</v>
      </c>
      <c r="W144" s="72" t="s">
        <v>46</v>
      </c>
      <c r="X144" s="72" t="s">
        <v>19</v>
      </c>
      <c r="Y144" s="40">
        <v>9</v>
      </c>
      <c r="Z144" s="71">
        <v>45814</v>
      </c>
      <c r="AA144" s="40"/>
      <c r="AB144" s="40" t="s">
        <v>1617</v>
      </c>
      <c r="AC144" s="40" t="s">
        <v>724</v>
      </c>
      <c r="AD144" s="40" t="s">
        <v>511</v>
      </c>
      <c r="AE144" s="40">
        <v>240</v>
      </c>
      <c r="AF144" s="103">
        <v>45815</v>
      </c>
      <c r="AG144" s="40">
        <v>59</v>
      </c>
      <c r="AH144" s="40">
        <f>VLOOKUP(Таблица310[[#This Row],[№ акта]],'Степень зрелости 2025'!$H$13:$I$583,2,FALSE)</f>
        <v>56</v>
      </c>
      <c r="AI144" s="40" t="str">
        <f>VLOOKUP(Таблица310[[#This Row],[№ акта]],$AQ$1:$AT$594,2,FALSE)</f>
        <v>А-67</v>
      </c>
      <c r="AJ144" s="40" t="str">
        <f>Таблица310[[#This Row],[Регистратор.Номенклатура]]</f>
        <v>Преладо</v>
      </c>
      <c r="AK144" s="40" t="str">
        <f>VLOOKUP(Таблица310[[#This Row],[№ акта]],$AQ$1:$AT$594,4,FALSE)</f>
        <v>ГРК (богара)</v>
      </c>
      <c r="AL144" s="45">
        <f>VLOOKUP(Таблица310[[#This Row],[№ акта]],$AQ$1:$AT$594,3,FALSE)</f>
        <v>4.749725795193938</v>
      </c>
      <c r="AM144" s="40" t="str">
        <f>IF(Таблица310[[#This Row],[Площадь уборки, га]]=Таблица310[[#This Row],[Площадь уборки до корр]],"нет","да")</f>
        <v>да</v>
      </c>
      <c r="AN144" s="45">
        <f>Таблица310[[#This Row],[Площадь уборки до корр]]-Таблица310[[#This Row],[Площадь уборки, га]]</f>
        <v>3.8561621314333094</v>
      </c>
      <c r="AQ144">
        <v>240</v>
      </c>
      <c r="AR144" t="s">
        <v>754</v>
      </c>
      <c r="AS144">
        <v>4.749725795193938</v>
      </c>
      <c r="AT144" t="s">
        <v>46</v>
      </c>
      <c r="XEM144" s="72"/>
      <c r="XEN144" s="73"/>
      <c r="XEO144" s="74"/>
      <c r="XEP144" s="75"/>
      <c r="XEQ144" s="76"/>
      <c r="XER144" s="73"/>
    </row>
    <row r="145" spans="1:46 16367:16372" ht="25.5" hidden="1" customHeight="1" x14ac:dyDescent="0.25">
      <c r="A145" s="72"/>
      <c r="B145" s="73"/>
      <c r="C145" s="120">
        <f>Таблица310[[#This Row],[Степень зрелости вспом]]</f>
        <v>55</v>
      </c>
      <c r="D145" s="75">
        <v>241</v>
      </c>
      <c r="E145" s="146">
        <v>45815</v>
      </c>
      <c r="F145" s="73">
        <v>9050</v>
      </c>
      <c r="G145" s="169">
        <v>4470</v>
      </c>
      <c r="H145" s="77">
        <v>4580</v>
      </c>
      <c r="I145" s="73">
        <v>3955.9</v>
      </c>
      <c r="J145" s="72" t="s">
        <v>726</v>
      </c>
      <c r="K145" s="72" t="s">
        <v>21</v>
      </c>
      <c r="L145" s="72" t="s">
        <v>754</v>
      </c>
      <c r="M145" s="35" t="s">
        <v>737</v>
      </c>
      <c r="N145" s="40"/>
      <c r="O145" s="72"/>
      <c r="P145" s="72"/>
      <c r="Q145" s="72"/>
      <c r="R145" s="72" t="s">
        <v>738</v>
      </c>
      <c r="S145" s="40"/>
      <c r="T145" s="70" t="s">
        <v>754</v>
      </c>
      <c r="U145" s="68" t="str">
        <f>Таблица310[[#This Row],[Регистратор.Номенклатура]]</f>
        <v>Преладо</v>
      </c>
      <c r="V145" s="45">
        <f>6.1*Таблица310[[#This Row],[Регистратор.Вес нетто]]/92910</f>
        <v>0.29347755892799482</v>
      </c>
      <c r="W145" s="72" t="s">
        <v>46</v>
      </c>
      <c r="X145" s="72" t="s">
        <v>19</v>
      </c>
      <c r="Y145" s="40">
        <v>9</v>
      </c>
      <c r="Z145" s="71">
        <v>45814</v>
      </c>
      <c r="AA145" s="40"/>
      <c r="AB145" s="40" t="s">
        <v>1617</v>
      </c>
      <c r="AC145" s="40" t="s">
        <v>724</v>
      </c>
      <c r="AD145" s="40" t="s">
        <v>511</v>
      </c>
      <c r="AE145" s="40">
        <v>241</v>
      </c>
      <c r="AF145" s="103">
        <v>45815</v>
      </c>
      <c r="AG145" s="40">
        <v>60</v>
      </c>
      <c r="AH145" s="40">
        <f>VLOOKUP(Таблица310[[#This Row],[№ акта]],'Степень зрелости 2025'!$H$13:$I$583,2,FALSE)</f>
        <v>55</v>
      </c>
      <c r="AI145" s="40" t="str">
        <f>VLOOKUP(Таблица310[[#This Row],[№ акта]],$AQ$1:$AT$594,2,FALSE)</f>
        <v>А-67</v>
      </c>
      <c r="AJ145" s="40" t="str">
        <f>Таблица310[[#This Row],[Регистратор.Номенклатура]]</f>
        <v>Преладо</v>
      </c>
      <c r="AK145" s="40" t="str">
        <f>VLOOKUP(Таблица310[[#This Row],[№ акта]],$AQ$1:$AT$594,4,FALSE)</f>
        <v>ГРК (богара)</v>
      </c>
      <c r="AL145" s="45">
        <f>VLOOKUP(Таблица310[[#This Row],[№ акта]],$AQ$1:$AT$594,3,FALSE)</f>
        <v>1.5599760693987437</v>
      </c>
      <c r="AM145" s="40" t="str">
        <f>IF(Таблица310[[#This Row],[Площадь уборки, га]]=Таблица310[[#This Row],[Площадь уборки до корр]],"нет","да")</f>
        <v>да</v>
      </c>
      <c r="AN145" s="45">
        <f>Таблица310[[#This Row],[Площадь уборки до корр]]-Таблица310[[#This Row],[Площадь уборки, га]]</f>
        <v>1.2664985104707489</v>
      </c>
      <c r="AQ145">
        <v>241</v>
      </c>
      <c r="AR145" t="s">
        <v>754</v>
      </c>
      <c r="AS145">
        <v>1.5599760693987437</v>
      </c>
      <c r="AT145" t="s">
        <v>46</v>
      </c>
      <c r="XEM145" s="72"/>
      <c r="XEN145" s="73"/>
      <c r="XEO145" s="74"/>
      <c r="XEP145" s="75"/>
      <c r="XEQ145" s="76"/>
      <c r="XER145" s="73"/>
    </row>
    <row r="146" spans="1:46 16367:16372" ht="25.5" hidden="1" customHeight="1" x14ac:dyDescent="0.25">
      <c r="A146" s="72"/>
      <c r="B146" s="73"/>
      <c r="C146" s="120">
        <f>Таблица310[[#This Row],[Степень зрелости вспом]]</f>
        <v>59</v>
      </c>
      <c r="D146" s="75">
        <v>242</v>
      </c>
      <c r="E146" s="146">
        <v>45815</v>
      </c>
      <c r="F146" s="73">
        <v>28430</v>
      </c>
      <c r="G146" s="73">
        <v>13700</v>
      </c>
      <c r="H146" s="77">
        <v>14730</v>
      </c>
      <c r="I146" s="73">
        <v>11165.5</v>
      </c>
      <c r="J146" s="72" t="s">
        <v>105</v>
      </c>
      <c r="K146" s="72" t="s">
        <v>21</v>
      </c>
      <c r="L146" s="72" t="s">
        <v>672</v>
      </c>
      <c r="M146" s="35" t="s">
        <v>335</v>
      </c>
      <c r="N146" s="40"/>
      <c r="O146" s="72"/>
      <c r="P146" s="72"/>
      <c r="Q146" s="72"/>
      <c r="R146" s="72" t="s">
        <v>339</v>
      </c>
      <c r="S146" s="40"/>
      <c r="T146" s="70" t="s">
        <v>365</v>
      </c>
      <c r="U146" s="68" t="str">
        <f>Таблица310[[#This Row],[Регистратор.Номенклатура]]</f>
        <v>Преладо</v>
      </c>
      <c r="V146" s="45">
        <f>30*Таблица310[[#This Row],[Регистратор.Вес нетто]]/250190</f>
        <v>1.6427515088532716</v>
      </c>
      <c r="W146" s="72" t="s">
        <v>43</v>
      </c>
      <c r="X146" s="72" t="s">
        <v>19</v>
      </c>
      <c r="Y146" s="40">
        <v>8</v>
      </c>
      <c r="Z146" s="71">
        <v>45814</v>
      </c>
      <c r="AA146" s="40"/>
      <c r="AB146" s="40"/>
      <c r="AC146" s="40" t="s">
        <v>724</v>
      </c>
      <c r="AD146" s="40" t="s">
        <v>511</v>
      </c>
      <c r="AE146" s="40">
        <v>242</v>
      </c>
      <c r="AF146" s="103">
        <v>45815</v>
      </c>
      <c r="AG146" s="40">
        <v>130775</v>
      </c>
      <c r="AH146" s="40">
        <f>VLOOKUP(Таблица310[[#This Row],[№ акта]],'Степень зрелости 2025'!$H$13:$I$583,2,FALSE)</f>
        <v>59</v>
      </c>
      <c r="AI146" s="40" t="str">
        <f>VLOOKUP(Таблица310[[#This Row],[№ акта]],$AQ$1:$AT$594,2,FALSE)</f>
        <v>1/8.1</v>
      </c>
      <c r="AJ146" s="40" t="str">
        <f>Таблица310[[#This Row],[Регистратор.Номенклатура]]</f>
        <v>Преладо</v>
      </c>
      <c r="AK146" s="40" t="str">
        <f>VLOOKUP(Таблица310[[#This Row],[№ акта]],$AQ$1:$AT$594,4,FALSE)</f>
        <v>Учхоз Кубань (богара)</v>
      </c>
      <c r="AL146" s="45">
        <f>VLOOKUP(Таблица310[[#This Row],[№ акта]],$AQ$1:$AT$594,3,FALSE)</f>
        <v>1.6427515088532716</v>
      </c>
      <c r="AM146" s="40" t="str">
        <f>IF(Таблица310[[#This Row],[Площадь уборки, га]]=Таблица310[[#This Row],[Площадь уборки до корр]],"нет","да")</f>
        <v>нет</v>
      </c>
      <c r="AN146" s="45">
        <f>Таблица310[[#This Row],[Площадь уборки до корр]]-Таблица310[[#This Row],[Площадь уборки, га]]</f>
        <v>0</v>
      </c>
      <c r="AQ146">
        <v>242</v>
      </c>
      <c r="AR146" t="s">
        <v>365</v>
      </c>
      <c r="AS146">
        <v>1.6427515088532716</v>
      </c>
      <c r="AT146" t="s">
        <v>43</v>
      </c>
      <c r="XEM146" s="72"/>
      <c r="XEN146" s="73"/>
      <c r="XEO146" s="74"/>
      <c r="XEP146" s="75"/>
      <c r="XEQ146" s="76"/>
      <c r="XER146" s="73"/>
    </row>
    <row r="147" spans="1:46 16367:16372" ht="25.5" hidden="1" customHeight="1" x14ac:dyDescent="0.25">
      <c r="A147" s="72"/>
      <c r="B147" s="73"/>
      <c r="C147" s="120">
        <f>Таблица310[[#This Row],[Степень зрелости вспом]]</f>
        <v>59</v>
      </c>
      <c r="D147" s="75">
        <v>243</v>
      </c>
      <c r="E147" s="146">
        <v>45815</v>
      </c>
      <c r="F147" s="73">
        <v>28030</v>
      </c>
      <c r="G147" s="73">
        <v>13750</v>
      </c>
      <c r="H147" s="77">
        <v>14280</v>
      </c>
      <c r="I147" s="73">
        <v>12168.7</v>
      </c>
      <c r="J147" s="72" t="s">
        <v>105</v>
      </c>
      <c r="K147" s="72" t="s">
        <v>21</v>
      </c>
      <c r="L147" s="72" t="s">
        <v>672</v>
      </c>
      <c r="M147" s="35" t="s">
        <v>305</v>
      </c>
      <c r="N147" s="40"/>
      <c r="O147" s="72"/>
      <c r="P147" s="72"/>
      <c r="Q147" s="72"/>
      <c r="R147" s="72" t="s">
        <v>309</v>
      </c>
      <c r="S147" s="40"/>
      <c r="T147" s="70" t="s">
        <v>365</v>
      </c>
      <c r="U147" s="68" t="str">
        <f>Таблица310[[#This Row],[Регистратор.Номенклатура]]</f>
        <v>Преладо</v>
      </c>
      <c r="V147" s="45">
        <f>30*Таблица310[[#This Row],[Регистратор.Вес нетто]]/250190</f>
        <v>1.6487469523162397</v>
      </c>
      <c r="W147" s="72" t="s">
        <v>43</v>
      </c>
      <c r="X147" s="72" t="s">
        <v>19</v>
      </c>
      <c r="Y147" s="40">
        <v>8</v>
      </c>
      <c r="Z147" s="71">
        <v>45814</v>
      </c>
      <c r="AA147" s="40"/>
      <c r="AB147" s="40"/>
      <c r="AC147" s="40" t="s">
        <v>724</v>
      </c>
      <c r="AD147" s="40" t="s">
        <v>511</v>
      </c>
      <c r="AE147" s="40">
        <v>243</v>
      </c>
      <c r="AF147" s="103">
        <v>45815</v>
      </c>
      <c r="AG147" s="40">
        <v>130773</v>
      </c>
      <c r="AH147" s="40">
        <f>VLOOKUP(Таблица310[[#This Row],[№ акта]],'Степень зрелости 2025'!$H$13:$I$583,2,FALSE)</f>
        <v>59</v>
      </c>
      <c r="AI147" s="40" t="str">
        <f>VLOOKUP(Таблица310[[#This Row],[№ акта]],$AQ$1:$AT$594,2,FALSE)</f>
        <v>1/8.1</v>
      </c>
      <c r="AJ147" s="40" t="str">
        <f>Таблица310[[#This Row],[Регистратор.Номенклатура]]</f>
        <v>Преладо</v>
      </c>
      <c r="AK147" s="40" t="str">
        <f>VLOOKUP(Таблица310[[#This Row],[№ акта]],$AQ$1:$AT$594,4,FALSE)</f>
        <v>Учхоз Кубань (богара)</v>
      </c>
      <c r="AL147" s="45">
        <f>VLOOKUP(Таблица310[[#This Row],[№ акта]],$AQ$1:$AT$594,3,FALSE)</f>
        <v>1.6487469523162397</v>
      </c>
      <c r="AM147" s="40" t="str">
        <f>IF(Таблица310[[#This Row],[Площадь уборки, га]]=Таблица310[[#This Row],[Площадь уборки до корр]],"нет","да")</f>
        <v>нет</v>
      </c>
      <c r="AN147" s="45">
        <f>Таблица310[[#This Row],[Площадь уборки до корр]]-Таблица310[[#This Row],[Площадь уборки, га]]</f>
        <v>0</v>
      </c>
      <c r="AQ147">
        <v>243</v>
      </c>
      <c r="AR147" t="s">
        <v>365</v>
      </c>
      <c r="AS147">
        <v>1.6487469523162397</v>
      </c>
      <c r="AT147" t="s">
        <v>43</v>
      </c>
      <c r="XEM147" s="72"/>
      <c r="XEN147" s="73"/>
      <c r="XEO147" s="74"/>
      <c r="XEP147" s="75"/>
      <c r="XEQ147" s="76"/>
      <c r="XER147" s="73"/>
    </row>
    <row r="148" spans="1:46 16367:16372" ht="25.5" hidden="1" customHeight="1" x14ac:dyDescent="0.25">
      <c r="A148" s="72"/>
      <c r="B148" s="73"/>
      <c r="C148" s="120">
        <f>Таблица310[[#This Row],[Степень зрелости вспом]]</f>
        <v>60</v>
      </c>
      <c r="D148" s="75">
        <v>244</v>
      </c>
      <c r="E148" s="146">
        <v>45815</v>
      </c>
      <c r="F148" s="73">
        <v>28730</v>
      </c>
      <c r="G148" s="73">
        <v>13650</v>
      </c>
      <c r="H148" s="77">
        <v>15080</v>
      </c>
      <c r="I148" s="73">
        <v>11397.7</v>
      </c>
      <c r="J148" s="72" t="s">
        <v>105</v>
      </c>
      <c r="K148" s="72" t="s">
        <v>21</v>
      </c>
      <c r="L148" s="72" t="s">
        <v>672</v>
      </c>
      <c r="M148" s="35" t="s">
        <v>195</v>
      </c>
      <c r="N148" s="40"/>
      <c r="O148" s="72"/>
      <c r="P148" s="72"/>
      <c r="Q148" s="72"/>
      <c r="R148" s="72" t="s">
        <v>199</v>
      </c>
      <c r="S148" s="40"/>
      <c r="T148" s="70" t="s">
        <v>365</v>
      </c>
      <c r="U148" s="68" t="str">
        <f>Таблица310[[#This Row],[Регистратор.Номенклатура]]</f>
        <v>Преладо</v>
      </c>
      <c r="V148" s="45">
        <f>30*Таблица310[[#This Row],[Регистратор.Вес нетто]]/250190</f>
        <v>1.6367560653903033</v>
      </c>
      <c r="W148" s="72" t="s">
        <v>43</v>
      </c>
      <c r="X148" s="72" t="s">
        <v>19</v>
      </c>
      <c r="Y148" s="40">
        <v>8</v>
      </c>
      <c r="Z148" s="71">
        <v>45814</v>
      </c>
      <c r="AA148" s="40"/>
      <c r="AB148" s="40"/>
      <c r="AC148" s="40" t="s">
        <v>724</v>
      </c>
      <c r="AD148" s="40" t="s">
        <v>511</v>
      </c>
      <c r="AE148" s="40">
        <v>244</v>
      </c>
      <c r="AF148" s="103">
        <v>45815</v>
      </c>
      <c r="AG148" s="40">
        <v>130774</v>
      </c>
      <c r="AH148" s="40">
        <f>VLOOKUP(Таблица310[[#This Row],[№ акта]],'Степень зрелости 2025'!$H$13:$I$583,2,FALSE)</f>
        <v>60</v>
      </c>
      <c r="AI148" s="40" t="str">
        <f>VLOOKUP(Таблица310[[#This Row],[№ акта]],$AQ$1:$AT$594,2,FALSE)</f>
        <v>1/8.1</v>
      </c>
      <c r="AJ148" s="40" t="str">
        <f>Таблица310[[#This Row],[Регистратор.Номенклатура]]</f>
        <v>Преладо</v>
      </c>
      <c r="AK148" s="40" t="str">
        <f>VLOOKUP(Таблица310[[#This Row],[№ акта]],$AQ$1:$AT$594,4,FALSE)</f>
        <v>Учхоз Кубань (богара)</v>
      </c>
      <c r="AL148" s="45">
        <f>VLOOKUP(Таблица310[[#This Row],[№ акта]],$AQ$1:$AT$594,3,FALSE)</f>
        <v>1.6367560653903033</v>
      </c>
      <c r="AM148" s="40" t="str">
        <f>IF(Таблица310[[#This Row],[Площадь уборки, га]]=Таблица310[[#This Row],[Площадь уборки до корр]],"нет","да")</f>
        <v>нет</v>
      </c>
      <c r="AN148" s="45">
        <f>Таблица310[[#This Row],[Площадь уборки до корр]]-Таблица310[[#This Row],[Площадь уборки, га]]</f>
        <v>0</v>
      </c>
      <c r="AQ148">
        <v>244</v>
      </c>
      <c r="AR148" t="s">
        <v>365</v>
      </c>
      <c r="AS148">
        <v>1.6367560653903033</v>
      </c>
      <c r="AT148" t="s">
        <v>43</v>
      </c>
      <c r="XEM148" s="72"/>
      <c r="XEN148" s="73"/>
      <c r="XEO148" s="74"/>
      <c r="XEP148" s="75"/>
      <c r="XEQ148" s="76"/>
      <c r="XER148" s="73"/>
    </row>
    <row r="149" spans="1:46 16367:16372" ht="25.5" hidden="1" customHeight="1" x14ac:dyDescent="0.25">
      <c r="A149" s="72"/>
      <c r="B149" s="73"/>
      <c r="C149" s="120">
        <f>Таблица310[[#This Row],[Степень зрелости вспом]]</f>
        <v>60</v>
      </c>
      <c r="D149" s="75">
        <v>245</v>
      </c>
      <c r="E149" s="146">
        <v>45815</v>
      </c>
      <c r="F149" s="73">
        <v>37850</v>
      </c>
      <c r="G149" s="73">
        <v>13950</v>
      </c>
      <c r="H149" s="77">
        <v>23900</v>
      </c>
      <c r="I149" s="73">
        <v>11229.7</v>
      </c>
      <c r="J149" s="72" t="s">
        <v>105</v>
      </c>
      <c r="K149" s="72" t="s">
        <v>21</v>
      </c>
      <c r="L149" s="72" t="s">
        <v>672</v>
      </c>
      <c r="M149" s="35" t="s">
        <v>160</v>
      </c>
      <c r="N149" s="40"/>
      <c r="O149" s="72"/>
      <c r="P149" s="72"/>
      <c r="Q149" s="72"/>
      <c r="R149" s="72" t="s">
        <v>164</v>
      </c>
      <c r="S149" s="40"/>
      <c r="T149" s="70" t="s">
        <v>365</v>
      </c>
      <c r="U149" s="68" t="str">
        <f>Таблица310[[#This Row],[Регистратор.Номенклатура]]</f>
        <v>Преладо</v>
      </c>
      <c r="V149" s="45">
        <f>30*Таблица310[[#This Row],[Регистратор.Вес нетто]]/250190</f>
        <v>1.6727287261681123</v>
      </c>
      <c r="W149" s="72" t="s">
        <v>43</v>
      </c>
      <c r="X149" s="72" t="s">
        <v>19</v>
      </c>
      <c r="Y149" s="40">
        <v>8</v>
      </c>
      <c r="Z149" s="71">
        <v>45814</v>
      </c>
      <c r="AA149" s="40"/>
      <c r="AB149" s="40"/>
      <c r="AC149" s="40" t="s">
        <v>724</v>
      </c>
      <c r="AD149" s="40" t="s">
        <v>511</v>
      </c>
      <c r="AE149" s="40">
        <v>245</v>
      </c>
      <c r="AF149" s="103">
        <v>45815</v>
      </c>
      <c r="AG149" s="40">
        <v>83501</v>
      </c>
      <c r="AH149" s="40">
        <f>VLOOKUP(Таблица310[[#This Row],[№ акта]],'Степень зрелости 2025'!$H$13:$I$583,2,FALSE)</f>
        <v>60</v>
      </c>
      <c r="AI149" s="40" t="str">
        <f>VLOOKUP(Таблица310[[#This Row],[№ акта]],$AQ$1:$AT$594,2,FALSE)</f>
        <v>1/8.1</v>
      </c>
      <c r="AJ149" s="40" t="str">
        <f>Таблица310[[#This Row],[Регистратор.Номенклатура]]</f>
        <v>Преладо</v>
      </c>
      <c r="AK149" s="40" t="str">
        <f>VLOOKUP(Таблица310[[#This Row],[№ акта]],$AQ$1:$AT$594,4,FALSE)</f>
        <v>Учхоз Кубань (богара)</v>
      </c>
      <c r="AL149" s="45">
        <f>VLOOKUP(Таблица310[[#This Row],[№ акта]],$AQ$1:$AT$594,3,FALSE)</f>
        <v>1.6727287261681123</v>
      </c>
      <c r="AM149" s="40" t="str">
        <f>IF(Таблица310[[#This Row],[Площадь уборки, га]]=Таблица310[[#This Row],[Площадь уборки до корр]],"нет","да")</f>
        <v>нет</v>
      </c>
      <c r="AN149" s="45">
        <f>Таблица310[[#This Row],[Площадь уборки до корр]]-Таблица310[[#This Row],[Площадь уборки, га]]</f>
        <v>0</v>
      </c>
      <c r="AQ149">
        <v>245</v>
      </c>
      <c r="AR149" t="s">
        <v>365</v>
      </c>
      <c r="AS149">
        <v>1.6727287261681123</v>
      </c>
      <c r="AT149" t="s">
        <v>43</v>
      </c>
      <c r="XEM149" s="72"/>
      <c r="XEN149" s="73"/>
      <c r="XEO149" s="74"/>
      <c r="XEP149" s="75"/>
      <c r="XEQ149" s="76"/>
      <c r="XER149" s="73"/>
    </row>
    <row r="150" spans="1:46 16367:16372" ht="25.5" hidden="1" customHeight="1" x14ac:dyDescent="0.25">
      <c r="A150" s="72"/>
      <c r="B150" s="73"/>
      <c r="C150" s="120">
        <f>Таблица310[[#This Row],[Степень зрелости вспом]]</f>
        <v>57</v>
      </c>
      <c r="D150" s="75">
        <v>246</v>
      </c>
      <c r="E150" s="146">
        <v>45815</v>
      </c>
      <c r="F150" s="73">
        <v>23240</v>
      </c>
      <c r="G150" s="169">
        <v>9120</v>
      </c>
      <c r="H150" s="77">
        <v>14120</v>
      </c>
      <c r="I150" s="73">
        <v>8116.8</v>
      </c>
      <c r="J150" s="72" t="s">
        <v>78</v>
      </c>
      <c r="K150" s="72" t="s">
        <v>21</v>
      </c>
      <c r="L150" s="72" t="s">
        <v>754</v>
      </c>
      <c r="M150" s="35" t="s">
        <v>79</v>
      </c>
      <c r="N150" s="40"/>
      <c r="O150" s="72"/>
      <c r="P150" s="72"/>
      <c r="Q150" s="72"/>
      <c r="R150" s="72" t="s">
        <v>80</v>
      </c>
      <c r="S150" s="40"/>
      <c r="T150" s="70" t="s">
        <v>754</v>
      </c>
      <c r="U150" s="68" t="str">
        <f>Таблица310[[#This Row],[Регистратор.Номенклатура]]</f>
        <v>Преладо</v>
      </c>
      <c r="V150" s="45">
        <f>6.1*Таблица310[[#This Row],[Регистратор.Вес нетто]]/92910</f>
        <v>0.59877300613496931</v>
      </c>
      <c r="W150" s="72" t="s">
        <v>46</v>
      </c>
      <c r="X150" s="72" t="s">
        <v>19</v>
      </c>
      <c r="Y150" s="40">
        <v>9</v>
      </c>
      <c r="Z150" s="71">
        <v>45814</v>
      </c>
      <c r="AA150" s="40"/>
      <c r="AB150" s="40" t="s">
        <v>1617</v>
      </c>
      <c r="AC150" s="40" t="s">
        <v>724</v>
      </c>
      <c r="AD150" s="40" t="s">
        <v>511</v>
      </c>
      <c r="AE150" s="40">
        <v>246</v>
      </c>
      <c r="AF150" s="103">
        <v>45815</v>
      </c>
      <c r="AG150" s="40">
        <v>65</v>
      </c>
      <c r="AH150" s="40">
        <f>VLOOKUP(Таблица310[[#This Row],[№ акта]],'Степень зрелости 2025'!$H$13:$I$583,2,FALSE)</f>
        <v>57</v>
      </c>
      <c r="AI150" s="40" t="str">
        <f>VLOOKUP(Таблица310[[#This Row],[№ акта]],$AQ$1:$AT$594,2,FALSE)</f>
        <v>А-67</v>
      </c>
      <c r="AJ150" s="40" t="str">
        <f>Таблица310[[#This Row],[Регистратор.Номенклатура]]</f>
        <v>Преладо</v>
      </c>
      <c r="AK150" s="40" t="str">
        <f>VLOOKUP(Таблица310[[#This Row],[№ акта]],$AQ$1:$AT$594,4,FALSE)</f>
        <v>ГРК (богара)</v>
      </c>
      <c r="AL150" s="45">
        <f>VLOOKUP(Таблица310[[#This Row],[№ акта]],$AQ$1:$AT$594,3,FALSE)</f>
        <v>3.1827699670954233</v>
      </c>
      <c r="AM150" s="40" t="str">
        <f>IF(Таблица310[[#This Row],[Площадь уборки, га]]=Таблица310[[#This Row],[Площадь уборки до корр]],"нет","да")</f>
        <v>да</v>
      </c>
      <c r="AN150" s="45">
        <f>Таблица310[[#This Row],[Площадь уборки до корр]]-Таблица310[[#This Row],[Площадь уборки, га]]</f>
        <v>2.5839969609604538</v>
      </c>
      <c r="AQ150">
        <v>246</v>
      </c>
      <c r="AR150" t="s">
        <v>754</v>
      </c>
      <c r="AS150">
        <v>3.1827699670954233</v>
      </c>
      <c r="AT150" t="s">
        <v>46</v>
      </c>
      <c r="XEM150" s="72"/>
      <c r="XEN150" s="73"/>
      <c r="XEO150" s="74"/>
      <c r="XEP150" s="75"/>
      <c r="XEQ150" s="76"/>
      <c r="XER150" s="73"/>
    </row>
    <row r="151" spans="1:46 16367:16372" ht="25.5" hidden="1" customHeight="1" x14ac:dyDescent="0.25">
      <c r="A151" s="72"/>
      <c r="B151" s="73"/>
      <c r="C151" s="120">
        <f>Таблица310[[#This Row],[Степень зрелости вспом]]</f>
        <v>54</v>
      </c>
      <c r="D151" s="75">
        <v>247</v>
      </c>
      <c r="E151" s="146">
        <v>45815</v>
      </c>
      <c r="F151" s="73">
        <v>8900</v>
      </c>
      <c r="G151" s="169">
        <v>4270</v>
      </c>
      <c r="H151" s="77">
        <v>4630</v>
      </c>
      <c r="I151" s="73">
        <v>3907</v>
      </c>
      <c r="J151" s="72" t="s">
        <v>78</v>
      </c>
      <c r="K151" s="72" t="s">
        <v>21</v>
      </c>
      <c r="L151" s="72" t="s">
        <v>754</v>
      </c>
      <c r="M151" s="35" t="s">
        <v>762</v>
      </c>
      <c r="N151" s="40"/>
      <c r="O151" s="72"/>
      <c r="P151" s="72"/>
      <c r="Q151" s="72"/>
      <c r="R151" s="72" t="s">
        <v>763</v>
      </c>
      <c r="S151" s="40"/>
      <c r="T151" s="70" t="s">
        <v>754</v>
      </c>
      <c r="U151" s="68" t="str">
        <f>Таблица310[[#This Row],[Регистратор.Номенклатура]]</f>
        <v>Преладо</v>
      </c>
      <c r="V151" s="45">
        <f>6.1*Таблица310[[#This Row],[Регистратор.Вес нетто]]/92910</f>
        <v>0.28034657195135076</v>
      </c>
      <c r="W151" s="72" t="s">
        <v>46</v>
      </c>
      <c r="X151" s="72" t="s">
        <v>19</v>
      </c>
      <c r="Y151" s="40">
        <v>9</v>
      </c>
      <c r="Z151" s="71">
        <v>45814</v>
      </c>
      <c r="AA151" s="40"/>
      <c r="AB151" s="40" t="s">
        <v>1617</v>
      </c>
      <c r="AC151" s="40" t="s">
        <v>724</v>
      </c>
      <c r="AD151" s="40" t="s">
        <v>511</v>
      </c>
      <c r="AE151" s="40">
        <v>247</v>
      </c>
      <c r="AF151" s="103">
        <v>45815</v>
      </c>
      <c r="AG151" s="40">
        <v>66</v>
      </c>
      <c r="AH151" s="40">
        <f>VLOOKUP(Таблица310[[#This Row],[№ акта]],'Степень зрелости 2025'!$H$13:$I$583,2,FALSE)</f>
        <v>54</v>
      </c>
      <c r="AI151" s="40" t="str">
        <f>VLOOKUP(Таблица310[[#This Row],[№ акта]],$AQ$1:$AT$594,2,FALSE)</f>
        <v>А-67</v>
      </c>
      <c r="AJ151" s="40" t="str">
        <f>Таблица310[[#This Row],[Регистратор.Номенклатура]]</f>
        <v>Преладо</v>
      </c>
      <c r="AK151" s="40" t="str">
        <f>VLOOKUP(Таблица310[[#This Row],[№ акта]],$AQ$1:$AT$594,4,FALSE)</f>
        <v>ГРК (богара)</v>
      </c>
      <c r="AL151" s="45">
        <f>VLOOKUP(Таблица310[[#This Row],[№ акта]],$AQ$1:$AT$594,3,FALSE)</f>
        <v>1.4901784824010369</v>
      </c>
      <c r="AM151" s="40" t="str">
        <f>IF(Таблица310[[#This Row],[Площадь уборки, га]]=Таблица310[[#This Row],[Площадь уборки до корр]],"нет","да")</f>
        <v>да</v>
      </c>
      <c r="AN151" s="45">
        <f>Таблица310[[#This Row],[Площадь уборки до корр]]-Таблица310[[#This Row],[Площадь уборки, га]]</f>
        <v>1.2098319104496862</v>
      </c>
      <c r="AQ151">
        <v>247</v>
      </c>
      <c r="AR151" t="s">
        <v>754</v>
      </c>
      <c r="AS151">
        <v>1.4901784824010369</v>
      </c>
      <c r="AT151" t="s">
        <v>46</v>
      </c>
      <c r="XEM151" s="72"/>
      <c r="XEN151" s="73"/>
      <c r="XEO151" s="74"/>
      <c r="XEP151" s="75"/>
      <c r="XEQ151" s="76"/>
      <c r="XER151" s="73"/>
    </row>
    <row r="152" spans="1:46 16367:16372" ht="25.5" hidden="1" customHeight="1" x14ac:dyDescent="0.25">
      <c r="A152" s="72"/>
      <c r="B152" s="73"/>
      <c r="C152" s="120">
        <f>Таблица310[[#This Row],[Степень зрелости вспом]]</f>
        <v>60</v>
      </c>
      <c r="D152" s="75">
        <v>248</v>
      </c>
      <c r="E152" s="146">
        <v>45815</v>
      </c>
      <c r="F152" s="73">
        <v>27260</v>
      </c>
      <c r="G152" s="169">
        <v>12780</v>
      </c>
      <c r="H152" s="77">
        <v>14480</v>
      </c>
      <c r="I152" s="73">
        <v>10735.2</v>
      </c>
      <c r="J152" s="72" t="s">
        <v>78</v>
      </c>
      <c r="K152" s="72" t="s">
        <v>21</v>
      </c>
      <c r="L152" s="72" t="s">
        <v>754</v>
      </c>
      <c r="M152" s="35" t="s">
        <v>1312</v>
      </c>
      <c r="N152" s="40"/>
      <c r="O152" s="72"/>
      <c r="P152" s="72"/>
      <c r="Q152" s="72"/>
      <c r="R152" s="72" t="s">
        <v>320</v>
      </c>
      <c r="S152" s="40"/>
      <c r="T152" s="70" t="s">
        <v>754</v>
      </c>
      <c r="U152" s="68" t="str">
        <f>Таблица310[[#This Row],[Регистратор.Номенклатура]]</f>
        <v>Преладо</v>
      </c>
      <c r="V152" s="45">
        <f>6.1*Таблица310[[#This Row],[Регистратор.Вес нетто]]/92910</f>
        <v>0.83907006780755566</v>
      </c>
      <c r="W152" s="72" t="s">
        <v>46</v>
      </c>
      <c r="X152" s="72" t="s">
        <v>19</v>
      </c>
      <c r="Y152" s="40">
        <v>9</v>
      </c>
      <c r="Z152" s="71">
        <v>45814</v>
      </c>
      <c r="AA152" s="40"/>
      <c r="AB152" s="40" t="s">
        <v>1617</v>
      </c>
      <c r="AC152" s="40" t="s">
        <v>724</v>
      </c>
      <c r="AD152" s="40" t="s">
        <v>511</v>
      </c>
      <c r="AE152" s="40">
        <v>248</v>
      </c>
      <c r="AF152" s="103">
        <v>45815</v>
      </c>
      <c r="AG152" s="40">
        <v>67</v>
      </c>
      <c r="AH152" s="40">
        <f>VLOOKUP(Таблица310[[#This Row],[№ акта]],'Степень зрелости 2025'!$H$13:$I$583,2,FALSE)</f>
        <v>60</v>
      </c>
      <c r="AI152" s="40" t="str">
        <f>VLOOKUP(Таблица310[[#This Row],[№ акта]],$AQ$1:$AT$594,2,FALSE)</f>
        <v>А-67</v>
      </c>
      <c r="AJ152" s="40" t="str">
        <f>Таблица310[[#This Row],[Регистратор.Номенклатура]]</f>
        <v>Преладо</v>
      </c>
      <c r="AK152" s="40" t="str">
        <f>VLOOKUP(Таблица310[[#This Row],[№ акта]],$AQ$1:$AT$594,4,FALSE)</f>
        <v>ГРК (богара)</v>
      </c>
      <c r="AL152" s="45">
        <f>VLOOKUP(Таблица310[[#This Row],[№ акта]],$AQ$1:$AT$594,3,FALSE)</f>
        <v>4.4600658091534546</v>
      </c>
      <c r="AM152" s="40" t="str">
        <f>IF(Таблица310[[#This Row],[Площадь уборки, га]]=Таблица310[[#This Row],[Площадь уборки до корр]],"нет","да")</f>
        <v>да</v>
      </c>
      <c r="AN152" s="45">
        <f>Таблица310[[#This Row],[Площадь уборки до корр]]-Таблица310[[#This Row],[Площадь уборки, га]]</f>
        <v>3.6209957413458991</v>
      </c>
      <c r="AQ152">
        <v>248</v>
      </c>
      <c r="AR152" t="s">
        <v>754</v>
      </c>
      <c r="AS152">
        <v>4.4600658091534546</v>
      </c>
      <c r="AT152" t="s">
        <v>46</v>
      </c>
      <c r="XEM152" s="72"/>
      <c r="XEN152" s="73"/>
      <c r="XEO152" s="74"/>
      <c r="XEP152" s="75"/>
      <c r="XEQ152" s="76"/>
      <c r="XER152" s="73"/>
    </row>
    <row r="153" spans="1:46 16367:16372" ht="25.5" hidden="1" customHeight="1" x14ac:dyDescent="0.25">
      <c r="A153" s="72"/>
      <c r="B153" s="73"/>
      <c r="C153" s="120">
        <f>Таблица310[[#This Row],[Степень зрелости вспом]]</f>
        <v>58</v>
      </c>
      <c r="D153" s="75">
        <v>249</v>
      </c>
      <c r="E153" s="146">
        <v>45815</v>
      </c>
      <c r="F153" s="73">
        <v>24210</v>
      </c>
      <c r="G153" s="169">
        <v>9330</v>
      </c>
      <c r="H153" s="77">
        <v>14880</v>
      </c>
      <c r="I153" s="73">
        <v>7930.5</v>
      </c>
      <c r="J153" s="72" t="s">
        <v>78</v>
      </c>
      <c r="K153" s="72" t="s">
        <v>21</v>
      </c>
      <c r="L153" s="72" t="s">
        <v>754</v>
      </c>
      <c r="M153" s="35" t="s">
        <v>329</v>
      </c>
      <c r="N153" s="40"/>
      <c r="O153" s="72"/>
      <c r="P153" s="72"/>
      <c r="Q153" s="72"/>
      <c r="R153" s="72" t="s">
        <v>333</v>
      </c>
      <c r="S153" s="40"/>
      <c r="T153" s="70" t="s">
        <v>754</v>
      </c>
      <c r="U153" s="68" t="str">
        <f>Таблица310[[#This Row],[Регистратор.Номенклатура]]</f>
        <v>Преладо</v>
      </c>
      <c r="V153" s="45">
        <f>6.1*Таблица310[[#This Row],[Регистратор.Вес нетто]]/92910</f>
        <v>0.61256054246044556</v>
      </c>
      <c r="W153" s="72" t="s">
        <v>46</v>
      </c>
      <c r="X153" s="72" t="s">
        <v>19</v>
      </c>
      <c r="Y153" s="40">
        <v>9</v>
      </c>
      <c r="Z153" s="71">
        <v>45814</v>
      </c>
      <c r="AA153" s="40"/>
      <c r="AB153" s="40" t="s">
        <v>1617</v>
      </c>
      <c r="AC153" s="40" t="s">
        <v>724</v>
      </c>
      <c r="AD153" s="40" t="s">
        <v>511</v>
      </c>
      <c r="AE153" s="40">
        <v>249</v>
      </c>
      <c r="AF153" s="103">
        <v>45815</v>
      </c>
      <c r="AG153" s="40">
        <v>68</v>
      </c>
      <c r="AH153" s="40">
        <f>VLOOKUP(Таблица310[[#This Row],[№ акта]],'Степень зрелости 2025'!$H$13:$I$583,2,FALSE)</f>
        <v>58</v>
      </c>
      <c r="AI153" s="40" t="str">
        <f>VLOOKUP(Таблица310[[#This Row],[№ акта]],$AQ$1:$AT$594,2,FALSE)</f>
        <v>А-67</v>
      </c>
      <c r="AJ153" s="40" t="str">
        <f>Таблица310[[#This Row],[Регистратор.Номенклатура]]</f>
        <v>Преладо</v>
      </c>
      <c r="AK153" s="40" t="str">
        <f>VLOOKUP(Таблица310[[#This Row],[№ акта]],$AQ$1:$AT$594,4,FALSE)</f>
        <v>ГРК (богара)</v>
      </c>
      <c r="AL153" s="45">
        <f>VLOOKUP(Таблица310[[#This Row],[№ акта]],$AQ$1:$AT$594,3,FALSE)</f>
        <v>3.2560574334430155</v>
      </c>
      <c r="AM153" s="40" t="str">
        <f>IF(Таблица310[[#This Row],[Площадь уборки, га]]=Таблица310[[#This Row],[Площадь уборки до корр]],"нет","да")</f>
        <v>да</v>
      </c>
      <c r="AN153" s="45">
        <f>Таблица310[[#This Row],[Площадь уборки до корр]]-Таблица310[[#This Row],[Площадь уборки, га]]</f>
        <v>2.6434968909825698</v>
      </c>
      <c r="AQ153">
        <v>249</v>
      </c>
      <c r="AR153" t="s">
        <v>754</v>
      </c>
      <c r="AS153">
        <v>3.2560574334430155</v>
      </c>
      <c r="AT153" t="s">
        <v>46</v>
      </c>
      <c r="XEM153" s="72"/>
      <c r="XEN153" s="73"/>
      <c r="XEO153" s="74"/>
      <c r="XEP153" s="75"/>
      <c r="XEQ153" s="76"/>
      <c r="XER153" s="73"/>
    </row>
    <row r="154" spans="1:46 16367:16372" ht="25.5" hidden="1" customHeight="1" x14ac:dyDescent="0.25">
      <c r="A154" s="72"/>
      <c r="B154" s="73"/>
      <c r="C154" s="120">
        <f>Таблица310[[#This Row],[Степень зрелости вспом]]</f>
        <v>58</v>
      </c>
      <c r="D154" s="75">
        <v>250</v>
      </c>
      <c r="E154" s="146">
        <v>45815</v>
      </c>
      <c r="F154" s="73">
        <v>23310</v>
      </c>
      <c r="G154" s="169">
        <v>9210</v>
      </c>
      <c r="H154" s="77">
        <v>14100</v>
      </c>
      <c r="I154" s="73">
        <v>7506.1</v>
      </c>
      <c r="J154" s="72" t="s">
        <v>78</v>
      </c>
      <c r="K154" s="72" t="s">
        <v>21</v>
      </c>
      <c r="L154" s="72" t="s">
        <v>754</v>
      </c>
      <c r="M154" s="35" t="s">
        <v>79</v>
      </c>
      <c r="N154" s="40"/>
      <c r="O154" s="72"/>
      <c r="P154" s="72"/>
      <c r="Q154" s="72"/>
      <c r="R154" s="72" t="s">
        <v>767</v>
      </c>
      <c r="S154" s="40"/>
      <c r="T154" s="70" t="s">
        <v>754</v>
      </c>
      <c r="U154" s="68" t="str">
        <f>Таблица310[[#This Row],[Регистратор.Номенклатура]]</f>
        <v>Преладо</v>
      </c>
      <c r="V154" s="45">
        <f>6.1*Таблица310[[#This Row],[Регистратор.Вес нетто]]/92910</f>
        <v>0.60468195027445915</v>
      </c>
      <c r="W154" s="72" t="s">
        <v>46</v>
      </c>
      <c r="X154" s="72" t="s">
        <v>19</v>
      </c>
      <c r="Y154" s="40">
        <v>9</v>
      </c>
      <c r="Z154" s="71">
        <v>45814</v>
      </c>
      <c r="AA154" s="40"/>
      <c r="AB154" s="40" t="s">
        <v>1617</v>
      </c>
      <c r="AC154" s="40" t="s">
        <v>724</v>
      </c>
      <c r="AD154" s="40" t="s">
        <v>511</v>
      </c>
      <c r="AE154" s="40">
        <v>250</v>
      </c>
      <c r="AF154" s="103">
        <v>45815</v>
      </c>
      <c r="AG154" s="40">
        <v>69</v>
      </c>
      <c r="AH154" s="40">
        <f>VLOOKUP(Таблица310[[#This Row],[№ акта]],'Степень зрелости 2025'!$H$13:$I$583,2,FALSE)</f>
        <v>58</v>
      </c>
      <c r="AI154" s="40" t="str">
        <f>VLOOKUP(Таблица310[[#This Row],[№ акта]],$AQ$1:$AT$594,2,FALSE)</f>
        <v>А-67</v>
      </c>
      <c r="AJ154" s="40" t="str">
        <f>Таблица310[[#This Row],[Регистратор.Номенклатура]]</f>
        <v>Преладо</v>
      </c>
      <c r="AK154" s="40" t="str">
        <f>VLOOKUP(Таблица310[[#This Row],[№ акта]],$AQ$1:$AT$594,4,FALSE)</f>
        <v>ГРК (богара)</v>
      </c>
      <c r="AL154" s="45">
        <f>VLOOKUP(Таблица310[[#This Row],[№ акта]],$AQ$1:$AT$594,3,FALSE)</f>
        <v>3.2141788812443912</v>
      </c>
      <c r="AM154" s="40" t="str">
        <f>IF(Таблица310[[#This Row],[Площадь уборки, га]]=Таблица310[[#This Row],[Площадь уборки до корр]],"нет","да")</f>
        <v>да</v>
      </c>
      <c r="AN154" s="45">
        <f>Таблица310[[#This Row],[Площадь уборки до корр]]-Таблица310[[#This Row],[Площадь уборки, га]]</f>
        <v>2.6094969309699323</v>
      </c>
      <c r="AQ154">
        <v>250</v>
      </c>
      <c r="AR154" t="s">
        <v>754</v>
      </c>
      <c r="AS154">
        <v>3.2141788812443912</v>
      </c>
      <c r="AT154" t="s">
        <v>46</v>
      </c>
      <c r="XEM154" s="72"/>
      <c r="XEN154" s="73"/>
      <c r="XEO154" s="74"/>
      <c r="XEP154" s="75"/>
      <c r="XEQ154" s="76"/>
      <c r="XER154" s="73"/>
    </row>
    <row r="155" spans="1:46 16367:16372" ht="25.5" hidden="1" customHeight="1" x14ac:dyDescent="0.25">
      <c r="A155" s="72"/>
      <c r="B155" s="73"/>
      <c r="C155" s="120">
        <f>Таблица310[[#This Row],[Степень зрелости вспом]]</f>
        <v>59</v>
      </c>
      <c r="D155" s="75">
        <v>251</v>
      </c>
      <c r="E155" s="146">
        <v>45815</v>
      </c>
      <c r="F155" s="73">
        <v>9180</v>
      </c>
      <c r="G155" s="169">
        <v>4560</v>
      </c>
      <c r="H155" s="77">
        <v>4620</v>
      </c>
      <c r="I155" s="73">
        <v>3853.2</v>
      </c>
      <c r="J155" s="72" t="s">
        <v>78</v>
      </c>
      <c r="K155" s="72" t="s">
        <v>21</v>
      </c>
      <c r="L155" s="72" t="s">
        <v>754</v>
      </c>
      <c r="M155" s="35" t="s">
        <v>762</v>
      </c>
      <c r="N155" s="40"/>
      <c r="O155" s="72"/>
      <c r="P155" s="72"/>
      <c r="Q155" s="72"/>
      <c r="R155" s="72" t="s">
        <v>763</v>
      </c>
      <c r="S155" s="40"/>
      <c r="T155" s="70" t="s">
        <v>754</v>
      </c>
      <c r="U155" s="68" t="str">
        <f>Таблица310[[#This Row],[Регистратор.Номенклатура]]</f>
        <v>Преладо</v>
      </c>
      <c r="V155" s="45">
        <f>6.1*Таблица310[[#This Row],[Регистратор.Вес нетто]]/92910</f>
        <v>0.29938650306748466</v>
      </c>
      <c r="W155" s="72" t="s">
        <v>46</v>
      </c>
      <c r="X155" s="72" t="s">
        <v>19</v>
      </c>
      <c r="Y155" s="40">
        <v>9</v>
      </c>
      <c r="Z155" s="71">
        <v>45814</v>
      </c>
      <c r="AA155" s="40"/>
      <c r="AB155" s="40" t="s">
        <v>1617</v>
      </c>
      <c r="AC155" s="40" t="s">
        <v>724</v>
      </c>
      <c r="AD155" s="40" t="s">
        <v>511</v>
      </c>
      <c r="AE155" s="40">
        <v>251</v>
      </c>
      <c r="AF155" s="103">
        <v>45815</v>
      </c>
      <c r="AG155" s="40">
        <v>70</v>
      </c>
      <c r="AH155" s="40">
        <f>VLOOKUP(Таблица310[[#This Row],[№ акта]],'Степень зрелости 2025'!$H$13:$I$583,2,FALSE)</f>
        <v>59</v>
      </c>
      <c r="AI155" s="40" t="str">
        <f>VLOOKUP(Таблица310[[#This Row],[№ акта]],$AQ$1:$AT$594,2,FALSE)</f>
        <v>А-67</v>
      </c>
      <c r="AJ155" s="40" t="str">
        <f>Таблица310[[#This Row],[Регистратор.Номенклатура]]</f>
        <v>Преладо</v>
      </c>
      <c r="AK155" s="40" t="str">
        <f>VLOOKUP(Таблица310[[#This Row],[№ акта]],$AQ$1:$AT$594,4,FALSE)</f>
        <v>ГРК (богара)</v>
      </c>
      <c r="AL155" s="45">
        <f>VLOOKUP(Таблица310[[#This Row],[№ акта]],$AQ$1:$AT$594,3,FALSE)</f>
        <v>1.5913849835477116</v>
      </c>
      <c r="AM155" s="40" t="str">
        <f>IF(Таблица310[[#This Row],[Площадь уборки, га]]=Таблица310[[#This Row],[Площадь уборки до корр]],"нет","да")</f>
        <v>да</v>
      </c>
      <c r="AN155" s="45">
        <f>Таблица310[[#This Row],[Площадь уборки до корр]]-Таблица310[[#This Row],[Площадь уборки, га]]</f>
        <v>1.2919984804802269</v>
      </c>
      <c r="AQ155">
        <v>251</v>
      </c>
      <c r="AR155" t="s">
        <v>754</v>
      </c>
      <c r="AS155">
        <v>1.5913849835477116</v>
      </c>
      <c r="AT155" t="s">
        <v>46</v>
      </c>
      <c r="XEM155" s="72"/>
      <c r="XEN155" s="73"/>
      <c r="XEO155" s="74"/>
      <c r="XEP155" s="75"/>
      <c r="XEQ155" s="76"/>
      <c r="XER155" s="73"/>
    </row>
    <row r="156" spans="1:46 16367:16372" ht="25.5" hidden="1" customHeight="1" x14ac:dyDescent="0.25">
      <c r="A156" s="72"/>
      <c r="B156" s="73"/>
      <c r="C156" s="120">
        <f>Таблица310[[#This Row],[Степень зрелости вспом]]</f>
        <v>60</v>
      </c>
      <c r="D156" s="75">
        <v>252</v>
      </c>
      <c r="E156" s="146">
        <v>45815</v>
      </c>
      <c r="F156" s="73">
        <v>31060</v>
      </c>
      <c r="G156" s="169">
        <v>16600</v>
      </c>
      <c r="H156" s="77">
        <v>14460</v>
      </c>
      <c r="I156" s="73">
        <v>14276</v>
      </c>
      <c r="J156" s="72" t="s">
        <v>78</v>
      </c>
      <c r="K156" s="72" t="s">
        <v>21</v>
      </c>
      <c r="L156" s="72" t="s">
        <v>754</v>
      </c>
      <c r="M156" s="35" t="s">
        <v>1312</v>
      </c>
      <c r="N156" s="40"/>
      <c r="O156" s="72"/>
      <c r="P156" s="72"/>
      <c r="Q156" s="72"/>
      <c r="R156" s="72" t="s">
        <v>320</v>
      </c>
      <c r="S156" s="40"/>
      <c r="T156" s="70" t="s">
        <v>754</v>
      </c>
      <c r="U156" s="68" t="str">
        <f>Таблица310[[#This Row],[Регистратор.Номенклатура]]</f>
        <v>Преладо</v>
      </c>
      <c r="V156" s="45">
        <f>6.1*Таблица310[[#This Row],[Регистратор.Вес нетто]]/92910</f>
        <v>1.0898719190614574</v>
      </c>
      <c r="W156" s="72" t="s">
        <v>46</v>
      </c>
      <c r="X156" s="72" t="s">
        <v>19</v>
      </c>
      <c r="Y156" s="40">
        <v>9</v>
      </c>
      <c r="Z156" s="71">
        <v>45814</v>
      </c>
      <c r="AA156" s="40"/>
      <c r="AB156" s="40" t="s">
        <v>1617</v>
      </c>
      <c r="AC156" s="40" t="s">
        <v>724</v>
      </c>
      <c r="AD156" s="40" t="s">
        <v>511</v>
      </c>
      <c r="AE156" s="40">
        <v>252</v>
      </c>
      <c r="AF156" s="103">
        <v>45815</v>
      </c>
      <c r="AG156" s="40">
        <v>71</v>
      </c>
      <c r="AH156" s="40">
        <f>VLOOKUP(Таблица310[[#This Row],[№ акта]],'Степень зрелости 2025'!$H$13:$I$583,2,FALSE)</f>
        <v>60</v>
      </c>
      <c r="AI156" s="40" t="str">
        <f>VLOOKUP(Таблица310[[#This Row],[№ акта]],$AQ$1:$AT$594,2,FALSE)</f>
        <v>А-67</v>
      </c>
      <c r="AJ156" s="40" t="str">
        <f>Таблица310[[#This Row],[Регистратор.Номенклатура]]</f>
        <v>Преладо</v>
      </c>
      <c r="AK156" s="40" t="str">
        <f>VLOOKUP(Таблица310[[#This Row],[№ акта]],$AQ$1:$AT$594,4,FALSE)</f>
        <v>ГРК (богара)</v>
      </c>
      <c r="AL156" s="45">
        <f>VLOOKUP(Таблица310[[#This Row],[№ акта]],$AQ$1:$AT$594,3,FALSE)</f>
        <v>5.7931997208096524</v>
      </c>
      <c r="AM156" s="40" t="str">
        <f>IF(Таблица310[[#This Row],[Площадь уборки, га]]=Таблица310[[#This Row],[Площадь уборки до корр]],"нет","да")</f>
        <v>да</v>
      </c>
      <c r="AN156" s="45">
        <f>Таблица310[[#This Row],[Площадь уборки до корр]]-Таблица310[[#This Row],[Площадь уборки, га]]</f>
        <v>4.7033278017481948</v>
      </c>
      <c r="AQ156">
        <v>252</v>
      </c>
      <c r="AR156" t="s">
        <v>754</v>
      </c>
      <c r="AS156">
        <v>5.7931997208096524</v>
      </c>
      <c r="AT156" t="s">
        <v>46</v>
      </c>
      <c r="XEM156" s="72"/>
      <c r="XEN156" s="73"/>
      <c r="XEO156" s="74"/>
      <c r="XEP156" s="75"/>
      <c r="XEQ156" s="76"/>
      <c r="XER156" s="73"/>
    </row>
    <row r="157" spans="1:46 16367:16372" ht="25.5" hidden="1" customHeight="1" x14ac:dyDescent="0.25">
      <c r="A157" s="72"/>
      <c r="B157" s="73"/>
      <c r="C157" s="120">
        <f>Таблица310[[#This Row],[Степень зрелости вспом]]</f>
        <v>63</v>
      </c>
      <c r="D157" s="75">
        <v>253</v>
      </c>
      <c r="E157" s="146">
        <v>45815</v>
      </c>
      <c r="F157" s="73">
        <v>28630</v>
      </c>
      <c r="G157" s="73">
        <v>13640</v>
      </c>
      <c r="H157" s="77">
        <v>14990</v>
      </c>
      <c r="I157" s="73">
        <v>12003.2</v>
      </c>
      <c r="J157" s="72" t="s">
        <v>78</v>
      </c>
      <c r="K157" s="72" t="s">
        <v>772</v>
      </c>
      <c r="L157" s="72" t="s">
        <v>771</v>
      </c>
      <c r="M157" s="35" t="s">
        <v>329</v>
      </c>
      <c r="N157" s="40"/>
      <c r="O157" s="72"/>
      <c r="P157" s="72"/>
      <c r="Q157" s="72"/>
      <c r="R157" s="72" t="s">
        <v>333</v>
      </c>
      <c r="S157" s="40"/>
      <c r="T157" s="70" t="s">
        <v>746</v>
      </c>
      <c r="U157" s="68" t="str">
        <f>Таблица310[[#This Row],[Регистратор.Номенклатура]]</f>
        <v>Фалкон</v>
      </c>
      <c r="V157" s="45">
        <f>3*Таблица310[[#This Row],[Регистратор.Вес нетто]]/61100</f>
        <v>0.66972176759410806</v>
      </c>
      <c r="W157" s="72" t="s">
        <v>46</v>
      </c>
      <c r="X157" s="72" t="s">
        <v>19</v>
      </c>
      <c r="Y157" s="40">
        <v>10</v>
      </c>
      <c r="Z157" s="71">
        <v>45815</v>
      </c>
      <c r="AA157" s="40"/>
      <c r="AB157" s="40" t="s">
        <v>1615</v>
      </c>
      <c r="AC157" s="40" t="s">
        <v>724</v>
      </c>
      <c r="AD157" s="40" t="s">
        <v>511</v>
      </c>
      <c r="AE157" s="40">
        <v>253</v>
      </c>
      <c r="AF157" s="103">
        <v>45815</v>
      </c>
      <c r="AG157" s="40">
        <v>72</v>
      </c>
      <c r="AH157" s="40">
        <f>VLOOKUP(Таблица310[[#This Row],[№ акта]],'Степень зрелости 2025'!$H$13:$I$583,2,FALSE)</f>
        <v>63</v>
      </c>
      <c r="AI157" s="40" t="str">
        <f>VLOOKUP(Таблица310[[#This Row],[№ акта]],$AQ$1:$AT$594,2,FALSE)</f>
        <v>А-66</v>
      </c>
      <c r="AJ157" s="40" t="str">
        <f>Таблица310[[#This Row],[Регистратор.Номенклатура]]</f>
        <v>Фалкон</v>
      </c>
      <c r="AK157" s="40" t="str">
        <f>VLOOKUP(Таблица310[[#This Row],[№ акта]],$AQ$1:$AT$594,4,FALSE)</f>
        <v>ГРК собственные семена (богара)</v>
      </c>
      <c r="AL157" s="45">
        <f>VLOOKUP(Таблица310[[#This Row],[№ акта]],$AQ$1:$AT$594,3,FALSE)</f>
        <v>3.2105448981993643</v>
      </c>
      <c r="AM157" s="40" t="str">
        <f>IF(Таблица310[[#This Row],[Площадь уборки, га]]=Таблица310[[#This Row],[Площадь уборки до корр]],"нет","да")</f>
        <v>да</v>
      </c>
      <c r="AN157" s="45">
        <f>Таблица310[[#This Row],[Площадь уборки до корр]]-Таблица310[[#This Row],[Площадь уборки, га]]</f>
        <v>2.540823130605256</v>
      </c>
      <c r="AQ157">
        <v>253</v>
      </c>
      <c r="AR157" t="s">
        <v>771</v>
      </c>
      <c r="AS157">
        <v>3.2105448981993643</v>
      </c>
      <c r="AT157" t="s">
        <v>44</v>
      </c>
      <c r="XEM157" s="72"/>
      <c r="XEN157" s="73"/>
      <c r="XEO157" s="74"/>
      <c r="XEP157" s="75"/>
      <c r="XEQ157" s="76"/>
      <c r="XER157" s="73"/>
    </row>
    <row r="158" spans="1:46 16367:16372" ht="25.5" hidden="1" customHeight="1" x14ac:dyDescent="0.25">
      <c r="A158" s="72"/>
      <c r="B158" s="73"/>
      <c r="C158" s="120">
        <f>Таблица310[[#This Row],[Степень зрелости вспом]]</f>
        <v>65</v>
      </c>
      <c r="D158" s="75">
        <v>254</v>
      </c>
      <c r="E158" s="146">
        <v>45815</v>
      </c>
      <c r="F158" s="73">
        <v>27400</v>
      </c>
      <c r="G158" s="73">
        <v>13310</v>
      </c>
      <c r="H158" s="77">
        <v>14090</v>
      </c>
      <c r="I158" s="73">
        <v>11313.5</v>
      </c>
      <c r="J158" s="72" t="s">
        <v>78</v>
      </c>
      <c r="K158" s="72" t="s">
        <v>772</v>
      </c>
      <c r="L158" s="72" t="s">
        <v>771</v>
      </c>
      <c r="M158" s="35" t="s">
        <v>79</v>
      </c>
      <c r="N158" s="40"/>
      <c r="O158" s="72"/>
      <c r="P158" s="72"/>
      <c r="Q158" s="72"/>
      <c r="R158" s="72" t="s">
        <v>80</v>
      </c>
      <c r="S158" s="40"/>
      <c r="T158" s="70" t="s">
        <v>746</v>
      </c>
      <c r="U158" s="68" t="str">
        <f>Таблица310[[#This Row],[Регистратор.Номенклатура]]</f>
        <v>Фалкон</v>
      </c>
      <c r="V158" s="45">
        <f>3*Таблица310[[#This Row],[Регистратор.Вес нетто]]/61100</f>
        <v>0.65351882160392794</v>
      </c>
      <c r="W158" s="72" t="s">
        <v>46</v>
      </c>
      <c r="X158" s="72" t="s">
        <v>19</v>
      </c>
      <c r="Y158" s="40">
        <v>10</v>
      </c>
      <c r="Z158" s="71">
        <v>45815</v>
      </c>
      <c r="AA158" s="40"/>
      <c r="AB158" s="40" t="s">
        <v>1615</v>
      </c>
      <c r="AC158" s="40" t="s">
        <v>724</v>
      </c>
      <c r="AD158" s="40" t="s">
        <v>511</v>
      </c>
      <c r="AE158" s="40">
        <v>254</v>
      </c>
      <c r="AF158" s="103">
        <v>45815</v>
      </c>
      <c r="AG158" s="40">
        <v>73</v>
      </c>
      <c r="AH158" s="40">
        <f>VLOOKUP(Таблица310[[#This Row],[№ акта]],'Степень зрелости 2025'!$H$13:$I$583,2,FALSE)</f>
        <v>65</v>
      </c>
      <c r="AI158" s="40" t="str">
        <f>VLOOKUP(Таблица310[[#This Row],[№ акта]],$AQ$1:$AT$594,2,FALSE)</f>
        <v>А-66</v>
      </c>
      <c r="AJ158" s="40" t="str">
        <f>Таблица310[[#This Row],[Регистратор.Номенклатура]]</f>
        <v>Фалкон</v>
      </c>
      <c r="AK158" s="40" t="str">
        <f>VLOOKUP(Таблица310[[#This Row],[№ акта]],$AQ$1:$AT$594,4,FALSE)</f>
        <v>ГРК собственные семена (богара)</v>
      </c>
      <c r="AL158" s="45">
        <f>VLOOKUP(Таблица310[[#This Row],[№ акта]],$AQ$1:$AT$594,3,FALSE)</f>
        <v>3.1328704248558314</v>
      </c>
      <c r="AM158" s="40" t="str">
        <f>IF(Таблица310[[#This Row],[Площадь уборки, га]]=Таблица310[[#This Row],[Площадь уборки до корр]],"нет","да")</f>
        <v>да</v>
      </c>
      <c r="AN158" s="45">
        <f>Таблица310[[#This Row],[Площадь уборки до корр]]-Таблица310[[#This Row],[Площадь уборки, га]]</f>
        <v>2.4793516032519034</v>
      </c>
      <c r="AQ158">
        <v>254</v>
      </c>
      <c r="AR158" t="s">
        <v>771</v>
      </c>
      <c r="AS158">
        <v>3.1328704248558314</v>
      </c>
      <c r="AT158" t="s">
        <v>44</v>
      </c>
      <c r="XEM158" s="72"/>
      <c r="XEN158" s="73"/>
      <c r="XEO158" s="74"/>
      <c r="XEP158" s="75"/>
      <c r="XEQ158" s="76"/>
      <c r="XER158" s="73"/>
    </row>
    <row r="159" spans="1:46 16367:16372" ht="25.5" hidden="1" customHeight="1" x14ac:dyDescent="0.25">
      <c r="A159" s="72"/>
      <c r="B159" s="73"/>
      <c r="C159" s="120">
        <f>Таблица310[[#This Row],[Степень зрелости вспом]]</f>
        <v>67</v>
      </c>
      <c r="D159" s="75">
        <v>255</v>
      </c>
      <c r="E159" s="146">
        <v>45815</v>
      </c>
      <c r="F159" s="73">
        <v>8620</v>
      </c>
      <c r="G159" s="73">
        <v>4010</v>
      </c>
      <c r="H159" s="77">
        <v>4610</v>
      </c>
      <c r="I159" s="73">
        <v>3348.3</v>
      </c>
      <c r="J159" s="72" t="s">
        <v>78</v>
      </c>
      <c r="K159" s="72" t="s">
        <v>772</v>
      </c>
      <c r="L159" s="72" t="s">
        <v>771</v>
      </c>
      <c r="M159" s="35" t="s">
        <v>762</v>
      </c>
      <c r="N159" s="40"/>
      <c r="O159" s="72"/>
      <c r="P159" s="72"/>
      <c r="Q159" s="72"/>
      <c r="R159" s="72" t="s">
        <v>763</v>
      </c>
      <c r="S159" s="40"/>
      <c r="T159" s="70" t="s">
        <v>746</v>
      </c>
      <c r="U159" s="68" t="str">
        <f>Таблица310[[#This Row],[Регистратор.Номенклатура]]</f>
        <v>Фалкон</v>
      </c>
      <c r="V159" s="45">
        <f>3*Таблица310[[#This Row],[Регистратор.Вес нетто]]/61100</f>
        <v>0.19689034369885433</v>
      </c>
      <c r="W159" s="72" t="s">
        <v>46</v>
      </c>
      <c r="X159" s="72" t="s">
        <v>19</v>
      </c>
      <c r="Y159" s="40">
        <v>10</v>
      </c>
      <c r="Z159" s="71">
        <v>45815</v>
      </c>
      <c r="AA159" s="40"/>
      <c r="AB159" s="40" t="s">
        <v>1615</v>
      </c>
      <c r="AC159" s="40" t="s">
        <v>420</v>
      </c>
      <c r="AD159" s="40" t="s">
        <v>550</v>
      </c>
      <c r="AE159" s="40">
        <v>255</v>
      </c>
      <c r="AF159" s="103">
        <v>45815</v>
      </c>
      <c r="AG159" s="40">
        <v>74</v>
      </c>
      <c r="AH159" s="40">
        <f>VLOOKUP(Таблица310[[#This Row],[№ акта]],'Степень зрелости 2025'!$H$13:$I$583,2,FALSE)</f>
        <v>67</v>
      </c>
      <c r="AI159" s="40" t="str">
        <f>VLOOKUP(Таблица310[[#This Row],[№ акта]],$AQ$1:$AT$594,2,FALSE)</f>
        <v>А-66</v>
      </c>
      <c r="AJ159" s="40" t="str">
        <f>Таблица310[[#This Row],[Регистратор.Номенклатура]]</f>
        <v>Фалкон</v>
      </c>
      <c r="AK159" s="40" t="str">
        <f>VLOOKUP(Таблица310[[#This Row],[№ акта]],$AQ$1:$AT$594,4,FALSE)</f>
        <v>ГРК собственные семена (богара)</v>
      </c>
      <c r="AL159" s="45">
        <f>VLOOKUP(Таблица310[[#This Row],[№ акта]],$AQ$1:$AT$594,3,FALSE)</f>
        <v>0.94386253971990119</v>
      </c>
      <c r="AM159" s="40" t="str">
        <f>IF(Таблица310[[#This Row],[Площадь уборки, га]]=Таблица310[[#This Row],[Площадь уборки до корр]],"нет","да")</f>
        <v>да</v>
      </c>
      <c r="AN159" s="45">
        <f>Таблица310[[#This Row],[Площадь уборки до корр]]-Таблица310[[#This Row],[Площадь уборки, га]]</f>
        <v>0.74697219602104692</v>
      </c>
      <c r="AQ159">
        <v>255</v>
      </c>
      <c r="AR159" t="s">
        <v>771</v>
      </c>
      <c r="AS159">
        <v>0.94386253971990119</v>
      </c>
      <c r="AT159" t="s">
        <v>44</v>
      </c>
      <c r="XEM159" s="72"/>
      <c r="XEN159" s="73"/>
      <c r="XEO159" s="74"/>
      <c r="XEP159" s="75"/>
      <c r="XEQ159" s="76"/>
      <c r="XER159" s="73"/>
    </row>
    <row r="160" spans="1:46 16367:16372" ht="25.5" hidden="1" customHeight="1" x14ac:dyDescent="0.25">
      <c r="A160" s="72"/>
      <c r="B160" s="73"/>
      <c r="C160" s="120">
        <f>Таблица310[[#This Row],[Степень зрелости вспом]]</f>
        <v>62</v>
      </c>
      <c r="D160" s="75">
        <v>256</v>
      </c>
      <c r="E160" s="146">
        <v>45815</v>
      </c>
      <c r="F160" s="73">
        <v>31480</v>
      </c>
      <c r="G160" s="73">
        <v>17020</v>
      </c>
      <c r="H160" s="77">
        <v>14460</v>
      </c>
      <c r="I160" s="73">
        <v>14977.6</v>
      </c>
      <c r="J160" s="72" t="s">
        <v>78</v>
      </c>
      <c r="K160" s="72" t="s">
        <v>772</v>
      </c>
      <c r="L160" s="72" t="s">
        <v>771</v>
      </c>
      <c r="M160" s="35" t="s">
        <v>1312</v>
      </c>
      <c r="N160" s="40"/>
      <c r="O160" s="72"/>
      <c r="P160" s="72"/>
      <c r="Q160" s="72"/>
      <c r="R160" s="72" t="s">
        <v>320</v>
      </c>
      <c r="S160" s="40"/>
      <c r="T160" s="70" t="s">
        <v>746</v>
      </c>
      <c r="U160" s="68" t="str">
        <f>Таблица310[[#This Row],[Регистратор.Номенклатура]]</f>
        <v>Фалкон</v>
      </c>
      <c r="V160" s="45">
        <f>3*Таблица310[[#This Row],[Регистратор.Вес нетто]]/61100</f>
        <v>0.83567921440261861</v>
      </c>
      <c r="W160" s="72" t="s">
        <v>46</v>
      </c>
      <c r="X160" s="72" t="s">
        <v>19</v>
      </c>
      <c r="Y160" s="40">
        <v>10</v>
      </c>
      <c r="Z160" s="71">
        <v>45815</v>
      </c>
      <c r="AA160" s="40"/>
      <c r="AB160" s="40" t="s">
        <v>1615</v>
      </c>
      <c r="AC160" s="40" t="s">
        <v>724</v>
      </c>
      <c r="AD160" s="40" t="s">
        <v>550</v>
      </c>
      <c r="AE160" s="40">
        <v>256</v>
      </c>
      <c r="AF160" s="103">
        <v>45815</v>
      </c>
      <c r="AG160" s="40">
        <v>75</v>
      </c>
      <c r="AH160" s="40">
        <f>VLOOKUP(Таблица310[[#This Row],[№ акта]],'Степень зрелости 2025'!$H$13:$I$583,2,FALSE)</f>
        <v>62</v>
      </c>
      <c r="AI160" s="40" t="str">
        <f>VLOOKUP(Таблица310[[#This Row],[№ акта]],$AQ$1:$AT$594,2,FALSE)</f>
        <v>А-66</v>
      </c>
      <c r="AJ160" s="40" t="str">
        <f>Таблица310[[#This Row],[Регистратор.Номенклатура]]</f>
        <v>Фалкон</v>
      </c>
      <c r="AK160" s="40" t="str">
        <f>VLOOKUP(Таблица310[[#This Row],[№ акта]],$AQ$1:$AT$594,4,FALSE)</f>
        <v>ГРК собственные семена (богара)</v>
      </c>
      <c r="AL160" s="45">
        <f>VLOOKUP(Таблица310[[#This Row],[№ акта]],$AQ$1:$AT$594,3,FALSE)</f>
        <v>4.0061198069907027</v>
      </c>
      <c r="AM160" s="40" t="str">
        <f>IF(Таблица310[[#This Row],[Площадь уборки, га]]=Таблица310[[#This Row],[Площадь уборки до корр]],"нет","да")</f>
        <v>да</v>
      </c>
      <c r="AN160" s="45">
        <f>Таблица310[[#This Row],[Площадь уборки до корр]]-Таблица310[[#This Row],[Площадь уборки, га]]</f>
        <v>3.1704405925880841</v>
      </c>
      <c r="AQ160">
        <v>256</v>
      </c>
      <c r="AR160" t="s">
        <v>771</v>
      </c>
      <c r="AS160">
        <v>4.0061198069907027</v>
      </c>
      <c r="AT160" t="s">
        <v>44</v>
      </c>
      <c r="XEM160" s="72"/>
      <c r="XEN160" s="73"/>
      <c r="XEO160" s="74"/>
      <c r="XEP160" s="75"/>
      <c r="XEQ160" s="76"/>
      <c r="XER160" s="73"/>
    </row>
    <row r="161" spans="1:46 16367:16372" ht="25.5" hidden="1" customHeight="1" x14ac:dyDescent="0.25">
      <c r="A161" s="72"/>
      <c r="B161" s="73"/>
      <c r="C161" s="120">
        <f>Таблица310[[#This Row],[Степень зрелости вспом]]</f>
        <v>62</v>
      </c>
      <c r="D161" s="75">
        <v>257</v>
      </c>
      <c r="E161" s="146">
        <v>45815</v>
      </c>
      <c r="F161" s="73">
        <v>28100</v>
      </c>
      <c r="G161" s="73">
        <v>13130</v>
      </c>
      <c r="H161" s="77">
        <v>14970</v>
      </c>
      <c r="I161" s="73">
        <v>10897.9</v>
      </c>
      <c r="J161" s="72" t="s">
        <v>78</v>
      </c>
      <c r="K161" s="72" t="s">
        <v>772</v>
      </c>
      <c r="L161" s="72" t="s">
        <v>771</v>
      </c>
      <c r="M161" s="35" t="s">
        <v>329</v>
      </c>
      <c r="N161" s="40"/>
      <c r="O161" s="72"/>
      <c r="P161" s="72"/>
      <c r="Q161" s="72"/>
      <c r="R161" s="72" t="s">
        <v>333</v>
      </c>
      <c r="S161" s="40"/>
      <c r="T161" s="70" t="s">
        <v>746</v>
      </c>
      <c r="U161" s="68" t="str">
        <f>Таблица310[[#This Row],[Регистратор.Номенклатура]]</f>
        <v>Фалкон</v>
      </c>
      <c r="V161" s="45">
        <f>3*Таблица310[[#This Row],[Регистратор.Вес нетто]]/61100</f>
        <v>0.64468085106382977</v>
      </c>
      <c r="W161" s="72" t="s">
        <v>46</v>
      </c>
      <c r="X161" s="72" t="s">
        <v>19</v>
      </c>
      <c r="Y161" s="40">
        <v>10</v>
      </c>
      <c r="Z161" s="71">
        <v>45815</v>
      </c>
      <c r="AA161" s="40"/>
      <c r="AB161" s="40" t="s">
        <v>1615</v>
      </c>
      <c r="AC161" s="40" t="s">
        <v>724</v>
      </c>
      <c r="AD161" s="40" t="s">
        <v>550</v>
      </c>
      <c r="AE161" s="40">
        <v>257</v>
      </c>
      <c r="AF161" s="103">
        <v>45815</v>
      </c>
      <c r="AG161" s="40">
        <v>76</v>
      </c>
      <c r="AH161" s="40">
        <f>VLOOKUP(Таблица310[[#This Row],[№ акта]],'Степень зрелости 2025'!$H$13:$I$583,2,FALSE)</f>
        <v>62</v>
      </c>
      <c r="AI161" s="40" t="str">
        <f>VLOOKUP(Таблица310[[#This Row],[№ акта]],$AQ$1:$AT$594,2,FALSE)</f>
        <v>А-66</v>
      </c>
      <c r="AJ161" s="40" t="str">
        <f>Таблица310[[#This Row],[Регистратор.Номенклатура]]</f>
        <v>Фалкон</v>
      </c>
      <c r="AK161" s="40" t="str">
        <f>VLOOKUP(Таблица310[[#This Row],[№ акта]],$AQ$1:$AT$594,4,FALSE)</f>
        <v>ГРК собственные семена (богара)</v>
      </c>
      <c r="AL161" s="45">
        <f>VLOOKUP(Таблица310[[#This Row],[№ акта]],$AQ$1:$AT$594,3,FALSE)</f>
        <v>3.0905025303048133</v>
      </c>
      <c r="AM161" s="40" t="str">
        <f>IF(Таблица310[[#This Row],[Площадь уборки, га]]=Таблица310[[#This Row],[Площадь уборки до корр]],"нет","да")</f>
        <v>да</v>
      </c>
      <c r="AN161" s="45">
        <f>Таблица310[[#This Row],[Площадь уборки до корр]]-Таблица310[[#This Row],[Площадь уборки, га]]</f>
        <v>2.4458216792409835</v>
      </c>
      <c r="AQ161">
        <v>257</v>
      </c>
      <c r="AR161" t="s">
        <v>771</v>
      </c>
      <c r="AS161">
        <v>3.0905025303048133</v>
      </c>
      <c r="AT161" t="s">
        <v>44</v>
      </c>
      <c r="XEM161" s="72"/>
      <c r="XEN161" s="73"/>
      <c r="XEO161" s="74"/>
      <c r="XEP161" s="75"/>
      <c r="XEQ161" s="76"/>
      <c r="XER161" s="73"/>
    </row>
    <row r="162" spans="1:46 16367:16372" ht="25.5" hidden="1" customHeight="1" x14ac:dyDescent="0.25">
      <c r="A162" s="72"/>
      <c r="B162" s="73"/>
      <c r="C162" s="120">
        <f>Таблица310[[#This Row],[Степень зрелости вспом]]</f>
        <v>62</v>
      </c>
      <c r="D162" s="75">
        <v>258</v>
      </c>
      <c r="E162" s="146">
        <v>45816</v>
      </c>
      <c r="F162" s="73">
        <v>27200</v>
      </c>
      <c r="G162" s="73">
        <v>13120</v>
      </c>
      <c r="H162" s="77">
        <v>14080</v>
      </c>
      <c r="I162" s="73">
        <v>11676.8</v>
      </c>
      <c r="J162" s="72" t="s">
        <v>78</v>
      </c>
      <c r="K162" s="72" t="s">
        <v>772</v>
      </c>
      <c r="L162" s="72" t="s">
        <v>771</v>
      </c>
      <c r="M162" s="35" t="s">
        <v>79</v>
      </c>
      <c r="N162" s="40"/>
      <c r="O162" s="72"/>
      <c r="P162" s="72"/>
      <c r="Q162" s="72"/>
      <c r="R162" s="72" t="s">
        <v>80</v>
      </c>
      <c r="S162" s="40"/>
      <c r="T162" s="70" t="s">
        <v>771</v>
      </c>
      <c r="U162" s="68" t="str">
        <f>Таблица310[[#This Row],[Регистратор.Номенклатура]]</f>
        <v>Фалкон</v>
      </c>
      <c r="V162" s="45">
        <f>20.4*Таблица310[[#This Row],[Регистратор.Вес нетто]]/23860</f>
        <v>11.217435037720033</v>
      </c>
      <c r="W162" s="72" t="s">
        <v>44</v>
      </c>
      <c r="X162" s="72" t="s">
        <v>19</v>
      </c>
      <c r="Y162" s="40">
        <v>10</v>
      </c>
      <c r="Z162" s="71">
        <v>45815</v>
      </c>
      <c r="AA162" s="40"/>
      <c r="AB162" s="40" t="s">
        <v>1615</v>
      </c>
      <c r="AC162" s="40" t="s">
        <v>724</v>
      </c>
      <c r="AD162" s="40" t="s">
        <v>550</v>
      </c>
      <c r="AE162" s="40">
        <v>258</v>
      </c>
      <c r="AF162" s="103">
        <v>45816</v>
      </c>
      <c r="AG162" s="40">
        <v>77</v>
      </c>
      <c r="AH162" s="40">
        <f>VLOOKUP(Таблица310[[#This Row],[№ акта]],'Степень зрелости 2025'!$H$13:$I$583,2,FALSE)</f>
        <v>62</v>
      </c>
      <c r="AI162" s="40" t="str">
        <f>VLOOKUP(Таблица310[[#This Row],[№ акта]],$AQ$1:$AT$594,2,FALSE)</f>
        <v>А-66</v>
      </c>
      <c r="AJ162" s="40" t="str">
        <f>Таблица310[[#This Row],[Регистратор.Номенклатура]]</f>
        <v>Фалкон</v>
      </c>
      <c r="AK162" s="40" t="str">
        <f>VLOOKUP(Таблица310[[#This Row],[№ акта]],$AQ$1:$AT$594,4,FALSE)</f>
        <v>ГРК собственные семена (богара)</v>
      </c>
      <c r="AL162" s="45">
        <f>VLOOKUP(Таблица310[[#This Row],[№ акта]],$AQ$1:$AT$594,3,FALSE)</f>
        <v>3.0881487583853127</v>
      </c>
      <c r="AM162" s="40" t="str">
        <f>IF(Таблица310[[#This Row],[Площадь уборки, га]]=Таблица310[[#This Row],[Площадь уборки до корр]],"нет","да")</f>
        <v>да</v>
      </c>
      <c r="AN162" s="45">
        <f>Таблица310[[#This Row],[Площадь уборки до корр]]-Таблица310[[#This Row],[Площадь уборки, га]]</f>
        <v>-8.1292862793347211</v>
      </c>
      <c r="AQ162">
        <v>258</v>
      </c>
      <c r="AR162" t="s">
        <v>771</v>
      </c>
      <c r="AS162">
        <v>3.0881487583853127</v>
      </c>
      <c r="AT162" t="s">
        <v>44</v>
      </c>
      <c r="XEM162" s="72"/>
      <c r="XEN162" s="73"/>
      <c r="XEO162" s="74"/>
      <c r="XEP162" s="75"/>
      <c r="XEQ162" s="76"/>
      <c r="XER162" s="73"/>
    </row>
    <row r="163" spans="1:46 16367:16372" ht="25.5" hidden="1" customHeight="1" x14ac:dyDescent="0.25">
      <c r="A163" s="72"/>
      <c r="B163" s="73"/>
      <c r="C163" s="120">
        <f>Таблица310[[#This Row],[Степень зрелости вспом]]</f>
        <v>67</v>
      </c>
      <c r="D163" s="75">
        <v>259</v>
      </c>
      <c r="E163" s="146">
        <v>45816</v>
      </c>
      <c r="F163" s="73">
        <v>9060</v>
      </c>
      <c r="G163" s="73">
        <v>4530</v>
      </c>
      <c r="H163" s="77">
        <v>4530</v>
      </c>
      <c r="I163" s="73">
        <v>4099.6000000000004</v>
      </c>
      <c r="J163" s="72" t="s">
        <v>78</v>
      </c>
      <c r="K163" s="72" t="s">
        <v>772</v>
      </c>
      <c r="L163" s="72" t="s">
        <v>771</v>
      </c>
      <c r="M163" s="35" t="s">
        <v>762</v>
      </c>
      <c r="N163" s="40"/>
      <c r="O163" s="72"/>
      <c r="P163" s="72"/>
      <c r="Q163" s="72"/>
      <c r="R163" s="72" t="s">
        <v>763</v>
      </c>
      <c r="S163" s="40"/>
      <c r="T163" s="70" t="s">
        <v>771</v>
      </c>
      <c r="U163" s="68" t="str">
        <f>Таблица310[[#This Row],[Регистратор.Номенклатура]]</f>
        <v>Фалкон</v>
      </c>
      <c r="V163" s="45">
        <f>20.4*Таблица310[[#This Row],[Регистратор.Вес нетто]]/23860</f>
        <v>3.8730930427493715</v>
      </c>
      <c r="W163" s="72" t="s">
        <v>44</v>
      </c>
      <c r="X163" s="72" t="s">
        <v>19</v>
      </c>
      <c r="Y163" s="40">
        <v>10</v>
      </c>
      <c r="Z163" s="71">
        <v>45815</v>
      </c>
      <c r="AA163" s="40"/>
      <c r="AB163" s="40" t="s">
        <v>1615</v>
      </c>
      <c r="AC163" s="40" t="s">
        <v>724</v>
      </c>
      <c r="AD163" s="40" t="s">
        <v>550</v>
      </c>
      <c r="AE163" s="40">
        <v>259</v>
      </c>
      <c r="AF163" s="103">
        <v>45816</v>
      </c>
      <c r="AG163" s="40">
        <v>78</v>
      </c>
      <c r="AH163" s="40">
        <f>VLOOKUP(Таблица310[[#This Row],[№ акта]],'Степень зрелости 2025'!$H$13:$I$583,2,FALSE)</f>
        <v>67</v>
      </c>
      <c r="AI163" s="40" t="str">
        <f>VLOOKUP(Таблица310[[#This Row],[№ акта]],$AQ$1:$AT$594,2,FALSE)</f>
        <v>А-66</v>
      </c>
      <c r="AJ163" s="40" t="str">
        <f>Таблица310[[#This Row],[Регистратор.Номенклатура]]</f>
        <v>Фалкон</v>
      </c>
      <c r="AK163" s="40" t="str">
        <f>VLOOKUP(Таблица310[[#This Row],[№ акта]],$AQ$1:$AT$594,4,FALSE)</f>
        <v>ГРК собственные семена (богара)</v>
      </c>
      <c r="AL163" s="45">
        <f>VLOOKUP(Таблица310[[#This Row],[№ акта]],$AQ$1:$AT$594,3,FALSE)</f>
        <v>1.0662586795339533</v>
      </c>
      <c r="AM163" s="40" t="str">
        <f>IF(Таблица310[[#This Row],[Площадь уборки, га]]=Таблица310[[#This Row],[Площадь уборки до корр]],"нет","да")</f>
        <v>да</v>
      </c>
      <c r="AN163" s="45">
        <f>Таблица310[[#This Row],[Площадь уборки до корр]]-Таблица310[[#This Row],[Площадь уборки, га]]</f>
        <v>-2.806834363215418</v>
      </c>
      <c r="AQ163">
        <v>259</v>
      </c>
      <c r="AR163" t="s">
        <v>771</v>
      </c>
      <c r="AS163">
        <v>1.0662586795339533</v>
      </c>
      <c r="AT163" t="s">
        <v>44</v>
      </c>
      <c r="XEM163" s="72"/>
      <c r="XEN163" s="73"/>
      <c r="XEO163" s="74"/>
      <c r="XEP163" s="75"/>
      <c r="XEQ163" s="76"/>
      <c r="XER163" s="73"/>
    </row>
    <row r="164" spans="1:46 16367:16372" ht="25.5" hidden="1" customHeight="1" x14ac:dyDescent="0.25">
      <c r="A164" s="72"/>
      <c r="B164" s="73"/>
      <c r="C164" s="120"/>
      <c r="D164" s="75">
        <v>260</v>
      </c>
      <c r="E164" s="146">
        <v>45816</v>
      </c>
      <c r="F164" s="73"/>
      <c r="G164" s="73"/>
      <c r="H164" s="77"/>
      <c r="I164" s="73"/>
      <c r="J164" s="72" t="s">
        <v>78</v>
      </c>
      <c r="K164" s="72" t="s">
        <v>772</v>
      </c>
      <c r="L164" s="72" t="s">
        <v>771</v>
      </c>
      <c r="M164" s="35" t="s">
        <v>762</v>
      </c>
      <c r="N164" s="40"/>
      <c r="O164" s="72"/>
      <c r="P164" s="72"/>
      <c r="Q164" s="72"/>
      <c r="R164" s="72" t="s">
        <v>763</v>
      </c>
      <c r="S164" s="40"/>
      <c r="T164" s="70"/>
      <c r="U164" s="68" t="str">
        <f>Таблица310[[#This Row],[Регистратор.Номенклатура]]</f>
        <v>Фалкон</v>
      </c>
      <c r="V164" s="45"/>
      <c r="W164" s="72"/>
      <c r="X164" s="72"/>
      <c r="Y164" s="40"/>
      <c r="Z164" s="71"/>
      <c r="AA164" s="40"/>
      <c r="AB164" s="40" t="s">
        <v>822</v>
      </c>
      <c r="AC164" s="40"/>
      <c r="AD164" s="40"/>
      <c r="AE164" s="40">
        <v>260</v>
      </c>
      <c r="AF164" s="103">
        <v>45816</v>
      </c>
      <c r="AG164" s="40">
        <v>78</v>
      </c>
      <c r="AH164" s="40" t="e">
        <f>VLOOKUP(Таблица310[[#This Row],[№ акта]],'Степень зрелости 2025'!$H$13:$I$583,2,FALSE)</f>
        <v>#N/A</v>
      </c>
      <c r="AI164" s="40">
        <f>VLOOKUP(Таблица310[[#This Row],[№ акта]],$AQ$1:$AT$594,2,FALSE)</f>
        <v>0</v>
      </c>
      <c r="AJ164" s="40" t="str">
        <f>Таблица310[[#This Row],[Регистратор.Номенклатура]]</f>
        <v>Фалкон</v>
      </c>
      <c r="AK164" s="40">
        <f>VLOOKUP(Таблица310[[#This Row],[№ акта]],$AQ$1:$AT$594,4,FALSE)</f>
        <v>0</v>
      </c>
      <c r="AL164" s="45">
        <f>VLOOKUP(Таблица310[[#This Row],[№ акта]],$AQ$1:$AT$594,3,FALSE)</f>
        <v>0</v>
      </c>
      <c r="AM164" s="40" t="str">
        <f>IF(Таблица310[[#This Row],[Площадь уборки, га]]=Таблица310[[#This Row],[Площадь уборки до корр]],"нет","да")</f>
        <v>нет</v>
      </c>
      <c r="AN164" s="45">
        <f>Таблица310[[#This Row],[Площадь уборки до корр]]-Таблица310[[#This Row],[Площадь уборки, га]]</f>
        <v>0</v>
      </c>
      <c r="AQ164">
        <v>260</v>
      </c>
      <c r="XEM164" s="72"/>
      <c r="XEN164" s="73"/>
      <c r="XEO164" s="74"/>
      <c r="XEP164" s="75"/>
      <c r="XEQ164" s="76"/>
      <c r="XER164" s="73"/>
    </row>
    <row r="165" spans="1:46 16367:16372" ht="25.5" hidden="1" customHeight="1" x14ac:dyDescent="0.25">
      <c r="A165" s="72"/>
      <c r="B165" s="73"/>
      <c r="C165" s="120">
        <f>Таблица310[[#This Row],[Степень зрелости вспом]]</f>
        <v>60</v>
      </c>
      <c r="D165" s="75">
        <v>261</v>
      </c>
      <c r="E165" s="146">
        <v>45816</v>
      </c>
      <c r="F165" s="73">
        <v>20660</v>
      </c>
      <c r="G165" s="73">
        <v>6210</v>
      </c>
      <c r="H165" s="77">
        <v>14450</v>
      </c>
      <c r="I165" s="73">
        <v>5495.8</v>
      </c>
      <c r="J165" s="72" t="s">
        <v>78</v>
      </c>
      <c r="K165" s="72" t="s">
        <v>772</v>
      </c>
      <c r="L165" s="72" t="s">
        <v>771</v>
      </c>
      <c r="M165" s="35" t="s">
        <v>1312</v>
      </c>
      <c r="N165" s="40"/>
      <c r="O165" s="72"/>
      <c r="P165" s="72"/>
      <c r="Q165" s="72"/>
      <c r="R165" s="72" t="s">
        <v>320</v>
      </c>
      <c r="S165" s="40"/>
      <c r="T165" s="70" t="s">
        <v>771</v>
      </c>
      <c r="U165" s="68" t="str">
        <f>Таблица310[[#This Row],[Регистратор.Номенклатура]]</f>
        <v>Фалкон</v>
      </c>
      <c r="V165" s="45">
        <f>20.4*Таблица310[[#This Row],[Регистратор.Вес нетто]]/23860</f>
        <v>5.3094719195305942</v>
      </c>
      <c r="W165" s="72" t="s">
        <v>44</v>
      </c>
      <c r="X165" s="72" t="s">
        <v>19</v>
      </c>
      <c r="Y165" s="40">
        <v>10</v>
      </c>
      <c r="Z165" s="71">
        <v>45815</v>
      </c>
      <c r="AA165" s="40"/>
      <c r="AB165" s="40" t="s">
        <v>1615</v>
      </c>
      <c r="AC165" s="40" t="s">
        <v>724</v>
      </c>
      <c r="AD165" s="40" t="s">
        <v>550</v>
      </c>
      <c r="AE165" s="40">
        <v>261</v>
      </c>
      <c r="AF165" s="103">
        <v>45816</v>
      </c>
      <c r="AG165" s="40">
        <v>80</v>
      </c>
      <c r="AH165" s="40">
        <f>VLOOKUP(Таблица310[[#This Row],[№ акта]],'Степень зрелости 2025'!$H$13:$I$583,2,FALSE)</f>
        <v>60</v>
      </c>
      <c r="AI165" s="40" t="str">
        <f>VLOOKUP(Таблица310[[#This Row],[№ акта]],$AQ$1:$AT$594,2,FALSE)</f>
        <v>А-66</v>
      </c>
      <c r="AJ165" s="40" t="str">
        <f>Таблица310[[#This Row],[Регистратор.Номенклатура]]</f>
        <v>Фалкон</v>
      </c>
      <c r="AK165" s="40" t="str">
        <f>VLOOKUP(Таблица310[[#This Row],[№ акта]],$AQ$1:$AT$594,4,FALSE)</f>
        <v>ГРК собственные семена (богара)</v>
      </c>
      <c r="AL165" s="45">
        <f>VLOOKUP(Таблица310[[#This Row],[№ акта]],$AQ$1:$AT$594,3,FALSE)</f>
        <v>1.4616923620101212</v>
      </c>
      <c r="AM165" s="40" t="str">
        <f>IF(Таблица310[[#This Row],[Площадь уборки, га]]=Таблица310[[#This Row],[Площадь уборки до корр]],"нет","да")</f>
        <v>да</v>
      </c>
      <c r="AN165" s="45">
        <f>Таблица310[[#This Row],[Площадь уборки до корр]]-Таблица310[[#This Row],[Площадь уборки, га]]</f>
        <v>-3.847779557520473</v>
      </c>
      <c r="AQ165">
        <v>261</v>
      </c>
      <c r="AR165" t="s">
        <v>771</v>
      </c>
      <c r="AS165">
        <v>1.4616923620101212</v>
      </c>
      <c r="AT165" t="s">
        <v>44</v>
      </c>
      <c r="XEM165" s="72"/>
      <c r="XEN165" s="73"/>
      <c r="XEO165" s="74"/>
      <c r="XEP165" s="75"/>
      <c r="XEQ165" s="76"/>
      <c r="XER165" s="73"/>
    </row>
    <row r="166" spans="1:46 16367:16372" ht="25.5" hidden="1" customHeight="1" x14ac:dyDescent="0.25">
      <c r="A166" s="72"/>
      <c r="B166" s="73"/>
      <c r="C166" s="120">
        <f>Таблица310[[#This Row],[Степень зрелости вспом]]</f>
        <v>58</v>
      </c>
      <c r="D166" s="75">
        <v>262</v>
      </c>
      <c r="E166" s="146">
        <v>45816</v>
      </c>
      <c r="F166" s="73">
        <v>27510</v>
      </c>
      <c r="G166" s="73">
        <v>6850</v>
      </c>
      <c r="H166" s="77">
        <v>20660</v>
      </c>
      <c r="I166" s="73">
        <v>5925.2</v>
      </c>
      <c r="J166" s="72" t="s">
        <v>78</v>
      </c>
      <c r="K166" s="72" t="s">
        <v>782</v>
      </c>
      <c r="L166" s="72" t="s">
        <v>523</v>
      </c>
      <c r="M166" s="35" t="s">
        <v>1312</v>
      </c>
      <c r="N166" s="40"/>
      <c r="O166" s="72"/>
      <c r="P166" s="72"/>
      <c r="Q166" s="72"/>
      <c r="R166" s="72" t="s">
        <v>320</v>
      </c>
      <c r="S166" s="40"/>
      <c r="T166" s="70" t="s">
        <v>523</v>
      </c>
      <c r="U166" s="68" t="str">
        <f>Таблица310[[#This Row],[Регистратор.Номенклатура]]</f>
        <v>Тиара</v>
      </c>
      <c r="V166" s="45">
        <f>20*Таблица310[[#This Row],[Регистратор.Вес нетто]]/78380</f>
        <v>1.7478948711405971</v>
      </c>
      <c r="W166" s="72" t="s">
        <v>46</v>
      </c>
      <c r="X166" s="72" t="s">
        <v>19</v>
      </c>
      <c r="Y166" s="40">
        <v>10</v>
      </c>
      <c r="Z166" s="71">
        <v>45815</v>
      </c>
      <c r="AA166" s="40"/>
      <c r="AB166" s="40"/>
      <c r="AC166" s="40" t="s">
        <v>724</v>
      </c>
      <c r="AD166" s="40" t="s">
        <v>511</v>
      </c>
      <c r="AE166" s="40">
        <v>262</v>
      </c>
      <c r="AF166" s="103">
        <v>45816</v>
      </c>
      <c r="AG166" s="40">
        <v>79</v>
      </c>
      <c r="AH166" s="40">
        <f>VLOOKUP(Таблица310[[#This Row],[№ акта]],'Степень зрелости 2025'!$H$13:$I$583,2,FALSE)</f>
        <v>58</v>
      </c>
      <c r="AI166" s="40" t="str">
        <f>VLOOKUP(Таблица310[[#This Row],[№ акта]],$AQ$1:$AT$594,2,FALSE)</f>
        <v>А-57</v>
      </c>
      <c r="AJ166" s="40" t="str">
        <f>Таблица310[[#This Row],[Регистратор.Номенклатура]]</f>
        <v>Тиара</v>
      </c>
      <c r="AK166" s="40" t="str">
        <f>VLOOKUP(Таблица310[[#This Row],[№ акта]],$AQ$1:$AT$594,4,FALSE)</f>
        <v>ГРК (богара)</v>
      </c>
      <c r="AL166" s="45">
        <f>VLOOKUP(Таблица310[[#This Row],[№ акта]],$AQ$1:$AT$594,3,FALSE)</f>
        <v>1.7478948711405971</v>
      </c>
      <c r="AM166" s="40" t="str">
        <f>IF(Таблица310[[#This Row],[Площадь уборки, га]]=Таблица310[[#This Row],[Площадь уборки до корр]],"нет","да")</f>
        <v>нет</v>
      </c>
      <c r="AN166" s="45">
        <f>Таблица310[[#This Row],[Площадь уборки до корр]]-Таблица310[[#This Row],[Площадь уборки, га]]</f>
        <v>0</v>
      </c>
      <c r="AQ166">
        <v>262</v>
      </c>
      <c r="AR166" t="s">
        <v>523</v>
      </c>
      <c r="AS166">
        <v>1.7478948711405971</v>
      </c>
      <c r="AT166" t="s">
        <v>46</v>
      </c>
      <c r="XEM166" s="72"/>
      <c r="XEN166" s="73"/>
      <c r="XEO166" s="74"/>
      <c r="XEP166" s="75"/>
      <c r="XEQ166" s="76"/>
      <c r="XER166" s="73"/>
    </row>
    <row r="167" spans="1:46 16367:16372" ht="25.5" hidden="1" customHeight="1" x14ac:dyDescent="0.25">
      <c r="A167" s="72"/>
      <c r="B167" s="73"/>
      <c r="C167" s="120">
        <f>Таблица310[[#This Row],[Степень зрелости вспом]]</f>
        <v>57</v>
      </c>
      <c r="D167" s="75">
        <v>263</v>
      </c>
      <c r="E167" s="146">
        <v>45816</v>
      </c>
      <c r="F167" s="73">
        <v>28740</v>
      </c>
      <c r="G167" s="73">
        <v>13770</v>
      </c>
      <c r="H167" s="77">
        <v>14970</v>
      </c>
      <c r="I167" s="73">
        <v>11566.8</v>
      </c>
      <c r="J167" s="72" t="s">
        <v>78</v>
      </c>
      <c r="K167" s="72" t="s">
        <v>782</v>
      </c>
      <c r="L167" s="72" t="s">
        <v>523</v>
      </c>
      <c r="M167" s="35" t="s">
        <v>329</v>
      </c>
      <c r="N167" s="40"/>
      <c r="O167" s="72"/>
      <c r="P167" s="72"/>
      <c r="Q167" s="72"/>
      <c r="R167" s="72" t="s">
        <v>333</v>
      </c>
      <c r="S167" s="40"/>
      <c r="T167" s="70" t="s">
        <v>523</v>
      </c>
      <c r="U167" s="68" t="str">
        <f>Таблица310[[#This Row],[Регистратор.Номенклатура]]</f>
        <v>Тиара</v>
      </c>
      <c r="V167" s="45">
        <f>20*Таблица310[[#This Row],[Регистратор.Вес нетто]]/78380</f>
        <v>3.5136514416943099</v>
      </c>
      <c r="W167" s="72" t="s">
        <v>46</v>
      </c>
      <c r="X167" s="72" t="s">
        <v>19</v>
      </c>
      <c r="Y167" s="40">
        <v>10</v>
      </c>
      <c r="Z167" s="71">
        <v>45815</v>
      </c>
      <c r="AA167" s="40"/>
      <c r="AB167" s="40"/>
      <c r="AC167" s="40" t="s">
        <v>724</v>
      </c>
      <c r="AD167" s="40" t="s">
        <v>511</v>
      </c>
      <c r="AE167" s="40">
        <v>263</v>
      </c>
      <c r="AF167" s="103">
        <v>45816</v>
      </c>
      <c r="AG167" s="40">
        <v>81</v>
      </c>
      <c r="AH167" s="40">
        <f>VLOOKUP(Таблица310[[#This Row],[№ акта]],'Степень зрелости 2025'!$H$13:$I$583,2,FALSE)</f>
        <v>57</v>
      </c>
      <c r="AI167" s="40" t="str">
        <f>VLOOKUP(Таблица310[[#This Row],[№ акта]],$AQ$1:$AT$594,2,FALSE)</f>
        <v>А-57</v>
      </c>
      <c r="AJ167" s="40" t="str">
        <f>Таблица310[[#This Row],[Регистратор.Номенклатура]]</f>
        <v>Тиара</v>
      </c>
      <c r="AK167" s="40" t="str">
        <f>VLOOKUP(Таблица310[[#This Row],[№ акта]],$AQ$1:$AT$594,4,FALSE)</f>
        <v>ГРК (богара)</v>
      </c>
      <c r="AL167" s="45">
        <f>VLOOKUP(Таблица310[[#This Row],[№ акта]],$AQ$1:$AT$594,3,FALSE)</f>
        <v>3.5136514416943099</v>
      </c>
      <c r="AM167" s="40" t="str">
        <f>IF(Таблица310[[#This Row],[Площадь уборки, га]]=Таблица310[[#This Row],[Площадь уборки до корр]],"нет","да")</f>
        <v>нет</v>
      </c>
      <c r="AN167" s="45">
        <f>Таблица310[[#This Row],[Площадь уборки до корр]]-Таблица310[[#This Row],[Площадь уборки, га]]</f>
        <v>0</v>
      </c>
      <c r="AQ167">
        <v>263</v>
      </c>
      <c r="AR167" t="s">
        <v>523</v>
      </c>
      <c r="AS167">
        <v>3.5136514416943099</v>
      </c>
      <c r="AT167" t="s">
        <v>46</v>
      </c>
      <c r="XEM167" s="72"/>
      <c r="XEN167" s="73"/>
      <c r="XEO167" s="74"/>
      <c r="XEP167" s="75"/>
      <c r="XEQ167" s="76"/>
      <c r="XER167" s="73"/>
    </row>
    <row r="168" spans="1:46 16367:16372" ht="25.5" hidden="1" customHeight="1" x14ac:dyDescent="0.25">
      <c r="A168" s="72"/>
      <c r="B168" s="73"/>
      <c r="C168" s="120"/>
      <c r="D168" s="75">
        <v>264</v>
      </c>
      <c r="E168" s="146">
        <v>45815</v>
      </c>
      <c r="F168" s="73"/>
      <c r="G168" s="73"/>
      <c r="H168" s="77"/>
      <c r="I168" s="73"/>
      <c r="J168" s="72" t="s">
        <v>78</v>
      </c>
      <c r="K168" s="72" t="s">
        <v>21</v>
      </c>
      <c r="L168" s="72"/>
      <c r="M168" s="35" t="s">
        <v>79</v>
      </c>
      <c r="N168" s="40"/>
      <c r="O168" s="72"/>
      <c r="P168" s="72"/>
      <c r="Q168" s="72"/>
      <c r="R168" s="72" t="s">
        <v>80</v>
      </c>
      <c r="S168" s="40"/>
      <c r="T168" s="70"/>
      <c r="U168" s="68" t="str">
        <f>Таблица310[[#This Row],[Регистратор.Номенклатура]]</f>
        <v>Преладо</v>
      </c>
      <c r="V168" s="45"/>
      <c r="W168" s="72"/>
      <c r="X168" s="72"/>
      <c r="Y168" s="40"/>
      <c r="Z168" s="71"/>
      <c r="AA168" s="40"/>
      <c r="AB168" s="40" t="s">
        <v>822</v>
      </c>
      <c r="AC168" s="40"/>
      <c r="AD168" s="40"/>
      <c r="AE168" s="40">
        <v>264</v>
      </c>
      <c r="AF168" s="103">
        <v>45815</v>
      </c>
      <c r="AG168" s="40">
        <v>65</v>
      </c>
      <c r="AH168" s="40" t="e">
        <f>VLOOKUP(Таблица310[[#This Row],[№ акта]],'Степень зрелости 2025'!$H$13:$I$583,2,FALSE)</f>
        <v>#N/A</v>
      </c>
      <c r="AI168" s="40">
        <f>VLOOKUP(Таблица310[[#This Row],[№ акта]],$AQ$1:$AT$594,2,FALSE)</f>
        <v>0</v>
      </c>
      <c r="AJ168" s="40" t="str">
        <f>Таблица310[[#This Row],[Регистратор.Номенклатура]]</f>
        <v>Преладо</v>
      </c>
      <c r="AK168" s="40">
        <f>VLOOKUP(Таблица310[[#This Row],[№ акта]],$AQ$1:$AT$594,4,FALSE)</f>
        <v>0</v>
      </c>
      <c r="AL168" s="45">
        <f>VLOOKUP(Таблица310[[#This Row],[№ акта]],$AQ$1:$AT$594,3,FALSE)</f>
        <v>0</v>
      </c>
      <c r="AM168" s="40" t="str">
        <f>IF(Таблица310[[#This Row],[Площадь уборки, га]]=Таблица310[[#This Row],[Площадь уборки до корр]],"нет","да")</f>
        <v>нет</v>
      </c>
      <c r="AN168" s="45">
        <f>Таблица310[[#This Row],[Площадь уборки до корр]]-Таблица310[[#This Row],[Площадь уборки, га]]</f>
        <v>0</v>
      </c>
      <c r="AQ168">
        <v>264</v>
      </c>
      <c r="XEM168" s="72"/>
      <c r="XEN168" s="73"/>
      <c r="XEO168" s="74"/>
      <c r="XEP168" s="75"/>
      <c r="XEQ168" s="76"/>
      <c r="XER168" s="73"/>
    </row>
    <row r="169" spans="1:46 16367:16372" ht="25.5" hidden="1" customHeight="1" x14ac:dyDescent="0.25">
      <c r="A169" s="72"/>
      <c r="B169" s="73"/>
      <c r="C169" s="120">
        <f>Таблица310[[#This Row],[Степень зрелости вспом]]</f>
        <v>55</v>
      </c>
      <c r="D169" s="75">
        <v>265</v>
      </c>
      <c r="E169" s="146">
        <v>45816</v>
      </c>
      <c r="F169" s="73">
        <v>27790</v>
      </c>
      <c r="G169" s="73">
        <v>13720</v>
      </c>
      <c r="H169" s="77">
        <v>14070</v>
      </c>
      <c r="I169" s="73">
        <v>12485.2</v>
      </c>
      <c r="J169" s="72" t="s">
        <v>78</v>
      </c>
      <c r="K169" s="72" t="s">
        <v>782</v>
      </c>
      <c r="L169" s="72" t="s">
        <v>523</v>
      </c>
      <c r="M169" s="35" t="s">
        <v>79</v>
      </c>
      <c r="N169" s="40"/>
      <c r="O169" s="72"/>
      <c r="P169" s="72"/>
      <c r="Q169" s="72"/>
      <c r="R169" s="72" t="s">
        <v>80</v>
      </c>
      <c r="S169" s="40"/>
      <c r="T169" s="70" t="s">
        <v>523</v>
      </c>
      <c r="U169" s="68" t="str">
        <f>Таблица310[[#This Row],[Регистратор.Номенклатура]]</f>
        <v>Тиара</v>
      </c>
      <c r="V169" s="45">
        <f>20*Таблица310[[#This Row],[Регистратор.Вес нетто]]/78380</f>
        <v>3.5008930849706559</v>
      </c>
      <c r="W169" s="72" t="s">
        <v>46</v>
      </c>
      <c r="X169" s="72" t="s">
        <v>19</v>
      </c>
      <c r="Y169" s="40">
        <v>10</v>
      </c>
      <c r="Z169" s="71">
        <v>45815</v>
      </c>
      <c r="AA169" s="40"/>
      <c r="AB169" s="40"/>
      <c r="AC169" s="40" t="s">
        <v>724</v>
      </c>
      <c r="AD169" s="40" t="s">
        <v>511</v>
      </c>
      <c r="AE169" s="40">
        <v>265</v>
      </c>
      <c r="AF169" s="103">
        <v>45816</v>
      </c>
      <c r="AG169" s="40">
        <v>82</v>
      </c>
      <c r="AH169" s="40">
        <f>VLOOKUP(Таблица310[[#This Row],[№ акта]],'Степень зрелости 2025'!$H$13:$I$583,2,FALSE)</f>
        <v>55</v>
      </c>
      <c r="AI169" s="40" t="str">
        <f>VLOOKUP(Таблица310[[#This Row],[№ акта]],$AQ$1:$AT$594,2,FALSE)</f>
        <v>А-57</v>
      </c>
      <c r="AJ169" s="40" t="str">
        <f>Таблица310[[#This Row],[Регистратор.Номенклатура]]</f>
        <v>Тиара</v>
      </c>
      <c r="AK169" s="40" t="str">
        <f>VLOOKUP(Таблица310[[#This Row],[№ акта]],$AQ$1:$AT$594,4,FALSE)</f>
        <v>ГРК (богара)</v>
      </c>
      <c r="AL169" s="45">
        <f>VLOOKUP(Таблица310[[#This Row],[№ акта]],$AQ$1:$AT$594,3,FALSE)</f>
        <v>3.5008930849706559</v>
      </c>
      <c r="AM169" s="40" t="str">
        <f>IF(Таблица310[[#This Row],[Площадь уборки, га]]=Таблица310[[#This Row],[Площадь уборки до корр]],"нет","да")</f>
        <v>нет</v>
      </c>
      <c r="AN169" s="45">
        <f>Таблица310[[#This Row],[Площадь уборки до корр]]-Таблица310[[#This Row],[Площадь уборки, га]]</f>
        <v>0</v>
      </c>
      <c r="AQ169">
        <v>265</v>
      </c>
      <c r="AR169" t="s">
        <v>523</v>
      </c>
      <c r="AS169">
        <v>3.5008930849706559</v>
      </c>
      <c r="AT169" t="s">
        <v>46</v>
      </c>
      <c r="XEM169" s="72"/>
      <c r="XEN169" s="73"/>
      <c r="XEO169" s="74"/>
      <c r="XEP169" s="75"/>
      <c r="XEQ169" s="76"/>
      <c r="XER169" s="73"/>
    </row>
    <row r="170" spans="1:46 16367:16372" ht="25.5" hidden="1" customHeight="1" x14ac:dyDescent="0.25">
      <c r="A170" s="72"/>
      <c r="B170" s="73"/>
      <c r="C170" s="120">
        <f>Таблица310[[#This Row],[Степень зрелости вспом]]</f>
        <v>58</v>
      </c>
      <c r="D170" s="75">
        <v>266</v>
      </c>
      <c r="E170" s="146">
        <v>45816</v>
      </c>
      <c r="F170" s="73">
        <v>9040</v>
      </c>
      <c r="G170" s="73">
        <v>4520</v>
      </c>
      <c r="H170" s="77">
        <v>4520</v>
      </c>
      <c r="I170" s="73">
        <v>4181</v>
      </c>
      <c r="J170" s="72" t="s">
        <v>78</v>
      </c>
      <c r="K170" s="72" t="s">
        <v>782</v>
      </c>
      <c r="L170" s="72" t="s">
        <v>523</v>
      </c>
      <c r="M170" s="35" t="s">
        <v>762</v>
      </c>
      <c r="N170" s="40"/>
      <c r="O170" s="72"/>
      <c r="P170" s="72"/>
      <c r="Q170" s="72"/>
      <c r="R170" s="72" t="s">
        <v>763</v>
      </c>
      <c r="S170" s="40"/>
      <c r="T170" s="70" t="s">
        <v>523</v>
      </c>
      <c r="U170" s="68" t="str">
        <f>Таблица310[[#This Row],[Регистратор.Номенклатура]]</f>
        <v>Тиара</v>
      </c>
      <c r="V170" s="45">
        <f>20*Таблица310[[#This Row],[Регистратор.Вес нетто]]/78380</f>
        <v>1.153355447818321</v>
      </c>
      <c r="W170" s="72" t="s">
        <v>46</v>
      </c>
      <c r="X170" s="72" t="s">
        <v>19</v>
      </c>
      <c r="Y170" s="40">
        <v>10</v>
      </c>
      <c r="Z170" s="71">
        <v>45815</v>
      </c>
      <c r="AA170" s="40"/>
      <c r="AB170" s="40"/>
      <c r="AC170" s="40" t="s">
        <v>724</v>
      </c>
      <c r="AD170" s="40" t="s">
        <v>511</v>
      </c>
      <c r="AE170" s="40">
        <v>266</v>
      </c>
      <c r="AF170" s="103">
        <v>45816</v>
      </c>
      <c r="AG170" s="40">
        <v>83</v>
      </c>
      <c r="AH170" s="40">
        <f>VLOOKUP(Таблица310[[#This Row],[№ акта]],'Степень зрелости 2025'!$H$13:$I$583,2,FALSE)</f>
        <v>58</v>
      </c>
      <c r="AI170" s="40" t="str">
        <f>VLOOKUP(Таблица310[[#This Row],[№ акта]],$AQ$1:$AT$594,2,FALSE)</f>
        <v>А-57</v>
      </c>
      <c r="AJ170" s="40" t="str">
        <f>Таблица310[[#This Row],[Регистратор.Номенклатура]]</f>
        <v>Тиара</v>
      </c>
      <c r="AK170" s="40" t="str">
        <f>VLOOKUP(Таблица310[[#This Row],[№ акта]],$AQ$1:$AT$594,4,FALSE)</f>
        <v>ГРК (богара)</v>
      </c>
      <c r="AL170" s="45">
        <f>VLOOKUP(Таблица310[[#This Row],[№ акта]],$AQ$1:$AT$594,3,FALSE)</f>
        <v>1.153355447818321</v>
      </c>
      <c r="AM170" s="40" t="str">
        <f>IF(Таблица310[[#This Row],[Площадь уборки, га]]=Таблица310[[#This Row],[Площадь уборки до корр]],"нет","да")</f>
        <v>нет</v>
      </c>
      <c r="AN170" s="45">
        <f>Таблица310[[#This Row],[Площадь уборки до корр]]-Таблица310[[#This Row],[Площадь уборки, га]]</f>
        <v>0</v>
      </c>
      <c r="AQ170">
        <v>266</v>
      </c>
      <c r="AR170" t="s">
        <v>523</v>
      </c>
      <c r="AS170">
        <v>1.153355447818321</v>
      </c>
      <c r="AT170" t="s">
        <v>46</v>
      </c>
      <c r="XEM170" s="72"/>
      <c r="XEN170" s="73"/>
      <c r="XEO170" s="74"/>
      <c r="XEP170" s="75"/>
      <c r="XEQ170" s="76"/>
      <c r="XER170" s="73"/>
    </row>
    <row r="171" spans="1:46 16367:16372" ht="25.5" hidden="1" customHeight="1" x14ac:dyDescent="0.25">
      <c r="A171" s="72"/>
      <c r="B171" s="73"/>
      <c r="C171" s="120">
        <f>Таблица310[[#This Row],[Степень зрелости вспом]]</f>
        <v>58</v>
      </c>
      <c r="D171" s="75">
        <v>267</v>
      </c>
      <c r="E171" s="146">
        <v>45816</v>
      </c>
      <c r="F171" s="73">
        <v>27630</v>
      </c>
      <c r="G171" s="73">
        <v>13190</v>
      </c>
      <c r="H171" s="77">
        <v>14440</v>
      </c>
      <c r="I171" s="73">
        <v>11936.9</v>
      </c>
      <c r="J171" s="72" t="s">
        <v>78</v>
      </c>
      <c r="K171" s="72" t="s">
        <v>782</v>
      </c>
      <c r="L171" s="72" t="s">
        <v>523</v>
      </c>
      <c r="M171" s="35" t="s">
        <v>1312</v>
      </c>
      <c r="N171" s="40"/>
      <c r="O171" s="72"/>
      <c r="P171" s="72"/>
      <c r="Q171" s="72"/>
      <c r="R171" s="72" t="s">
        <v>320</v>
      </c>
      <c r="S171" s="40"/>
      <c r="T171" s="70" t="s">
        <v>523</v>
      </c>
      <c r="U171" s="68" t="str">
        <f>Таблица310[[#This Row],[Регистратор.Номенклатура]]</f>
        <v>Тиара</v>
      </c>
      <c r="V171" s="45">
        <f>20*Таблица310[[#This Row],[Регистратор.Вес нетто]]/78380</f>
        <v>3.3656545036999233</v>
      </c>
      <c r="W171" s="72" t="s">
        <v>46</v>
      </c>
      <c r="X171" s="72" t="s">
        <v>19</v>
      </c>
      <c r="Y171" s="40">
        <v>10</v>
      </c>
      <c r="Z171" s="71">
        <v>45815</v>
      </c>
      <c r="AA171" s="40"/>
      <c r="AB171" s="40"/>
      <c r="AC171" s="40" t="s">
        <v>724</v>
      </c>
      <c r="AD171" s="40" t="s">
        <v>511</v>
      </c>
      <c r="AE171" s="40">
        <v>267</v>
      </c>
      <c r="AF171" s="103">
        <v>45816</v>
      </c>
      <c r="AG171" s="40">
        <v>84</v>
      </c>
      <c r="AH171" s="40">
        <f>VLOOKUP(Таблица310[[#This Row],[№ акта]],'Степень зрелости 2025'!$H$13:$I$583,2,FALSE)</f>
        <v>58</v>
      </c>
      <c r="AI171" s="40" t="str">
        <f>VLOOKUP(Таблица310[[#This Row],[№ акта]],$AQ$1:$AT$594,2,FALSE)</f>
        <v>А-57</v>
      </c>
      <c r="AJ171" s="40" t="str">
        <f>Таблица310[[#This Row],[Регистратор.Номенклатура]]</f>
        <v>Тиара</v>
      </c>
      <c r="AK171" s="40" t="str">
        <f>VLOOKUP(Таблица310[[#This Row],[№ акта]],$AQ$1:$AT$594,4,FALSE)</f>
        <v>ГРК (богара)</v>
      </c>
      <c r="AL171" s="45">
        <f>VLOOKUP(Таблица310[[#This Row],[№ акта]],$AQ$1:$AT$594,3,FALSE)</f>
        <v>3.3656545036999233</v>
      </c>
      <c r="AM171" s="40" t="str">
        <f>IF(Таблица310[[#This Row],[Площадь уборки, га]]=Таблица310[[#This Row],[Площадь уборки до корр]],"нет","да")</f>
        <v>нет</v>
      </c>
      <c r="AN171" s="45">
        <f>Таблица310[[#This Row],[Площадь уборки до корр]]-Таблица310[[#This Row],[Площадь уборки, га]]</f>
        <v>0</v>
      </c>
      <c r="AQ171">
        <v>267</v>
      </c>
      <c r="AR171" t="s">
        <v>523</v>
      </c>
      <c r="AS171">
        <v>3.3656545036999233</v>
      </c>
      <c r="AT171" t="s">
        <v>46</v>
      </c>
      <c r="XEM171" s="72"/>
      <c r="XEN171" s="73"/>
      <c r="XEO171" s="74"/>
      <c r="XEP171" s="75"/>
      <c r="XEQ171" s="76"/>
      <c r="XER171" s="73"/>
    </row>
    <row r="172" spans="1:46 16367:16372" ht="25.5" hidden="1" customHeight="1" x14ac:dyDescent="0.25">
      <c r="A172" s="72"/>
      <c r="B172" s="73"/>
      <c r="C172" s="120">
        <f>Таблица310[[#This Row],[Степень зрелости вспом]]</f>
        <v>58</v>
      </c>
      <c r="D172" s="75">
        <v>268</v>
      </c>
      <c r="E172" s="146">
        <v>45816</v>
      </c>
      <c r="F172" s="73">
        <v>28590</v>
      </c>
      <c r="G172" s="73">
        <v>13640</v>
      </c>
      <c r="H172" s="77">
        <v>14950</v>
      </c>
      <c r="I172" s="73">
        <v>12344.2</v>
      </c>
      <c r="J172" s="72" t="s">
        <v>78</v>
      </c>
      <c r="K172" s="72" t="s">
        <v>782</v>
      </c>
      <c r="L172" s="72" t="s">
        <v>523</v>
      </c>
      <c r="M172" s="35" t="s">
        <v>329</v>
      </c>
      <c r="N172" s="40"/>
      <c r="O172" s="72"/>
      <c r="P172" s="72"/>
      <c r="Q172" s="72"/>
      <c r="R172" s="72" t="s">
        <v>333</v>
      </c>
      <c r="S172" s="40"/>
      <c r="T172" s="70" t="s">
        <v>523</v>
      </c>
      <c r="U172" s="68" t="str">
        <f>Таблица310[[#This Row],[Регистратор.Номенклатура]]</f>
        <v>Тиара</v>
      </c>
      <c r="V172" s="45">
        <f>20*Таблица310[[#This Row],[Регистратор.Вес нетто]]/78380</f>
        <v>3.4804797142128092</v>
      </c>
      <c r="W172" s="72" t="s">
        <v>46</v>
      </c>
      <c r="X172" s="72" t="s">
        <v>19</v>
      </c>
      <c r="Y172" s="40">
        <v>10</v>
      </c>
      <c r="Z172" s="71">
        <v>45815</v>
      </c>
      <c r="AA172" s="40"/>
      <c r="AB172" s="40"/>
      <c r="AC172" s="40" t="s">
        <v>724</v>
      </c>
      <c r="AD172" s="40" t="s">
        <v>511</v>
      </c>
      <c r="AE172" s="40">
        <v>268</v>
      </c>
      <c r="AF172" s="103">
        <v>45816</v>
      </c>
      <c r="AG172" s="40">
        <v>85</v>
      </c>
      <c r="AH172" s="40">
        <f>VLOOKUP(Таблица310[[#This Row],[№ акта]],'Степень зрелости 2025'!$H$13:$I$583,2,FALSE)</f>
        <v>58</v>
      </c>
      <c r="AI172" s="40" t="str">
        <f>VLOOKUP(Таблица310[[#This Row],[№ акта]],$AQ$1:$AT$594,2,FALSE)</f>
        <v>А-57</v>
      </c>
      <c r="AJ172" s="40" t="str">
        <f>Таблица310[[#This Row],[Регистратор.Номенклатура]]</f>
        <v>Тиара</v>
      </c>
      <c r="AK172" s="40" t="str">
        <f>VLOOKUP(Таблица310[[#This Row],[№ акта]],$AQ$1:$AT$594,4,FALSE)</f>
        <v>ГРК (богара)</v>
      </c>
      <c r="AL172" s="45">
        <f>VLOOKUP(Таблица310[[#This Row],[№ акта]],$AQ$1:$AT$594,3,FALSE)</f>
        <v>3.4804797142128092</v>
      </c>
      <c r="AM172" s="40" t="str">
        <f>IF(Таблица310[[#This Row],[Площадь уборки, га]]=Таблица310[[#This Row],[Площадь уборки до корр]],"нет","да")</f>
        <v>нет</v>
      </c>
      <c r="AN172" s="45">
        <f>Таблица310[[#This Row],[Площадь уборки до корр]]-Таблица310[[#This Row],[Площадь уборки, га]]</f>
        <v>0</v>
      </c>
      <c r="AQ172">
        <v>268</v>
      </c>
      <c r="AR172" t="s">
        <v>523</v>
      </c>
      <c r="AS172">
        <v>3.4804797142128092</v>
      </c>
      <c r="AT172" t="s">
        <v>46</v>
      </c>
      <c r="XEM172" s="72"/>
      <c r="XEN172" s="73"/>
      <c r="XEO172" s="74"/>
      <c r="XEP172" s="75"/>
      <c r="XEQ172" s="76"/>
      <c r="XER172" s="73"/>
    </row>
    <row r="173" spans="1:46 16367:16372" ht="25.5" hidden="1" customHeight="1" x14ac:dyDescent="0.25">
      <c r="A173" s="72"/>
      <c r="B173" s="73"/>
      <c r="C173" s="120">
        <f>Таблица310[[#This Row],[Степень зрелости вспом]]</f>
        <v>62</v>
      </c>
      <c r="D173" s="75">
        <v>269</v>
      </c>
      <c r="E173" s="146">
        <v>45816</v>
      </c>
      <c r="F173" s="73">
        <v>27300</v>
      </c>
      <c r="G173" s="73">
        <v>12690</v>
      </c>
      <c r="H173" s="77">
        <v>14610</v>
      </c>
      <c r="I173" s="73">
        <v>11357.5</v>
      </c>
      <c r="J173" s="72" t="s">
        <v>78</v>
      </c>
      <c r="K173" s="72" t="s">
        <v>782</v>
      </c>
      <c r="L173" s="72" t="s">
        <v>523</v>
      </c>
      <c r="M173" s="35" t="s">
        <v>790</v>
      </c>
      <c r="N173" s="40"/>
      <c r="O173" s="72"/>
      <c r="P173" s="72"/>
      <c r="Q173" s="72"/>
      <c r="R173" s="72" t="s">
        <v>243</v>
      </c>
      <c r="S173" s="40"/>
      <c r="T173" s="70" t="s">
        <v>523</v>
      </c>
      <c r="U173" s="68" t="str">
        <f>Таблица310[[#This Row],[Регистратор.Номенклатура]]</f>
        <v>Тиара</v>
      </c>
      <c r="V173" s="45">
        <f>20*Таблица310[[#This Row],[Регистратор.Вес нетто]]/78380</f>
        <v>3.2380709364633837</v>
      </c>
      <c r="W173" s="72" t="s">
        <v>46</v>
      </c>
      <c r="X173" s="72" t="s">
        <v>19</v>
      </c>
      <c r="Y173" s="40">
        <v>10</v>
      </c>
      <c r="Z173" s="71">
        <v>45815</v>
      </c>
      <c r="AA173" s="40"/>
      <c r="AB173" s="40"/>
      <c r="AC173" s="40" t="s">
        <v>724</v>
      </c>
      <c r="AD173" s="40" t="s">
        <v>511</v>
      </c>
      <c r="AE173" s="40">
        <v>269</v>
      </c>
      <c r="AF173" s="103">
        <v>45816</v>
      </c>
      <c r="AG173" s="40">
        <v>86</v>
      </c>
      <c r="AH173" s="40">
        <f>VLOOKUP(Таблица310[[#This Row],[№ акта]],'Степень зрелости 2025'!$H$13:$I$583,2,FALSE)</f>
        <v>62</v>
      </c>
      <c r="AI173" s="40" t="str">
        <f>VLOOKUP(Таблица310[[#This Row],[№ акта]],$AQ$1:$AT$594,2,FALSE)</f>
        <v>А-57</v>
      </c>
      <c r="AJ173" s="40" t="str">
        <f>Таблица310[[#This Row],[Регистратор.Номенклатура]]</f>
        <v>Тиара</v>
      </c>
      <c r="AK173" s="40" t="str">
        <f>VLOOKUP(Таблица310[[#This Row],[№ акта]],$AQ$1:$AT$594,4,FALSE)</f>
        <v>ГРК (богара)</v>
      </c>
      <c r="AL173" s="45">
        <f>VLOOKUP(Таблица310[[#This Row],[№ акта]],$AQ$1:$AT$594,3,FALSE)</f>
        <v>3.2380709364633837</v>
      </c>
      <c r="AM173" s="40" t="str">
        <f>IF(Таблица310[[#This Row],[Площадь уборки, га]]=Таблица310[[#This Row],[Площадь уборки до корр]],"нет","да")</f>
        <v>нет</v>
      </c>
      <c r="AN173" s="45">
        <f>Таблица310[[#This Row],[Площадь уборки до корр]]-Таблица310[[#This Row],[Площадь уборки, га]]</f>
        <v>0</v>
      </c>
      <c r="AQ173">
        <v>269</v>
      </c>
      <c r="AR173" t="s">
        <v>523</v>
      </c>
      <c r="AS173">
        <v>3.2380709364633837</v>
      </c>
      <c r="AT173" t="s">
        <v>46</v>
      </c>
      <c r="XEM173" s="72"/>
      <c r="XEN173" s="73"/>
      <c r="XEO173" s="74"/>
      <c r="XEP173" s="75"/>
      <c r="XEQ173" s="76"/>
      <c r="XER173" s="73"/>
    </row>
    <row r="174" spans="1:46 16367:16372" ht="25.5" hidden="1" customHeight="1" x14ac:dyDescent="0.25">
      <c r="A174" s="72"/>
      <c r="B174" s="73"/>
      <c r="C174" s="120">
        <f>Таблица310[[#This Row],[Степень зрелости вспом]]</f>
        <v>61</v>
      </c>
      <c r="D174" s="75">
        <v>270</v>
      </c>
      <c r="E174" s="146">
        <v>45816</v>
      </c>
      <c r="F174" s="73">
        <v>9060</v>
      </c>
      <c r="G174" s="73">
        <v>4490</v>
      </c>
      <c r="H174" s="77">
        <v>4570</v>
      </c>
      <c r="I174" s="73">
        <v>3861.4</v>
      </c>
      <c r="J174" s="72" t="s">
        <v>726</v>
      </c>
      <c r="K174" s="72" t="s">
        <v>782</v>
      </c>
      <c r="L174" s="72" t="s">
        <v>523</v>
      </c>
      <c r="M174" s="35" t="s">
        <v>737</v>
      </c>
      <c r="N174" s="40"/>
      <c r="O174" s="72"/>
      <c r="P174" s="72"/>
      <c r="Q174" s="72"/>
      <c r="R174" s="72" t="s">
        <v>738</v>
      </c>
      <c r="S174" s="40"/>
      <c r="T174" s="70" t="s">
        <v>523</v>
      </c>
      <c r="U174" s="68" t="str">
        <f>Таблица310[[#This Row],[Регистратор.Номенклатура]]</f>
        <v>Тиара</v>
      </c>
      <c r="V174" s="45">
        <f>27*Таблица310[[#This Row],[Регистратор.Вес нетто]]/92760</f>
        <v>1.3069210866752912</v>
      </c>
      <c r="W174" s="72" t="s">
        <v>46</v>
      </c>
      <c r="X174" s="72" t="s">
        <v>19</v>
      </c>
      <c r="Y174" s="40">
        <v>11</v>
      </c>
      <c r="Z174" s="71">
        <v>45816</v>
      </c>
      <c r="AA174" s="40"/>
      <c r="AB174" s="40"/>
      <c r="AC174" s="40" t="s">
        <v>724</v>
      </c>
      <c r="AD174" s="40" t="s">
        <v>511</v>
      </c>
      <c r="AE174" s="40">
        <v>270</v>
      </c>
      <c r="AF174" s="103">
        <v>45816</v>
      </c>
      <c r="AG174" s="40">
        <v>87</v>
      </c>
      <c r="AH174" s="40">
        <f>VLOOKUP(Таблица310[[#This Row],[№ акта]],'Степень зрелости 2025'!$H$13:$I$583,2,FALSE)</f>
        <v>61</v>
      </c>
      <c r="AI174" s="40" t="str">
        <f>VLOOKUP(Таблица310[[#This Row],[№ акта]],$AQ$1:$AT$594,2,FALSE)</f>
        <v>А-57</v>
      </c>
      <c r="AJ174" s="40" t="str">
        <f>Таблица310[[#This Row],[Регистратор.Номенклатура]]</f>
        <v>Тиара</v>
      </c>
      <c r="AK174" s="40" t="str">
        <f>VLOOKUP(Таблица310[[#This Row],[№ акта]],$AQ$1:$AT$594,4,FALSE)</f>
        <v>ГРК (богара)</v>
      </c>
      <c r="AL174" s="45">
        <f>VLOOKUP(Таблица310[[#This Row],[№ акта]],$AQ$1:$AT$594,3,FALSE)</f>
        <v>1.3069210866752912</v>
      </c>
      <c r="AM174" s="40" t="str">
        <f>IF(Таблица310[[#This Row],[Площадь уборки, га]]=Таблица310[[#This Row],[Площадь уборки до корр]],"нет","да")</f>
        <v>нет</v>
      </c>
      <c r="AN174" s="45">
        <f>Таблица310[[#This Row],[Площадь уборки до корр]]-Таблица310[[#This Row],[Площадь уборки, га]]</f>
        <v>0</v>
      </c>
      <c r="AQ174">
        <v>270</v>
      </c>
      <c r="AR174" t="s">
        <v>523</v>
      </c>
      <c r="AS174">
        <v>1.3069210866752912</v>
      </c>
      <c r="AT174" t="s">
        <v>46</v>
      </c>
      <c r="XEM174" s="72"/>
      <c r="XEN174" s="73"/>
      <c r="XEO174" s="74"/>
      <c r="XEP174" s="75"/>
      <c r="XEQ174" s="76"/>
      <c r="XER174" s="73"/>
    </row>
    <row r="175" spans="1:46 16367:16372" ht="25.5" hidden="1" customHeight="1" x14ac:dyDescent="0.25">
      <c r="A175" s="72"/>
      <c r="B175" s="73"/>
      <c r="C175" s="120">
        <f>Таблица310[[#This Row],[Степень зрелости вспом]]</f>
        <v>61</v>
      </c>
      <c r="D175" s="75">
        <v>271</v>
      </c>
      <c r="E175" s="146">
        <v>45816</v>
      </c>
      <c r="F175" s="73">
        <v>28280</v>
      </c>
      <c r="G175" s="73">
        <v>13960</v>
      </c>
      <c r="H175" s="77">
        <v>14320</v>
      </c>
      <c r="I175" s="73">
        <v>12215</v>
      </c>
      <c r="J175" s="72" t="s">
        <v>78</v>
      </c>
      <c r="K175" s="72" t="s">
        <v>782</v>
      </c>
      <c r="L175" s="72" t="s">
        <v>523</v>
      </c>
      <c r="M175" s="35" t="s">
        <v>127</v>
      </c>
      <c r="N175" s="40"/>
      <c r="O175" s="72"/>
      <c r="P175" s="72"/>
      <c r="Q175" s="72"/>
      <c r="R175" s="72" t="s">
        <v>131</v>
      </c>
      <c r="S175" s="40"/>
      <c r="T175" s="70" t="s">
        <v>523</v>
      </c>
      <c r="U175" s="68" t="str">
        <f>Таблица310[[#This Row],[Регистратор.Номенклатура]]</f>
        <v>Тиара</v>
      </c>
      <c r="V175" s="45">
        <f>27*Таблица310[[#This Row],[Регистратор.Вес нетто]]/92760</f>
        <v>4.0633893919793014</v>
      </c>
      <c r="W175" s="72" t="s">
        <v>46</v>
      </c>
      <c r="X175" s="72" t="s">
        <v>19</v>
      </c>
      <c r="Y175" s="40">
        <v>11</v>
      </c>
      <c r="Z175" s="71">
        <v>45816</v>
      </c>
      <c r="AA175" s="40"/>
      <c r="AB175" s="40"/>
      <c r="AC175" s="40" t="s">
        <v>724</v>
      </c>
      <c r="AD175" s="40" t="s">
        <v>511</v>
      </c>
      <c r="AE175" s="40">
        <v>271</v>
      </c>
      <c r="AF175" s="103">
        <v>45816</v>
      </c>
      <c r="AG175" s="40">
        <v>88</v>
      </c>
      <c r="AH175" s="40">
        <f>VLOOKUP(Таблица310[[#This Row],[№ акта]],'Степень зрелости 2025'!$H$13:$I$583,2,FALSE)</f>
        <v>61</v>
      </c>
      <c r="AI175" s="40" t="str">
        <f>VLOOKUP(Таблица310[[#This Row],[№ акта]],$AQ$1:$AT$594,2,FALSE)</f>
        <v>А-57</v>
      </c>
      <c r="AJ175" s="40" t="str">
        <f>Таблица310[[#This Row],[Регистратор.Номенклатура]]</f>
        <v>Тиара</v>
      </c>
      <c r="AK175" s="40" t="str">
        <f>VLOOKUP(Таблица310[[#This Row],[№ акта]],$AQ$1:$AT$594,4,FALSE)</f>
        <v>ГРК (богара)</v>
      </c>
      <c r="AL175" s="45">
        <f>VLOOKUP(Таблица310[[#This Row],[№ акта]],$AQ$1:$AT$594,3,FALSE)</f>
        <v>4.0633893919793014</v>
      </c>
      <c r="AM175" s="40" t="str">
        <f>IF(Таблица310[[#This Row],[Площадь уборки, га]]=Таблица310[[#This Row],[Площадь уборки до корр]],"нет","да")</f>
        <v>нет</v>
      </c>
      <c r="AN175" s="45">
        <f>Таблица310[[#This Row],[Площадь уборки до корр]]-Таблица310[[#This Row],[Площадь уборки, га]]</f>
        <v>0</v>
      </c>
      <c r="AQ175">
        <v>271</v>
      </c>
      <c r="AR175" t="s">
        <v>523</v>
      </c>
      <c r="AS175">
        <v>4.0633893919793014</v>
      </c>
      <c r="AT175" t="s">
        <v>46</v>
      </c>
      <c r="XEM175" s="72"/>
      <c r="XEN175" s="73"/>
      <c r="XEO175" s="74"/>
      <c r="XEP175" s="75"/>
      <c r="XEQ175" s="76"/>
      <c r="XER175" s="73"/>
    </row>
    <row r="176" spans="1:46 16367:16372" ht="25.5" hidden="1" customHeight="1" x14ac:dyDescent="0.25">
      <c r="A176" s="72"/>
      <c r="B176" s="73"/>
      <c r="C176" s="120">
        <f>Таблица310[[#This Row],[Степень зрелости вспом]]</f>
        <v>67</v>
      </c>
      <c r="D176" s="75">
        <v>272</v>
      </c>
      <c r="E176" s="146">
        <v>45816</v>
      </c>
      <c r="F176" s="73">
        <v>28870</v>
      </c>
      <c r="G176" s="73">
        <v>13940</v>
      </c>
      <c r="H176" s="77">
        <v>14930</v>
      </c>
      <c r="I176" s="73">
        <v>12406.6</v>
      </c>
      <c r="J176" s="72" t="s">
        <v>78</v>
      </c>
      <c r="K176" s="72" t="s">
        <v>782</v>
      </c>
      <c r="L176" s="72" t="s">
        <v>523</v>
      </c>
      <c r="M176" s="35" t="s">
        <v>311</v>
      </c>
      <c r="N176" s="40"/>
      <c r="O176" s="72"/>
      <c r="P176" s="72"/>
      <c r="Q176" s="72"/>
      <c r="R176" s="72" t="s">
        <v>315</v>
      </c>
      <c r="S176" s="40"/>
      <c r="T176" s="70" t="s">
        <v>523</v>
      </c>
      <c r="U176" s="68" t="str">
        <f>Таблица310[[#This Row],[Регистратор.Номенклатура]]</f>
        <v>Тиара</v>
      </c>
      <c r="V176" s="45">
        <f>27*Таблица310[[#This Row],[Регистратор.Вес нетто]]/92760</f>
        <v>4.0575679172056924</v>
      </c>
      <c r="W176" s="72" t="s">
        <v>46</v>
      </c>
      <c r="X176" s="72" t="s">
        <v>19</v>
      </c>
      <c r="Y176" s="40">
        <v>11</v>
      </c>
      <c r="Z176" s="71">
        <v>45816</v>
      </c>
      <c r="AA176" s="40"/>
      <c r="AB176" s="40"/>
      <c r="AC176" s="40" t="s">
        <v>420</v>
      </c>
      <c r="AD176" s="40" t="s">
        <v>550</v>
      </c>
      <c r="AE176" s="40">
        <v>272</v>
      </c>
      <c r="AF176" s="103">
        <v>45816</v>
      </c>
      <c r="AG176" s="40">
        <v>89</v>
      </c>
      <c r="AH176" s="40">
        <f>VLOOKUP(Таблица310[[#This Row],[№ акта]],'Степень зрелости 2025'!$H$13:$I$583,2,FALSE)</f>
        <v>67</v>
      </c>
      <c r="AI176" s="40" t="str">
        <f>VLOOKUP(Таблица310[[#This Row],[№ акта]],$AQ$1:$AT$594,2,FALSE)</f>
        <v>А-57</v>
      </c>
      <c r="AJ176" s="40" t="str">
        <f>Таблица310[[#This Row],[Регистратор.Номенклатура]]</f>
        <v>Тиара</v>
      </c>
      <c r="AK176" s="40" t="str">
        <f>VLOOKUP(Таблица310[[#This Row],[№ акта]],$AQ$1:$AT$594,4,FALSE)</f>
        <v>ГРК (богара)</v>
      </c>
      <c r="AL176" s="45">
        <f>VLOOKUP(Таблица310[[#This Row],[№ акта]],$AQ$1:$AT$594,3,FALSE)</f>
        <v>4.0575679172056924</v>
      </c>
      <c r="AM176" s="40" t="str">
        <f>IF(Таблица310[[#This Row],[Площадь уборки, га]]=Таблица310[[#This Row],[Площадь уборки до корр]],"нет","да")</f>
        <v>нет</v>
      </c>
      <c r="AN176" s="45">
        <f>Таблица310[[#This Row],[Площадь уборки до корр]]-Таблица310[[#This Row],[Площадь уборки, га]]</f>
        <v>0</v>
      </c>
      <c r="AQ176">
        <v>272</v>
      </c>
      <c r="AR176" t="s">
        <v>523</v>
      </c>
      <c r="AS176">
        <v>4.0575679172056924</v>
      </c>
      <c r="AT176" t="s">
        <v>46</v>
      </c>
      <c r="XEM176" s="72"/>
      <c r="XEN176" s="73"/>
      <c r="XEO176" s="74"/>
      <c r="XEP176" s="75"/>
      <c r="XEQ176" s="76"/>
      <c r="XER176" s="73"/>
    </row>
    <row r="177" spans="1:46 16367:16372" ht="25.5" hidden="1" customHeight="1" x14ac:dyDescent="0.25">
      <c r="A177" s="72"/>
      <c r="B177" s="73"/>
      <c r="C177" s="120">
        <f>Таблица310[[#This Row],[Степень зрелости вспом]]</f>
        <v>65</v>
      </c>
      <c r="D177" s="75">
        <v>273</v>
      </c>
      <c r="E177" s="146">
        <v>45816</v>
      </c>
      <c r="F177" s="73">
        <v>29020</v>
      </c>
      <c r="G177" s="73">
        <v>14040</v>
      </c>
      <c r="H177" s="77">
        <v>14980</v>
      </c>
      <c r="I177" s="73">
        <v>12074.4</v>
      </c>
      <c r="J177" s="72" t="s">
        <v>78</v>
      </c>
      <c r="K177" s="72" t="s">
        <v>782</v>
      </c>
      <c r="L177" s="72" t="s">
        <v>523</v>
      </c>
      <c r="M177" s="35" t="s">
        <v>133</v>
      </c>
      <c r="N177" s="40"/>
      <c r="O177" s="72"/>
      <c r="P177" s="72"/>
      <c r="Q177" s="72"/>
      <c r="R177" s="72" t="s">
        <v>137</v>
      </c>
      <c r="S177" s="40"/>
      <c r="T177" s="70" t="s">
        <v>523</v>
      </c>
      <c r="U177" s="68" t="str">
        <f>Таблица310[[#This Row],[Регистратор.Номенклатура]]</f>
        <v>Тиара</v>
      </c>
      <c r="V177" s="45">
        <f>27*Таблица310[[#This Row],[Регистратор.Вес нетто]]/92760</f>
        <v>4.0866752910737389</v>
      </c>
      <c r="W177" s="72" t="s">
        <v>46</v>
      </c>
      <c r="X177" s="72" t="s">
        <v>19</v>
      </c>
      <c r="Y177" s="40">
        <v>11</v>
      </c>
      <c r="Z177" s="71">
        <v>45816</v>
      </c>
      <c r="AA177" s="40"/>
      <c r="AB177" s="40"/>
      <c r="AC177" s="40" t="s">
        <v>725</v>
      </c>
      <c r="AD177" s="40" t="s">
        <v>550</v>
      </c>
      <c r="AE177" s="40">
        <v>273</v>
      </c>
      <c r="AF177" s="103">
        <v>45816</v>
      </c>
      <c r="AG177" s="40">
        <v>90</v>
      </c>
      <c r="AH177" s="40">
        <f>VLOOKUP(Таблица310[[#This Row],[№ акта]],'Степень зрелости 2025'!$H$13:$I$583,2,FALSE)</f>
        <v>65</v>
      </c>
      <c r="AI177" s="40" t="str">
        <f>VLOOKUP(Таблица310[[#This Row],[№ акта]],$AQ$1:$AT$594,2,FALSE)</f>
        <v>А-57</v>
      </c>
      <c r="AJ177" s="40" t="str">
        <f>Таблица310[[#This Row],[Регистратор.Номенклатура]]</f>
        <v>Тиара</v>
      </c>
      <c r="AK177" s="40" t="str">
        <f>VLOOKUP(Таблица310[[#This Row],[№ акта]],$AQ$1:$AT$594,4,FALSE)</f>
        <v>ГРК (богара)</v>
      </c>
      <c r="AL177" s="45">
        <f>VLOOKUP(Таблица310[[#This Row],[№ акта]],$AQ$1:$AT$594,3,FALSE)</f>
        <v>4.0866752910737389</v>
      </c>
      <c r="AM177" s="40" t="str">
        <f>IF(Таблица310[[#This Row],[Площадь уборки, га]]=Таблица310[[#This Row],[Площадь уборки до корр]],"нет","да")</f>
        <v>нет</v>
      </c>
      <c r="AN177" s="45">
        <f>Таблица310[[#This Row],[Площадь уборки до корр]]-Таблица310[[#This Row],[Площадь уборки, га]]</f>
        <v>0</v>
      </c>
      <c r="AQ177">
        <v>273</v>
      </c>
      <c r="AR177" t="s">
        <v>523</v>
      </c>
      <c r="AS177">
        <v>4.0866752910737389</v>
      </c>
      <c r="AT177" t="s">
        <v>46</v>
      </c>
      <c r="XEM177" s="72"/>
      <c r="XEN177" s="73"/>
      <c r="XEO177" s="74"/>
      <c r="XEP177" s="75"/>
      <c r="XEQ177" s="76"/>
      <c r="XER177" s="73"/>
    </row>
    <row r="178" spans="1:46 16367:16372" ht="25.5" hidden="1" customHeight="1" x14ac:dyDescent="0.25">
      <c r="A178" s="72"/>
      <c r="B178" s="73"/>
      <c r="C178" s="120">
        <f>Таблица310[[#This Row],[Степень зрелости вспом]]</f>
        <v>49</v>
      </c>
      <c r="D178" s="75">
        <v>274</v>
      </c>
      <c r="E178" s="146">
        <v>45816</v>
      </c>
      <c r="F178" s="73">
        <v>9360</v>
      </c>
      <c r="G178" s="73">
        <v>4770</v>
      </c>
      <c r="H178" s="77">
        <v>4590</v>
      </c>
      <c r="I178" s="73">
        <v>3720.6</v>
      </c>
      <c r="J178" s="72" t="s">
        <v>726</v>
      </c>
      <c r="K178" s="72" t="s">
        <v>782</v>
      </c>
      <c r="L178" s="72" t="s">
        <v>796</v>
      </c>
      <c r="M178" s="35" t="s">
        <v>737</v>
      </c>
      <c r="N178" s="40"/>
      <c r="O178" s="72"/>
      <c r="P178" s="72"/>
      <c r="Q178" s="72"/>
      <c r="R178" s="72" t="s">
        <v>738</v>
      </c>
      <c r="S178" s="40"/>
      <c r="T178" s="70" t="s">
        <v>840</v>
      </c>
      <c r="U178" s="68" t="str">
        <f>Таблица310[[#This Row],[Регистратор.Номенклатура]]</f>
        <v>Тиара</v>
      </c>
      <c r="V178" s="45">
        <f>3*Таблица310[[#This Row],[Регистратор.Вес нетто]]/17620</f>
        <v>0.81214528944381381</v>
      </c>
      <c r="W178" s="72" t="s">
        <v>45</v>
      </c>
      <c r="X178" s="72" t="s">
        <v>19</v>
      </c>
      <c r="Y178" s="40">
        <v>11</v>
      </c>
      <c r="Z178" s="71">
        <v>45816</v>
      </c>
      <c r="AA178" s="40"/>
      <c r="AB178" s="40"/>
      <c r="AC178" s="40" t="s">
        <v>419</v>
      </c>
      <c r="AD178" s="40" t="s">
        <v>511</v>
      </c>
      <c r="AE178" s="40">
        <v>274</v>
      </c>
      <c r="AF178" s="103">
        <v>45816</v>
      </c>
      <c r="AG178" s="40">
        <v>91</v>
      </c>
      <c r="AH178" s="40">
        <f>VLOOKUP(Таблица310[[#This Row],[№ акта]],'Степень зрелости 2025'!$H$13:$I$583,2,FALSE)</f>
        <v>49</v>
      </c>
      <c r="AI178" s="40" t="str">
        <f>VLOOKUP(Таблица310[[#This Row],[№ акта]],$AQ$1:$AT$594,2,FALSE)</f>
        <v>А-51</v>
      </c>
      <c r="AJ178" s="40" t="str">
        <f>Таблица310[[#This Row],[Регистратор.Номенклатура]]</f>
        <v>Тиара</v>
      </c>
      <c r="AK178" s="40" t="str">
        <f>VLOOKUP(Таблица310[[#This Row],[№ акта]],$AQ$1:$AT$594,4,FALSE)</f>
        <v>ГРК демо (богара)</v>
      </c>
      <c r="AL178" s="45">
        <f>VLOOKUP(Таблица310[[#This Row],[№ акта]],$AQ$1:$AT$594,3,FALSE)</f>
        <v>0.81214528944381381</v>
      </c>
      <c r="AM178" s="40" t="str">
        <f>IF(Таблица310[[#This Row],[Площадь уборки, га]]=Таблица310[[#This Row],[Площадь уборки до корр]],"нет","да")</f>
        <v>нет</v>
      </c>
      <c r="AN178" s="45">
        <f>Таблица310[[#This Row],[Площадь уборки до корр]]-Таблица310[[#This Row],[Площадь уборки, га]]</f>
        <v>0</v>
      </c>
      <c r="AQ178">
        <v>274</v>
      </c>
      <c r="AR178" t="s">
        <v>840</v>
      </c>
      <c r="AS178">
        <v>0.81214528944381381</v>
      </c>
      <c r="AT178" t="s">
        <v>45</v>
      </c>
      <c r="XEM178" s="72"/>
      <c r="XEN178" s="73"/>
      <c r="XEO178" s="74"/>
      <c r="XEP178" s="75"/>
      <c r="XEQ178" s="76"/>
      <c r="XER178" s="73"/>
    </row>
    <row r="179" spans="1:46 16367:16372" ht="25.5" hidden="1" customHeight="1" x14ac:dyDescent="0.25">
      <c r="A179" s="72"/>
      <c r="B179" s="73"/>
      <c r="C179" s="120">
        <f>Таблица310[[#This Row],[Степень зрелости вспом]]</f>
        <v>64</v>
      </c>
      <c r="D179" s="75">
        <v>275</v>
      </c>
      <c r="E179" s="146">
        <v>45816</v>
      </c>
      <c r="F179" s="73">
        <v>28500</v>
      </c>
      <c r="G179" s="73">
        <v>13910</v>
      </c>
      <c r="H179" s="77">
        <v>14590</v>
      </c>
      <c r="I179" s="73">
        <v>10710.7</v>
      </c>
      <c r="J179" s="72" t="s">
        <v>78</v>
      </c>
      <c r="K179" s="72" t="s">
        <v>782</v>
      </c>
      <c r="L179" s="72" t="s">
        <v>523</v>
      </c>
      <c r="M179" s="35" t="s">
        <v>239</v>
      </c>
      <c r="N179" s="40"/>
      <c r="O179" s="72"/>
      <c r="P179" s="72"/>
      <c r="Q179" s="72"/>
      <c r="R179" s="72" t="s">
        <v>243</v>
      </c>
      <c r="S179" s="40"/>
      <c r="T179" s="70" t="s">
        <v>523</v>
      </c>
      <c r="U179" s="68" t="str">
        <f>Таблица310[[#This Row],[Регистратор.Номенклатура]]</f>
        <v>Тиара</v>
      </c>
      <c r="V179" s="45">
        <f>27*Таблица310[[#This Row],[Регистратор.Вес нетто]]/92760</f>
        <v>4.0488357050452786</v>
      </c>
      <c r="W179" s="72" t="s">
        <v>46</v>
      </c>
      <c r="X179" s="72" t="s">
        <v>19</v>
      </c>
      <c r="Y179" s="40">
        <v>11</v>
      </c>
      <c r="Z179" s="71">
        <v>45816</v>
      </c>
      <c r="AA179" s="40"/>
      <c r="AB179" s="40"/>
      <c r="AC179" s="40" t="s">
        <v>725</v>
      </c>
      <c r="AD179" s="40" t="s">
        <v>550</v>
      </c>
      <c r="AE179" s="40">
        <v>275</v>
      </c>
      <c r="AF179" s="103">
        <v>45816</v>
      </c>
      <c r="AG179" s="40">
        <v>92</v>
      </c>
      <c r="AH179" s="40">
        <f>VLOOKUP(Таблица310[[#This Row],[№ акта]],'Степень зрелости 2025'!$H$13:$I$583,2,FALSE)</f>
        <v>64</v>
      </c>
      <c r="AI179" s="40" t="str">
        <f>VLOOKUP(Таблица310[[#This Row],[№ акта]],$AQ$1:$AT$594,2,FALSE)</f>
        <v>А-57</v>
      </c>
      <c r="AJ179" s="40" t="str">
        <f>Таблица310[[#This Row],[Регистратор.Номенклатура]]</f>
        <v>Тиара</v>
      </c>
      <c r="AK179" s="40" t="str">
        <f>VLOOKUP(Таблица310[[#This Row],[№ акта]],$AQ$1:$AT$594,4,FALSE)</f>
        <v>ГРК (богара)</v>
      </c>
      <c r="AL179" s="45">
        <f>VLOOKUP(Таблица310[[#This Row],[№ акта]],$AQ$1:$AT$594,3,FALSE)</f>
        <v>4.0488357050452786</v>
      </c>
      <c r="AM179" s="40" t="str">
        <f>IF(Таблица310[[#This Row],[Площадь уборки, га]]=Таблица310[[#This Row],[Площадь уборки до корр]],"нет","да")</f>
        <v>нет</v>
      </c>
      <c r="AN179" s="45">
        <f>Таблица310[[#This Row],[Площадь уборки до корр]]-Таблица310[[#This Row],[Площадь уборки, га]]</f>
        <v>0</v>
      </c>
      <c r="AQ179">
        <v>275</v>
      </c>
      <c r="AR179" t="s">
        <v>523</v>
      </c>
      <c r="AS179">
        <v>4.0488357050452786</v>
      </c>
      <c r="AT179" t="s">
        <v>46</v>
      </c>
      <c r="XEM179" s="72"/>
      <c r="XEN179" s="73"/>
      <c r="XEO179" s="74"/>
      <c r="XEP179" s="75"/>
      <c r="XEQ179" s="76"/>
      <c r="XER179" s="73"/>
    </row>
    <row r="180" spans="1:46 16367:16372" ht="25.5" hidden="1" customHeight="1" x14ac:dyDescent="0.25">
      <c r="A180" s="72"/>
      <c r="B180" s="73"/>
      <c r="C180" s="120">
        <f>Таблица310[[#This Row],[Степень зрелости вспом]]</f>
        <v>68</v>
      </c>
      <c r="D180" s="75">
        <v>276</v>
      </c>
      <c r="E180" s="146">
        <v>45816</v>
      </c>
      <c r="F180" s="73">
        <v>25680</v>
      </c>
      <c r="G180" s="73">
        <v>11370</v>
      </c>
      <c r="H180" s="77">
        <v>14310</v>
      </c>
      <c r="I180" s="73">
        <v>9778.2000000000007</v>
      </c>
      <c r="J180" s="72" t="s">
        <v>78</v>
      </c>
      <c r="K180" s="72" t="s">
        <v>782</v>
      </c>
      <c r="L180" s="72" t="s">
        <v>523</v>
      </c>
      <c r="M180" s="35" t="s">
        <v>127</v>
      </c>
      <c r="N180" s="40"/>
      <c r="O180" s="72"/>
      <c r="P180" s="72"/>
      <c r="Q180" s="72"/>
      <c r="R180" s="72" t="s">
        <v>799</v>
      </c>
      <c r="S180" s="40"/>
      <c r="T180" s="70" t="s">
        <v>523</v>
      </c>
      <c r="U180" s="68" t="str">
        <f>Таблица310[[#This Row],[Регистратор.Номенклатура]]</f>
        <v>Тиара</v>
      </c>
      <c r="V180" s="45">
        <f>27*Таблица310[[#This Row],[Регистратор.Вес нетто]]/92760</f>
        <v>3.3095084087968951</v>
      </c>
      <c r="W180" s="72" t="s">
        <v>46</v>
      </c>
      <c r="X180" s="72" t="s">
        <v>19</v>
      </c>
      <c r="Y180" s="40">
        <v>11</v>
      </c>
      <c r="Z180" s="71">
        <v>45816</v>
      </c>
      <c r="AA180" s="40"/>
      <c r="AB180" s="40"/>
      <c r="AC180" s="40" t="s">
        <v>420</v>
      </c>
      <c r="AD180" s="40" t="s">
        <v>550</v>
      </c>
      <c r="AE180" s="40">
        <v>276</v>
      </c>
      <c r="AF180" s="103">
        <v>45816</v>
      </c>
      <c r="AG180" s="40">
        <v>93</v>
      </c>
      <c r="AH180" s="40">
        <f>VLOOKUP(Таблица310[[#This Row],[№ акта]],'Степень зрелости 2025'!$H$13:$I$583,2,FALSE)</f>
        <v>68</v>
      </c>
      <c r="AI180" s="40" t="str">
        <f>VLOOKUP(Таблица310[[#This Row],[№ акта]],$AQ$1:$AT$594,2,FALSE)</f>
        <v>А-57</v>
      </c>
      <c r="AJ180" s="40" t="str">
        <f>Таблица310[[#This Row],[Регистратор.Номенклатура]]</f>
        <v>Тиара</v>
      </c>
      <c r="AK180" s="40" t="str">
        <f>VLOOKUP(Таблица310[[#This Row],[№ акта]],$AQ$1:$AT$594,4,FALSE)</f>
        <v>ГРК (богара)</v>
      </c>
      <c r="AL180" s="45">
        <f>VLOOKUP(Таблица310[[#This Row],[№ акта]],$AQ$1:$AT$594,3,FALSE)</f>
        <v>3.3095084087968951</v>
      </c>
      <c r="AM180" s="40" t="str">
        <f>IF(Таблица310[[#This Row],[Площадь уборки, га]]=Таблица310[[#This Row],[Площадь уборки до корр]],"нет","да")</f>
        <v>нет</v>
      </c>
      <c r="AN180" s="45">
        <f>Таблица310[[#This Row],[Площадь уборки до корр]]-Таблица310[[#This Row],[Площадь уборки, га]]</f>
        <v>0</v>
      </c>
      <c r="AQ180">
        <v>276</v>
      </c>
      <c r="AR180" t="s">
        <v>523</v>
      </c>
      <c r="AS180">
        <v>3.3095084087968951</v>
      </c>
      <c r="AT180" t="s">
        <v>46</v>
      </c>
      <c r="XEM180" s="72"/>
      <c r="XEN180" s="73"/>
      <c r="XEO180" s="74"/>
      <c r="XEP180" s="75"/>
      <c r="XEQ180" s="76"/>
      <c r="XER180" s="73"/>
    </row>
    <row r="181" spans="1:46 16367:16372" ht="25.5" hidden="1" customHeight="1" x14ac:dyDescent="0.25">
      <c r="A181" s="72"/>
      <c r="B181" s="73"/>
      <c r="C181" s="120">
        <f>Таблица310[[#This Row],[Степень зрелости вспом]]</f>
        <v>51</v>
      </c>
      <c r="D181" s="75">
        <v>277</v>
      </c>
      <c r="E181" s="146">
        <v>45816</v>
      </c>
      <c r="F181" s="73">
        <v>9380</v>
      </c>
      <c r="G181" s="73">
        <v>4790</v>
      </c>
      <c r="H181" s="77">
        <v>4590</v>
      </c>
      <c r="I181" s="73">
        <v>3951.7</v>
      </c>
      <c r="J181" s="72" t="s">
        <v>78</v>
      </c>
      <c r="K181" s="72" t="s">
        <v>782</v>
      </c>
      <c r="L181" s="72" t="s">
        <v>796</v>
      </c>
      <c r="M181" s="35" t="s">
        <v>737</v>
      </c>
      <c r="N181" s="40"/>
      <c r="O181" s="72"/>
      <c r="P181" s="72"/>
      <c r="Q181" s="72"/>
      <c r="R181" s="72" t="s">
        <v>738</v>
      </c>
      <c r="S181" s="40"/>
      <c r="T181" s="70" t="s">
        <v>840</v>
      </c>
      <c r="U181" s="68" t="str">
        <f>Таблица310[[#This Row],[Регистратор.Номенклатура]]</f>
        <v>Тиара</v>
      </c>
      <c r="V181" s="45">
        <f>3*Таблица310[[#This Row],[Регистратор.Вес нетто]]/17620</f>
        <v>0.81555051078320095</v>
      </c>
      <c r="W181" s="72" t="s">
        <v>45</v>
      </c>
      <c r="X181" s="72" t="s">
        <v>19</v>
      </c>
      <c r="Y181" s="40">
        <v>11</v>
      </c>
      <c r="Z181" s="71">
        <v>45816</v>
      </c>
      <c r="AA181" s="40"/>
      <c r="AB181" s="40"/>
      <c r="AC181" s="40" t="s">
        <v>419</v>
      </c>
      <c r="AD181" s="40" t="s">
        <v>511</v>
      </c>
      <c r="AE181" s="40">
        <v>277</v>
      </c>
      <c r="AF181" s="103">
        <v>45816</v>
      </c>
      <c r="AG181" s="40">
        <v>94</v>
      </c>
      <c r="AH181" s="40">
        <f>VLOOKUP(Таблица310[[#This Row],[№ акта]],'Степень зрелости 2025'!$H$13:$I$583,2,FALSE)</f>
        <v>51</v>
      </c>
      <c r="AI181" s="40" t="str">
        <f>VLOOKUP(Таблица310[[#This Row],[№ акта]],$AQ$1:$AT$594,2,FALSE)</f>
        <v>А-51</v>
      </c>
      <c r="AJ181" s="40" t="str">
        <f>Таблица310[[#This Row],[Регистратор.Номенклатура]]</f>
        <v>Тиара</v>
      </c>
      <c r="AK181" s="40" t="str">
        <f>VLOOKUP(Таблица310[[#This Row],[№ акта]],$AQ$1:$AT$594,4,FALSE)</f>
        <v>ГРК демо (богара)</v>
      </c>
      <c r="AL181" s="45">
        <f>VLOOKUP(Таблица310[[#This Row],[№ акта]],$AQ$1:$AT$594,3,FALSE)</f>
        <v>0.81555051078320095</v>
      </c>
      <c r="AM181" s="40" t="str">
        <f>IF(Таблица310[[#This Row],[Площадь уборки, га]]=Таблица310[[#This Row],[Площадь уборки до корр]],"нет","да")</f>
        <v>нет</v>
      </c>
      <c r="AN181" s="45">
        <f>Таблица310[[#This Row],[Площадь уборки до корр]]-Таблица310[[#This Row],[Площадь уборки, га]]</f>
        <v>0</v>
      </c>
      <c r="AQ181">
        <v>277</v>
      </c>
      <c r="AR181" t="s">
        <v>840</v>
      </c>
      <c r="AS181">
        <v>0.81555051078320095</v>
      </c>
      <c r="AT181" t="s">
        <v>45</v>
      </c>
      <c r="XEM181" s="72"/>
      <c r="XEN181" s="73"/>
      <c r="XEO181" s="74"/>
      <c r="XEP181" s="75"/>
      <c r="XEQ181" s="76"/>
      <c r="XER181" s="73"/>
    </row>
    <row r="182" spans="1:46 16367:16372" ht="25.5" hidden="1" customHeight="1" x14ac:dyDescent="0.25">
      <c r="A182" s="72"/>
      <c r="B182" s="73"/>
      <c r="C182" s="120">
        <f>Таблица310[[#This Row],[Степень зрелости вспом]]</f>
        <v>72</v>
      </c>
      <c r="D182" s="75">
        <v>278</v>
      </c>
      <c r="E182" s="146">
        <v>45816</v>
      </c>
      <c r="F182" s="73">
        <v>28720</v>
      </c>
      <c r="G182" s="73">
        <v>13790</v>
      </c>
      <c r="H182" s="77">
        <v>14930</v>
      </c>
      <c r="I182" s="73">
        <v>12617.8</v>
      </c>
      <c r="J182" s="72" t="s">
        <v>78</v>
      </c>
      <c r="K182" s="72" t="s">
        <v>782</v>
      </c>
      <c r="L182" s="72" t="s">
        <v>523</v>
      </c>
      <c r="M182" s="35" t="s">
        <v>311</v>
      </c>
      <c r="N182" s="40"/>
      <c r="O182" s="72"/>
      <c r="P182" s="72"/>
      <c r="Q182" s="72"/>
      <c r="R182" s="72" t="s">
        <v>315</v>
      </c>
      <c r="S182" s="40"/>
      <c r="T182" s="70" t="s">
        <v>523</v>
      </c>
      <c r="U182" s="68" t="str">
        <f>Таблица310[[#This Row],[Регистратор.Номенклатура]]</f>
        <v>Тиара</v>
      </c>
      <c r="V182" s="45">
        <f>27*Таблица310[[#This Row],[Регистратор.Вес нетто]]/92760</f>
        <v>4.0139068564036222</v>
      </c>
      <c r="W182" s="72" t="s">
        <v>46</v>
      </c>
      <c r="X182" s="72" t="s">
        <v>19</v>
      </c>
      <c r="Y182" s="40">
        <v>11</v>
      </c>
      <c r="Z182" s="71">
        <v>45816</v>
      </c>
      <c r="AA182" s="40"/>
      <c r="AB182" s="40"/>
      <c r="AC182" s="40" t="s">
        <v>420</v>
      </c>
      <c r="AD182" s="40" t="s">
        <v>550</v>
      </c>
      <c r="AE182" s="40">
        <v>278</v>
      </c>
      <c r="AF182" s="103">
        <v>45816</v>
      </c>
      <c r="AG182" s="40">
        <v>95</v>
      </c>
      <c r="AH182" s="40">
        <f>VLOOKUP(Таблица310[[#This Row],[№ акта]],'Степень зрелости 2025'!$H$13:$I$583,2,FALSE)</f>
        <v>72</v>
      </c>
      <c r="AI182" s="40" t="str">
        <f>VLOOKUP(Таблица310[[#This Row],[№ акта]],$AQ$1:$AT$594,2,FALSE)</f>
        <v>А-57</v>
      </c>
      <c r="AJ182" s="40" t="str">
        <f>Таблица310[[#This Row],[Регистратор.Номенклатура]]</f>
        <v>Тиара</v>
      </c>
      <c r="AK182" s="40" t="str">
        <f>VLOOKUP(Таблица310[[#This Row],[№ акта]],$AQ$1:$AT$594,4,FALSE)</f>
        <v>ГРК (богара)</v>
      </c>
      <c r="AL182" s="45">
        <f>VLOOKUP(Таблица310[[#This Row],[№ акта]],$AQ$1:$AT$594,3,FALSE)</f>
        <v>4.0139068564036222</v>
      </c>
      <c r="AM182" s="40" t="str">
        <f>IF(Таблица310[[#This Row],[Площадь уборки, га]]=Таблица310[[#This Row],[Площадь уборки до корр]],"нет","да")</f>
        <v>нет</v>
      </c>
      <c r="AN182" s="45">
        <f>Таблица310[[#This Row],[Площадь уборки до корр]]-Таблица310[[#This Row],[Площадь уборки, га]]</f>
        <v>0</v>
      </c>
      <c r="AQ182">
        <v>278</v>
      </c>
      <c r="AR182" t="s">
        <v>523</v>
      </c>
      <c r="AS182">
        <v>4.0139068564036222</v>
      </c>
      <c r="AT182" t="s">
        <v>46</v>
      </c>
      <c r="XEM182" s="72"/>
      <c r="XEN182" s="73"/>
      <c r="XEO182" s="74"/>
      <c r="XEP182" s="75"/>
      <c r="XEQ182" s="76"/>
      <c r="XER182" s="73"/>
    </row>
    <row r="183" spans="1:46 16367:16372" ht="25.5" hidden="1" customHeight="1" x14ac:dyDescent="0.25">
      <c r="A183" s="72"/>
      <c r="B183" s="73"/>
      <c r="C183" s="120">
        <f>Таблица310[[#This Row],[Степень зрелости вспом]]</f>
        <v>69</v>
      </c>
      <c r="D183" s="75">
        <v>279</v>
      </c>
      <c r="E183" s="146">
        <v>45816</v>
      </c>
      <c r="F183" s="73">
        <v>29060</v>
      </c>
      <c r="G183" s="73">
        <v>6840</v>
      </c>
      <c r="H183" s="77">
        <v>22220</v>
      </c>
      <c r="I183" s="73">
        <v>6258.6</v>
      </c>
      <c r="J183" s="72" t="s">
        <v>78</v>
      </c>
      <c r="K183" s="72" t="s">
        <v>21</v>
      </c>
      <c r="L183" s="72" t="s">
        <v>754</v>
      </c>
      <c r="M183" s="35" t="s">
        <v>133</v>
      </c>
      <c r="N183" s="40"/>
      <c r="O183" s="72"/>
      <c r="P183" s="72"/>
      <c r="Q183" s="72"/>
      <c r="R183" s="72" t="s">
        <v>137</v>
      </c>
      <c r="S183" s="40"/>
      <c r="T183" s="70" t="s">
        <v>754</v>
      </c>
      <c r="U183" s="68" t="str">
        <f>Таблица310[[#This Row],[Регистратор.Номенклатура]]</f>
        <v>Преладо</v>
      </c>
      <c r="V183" s="45">
        <f>35*Таблица310[[#This Row],[Регистратор.Вес нетто]]/105660</f>
        <v>2.2657580919931859</v>
      </c>
      <c r="W183" s="72" t="s">
        <v>46</v>
      </c>
      <c r="X183" s="72" t="s">
        <v>19</v>
      </c>
      <c r="Y183" s="40">
        <v>11</v>
      </c>
      <c r="Z183" s="71">
        <v>45816</v>
      </c>
      <c r="AA183" s="40"/>
      <c r="AB183" s="40"/>
      <c r="AC183" s="40" t="s">
        <v>420</v>
      </c>
      <c r="AD183" s="40" t="s">
        <v>550</v>
      </c>
      <c r="AE183" s="40">
        <v>279</v>
      </c>
      <c r="AF183" s="103">
        <v>45816</v>
      </c>
      <c r="AG183" s="40">
        <v>97</v>
      </c>
      <c r="AH183" s="40">
        <f>VLOOKUP(Таблица310[[#This Row],[№ акта]],'Степень зрелости 2025'!$H$13:$I$583,2,FALSE)</f>
        <v>69</v>
      </c>
      <c r="AI183" s="40" t="str">
        <f>VLOOKUP(Таблица310[[#This Row],[№ акта]],$AQ$1:$AT$594,2,FALSE)</f>
        <v>А-67</v>
      </c>
      <c r="AJ183" s="40" t="str">
        <f>Таблица310[[#This Row],[Регистратор.Номенклатура]]</f>
        <v>Преладо</v>
      </c>
      <c r="AK183" s="40" t="str">
        <f>VLOOKUP(Таблица310[[#This Row],[№ акта]],$AQ$1:$AT$594,4,FALSE)</f>
        <v>ГРК (богара)</v>
      </c>
      <c r="AL183" s="45">
        <f>VLOOKUP(Таблица310[[#This Row],[№ акта]],$AQ$1:$AT$594,3,FALSE)</f>
        <v>2.2657580919931859</v>
      </c>
      <c r="AM183" s="40" t="str">
        <f>IF(Таблица310[[#This Row],[Площадь уборки, га]]=Таблица310[[#This Row],[Площадь уборки до корр]],"нет","да")</f>
        <v>нет</v>
      </c>
      <c r="AN183" s="45">
        <f>Таблица310[[#This Row],[Площадь уборки до корр]]-Таблица310[[#This Row],[Площадь уборки, га]]</f>
        <v>0</v>
      </c>
      <c r="AQ183">
        <v>279</v>
      </c>
      <c r="AR183" t="s">
        <v>754</v>
      </c>
      <c r="AS183">
        <v>2.2657580919931859</v>
      </c>
      <c r="AT183" t="s">
        <v>46</v>
      </c>
      <c r="XEM183" s="72"/>
      <c r="XEN183" s="73"/>
      <c r="XEO183" s="74"/>
      <c r="XEP183" s="75"/>
      <c r="XEQ183" s="76"/>
      <c r="XER183" s="73"/>
    </row>
    <row r="184" spans="1:46 16367:16372" ht="25.5" hidden="1" customHeight="1" x14ac:dyDescent="0.25">
      <c r="A184" s="72"/>
      <c r="B184" s="73"/>
      <c r="C184" s="120">
        <f>Таблица310[[#This Row],[Степень зрелости вспом]]</f>
        <v>63</v>
      </c>
      <c r="D184" s="75">
        <v>280</v>
      </c>
      <c r="E184" s="146">
        <v>45816</v>
      </c>
      <c r="F184" s="73">
        <v>22220</v>
      </c>
      <c r="G184" s="73">
        <v>7260</v>
      </c>
      <c r="H184" s="77">
        <v>14960</v>
      </c>
      <c r="I184" s="73">
        <v>6534</v>
      </c>
      <c r="J184" s="72" t="s">
        <v>78</v>
      </c>
      <c r="K184" s="72" t="s">
        <v>782</v>
      </c>
      <c r="L184" s="72" t="s">
        <v>523</v>
      </c>
      <c r="M184" s="35" t="s">
        <v>133</v>
      </c>
      <c r="N184" s="40"/>
      <c r="O184" s="72"/>
      <c r="P184" s="72"/>
      <c r="Q184" s="72"/>
      <c r="R184" s="72" t="s">
        <v>137</v>
      </c>
      <c r="S184" s="40"/>
      <c r="T184" s="70" t="s">
        <v>523</v>
      </c>
      <c r="U184" s="68" t="str">
        <f>Таблица310[[#This Row],[Регистратор.Номенклатура]]</f>
        <v>Тиара</v>
      </c>
      <c r="V184" s="45">
        <f>27*Таблица310[[#This Row],[Регистратор.Вес нетто]]/92760</f>
        <v>2.1131953428201813</v>
      </c>
      <c r="W184" s="72" t="s">
        <v>46</v>
      </c>
      <c r="X184" s="72" t="s">
        <v>19</v>
      </c>
      <c r="Y184" s="40">
        <v>11</v>
      </c>
      <c r="Z184" s="71">
        <v>45816</v>
      </c>
      <c r="AA184" s="40"/>
      <c r="AB184" s="40"/>
      <c r="AC184" s="40" t="s">
        <v>724</v>
      </c>
      <c r="AD184" s="40" t="s">
        <v>550</v>
      </c>
      <c r="AE184" s="40">
        <v>280</v>
      </c>
      <c r="AF184" s="103">
        <v>45816</v>
      </c>
      <c r="AG184" s="40">
        <v>97</v>
      </c>
      <c r="AH184" s="40">
        <f>VLOOKUP(Таблица310[[#This Row],[№ акта]],'Степень зрелости 2025'!$H$13:$I$583,2,FALSE)</f>
        <v>63</v>
      </c>
      <c r="AI184" s="40" t="str">
        <f>VLOOKUP(Таблица310[[#This Row],[№ акта]],$AQ$1:$AT$594,2,FALSE)</f>
        <v>А-57</v>
      </c>
      <c r="AJ184" s="40" t="str">
        <f>Таблица310[[#This Row],[Регистратор.Номенклатура]]</f>
        <v>Тиара</v>
      </c>
      <c r="AK184" s="40" t="str">
        <f>VLOOKUP(Таблица310[[#This Row],[№ акта]],$AQ$1:$AT$594,4,FALSE)</f>
        <v>ГРК (богара)</v>
      </c>
      <c r="AL184" s="45">
        <f>VLOOKUP(Таблица310[[#This Row],[№ акта]],$AQ$1:$AT$594,3,FALSE)</f>
        <v>2.1131953428201813</v>
      </c>
      <c r="AM184" s="40" t="str">
        <f>IF(Таблица310[[#This Row],[Площадь уборки, га]]=Таблица310[[#This Row],[Площадь уборки до корр]],"нет","да")</f>
        <v>нет</v>
      </c>
      <c r="AN184" s="45">
        <f>Таблица310[[#This Row],[Площадь уборки до корр]]-Таблица310[[#This Row],[Площадь уборки, га]]</f>
        <v>0</v>
      </c>
      <c r="AQ184">
        <v>280</v>
      </c>
      <c r="AR184" t="s">
        <v>523</v>
      </c>
      <c r="AS184">
        <v>2.1131953428201813</v>
      </c>
      <c r="AT184" t="s">
        <v>46</v>
      </c>
      <c r="XEM184" s="72"/>
      <c r="XEN184" s="73"/>
      <c r="XEO184" s="74"/>
      <c r="XEP184" s="75"/>
      <c r="XEQ184" s="76"/>
      <c r="XER184" s="73"/>
    </row>
    <row r="185" spans="1:46 16367:16372" ht="25.5" hidden="1" customHeight="1" x14ac:dyDescent="0.25">
      <c r="A185" s="72"/>
      <c r="B185" s="73"/>
      <c r="C185" s="120">
        <f>Таблица310[[#This Row],[Степень зрелости вспом]]</f>
        <v>57</v>
      </c>
      <c r="D185" s="75">
        <v>281</v>
      </c>
      <c r="E185" s="146">
        <v>45816</v>
      </c>
      <c r="F185" s="73">
        <v>29740</v>
      </c>
      <c r="G185" s="73">
        <v>7100</v>
      </c>
      <c r="H185" s="77">
        <v>22640</v>
      </c>
      <c r="I185" s="73">
        <v>6070.5</v>
      </c>
      <c r="J185" s="72" t="s">
        <v>78</v>
      </c>
      <c r="K185" s="72" t="s">
        <v>805</v>
      </c>
      <c r="L185" s="72" t="s">
        <v>796</v>
      </c>
      <c r="M185" s="35" t="s">
        <v>239</v>
      </c>
      <c r="N185" s="40"/>
      <c r="O185" s="72"/>
      <c r="P185" s="72"/>
      <c r="Q185" s="72"/>
      <c r="R185" s="72" t="s">
        <v>243</v>
      </c>
      <c r="S185" s="40"/>
      <c r="T185" s="70" t="s">
        <v>840</v>
      </c>
      <c r="U185" s="68" t="str">
        <f>Таблица310[[#This Row],[Регистратор.Номенклатура]]</f>
        <v>Прима</v>
      </c>
      <c r="V185" s="45">
        <f>4*Таблица310[[#This Row],[Регистратор.Вес нетто]]/17220</f>
        <v>1.6492450638792102</v>
      </c>
      <c r="W185" s="72" t="s">
        <v>45</v>
      </c>
      <c r="X185" s="72" t="s">
        <v>19</v>
      </c>
      <c r="Y185" s="40">
        <v>11</v>
      </c>
      <c r="Z185" s="71">
        <v>45816</v>
      </c>
      <c r="AA185" s="40"/>
      <c r="AB185" s="40"/>
      <c r="AC185" s="40" t="s">
        <v>724</v>
      </c>
      <c r="AD185" s="40" t="s">
        <v>511</v>
      </c>
      <c r="AE185" s="40">
        <v>281</v>
      </c>
      <c r="AF185" s="103">
        <v>45816</v>
      </c>
      <c r="AG185" s="40">
        <v>96</v>
      </c>
      <c r="AH185" s="40">
        <f>VLOOKUP(Таблица310[[#This Row],[№ акта]],'Степень зрелости 2025'!$H$13:$I$583,2,FALSE)</f>
        <v>57</v>
      </c>
      <c r="AI185" s="40" t="str">
        <f>VLOOKUP(Таблица310[[#This Row],[№ акта]],$AQ$1:$AT$594,2,FALSE)</f>
        <v>А-51</v>
      </c>
      <c r="AJ185" s="40" t="str">
        <f>Таблица310[[#This Row],[Регистратор.Номенклатура]]</f>
        <v>Прима</v>
      </c>
      <c r="AK185" s="40" t="str">
        <f>VLOOKUP(Таблица310[[#This Row],[№ акта]],$AQ$1:$AT$594,4,FALSE)</f>
        <v>ГРК демо (богара)</v>
      </c>
      <c r="AL185" s="45">
        <f>VLOOKUP(Таблица310[[#This Row],[№ акта]],$AQ$1:$AT$594,3,FALSE)</f>
        <v>1.6492450638792102</v>
      </c>
      <c r="AM185" s="40" t="str">
        <f>IF(Таблица310[[#This Row],[Площадь уборки, га]]=Таблица310[[#This Row],[Площадь уборки до корр]],"нет","да")</f>
        <v>нет</v>
      </c>
      <c r="AN185" s="45">
        <f>Таблица310[[#This Row],[Площадь уборки до корр]]-Таблица310[[#This Row],[Площадь уборки, га]]</f>
        <v>0</v>
      </c>
      <c r="AQ185">
        <v>281</v>
      </c>
      <c r="AR185" t="s">
        <v>840</v>
      </c>
      <c r="AS185">
        <v>1.6492450638792102</v>
      </c>
      <c r="AT185" t="s">
        <v>45</v>
      </c>
      <c r="XEM185" s="72"/>
      <c r="XEN185" s="73"/>
      <c r="XEO185" s="74"/>
      <c r="XEP185" s="75"/>
      <c r="XEQ185" s="76"/>
      <c r="XER185" s="73"/>
    </row>
    <row r="186" spans="1:46 16367:16372" ht="25.5" hidden="1" customHeight="1" x14ac:dyDescent="0.25">
      <c r="A186" s="72"/>
      <c r="B186" s="73"/>
      <c r="C186" s="120">
        <f>Таблица310[[#This Row],[Степень зрелости вспом]]</f>
        <v>54</v>
      </c>
      <c r="D186" s="75">
        <v>282</v>
      </c>
      <c r="E186" s="146">
        <v>45816</v>
      </c>
      <c r="F186" s="73">
        <v>22640</v>
      </c>
      <c r="G186" s="73">
        <v>8060</v>
      </c>
      <c r="H186" s="77">
        <v>14580</v>
      </c>
      <c r="I186" s="73">
        <v>6891.3</v>
      </c>
      <c r="J186" s="72" t="s">
        <v>78</v>
      </c>
      <c r="K186" s="72" t="s">
        <v>782</v>
      </c>
      <c r="L186" s="72" t="s">
        <v>796</v>
      </c>
      <c r="M186" s="35" t="s">
        <v>239</v>
      </c>
      <c r="N186" s="40"/>
      <c r="O186" s="72"/>
      <c r="P186" s="72"/>
      <c r="Q186" s="72"/>
      <c r="R186" s="72" t="s">
        <v>243</v>
      </c>
      <c r="S186" s="40"/>
      <c r="T186" s="70" t="s">
        <v>840</v>
      </c>
      <c r="U186" s="68" t="str">
        <f>Таблица310[[#This Row],[Регистратор.Номенклатура]]</f>
        <v>Тиара</v>
      </c>
      <c r="V186" s="45">
        <f>3*Таблица310[[#This Row],[Регистратор.Вес нетто]]/17620</f>
        <v>1.3723041997729852</v>
      </c>
      <c r="W186" s="72" t="s">
        <v>45</v>
      </c>
      <c r="X186" s="72" t="s">
        <v>19</v>
      </c>
      <c r="Y186" s="40">
        <v>11</v>
      </c>
      <c r="Z186" s="71">
        <v>45816</v>
      </c>
      <c r="AA186" s="40"/>
      <c r="AB186" s="40"/>
      <c r="AC186" s="40" t="s">
        <v>724</v>
      </c>
      <c r="AD186" s="40" t="s">
        <v>511</v>
      </c>
      <c r="AE186" s="40">
        <v>282</v>
      </c>
      <c r="AF186" s="103">
        <v>45816</v>
      </c>
      <c r="AG186" s="40">
        <v>96</v>
      </c>
      <c r="AH186" s="40">
        <f>VLOOKUP(Таблица310[[#This Row],[№ акта]],'Степень зрелости 2025'!$H$13:$I$583,2,FALSE)</f>
        <v>54</v>
      </c>
      <c r="AI186" s="40" t="str">
        <f>VLOOKUP(Таблица310[[#This Row],[№ акта]],$AQ$1:$AT$594,2,FALSE)</f>
        <v>А-51</v>
      </c>
      <c r="AJ186" s="40" t="str">
        <f>Таблица310[[#This Row],[Регистратор.Номенклатура]]</f>
        <v>Тиара</v>
      </c>
      <c r="AK186" s="40" t="str">
        <f>VLOOKUP(Таблица310[[#This Row],[№ акта]],$AQ$1:$AT$594,4,FALSE)</f>
        <v>ГРК демо (богара)</v>
      </c>
      <c r="AL186" s="45">
        <f>VLOOKUP(Таблица310[[#This Row],[№ акта]],$AQ$1:$AT$594,3,FALSE)</f>
        <v>1.3723041997729852</v>
      </c>
      <c r="AM186" s="40" t="str">
        <f>IF(Таблица310[[#This Row],[Площадь уборки, га]]=Таблица310[[#This Row],[Площадь уборки до корр]],"нет","да")</f>
        <v>нет</v>
      </c>
      <c r="AN186" s="45">
        <f>Таблица310[[#This Row],[Площадь уборки до корр]]-Таблица310[[#This Row],[Площадь уборки, га]]</f>
        <v>0</v>
      </c>
      <c r="AQ186">
        <v>282</v>
      </c>
      <c r="AR186" t="s">
        <v>840</v>
      </c>
      <c r="AS186">
        <v>1.3723041997729852</v>
      </c>
      <c r="AT186" t="s">
        <v>45</v>
      </c>
      <c r="XEM186" s="72"/>
      <c r="XEN186" s="73"/>
      <c r="XEO186" s="74"/>
      <c r="XEP186" s="75"/>
      <c r="XEQ186" s="76"/>
      <c r="XER186" s="73"/>
    </row>
    <row r="187" spans="1:46 16367:16372" ht="25.5" hidden="1" customHeight="1" x14ac:dyDescent="0.25">
      <c r="A187" s="72"/>
      <c r="B187" s="73"/>
      <c r="C187" s="120">
        <f>Таблица310[[#This Row],[Степень зрелости вспом]]</f>
        <v>59</v>
      </c>
      <c r="D187" s="75">
        <v>283</v>
      </c>
      <c r="E187" s="146">
        <v>45816</v>
      </c>
      <c r="F187" s="73">
        <v>9220</v>
      </c>
      <c r="G187" s="73">
        <v>4640</v>
      </c>
      <c r="H187" s="77">
        <v>4580</v>
      </c>
      <c r="I187" s="73">
        <v>3967.2</v>
      </c>
      <c r="J187" s="72" t="s">
        <v>78</v>
      </c>
      <c r="K187" s="72" t="s">
        <v>805</v>
      </c>
      <c r="L187" s="72" t="s">
        <v>796</v>
      </c>
      <c r="M187" s="35" t="s">
        <v>737</v>
      </c>
      <c r="N187" s="40"/>
      <c r="O187" s="72"/>
      <c r="P187" s="72"/>
      <c r="Q187" s="72"/>
      <c r="R187" s="72" t="s">
        <v>738</v>
      </c>
      <c r="S187" s="40"/>
      <c r="T187" s="70" t="s">
        <v>840</v>
      </c>
      <c r="U187" s="68" t="str">
        <f>Таблица310[[#This Row],[Регистратор.Номенклатура]]</f>
        <v>Прима</v>
      </c>
      <c r="V187" s="45">
        <f>4*Таблица310[[#This Row],[Регистратор.Вес нетто]]/17220</f>
        <v>1.0778164924506388</v>
      </c>
      <c r="W187" s="72" t="s">
        <v>45</v>
      </c>
      <c r="X187" s="72" t="s">
        <v>19</v>
      </c>
      <c r="Y187" s="40">
        <v>11</v>
      </c>
      <c r="Z187" s="71">
        <v>45816</v>
      </c>
      <c r="AA187" s="40"/>
      <c r="AB187" s="40"/>
      <c r="AC187" s="40" t="s">
        <v>724</v>
      </c>
      <c r="AD187" s="40" t="s">
        <v>511</v>
      </c>
      <c r="AE187" s="40">
        <v>283</v>
      </c>
      <c r="AF187" s="103">
        <v>45816</v>
      </c>
      <c r="AG187" s="40">
        <v>98</v>
      </c>
      <c r="AH187" s="40">
        <f>VLOOKUP(Таблица310[[#This Row],[№ акта]],'Степень зрелости 2025'!$H$13:$I$583,2,FALSE)</f>
        <v>59</v>
      </c>
      <c r="AI187" s="40" t="str">
        <f>VLOOKUP(Таблица310[[#This Row],[№ акта]],$AQ$1:$AT$594,2,FALSE)</f>
        <v>А-51</v>
      </c>
      <c r="AJ187" s="40" t="str">
        <f>Таблица310[[#This Row],[Регистратор.Номенклатура]]</f>
        <v>Прима</v>
      </c>
      <c r="AK187" s="40" t="str">
        <f>VLOOKUP(Таблица310[[#This Row],[№ акта]],$AQ$1:$AT$594,4,FALSE)</f>
        <v>ГРК демо (богара)</v>
      </c>
      <c r="AL187" s="45">
        <f>VLOOKUP(Таблица310[[#This Row],[№ акта]],$AQ$1:$AT$594,3,FALSE)</f>
        <v>1.0778164924506388</v>
      </c>
      <c r="AM187" s="40" t="str">
        <f>IF(Таблица310[[#This Row],[Площадь уборки, га]]=Таблица310[[#This Row],[Площадь уборки до корр]],"нет","да")</f>
        <v>нет</v>
      </c>
      <c r="AN187" s="45">
        <f>Таблица310[[#This Row],[Площадь уборки до корр]]-Таблица310[[#This Row],[Площадь уборки, га]]</f>
        <v>0</v>
      </c>
      <c r="AQ187">
        <v>283</v>
      </c>
      <c r="AR187" t="s">
        <v>840</v>
      </c>
      <c r="AS187">
        <v>1.0778164924506388</v>
      </c>
      <c r="AT187" t="s">
        <v>45</v>
      </c>
      <c r="XEM187" s="72"/>
      <c r="XEN187" s="73"/>
      <c r="XEO187" s="74"/>
      <c r="XEP187" s="75"/>
      <c r="XEQ187" s="76"/>
      <c r="XER187" s="73"/>
    </row>
    <row r="188" spans="1:46 16367:16372" ht="25.5" hidden="1" customHeight="1" x14ac:dyDescent="0.25">
      <c r="A188" s="72"/>
      <c r="B188" s="73"/>
      <c r="C188" s="120">
        <f>Таблица310[[#This Row],[Степень зрелости вспом]]</f>
        <v>68</v>
      </c>
      <c r="D188" s="75">
        <v>284</v>
      </c>
      <c r="E188" s="146">
        <v>45816</v>
      </c>
      <c r="F188" s="73">
        <v>27940</v>
      </c>
      <c r="G188" s="73">
        <v>13640</v>
      </c>
      <c r="H188" s="77">
        <v>14300</v>
      </c>
      <c r="I188" s="73">
        <v>12071.4</v>
      </c>
      <c r="J188" s="72" t="s">
        <v>78</v>
      </c>
      <c r="K188" s="72" t="s">
        <v>21</v>
      </c>
      <c r="L188" s="72" t="s">
        <v>754</v>
      </c>
      <c r="M188" s="35" t="s">
        <v>127</v>
      </c>
      <c r="N188" s="40"/>
      <c r="O188" s="72"/>
      <c r="P188" s="72"/>
      <c r="Q188" s="72"/>
      <c r="R188" s="72" t="s">
        <v>131</v>
      </c>
      <c r="S188" s="40"/>
      <c r="T188" s="70" t="s">
        <v>754</v>
      </c>
      <c r="U188" s="68" t="str">
        <f>Таблица310[[#This Row],[Регистратор.Номенклатура]]</f>
        <v>Преладо</v>
      </c>
      <c r="V188" s="45">
        <f>35*Таблица310[[#This Row],[Регистратор.Вес нетто]]/105660</f>
        <v>4.5182661366647734</v>
      </c>
      <c r="W188" s="72" t="s">
        <v>46</v>
      </c>
      <c r="X188" s="72" t="s">
        <v>19</v>
      </c>
      <c r="Y188" s="40">
        <v>11</v>
      </c>
      <c r="Z188" s="71">
        <v>45816</v>
      </c>
      <c r="AA188" s="40"/>
      <c r="AB188" s="40"/>
      <c r="AC188" s="40" t="s">
        <v>420</v>
      </c>
      <c r="AD188" s="40" t="s">
        <v>550</v>
      </c>
      <c r="AE188" s="40">
        <v>284</v>
      </c>
      <c r="AF188" s="103">
        <v>45816</v>
      </c>
      <c r="AG188" s="40">
        <v>99</v>
      </c>
      <c r="AH188" s="40">
        <f>VLOOKUP(Таблица310[[#This Row],[№ акта]],'Степень зрелости 2025'!$H$13:$I$583,2,FALSE)</f>
        <v>68</v>
      </c>
      <c r="AI188" s="40" t="str">
        <f>VLOOKUP(Таблица310[[#This Row],[№ акта]],$AQ$1:$AT$594,2,FALSE)</f>
        <v>А-67</v>
      </c>
      <c r="AJ188" s="40" t="str">
        <f>Таблица310[[#This Row],[Регистратор.Номенклатура]]</f>
        <v>Преладо</v>
      </c>
      <c r="AK188" s="40" t="str">
        <f>VLOOKUP(Таблица310[[#This Row],[№ акта]],$AQ$1:$AT$594,4,FALSE)</f>
        <v>ГРК (богара)</v>
      </c>
      <c r="AL188" s="45">
        <f>VLOOKUP(Таблица310[[#This Row],[№ акта]],$AQ$1:$AT$594,3,FALSE)</f>
        <v>4.5182661366647734</v>
      </c>
      <c r="AM188" s="40" t="str">
        <f>IF(Таблица310[[#This Row],[Площадь уборки, га]]=Таблица310[[#This Row],[Площадь уборки до корр]],"нет","да")</f>
        <v>нет</v>
      </c>
      <c r="AN188" s="45">
        <f>Таблица310[[#This Row],[Площадь уборки до корр]]-Таблица310[[#This Row],[Площадь уборки, га]]</f>
        <v>0</v>
      </c>
      <c r="AQ188">
        <v>284</v>
      </c>
      <c r="AR188" t="s">
        <v>754</v>
      </c>
      <c r="AS188">
        <v>4.5182661366647734</v>
      </c>
      <c r="AT188" t="s">
        <v>46</v>
      </c>
      <c r="XEM188" s="72"/>
      <c r="XEN188" s="73"/>
      <c r="XEO188" s="74"/>
      <c r="XEP188" s="75"/>
      <c r="XEQ188" s="76"/>
      <c r="XER188" s="73"/>
    </row>
    <row r="189" spans="1:46 16367:16372" ht="25.5" hidden="1" customHeight="1" x14ac:dyDescent="0.25">
      <c r="A189" s="72"/>
      <c r="B189" s="73"/>
      <c r="C189" s="120">
        <f>Таблица310[[#This Row],[Степень зрелости вспом]]</f>
        <v>68</v>
      </c>
      <c r="D189" s="75">
        <v>285</v>
      </c>
      <c r="E189" s="146">
        <v>45817</v>
      </c>
      <c r="F189" s="73">
        <v>28390</v>
      </c>
      <c r="G189" s="73">
        <v>13470</v>
      </c>
      <c r="H189" s="77">
        <v>14920</v>
      </c>
      <c r="I189" s="73">
        <v>11516.8</v>
      </c>
      <c r="J189" s="72" t="s">
        <v>78</v>
      </c>
      <c r="K189" s="72" t="s">
        <v>21</v>
      </c>
      <c r="L189" s="72" t="s">
        <v>754</v>
      </c>
      <c r="M189" s="35" t="s">
        <v>311</v>
      </c>
      <c r="N189" s="40"/>
      <c r="O189" s="72"/>
      <c r="P189" s="72"/>
      <c r="Q189" s="72"/>
      <c r="R189" s="72" t="s">
        <v>315</v>
      </c>
      <c r="S189" s="40"/>
      <c r="T189" s="70" t="s">
        <v>754</v>
      </c>
      <c r="U189" s="68" t="str">
        <f>Таблица310[[#This Row],[Регистратор.Номенклатура]]</f>
        <v>Преладо</v>
      </c>
      <c r="V189" s="45">
        <f>79*Таблица310[[#This Row],[Регистратор.Вес нетто]]/100170</f>
        <v>10.623240491165019</v>
      </c>
      <c r="W189" s="72" t="s">
        <v>46</v>
      </c>
      <c r="X189" s="72" t="s">
        <v>19</v>
      </c>
      <c r="Y189" s="40">
        <v>11</v>
      </c>
      <c r="Z189" s="71">
        <v>45816</v>
      </c>
      <c r="AA189" s="40"/>
      <c r="AB189" s="40" t="s">
        <v>1616</v>
      </c>
      <c r="AC189" s="40" t="s">
        <v>420</v>
      </c>
      <c r="AD189" s="40" t="s">
        <v>550</v>
      </c>
      <c r="AE189" s="40">
        <v>285</v>
      </c>
      <c r="AF189" s="103">
        <v>45817</v>
      </c>
      <c r="AG189" s="40">
        <v>100</v>
      </c>
      <c r="AH189" s="40">
        <f>VLOOKUP(Таблица310[[#This Row],[№ акта]],'Степень зрелости 2025'!$H$13:$I$583,2,FALSE)</f>
        <v>68</v>
      </c>
      <c r="AI189" s="40" t="str">
        <f>VLOOKUP(Таблица310[[#This Row],[№ акта]],$AQ$1:$AT$594,2,FALSE)</f>
        <v>А-67</v>
      </c>
      <c r="AJ189" s="40" t="str">
        <f>Таблица310[[#This Row],[Регистратор.Номенклатура]]</f>
        <v>Преладо</v>
      </c>
      <c r="AK189" s="40" t="str">
        <f>VLOOKUP(Таблица310[[#This Row],[№ акта]],$AQ$1:$AT$594,4,FALSE)</f>
        <v>ГРК (богара)</v>
      </c>
      <c r="AL189" s="45">
        <f>VLOOKUP(Таблица310[[#This Row],[№ акта]],$AQ$1:$AT$594,3,FALSE)</f>
        <v>4.4619534355479837</v>
      </c>
      <c r="AM189" s="40" t="str">
        <f>IF(Таблица310[[#This Row],[Площадь уборки, га]]=Таблица310[[#This Row],[Площадь уборки до корр]],"нет","да")</f>
        <v>да</v>
      </c>
      <c r="AN189" s="45">
        <f>Таблица310[[#This Row],[Площадь уборки до корр]]-Таблица310[[#This Row],[Площадь уборки, га]]</f>
        <v>-6.1612870556170352</v>
      </c>
      <c r="AQ189">
        <v>285</v>
      </c>
      <c r="AR189" t="s">
        <v>754</v>
      </c>
      <c r="AS189">
        <v>4.4619534355479837</v>
      </c>
      <c r="AT189" t="s">
        <v>46</v>
      </c>
      <c r="XEM189" s="72"/>
      <c r="XEN189" s="73"/>
      <c r="XEO189" s="74"/>
      <c r="XEP189" s="75"/>
      <c r="XEQ189" s="76"/>
      <c r="XER189" s="73"/>
    </row>
    <row r="190" spans="1:46 16367:16372" ht="25.5" hidden="1" customHeight="1" x14ac:dyDescent="0.25">
      <c r="A190" s="72"/>
      <c r="B190" s="73"/>
      <c r="C190" s="120">
        <f>Таблица310[[#This Row],[Степень зрелости вспом]]</f>
        <v>60</v>
      </c>
      <c r="D190" s="75">
        <v>286</v>
      </c>
      <c r="E190" s="146">
        <v>45817</v>
      </c>
      <c r="F190" s="73">
        <v>28980</v>
      </c>
      <c r="G190" s="73">
        <v>8940</v>
      </c>
      <c r="H190" s="77">
        <v>20040</v>
      </c>
      <c r="I190" s="73">
        <v>6570.9</v>
      </c>
      <c r="J190" s="72" t="s">
        <v>78</v>
      </c>
      <c r="K190" s="72" t="s">
        <v>21</v>
      </c>
      <c r="L190" s="72" t="s">
        <v>754</v>
      </c>
      <c r="M190" s="35" t="s">
        <v>239</v>
      </c>
      <c r="N190" s="40"/>
      <c r="O190" s="72"/>
      <c r="P190" s="72"/>
      <c r="Q190" s="72"/>
      <c r="R190" s="72" t="s">
        <v>243</v>
      </c>
      <c r="S190" s="40"/>
      <c r="T190" s="70" t="s">
        <v>754</v>
      </c>
      <c r="U190" s="68" t="str">
        <f>Таблица310[[#This Row],[Регистратор.Номенклатура]]</f>
        <v>Преладо</v>
      </c>
      <c r="V190" s="45">
        <f>79*Таблица310[[#This Row],[Регистратор.Вес нетто]]/100170</f>
        <v>7.0506139562743337</v>
      </c>
      <c r="W190" s="72" t="s">
        <v>46</v>
      </c>
      <c r="X190" s="72" t="s">
        <v>19</v>
      </c>
      <c r="Y190" s="40">
        <v>11</v>
      </c>
      <c r="Z190" s="71">
        <v>45816</v>
      </c>
      <c r="AA190" s="40"/>
      <c r="AB190" s="40" t="s">
        <v>1616</v>
      </c>
      <c r="AC190" s="40" t="s">
        <v>724</v>
      </c>
      <c r="AD190" s="40" t="s">
        <v>511</v>
      </c>
      <c r="AE190" s="40">
        <v>286</v>
      </c>
      <c r="AF190" s="103">
        <v>45817</v>
      </c>
      <c r="AG190" s="40">
        <v>101</v>
      </c>
      <c r="AH190" s="40">
        <f>VLOOKUP(Таблица310[[#This Row],[№ акта]],'Степень зрелости 2025'!$H$13:$I$583,2,FALSE)</f>
        <v>60</v>
      </c>
      <c r="AI190" s="40" t="str">
        <f>VLOOKUP(Таблица310[[#This Row],[№ акта]],$AQ$1:$AT$594,2,FALSE)</f>
        <v>А-67</v>
      </c>
      <c r="AJ190" s="40" t="str">
        <f>Таблица310[[#This Row],[Регистратор.Номенклатура]]</f>
        <v>Преладо</v>
      </c>
      <c r="AK190" s="40" t="str">
        <f>VLOOKUP(Таблица310[[#This Row],[№ акта]],$AQ$1:$AT$594,4,FALSE)</f>
        <v>ГРК (богара)</v>
      </c>
      <c r="AL190" s="45">
        <f>VLOOKUP(Таблица310[[#This Row],[№ акта]],$AQ$1:$AT$594,3,FALSE)</f>
        <v>2.9613855763770585</v>
      </c>
      <c r="AM190" s="40" t="str">
        <f>IF(Таблица310[[#This Row],[Площадь уборки, га]]=Таблица310[[#This Row],[Площадь уборки до корр]],"нет","да")</f>
        <v>да</v>
      </c>
      <c r="AN190" s="45">
        <f>Таблица310[[#This Row],[Площадь уборки до корр]]-Таблица310[[#This Row],[Площадь уборки, га]]</f>
        <v>-4.0892283798972748</v>
      </c>
      <c r="AQ190">
        <v>286</v>
      </c>
      <c r="AR190" t="s">
        <v>754</v>
      </c>
      <c r="AS190">
        <v>2.9613855763770585</v>
      </c>
      <c r="AT190" t="s">
        <v>46</v>
      </c>
      <c r="XEM190" s="72"/>
      <c r="XEN190" s="73"/>
      <c r="XEO190" s="74"/>
      <c r="XEP190" s="75"/>
      <c r="XEQ190" s="76"/>
      <c r="XER190" s="73"/>
    </row>
    <row r="191" spans="1:46 16367:16372" ht="25.5" hidden="1" customHeight="1" x14ac:dyDescent="0.25">
      <c r="A191" s="72"/>
      <c r="B191" s="73"/>
      <c r="C191" s="120">
        <f>Таблица310[[#This Row],[Степень зрелости вспом]]</f>
        <v>59</v>
      </c>
      <c r="D191" s="75">
        <v>287</v>
      </c>
      <c r="E191" s="146">
        <v>45817</v>
      </c>
      <c r="F191" s="73">
        <v>20040</v>
      </c>
      <c r="G191" s="73">
        <v>5480</v>
      </c>
      <c r="H191" s="77">
        <v>14560</v>
      </c>
      <c r="I191" s="73">
        <v>4630.6000000000004</v>
      </c>
      <c r="J191" s="72" t="s">
        <v>78</v>
      </c>
      <c r="K191" s="72" t="s">
        <v>805</v>
      </c>
      <c r="L191" s="72" t="s">
        <v>796</v>
      </c>
      <c r="M191" s="35" t="s">
        <v>239</v>
      </c>
      <c r="N191" s="40"/>
      <c r="O191" s="72"/>
      <c r="P191" s="72"/>
      <c r="Q191" s="72"/>
      <c r="R191" s="72" t="s">
        <v>243</v>
      </c>
      <c r="S191" s="40"/>
      <c r="T191" s="70" t="s">
        <v>840</v>
      </c>
      <c r="U191" s="68" t="str">
        <f>Таблица310[[#This Row],[Регистратор.Номенклатура]]</f>
        <v>Прима</v>
      </c>
      <c r="V191" s="45">
        <f>4*Таблица310[[#This Row],[Регистратор.Вес нетто]]/17220</f>
        <v>1.272938443670151</v>
      </c>
      <c r="W191" s="72" t="s">
        <v>45</v>
      </c>
      <c r="X191" s="72" t="s">
        <v>19</v>
      </c>
      <c r="Y191" s="40">
        <v>11</v>
      </c>
      <c r="Z191" s="71">
        <v>45816</v>
      </c>
      <c r="AA191" s="40"/>
      <c r="AB191" s="40"/>
      <c r="AC191" s="40" t="s">
        <v>724</v>
      </c>
      <c r="AD191" s="40" t="s">
        <v>511</v>
      </c>
      <c r="AE191" s="40">
        <v>287</v>
      </c>
      <c r="AF191" s="103">
        <v>45817</v>
      </c>
      <c r="AG191" s="40">
        <v>101</v>
      </c>
      <c r="AH191" s="40">
        <f>VLOOKUP(Таблица310[[#This Row],[№ акта]],'Степень зрелости 2025'!$H$13:$I$583,2,FALSE)</f>
        <v>59</v>
      </c>
      <c r="AI191" s="40" t="str">
        <f>VLOOKUP(Таблица310[[#This Row],[№ акта]],$AQ$1:$AT$594,2,FALSE)</f>
        <v>А-51</v>
      </c>
      <c r="AJ191" s="40" t="str">
        <f>Таблица310[[#This Row],[Регистратор.Номенклатура]]</f>
        <v>Прима</v>
      </c>
      <c r="AK191" s="40" t="str">
        <f>VLOOKUP(Таблица310[[#This Row],[№ акта]],$AQ$1:$AT$594,4,FALSE)</f>
        <v>ГРК демо (богара)</v>
      </c>
      <c r="AL191" s="45">
        <f>VLOOKUP(Таблица310[[#This Row],[№ акта]],$AQ$1:$AT$594,3,FALSE)</f>
        <v>1.272938443670151</v>
      </c>
      <c r="AM191" s="40" t="str">
        <f>IF(Таблица310[[#This Row],[Площадь уборки, га]]=Таблица310[[#This Row],[Площадь уборки до корр]],"нет","да")</f>
        <v>нет</v>
      </c>
      <c r="AN191" s="45">
        <f>Таблица310[[#This Row],[Площадь уборки до корр]]-Таблица310[[#This Row],[Площадь уборки, га]]</f>
        <v>0</v>
      </c>
      <c r="AQ191">
        <v>287</v>
      </c>
      <c r="AR191" t="s">
        <v>840</v>
      </c>
      <c r="AS191">
        <v>1.272938443670151</v>
      </c>
      <c r="AT191" t="s">
        <v>45</v>
      </c>
      <c r="XEM191" s="72"/>
      <c r="XEN191" s="73"/>
      <c r="XEO191" s="74"/>
      <c r="XEP191" s="75"/>
      <c r="XEQ191" s="76"/>
      <c r="XER191" s="73"/>
    </row>
    <row r="192" spans="1:46 16367:16372" ht="25.5" hidden="1" customHeight="1" x14ac:dyDescent="0.25">
      <c r="A192" s="72"/>
      <c r="B192" s="73"/>
      <c r="C192" s="120">
        <f>Таблица310[[#This Row],[Степень зрелости вспом]]</f>
        <v>62</v>
      </c>
      <c r="D192" s="75">
        <v>288</v>
      </c>
      <c r="E192" s="146">
        <v>45817</v>
      </c>
      <c r="F192" s="73">
        <v>29040</v>
      </c>
      <c r="G192" s="73">
        <v>14080</v>
      </c>
      <c r="H192" s="77">
        <v>14960</v>
      </c>
      <c r="I192" s="73">
        <v>10278.4</v>
      </c>
      <c r="J192" s="72" t="s">
        <v>78</v>
      </c>
      <c r="K192" s="72" t="s">
        <v>21</v>
      </c>
      <c r="L192" s="72" t="s">
        <v>754</v>
      </c>
      <c r="M192" s="35" t="s">
        <v>133</v>
      </c>
      <c r="N192" s="40"/>
      <c r="O192" s="72"/>
      <c r="P192" s="72"/>
      <c r="Q192" s="72"/>
      <c r="R192" s="72" t="s">
        <v>137</v>
      </c>
      <c r="S192" s="40"/>
      <c r="T192" s="70" t="s">
        <v>754</v>
      </c>
      <c r="U192" s="68" t="str">
        <f>Таблица310[[#This Row],[Регистратор.Номенклатура]]</f>
        <v>Преладо</v>
      </c>
      <c r="V192" s="45">
        <f>79*Таблица310[[#This Row],[Регистратор.Вес нетто]]/100170</f>
        <v>11.104322651492463</v>
      </c>
      <c r="W192" s="72" t="s">
        <v>46</v>
      </c>
      <c r="X192" s="72" t="s">
        <v>19</v>
      </c>
      <c r="Y192" s="40">
        <v>11</v>
      </c>
      <c r="Z192" s="71">
        <v>45816</v>
      </c>
      <c r="AA192" s="40"/>
      <c r="AB192" s="40" t="s">
        <v>1616</v>
      </c>
      <c r="AC192" s="40" t="s">
        <v>724</v>
      </c>
      <c r="AD192" s="40" t="s">
        <v>511</v>
      </c>
      <c r="AE192" s="40">
        <v>288</v>
      </c>
      <c r="AF192" s="103">
        <v>45817</v>
      </c>
      <c r="AG192" s="40">
        <v>102</v>
      </c>
      <c r="AH192" s="40">
        <f>VLOOKUP(Таблица310[[#This Row],[№ акта]],'Степень зрелости 2025'!$H$13:$I$583,2,FALSE)</f>
        <v>62</v>
      </c>
      <c r="AI192" s="40" t="str">
        <f>VLOOKUP(Таблица310[[#This Row],[№ акта]],$AQ$1:$AT$594,2,FALSE)</f>
        <v>А-67</v>
      </c>
      <c r="AJ192" s="40" t="str">
        <f>Таблица310[[#This Row],[Регистратор.Номенклатура]]</f>
        <v>Преладо</v>
      </c>
      <c r="AK192" s="40" t="str">
        <f>VLOOKUP(Таблица310[[#This Row],[№ акта]],$AQ$1:$AT$594,4,FALSE)</f>
        <v>ГРК (богара)</v>
      </c>
      <c r="AL192" s="45">
        <f>VLOOKUP(Таблица310[[#This Row],[№ акта]],$AQ$1:$AT$594,3,FALSE)</f>
        <v>4.6640166572023469</v>
      </c>
      <c r="AM192" s="40" t="str">
        <f>IF(Таблица310[[#This Row],[Площадь уборки, га]]=Таблица310[[#This Row],[Площадь уборки до корр]],"нет","да")</f>
        <v>да</v>
      </c>
      <c r="AN192" s="45">
        <f>Таблица310[[#This Row],[Площадь уборки до корр]]-Таблица310[[#This Row],[Площадь уборки, га]]</f>
        <v>-6.4403059942901164</v>
      </c>
      <c r="AQ192">
        <v>288</v>
      </c>
      <c r="AR192" t="s">
        <v>754</v>
      </c>
      <c r="AS192">
        <v>4.6640166572023469</v>
      </c>
      <c r="AT192" t="s">
        <v>46</v>
      </c>
      <c r="XEM192" s="72"/>
      <c r="XEN192" s="73"/>
      <c r="XEO192" s="74"/>
      <c r="XEP192" s="75"/>
      <c r="XEQ192" s="76"/>
      <c r="XER192" s="73"/>
    </row>
    <row r="193" spans="1:46 16367:16372" ht="25.5" hidden="1" customHeight="1" x14ac:dyDescent="0.25">
      <c r="A193" s="72"/>
      <c r="B193" s="73"/>
      <c r="C193" s="120">
        <f>Таблица310[[#This Row],[Степень зрелости вспом]]</f>
        <v>62</v>
      </c>
      <c r="D193" s="75">
        <v>289</v>
      </c>
      <c r="E193" s="146">
        <v>45817</v>
      </c>
      <c r="F193" s="73">
        <v>7930</v>
      </c>
      <c r="G193" s="73">
        <v>3360</v>
      </c>
      <c r="H193" s="77">
        <v>4570</v>
      </c>
      <c r="I193" s="73">
        <v>2973.6</v>
      </c>
      <c r="J193" s="72" t="s">
        <v>78</v>
      </c>
      <c r="K193" s="72" t="s">
        <v>21</v>
      </c>
      <c r="L193" s="72" t="s">
        <v>754</v>
      </c>
      <c r="M193" s="35" t="s">
        <v>737</v>
      </c>
      <c r="N193" s="40"/>
      <c r="O193" s="72"/>
      <c r="P193" s="72"/>
      <c r="Q193" s="72"/>
      <c r="R193" s="72" t="s">
        <v>738</v>
      </c>
      <c r="S193" s="40"/>
      <c r="T193" s="70" t="s">
        <v>754</v>
      </c>
      <c r="U193" s="68" t="str">
        <f>Таблица310[[#This Row],[Регистратор.Номенклатура]]</f>
        <v>Преладо</v>
      </c>
      <c r="V193" s="45">
        <f>79*Таблица310[[#This Row],[Регистратор.Вес нетто]]/100170</f>
        <v>2.649895178197065</v>
      </c>
      <c r="W193" s="72" t="s">
        <v>46</v>
      </c>
      <c r="X193" s="72" t="s">
        <v>19</v>
      </c>
      <c r="Y193" s="40">
        <v>11</v>
      </c>
      <c r="Z193" s="71">
        <v>45816</v>
      </c>
      <c r="AA193" s="40"/>
      <c r="AB193" s="40" t="s">
        <v>1616</v>
      </c>
      <c r="AC193" s="40" t="s">
        <v>724</v>
      </c>
      <c r="AD193" s="40" t="s">
        <v>511</v>
      </c>
      <c r="AE193" s="40">
        <v>289</v>
      </c>
      <c r="AF193" s="103">
        <v>45817</v>
      </c>
      <c r="AG193" s="40">
        <v>103</v>
      </c>
      <c r="AH193" s="40">
        <f>VLOOKUP(Таблица310[[#This Row],[№ акта]],'Степень зрелости 2025'!$H$13:$I$583,2,FALSE)</f>
        <v>62</v>
      </c>
      <c r="AI193" s="40" t="str">
        <f>VLOOKUP(Таблица310[[#This Row],[№ акта]],$AQ$1:$AT$594,2,FALSE)</f>
        <v>А-67</v>
      </c>
      <c r="AJ193" s="40" t="str">
        <f>Таблица310[[#This Row],[Регистратор.Номенклатура]]</f>
        <v>Преладо</v>
      </c>
      <c r="AK193" s="40" t="str">
        <f>VLOOKUP(Таблица310[[#This Row],[№ акта]],$AQ$1:$AT$594,4,FALSE)</f>
        <v>ГРК (богара)</v>
      </c>
      <c r="AL193" s="45">
        <f>VLOOKUP(Таблица310[[#This Row],[№ акта]],$AQ$1:$AT$594,3,FALSE)</f>
        <v>1.1130039750141965</v>
      </c>
      <c r="AM193" s="40" t="str">
        <f>IF(Таблица310[[#This Row],[Площадь уборки, га]]=Таблица310[[#This Row],[Площадь уборки до корр]],"нет","да")</f>
        <v>да</v>
      </c>
      <c r="AN193" s="45">
        <f>Таблица310[[#This Row],[Площадь уборки до корр]]-Таблица310[[#This Row],[Площадь уборки, га]]</f>
        <v>-1.5368912031828685</v>
      </c>
      <c r="AQ193">
        <v>289</v>
      </c>
      <c r="AR193" t="s">
        <v>754</v>
      </c>
      <c r="AS193">
        <v>1.1130039750141965</v>
      </c>
      <c r="AT193" t="s">
        <v>46</v>
      </c>
      <c r="XEM193" s="72"/>
      <c r="XEN193" s="73"/>
      <c r="XEO193" s="74"/>
      <c r="XEP193" s="75"/>
      <c r="XEQ193" s="76"/>
      <c r="XER193" s="73"/>
    </row>
    <row r="194" spans="1:46 16367:16372" ht="25.5" hidden="1" customHeight="1" x14ac:dyDescent="0.25">
      <c r="A194" s="72"/>
      <c r="B194" s="73"/>
      <c r="C194" s="120">
        <f>Таблица310[[#This Row],[Степень зрелости вспом]]</f>
        <v>64</v>
      </c>
      <c r="D194" s="75">
        <v>290</v>
      </c>
      <c r="E194" s="146">
        <v>45817</v>
      </c>
      <c r="F194" s="73">
        <v>29700</v>
      </c>
      <c r="G194" s="73">
        <v>15410</v>
      </c>
      <c r="H194" s="77">
        <v>14290</v>
      </c>
      <c r="I194" s="73">
        <v>13406.7</v>
      </c>
      <c r="J194" s="72" t="s">
        <v>78</v>
      </c>
      <c r="K194" s="72" t="s">
        <v>21</v>
      </c>
      <c r="L194" s="72" t="s">
        <v>754</v>
      </c>
      <c r="M194" s="35" t="s">
        <v>127</v>
      </c>
      <c r="N194" s="40"/>
      <c r="O194" s="72"/>
      <c r="P194" s="72"/>
      <c r="Q194" s="72"/>
      <c r="R194" s="72" t="s">
        <v>131</v>
      </c>
      <c r="S194" s="40"/>
      <c r="T194" s="70" t="s">
        <v>754</v>
      </c>
      <c r="U194" s="68" t="str">
        <f>Таблица310[[#This Row],[Регистратор.Номенклатура]]</f>
        <v>Преладо</v>
      </c>
      <c r="V194" s="45">
        <f>79*Таблица310[[#This Row],[Регистратор.Вес нетто]]/100170</f>
        <v>12.153239492862134</v>
      </c>
      <c r="W194" s="72" t="s">
        <v>46</v>
      </c>
      <c r="X194" s="72" t="s">
        <v>19</v>
      </c>
      <c r="Y194" s="40">
        <v>11</v>
      </c>
      <c r="Z194" s="71">
        <v>45816</v>
      </c>
      <c r="AA194" s="40"/>
      <c r="AB194" s="40" t="s">
        <v>1616</v>
      </c>
      <c r="AC194" s="40" t="s">
        <v>725</v>
      </c>
      <c r="AD194" s="40" t="s">
        <v>550</v>
      </c>
      <c r="AE194" s="40">
        <v>290</v>
      </c>
      <c r="AF194" s="103">
        <v>45817</v>
      </c>
      <c r="AG194" s="40">
        <v>104</v>
      </c>
      <c r="AH194" s="40">
        <f>VLOOKUP(Таблица310[[#This Row],[№ акта]],'Степень зрелости 2025'!$H$13:$I$583,2,FALSE)</f>
        <v>64</v>
      </c>
      <c r="AI194" s="40" t="str">
        <f>VLOOKUP(Таблица310[[#This Row],[№ акта]],$AQ$1:$AT$594,2,FALSE)</f>
        <v>А-67</v>
      </c>
      <c r="AJ194" s="40" t="str">
        <f>Таблица310[[#This Row],[Регистратор.Номенклатура]]</f>
        <v>Преладо</v>
      </c>
      <c r="AK194" s="40" t="str">
        <f>VLOOKUP(Таблица310[[#This Row],[№ акта]],$AQ$1:$AT$594,4,FALSE)</f>
        <v>ГРК (богара)</v>
      </c>
      <c r="AL194" s="45">
        <f>VLOOKUP(Таблица310[[#This Row],[№ акта]],$AQ$1:$AT$594,3,FALSE)</f>
        <v>5.1045807306454662</v>
      </c>
      <c r="AM194" s="40" t="str">
        <f>IF(Таблица310[[#This Row],[Площадь уборки, га]]=Таблица310[[#This Row],[Площадь уборки до корр]],"нет","да")</f>
        <v>да</v>
      </c>
      <c r="AN194" s="45">
        <f>Таблица310[[#This Row],[Площадь уборки до корр]]-Таблица310[[#This Row],[Площадь уборки, га]]</f>
        <v>-7.0486587622166681</v>
      </c>
      <c r="AQ194">
        <v>290</v>
      </c>
      <c r="AR194" t="s">
        <v>754</v>
      </c>
      <c r="AS194">
        <v>5.1045807306454662</v>
      </c>
      <c r="AT194" t="s">
        <v>46</v>
      </c>
      <c r="XEM194" s="72"/>
      <c r="XEN194" s="73"/>
      <c r="XEO194" s="74"/>
      <c r="XEP194" s="75"/>
      <c r="XEQ194" s="76"/>
      <c r="XER194" s="73"/>
    </row>
    <row r="195" spans="1:46 16367:16372" ht="25.5" hidden="1" customHeight="1" x14ac:dyDescent="0.25">
      <c r="A195" s="72"/>
      <c r="B195" s="73"/>
      <c r="C195" s="120">
        <v>52</v>
      </c>
      <c r="D195" s="75">
        <v>291</v>
      </c>
      <c r="E195" s="146">
        <v>45814</v>
      </c>
      <c r="F195" s="73">
        <v>31330</v>
      </c>
      <c r="G195" s="73">
        <v>13470</v>
      </c>
      <c r="H195" s="77">
        <v>17860</v>
      </c>
      <c r="I195" s="73">
        <v>11105.4</v>
      </c>
      <c r="J195" s="72" t="s">
        <v>78</v>
      </c>
      <c r="K195" s="72" t="s">
        <v>524</v>
      </c>
      <c r="L195" s="72" t="s">
        <v>523</v>
      </c>
      <c r="M195" s="35" t="s">
        <v>283</v>
      </c>
      <c r="N195" s="40"/>
      <c r="O195" s="72"/>
      <c r="P195" s="72"/>
      <c r="Q195" s="72"/>
      <c r="R195" s="72" t="s">
        <v>287</v>
      </c>
      <c r="S195" s="40"/>
      <c r="T195" s="70" t="s">
        <v>523</v>
      </c>
      <c r="U195" s="68" t="str">
        <f>Таблица310[[#This Row],[Регистратор.Номенклатура]]</f>
        <v>Авола</v>
      </c>
      <c r="V195" s="45">
        <f>14*Таблица310[[#This Row],[Регистратор.Вес нетто]]/64630</f>
        <v>2.9178400123781527</v>
      </c>
      <c r="W195" s="72" t="s">
        <v>46</v>
      </c>
      <c r="X195" s="72" t="s">
        <v>19</v>
      </c>
      <c r="Y195" s="40">
        <v>9</v>
      </c>
      <c r="Z195" s="71">
        <v>45814</v>
      </c>
      <c r="AA195" s="94">
        <f>Таблица310[[#This Row],[Регистратор.Вес нетто]]</f>
        <v>13470</v>
      </c>
      <c r="AB195" s="40" t="s">
        <v>357</v>
      </c>
      <c r="AC195" s="40" t="s">
        <v>419</v>
      </c>
      <c r="AD195" s="40" t="s">
        <v>511</v>
      </c>
      <c r="AE195" s="40">
        <v>291</v>
      </c>
      <c r="AF195" s="103">
        <v>45814</v>
      </c>
      <c r="AG195" s="40" t="s">
        <v>842</v>
      </c>
      <c r="AH195" s="40">
        <f>VLOOKUP(Таблица310[[#This Row],[№ акта]],'Степень зрелости 2025'!$H$13:$I$583,2,FALSE)</f>
        <v>0</v>
      </c>
      <c r="AI195" s="40" t="str">
        <f>VLOOKUP(Таблица310[[#This Row],[№ акта]],$AQ$1:$AT$594,2,FALSE)</f>
        <v>А-57</v>
      </c>
      <c r="AJ195" s="40" t="str">
        <f>Таблица310[[#This Row],[Регистратор.Номенклатура]]</f>
        <v>Авола</v>
      </c>
      <c r="AK195" s="40" t="str">
        <f>VLOOKUP(Таблица310[[#This Row],[№ акта]],$AQ$1:$AT$594,4,FALSE)</f>
        <v>ГРК (богара)</v>
      </c>
      <c r="AL195" s="45">
        <f>VLOOKUP(Таблица310[[#This Row],[№ акта]],$AQ$1:$AT$594,3,FALSE)</f>
        <v>2.9178400123781527</v>
      </c>
      <c r="AM195" s="40" t="str">
        <f>IF(Таблица310[[#This Row],[Площадь уборки, га]]=Таблица310[[#This Row],[Площадь уборки до корр]],"нет","да")</f>
        <v>нет</v>
      </c>
      <c r="AN195" s="45">
        <f>Таблица310[[#This Row],[Площадь уборки до корр]]-Таблица310[[#This Row],[Площадь уборки, га]]</f>
        <v>0</v>
      </c>
      <c r="AQ195">
        <v>291</v>
      </c>
      <c r="AR195" t="s">
        <v>523</v>
      </c>
      <c r="AS195">
        <v>2.9178400123781527</v>
      </c>
      <c r="AT195" t="s">
        <v>46</v>
      </c>
      <c r="XEM195" s="72"/>
      <c r="XEN195" s="73"/>
      <c r="XEO195" s="74"/>
      <c r="XEP195" s="75"/>
      <c r="XEQ195" s="76"/>
      <c r="XER195" s="73"/>
    </row>
    <row r="196" spans="1:46 16367:16372" ht="25.5" hidden="1" customHeight="1" x14ac:dyDescent="0.25">
      <c r="A196" s="72"/>
      <c r="B196" s="73"/>
      <c r="C196" s="120">
        <v>56</v>
      </c>
      <c r="D196" s="75">
        <v>292</v>
      </c>
      <c r="E196" s="146">
        <v>45814</v>
      </c>
      <c r="F196" s="73">
        <v>30930</v>
      </c>
      <c r="G196" s="73">
        <v>13980</v>
      </c>
      <c r="H196" s="77">
        <v>16950</v>
      </c>
      <c r="I196" s="73">
        <v>11587</v>
      </c>
      <c r="J196" s="72" t="s">
        <v>557</v>
      </c>
      <c r="K196" s="72" t="s">
        <v>524</v>
      </c>
      <c r="L196" s="72" t="s">
        <v>523</v>
      </c>
      <c r="M196" s="35" t="s">
        <v>289</v>
      </c>
      <c r="N196" s="40"/>
      <c r="O196" s="72"/>
      <c r="P196" s="72"/>
      <c r="Q196" s="72"/>
      <c r="R196" s="72" t="s">
        <v>293</v>
      </c>
      <c r="S196" s="40"/>
      <c r="T196" s="70" t="s">
        <v>523</v>
      </c>
      <c r="U196" s="68" t="str">
        <f>Таблица310[[#This Row],[Регистратор.Номенклатура]]</f>
        <v>Авола</v>
      </c>
      <c r="V196" s="45">
        <f>14*Таблица310[[#This Row],[Регистратор.Вес нетто]]/64630</f>
        <v>3.0283150239826706</v>
      </c>
      <c r="W196" s="72" t="s">
        <v>46</v>
      </c>
      <c r="X196" s="72" t="s">
        <v>19</v>
      </c>
      <c r="Y196" s="40">
        <v>9</v>
      </c>
      <c r="Z196" s="71">
        <v>45814</v>
      </c>
      <c r="AA196" s="94">
        <f>Таблица310[[#This Row],[Регистратор.Вес нетто]]</f>
        <v>13980</v>
      </c>
      <c r="AB196" s="40" t="s">
        <v>357</v>
      </c>
      <c r="AC196" s="40" t="s">
        <v>724</v>
      </c>
      <c r="AD196" s="40" t="s">
        <v>511</v>
      </c>
      <c r="AE196" s="40">
        <v>292</v>
      </c>
      <c r="AF196" s="103">
        <v>45814</v>
      </c>
      <c r="AG196" s="40" t="s">
        <v>843</v>
      </c>
      <c r="AH196" s="40">
        <f>VLOOKUP(Таблица310[[#This Row],[№ акта]],'Степень зрелости 2025'!$H$13:$I$583,2,FALSE)</f>
        <v>0</v>
      </c>
      <c r="AI196" s="40" t="str">
        <f>VLOOKUP(Таблица310[[#This Row],[№ акта]],$AQ$1:$AT$594,2,FALSE)</f>
        <v>А-57</v>
      </c>
      <c r="AJ196" s="40" t="str">
        <f>Таблица310[[#This Row],[Регистратор.Номенклатура]]</f>
        <v>Авола</v>
      </c>
      <c r="AK196" s="40" t="str">
        <f>VLOOKUP(Таблица310[[#This Row],[№ акта]],$AQ$1:$AT$594,4,FALSE)</f>
        <v>ГРК (богара)</v>
      </c>
      <c r="AL196" s="45">
        <f>VLOOKUP(Таблица310[[#This Row],[№ акта]],$AQ$1:$AT$594,3,FALSE)</f>
        <v>3.0283150239826706</v>
      </c>
      <c r="AM196" s="40" t="str">
        <f>IF(Таблица310[[#This Row],[Площадь уборки, га]]=Таблица310[[#This Row],[Площадь уборки до корр]],"нет","да")</f>
        <v>нет</v>
      </c>
      <c r="AN196" s="45">
        <f>Таблица310[[#This Row],[Площадь уборки до корр]]-Таблица310[[#This Row],[Площадь уборки, га]]</f>
        <v>0</v>
      </c>
      <c r="AQ196">
        <v>292</v>
      </c>
      <c r="AR196" t="s">
        <v>523</v>
      </c>
      <c r="AS196">
        <v>3.0283150239826706</v>
      </c>
      <c r="AT196" t="s">
        <v>46</v>
      </c>
      <c r="XEM196" s="72"/>
      <c r="XEN196" s="73"/>
      <c r="XEO196" s="74"/>
      <c r="XEP196" s="75"/>
      <c r="XEQ196" s="76"/>
      <c r="XER196" s="73"/>
    </row>
    <row r="197" spans="1:46 16367:16372" ht="25.5" hidden="1" customHeight="1" x14ac:dyDescent="0.25">
      <c r="A197" s="72"/>
      <c r="B197" s="73"/>
      <c r="C197" s="120">
        <v>57</v>
      </c>
      <c r="D197" s="75">
        <v>293</v>
      </c>
      <c r="E197" s="146">
        <v>45814</v>
      </c>
      <c r="F197" s="73">
        <v>32070</v>
      </c>
      <c r="G197" s="73">
        <v>15360</v>
      </c>
      <c r="H197" s="77">
        <v>16710</v>
      </c>
      <c r="I197" s="73">
        <v>12544.9</v>
      </c>
      <c r="J197" s="72" t="s">
        <v>78</v>
      </c>
      <c r="K197" s="72" t="s">
        <v>524</v>
      </c>
      <c r="L197" s="72" t="s">
        <v>523</v>
      </c>
      <c r="M197" s="35" t="s">
        <v>439</v>
      </c>
      <c r="N197" s="40"/>
      <c r="O197" s="72"/>
      <c r="P197" s="72"/>
      <c r="Q197" s="72"/>
      <c r="R197" s="72" t="s">
        <v>440</v>
      </c>
      <c r="S197" s="40"/>
      <c r="T197" s="70" t="s">
        <v>523</v>
      </c>
      <c r="U197" s="68" t="str">
        <f>Таблица310[[#This Row],[Регистратор.Номенклатура]]</f>
        <v>Авола</v>
      </c>
      <c r="V197" s="45">
        <f>14*Таблица310[[#This Row],[Регистратор.Вес нетто]]/64630</f>
        <v>3.3272474083243075</v>
      </c>
      <c r="W197" s="72" t="s">
        <v>46</v>
      </c>
      <c r="X197" s="72" t="s">
        <v>19</v>
      </c>
      <c r="Y197" s="40">
        <v>9</v>
      </c>
      <c r="Z197" s="71">
        <v>45814</v>
      </c>
      <c r="AA197" s="94">
        <f>Таблица310[[#This Row],[Регистратор.Вес нетто]]</f>
        <v>15360</v>
      </c>
      <c r="AB197" s="40" t="s">
        <v>357</v>
      </c>
      <c r="AC197" s="40" t="s">
        <v>724</v>
      </c>
      <c r="AD197" s="40" t="s">
        <v>511</v>
      </c>
      <c r="AE197" s="40">
        <v>293</v>
      </c>
      <c r="AF197" s="103">
        <v>45814</v>
      </c>
      <c r="AG197" s="40" t="s">
        <v>844</v>
      </c>
      <c r="AH197" s="40">
        <f>VLOOKUP(Таблица310[[#This Row],[№ акта]],'Степень зрелости 2025'!$H$13:$I$583,2,FALSE)</f>
        <v>0</v>
      </c>
      <c r="AI197" s="40" t="str">
        <f>VLOOKUP(Таблица310[[#This Row],[№ акта]],$AQ$1:$AT$594,2,FALSE)</f>
        <v>А-57</v>
      </c>
      <c r="AJ197" s="40" t="str">
        <f>Таблица310[[#This Row],[Регистратор.Номенклатура]]</f>
        <v>Авола</v>
      </c>
      <c r="AK197" s="40" t="str">
        <f>VLOOKUP(Таблица310[[#This Row],[№ акта]],$AQ$1:$AT$594,4,FALSE)</f>
        <v>ГРК (богара)</v>
      </c>
      <c r="AL197" s="45">
        <f>VLOOKUP(Таблица310[[#This Row],[№ акта]],$AQ$1:$AT$594,3,FALSE)</f>
        <v>3.3272474083243075</v>
      </c>
      <c r="AM197" s="40" t="str">
        <f>IF(Таблица310[[#This Row],[Площадь уборки, га]]=Таблица310[[#This Row],[Площадь уборки до корр]],"нет","да")</f>
        <v>нет</v>
      </c>
      <c r="AN197" s="45">
        <f>Таблица310[[#This Row],[Площадь уборки до корр]]-Таблица310[[#This Row],[Площадь уборки, га]]</f>
        <v>0</v>
      </c>
      <c r="AQ197">
        <v>293</v>
      </c>
      <c r="AR197" t="s">
        <v>523</v>
      </c>
      <c r="AS197">
        <v>3.3272474083243075</v>
      </c>
      <c r="AT197" t="s">
        <v>46</v>
      </c>
      <c r="XEM197" s="72"/>
      <c r="XEN197" s="73"/>
      <c r="XEO197" s="74"/>
      <c r="XEP197" s="75"/>
      <c r="XEQ197" s="76"/>
      <c r="XER197" s="73"/>
    </row>
    <row r="198" spans="1:46 16367:16372" ht="25.5" hidden="1" customHeight="1" x14ac:dyDescent="0.25">
      <c r="A198" s="72"/>
      <c r="B198" s="73"/>
      <c r="C198" s="120">
        <v>59</v>
      </c>
      <c r="D198" s="75">
        <v>294</v>
      </c>
      <c r="E198" s="146">
        <v>45814</v>
      </c>
      <c r="F198" s="73">
        <v>30510</v>
      </c>
      <c r="G198" s="73">
        <v>12840</v>
      </c>
      <c r="H198" s="77">
        <v>17670</v>
      </c>
      <c r="I198" s="73">
        <v>10697.5</v>
      </c>
      <c r="J198" s="72" t="s">
        <v>557</v>
      </c>
      <c r="K198" s="72" t="s">
        <v>21</v>
      </c>
      <c r="L198" s="72" t="s">
        <v>523</v>
      </c>
      <c r="M198" s="35" t="s">
        <v>295</v>
      </c>
      <c r="N198" s="40"/>
      <c r="O198" s="72"/>
      <c r="P198" s="72"/>
      <c r="Q198" s="72"/>
      <c r="R198" s="72" t="s">
        <v>299</v>
      </c>
      <c r="S198" s="40"/>
      <c r="T198" s="70" t="s">
        <v>523</v>
      </c>
      <c r="U198" s="68" t="str">
        <f>Таблица310[[#This Row],[Регистратор.Номенклатура]]</f>
        <v>Преладо</v>
      </c>
      <c r="V198" s="45">
        <f>14*Таблица310[[#This Row],[Регистратор.Вес нетто]]/64630</f>
        <v>2.7813708803961008</v>
      </c>
      <c r="W198" s="72" t="s">
        <v>46</v>
      </c>
      <c r="X198" s="72" t="s">
        <v>19</v>
      </c>
      <c r="Y198" s="40">
        <v>9</v>
      </c>
      <c r="Z198" s="71">
        <v>45814</v>
      </c>
      <c r="AA198" s="94">
        <f>Таблица310[[#This Row],[Регистратор.Вес нетто]]</f>
        <v>12840</v>
      </c>
      <c r="AB198" s="40" t="s">
        <v>357</v>
      </c>
      <c r="AC198" s="40" t="s">
        <v>724</v>
      </c>
      <c r="AD198" s="40" t="s">
        <v>511</v>
      </c>
      <c r="AE198" s="40">
        <v>294</v>
      </c>
      <c r="AF198" s="103">
        <v>45814</v>
      </c>
      <c r="AG198" s="40" t="s">
        <v>845</v>
      </c>
      <c r="AH198" s="40">
        <f>VLOOKUP(Таблица310[[#This Row],[№ акта]],'Степень зрелости 2025'!$H$13:$I$583,2,FALSE)</f>
        <v>0</v>
      </c>
      <c r="AI198" s="40" t="str">
        <f>VLOOKUP(Таблица310[[#This Row],[№ акта]],$AQ$1:$AT$594,2,FALSE)</f>
        <v>А-57</v>
      </c>
      <c r="AJ198" s="40" t="str">
        <f>Таблица310[[#This Row],[Регистратор.Номенклатура]]</f>
        <v>Преладо</v>
      </c>
      <c r="AK198" s="40" t="str">
        <f>VLOOKUP(Таблица310[[#This Row],[№ акта]],$AQ$1:$AT$594,4,FALSE)</f>
        <v>ГРК (богара)</v>
      </c>
      <c r="AL198" s="45">
        <f>VLOOKUP(Таблица310[[#This Row],[№ акта]],$AQ$1:$AT$594,3,FALSE)</f>
        <v>2.7813708803961008</v>
      </c>
      <c r="AM198" s="40" t="str">
        <f>IF(Таблица310[[#This Row],[Площадь уборки, га]]=Таблица310[[#This Row],[Площадь уборки до корр]],"нет","да")</f>
        <v>нет</v>
      </c>
      <c r="AN198" s="45">
        <f>Таблица310[[#This Row],[Площадь уборки до корр]]-Таблица310[[#This Row],[Площадь уборки, га]]</f>
        <v>0</v>
      </c>
      <c r="AQ198">
        <v>294</v>
      </c>
      <c r="AR198" t="s">
        <v>523</v>
      </c>
      <c r="AS198">
        <v>2.7813708803961008</v>
      </c>
      <c r="AT198" t="s">
        <v>46</v>
      </c>
      <c r="XEM198" s="72"/>
      <c r="XEN198" s="73"/>
      <c r="XEO198" s="74"/>
      <c r="XEP198" s="75"/>
      <c r="XEQ198" s="76"/>
      <c r="XER198" s="73"/>
    </row>
    <row r="199" spans="1:46 16367:16372" ht="25.5" hidden="1" customHeight="1" x14ac:dyDescent="0.25">
      <c r="A199" s="72"/>
      <c r="B199" s="73"/>
      <c r="C199" s="120">
        <v>56</v>
      </c>
      <c r="D199" s="75">
        <v>295</v>
      </c>
      <c r="E199" s="146">
        <v>45814</v>
      </c>
      <c r="F199" s="73">
        <v>35150</v>
      </c>
      <c r="G199" s="73">
        <v>16340</v>
      </c>
      <c r="H199" s="77">
        <v>18810</v>
      </c>
      <c r="I199" s="73">
        <v>14133.1</v>
      </c>
      <c r="J199" s="72" t="s">
        <v>78</v>
      </c>
      <c r="K199" s="72" t="s">
        <v>21</v>
      </c>
      <c r="L199" s="72" t="s">
        <v>754</v>
      </c>
      <c r="M199" s="35" t="s">
        <v>442</v>
      </c>
      <c r="N199" s="40"/>
      <c r="O199" s="72"/>
      <c r="P199" s="72"/>
      <c r="Q199" s="72"/>
      <c r="R199" s="72" t="s">
        <v>443</v>
      </c>
      <c r="S199" s="40"/>
      <c r="T199" s="70" t="s">
        <v>754</v>
      </c>
      <c r="U199" s="68" t="str">
        <f>Таблица310[[#This Row],[Регистратор.Номенклатура]]</f>
        <v>Преладо</v>
      </c>
      <c r="V199" s="45">
        <f>35*Таблица310[[#This Row],[Регистратор.Вес нетто]]/100290</f>
        <v>5.7024628577126331</v>
      </c>
      <c r="W199" s="72" t="s">
        <v>46</v>
      </c>
      <c r="X199" s="72" t="s">
        <v>19</v>
      </c>
      <c r="Y199" s="40">
        <v>9</v>
      </c>
      <c r="Z199" s="71">
        <v>45814</v>
      </c>
      <c r="AA199" s="94">
        <f>Таблица310[[#This Row],[Регистратор.Вес нетто]]</f>
        <v>16340</v>
      </c>
      <c r="AB199" s="40" t="s">
        <v>357</v>
      </c>
      <c r="AC199" s="40" t="s">
        <v>724</v>
      </c>
      <c r="AD199" s="40" t="s">
        <v>511</v>
      </c>
      <c r="AE199" s="40">
        <v>295</v>
      </c>
      <c r="AF199" s="103">
        <v>45814</v>
      </c>
      <c r="AG199" s="40" t="s">
        <v>846</v>
      </c>
      <c r="AH199" s="40">
        <f>VLOOKUP(Таблица310[[#This Row],[№ акта]],'Степень зрелости 2025'!$H$13:$I$583,2,FALSE)</f>
        <v>0</v>
      </c>
      <c r="AI199" s="40" t="str">
        <f>VLOOKUP(Таблица310[[#This Row],[№ акта]],$AQ$1:$AT$594,2,FALSE)</f>
        <v>А-67</v>
      </c>
      <c r="AJ199" s="40" t="str">
        <f>Таблица310[[#This Row],[Регистратор.Номенклатура]]</f>
        <v>Преладо</v>
      </c>
      <c r="AK199" s="40" t="str">
        <f>VLOOKUP(Таблица310[[#This Row],[№ акта]],$AQ$1:$AT$594,4,FALSE)</f>
        <v>ГРК (богара)</v>
      </c>
      <c r="AL199" s="45">
        <f>VLOOKUP(Таблица310[[#This Row],[№ акта]],$AQ$1:$AT$594,3,FALSE)</f>
        <v>5.7024628577126331</v>
      </c>
      <c r="AM199" s="40" t="str">
        <f>IF(Таблица310[[#This Row],[Площадь уборки, га]]=Таблица310[[#This Row],[Площадь уборки до корр]],"нет","да")</f>
        <v>нет</v>
      </c>
      <c r="AN199" s="45">
        <f>Таблица310[[#This Row],[Площадь уборки до корр]]-Таблица310[[#This Row],[Площадь уборки, га]]</f>
        <v>0</v>
      </c>
      <c r="AQ199">
        <v>295</v>
      </c>
      <c r="AR199" t="s">
        <v>754</v>
      </c>
      <c r="AS199">
        <v>5.7024628577126331</v>
      </c>
      <c r="AT199" t="s">
        <v>46</v>
      </c>
      <c r="XEM199" s="72"/>
      <c r="XEN199" s="73"/>
      <c r="XEO199" s="74"/>
      <c r="XEP199" s="75"/>
      <c r="XEQ199" s="76"/>
      <c r="XER199" s="73"/>
    </row>
    <row r="200" spans="1:46 16367:16372" ht="25.5" hidden="1" customHeight="1" x14ac:dyDescent="0.25">
      <c r="A200" s="72"/>
      <c r="B200" s="73"/>
      <c r="C200" s="120">
        <f>Таблица310[[#This Row],[Степень зрелости вспом]]</f>
        <v>57</v>
      </c>
      <c r="D200" s="75">
        <v>296</v>
      </c>
      <c r="E200" s="146">
        <v>45815</v>
      </c>
      <c r="F200" s="73">
        <v>23850</v>
      </c>
      <c r="G200" s="169">
        <v>8960</v>
      </c>
      <c r="H200" s="77">
        <v>14890</v>
      </c>
      <c r="I200" s="73">
        <v>7526.4</v>
      </c>
      <c r="J200" s="72" t="s">
        <v>78</v>
      </c>
      <c r="K200" s="72" t="s">
        <v>21</v>
      </c>
      <c r="L200" s="72" t="s">
        <v>754</v>
      </c>
      <c r="M200" s="35" t="s">
        <v>329</v>
      </c>
      <c r="N200" s="40"/>
      <c r="O200" s="72"/>
      <c r="P200" s="72"/>
      <c r="Q200" s="72"/>
      <c r="R200" s="72" t="s">
        <v>333</v>
      </c>
      <c r="S200" s="40"/>
      <c r="T200" s="70" t="s">
        <v>754</v>
      </c>
      <c r="U200" s="68" t="str">
        <f>Таблица310[[#This Row],[Регистратор.Номенклатура]]</f>
        <v>Преладо</v>
      </c>
      <c r="V200" s="45">
        <f>6.1*Таблица310[[#This Row],[Регистратор.Вес нетто]]/92910</f>
        <v>0.58826821655365402</v>
      </c>
      <c r="W200" s="72" t="s">
        <v>46</v>
      </c>
      <c r="X200" s="72" t="s">
        <v>19</v>
      </c>
      <c r="Y200" s="40">
        <v>12</v>
      </c>
      <c r="Z200" s="71">
        <v>45817</v>
      </c>
      <c r="AA200" s="94"/>
      <c r="AB200" s="40" t="s">
        <v>1617</v>
      </c>
      <c r="AC200" s="40" t="s">
        <v>724</v>
      </c>
      <c r="AD200" s="40" t="s">
        <v>511</v>
      </c>
      <c r="AE200" s="40">
        <v>296</v>
      </c>
      <c r="AF200" s="103">
        <v>45815</v>
      </c>
      <c r="AG200" s="40">
        <v>64</v>
      </c>
      <c r="AH200" s="40">
        <f>VLOOKUP(Таблица310[[#This Row],[№ акта]],'Степень зрелости 2025'!$H$13:$I$583,2,FALSE)</f>
        <v>57</v>
      </c>
      <c r="AI200" s="40" t="str">
        <f>VLOOKUP(Таблица310[[#This Row],[№ акта]],$AQ$1:$AT$594,2,FALSE)</f>
        <v>А-67</v>
      </c>
      <c r="AJ200" s="40" t="str">
        <f>Таблица310[[#This Row],[Регистратор.Номенклатура]]</f>
        <v>Преладо</v>
      </c>
      <c r="AK200" s="40" t="str">
        <f>VLOOKUP(Таблица310[[#This Row],[№ акта]],$AQ$1:$AT$594,4,FALSE)</f>
        <v>ГРК (богара)</v>
      </c>
      <c r="AL200" s="45">
        <f>VLOOKUP(Таблица310[[#This Row],[№ акта]],$AQ$1:$AT$594,3,FALSE)</f>
        <v>5.2226471134211989</v>
      </c>
      <c r="AM200" s="40" t="str">
        <f>IF(Таблица310[[#This Row],[Площадь уборки, га]]=Таблица310[[#This Row],[Площадь уборки до корр]],"нет","да")</f>
        <v>да</v>
      </c>
      <c r="AN200" s="45">
        <f>Таблица310[[#This Row],[Площадь уборки до корр]]-Таблица310[[#This Row],[Площадь уборки, га]]</f>
        <v>4.6343788968675446</v>
      </c>
      <c r="AQ200">
        <v>296</v>
      </c>
      <c r="AR200" t="s">
        <v>754</v>
      </c>
      <c r="AS200">
        <v>5.2226471134211989</v>
      </c>
      <c r="AT200" t="s">
        <v>46</v>
      </c>
      <c r="XEM200" s="72"/>
      <c r="XEN200" s="73"/>
      <c r="XEO200" s="74"/>
      <c r="XEP200" s="75"/>
      <c r="XEQ200" s="76"/>
      <c r="XER200" s="73"/>
    </row>
    <row r="201" spans="1:46 16367:16372" ht="25.5" hidden="1" customHeight="1" x14ac:dyDescent="0.25">
      <c r="A201" s="72"/>
      <c r="B201" s="73"/>
      <c r="C201" s="120">
        <v>47</v>
      </c>
      <c r="D201" s="75">
        <v>297</v>
      </c>
      <c r="E201" s="146">
        <v>45815</v>
      </c>
      <c r="F201" s="73">
        <v>31050</v>
      </c>
      <c r="G201" s="73">
        <v>13920</v>
      </c>
      <c r="H201" s="77">
        <v>17130</v>
      </c>
      <c r="I201" s="73">
        <v>11279.6</v>
      </c>
      <c r="J201" s="72" t="s">
        <v>78</v>
      </c>
      <c r="K201" s="72" t="s">
        <v>21</v>
      </c>
      <c r="L201" s="72" t="s">
        <v>754</v>
      </c>
      <c r="M201" s="35" t="s">
        <v>514</v>
      </c>
      <c r="N201" s="40"/>
      <c r="O201" s="72"/>
      <c r="P201" s="72"/>
      <c r="Q201" s="72"/>
      <c r="R201" s="72" t="s">
        <v>515</v>
      </c>
      <c r="S201" s="40"/>
      <c r="T201" s="70" t="s">
        <v>754</v>
      </c>
      <c r="U201" s="68" t="str">
        <f>Таблица310[[#This Row],[Регистратор.Номенклатура]]</f>
        <v>Преладо</v>
      </c>
      <c r="V201" s="45">
        <f>35*Таблица310[[#This Row],[Регистратор.Вес нетто]]/105660</f>
        <v>4.6110164679159569</v>
      </c>
      <c r="W201" s="72" t="s">
        <v>46</v>
      </c>
      <c r="X201" s="72" t="s">
        <v>19</v>
      </c>
      <c r="Y201" s="40">
        <v>11</v>
      </c>
      <c r="Z201" s="71">
        <v>45816</v>
      </c>
      <c r="AA201" s="94">
        <f>Таблица310[[#This Row],[Регистратор.Вес нетто]]</f>
        <v>13920</v>
      </c>
      <c r="AB201" s="40" t="s">
        <v>357</v>
      </c>
      <c r="AC201" s="40" t="s">
        <v>419</v>
      </c>
      <c r="AD201" s="40" t="s">
        <v>511</v>
      </c>
      <c r="AE201" s="40">
        <v>297</v>
      </c>
      <c r="AF201" s="103">
        <v>45815</v>
      </c>
      <c r="AG201" s="40" t="s">
        <v>847</v>
      </c>
      <c r="AH201" s="40">
        <f>VLOOKUP(Таблица310[[#This Row],[№ акта]],'Степень зрелости 2025'!$H$13:$I$583,2,FALSE)</f>
        <v>0</v>
      </c>
      <c r="AI201" s="40" t="str">
        <f>VLOOKUP(Таблица310[[#This Row],[№ акта]],$AQ$1:$AT$594,2,FALSE)</f>
        <v>А-67</v>
      </c>
      <c r="AJ201" s="40" t="str">
        <f>Таблица310[[#This Row],[Регистратор.Номенклатура]]</f>
        <v>Преладо</v>
      </c>
      <c r="AK201" s="40" t="str">
        <f>VLOOKUP(Таблица310[[#This Row],[№ акта]],$AQ$1:$AT$594,4,FALSE)</f>
        <v>ГРК (богара)</v>
      </c>
      <c r="AL201" s="45">
        <f>VLOOKUP(Таблица310[[#This Row],[№ акта]],$AQ$1:$AT$594,3,FALSE)</f>
        <v>4.6110164679159569</v>
      </c>
      <c r="AM201" s="40" t="str">
        <f>IF(Таблица310[[#This Row],[Площадь уборки, га]]=Таблица310[[#This Row],[Площадь уборки до корр]],"нет","да")</f>
        <v>нет</v>
      </c>
      <c r="AN201" s="45">
        <f>Таблица310[[#This Row],[Площадь уборки до корр]]-Таблица310[[#This Row],[Площадь уборки, га]]</f>
        <v>0</v>
      </c>
      <c r="AQ201">
        <v>297</v>
      </c>
      <c r="AR201" t="s">
        <v>754</v>
      </c>
      <c r="AS201">
        <v>4.6110164679159569</v>
      </c>
      <c r="AT201" t="s">
        <v>46</v>
      </c>
      <c r="XEM201" s="72"/>
      <c r="XEN201" s="73"/>
      <c r="XEO201" s="74"/>
      <c r="XEP201" s="75"/>
      <c r="XEQ201" s="76"/>
      <c r="XER201" s="73"/>
    </row>
    <row r="202" spans="1:46 16367:16372" ht="25.5" hidden="1" customHeight="1" x14ac:dyDescent="0.25">
      <c r="A202" s="72"/>
      <c r="B202" s="73"/>
      <c r="C202" s="120">
        <v>50</v>
      </c>
      <c r="D202" s="75">
        <v>298</v>
      </c>
      <c r="E202" s="146">
        <v>45815</v>
      </c>
      <c r="F202" s="73">
        <v>32130</v>
      </c>
      <c r="G202" s="73">
        <v>16000</v>
      </c>
      <c r="H202" s="77">
        <v>16130</v>
      </c>
      <c r="I202" s="73">
        <v>12975.8</v>
      </c>
      <c r="J202" s="72" t="s">
        <v>78</v>
      </c>
      <c r="K202" s="72" t="s">
        <v>21</v>
      </c>
      <c r="L202" s="72" t="s">
        <v>754</v>
      </c>
      <c r="M202" s="35" t="s">
        <v>521</v>
      </c>
      <c r="N202" s="40"/>
      <c r="O202" s="72"/>
      <c r="P202" s="72"/>
      <c r="Q202" s="72"/>
      <c r="R202" s="72" t="s">
        <v>675</v>
      </c>
      <c r="S202" s="40"/>
      <c r="T202" s="70" t="s">
        <v>754</v>
      </c>
      <c r="U202" s="68" t="str">
        <f>Таблица310[[#This Row],[Регистратор.Номенклатура]]</f>
        <v>Преладо</v>
      </c>
      <c r="V202" s="45">
        <f>35*Таблица310[[#This Row],[Регистратор.Вес нетто]]/105660</f>
        <v>5.3000189286390311</v>
      </c>
      <c r="W202" s="72" t="s">
        <v>46</v>
      </c>
      <c r="X202" s="72" t="s">
        <v>19</v>
      </c>
      <c r="Y202" s="40">
        <v>11</v>
      </c>
      <c r="Z202" s="71">
        <v>45816</v>
      </c>
      <c r="AA202" s="94">
        <f>Таблица310[[#This Row],[Регистратор.Вес нетто]]</f>
        <v>16000</v>
      </c>
      <c r="AB202" s="40" t="s">
        <v>357</v>
      </c>
      <c r="AC202" s="40" t="s">
        <v>419</v>
      </c>
      <c r="AD202" s="40" t="s">
        <v>511</v>
      </c>
      <c r="AE202" s="40">
        <v>298</v>
      </c>
      <c r="AF202" s="103">
        <v>45815</v>
      </c>
      <c r="AG202" s="40" t="s">
        <v>848</v>
      </c>
      <c r="AH202" s="40">
        <f>VLOOKUP(Таблица310[[#This Row],[№ акта]],'Степень зрелости 2025'!$H$13:$I$583,2,FALSE)</f>
        <v>0</v>
      </c>
      <c r="AI202" s="40" t="str">
        <f>VLOOKUP(Таблица310[[#This Row],[№ акта]],$AQ$1:$AT$594,2,FALSE)</f>
        <v>А-67</v>
      </c>
      <c r="AJ202" s="40" t="str">
        <f>Таблица310[[#This Row],[Регистратор.Номенклатура]]</f>
        <v>Преладо</v>
      </c>
      <c r="AK202" s="40" t="str">
        <f>VLOOKUP(Таблица310[[#This Row],[№ акта]],$AQ$1:$AT$594,4,FALSE)</f>
        <v>ГРК (богара)</v>
      </c>
      <c r="AL202" s="45">
        <f>VLOOKUP(Таблица310[[#This Row],[№ акта]],$AQ$1:$AT$594,3,FALSE)</f>
        <v>5.3000189286390311</v>
      </c>
      <c r="AM202" s="40" t="str">
        <f>IF(Таблица310[[#This Row],[Площадь уборки, га]]=Таблица310[[#This Row],[Площадь уборки до корр]],"нет","да")</f>
        <v>нет</v>
      </c>
      <c r="AN202" s="45">
        <f>Таблица310[[#This Row],[Площадь уборки до корр]]-Таблица310[[#This Row],[Площадь уборки, га]]</f>
        <v>0</v>
      </c>
      <c r="AQ202">
        <v>298</v>
      </c>
      <c r="AR202" t="s">
        <v>754</v>
      </c>
      <c r="AS202">
        <v>5.3000189286390311</v>
      </c>
      <c r="AT202" t="s">
        <v>46</v>
      </c>
      <c r="XEM202" s="72"/>
      <c r="XEN202" s="73"/>
      <c r="XEO202" s="74"/>
      <c r="XEP202" s="75"/>
      <c r="XEQ202" s="76"/>
      <c r="XER202" s="73"/>
    </row>
    <row r="203" spans="1:46 16367:16372" ht="25.5" hidden="1" customHeight="1" x14ac:dyDescent="0.25">
      <c r="A203" s="72"/>
      <c r="B203" s="73"/>
      <c r="C203" s="120">
        <v>71</v>
      </c>
      <c r="D203" s="75">
        <v>299</v>
      </c>
      <c r="E203" s="146">
        <v>45817</v>
      </c>
      <c r="F203" s="73">
        <v>22920</v>
      </c>
      <c r="G203" s="73">
        <v>9000</v>
      </c>
      <c r="H203" s="77">
        <v>13920</v>
      </c>
      <c r="I203" s="73">
        <v>7920</v>
      </c>
      <c r="J203" s="72" t="s">
        <v>78</v>
      </c>
      <c r="K203" s="72" t="s">
        <v>524</v>
      </c>
      <c r="L203" s="72" t="s">
        <v>849</v>
      </c>
      <c r="M203" s="35" t="s">
        <v>212</v>
      </c>
      <c r="N203" s="40"/>
      <c r="O203" s="72"/>
      <c r="P203" s="72"/>
      <c r="Q203" s="72"/>
      <c r="R203" s="72" t="s">
        <v>216</v>
      </c>
      <c r="S203" s="40"/>
      <c r="T203" s="70" t="s">
        <v>864</v>
      </c>
      <c r="U203" s="68" t="str">
        <f>Таблица310[[#This Row],[Регистратор.Номенклатура]]</f>
        <v>Авола</v>
      </c>
      <c r="V203" s="45">
        <f>18*Таблица310[[#This Row],[Регистратор.Вес нетто]]/46860</f>
        <v>3.4571062740076823</v>
      </c>
      <c r="W203" s="72" t="s">
        <v>46</v>
      </c>
      <c r="X203" s="72" t="s">
        <v>19</v>
      </c>
      <c r="Y203" s="40">
        <v>12</v>
      </c>
      <c r="Z203" s="71">
        <v>45817</v>
      </c>
      <c r="AA203" s="94"/>
      <c r="AB203" s="40"/>
      <c r="AC203" s="40" t="s">
        <v>420</v>
      </c>
      <c r="AD203" s="40" t="s">
        <v>833</v>
      </c>
      <c r="AE203" s="40">
        <v>299</v>
      </c>
      <c r="AF203" s="103">
        <v>45817</v>
      </c>
      <c r="AG203" s="40">
        <v>105</v>
      </c>
      <c r="AH203" s="40">
        <f>VLOOKUP(Таблица310[[#This Row],[№ акта]],'Степень зрелости 2025'!$H$13:$I$583,2,FALSE)</f>
        <v>71</v>
      </c>
      <c r="AI203" s="40" t="str">
        <f>VLOOKUP(Таблица310[[#This Row],[№ акта]],$AQ$1:$AT$594,2,FALSE)</f>
        <v>А-54</v>
      </c>
      <c r="AJ203" s="40" t="str">
        <f>Таблица310[[#This Row],[Регистратор.Номенклатура]]</f>
        <v>Авола</v>
      </c>
      <c r="AK203" s="40" t="str">
        <f>VLOOKUP(Таблица310[[#This Row],[№ акта]],$AQ$1:$AT$594,4,FALSE)</f>
        <v>ГРК (богара)</v>
      </c>
      <c r="AL203" s="45">
        <f>VLOOKUP(Таблица310[[#This Row],[№ акта]],$AQ$1:$AT$594,3,FALSE)</f>
        <v>3.4571062740076823</v>
      </c>
      <c r="AM203" s="40" t="str">
        <f>IF(Таблица310[[#This Row],[Площадь уборки, га]]=Таблица310[[#This Row],[Площадь уборки до корр]],"нет","да")</f>
        <v>нет</v>
      </c>
      <c r="AN203" s="45">
        <f>Таблица310[[#This Row],[Площадь уборки до корр]]-Таблица310[[#This Row],[Площадь уборки, га]]</f>
        <v>0</v>
      </c>
      <c r="AQ203">
        <v>299</v>
      </c>
      <c r="AR203" t="s">
        <v>864</v>
      </c>
      <c r="AS203">
        <v>3.4571062740076823</v>
      </c>
      <c r="AT203" t="s">
        <v>46</v>
      </c>
      <c r="XEM203" s="72"/>
      <c r="XEN203" s="73"/>
      <c r="XEO203" s="74"/>
      <c r="XEP203" s="75"/>
      <c r="XEQ203" s="76"/>
      <c r="XER203" s="73"/>
    </row>
    <row r="204" spans="1:46 16367:16372" ht="25.5" hidden="1" customHeight="1" x14ac:dyDescent="0.25">
      <c r="A204" s="72"/>
      <c r="B204" s="73"/>
      <c r="C204" s="120">
        <f>Таблица310[[#This Row],[Степень зрелости вспом]]</f>
        <v>65</v>
      </c>
      <c r="D204" s="75">
        <v>300</v>
      </c>
      <c r="E204" s="146">
        <v>45817</v>
      </c>
      <c r="F204" s="73">
        <v>27980</v>
      </c>
      <c r="G204" s="73">
        <v>13230</v>
      </c>
      <c r="H204" s="77">
        <v>14750</v>
      </c>
      <c r="I204" s="73">
        <v>11113.2</v>
      </c>
      <c r="J204" s="72" t="s">
        <v>78</v>
      </c>
      <c r="K204" s="72" t="s">
        <v>21</v>
      </c>
      <c r="L204" s="72" t="s">
        <v>754</v>
      </c>
      <c r="M204" s="35" t="s">
        <v>121</v>
      </c>
      <c r="N204" s="40"/>
      <c r="O204" s="72"/>
      <c r="P204" s="72"/>
      <c r="Q204" s="72"/>
      <c r="R204" s="72" t="s">
        <v>125</v>
      </c>
      <c r="S204" s="40"/>
      <c r="T204" s="70" t="s">
        <v>754</v>
      </c>
      <c r="U204" s="68" t="str">
        <f>Таблица310[[#This Row],[Регистратор.Номенклатура]]</f>
        <v>Преладо</v>
      </c>
      <c r="V204" s="45">
        <f>79*Таблица310[[#This Row],[Регистратор.Вес нетто]]/100170</f>
        <v>10.433962264150944</v>
      </c>
      <c r="W204" s="72" t="s">
        <v>46</v>
      </c>
      <c r="X204" s="72" t="s">
        <v>19</v>
      </c>
      <c r="Y204" s="40">
        <v>12</v>
      </c>
      <c r="Z204" s="71">
        <v>45817</v>
      </c>
      <c r="AA204" s="94"/>
      <c r="AB204" s="40" t="s">
        <v>1616</v>
      </c>
      <c r="AC204" s="40" t="s">
        <v>725</v>
      </c>
      <c r="AD204" s="40" t="s">
        <v>550</v>
      </c>
      <c r="AE204" s="40">
        <v>300</v>
      </c>
      <c r="AF204" s="103">
        <v>45817</v>
      </c>
      <c r="AG204" s="40">
        <v>106</v>
      </c>
      <c r="AH204" s="40">
        <f>VLOOKUP(Таблица310[[#This Row],[№ акта]],'Степень зрелости 2025'!$H$13:$I$583,2,FALSE)</f>
        <v>65</v>
      </c>
      <c r="AI204" s="40" t="str">
        <f>VLOOKUP(Таблица310[[#This Row],[№ акта]],$AQ$1:$AT$594,2,FALSE)</f>
        <v>А-67</v>
      </c>
      <c r="AJ204" s="40" t="str">
        <f>Таблица310[[#This Row],[Регистратор.Номенклатура]]</f>
        <v>Преладо</v>
      </c>
      <c r="AK204" s="40" t="str">
        <f>VLOOKUP(Таблица310[[#This Row],[№ акта]],$AQ$1:$AT$594,4,FALSE)</f>
        <v>ГРК (богара)</v>
      </c>
      <c r="AL204" s="45">
        <f>VLOOKUP(Таблица310[[#This Row],[№ акта]],$AQ$1:$AT$594,3,FALSE)</f>
        <v>7.7115648784109894</v>
      </c>
      <c r="AM204" s="40" t="str">
        <f>IF(Таблица310[[#This Row],[Площадь уборки, га]]=Таблица310[[#This Row],[Площадь уборки до корр]],"нет","да")</f>
        <v>да</v>
      </c>
      <c r="AN204" s="45">
        <f>Таблица310[[#This Row],[Площадь уборки до корр]]-Таблица310[[#This Row],[Площадь уборки, га]]</f>
        <v>-2.7223973857399546</v>
      </c>
      <c r="AQ204">
        <v>300</v>
      </c>
      <c r="AR204" t="s">
        <v>754</v>
      </c>
      <c r="AS204">
        <v>7.7115648784109894</v>
      </c>
      <c r="AT204" t="s">
        <v>46</v>
      </c>
      <c r="XEM204" s="72"/>
      <c r="XEN204" s="73"/>
      <c r="XEO204" s="74"/>
      <c r="XEP204" s="75"/>
      <c r="XEQ204" s="76"/>
      <c r="XER204" s="73"/>
    </row>
    <row r="205" spans="1:46 16367:16372" ht="25.5" hidden="1" customHeight="1" x14ac:dyDescent="0.25">
      <c r="A205" s="72"/>
      <c r="B205" s="73"/>
      <c r="C205" s="120">
        <f>Таблица310[[#This Row],[Степень зрелости вспом]]</f>
        <v>70</v>
      </c>
      <c r="D205" s="75">
        <v>301</v>
      </c>
      <c r="E205" s="146">
        <v>45817</v>
      </c>
      <c r="F205" s="73">
        <v>23280</v>
      </c>
      <c r="G205" s="73">
        <v>9100</v>
      </c>
      <c r="H205" s="77">
        <v>14180</v>
      </c>
      <c r="I205" s="73">
        <v>7780.5</v>
      </c>
      <c r="J205" s="72" t="s">
        <v>78</v>
      </c>
      <c r="K205" s="72" t="s">
        <v>524</v>
      </c>
      <c r="L205" s="72" t="s">
        <v>849</v>
      </c>
      <c r="M205" s="35" t="s">
        <v>79</v>
      </c>
      <c r="N205" s="40"/>
      <c r="O205" s="72"/>
      <c r="P205" s="72"/>
      <c r="Q205" s="72"/>
      <c r="R205" s="72" t="s">
        <v>850</v>
      </c>
      <c r="S205" s="40"/>
      <c r="T205" s="70" t="s">
        <v>864</v>
      </c>
      <c r="U205" s="68" t="str">
        <f>Таблица310[[#This Row],[Регистратор.Номенклатура]]</f>
        <v>Авола</v>
      </c>
      <c r="V205" s="45">
        <f>18*Таблица310[[#This Row],[Регистратор.Вес нетто]]/46860</f>
        <v>3.4955185659411012</v>
      </c>
      <c r="W205" s="72" t="s">
        <v>46</v>
      </c>
      <c r="X205" s="72" t="s">
        <v>19</v>
      </c>
      <c r="Y205" s="40">
        <v>12</v>
      </c>
      <c r="Z205" s="71">
        <v>45817</v>
      </c>
      <c r="AA205" s="94"/>
      <c r="AB205" s="40"/>
      <c r="AC205" s="40" t="s">
        <v>420</v>
      </c>
      <c r="AD205" s="40" t="s">
        <v>550</v>
      </c>
      <c r="AE205" s="40">
        <v>301</v>
      </c>
      <c r="AF205" s="103">
        <v>45817</v>
      </c>
      <c r="AG205" s="40">
        <v>107</v>
      </c>
      <c r="AH205" s="40">
        <f>VLOOKUP(Таблица310[[#This Row],[№ акта]],'Степень зрелости 2025'!$H$13:$I$583,2,FALSE)</f>
        <v>70</v>
      </c>
      <c r="AI205" s="40" t="str">
        <f>VLOOKUP(Таблица310[[#This Row],[№ акта]],$AQ$1:$AT$594,2,FALSE)</f>
        <v>А-54</v>
      </c>
      <c r="AJ205" s="40" t="str">
        <f>Таблица310[[#This Row],[Регистратор.Номенклатура]]</f>
        <v>Авола</v>
      </c>
      <c r="AK205" s="40" t="str">
        <f>VLOOKUP(Таблица310[[#This Row],[№ акта]],$AQ$1:$AT$594,4,FALSE)</f>
        <v>ГРК (богара)</v>
      </c>
      <c r="AL205" s="45">
        <f>VLOOKUP(Таблица310[[#This Row],[№ акта]],$AQ$1:$AT$594,3,FALSE)</f>
        <v>3.4955185659411012</v>
      </c>
      <c r="AM205" s="40" t="str">
        <f>IF(Таблица310[[#This Row],[Площадь уборки, га]]=Таблица310[[#This Row],[Площадь уборки до корр]],"нет","да")</f>
        <v>нет</v>
      </c>
      <c r="AN205" s="45">
        <f>Таблица310[[#This Row],[Площадь уборки до корр]]-Таблица310[[#This Row],[Площадь уборки, га]]</f>
        <v>0</v>
      </c>
      <c r="AQ205">
        <v>301</v>
      </c>
      <c r="AR205" t="s">
        <v>864</v>
      </c>
      <c r="AS205">
        <v>3.4955185659411012</v>
      </c>
      <c r="AT205" t="s">
        <v>46</v>
      </c>
      <c r="XEM205" s="72"/>
      <c r="XEN205" s="73"/>
      <c r="XEO205" s="74"/>
      <c r="XEP205" s="75"/>
      <c r="XEQ205" s="76"/>
      <c r="XER205" s="73"/>
    </row>
    <row r="206" spans="1:46 16367:16372" ht="25.5" hidden="1" customHeight="1" x14ac:dyDescent="0.25">
      <c r="A206" s="72"/>
      <c r="B206" s="73"/>
      <c r="C206" s="120">
        <f>Таблица310[[#This Row],[Степень зрелости вспом]]</f>
        <v>67</v>
      </c>
      <c r="D206" s="75">
        <v>302</v>
      </c>
      <c r="E206" s="146">
        <v>45817</v>
      </c>
      <c r="F206" s="73">
        <v>9270</v>
      </c>
      <c r="G206" s="73">
        <v>4670</v>
      </c>
      <c r="H206" s="77">
        <v>4600</v>
      </c>
      <c r="I206" s="73">
        <v>3712.6</v>
      </c>
      <c r="J206" s="72" t="s">
        <v>78</v>
      </c>
      <c r="K206" s="72" t="s">
        <v>21</v>
      </c>
      <c r="L206" s="72" t="s">
        <v>754</v>
      </c>
      <c r="M206" s="35" t="s">
        <v>762</v>
      </c>
      <c r="N206" s="40"/>
      <c r="O206" s="72"/>
      <c r="P206" s="72"/>
      <c r="Q206" s="72"/>
      <c r="R206" s="72" t="s">
        <v>763</v>
      </c>
      <c r="S206" s="40"/>
      <c r="T206" s="70" t="s">
        <v>754</v>
      </c>
      <c r="U206" s="68" t="str">
        <f>Таблица310[[#This Row],[Регистратор.Номенклатура]]</f>
        <v>Преладо</v>
      </c>
      <c r="V206" s="45">
        <f>79*Таблица310[[#This Row],[Регистратор.Вес нетто]]/100170</f>
        <v>3.6830388339822302</v>
      </c>
      <c r="W206" s="72" t="s">
        <v>46</v>
      </c>
      <c r="X206" s="72" t="s">
        <v>19</v>
      </c>
      <c r="Y206" s="40">
        <v>12</v>
      </c>
      <c r="Z206" s="71">
        <v>45817</v>
      </c>
      <c r="AA206" s="94"/>
      <c r="AB206" s="40" t="s">
        <v>1616</v>
      </c>
      <c r="AC206" s="40" t="s">
        <v>420</v>
      </c>
      <c r="AD206" s="40" t="s">
        <v>550</v>
      </c>
      <c r="AE206" s="40">
        <v>302</v>
      </c>
      <c r="AF206" s="103">
        <v>45817</v>
      </c>
      <c r="AG206" s="40">
        <v>108</v>
      </c>
      <c r="AH206" s="40">
        <f>VLOOKUP(Таблица310[[#This Row],[№ акта]],'Степень зрелости 2025'!$H$13:$I$583,2,FALSE)</f>
        <v>67</v>
      </c>
      <c r="AI206" s="40" t="str">
        <f>VLOOKUP(Таблица310[[#This Row],[№ акта]],$AQ$1:$AT$594,2,FALSE)</f>
        <v>А-67</v>
      </c>
      <c r="AJ206" s="40" t="str">
        <f>Таблица310[[#This Row],[Регистратор.Номенклатура]]</f>
        <v>Преладо</v>
      </c>
      <c r="AK206" s="40" t="str">
        <f>VLOOKUP(Таблица310[[#This Row],[№ акта]],$AQ$1:$AT$594,4,FALSE)</f>
        <v>ГРК (богара)</v>
      </c>
      <c r="AL206" s="45">
        <f>VLOOKUP(Таблица310[[#This Row],[№ акта]],$AQ$1:$AT$594,3,FALSE)</f>
        <v>2.7220716539818079</v>
      </c>
      <c r="AM206" s="40" t="str">
        <f>IF(Таблица310[[#This Row],[Площадь уборки, га]]=Таблица310[[#This Row],[Площадь уборки до корр]],"нет","да")</f>
        <v>да</v>
      </c>
      <c r="AN206" s="45">
        <f>Таблица310[[#This Row],[Площадь уборки до корр]]-Таблица310[[#This Row],[Площадь уборки, га]]</f>
        <v>-0.96096718000042225</v>
      </c>
      <c r="AQ206">
        <v>302</v>
      </c>
      <c r="AR206" t="s">
        <v>754</v>
      </c>
      <c r="AS206">
        <v>2.7220716539818079</v>
      </c>
      <c r="AT206" t="s">
        <v>46</v>
      </c>
      <c r="XEM206" s="72"/>
      <c r="XEN206" s="73"/>
      <c r="XEO206" s="74"/>
      <c r="XEP206" s="75"/>
      <c r="XEQ206" s="76"/>
      <c r="XER206" s="73"/>
    </row>
    <row r="207" spans="1:46 16367:16372" ht="25.5" hidden="1" customHeight="1" x14ac:dyDescent="0.25">
      <c r="A207" s="72"/>
      <c r="B207" s="73"/>
      <c r="C207" s="120">
        <v>72</v>
      </c>
      <c r="D207" s="75">
        <v>303</v>
      </c>
      <c r="E207" s="146">
        <v>45817</v>
      </c>
      <c r="F207" s="73">
        <v>22650</v>
      </c>
      <c r="G207" s="73">
        <v>8750</v>
      </c>
      <c r="H207" s="77">
        <v>13900</v>
      </c>
      <c r="I207" s="73">
        <v>7393.7</v>
      </c>
      <c r="J207" s="72" t="s">
        <v>78</v>
      </c>
      <c r="K207" s="72" t="s">
        <v>524</v>
      </c>
      <c r="L207" s="72" t="s">
        <v>849</v>
      </c>
      <c r="M207" s="35" t="s">
        <v>212</v>
      </c>
      <c r="N207" s="40"/>
      <c r="O207" s="72"/>
      <c r="P207" s="72"/>
      <c r="Q207" s="72"/>
      <c r="R207" s="72" t="s">
        <v>216</v>
      </c>
      <c r="S207" s="40"/>
      <c r="T207" s="70" t="s">
        <v>864</v>
      </c>
      <c r="U207" s="68" t="str">
        <f>Таблица310[[#This Row],[Регистратор.Номенклатура]]</f>
        <v>Авола</v>
      </c>
      <c r="V207" s="45">
        <f>18*Таблица310[[#This Row],[Регистратор.Вес нетто]]/46860</f>
        <v>3.3610755441741356</v>
      </c>
      <c r="W207" s="72" t="s">
        <v>46</v>
      </c>
      <c r="X207" s="72" t="s">
        <v>19</v>
      </c>
      <c r="Y207" s="40">
        <v>12</v>
      </c>
      <c r="Z207" s="71">
        <v>45817</v>
      </c>
      <c r="AA207" s="94"/>
      <c r="AB207" s="40"/>
      <c r="AC207" s="40" t="s">
        <v>420</v>
      </c>
      <c r="AD207" s="40" t="s">
        <v>833</v>
      </c>
      <c r="AE207" s="40">
        <v>303</v>
      </c>
      <c r="AF207" s="103">
        <v>45817</v>
      </c>
      <c r="AG207" s="40">
        <v>109</v>
      </c>
      <c r="AH207" s="40">
        <f>VLOOKUP(Таблица310[[#This Row],[№ акта]],'Степень зрелости 2025'!$H$13:$I$583,2,FALSE)</f>
        <v>72</v>
      </c>
      <c r="AI207" s="40" t="str">
        <f>VLOOKUP(Таблица310[[#This Row],[№ акта]],$AQ$1:$AT$594,2,FALSE)</f>
        <v>А-54</v>
      </c>
      <c r="AJ207" s="40" t="str">
        <f>Таблица310[[#This Row],[Регистратор.Номенклатура]]</f>
        <v>Авола</v>
      </c>
      <c r="AK207" s="40" t="str">
        <f>VLOOKUP(Таблица310[[#This Row],[№ акта]],$AQ$1:$AT$594,4,FALSE)</f>
        <v>ГРК (богара)</v>
      </c>
      <c r="AL207" s="45">
        <f>VLOOKUP(Таблица310[[#This Row],[№ акта]],$AQ$1:$AT$594,3,FALSE)</f>
        <v>3.3610755441741356</v>
      </c>
      <c r="AM207" s="40" t="str">
        <f>IF(Таблица310[[#This Row],[Площадь уборки, га]]=Таблица310[[#This Row],[Площадь уборки до корр]],"нет","да")</f>
        <v>нет</v>
      </c>
      <c r="AN207" s="45">
        <f>Таблица310[[#This Row],[Площадь уборки до корр]]-Таблица310[[#This Row],[Площадь уборки, га]]</f>
        <v>0</v>
      </c>
      <c r="AQ207">
        <v>303</v>
      </c>
      <c r="AR207" t="s">
        <v>864</v>
      </c>
      <c r="AS207">
        <v>3.3610755441741356</v>
      </c>
      <c r="AT207" t="s">
        <v>46</v>
      </c>
      <c r="XEM207" s="72"/>
      <c r="XEN207" s="73"/>
      <c r="XEO207" s="74"/>
      <c r="XEP207" s="75"/>
      <c r="XEQ207" s="76"/>
      <c r="XER207" s="73"/>
    </row>
    <row r="208" spans="1:46 16367:16372" ht="25.5" customHeight="1" x14ac:dyDescent="0.25">
      <c r="A208" s="72"/>
      <c r="B208" s="73"/>
      <c r="C208" s="120">
        <v>57</v>
      </c>
      <c r="D208" s="75">
        <v>304</v>
      </c>
      <c r="E208" s="146">
        <v>45814</v>
      </c>
      <c r="F208" s="73">
        <v>34840</v>
      </c>
      <c r="G208" s="73">
        <v>16340</v>
      </c>
      <c r="H208" s="77">
        <v>18500</v>
      </c>
      <c r="I208" s="73">
        <v>12845.4</v>
      </c>
      <c r="J208" s="72" t="s">
        <v>105</v>
      </c>
      <c r="K208" s="72" t="s">
        <v>21</v>
      </c>
      <c r="L208" s="72" t="s">
        <v>365</v>
      </c>
      <c r="M208" s="35" t="s">
        <v>855</v>
      </c>
      <c r="N208" s="40"/>
      <c r="O208" s="72"/>
      <c r="P208" s="72"/>
      <c r="Q208" s="72"/>
      <c r="R208" s="72" t="s">
        <v>518</v>
      </c>
      <c r="S208" s="40"/>
      <c r="T208" s="72" t="s">
        <v>365</v>
      </c>
      <c r="U208" s="68" t="str">
        <f>Таблица310[[#This Row],[Регистратор.Номенклатура]]</f>
        <v>Преладо</v>
      </c>
      <c r="V208" s="45">
        <f>30*Таблица310[[#This Row],[Регистратор.Вес нетто]]/250190</f>
        <v>1.9593109236979895</v>
      </c>
      <c r="W208" s="72" t="s">
        <v>43</v>
      </c>
      <c r="X208" s="72" t="s">
        <v>19</v>
      </c>
      <c r="Y208" s="40">
        <v>8</v>
      </c>
      <c r="Z208" s="71">
        <v>45814</v>
      </c>
      <c r="AA208" s="94">
        <f>Таблица310[[#This Row],[Регистратор.Вес нетто]]</f>
        <v>16340</v>
      </c>
      <c r="AB208" s="40" t="s">
        <v>357</v>
      </c>
      <c r="AC208" s="40" t="s">
        <v>724</v>
      </c>
      <c r="AD208" s="40" t="s">
        <v>511</v>
      </c>
      <c r="AE208" s="40">
        <v>304</v>
      </c>
      <c r="AF208" s="103">
        <v>45814</v>
      </c>
      <c r="AG208" s="40" t="s">
        <v>854</v>
      </c>
      <c r="AH208" s="40">
        <f>VLOOKUP(Таблица310[[#This Row],[№ акта]],'Степень зрелости 2025'!$H$13:$I$583,2,FALSE)</f>
        <v>0</v>
      </c>
      <c r="AI208" s="40" t="str">
        <f>VLOOKUP(Таблица310[[#This Row],[№ акта]],$AQ$1:$AT$594,2,FALSE)</f>
        <v>1/8.1</v>
      </c>
      <c r="AJ208" s="40" t="str">
        <f>Таблица310[[#This Row],[Регистратор.Номенклатура]]</f>
        <v>Преладо</v>
      </c>
      <c r="AK208" s="40" t="str">
        <f>VLOOKUP(Таблица310[[#This Row],[№ акта]],$AQ$1:$AT$594,4,FALSE)</f>
        <v>Учхоз Кубань (богара)</v>
      </c>
      <c r="AL208" s="45">
        <f>VLOOKUP(Таблица310[[#This Row],[№ акта]],$AQ$1:$AT$594,3,FALSE)</f>
        <v>1.9593109236979895</v>
      </c>
      <c r="AM208" s="40" t="str">
        <f>IF(Таблица310[[#This Row],[Площадь уборки, га]]=Таблица310[[#This Row],[Площадь уборки до корр]],"нет","да")</f>
        <v>нет</v>
      </c>
      <c r="AN208" s="45">
        <f>Таблица310[[#This Row],[Площадь уборки до корр]]-Таблица310[[#This Row],[Площадь уборки, га]]</f>
        <v>0</v>
      </c>
      <c r="AQ208">
        <v>304</v>
      </c>
      <c r="AR208" t="s">
        <v>365</v>
      </c>
      <c r="AS208">
        <v>1.9593109236979895</v>
      </c>
      <c r="AT208" t="s">
        <v>43</v>
      </c>
      <c r="XEM208" s="72"/>
      <c r="XEN208" s="73"/>
      <c r="XEO208" s="74"/>
      <c r="XEP208" s="75"/>
      <c r="XEQ208" s="76"/>
      <c r="XER208" s="73"/>
    </row>
    <row r="209" spans="1:46 16367:16372" ht="25.5" customHeight="1" x14ac:dyDescent="0.25">
      <c r="A209" s="72"/>
      <c r="B209" s="73"/>
      <c r="C209" s="120">
        <v>54</v>
      </c>
      <c r="D209" s="75">
        <v>305</v>
      </c>
      <c r="E209" s="146">
        <v>45814</v>
      </c>
      <c r="F209" s="73">
        <v>31840</v>
      </c>
      <c r="G209" s="73">
        <v>15840</v>
      </c>
      <c r="H209" s="77">
        <v>16000</v>
      </c>
      <c r="I209" s="73">
        <v>12823.2</v>
      </c>
      <c r="J209" s="72" t="s">
        <v>105</v>
      </c>
      <c r="K209" s="72" t="s">
        <v>21</v>
      </c>
      <c r="L209" s="72" t="s">
        <v>365</v>
      </c>
      <c r="M209" s="35" t="s">
        <v>521</v>
      </c>
      <c r="N209" s="40"/>
      <c r="O209" s="72"/>
      <c r="P209" s="72"/>
      <c r="Q209" s="72"/>
      <c r="R209" s="72" t="s">
        <v>858</v>
      </c>
      <c r="S209" s="40"/>
      <c r="T209" s="72" t="s">
        <v>365</v>
      </c>
      <c r="U209" s="68" t="str">
        <f>Таблица310[[#This Row],[Регистратор.Номенклатура]]</f>
        <v>Преладо</v>
      </c>
      <c r="V209" s="45">
        <f>30*Таблица310[[#This Row],[Регистратор.Вес нетто]]/250190</f>
        <v>1.8993564890683081</v>
      </c>
      <c r="W209" s="72" t="s">
        <v>43</v>
      </c>
      <c r="X209" s="72" t="s">
        <v>19</v>
      </c>
      <c r="Y209" s="40">
        <v>8</v>
      </c>
      <c r="Z209" s="71">
        <v>45814</v>
      </c>
      <c r="AA209" s="94">
        <f>Таблица310[[#This Row],[Регистратор.Вес нетто]]</f>
        <v>15840</v>
      </c>
      <c r="AB209" s="40" t="s">
        <v>357</v>
      </c>
      <c r="AC209" s="40" t="s">
        <v>724</v>
      </c>
      <c r="AD209" s="40" t="s">
        <v>511</v>
      </c>
      <c r="AE209" s="40">
        <v>305</v>
      </c>
      <c r="AF209" s="103">
        <v>45814</v>
      </c>
      <c r="AG209" s="40" t="s">
        <v>857</v>
      </c>
      <c r="AH209" s="40">
        <f>VLOOKUP(Таблица310[[#This Row],[№ акта]],'Степень зрелости 2025'!$H$13:$I$583,2,FALSE)</f>
        <v>0</v>
      </c>
      <c r="AI209" s="40" t="str">
        <f>VLOOKUP(Таблица310[[#This Row],[№ акта]],$AQ$1:$AT$594,2,FALSE)</f>
        <v>1/8.1</v>
      </c>
      <c r="AJ209" s="40" t="str">
        <f>Таблица310[[#This Row],[Регистратор.Номенклатура]]</f>
        <v>Преладо</v>
      </c>
      <c r="AK209" s="40" t="str">
        <f>VLOOKUP(Таблица310[[#This Row],[№ акта]],$AQ$1:$AT$594,4,FALSE)</f>
        <v>Учхоз Кубань (богара)</v>
      </c>
      <c r="AL209" s="45">
        <f>VLOOKUP(Таблица310[[#This Row],[№ акта]],$AQ$1:$AT$594,3,FALSE)</f>
        <v>1.8993564890683081</v>
      </c>
      <c r="AM209" s="40" t="str">
        <f>IF(Таблица310[[#This Row],[Площадь уборки, га]]=Таблица310[[#This Row],[Площадь уборки до корр]],"нет","да")</f>
        <v>нет</v>
      </c>
      <c r="AN209" s="45">
        <f>Таблица310[[#This Row],[Площадь уборки до корр]]-Таблица310[[#This Row],[Площадь уборки, га]]</f>
        <v>0</v>
      </c>
      <c r="AQ209">
        <v>305</v>
      </c>
      <c r="AR209" t="s">
        <v>365</v>
      </c>
      <c r="AS209">
        <v>1.8993564890683081</v>
      </c>
      <c r="AT209" t="s">
        <v>43</v>
      </c>
      <c r="XEM209" s="72"/>
      <c r="XEN209" s="73"/>
      <c r="XEO209" s="74"/>
      <c r="XEP209" s="75"/>
      <c r="XEQ209" s="76"/>
      <c r="XER209" s="73"/>
    </row>
    <row r="210" spans="1:46 16367:16372" ht="25.5" hidden="1" customHeight="1" x14ac:dyDescent="0.25">
      <c r="A210" s="72"/>
      <c r="B210" s="73"/>
      <c r="C210" s="120">
        <f>Таблица310[[#This Row],[Степень зрелости вспом]]</f>
        <v>68</v>
      </c>
      <c r="D210" s="75">
        <v>306</v>
      </c>
      <c r="E210" s="146">
        <v>45817</v>
      </c>
      <c r="F210" s="73">
        <v>28400</v>
      </c>
      <c r="G210" s="73">
        <v>13470</v>
      </c>
      <c r="H210" s="77">
        <v>14930</v>
      </c>
      <c r="I210" s="73">
        <v>11382.1</v>
      </c>
      <c r="J210" s="72" t="s">
        <v>78</v>
      </c>
      <c r="K210" s="72" t="s">
        <v>21</v>
      </c>
      <c r="L210" s="72" t="s">
        <v>754</v>
      </c>
      <c r="M210" s="35" t="s">
        <v>329</v>
      </c>
      <c r="N210" s="40"/>
      <c r="O210" s="72"/>
      <c r="P210" s="72"/>
      <c r="Q210" s="72"/>
      <c r="R210" s="72" t="s">
        <v>333</v>
      </c>
      <c r="S210" s="40"/>
      <c r="T210" s="70" t="s">
        <v>754</v>
      </c>
      <c r="U210" s="68" t="str">
        <f>Таблица310[[#This Row],[Регистратор.Номенклатура]]</f>
        <v>Преладо</v>
      </c>
      <c r="V210" s="45">
        <f>79*Таблица310[[#This Row],[Регистратор.Вес нетто]]/100170</f>
        <v>10.623240491165019</v>
      </c>
      <c r="W210" s="72" t="s">
        <v>46</v>
      </c>
      <c r="X210" s="72" t="s">
        <v>19</v>
      </c>
      <c r="Y210" s="40">
        <v>12</v>
      </c>
      <c r="Z210" s="71">
        <v>45817</v>
      </c>
      <c r="AA210" s="94"/>
      <c r="AB210" s="40" t="s">
        <v>1616</v>
      </c>
      <c r="AC210" s="40" t="s">
        <v>420</v>
      </c>
      <c r="AD210" s="40" t="s">
        <v>550</v>
      </c>
      <c r="AE210" s="40">
        <v>306</v>
      </c>
      <c r="AF210" s="103">
        <v>45817</v>
      </c>
      <c r="AG210" s="40">
        <v>110</v>
      </c>
      <c r="AH210" s="40">
        <f>VLOOKUP(Таблица310[[#This Row],[№ акта]],'Степень зрелости 2025'!$H$13:$I$583,2,FALSE)</f>
        <v>68</v>
      </c>
      <c r="AI210" s="40" t="str">
        <f>VLOOKUP(Таблица310[[#This Row],[№ акта]],$AQ$1:$AT$594,2,FALSE)</f>
        <v>А-67</v>
      </c>
      <c r="AJ210" s="40" t="str">
        <f>Таблица310[[#This Row],[Регистратор.Номенклатура]]</f>
        <v>Преладо</v>
      </c>
      <c r="AK210" s="40" t="str">
        <f>VLOOKUP(Таблица310[[#This Row],[№ акта]],$AQ$1:$AT$594,4,FALSE)</f>
        <v>ГРК (богара)</v>
      </c>
      <c r="AL210" s="45">
        <f>VLOOKUP(Таблица310[[#This Row],[№ акта]],$AQ$1:$AT$594,3,FALSE)</f>
        <v>7.8514572118062</v>
      </c>
      <c r="AM210" s="40" t="str">
        <f>IF(Таблица310[[#This Row],[Площадь уборки, га]]=Таблица310[[#This Row],[Площадь уборки до корр]],"нет","да")</f>
        <v>да</v>
      </c>
      <c r="AN210" s="45">
        <f>Таблица310[[#This Row],[Площадь уборки до корр]]-Таблица310[[#This Row],[Площадь уборки, га]]</f>
        <v>-2.7717832793588189</v>
      </c>
      <c r="AQ210">
        <v>306</v>
      </c>
      <c r="AR210" t="s">
        <v>754</v>
      </c>
      <c r="AS210">
        <v>7.8514572118062</v>
      </c>
      <c r="AT210" t="s">
        <v>46</v>
      </c>
      <c r="XEM210" s="72"/>
      <c r="XEN210" s="73"/>
      <c r="XEO210" s="74"/>
      <c r="XEP210" s="75"/>
      <c r="XEQ210" s="76"/>
      <c r="XER210" s="73"/>
    </row>
    <row r="211" spans="1:46 16367:16372" ht="25.5" hidden="1" customHeight="1" x14ac:dyDescent="0.25">
      <c r="A211" s="72"/>
      <c r="B211" s="73"/>
      <c r="C211" s="120">
        <f>Таблица310[[#This Row],[Степень зрелости вспом]]</f>
        <v>69</v>
      </c>
      <c r="D211" s="75">
        <v>307</v>
      </c>
      <c r="E211" s="146">
        <v>45817</v>
      </c>
      <c r="F211" s="73">
        <v>23630</v>
      </c>
      <c r="G211" s="73">
        <v>9470</v>
      </c>
      <c r="H211" s="77">
        <v>14160</v>
      </c>
      <c r="I211" s="73">
        <v>8096.8</v>
      </c>
      <c r="J211" s="72" t="s">
        <v>78</v>
      </c>
      <c r="K211" s="72" t="s">
        <v>524</v>
      </c>
      <c r="L211" s="72" t="s">
        <v>849</v>
      </c>
      <c r="M211" s="35" t="s">
        <v>79</v>
      </c>
      <c r="N211" s="40"/>
      <c r="O211" s="72"/>
      <c r="P211" s="72"/>
      <c r="Q211" s="72"/>
      <c r="R211" s="72" t="s">
        <v>80</v>
      </c>
      <c r="S211" s="40"/>
      <c r="T211" s="70" t="s">
        <v>864</v>
      </c>
      <c r="U211" s="68" t="str">
        <f>Таблица310[[#This Row],[Регистратор.Номенклатура]]</f>
        <v>Авола</v>
      </c>
      <c r="V211" s="45">
        <f>18*Таблица310[[#This Row],[Регистратор.Вес нетто]]/46860</f>
        <v>3.6376440460947501</v>
      </c>
      <c r="W211" s="72" t="s">
        <v>46</v>
      </c>
      <c r="X211" s="72" t="s">
        <v>19</v>
      </c>
      <c r="Y211" s="40">
        <v>12</v>
      </c>
      <c r="Z211" s="71">
        <v>45817</v>
      </c>
      <c r="AA211" s="94"/>
      <c r="AB211" s="40"/>
      <c r="AC211" s="40" t="s">
        <v>420</v>
      </c>
      <c r="AD211" s="40" t="s">
        <v>550</v>
      </c>
      <c r="AE211" s="40">
        <v>307</v>
      </c>
      <c r="AF211" s="103">
        <v>45817</v>
      </c>
      <c r="AG211" s="40">
        <v>111</v>
      </c>
      <c r="AH211" s="40">
        <f>VLOOKUP(Таблица310[[#This Row],[№ акта]],'Степень зрелости 2025'!$H$13:$I$583,2,FALSE)</f>
        <v>69</v>
      </c>
      <c r="AI211" s="40" t="str">
        <f>VLOOKUP(Таблица310[[#This Row],[№ акта]],$AQ$1:$AT$594,2,FALSE)</f>
        <v>А-54</v>
      </c>
      <c r="AJ211" s="40" t="str">
        <f>Таблица310[[#This Row],[Регистратор.Номенклатура]]</f>
        <v>Авола</v>
      </c>
      <c r="AK211" s="40" t="str">
        <f>VLOOKUP(Таблица310[[#This Row],[№ акта]],$AQ$1:$AT$594,4,FALSE)</f>
        <v>ГРК (богара)</v>
      </c>
      <c r="AL211" s="45">
        <f>VLOOKUP(Таблица310[[#This Row],[№ акта]],$AQ$1:$AT$594,3,FALSE)</f>
        <v>3.6376440460947501</v>
      </c>
      <c r="AM211" s="40" t="str">
        <f>IF(Таблица310[[#This Row],[Площадь уборки, га]]=Таблица310[[#This Row],[Площадь уборки до корр]],"нет","да")</f>
        <v>нет</v>
      </c>
      <c r="AN211" s="45">
        <f>Таблица310[[#This Row],[Площадь уборки до корр]]-Таблица310[[#This Row],[Площадь уборки, га]]</f>
        <v>0</v>
      </c>
      <c r="AQ211">
        <v>307</v>
      </c>
      <c r="AR211" t="s">
        <v>864</v>
      </c>
      <c r="AS211">
        <v>3.6376440460947501</v>
      </c>
      <c r="AT211" t="s">
        <v>46</v>
      </c>
      <c r="XEM211" s="72"/>
      <c r="XEN211" s="73"/>
      <c r="XEO211" s="74"/>
      <c r="XEP211" s="75"/>
      <c r="XEQ211" s="76"/>
      <c r="XER211" s="73"/>
    </row>
    <row r="212" spans="1:46 16367:16372" ht="25.5" hidden="1" customHeight="1" x14ac:dyDescent="0.25">
      <c r="A212" s="72"/>
      <c r="B212" s="73"/>
      <c r="C212" s="120">
        <v>74</v>
      </c>
      <c r="D212" s="75">
        <v>308</v>
      </c>
      <c r="E212" s="146">
        <v>45817</v>
      </c>
      <c r="F212" s="73">
        <v>24450</v>
      </c>
      <c r="G212" s="73">
        <v>10540</v>
      </c>
      <c r="H212" s="77">
        <v>13910</v>
      </c>
      <c r="I212" s="73">
        <v>9327.9</v>
      </c>
      <c r="J212" s="72" t="s">
        <v>78</v>
      </c>
      <c r="K212" s="72" t="s">
        <v>524</v>
      </c>
      <c r="L212" s="72" t="s">
        <v>849</v>
      </c>
      <c r="M212" s="35" t="s">
        <v>212</v>
      </c>
      <c r="N212" s="40"/>
      <c r="O212" s="72"/>
      <c r="P212" s="72"/>
      <c r="Q212" s="72"/>
      <c r="R212" s="72" t="s">
        <v>216</v>
      </c>
      <c r="S212" s="40"/>
      <c r="T212" s="70" t="s">
        <v>864</v>
      </c>
      <c r="U212" s="68" t="str">
        <f>Таблица310[[#This Row],[Регистратор.Номенклатура]]</f>
        <v>Авола</v>
      </c>
      <c r="V212" s="45">
        <f>18*Таблица310[[#This Row],[Регистратор.Вес нетто]]/46860</f>
        <v>4.0486555697823308</v>
      </c>
      <c r="W212" s="72" t="s">
        <v>46</v>
      </c>
      <c r="X212" s="72" t="s">
        <v>19</v>
      </c>
      <c r="Y212" s="40">
        <v>12</v>
      </c>
      <c r="Z212" s="71">
        <v>45817</v>
      </c>
      <c r="AA212" s="94"/>
      <c r="AB212" s="40"/>
      <c r="AC212" s="40" t="s">
        <v>420</v>
      </c>
      <c r="AD212" s="40" t="s">
        <v>833</v>
      </c>
      <c r="AE212" s="40">
        <v>308</v>
      </c>
      <c r="AF212" s="103">
        <v>45817</v>
      </c>
      <c r="AG212" s="40">
        <v>112</v>
      </c>
      <c r="AH212" s="40">
        <f>VLOOKUP(Таблица310[[#This Row],[№ акта]],'Степень зрелости 2025'!$H$13:$I$583,2,FALSE)</f>
        <v>74</v>
      </c>
      <c r="AI212" s="40" t="str">
        <f>VLOOKUP(Таблица310[[#This Row],[№ акта]],$AQ$1:$AT$594,2,FALSE)</f>
        <v>А-54</v>
      </c>
      <c r="AJ212" s="40" t="str">
        <f>Таблица310[[#This Row],[Регистратор.Номенклатура]]</f>
        <v>Авола</v>
      </c>
      <c r="AK212" s="40" t="str">
        <f>VLOOKUP(Таблица310[[#This Row],[№ акта]],$AQ$1:$AT$594,4,FALSE)</f>
        <v>ГРК (богара)</v>
      </c>
      <c r="AL212" s="45">
        <f>VLOOKUP(Таблица310[[#This Row],[№ акта]],$AQ$1:$AT$594,3,FALSE)</f>
        <v>4.0486555697823308</v>
      </c>
      <c r="AM212" s="40" t="str">
        <f>IF(Таблица310[[#This Row],[Площадь уборки, га]]=Таблица310[[#This Row],[Площадь уборки до корр]],"нет","да")</f>
        <v>нет</v>
      </c>
      <c r="AN212" s="45">
        <f>Таблица310[[#This Row],[Площадь уборки до корр]]-Таблица310[[#This Row],[Площадь уборки, га]]</f>
        <v>0</v>
      </c>
      <c r="AQ212">
        <v>308</v>
      </c>
      <c r="AR212" t="s">
        <v>864</v>
      </c>
      <c r="AS212">
        <v>4.0486555697823308</v>
      </c>
      <c r="AT212" t="s">
        <v>46</v>
      </c>
      <c r="XEM212" s="72"/>
      <c r="XEN212" s="73"/>
      <c r="XEO212" s="74"/>
      <c r="XEP212" s="75"/>
      <c r="XEQ212" s="76"/>
      <c r="XER212" s="73"/>
    </row>
    <row r="213" spans="1:46 16367:16372" ht="25.5" hidden="1" customHeight="1" x14ac:dyDescent="0.25">
      <c r="A213" s="72"/>
      <c r="B213" s="73"/>
      <c r="C213" s="120">
        <f>Таблица310[[#This Row],[Степень зрелости вспом]]</f>
        <v>68</v>
      </c>
      <c r="D213" s="75">
        <v>309</v>
      </c>
      <c r="E213" s="146">
        <v>45817</v>
      </c>
      <c r="F213" s="73">
        <v>28260</v>
      </c>
      <c r="G213" s="73">
        <v>13540</v>
      </c>
      <c r="H213" s="77">
        <v>14720</v>
      </c>
      <c r="I213" s="73">
        <v>11035.1</v>
      </c>
      <c r="J213" s="72" t="s">
        <v>78</v>
      </c>
      <c r="K213" s="72" t="s">
        <v>21</v>
      </c>
      <c r="L213" s="72" t="s">
        <v>754</v>
      </c>
      <c r="M213" s="35" t="s">
        <v>121</v>
      </c>
      <c r="N213" s="40"/>
      <c r="O213" s="72"/>
      <c r="P213" s="72"/>
      <c r="Q213" s="72"/>
      <c r="R213" s="72" t="s">
        <v>125</v>
      </c>
      <c r="S213" s="40"/>
      <c r="T213" s="70" t="s">
        <v>754</v>
      </c>
      <c r="U213" s="68" t="str">
        <f>Таблица310[[#This Row],[Регистратор.Номенклатура]]</f>
        <v>Преладо</v>
      </c>
      <c r="V213" s="45">
        <f>79*Таблица310[[#This Row],[Регистратор.Вес нетто]]/100170</f>
        <v>10.678446640710792</v>
      </c>
      <c r="W213" s="72" t="s">
        <v>46</v>
      </c>
      <c r="X213" s="72" t="s">
        <v>19</v>
      </c>
      <c r="Y213" s="40">
        <v>12</v>
      </c>
      <c r="Z213" s="71">
        <v>45817</v>
      </c>
      <c r="AA213" s="94"/>
      <c r="AB213" s="40" t="s">
        <v>1616</v>
      </c>
      <c r="AC213" s="40" t="s">
        <v>420</v>
      </c>
      <c r="AD213" s="40" t="s">
        <v>550</v>
      </c>
      <c r="AE213" s="40">
        <v>309</v>
      </c>
      <c r="AF213" s="103">
        <v>45817</v>
      </c>
      <c r="AG213" s="40">
        <v>106</v>
      </c>
      <c r="AH213" s="40">
        <f>VLOOKUP(Таблица310[[#This Row],[№ акта]],'Степень зрелости 2025'!$H$13:$I$583,2,FALSE)</f>
        <v>68</v>
      </c>
      <c r="AI213" s="40" t="str">
        <f>VLOOKUP(Таблица310[[#This Row],[№ акта]],$AQ$1:$AT$594,2,FALSE)</f>
        <v>А-67</v>
      </c>
      <c r="AJ213" s="40" t="str">
        <f>Таблица310[[#This Row],[Регистратор.Номенклатура]]</f>
        <v>Преладо</v>
      </c>
      <c r="AK213" s="40" t="str">
        <f>VLOOKUP(Таблица310[[#This Row],[№ акта]],$AQ$1:$AT$594,4,FALSE)</f>
        <v>ГРК (богара)</v>
      </c>
      <c r="AL213" s="45">
        <f>VLOOKUP(Таблица310[[#This Row],[№ акта]],$AQ$1:$AT$594,3,FALSE)</f>
        <v>7.8922591423798032</v>
      </c>
      <c r="AM213" s="40" t="str">
        <f>IF(Таблица310[[#This Row],[Площадь уборки, га]]=Таблица310[[#This Row],[Площадь уборки до корр]],"нет","да")</f>
        <v>да</v>
      </c>
      <c r="AN213" s="45">
        <f>Таблица310[[#This Row],[Площадь уборки до корр]]-Таблица310[[#This Row],[Площадь уборки, га]]</f>
        <v>-2.7861874983309889</v>
      </c>
      <c r="AQ213">
        <v>309</v>
      </c>
      <c r="AR213" t="s">
        <v>754</v>
      </c>
      <c r="AS213">
        <v>7.8922591423798032</v>
      </c>
      <c r="AT213" t="s">
        <v>46</v>
      </c>
      <c r="XEM213" s="72"/>
      <c r="XEN213" s="73"/>
      <c r="XEO213" s="74"/>
      <c r="XEP213" s="75"/>
      <c r="XEQ213" s="76"/>
      <c r="XER213" s="73"/>
    </row>
    <row r="214" spans="1:46 16367:16372" ht="25.5" hidden="1" customHeight="1" x14ac:dyDescent="0.25">
      <c r="A214" s="72"/>
      <c r="B214" s="73"/>
      <c r="C214" s="120">
        <f>Таблица310[[#This Row],[Степень зрелости вспом]]</f>
        <v>68</v>
      </c>
      <c r="D214" s="75">
        <v>310</v>
      </c>
      <c r="E214" s="146">
        <v>45818</v>
      </c>
      <c r="F214" s="73">
        <v>31620</v>
      </c>
      <c r="G214" s="73">
        <v>17140</v>
      </c>
      <c r="H214" s="77">
        <v>14480</v>
      </c>
      <c r="I214" s="73">
        <v>15083.2</v>
      </c>
      <c r="J214" s="72" t="s">
        <v>78</v>
      </c>
      <c r="K214" s="72" t="s">
        <v>21</v>
      </c>
      <c r="L214" s="72" t="s">
        <v>771</v>
      </c>
      <c r="M214" s="35" t="s">
        <v>1312</v>
      </c>
      <c r="N214" s="40"/>
      <c r="O214" s="72"/>
      <c r="P214" s="72"/>
      <c r="Q214" s="72"/>
      <c r="R214" s="72" t="s">
        <v>320</v>
      </c>
      <c r="S214" s="40"/>
      <c r="T214" s="70" t="s">
        <v>771</v>
      </c>
      <c r="U214" s="68" t="str">
        <f>Таблица310[[#This Row],[Регистратор.Номенклатура]]</f>
        <v>Преладо</v>
      </c>
      <c r="V214" s="45">
        <v>7.6</v>
      </c>
      <c r="W214" s="72" t="s">
        <v>46</v>
      </c>
      <c r="X214" s="72" t="s">
        <v>19</v>
      </c>
      <c r="Y214" s="40">
        <v>13</v>
      </c>
      <c r="Z214" s="71">
        <v>45818</v>
      </c>
      <c r="AA214" s="40"/>
      <c r="AB214" s="40" t="s">
        <v>1625</v>
      </c>
      <c r="AC214" s="40" t="s">
        <v>420</v>
      </c>
      <c r="AD214" s="40" t="s">
        <v>550</v>
      </c>
      <c r="AE214" s="40">
        <v>310</v>
      </c>
      <c r="AF214" s="103">
        <v>45818</v>
      </c>
      <c r="AG214" s="40">
        <v>114</v>
      </c>
      <c r="AH214" s="40">
        <f>VLOOKUP(Таблица310[[#This Row],[№ акта]],'Степень зрелости 2025'!$H$13:$I$583,2,FALSE)</f>
        <v>68</v>
      </c>
      <c r="AI214" s="40" t="str">
        <f>VLOOKUP(Таблица310[[#This Row],[№ акта]],$AQ$1:$AT$594,2,FALSE)</f>
        <v>А-66</v>
      </c>
      <c r="AJ214" s="40" t="str">
        <f>Таблица310[[#This Row],[Регистратор.Номенклатура]]</f>
        <v>Преладо</v>
      </c>
      <c r="AK214" s="40" t="str">
        <f>VLOOKUP(Таблица310[[#This Row],[№ акта]],$AQ$1:$AT$594,4,FALSE)</f>
        <v>ГРК (богара)</v>
      </c>
      <c r="AL214" s="45">
        <f>VLOOKUP(Таблица310[[#This Row],[№ акта]],$AQ$1:$AT$594,3,FALSE)</f>
        <v>7.5840707964601766</v>
      </c>
      <c r="AM214" s="40" t="str">
        <f>IF(Таблица310[[#This Row],[Площадь уборки, га]]=Таблица310[[#This Row],[Площадь уборки до корр]],"нет","да")</f>
        <v>да</v>
      </c>
      <c r="AN214" s="45">
        <f>Таблица310[[#This Row],[Площадь уборки до корр]]-Таблица310[[#This Row],[Площадь уборки, га]]</f>
        <v>-1.5929203539823078E-2</v>
      </c>
      <c r="AQ214">
        <v>310</v>
      </c>
      <c r="AR214" t="s">
        <v>771</v>
      </c>
      <c r="AS214">
        <v>7.5840707964601766</v>
      </c>
      <c r="AT214" t="s">
        <v>46</v>
      </c>
      <c r="XEM214" s="72"/>
      <c r="XEN214" s="73"/>
      <c r="XEO214" s="74"/>
      <c r="XEP214" s="75"/>
      <c r="XEQ214" s="76"/>
      <c r="XER214" s="73"/>
    </row>
    <row r="215" spans="1:46 16367:16372" ht="25.5" hidden="1" customHeight="1" x14ac:dyDescent="0.25">
      <c r="A215" s="72"/>
      <c r="B215" s="73"/>
      <c r="C215" s="120">
        <f>Таблица310[[#This Row],[Степень зрелости вспом]]</f>
        <v>50</v>
      </c>
      <c r="D215" s="75">
        <v>311</v>
      </c>
      <c r="E215" s="146">
        <v>45818</v>
      </c>
      <c r="F215" s="73">
        <v>32670</v>
      </c>
      <c r="G215" s="73">
        <v>17970</v>
      </c>
      <c r="H215" s="77">
        <v>14700</v>
      </c>
      <c r="I215" s="73">
        <v>15094.8</v>
      </c>
      <c r="J215" s="72" t="s">
        <v>78</v>
      </c>
      <c r="K215" s="72" t="s">
        <v>893</v>
      </c>
      <c r="L215" s="72" t="s">
        <v>796</v>
      </c>
      <c r="M215" s="35" t="s">
        <v>335</v>
      </c>
      <c r="N215" s="40"/>
      <c r="O215" s="72"/>
      <c r="P215" s="72"/>
      <c r="Q215" s="72"/>
      <c r="R215" s="72" t="s">
        <v>339</v>
      </c>
      <c r="S215" s="40"/>
      <c r="T215" s="70" t="s">
        <v>840</v>
      </c>
      <c r="U215" s="68" t="str">
        <f>Таблица310[[#This Row],[Регистратор.Номенклатура]]</f>
        <v>Маяк</v>
      </c>
      <c r="V215" s="45">
        <v>4</v>
      </c>
      <c r="W215" s="72" t="s">
        <v>45</v>
      </c>
      <c r="X215" s="72" t="s">
        <v>19</v>
      </c>
      <c r="Y215" s="40">
        <v>13</v>
      </c>
      <c r="Z215" s="71">
        <v>45818</v>
      </c>
      <c r="AA215" s="40"/>
      <c r="AB215" s="40"/>
      <c r="AC215" s="40" t="s">
        <v>419</v>
      </c>
      <c r="AD215" s="40" t="s">
        <v>511</v>
      </c>
      <c r="AE215" s="40">
        <v>311</v>
      </c>
      <c r="AF215" s="103">
        <v>45818</v>
      </c>
      <c r="AG215" s="40">
        <v>115</v>
      </c>
      <c r="AH215" s="40">
        <f>VLOOKUP(Таблица310[[#This Row],[№ акта]],'Степень зрелости 2025'!$H$13:$I$583,2,FALSE)</f>
        <v>50</v>
      </c>
      <c r="AI215" s="40" t="str">
        <f>VLOOKUP(Таблица310[[#This Row],[№ акта]],$AQ$1:$AT$594,2,FALSE)</f>
        <v>А-51</v>
      </c>
      <c r="AJ215" s="40" t="str">
        <f>Таблица310[[#This Row],[Регистратор.Номенклатура]]</f>
        <v>Маяк</v>
      </c>
      <c r="AK215" s="40" t="str">
        <f>VLOOKUP(Таблица310[[#This Row],[№ акта]],$AQ$1:$AT$594,4,FALSE)</f>
        <v>ГРК демо (богара)</v>
      </c>
      <c r="AL215" s="45">
        <f>VLOOKUP(Таблица310[[#This Row],[№ акта]],$AQ$1:$AT$594,3,FALSE)</f>
        <v>4</v>
      </c>
      <c r="AM215" s="40" t="str">
        <f>IF(Таблица310[[#This Row],[Площадь уборки, га]]=Таблица310[[#This Row],[Площадь уборки до корр]],"нет","да")</f>
        <v>нет</v>
      </c>
      <c r="AN215" s="45">
        <f>Таблица310[[#This Row],[Площадь уборки до корр]]-Таблица310[[#This Row],[Площадь уборки, га]]</f>
        <v>0</v>
      </c>
      <c r="AQ215">
        <v>311</v>
      </c>
      <c r="AR215" t="s">
        <v>840</v>
      </c>
      <c r="AS215">
        <v>4</v>
      </c>
      <c r="AT215" t="s">
        <v>45</v>
      </c>
      <c r="XEM215" s="72"/>
      <c r="XEN215" s="73"/>
      <c r="XEO215" s="74"/>
      <c r="XEP215" s="75"/>
      <c r="XEQ215" s="76"/>
      <c r="XER215" s="73"/>
    </row>
    <row r="216" spans="1:46 16367:16372" ht="25.5" hidden="1" customHeight="1" x14ac:dyDescent="0.25">
      <c r="A216" s="72"/>
      <c r="B216" s="73"/>
      <c r="C216" s="120">
        <f>Таблица310[[#This Row],[Степень зрелости вспом]]</f>
        <v>70</v>
      </c>
      <c r="D216" s="75">
        <v>312</v>
      </c>
      <c r="E216" s="146">
        <v>45818</v>
      </c>
      <c r="F216" s="73">
        <v>24440</v>
      </c>
      <c r="G216" s="73">
        <v>9980</v>
      </c>
      <c r="H216" s="77">
        <v>14460</v>
      </c>
      <c r="I216" s="73">
        <v>9131.7000000000007</v>
      </c>
      <c r="J216" s="72" t="s">
        <v>78</v>
      </c>
      <c r="K216" s="72" t="s">
        <v>21</v>
      </c>
      <c r="L216" s="72" t="s">
        <v>771</v>
      </c>
      <c r="M216" s="35" t="s">
        <v>1312</v>
      </c>
      <c r="N216" s="40"/>
      <c r="O216" s="72"/>
      <c r="P216" s="72"/>
      <c r="Q216" s="72"/>
      <c r="R216" s="72" t="s">
        <v>320</v>
      </c>
      <c r="S216" s="40"/>
      <c r="T216" s="70" t="s">
        <v>771</v>
      </c>
      <c r="U216" s="68" t="str">
        <f>Таблица310[[#This Row],[Регистратор.Номенклатура]]</f>
        <v>Преладо</v>
      </c>
      <c r="V216" s="45">
        <v>4.4000000000000004</v>
      </c>
      <c r="W216" s="72" t="s">
        <v>46</v>
      </c>
      <c r="X216" s="72" t="s">
        <v>19</v>
      </c>
      <c r="Y216" s="40">
        <v>13</v>
      </c>
      <c r="Z216" s="71">
        <v>45818</v>
      </c>
      <c r="AA216" s="40"/>
      <c r="AB216" s="40" t="s">
        <v>1625</v>
      </c>
      <c r="AC216" s="40" t="s">
        <v>420</v>
      </c>
      <c r="AD216" s="40" t="s">
        <v>550</v>
      </c>
      <c r="AE216" s="40">
        <v>312</v>
      </c>
      <c r="AF216" s="103">
        <v>45818</v>
      </c>
      <c r="AG216" s="40">
        <v>116</v>
      </c>
      <c r="AH216" s="40">
        <f>VLOOKUP(Таблица310[[#This Row],[№ акта]],'Степень зрелости 2025'!$H$13:$I$583,2,FALSE)</f>
        <v>70</v>
      </c>
      <c r="AI216" s="40" t="str">
        <f>VLOOKUP(Таблица310[[#This Row],[№ акта]],$AQ$1:$AT$594,2,FALSE)</f>
        <v>А-66</v>
      </c>
      <c r="AJ216" s="40" t="str">
        <f>Таблица310[[#This Row],[Регистратор.Номенклатура]]</f>
        <v>Преладо</v>
      </c>
      <c r="AK216" s="40" t="str">
        <f>VLOOKUP(Таблица310[[#This Row],[№ акта]],$AQ$1:$AT$594,4,FALSE)</f>
        <v>ГРК (богара)</v>
      </c>
      <c r="AL216" s="45">
        <f>VLOOKUP(Таблица310[[#This Row],[№ акта]],$AQ$1:$AT$594,3,FALSE)</f>
        <v>4.4159292035398234</v>
      </c>
      <c r="AM216" s="40" t="str">
        <f>IF(Таблица310[[#This Row],[Площадь уборки, га]]=Таблица310[[#This Row],[Площадь уборки до корр]],"нет","да")</f>
        <v>да</v>
      </c>
      <c r="AN216" s="45">
        <f>Таблица310[[#This Row],[Площадь уборки до корр]]-Таблица310[[#This Row],[Площадь уборки, га]]</f>
        <v>1.5929203539823078E-2</v>
      </c>
      <c r="AQ216">
        <v>312</v>
      </c>
      <c r="AR216" t="s">
        <v>771</v>
      </c>
      <c r="AS216">
        <v>4.4159292035398234</v>
      </c>
      <c r="AT216" t="s">
        <v>46</v>
      </c>
      <c r="XEM216" s="72"/>
      <c r="XEN216" s="73"/>
      <c r="XEO216" s="74"/>
      <c r="XEP216" s="75"/>
      <c r="XEQ216" s="76"/>
      <c r="XER216" s="73"/>
    </row>
    <row r="217" spans="1:46 16367:16372" ht="25.5" hidden="1" customHeight="1" x14ac:dyDescent="0.25">
      <c r="A217" s="72"/>
      <c r="B217" s="73"/>
      <c r="C217" s="120">
        <f>Таблица310[[#This Row],[Степень зрелости вспом]]</f>
        <v>52</v>
      </c>
      <c r="D217" s="75">
        <v>313</v>
      </c>
      <c r="E217" s="146">
        <v>45818</v>
      </c>
      <c r="F217" s="73">
        <v>25900</v>
      </c>
      <c r="G217" s="73">
        <v>11040</v>
      </c>
      <c r="H217" s="77">
        <v>14860</v>
      </c>
      <c r="I217" s="73">
        <v>8776.7999999999993</v>
      </c>
      <c r="J217" s="72" t="s">
        <v>78</v>
      </c>
      <c r="K217" s="72" t="s">
        <v>896</v>
      </c>
      <c r="L217" s="72" t="s">
        <v>796</v>
      </c>
      <c r="M217" s="35" t="s">
        <v>894</v>
      </c>
      <c r="N217" s="40"/>
      <c r="O217" s="72"/>
      <c r="P217" s="72"/>
      <c r="Q217" s="72"/>
      <c r="R217" s="72" t="s">
        <v>895</v>
      </c>
      <c r="S217" s="40"/>
      <c r="T217" s="70" t="s">
        <v>840</v>
      </c>
      <c r="U217" s="68" t="str">
        <f>Таблица310[[#This Row],[Регистратор.Номенклатура]]</f>
        <v>Веста</v>
      </c>
      <c r="V217" s="45">
        <v>4</v>
      </c>
      <c r="W217" s="72" t="s">
        <v>45</v>
      </c>
      <c r="X217" s="72" t="s">
        <v>19</v>
      </c>
      <c r="Y217" s="40">
        <v>13</v>
      </c>
      <c r="Z217" s="71">
        <v>45818</v>
      </c>
      <c r="AA217" s="40"/>
      <c r="AB217" s="40"/>
      <c r="AC217" s="40" t="s">
        <v>419</v>
      </c>
      <c r="AD217" s="40" t="s">
        <v>511</v>
      </c>
      <c r="AE217" s="40">
        <v>313</v>
      </c>
      <c r="AF217" s="103">
        <v>45818</v>
      </c>
      <c r="AG217" s="40">
        <v>117</v>
      </c>
      <c r="AH217" s="40">
        <f>VLOOKUP(Таблица310[[#This Row],[№ акта]],'Степень зрелости 2025'!$H$13:$I$583,2,FALSE)</f>
        <v>52</v>
      </c>
      <c r="AI217" s="40" t="str">
        <f>VLOOKUP(Таблица310[[#This Row],[№ акта]],$AQ$1:$AT$594,2,FALSE)</f>
        <v>А-51</v>
      </c>
      <c r="AJ217" s="40" t="str">
        <f>Таблица310[[#This Row],[Регистратор.Номенклатура]]</f>
        <v>Веста</v>
      </c>
      <c r="AK217" s="40" t="str">
        <f>VLOOKUP(Таблица310[[#This Row],[№ акта]],$AQ$1:$AT$594,4,FALSE)</f>
        <v>ГРК демо (богара)</v>
      </c>
      <c r="AL217" s="45">
        <f>VLOOKUP(Таблица310[[#This Row],[№ акта]],$AQ$1:$AT$594,3,FALSE)</f>
        <v>4</v>
      </c>
      <c r="AM217" s="40" t="str">
        <f>IF(Таблица310[[#This Row],[Площадь уборки, га]]=Таблица310[[#This Row],[Площадь уборки до корр]],"нет","да")</f>
        <v>нет</v>
      </c>
      <c r="AN217" s="45">
        <f>Таблица310[[#This Row],[Площадь уборки до корр]]-Таблица310[[#This Row],[Площадь уборки, га]]</f>
        <v>0</v>
      </c>
      <c r="AQ217">
        <v>313</v>
      </c>
      <c r="AR217" t="s">
        <v>840</v>
      </c>
      <c r="AS217">
        <v>4</v>
      </c>
      <c r="AT217" t="s">
        <v>45</v>
      </c>
      <c r="XEM217" s="72"/>
      <c r="XEN217" s="73"/>
      <c r="XEO217" s="74"/>
      <c r="XEP217" s="75"/>
      <c r="XEQ217" s="76"/>
      <c r="XER217" s="73"/>
    </row>
    <row r="218" spans="1:46 16367:16372" ht="25.5" hidden="1" customHeight="1" x14ac:dyDescent="0.25">
      <c r="A218" s="72"/>
      <c r="B218" s="73"/>
      <c r="C218" s="120">
        <f>Таблица310[[#This Row],[Степень зрелости вспом]]</f>
        <v>45</v>
      </c>
      <c r="D218" s="75">
        <v>314</v>
      </c>
      <c r="E218" s="146">
        <v>45818</v>
      </c>
      <c r="F218" s="73">
        <v>23280</v>
      </c>
      <c r="G218" s="73">
        <v>4400</v>
      </c>
      <c r="H218" s="77">
        <v>18880</v>
      </c>
      <c r="I218" s="73">
        <v>3850</v>
      </c>
      <c r="J218" s="72" t="s">
        <v>78</v>
      </c>
      <c r="K218" s="72" t="s">
        <v>897</v>
      </c>
      <c r="L218" s="72" t="s">
        <v>796</v>
      </c>
      <c r="M218" s="35" t="s">
        <v>127</v>
      </c>
      <c r="N218" s="40"/>
      <c r="O218" s="72"/>
      <c r="P218" s="72"/>
      <c r="Q218" s="72"/>
      <c r="R218" s="72" t="s">
        <v>131</v>
      </c>
      <c r="S218" s="40"/>
      <c r="T218" s="70" t="s">
        <v>840</v>
      </c>
      <c r="U218" s="68" t="str">
        <f>Таблица310[[#This Row],[Регистратор.Номенклатура]]</f>
        <v>Беркут</v>
      </c>
      <c r="V218" s="45">
        <v>2</v>
      </c>
      <c r="W218" s="72" t="s">
        <v>45</v>
      </c>
      <c r="X218" s="72" t="s">
        <v>19</v>
      </c>
      <c r="Y218" s="40">
        <v>13</v>
      </c>
      <c r="Z218" s="71">
        <v>45818</v>
      </c>
      <c r="AA218" s="40"/>
      <c r="AB218" s="40"/>
      <c r="AC218" s="40" t="s">
        <v>419</v>
      </c>
      <c r="AD218" s="40" t="s">
        <v>511</v>
      </c>
      <c r="AE218" s="40">
        <v>314</v>
      </c>
      <c r="AF218" s="103">
        <v>45818</v>
      </c>
      <c r="AG218" s="40">
        <v>118</v>
      </c>
      <c r="AH218" s="40">
        <f>VLOOKUP(Таблица310[[#This Row],[№ акта]],'Степень зрелости 2025'!$H$13:$I$583,2,FALSE)</f>
        <v>45</v>
      </c>
      <c r="AI218" s="40" t="str">
        <f>VLOOKUP(Таблица310[[#This Row],[№ акта]],$AQ$1:$AT$594,2,FALSE)</f>
        <v>А-51</v>
      </c>
      <c r="AJ218" s="40" t="str">
        <f>Таблица310[[#This Row],[Регистратор.Номенклатура]]</f>
        <v>Беркут</v>
      </c>
      <c r="AK218" s="40" t="str">
        <f>VLOOKUP(Таблица310[[#This Row],[№ акта]],$AQ$1:$AT$594,4,FALSE)</f>
        <v>ГРК демо (богара)</v>
      </c>
      <c r="AL218" s="45">
        <f>VLOOKUP(Таблица310[[#This Row],[№ акта]],$AQ$1:$AT$594,3,FALSE)</f>
        <v>2</v>
      </c>
      <c r="AM218" s="40" t="str">
        <f>IF(Таблица310[[#This Row],[Площадь уборки, га]]=Таблица310[[#This Row],[Площадь уборки до корр]],"нет","да")</f>
        <v>нет</v>
      </c>
      <c r="AN218" s="45">
        <f>Таблица310[[#This Row],[Площадь уборки до корр]]-Таблица310[[#This Row],[Площадь уборки, га]]</f>
        <v>0</v>
      </c>
      <c r="AQ218">
        <v>314</v>
      </c>
      <c r="AR218" t="s">
        <v>840</v>
      </c>
      <c r="AS218">
        <v>2</v>
      </c>
      <c r="AT218" t="s">
        <v>45</v>
      </c>
      <c r="XEM218" s="72"/>
      <c r="XEN218" s="73"/>
      <c r="XEO218" s="74"/>
      <c r="XEP218" s="75"/>
      <c r="XEQ218" s="76"/>
      <c r="XER218" s="73"/>
    </row>
    <row r="219" spans="1:46 16367:16372" ht="25.5" hidden="1" customHeight="1" x14ac:dyDescent="0.25">
      <c r="A219" s="72"/>
      <c r="B219" s="73"/>
      <c r="C219" s="120">
        <f>Таблица310[[#This Row],[Степень зрелости вспом]]</f>
        <v>59</v>
      </c>
      <c r="D219" s="75">
        <v>315</v>
      </c>
      <c r="E219" s="146">
        <v>45818</v>
      </c>
      <c r="F219" s="73">
        <v>18880</v>
      </c>
      <c r="G219" s="73">
        <v>4590</v>
      </c>
      <c r="H219" s="77">
        <v>14290</v>
      </c>
      <c r="I219" s="73">
        <v>3235.9</v>
      </c>
      <c r="J219" s="72" t="s">
        <v>78</v>
      </c>
      <c r="K219" s="72" t="s">
        <v>896</v>
      </c>
      <c r="L219" s="72" t="s">
        <v>796</v>
      </c>
      <c r="M219" s="35" t="s">
        <v>127</v>
      </c>
      <c r="N219" s="40"/>
      <c r="O219" s="72"/>
      <c r="P219" s="72"/>
      <c r="Q219" s="72"/>
      <c r="R219" s="72" t="s">
        <v>131</v>
      </c>
      <c r="S219" s="40"/>
      <c r="T219" s="70" t="s">
        <v>840</v>
      </c>
      <c r="U219" s="68" t="str">
        <f>Таблица310[[#This Row],[Регистратор.Номенклатура]]</f>
        <v>Веста</v>
      </c>
      <c r="V219" s="45">
        <v>4</v>
      </c>
      <c r="W219" s="72" t="s">
        <v>45</v>
      </c>
      <c r="X219" s="72" t="s">
        <v>19</v>
      </c>
      <c r="Y219" s="40">
        <v>13</v>
      </c>
      <c r="Z219" s="71">
        <v>45818</v>
      </c>
      <c r="AA219" s="40"/>
      <c r="AB219" s="40"/>
      <c r="AC219" s="40" t="s">
        <v>724</v>
      </c>
      <c r="AD219" s="40" t="s">
        <v>511</v>
      </c>
      <c r="AE219" s="40">
        <v>315</v>
      </c>
      <c r="AF219" s="103">
        <v>45818</v>
      </c>
      <c r="AG219" s="40">
        <v>118</v>
      </c>
      <c r="AH219" s="40">
        <f>VLOOKUP(Таблица310[[#This Row],[№ акта]],'Степень зрелости 2025'!$H$13:$I$583,2,FALSE)</f>
        <v>59</v>
      </c>
      <c r="AI219" s="40" t="str">
        <f>VLOOKUP(Таблица310[[#This Row],[№ акта]],$AQ$1:$AT$594,2,FALSE)</f>
        <v>А-51</v>
      </c>
      <c r="AJ219" s="40" t="str">
        <f>Таблица310[[#This Row],[Регистратор.Номенклатура]]</f>
        <v>Веста</v>
      </c>
      <c r="AK219" s="40" t="str">
        <f>VLOOKUP(Таблица310[[#This Row],[№ акта]],$AQ$1:$AT$594,4,FALSE)</f>
        <v>ГРК демо (богара)</v>
      </c>
      <c r="AL219" s="45">
        <f>VLOOKUP(Таблица310[[#This Row],[№ акта]],$AQ$1:$AT$594,3,FALSE)</f>
        <v>4</v>
      </c>
      <c r="AM219" s="40" t="str">
        <f>IF(Таблица310[[#This Row],[Площадь уборки, га]]=Таблица310[[#This Row],[Площадь уборки до корр]],"нет","да")</f>
        <v>нет</v>
      </c>
      <c r="AN219" s="45">
        <f>Таблица310[[#This Row],[Площадь уборки до корр]]-Таблица310[[#This Row],[Площадь уборки, га]]</f>
        <v>0</v>
      </c>
      <c r="AQ219">
        <v>315</v>
      </c>
      <c r="AR219" t="s">
        <v>840</v>
      </c>
      <c r="AS219">
        <v>4</v>
      </c>
      <c r="AT219" t="s">
        <v>45</v>
      </c>
      <c r="XEM219" s="72"/>
      <c r="XEN219" s="73"/>
      <c r="XEO219" s="74"/>
      <c r="XEP219" s="75"/>
      <c r="XEQ219" s="76"/>
      <c r="XER219" s="73"/>
    </row>
    <row r="220" spans="1:46 16367:16372" ht="25.5" hidden="1" customHeight="1" x14ac:dyDescent="0.25">
      <c r="A220" s="72"/>
      <c r="B220" s="73"/>
      <c r="C220" s="120">
        <f>Таблица310[[#This Row],[Степень зрелости вспом]]</f>
        <v>65</v>
      </c>
      <c r="D220" s="75">
        <v>316</v>
      </c>
      <c r="E220" s="146">
        <v>45818</v>
      </c>
      <c r="F220" s="73">
        <v>28700</v>
      </c>
      <c r="G220" s="73">
        <v>14020</v>
      </c>
      <c r="H220" s="77">
        <v>14680</v>
      </c>
      <c r="I220" s="73">
        <v>12618</v>
      </c>
      <c r="J220" s="72" t="s">
        <v>78</v>
      </c>
      <c r="K220" s="72" t="s">
        <v>747</v>
      </c>
      <c r="L220" s="72" t="s">
        <v>898</v>
      </c>
      <c r="M220" s="35" t="s">
        <v>335</v>
      </c>
      <c r="N220" s="40"/>
      <c r="O220" s="72"/>
      <c r="P220" s="72"/>
      <c r="Q220" s="72"/>
      <c r="R220" s="72" t="s">
        <v>339</v>
      </c>
      <c r="S220" s="40"/>
      <c r="T220" s="70" t="s">
        <v>864</v>
      </c>
      <c r="U220" s="68" t="str">
        <f>Таблица310[[#This Row],[Регистратор.Номенклатура]]</f>
        <v>Увертюра</v>
      </c>
      <c r="V220" s="45">
        <f>7*Таблица310[[#This Row],[Регистратор.Вес нетто]]/22630</f>
        <v>4.3367211665930183</v>
      </c>
      <c r="W220" s="72" t="s">
        <v>46</v>
      </c>
      <c r="X220" s="72" t="s">
        <v>19</v>
      </c>
      <c r="Y220" s="40">
        <v>13</v>
      </c>
      <c r="Z220" s="71">
        <v>45818</v>
      </c>
      <c r="AA220" s="40"/>
      <c r="AB220" s="40"/>
      <c r="AC220" s="40" t="s">
        <v>725</v>
      </c>
      <c r="AD220" s="40" t="s">
        <v>550</v>
      </c>
      <c r="AE220" s="40">
        <v>316</v>
      </c>
      <c r="AF220" s="103">
        <v>45818</v>
      </c>
      <c r="AG220" s="40">
        <v>119</v>
      </c>
      <c r="AH220" s="40">
        <f>VLOOKUP(Таблица310[[#This Row],[№ акта]],'Степень зрелости 2025'!$H$13:$I$583,2,FALSE)</f>
        <v>65</v>
      </c>
      <c r="AI220" s="40" t="str">
        <f>VLOOKUP(Таблица310[[#This Row],[№ акта]],$AQ$1:$AT$594,2,FALSE)</f>
        <v>А-54</v>
      </c>
      <c r="AJ220" s="40" t="str">
        <f>Таблица310[[#This Row],[Регистратор.Номенклатура]]</f>
        <v>Увертюра</v>
      </c>
      <c r="AK220" s="40" t="str">
        <f>VLOOKUP(Таблица310[[#This Row],[№ акта]],$AQ$1:$AT$594,4,FALSE)</f>
        <v>ГРК (богара)</v>
      </c>
      <c r="AL220" s="45">
        <f>VLOOKUP(Таблица310[[#This Row],[№ акта]],$AQ$1:$AT$594,3,FALSE)</f>
        <v>4.3367211665930183</v>
      </c>
      <c r="AM220" s="40" t="str">
        <f>IF(Таблица310[[#This Row],[Площадь уборки, га]]=Таблица310[[#This Row],[Площадь уборки до корр]],"нет","да")</f>
        <v>нет</v>
      </c>
      <c r="AN220" s="45">
        <f>Таблица310[[#This Row],[Площадь уборки до корр]]-Таблица310[[#This Row],[Площадь уборки, га]]</f>
        <v>0</v>
      </c>
      <c r="AQ220">
        <v>316</v>
      </c>
      <c r="AR220" t="s">
        <v>864</v>
      </c>
      <c r="AS220">
        <v>4.3367211665930183</v>
      </c>
      <c r="AT220" t="s">
        <v>46</v>
      </c>
      <c r="XEM220" s="72"/>
      <c r="XEN220" s="73"/>
      <c r="XEO220" s="74"/>
      <c r="XEP220" s="75"/>
      <c r="XEQ220" s="76"/>
      <c r="XER220" s="73"/>
    </row>
    <row r="221" spans="1:46 16367:16372" ht="25.5" hidden="1" customHeight="1" x14ac:dyDescent="0.25">
      <c r="A221" s="72"/>
      <c r="B221" s="73"/>
      <c r="C221" s="120">
        <f>Таблица310[[#This Row],[Степень зрелости вспом]]</f>
        <v>41</v>
      </c>
      <c r="D221" s="75">
        <v>317</v>
      </c>
      <c r="E221" s="146">
        <v>45818</v>
      </c>
      <c r="F221" s="73">
        <v>25050</v>
      </c>
      <c r="G221" s="73">
        <v>4390</v>
      </c>
      <c r="H221" s="77">
        <v>20660</v>
      </c>
      <c r="I221" s="73">
        <v>3094.9</v>
      </c>
      <c r="J221" s="72" t="s">
        <v>78</v>
      </c>
      <c r="K221" s="72" t="s">
        <v>899</v>
      </c>
      <c r="L221" s="72" t="s">
        <v>796</v>
      </c>
      <c r="M221" s="35" t="s">
        <v>1312</v>
      </c>
      <c r="N221" s="40"/>
      <c r="O221" s="72"/>
      <c r="P221" s="72"/>
      <c r="Q221" s="72"/>
      <c r="R221" s="72" t="s">
        <v>320</v>
      </c>
      <c r="S221" s="40"/>
      <c r="T221" s="70" t="s">
        <v>840</v>
      </c>
      <c r="U221" s="68" t="str">
        <f>Таблица310[[#This Row],[Регистратор.Номенклатура]]</f>
        <v>парус</v>
      </c>
      <c r="V221" s="45">
        <v>2</v>
      </c>
      <c r="W221" s="72" t="s">
        <v>45</v>
      </c>
      <c r="X221" s="72" t="s">
        <v>19</v>
      </c>
      <c r="Y221" s="40">
        <v>13</v>
      </c>
      <c r="Z221" s="71">
        <v>45818</v>
      </c>
      <c r="AA221" s="40"/>
      <c r="AB221" s="40"/>
      <c r="AC221" s="40" t="s">
        <v>419</v>
      </c>
      <c r="AD221" s="40" t="s">
        <v>511</v>
      </c>
      <c r="AE221" s="40">
        <v>317</v>
      </c>
      <c r="AF221" s="103">
        <v>45818</v>
      </c>
      <c r="AG221" s="40">
        <v>120</v>
      </c>
      <c r="AH221" s="40">
        <f>VLOOKUP(Таблица310[[#This Row],[№ акта]],'Степень зрелости 2025'!$H$13:$I$583,2,FALSE)</f>
        <v>41</v>
      </c>
      <c r="AI221" s="40" t="str">
        <f>VLOOKUP(Таблица310[[#This Row],[№ акта]],$AQ$1:$AT$594,2,FALSE)</f>
        <v>А-51</v>
      </c>
      <c r="AJ221" s="40" t="str">
        <f>Таблица310[[#This Row],[Регистратор.Номенклатура]]</f>
        <v>парус</v>
      </c>
      <c r="AK221" s="40" t="str">
        <f>VLOOKUP(Таблица310[[#This Row],[№ акта]],$AQ$1:$AT$594,4,FALSE)</f>
        <v>ГРК демо (богара)</v>
      </c>
      <c r="AL221" s="45">
        <f>VLOOKUP(Таблица310[[#This Row],[№ акта]],$AQ$1:$AT$594,3,FALSE)</f>
        <v>2</v>
      </c>
      <c r="AM221" s="40" t="str">
        <f>IF(Таблица310[[#This Row],[Площадь уборки, га]]=Таблица310[[#This Row],[Площадь уборки до корр]],"нет","да")</f>
        <v>нет</v>
      </c>
      <c r="AN221" s="45">
        <f>Таблица310[[#This Row],[Площадь уборки до корр]]-Таблица310[[#This Row],[Площадь уборки, га]]</f>
        <v>0</v>
      </c>
      <c r="AQ221">
        <v>317</v>
      </c>
      <c r="AR221" t="s">
        <v>840</v>
      </c>
      <c r="AS221">
        <v>2</v>
      </c>
      <c r="AT221" t="s">
        <v>45</v>
      </c>
      <c r="XEM221" s="72"/>
      <c r="XEN221" s="73"/>
      <c r="XEO221" s="74"/>
      <c r="XEP221" s="75"/>
      <c r="XEQ221" s="76"/>
      <c r="XER221" s="73"/>
    </row>
    <row r="222" spans="1:46 16367:16372" ht="25.5" hidden="1" customHeight="1" x14ac:dyDescent="0.25">
      <c r="A222" s="72"/>
      <c r="B222" s="73"/>
      <c r="C222" s="120">
        <f>Таблица310[[#This Row],[Степень зрелости вспом]]</f>
        <v>43</v>
      </c>
      <c r="D222" s="75">
        <v>318</v>
      </c>
      <c r="E222" s="146">
        <v>45818</v>
      </c>
      <c r="F222" s="73">
        <v>20660</v>
      </c>
      <c r="G222" s="73">
        <v>6180</v>
      </c>
      <c r="H222" s="77">
        <v>14480</v>
      </c>
      <c r="I222" s="73">
        <v>4851.3</v>
      </c>
      <c r="J222" s="72" t="s">
        <v>78</v>
      </c>
      <c r="K222" s="72" t="s">
        <v>900</v>
      </c>
      <c r="L222" s="72" t="s">
        <v>796</v>
      </c>
      <c r="M222" s="35" t="s">
        <v>1312</v>
      </c>
      <c r="N222" s="40"/>
      <c r="O222" s="72"/>
      <c r="P222" s="72"/>
      <c r="Q222" s="72"/>
      <c r="R222" s="72" t="s">
        <v>320</v>
      </c>
      <c r="S222" s="40"/>
      <c r="T222" s="70" t="s">
        <v>840</v>
      </c>
      <c r="U222" s="68" t="str">
        <f>Таблица310[[#This Row],[Регистратор.Номенклатура]]</f>
        <v>Патриот</v>
      </c>
      <c r="V222" s="45">
        <v>4</v>
      </c>
      <c r="W222" s="72" t="s">
        <v>45</v>
      </c>
      <c r="X222" s="72" t="s">
        <v>19</v>
      </c>
      <c r="Y222" s="40">
        <v>13</v>
      </c>
      <c r="Z222" s="71">
        <v>45818</v>
      </c>
      <c r="AA222" s="40"/>
      <c r="AB222" s="40"/>
      <c r="AC222" s="40" t="s">
        <v>419</v>
      </c>
      <c r="AD222" s="40" t="s">
        <v>511</v>
      </c>
      <c r="AE222" s="40">
        <v>318</v>
      </c>
      <c r="AF222" s="103">
        <v>45818</v>
      </c>
      <c r="AG222" s="40">
        <v>120</v>
      </c>
      <c r="AH222" s="40">
        <f>VLOOKUP(Таблица310[[#This Row],[№ акта]],'Степень зрелости 2025'!$H$13:$I$583,2,FALSE)</f>
        <v>43</v>
      </c>
      <c r="AI222" s="40" t="str">
        <f>VLOOKUP(Таблица310[[#This Row],[№ акта]],$AQ$1:$AT$594,2,FALSE)</f>
        <v>А-51</v>
      </c>
      <c r="AJ222" s="40" t="str">
        <f>Таблица310[[#This Row],[Регистратор.Номенклатура]]</f>
        <v>Патриот</v>
      </c>
      <c r="AK222" s="40" t="str">
        <f>VLOOKUP(Таблица310[[#This Row],[№ акта]],$AQ$1:$AT$594,4,FALSE)</f>
        <v>ГРК демо (богара)</v>
      </c>
      <c r="AL222" s="45">
        <f>VLOOKUP(Таблица310[[#This Row],[№ акта]],$AQ$1:$AT$594,3,FALSE)</f>
        <v>4</v>
      </c>
      <c r="AM222" s="40" t="str">
        <f>IF(Таблица310[[#This Row],[Площадь уборки, га]]=Таблица310[[#This Row],[Площадь уборки до корр]],"нет","да")</f>
        <v>нет</v>
      </c>
      <c r="AN222" s="45">
        <f>Таблица310[[#This Row],[Площадь уборки до корр]]-Таблица310[[#This Row],[Площадь уборки, га]]</f>
        <v>0</v>
      </c>
      <c r="AQ222">
        <v>318</v>
      </c>
      <c r="AR222" t="s">
        <v>840</v>
      </c>
      <c r="AS222">
        <v>4</v>
      </c>
      <c r="AT222" t="s">
        <v>45</v>
      </c>
      <c r="XEM222" s="72"/>
      <c r="XEN222" s="73"/>
      <c r="XEO222" s="74"/>
      <c r="XEP222" s="75"/>
      <c r="XEQ222" s="76"/>
      <c r="XER222" s="73"/>
    </row>
    <row r="223" spans="1:46 16367:16372" ht="25.5" hidden="1" customHeight="1" x14ac:dyDescent="0.25">
      <c r="A223" s="72"/>
      <c r="B223" s="73"/>
      <c r="C223" s="120">
        <f>Таблица310[[#This Row],[Степень зрелости вспом]]</f>
        <v>65</v>
      </c>
      <c r="D223" s="75">
        <v>319</v>
      </c>
      <c r="E223" s="146">
        <v>45818</v>
      </c>
      <c r="F223" s="73">
        <v>30340</v>
      </c>
      <c r="G223" s="73">
        <v>6890</v>
      </c>
      <c r="H223" s="77">
        <v>23450</v>
      </c>
      <c r="I223" s="73">
        <v>6442.1</v>
      </c>
      <c r="J223" s="72" t="s">
        <v>78</v>
      </c>
      <c r="K223" s="72" t="s">
        <v>524</v>
      </c>
      <c r="L223" s="72" t="s">
        <v>898</v>
      </c>
      <c r="M223" s="35" t="s">
        <v>894</v>
      </c>
      <c r="N223" s="40"/>
      <c r="O223" s="72"/>
      <c r="P223" s="72"/>
      <c r="Q223" s="72"/>
      <c r="R223" s="72" t="s">
        <v>895</v>
      </c>
      <c r="S223" s="40"/>
      <c r="T223" s="70" t="s">
        <v>864</v>
      </c>
      <c r="U223" s="68" t="str">
        <f>Таблица310[[#This Row],[Регистратор.Номенклатура]]</f>
        <v>Авола</v>
      </c>
      <c r="V223" s="45">
        <f>14*Таблица310[[#This Row],[Регистратор.Вес нетто]]/61880</f>
        <v>1.5588235294117647</v>
      </c>
      <c r="W223" s="72" t="s">
        <v>46</v>
      </c>
      <c r="X223" s="72" t="s">
        <v>19</v>
      </c>
      <c r="Y223" s="40">
        <v>13</v>
      </c>
      <c r="Z223" s="71">
        <v>45818</v>
      </c>
      <c r="AA223" s="40"/>
      <c r="AB223" s="40"/>
      <c r="AC223" s="40" t="s">
        <v>725</v>
      </c>
      <c r="AD223" s="40" t="s">
        <v>550</v>
      </c>
      <c r="AE223" s="40">
        <v>319</v>
      </c>
      <c r="AF223" s="103">
        <v>45818</v>
      </c>
      <c r="AG223" s="40">
        <v>121</v>
      </c>
      <c r="AH223" s="40">
        <f>VLOOKUP(Таблица310[[#This Row],[№ акта]],'Степень зрелости 2025'!$H$13:$I$583,2,FALSE)</f>
        <v>65</v>
      </c>
      <c r="AI223" s="40" t="str">
        <f>VLOOKUP(Таблица310[[#This Row],[№ акта]],$AQ$1:$AT$594,2,FALSE)</f>
        <v>А-54</v>
      </c>
      <c r="AJ223" s="40" t="str">
        <f>Таблица310[[#This Row],[Регистратор.Номенклатура]]</f>
        <v>Авола</v>
      </c>
      <c r="AK223" s="40" t="str">
        <f>VLOOKUP(Таблица310[[#This Row],[№ акта]],$AQ$1:$AT$594,4,FALSE)</f>
        <v>ГРК (богара)</v>
      </c>
      <c r="AL223" s="45">
        <f>VLOOKUP(Таблица310[[#This Row],[№ акта]],$AQ$1:$AT$594,3,FALSE)</f>
        <v>1.5588235294117647</v>
      </c>
      <c r="AM223" s="40" t="str">
        <f>IF(Таблица310[[#This Row],[Площадь уборки, га]]=Таблица310[[#This Row],[Площадь уборки до корр]],"нет","да")</f>
        <v>нет</v>
      </c>
      <c r="AN223" s="45">
        <f>Таблица310[[#This Row],[Площадь уборки до корр]]-Таблица310[[#This Row],[Площадь уборки, га]]</f>
        <v>0</v>
      </c>
      <c r="AQ223">
        <v>319</v>
      </c>
      <c r="AR223" t="s">
        <v>864</v>
      </c>
      <c r="AS223">
        <v>1.5588235294117647</v>
      </c>
      <c r="AT223" t="s">
        <v>46</v>
      </c>
      <c r="XEM223" s="72"/>
      <c r="XEN223" s="73"/>
      <c r="XEO223" s="74"/>
      <c r="XEP223" s="75"/>
      <c r="XEQ223" s="76"/>
      <c r="XER223" s="73"/>
    </row>
    <row r="224" spans="1:46 16367:16372" ht="25.5" hidden="1" customHeight="1" x14ac:dyDescent="0.25">
      <c r="A224" s="72"/>
      <c r="B224" s="73"/>
      <c r="C224" s="120">
        <f>Таблица310[[#This Row],[Степень зрелости вспом]]</f>
        <v>64</v>
      </c>
      <c r="D224" s="75">
        <v>320</v>
      </c>
      <c r="E224" s="146">
        <v>45818</v>
      </c>
      <c r="F224" s="73">
        <v>23450</v>
      </c>
      <c r="G224" s="73">
        <v>8610</v>
      </c>
      <c r="H224" s="77">
        <v>14840</v>
      </c>
      <c r="I224" s="73">
        <v>7878.1</v>
      </c>
      <c r="J224" s="72" t="s">
        <v>78</v>
      </c>
      <c r="K224" s="72" t="s">
        <v>747</v>
      </c>
      <c r="L224" s="72" t="s">
        <v>898</v>
      </c>
      <c r="M224" s="35" t="s">
        <v>894</v>
      </c>
      <c r="N224" s="40"/>
      <c r="O224" s="72"/>
      <c r="P224" s="72"/>
      <c r="Q224" s="72"/>
      <c r="R224" s="72" t="s">
        <v>895</v>
      </c>
      <c r="S224" s="40"/>
      <c r="T224" s="70" t="s">
        <v>864</v>
      </c>
      <c r="U224" s="68" t="str">
        <f>Таблица310[[#This Row],[Регистратор.Номенклатура]]</f>
        <v>Увертюра</v>
      </c>
      <c r="V224" s="45">
        <f>7*Таблица310[[#This Row],[Регистратор.Вес нетто]]/22630</f>
        <v>2.6632788334069817</v>
      </c>
      <c r="W224" s="72" t="s">
        <v>46</v>
      </c>
      <c r="X224" s="72" t="s">
        <v>19</v>
      </c>
      <c r="Y224" s="40">
        <v>13</v>
      </c>
      <c r="Z224" s="71">
        <v>45818</v>
      </c>
      <c r="AA224" s="40"/>
      <c r="AB224" s="40"/>
      <c r="AC224" s="40" t="s">
        <v>725</v>
      </c>
      <c r="AD224" s="40" t="s">
        <v>550</v>
      </c>
      <c r="AE224" s="40">
        <v>320</v>
      </c>
      <c r="AF224" s="103">
        <v>45818</v>
      </c>
      <c r="AG224" s="40">
        <v>121</v>
      </c>
      <c r="AH224" s="40">
        <f>VLOOKUP(Таблица310[[#This Row],[№ акта]],'Степень зрелости 2025'!$H$13:$I$583,2,FALSE)</f>
        <v>64</v>
      </c>
      <c r="AI224" s="40" t="str">
        <f>VLOOKUP(Таблица310[[#This Row],[№ акта]],$AQ$1:$AT$594,2,FALSE)</f>
        <v>А-54</v>
      </c>
      <c r="AJ224" s="40" t="str">
        <f>Таблица310[[#This Row],[Регистратор.Номенклатура]]</f>
        <v>Увертюра</v>
      </c>
      <c r="AK224" s="40" t="str">
        <f>VLOOKUP(Таблица310[[#This Row],[№ акта]],$AQ$1:$AT$594,4,FALSE)</f>
        <v>ГРК (богара)</v>
      </c>
      <c r="AL224" s="45">
        <f>VLOOKUP(Таблица310[[#This Row],[№ акта]],$AQ$1:$AT$594,3,FALSE)</f>
        <v>2.6632788334069817</v>
      </c>
      <c r="AM224" s="40" t="str">
        <f>IF(Таблица310[[#This Row],[Площадь уборки, га]]=Таблица310[[#This Row],[Площадь уборки до корр]],"нет","да")</f>
        <v>нет</v>
      </c>
      <c r="AN224" s="45">
        <f>Таблица310[[#This Row],[Площадь уборки до корр]]-Таблица310[[#This Row],[Площадь уборки, га]]</f>
        <v>0</v>
      </c>
      <c r="AQ224">
        <v>320</v>
      </c>
      <c r="AR224" t="s">
        <v>864</v>
      </c>
      <c r="AS224">
        <v>2.6632788334069817</v>
      </c>
      <c r="AT224" t="s">
        <v>46</v>
      </c>
      <c r="XEM224" s="72"/>
      <c r="XEN224" s="73"/>
      <c r="XEO224" s="74"/>
      <c r="XEP224" s="75"/>
      <c r="XEQ224" s="76"/>
      <c r="XER224" s="73"/>
    </row>
    <row r="225" spans="1:46 16367:16372" ht="25.5" hidden="1" customHeight="1" x14ac:dyDescent="0.25">
      <c r="A225" s="72"/>
      <c r="B225" s="73"/>
      <c r="C225" s="120">
        <f>Таблица310[[#This Row],[Степень зрелости вспом]]</f>
        <v>50</v>
      </c>
      <c r="D225" s="75">
        <v>321</v>
      </c>
      <c r="E225" s="146">
        <v>45818</v>
      </c>
      <c r="F225" s="73">
        <v>6240</v>
      </c>
      <c r="G225" s="73">
        <v>1680</v>
      </c>
      <c r="H225" s="77">
        <v>4560</v>
      </c>
      <c r="I225" s="73">
        <v>1478.4</v>
      </c>
      <c r="J225" s="72" t="s">
        <v>903</v>
      </c>
      <c r="K225" s="72" t="s">
        <v>901</v>
      </c>
      <c r="L225" s="72" t="s">
        <v>957</v>
      </c>
      <c r="M225" s="35" t="s">
        <v>737</v>
      </c>
      <c r="N225" s="40"/>
      <c r="O225" s="72"/>
      <c r="P225" s="72"/>
      <c r="Q225" s="72"/>
      <c r="R225" s="72" t="s">
        <v>738</v>
      </c>
      <c r="S225" s="40"/>
      <c r="T225" s="106">
        <v>40</v>
      </c>
      <c r="U225" s="68" t="str">
        <f>Таблица310[[#This Row],[Регистратор.Номенклатура]]</f>
        <v>Фаворит</v>
      </c>
      <c r="V225" s="45">
        <v>0.5</v>
      </c>
      <c r="W225" s="72" t="s">
        <v>50</v>
      </c>
      <c r="X225" s="72" t="s">
        <v>178</v>
      </c>
      <c r="Y225" s="40">
        <v>1</v>
      </c>
      <c r="Z225" s="71">
        <v>45818</v>
      </c>
      <c r="AA225" s="40"/>
      <c r="AB225" s="40"/>
      <c r="AC225" s="40" t="s">
        <v>724</v>
      </c>
      <c r="AD225" s="40" t="s">
        <v>511</v>
      </c>
      <c r="AE225" s="40">
        <v>321</v>
      </c>
      <c r="AF225" s="103">
        <v>45818</v>
      </c>
      <c r="AG225" s="40">
        <v>28</v>
      </c>
      <c r="AH225" s="40">
        <f>VLOOKUP(Таблица310[[#This Row],[№ акта]],'Степень зрелости 2025'!$H$13:$I$583,2,FALSE)</f>
        <v>50</v>
      </c>
      <c r="AI225" s="40">
        <f>VLOOKUP(Таблица310[[#This Row],[№ акта]],$AQ$1:$AT$594,2,FALSE)</f>
        <v>40</v>
      </c>
      <c r="AJ225" s="40" t="str">
        <f>Таблица310[[#This Row],[Регистратор.Номенклатура]]</f>
        <v>Фаворит</v>
      </c>
      <c r="AK225" s="40" t="str">
        <f>VLOOKUP(Таблица310[[#This Row],[№ акта]],$AQ$1:$AT$594,4,FALSE)</f>
        <v>Братковский (полив)</v>
      </c>
      <c r="AL225" s="45">
        <f>VLOOKUP(Таблица310[[#This Row],[№ акта]],$AQ$1:$AT$594,3,FALSE)</f>
        <v>0.5</v>
      </c>
      <c r="AM225" s="40" t="str">
        <f>IF(Таблица310[[#This Row],[Площадь уборки, га]]=Таблица310[[#This Row],[Площадь уборки до корр]],"нет","да")</f>
        <v>нет</v>
      </c>
      <c r="AN225" s="45">
        <f>Таблица310[[#This Row],[Площадь уборки до корр]]-Таблица310[[#This Row],[Площадь уборки, га]]</f>
        <v>0</v>
      </c>
      <c r="AQ225">
        <v>321</v>
      </c>
      <c r="AR225">
        <v>40</v>
      </c>
      <c r="AS225">
        <v>0.5</v>
      </c>
      <c r="AT225" t="s">
        <v>50</v>
      </c>
      <c r="XEM225" s="72"/>
      <c r="XEN225" s="73"/>
      <c r="XEO225" s="74"/>
      <c r="XEP225" s="75"/>
      <c r="XEQ225" s="76"/>
      <c r="XER225" s="73"/>
    </row>
    <row r="226" spans="1:46 16367:16372" ht="25.5" hidden="1" customHeight="1" x14ac:dyDescent="0.25">
      <c r="A226" s="72"/>
      <c r="B226" s="73"/>
      <c r="C226" s="120">
        <v>73</v>
      </c>
      <c r="D226" s="75">
        <v>322</v>
      </c>
      <c r="E226" s="146">
        <v>45818</v>
      </c>
      <c r="F226" s="73">
        <v>27420</v>
      </c>
      <c r="G226" s="73">
        <v>12970</v>
      </c>
      <c r="H226" s="77">
        <v>14450</v>
      </c>
      <c r="I226" s="73">
        <v>11219</v>
      </c>
      <c r="J226" s="72" t="s">
        <v>78</v>
      </c>
      <c r="K226" s="72" t="s">
        <v>747</v>
      </c>
      <c r="L226" s="72" t="s">
        <v>796</v>
      </c>
      <c r="M226" s="35" t="s">
        <v>1312</v>
      </c>
      <c r="N226" s="40"/>
      <c r="O226" s="72"/>
      <c r="P226" s="72"/>
      <c r="Q226" s="72"/>
      <c r="R226" s="72" t="s">
        <v>320</v>
      </c>
      <c r="S226" s="40"/>
      <c r="T226" s="70" t="s">
        <v>840</v>
      </c>
      <c r="U226" s="68" t="str">
        <f>Таблица310[[#This Row],[Регистратор.Номенклатура]]</f>
        <v>Увертюра</v>
      </c>
      <c r="V226" s="45">
        <f>23*Таблица310[[#This Row],[Регистратор.Вес нетто]]/94350</f>
        <v>3.1617382087970323</v>
      </c>
      <c r="W226" s="72" t="s">
        <v>44</v>
      </c>
      <c r="X226" s="72" t="s">
        <v>19</v>
      </c>
      <c r="Y226" s="40">
        <v>13</v>
      </c>
      <c r="Z226" s="71">
        <v>45818</v>
      </c>
      <c r="AA226" s="40"/>
      <c r="AB226" s="40"/>
      <c r="AC226" s="40" t="s">
        <v>420</v>
      </c>
      <c r="AD226" s="40" t="s">
        <v>833</v>
      </c>
      <c r="AE226" s="40">
        <v>322</v>
      </c>
      <c r="AF226" s="103">
        <v>45818</v>
      </c>
      <c r="AG226" s="40">
        <v>123</v>
      </c>
      <c r="AH226" s="40">
        <f>VLOOKUP(Таблица310[[#This Row],[№ акта]],'Степень зрелости 2025'!$H$13:$I$583,2,FALSE)</f>
        <v>73</v>
      </c>
      <c r="AI226" s="40" t="str">
        <f>VLOOKUP(Таблица310[[#This Row],[№ акта]],$AQ$1:$AT$594,2,FALSE)</f>
        <v>А-51</v>
      </c>
      <c r="AJ226" s="40" t="str">
        <f>Таблица310[[#This Row],[Регистратор.Номенклатура]]</f>
        <v>Увертюра</v>
      </c>
      <c r="AK226" s="40" t="str">
        <f>VLOOKUP(Таблица310[[#This Row],[№ акта]],$AQ$1:$AT$594,4,FALSE)</f>
        <v>ГРК собственные семена (богара)</v>
      </c>
      <c r="AL226" s="45">
        <f>VLOOKUP(Таблица310[[#This Row],[№ акта]],$AQ$1:$AT$594,3,FALSE)</f>
        <v>3.1617382087970323</v>
      </c>
      <c r="AM226" s="40" t="str">
        <f>IF(Таблица310[[#This Row],[Площадь уборки, га]]=Таблица310[[#This Row],[Площадь уборки до корр]],"нет","да")</f>
        <v>нет</v>
      </c>
      <c r="AN226" s="45">
        <f>Таблица310[[#This Row],[Площадь уборки до корр]]-Таблица310[[#This Row],[Площадь уборки, га]]</f>
        <v>0</v>
      </c>
      <c r="AQ226">
        <v>322</v>
      </c>
      <c r="AR226" t="s">
        <v>840</v>
      </c>
      <c r="AS226">
        <v>3.1617382087970323</v>
      </c>
      <c r="AT226" t="s">
        <v>44</v>
      </c>
      <c r="XEM226" s="72"/>
      <c r="XEN226" s="73"/>
      <c r="XEO226" s="74"/>
      <c r="XEP226" s="75"/>
      <c r="XEQ226" s="76"/>
      <c r="XER226" s="73"/>
    </row>
    <row r="227" spans="1:46 16367:16372" ht="25.5" hidden="1" customHeight="1" x14ac:dyDescent="0.25">
      <c r="A227" s="72"/>
      <c r="B227" s="73"/>
      <c r="C227" s="120">
        <v>75</v>
      </c>
      <c r="D227" s="75">
        <v>323</v>
      </c>
      <c r="E227" s="146">
        <v>45818</v>
      </c>
      <c r="F227" s="73">
        <v>28620</v>
      </c>
      <c r="G227" s="73">
        <v>13960</v>
      </c>
      <c r="H227" s="77">
        <v>14660</v>
      </c>
      <c r="I227" s="73">
        <v>12075.4</v>
      </c>
      <c r="J227" s="72" t="s">
        <v>78</v>
      </c>
      <c r="K227" s="72" t="s">
        <v>524</v>
      </c>
      <c r="L227" s="72" t="s">
        <v>898</v>
      </c>
      <c r="M227" s="35" t="s">
        <v>335</v>
      </c>
      <c r="N227" s="40"/>
      <c r="O227" s="72"/>
      <c r="P227" s="72"/>
      <c r="Q227" s="72"/>
      <c r="R227" s="72" t="s">
        <v>339</v>
      </c>
      <c r="S227" s="40"/>
      <c r="T227" s="70" t="s">
        <v>864</v>
      </c>
      <c r="U227" s="68" t="str">
        <f>Таблица310[[#This Row],[Регистратор.Номенклатура]]</f>
        <v>Авола</v>
      </c>
      <c r="V227" s="45">
        <f>14*Таблица310[[#This Row],[Регистратор.Вес нетто]]/61880</f>
        <v>3.1583710407239818</v>
      </c>
      <c r="W227" s="72" t="s">
        <v>46</v>
      </c>
      <c r="X227" s="72" t="s">
        <v>19</v>
      </c>
      <c r="Y227" s="40">
        <v>13</v>
      </c>
      <c r="Z227" s="71">
        <v>45818</v>
      </c>
      <c r="AA227" s="40"/>
      <c r="AB227" s="40"/>
      <c r="AC227" s="40" t="s">
        <v>420</v>
      </c>
      <c r="AD227" s="40" t="s">
        <v>833</v>
      </c>
      <c r="AE227" s="40">
        <v>323</v>
      </c>
      <c r="AF227" s="103">
        <v>45818</v>
      </c>
      <c r="AG227" s="40">
        <v>124</v>
      </c>
      <c r="AH227" s="40">
        <f>VLOOKUP(Таблица310[[#This Row],[№ акта]],'Степень зрелости 2025'!$H$13:$I$583,2,FALSE)</f>
        <v>75</v>
      </c>
      <c r="AI227" s="40" t="str">
        <f>VLOOKUP(Таблица310[[#This Row],[№ акта]],$AQ$1:$AT$594,2,FALSE)</f>
        <v>А-54</v>
      </c>
      <c r="AJ227" s="40" t="str">
        <f>Таблица310[[#This Row],[Регистратор.Номенклатура]]</f>
        <v>Авола</v>
      </c>
      <c r="AK227" s="40" t="str">
        <f>VLOOKUP(Таблица310[[#This Row],[№ акта]],$AQ$1:$AT$594,4,FALSE)</f>
        <v>ГРК (богара)</v>
      </c>
      <c r="AL227" s="45">
        <f>VLOOKUP(Таблица310[[#This Row],[№ акта]],$AQ$1:$AT$594,3,FALSE)</f>
        <v>3.1583710407239818</v>
      </c>
      <c r="AM227" s="40" t="str">
        <f>IF(Таблица310[[#This Row],[Площадь уборки, га]]=Таблица310[[#This Row],[Площадь уборки до корр]],"нет","да")</f>
        <v>нет</v>
      </c>
      <c r="AN227" s="45">
        <f>Таблица310[[#This Row],[Площадь уборки до корр]]-Таблица310[[#This Row],[Площадь уборки, га]]</f>
        <v>0</v>
      </c>
      <c r="AQ227">
        <v>323</v>
      </c>
      <c r="AR227" t="s">
        <v>864</v>
      </c>
      <c r="AS227">
        <v>3.1583710407239818</v>
      </c>
      <c r="AT227" t="s">
        <v>46</v>
      </c>
      <c r="XEM227" s="72"/>
      <c r="XEN227" s="73"/>
      <c r="XEO227" s="74"/>
      <c r="XEP227" s="75"/>
      <c r="XEQ227" s="76"/>
      <c r="XER227" s="73"/>
    </row>
    <row r="228" spans="1:46 16367:16372" ht="25.5" hidden="1" customHeight="1" x14ac:dyDescent="0.25">
      <c r="A228" s="72"/>
      <c r="B228" s="73"/>
      <c r="C228" s="120">
        <f>Таблица310[[#This Row],[Степень зрелости вспом]]</f>
        <v>70</v>
      </c>
      <c r="D228" s="75">
        <v>324</v>
      </c>
      <c r="E228" s="146">
        <v>45818</v>
      </c>
      <c r="F228" s="73">
        <v>27130</v>
      </c>
      <c r="G228" s="73">
        <v>12870</v>
      </c>
      <c r="H228" s="77">
        <v>14260</v>
      </c>
      <c r="I228" s="73">
        <v>11518.6</v>
      </c>
      <c r="J228" s="72" t="s">
        <v>78</v>
      </c>
      <c r="K228" s="72" t="s">
        <v>747</v>
      </c>
      <c r="L228" s="72" t="s">
        <v>796</v>
      </c>
      <c r="M228" s="35" t="s">
        <v>127</v>
      </c>
      <c r="N228" s="40"/>
      <c r="O228" s="72"/>
      <c r="P228" s="72"/>
      <c r="Q228" s="72"/>
      <c r="R228" s="72" t="s">
        <v>131</v>
      </c>
      <c r="S228" s="40"/>
      <c r="T228" s="70" t="s">
        <v>840</v>
      </c>
      <c r="U228" s="68" t="str">
        <f>Таблица310[[#This Row],[Регистратор.Номенклатура]]</f>
        <v>Увертюра</v>
      </c>
      <c r="V228" s="45">
        <f>23*Таблица310[[#This Row],[Регистратор.Вес нетто]]/94350</f>
        <v>3.1373608903020669</v>
      </c>
      <c r="W228" s="72" t="s">
        <v>44</v>
      </c>
      <c r="X228" s="72" t="s">
        <v>19</v>
      </c>
      <c r="Y228" s="40">
        <v>13</v>
      </c>
      <c r="Z228" s="71">
        <v>45818</v>
      </c>
      <c r="AA228" s="40"/>
      <c r="AB228" s="40"/>
      <c r="AC228" s="40" t="s">
        <v>420</v>
      </c>
      <c r="AD228" s="40" t="s">
        <v>550</v>
      </c>
      <c r="AE228" s="40">
        <v>324</v>
      </c>
      <c r="AF228" s="103">
        <v>45818</v>
      </c>
      <c r="AG228" s="40">
        <v>125</v>
      </c>
      <c r="AH228" s="40">
        <f>VLOOKUP(Таблица310[[#This Row],[№ акта]],'Степень зрелости 2025'!$H$13:$I$583,2,FALSE)</f>
        <v>70</v>
      </c>
      <c r="AI228" s="40" t="str">
        <f>VLOOKUP(Таблица310[[#This Row],[№ акта]],$AQ$1:$AT$594,2,FALSE)</f>
        <v>А-51</v>
      </c>
      <c r="AJ228" s="40" t="str">
        <f>Таблица310[[#This Row],[Регистратор.Номенклатура]]</f>
        <v>Увертюра</v>
      </c>
      <c r="AK228" s="40" t="str">
        <f>VLOOKUP(Таблица310[[#This Row],[№ акта]],$AQ$1:$AT$594,4,FALSE)</f>
        <v>ГРК собственные семена (богара)</v>
      </c>
      <c r="AL228" s="45">
        <f>VLOOKUP(Таблица310[[#This Row],[№ акта]],$AQ$1:$AT$594,3,FALSE)</f>
        <v>3.1373608903020669</v>
      </c>
      <c r="AM228" s="40" t="str">
        <f>IF(Таблица310[[#This Row],[Площадь уборки, га]]=Таблица310[[#This Row],[Площадь уборки до корр]],"нет","да")</f>
        <v>нет</v>
      </c>
      <c r="AN228" s="45">
        <f>Таблица310[[#This Row],[Площадь уборки до корр]]-Таблица310[[#This Row],[Площадь уборки, га]]</f>
        <v>0</v>
      </c>
      <c r="AQ228">
        <v>324</v>
      </c>
      <c r="AR228" t="s">
        <v>840</v>
      </c>
      <c r="AS228">
        <v>3.1373608903020669</v>
      </c>
      <c r="AT228" t="s">
        <v>44</v>
      </c>
      <c r="XEM228" s="72"/>
      <c r="XEN228" s="73"/>
      <c r="XEO228" s="74"/>
      <c r="XEP228" s="75"/>
      <c r="XEQ228" s="76"/>
      <c r="XER228" s="73"/>
    </row>
    <row r="229" spans="1:46 16367:16372" ht="25.5" hidden="1" customHeight="1" x14ac:dyDescent="0.25">
      <c r="A229" s="72"/>
      <c r="B229" s="73"/>
      <c r="C229" s="120">
        <f>Таблица310[[#This Row],[Степень зрелости вспом]]</f>
        <v>67</v>
      </c>
      <c r="D229" s="75">
        <v>325</v>
      </c>
      <c r="E229" s="146">
        <v>45818</v>
      </c>
      <c r="F229" s="73">
        <v>8820</v>
      </c>
      <c r="G229" s="73">
        <v>4260</v>
      </c>
      <c r="H229" s="77">
        <v>4560</v>
      </c>
      <c r="I229" s="73">
        <v>3812.7</v>
      </c>
      <c r="J229" s="72" t="s">
        <v>78</v>
      </c>
      <c r="K229" s="72" t="s">
        <v>747</v>
      </c>
      <c r="L229" s="72" t="s">
        <v>796</v>
      </c>
      <c r="M229" s="35" t="s">
        <v>737</v>
      </c>
      <c r="N229" s="40"/>
      <c r="O229" s="72"/>
      <c r="P229" s="72"/>
      <c r="Q229" s="72"/>
      <c r="R229" s="72" t="s">
        <v>738</v>
      </c>
      <c r="S229" s="40"/>
      <c r="T229" s="70" t="s">
        <v>840</v>
      </c>
      <c r="U229" s="68" t="str">
        <f>Таблица310[[#This Row],[Регистратор.Номенклатура]]</f>
        <v>Увертюра</v>
      </c>
      <c r="V229" s="45">
        <f>23*Таблица310[[#This Row],[Регистратор.Вес нетто]]/94350</f>
        <v>1.0384737678855327</v>
      </c>
      <c r="W229" s="72" t="s">
        <v>44</v>
      </c>
      <c r="X229" s="72" t="s">
        <v>19</v>
      </c>
      <c r="Y229" s="40">
        <v>13</v>
      </c>
      <c r="Z229" s="71">
        <v>45818</v>
      </c>
      <c r="AA229" s="40"/>
      <c r="AB229" s="40"/>
      <c r="AC229" s="40" t="s">
        <v>420</v>
      </c>
      <c r="AD229" s="40" t="s">
        <v>550</v>
      </c>
      <c r="AE229" s="40">
        <v>325</v>
      </c>
      <c r="AF229" s="103">
        <v>45818</v>
      </c>
      <c r="AG229" s="40">
        <v>126</v>
      </c>
      <c r="AH229" s="40">
        <f>VLOOKUP(Таблица310[[#This Row],[№ акта]],'Степень зрелости 2025'!$H$13:$I$583,2,FALSE)</f>
        <v>67</v>
      </c>
      <c r="AI229" s="40" t="str">
        <f>VLOOKUP(Таблица310[[#This Row],[№ акта]],$AQ$1:$AT$594,2,FALSE)</f>
        <v>А-51</v>
      </c>
      <c r="AJ229" s="40" t="str">
        <f>Таблица310[[#This Row],[Регистратор.Номенклатура]]</f>
        <v>Увертюра</v>
      </c>
      <c r="AK229" s="40" t="str">
        <f>VLOOKUP(Таблица310[[#This Row],[№ акта]],$AQ$1:$AT$594,4,FALSE)</f>
        <v>ГРК собственные семена (богара)</v>
      </c>
      <c r="AL229" s="45">
        <f>VLOOKUP(Таблица310[[#This Row],[№ акта]],$AQ$1:$AT$594,3,FALSE)</f>
        <v>1.0384737678855327</v>
      </c>
      <c r="AM229" s="40" t="str">
        <f>IF(Таблица310[[#This Row],[Площадь уборки, га]]=Таблица310[[#This Row],[Площадь уборки до корр]],"нет","да")</f>
        <v>нет</v>
      </c>
      <c r="AN229" s="45">
        <f>Таблица310[[#This Row],[Площадь уборки до корр]]-Таблица310[[#This Row],[Площадь уборки, га]]</f>
        <v>0</v>
      </c>
      <c r="AQ229">
        <v>325</v>
      </c>
      <c r="AR229" t="s">
        <v>840</v>
      </c>
      <c r="AS229">
        <v>1.0384737678855327</v>
      </c>
      <c r="AT229" t="s">
        <v>44</v>
      </c>
      <c r="XEM229" s="72"/>
      <c r="XEN229" s="73"/>
      <c r="XEO229" s="74"/>
      <c r="XEP229" s="75"/>
      <c r="XEQ229" s="76"/>
      <c r="XER229" s="73"/>
    </row>
    <row r="230" spans="1:46 16367:16372" ht="25.5" hidden="1" customHeight="1" x14ac:dyDescent="0.25">
      <c r="A230" s="72"/>
      <c r="B230" s="73"/>
      <c r="C230" s="120">
        <v>74</v>
      </c>
      <c r="D230" s="75">
        <v>326</v>
      </c>
      <c r="E230" s="146">
        <v>45818</v>
      </c>
      <c r="F230" s="73">
        <v>28410</v>
      </c>
      <c r="G230" s="73">
        <v>13560</v>
      </c>
      <c r="H230" s="77">
        <v>14850</v>
      </c>
      <c r="I230" s="73">
        <v>11729.4</v>
      </c>
      <c r="J230" s="72" t="s">
        <v>78</v>
      </c>
      <c r="K230" s="72" t="s">
        <v>524</v>
      </c>
      <c r="L230" s="72" t="s">
        <v>898</v>
      </c>
      <c r="M230" s="35" t="s">
        <v>894</v>
      </c>
      <c r="N230" s="40"/>
      <c r="O230" s="72"/>
      <c r="P230" s="72"/>
      <c r="Q230" s="72"/>
      <c r="R230" s="72" t="s">
        <v>895</v>
      </c>
      <c r="S230" s="40"/>
      <c r="T230" s="70" t="s">
        <v>864</v>
      </c>
      <c r="U230" s="68" t="str">
        <f>Таблица310[[#This Row],[Регистратор.Номенклатура]]</f>
        <v>Авола</v>
      </c>
      <c r="V230" s="45">
        <f>14*Таблица310[[#This Row],[Регистратор.Вес нетто]]/61880</f>
        <v>3.067873303167421</v>
      </c>
      <c r="W230" s="72" t="s">
        <v>46</v>
      </c>
      <c r="X230" s="72" t="s">
        <v>19</v>
      </c>
      <c r="Y230" s="40">
        <v>13</v>
      </c>
      <c r="Z230" s="71">
        <v>45818</v>
      </c>
      <c r="AA230" s="40"/>
      <c r="AB230" s="40"/>
      <c r="AC230" s="40" t="s">
        <v>420</v>
      </c>
      <c r="AD230" s="40" t="s">
        <v>833</v>
      </c>
      <c r="AE230" s="40">
        <v>326</v>
      </c>
      <c r="AF230" s="103">
        <v>45818</v>
      </c>
      <c r="AG230" s="40">
        <v>127</v>
      </c>
      <c r="AH230" s="40">
        <f>VLOOKUP(Таблица310[[#This Row],[№ акта]],'Степень зрелости 2025'!$H$13:$I$583,2,FALSE)</f>
        <v>74</v>
      </c>
      <c r="AI230" s="40" t="str">
        <f>VLOOKUP(Таблица310[[#This Row],[№ акта]],$AQ$1:$AT$594,2,FALSE)</f>
        <v>А-54</v>
      </c>
      <c r="AJ230" s="40" t="str">
        <f>Таблица310[[#This Row],[Регистратор.Номенклатура]]</f>
        <v>Авола</v>
      </c>
      <c r="AK230" s="40" t="str">
        <f>VLOOKUP(Таблица310[[#This Row],[№ акта]],$AQ$1:$AT$594,4,FALSE)</f>
        <v>ГРК (богара)</v>
      </c>
      <c r="AL230" s="45">
        <f>VLOOKUP(Таблица310[[#This Row],[№ акта]],$AQ$1:$AT$594,3,FALSE)</f>
        <v>3.067873303167421</v>
      </c>
      <c r="AM230" s="40" t="str">
        <f>IF(Таблица310[[#This Row],[Площадь уборки, га]]=Таблица310[[#This Row],[Площадь уборки до корр]],"нет","да")</f>
        <v>нет</v>
      </c>
      <c r="AN230" s="45">
        <f>Таблица310[[#This Row],[Площадь уборки до корр]]-Таблица310[[#This Row],[Площадь уборки, га]]</f>
        <v>0</v>
      </c>
      <c r="AQ230">
        <v>326</v>
      </c>
      <c r="AR230" t="s">
        <v>864</v>
      </c>
      <c r="AS230">
        <v>3.067873303167421</v>
      </c>
      <c r="AT230" t="s">
        <v>46</v>
      </c>
      <c r="XEM230" s="72"/>
      <c r="XEN230" s="73"/>
      <c r="XEO230" s="74"/>
      <c r="XEP230" s="75"/>
      <c r="XEQ230" s="76"/>
      <c r="XER230" s="73"/>
    </row>
    <row r="231" spans="1:46 16367:16372" ht="25.5" hidden="1" customHeight="1" x14ac:dyDescent="0.25">
      <c r="A231" s="72"/>
      <c r="B231" s="73"/>
      <c r="C231" s="120">
        <f>Таблица310[[#This Row],[Степень зрелости вспом]]</f>
        <v>66</v>
      </c>
      <c r="D231" s="75">
        <v>327</v>
      </c>
      <c r="E231" s="146">
        <v>45818</v>
      </c>
      <c r="F231" s="73">
        <v>27150</v>
      </c>
      <c r="G231" s="73">
        <v>12720</v>
      </c>
      <c r="H231" s="77">
        <v>14430</v>
      </c>
      <c r="I231" s="73">
        <v>11257.2</v>
      </c>
      <c r="J231" s="72" t="s">
        <v>78</v>
      </c>
      <c r="K231" s="72" t="s">
        <v>747</v>
      </c>
      <c r="L231" s="72" t="s">
        <v>796</v>
      </c>
      <c r="M231" s="35" t="s">
        <v>1312</v>
      </c>
      <c r="N231" s="40"/>
      <c r="O231" s="72"/>
      <c r="P231" s="72"/>
      <c r="Q231" s="72"/>
      <c r="R231" s="72" t="s">
        <v>320</v>
      </c>
      <c r="S231" s="40"/>
      <c r="T231" s="70" t="s">
        <v>840</v>
      </c>
      <c r="U231" s="68" t="str">
        <f>Таблица310[[#This Row],[Регистратор.Номенклатура]]</f>
        <v>Увертюра</v>
      </c>
      <c r="V231" s="45">
        <f>23*Таблица310[[#This Row],[Регистратор.Вес нетто]]/94350</f>
        <v>3.1007949125596186</v>
      </c>
      <c r="W231" s="72" t="s">
        <v>44</v>
      </c>
      <c r="X231" s="72" t="s">
        <v>19</v>
      </c>
      <c r="Y231" s="40">
        <v>13</v>
      </c>
      <c r="Z231" s="71">
        <v>45818</v>
      </c>
      <c r="AA231" s="40"/>
      <c r="AB231" s="40"/>
      <c r="AC231" s="40" t="s">
        <v>725</v>
      </c>
      <c r="AD231" s="40" t="s">
        <v>550</v>
      </c>
      <c r="AE231" s="40">
        <v>327</v>
      </c>
      <c r="AF231" s="103">
        <v>45818</v>
      </c>
      <c r="AG231" s="40">
        <v>128</v>
      </c>
      <c r="AH231" s="40">
        <f>VLOOKUP(Таблица310[[#This Row],[№ акта]],'Степень зрелости 2025'!$H$13:$I$583,2,FALSE)</f>
        <v>66</v>
      </c>
      <c r="AI231" s="40" t="str">
        <f>VLOOKUP(Таблица310[[#This Row],[№ акта]],$AQ$1:$AT$594,2,FALSE)</f>
        <v>А-51</v>
      </c>
      <c r="AJ231" s="40" t="str">
        <f>Таблица310[[#This Row],[Регистратор.Номенклатура]]</f>
        <v>Увертюра</v>
      </c>
      <c r="AK231" s="40" t="str">
        <f>VLOOKUP(Таблица310[[#This Row],[№ акта]],$AQ$1:$AT$594,4,FALSE)</f>
        <v>ГРК собственные семена (богара)</v>
      </c>
      <c r="AL231" s="45">
        <f>VLOOKUP(Таблица310[[#This Row],[№ акта]],$AQ$1:$AT$594,3,FALSE)</f>
        <v>3.1007949125596186</v>
      </c>
      <c r="AM231" s="40" t="str">
        <f>IF(Таблица310[[#This Row],[Площадь уборки, га]]=Таблица310[[#This Row],[Площадь уборки до корр]],"нет","да")</f>
        <v>нет</v>
      </c>
      <c r="AN231" s="45">
        <f>Таблица310[[#This Row],[Площадь уборки до корр]]-Таблица310[[#This Row],[Площадь уборки, га]]</f>
        <v>0</v>
      </c>
      <c r="AQ231">
        <v>327</v>
      </c>
      <c r="AR231" t="s">
        <v>840</v>
      </c>
      <c r="AS231">
        <v>3.1007949125596186</v>
      </c>
      <c r="AT231" t="s">
        <v>44</v>
      </c>
      <c r="XEM231" s="72"/>
      <c r="XEN231" s="73"/>
      <c r="XEO231" s="74"/>
      <c r="XEP231" s="75"/>
      <c r="XEQ231" s="76"/>
      <c r="XER231" s="73"/>
    </row>
    <row r="232" spans="1:46 16367:16372" ht="25.5" hidden="1" customHeight="1" x14ac:dyDescent="0.25">
      <c r="A232" s="72"/>
      <c r="B232" s="73"/>
      <c r="C232" s="120">
        <f>Таблица310[[#This Row],[Степень зрелости вспом]]</f>
        <v>68</v>
      </c>
      <c r="D232" s="75">
        <v>328</v>
      </c>
      <c r="E232" s="146">
        <v>45819</v>
      </c>
      <c r="F232" s="73">
        <v>28490</v>
      </c>
      <c r="G232" s="73">
        <v>13850</v>
      </c>
      <c r="H232" s="77">
        <v>14640</v>
      </c>
      <c r="I232" s="73">
        <v>12188</v>
      </c>
      <c r="J232" s="72" t="s">
        <v>78</v>
      </c>
      <c r="K232" s="72" t="s">
        <v>524</v>
      </c>
      <c r="L232" s="72" t="s">
        <v>898</v>
      </c>
      <c r="M232" s="35" t="s">
        <v>335</v>
      </c>
      <c r="N232" s="40"/>
      <c r="O232" s="72"/>
      <c r="P232" s="72"/>
      <c r="Q232" s="72"/>
      <c r="R232" s="72" t="s">
        <v>339</v>
      </c>
      <c r="S232" s="40"/>
      <c r="T232" s="70" t="s">
        <v>864</v>
      </c>
      <c r="U232" s="68" t="str">
        <f>Таблица310[[#This Row],[Регистратор.Номенклатура]]</f>
        <v>Авола</v>
      </c>
      <c r="V232" s="45">
        <f>14*Таблица310[[#This Row],[Регистратор.Вес нетто]]/61880</f>
        <v>3.1334841628959276</v>
      </c>
      <c r="W232" s="72" t="s">
        <v>46</v>
      </c>
      <c r="X232" s="72" t="s">
        <v>19</v>
      </c>
      <c r="Y232" s="40">
        <v>13</v>
      </c>
      <c r="Z232" s="71">
        <v>45818</v>
      </c>
      <c r="AA232" s="40"/>
      <c r="AB232" s="40"/>
      <c r="AC232" s="40" t="s">
        <v>420</v>
      </c>
      <c r="AD232" s="40" t="s">
        <v>550</v>
      </c>
      <c r="AE232" s="40">
        <v>328</v>
      </c>
      <c r="AF232" s="103">
        <v>45819</v>
      </c>
      <c r="AG232" s="40">
        <v>129</v>
      </c>
      <c r="AH232" s="40">
        <f>VLOOKUP(Таблица310[[#This Row],[№ акта]],'Степень зрелости 2025'!$H$13:$I$583,2,FALSE)</f>
        <v>68</v>
      </c>
      <c r="AI232" s="40" t="str">
        <f>VLOOKUP(Таблица310[[#This Row],[№ акта]],$AQ$1:$AT$594,2,FALSE)</f>
        <v>А-54</v>
      </c>
      <c r="AJ232" s="40" t="str">
        <f>Таблица310[[#This Row],[Регистратор.Номенклатура]]</f>
        <v>Авола</v>
      </c>
      <c r="AK232" s="40" t="str">
        <f>VLOOKUP(Таблица310[[#This Row],[№ акта]],$AQ$1:$AT$594,4,FALSE)</f>
        <v>ГРК (богара)</v>
      </c>
      <c r="AL232" s="45">
        <f>VLOOKUP(Таблица310[[#This Row],[№ акта]],$AQ$1:$AT$594,3,FALSE)</f>
        <v>3.1334841628959276</v>
      </c>
      <c r="AM232" s="40" t="str">
        <f>IF(Таблица310[[#This Row],[Площадь уборки, га]]=Таблица310[[#This Row],[Площадь уборки до корр]],"нет","да")</f>
        <v>нет</v>
      </c>
      <c r="AN232" s="45">
        <f>Таблица310[[#This Row],[Площадь уборки до корр]]-Таблица310[[#This Row],[Площадь уборки, га]]</f>
        <v>0</v>
      </c>
      <c r="AQ232">
        <v>328</v>
      </c>
      <c r="AR232" t="s">
        <v>864</v>
      </c>
      <c r="AS232">
        <v>3.1334841628959276</v>
      </c>
      <c r="AT232" t="s">
        <v>46</v>
      </c>
      <c r="XEM232" s="72"/>
      <c r="XEN232" s="73"/>
      <c r="XEO232" s="74"/>
      <c r="XEP232" s="75"/>
      <c r="XEQ232" s="76"/>
      <c r="XER232" s="73"/>
    </row>
    <row r="233" spans="1:46 16367:16372" ht="25.5" hidden="1" customHeight="1" x14ac:dyDescent="0.25">
      <c r="A233" s="72"/>
      <c r="B233" s="73"/>
      <c r="C233" s="120">
        <f>Таблица310[[#This Row],[Степень зрелости вспом]]</f>
        <v>68</v>
      </c>
      <c r="D233" s="75">
        <v>329</v>
      </c>
      <c r="E233" s="146">
        <v>45819</v>
      </c>
      <c r="F233" s="73">
        <v>8840</v>
      </c>
      <c r="G233" s="73">
        <v>4290</v>
      </c>
      <c r="H233" s="77">
        <v>4550</v>
      </c>
      <c r="I233" s="73">
        <v>3989.7</v>
      </c>
      <c r="J233" s="72" t="s">
        <v>78</v>
      </c>
      <c r="K233" s="72" t="s">
        <v>747</v>
      </c>
      <c r="L233" s="72" t="s">
        <v>796</v>
      </c>
      <c r="M233" s="35" t="s">
        <v>737</v>
      </c>
      <c r="N233" s="40"/>
      <c r="O233" s="72"/>
      <c r="P233" s="72"/>
      <c r="Q233" s="72"/>
      <c r="R233" s="72" t="s">
        <v>738</v>
      </c>
      <c r="S233" s="40"/>
      <c r="T233" s="70" t="s">
        <v>840</v>
      </c>
      <c r="U233" s="68" t="str">
        <f>Таблица310[[#This Row],[Регистратор.Номенклатура]]</f>
        <v>Увертюра</v>
      </c>
      <c r="V233" s="45">
        <f>23*Таблица310[[#This Row],[Регистратор.Вес нетто]]/94350</f>
        <v>1.0457869634340222</v>
      </c>
      <c r="W233" s="72" t="s">
        <v>44</v>
      </c>
      <c r="X233" s="72" t="s">
        <v>19</v>
      </c>
      <c r="Y233" s="40">
        <v>13</v>
      </c>
      <c r="Z233" s="71">
        <v>45818</v>
      </c>
      <c r="AA233" s="40"/>
      <c r="AB233" s="40"/>
      <c r="AC233" s="40" t="s">
        <v>420</v>
      </c>
      <c r="AD233" s="40" t="s">
        <v>550</v>
      </c>
      <c r="AE233" s="40">
        <v>329</v>
      </c>
      <c r="AF233" s="103">
        <v>45819</v>
      </c>
      <c r="AG233" s="40">
        <v>131</v>
      </c>
      <c r="AH233" s="40">
        <f>VLOOKUP(Таблица310[[#This Row],[№ акта]],'Степень зрелости 2025'!$H$13:$I$583,2,FALSE)</f>
        <v>68</v>
      </c>
      <c r="AI233" s="40" t="str">
        <f>VLOOKUP(Таблица310[[#This Row],[№ акта]],$AQ$1:$AT$594,2,FALSE)</f>
        <v>А-51</v>
      </c>
      <c r="AJ233" s="40" t="str">
        <f>Таблица310[[#This Row],[Регистратор.Номенклатура]]</f>
        <v>Увертюра</v>
      </c>
      <c r="AK233" s="40" t="str">
        <f>VLOOKUP(Таблица310[[#This Row],[№ акта]],$AQ$1:$AT$594,4,FALSE)</f>
        <v>ГРК собственные семена (богара)</v>
      </c>
      <c r="AL233" s="45">
        <f>VLOOKUP(Таблица310[[#This Row],[№ акта]],$AQ$1:$AT$594,3,FALSE)</f>
        <v>1.0457869634340222</v>
      </c>
      <c r="AM233" s="40" t="str">
        <f>IF(Таблица310[[#This Row],[Площадь уборки, га]]=Таблица310[[#This Row],[Площадь уборки до корр]],"нет","да")</f>
        <v>нет</v>
      </c>
      <c r="AN233" s="45">
        <f>Таблица310[[#This Row],[Площадь уборки до корр]]-Таблица310[[#This Row],[Площадь уборки, га]]</f>
        <v>0</v>
      </c>
      <c r="AQ233">
        <v>329</v>
      </c>
      <c r="AR233" t="s">
        <v>840</v>
      </c>
      <c r="AS233">
        <v>1.0457869634340222</v>
      </c>
      <c r="AT233" t="s">
        <v>44</v>
      </c>
      <c r="XEM233" s="72"/>
      <c r="XEN233" s="73"/>
      <c r="XEO233" s="74"/>
      <c r="XEP233" s="75"/>
      <c r="XEQ233" s="76"/>
      <c r="XER233" s="73"/>
    </row>
    <row r="234" spans="1:46 16367:16372" ht="25.5" hidden="1" customHeight="1" x14ac:dyDescent="0.25">
      <c r="A234" s="72"/>
      <c r="B234" s="73"/>
      <c r="C234" s="120">
        <f>Таблица310[[#This Row],[Степень зрелости вспом]]</f>
        <v>69</v>
      </c>
      <c r="D234" s="75">
        <v>330</v>
      </c>
      <c r="E234" s="146">
        <v>45819</v>
      </c>
      <c r="F234" s="73">
        <v>27160</v>
      </c>
      <c r="G234" s="73">
        <v>12910</v>
      </c>
      <c r="H234" s="77">
        <v>14250</v>
      </c>
      <c r="I234" s="73">
        <v>11554.4</v>
      </c>
      <c r="J234" s="72" t="s">
        <v>78</v>
      </c>
      <c r="K234" s="72" t="s">
        <v>747</v>
      </c>
      <c r="L234" s="72" t="s">
        <v>796</v>
      </c>
      <c r="M234" s="35" t="s">
        <v>127</v>
      </c>
      <c r="N234" s="40"/>
      <c r="O234" s="72"/>
      <c r="P234" s="72"/>
      <c r="Q234" s="72"/>
      <c r="R234" s="72" t="s">
        <v>131</v>
      </c>
      <c r="S234" s="40"/>
      <c r="T234" s="70" t="s">
        <v>840</v>
      </c>
      <c r="U234" s="68" t="str">
        <f>Таблица310[[#This Row],[Регистратор.Номенклатура]]</f>
        <v>Увертюра</v>
      </c>
      <c r="V234" s="45">
        <f>23*Таблица310[[#This Row],[Регистратор.Вес нетто]]/94350</f>
        <v>3.1471118177000532</v>
      </c>
      <c r="W234" s="72" t="s">
        <v>44</v>
      </c>
      <c r="X234" s="72" t="s">
        <v>19</v>
      </c>
      <c r="Y234" s="40">
        <v>13</v>
      </c>
      <c r="Z234" s="71">
        <v>45818</v>
      </c>
      <c r="AA234" s="40"/>
      <c r="AB234" s="40"/>
      <c r="AC234" s="40" t="s">
        <v>420</v>
      </c>
      <c r="AD234" s="40" t="s">
        <v>550</v>
      </c>
      <c r="AE234" s="40">
        <v>330</v>
      </c>
      <c r="AF234" s="103">
        <v>45819</v>
      </c>
      <c r="AG234" s="40">
        <v>130</v>
      </c>
      <c r="AH234" s="40">
        <f>VLOOKUP(Таблица310[[#This Row],[№ акта]],'Степень зрелости 2025'!$H$13:$I$583,2,FALSE)</f>
        <v>69</v>
      </c>
      <c r="AI234" s="40" t="str">
        <f>VLOOKUP(Таблица310[[#This Row],[№ акта]],$AQ$1:$AT$594,2,FALSE)</f>
        <v>А-51</v>
      </c>
      <c r="AJ234" s="40" t="str">
        <f>Таблица310[[#This Row],[Регистратор.Номенклатура]]</f>
        <v>Увертюра</v>
      </c>
      <c r="AK234" s="40" t="str">
        <f>VLOOKUP(Таблица310[[#This Row],[№ акта]],$AQ$1:$AT$594,4,FALSE)</f>
        <v>ГРК собственные семена (богара)</v>
      </c>
      <c r="AL234" s="45">
        <f>VLOOKUP(Таблица310[[#This Row],[№ акта]],$AQ$1:$AT$594,3,FALSE)</f>
        <v>3.1471118177000532</v>
      </c>
      <c r="AM234" s="40" t="str">
        <f>IF(Таблица310[[#This Row],[Площадь уборки, га]]=Таблица310[[#This Row],[Площадь уборки до корр]],"нет","да")</f>
        <v>нет</v>
      </c>
      <c r="AN234" s="45">
        <f>Таблица310[[#This Row],[Площадь уборки до корр]]-Таблица310[[#This Row],[Площадь уборки, га]]</f>
        <v>0</v>
      </c>
      <c r="AQ234">
        <v>330</v>
      </c>
      <c r="AR234" t="s">
        <v>840</v>
      </c>
      <c r="AS234">
        <v>3.1471118177000532</v>
      </c>
      <c r="AT234" t="s">
        <v>44</v>
      </c>
      <c r="XEM234" s="72"/>
      <c r="XEN234" s="73"/>
      <c r="XEO234" s="74"/>
      <c r="XEP234" s="75"/>
      <c r="XEQ234" s="76"/>
      <c r="XER234" s="73"/>
    </row>
    <row r="235" spans="1:46 16367:16372" ht="25.5" hidden="1" customHeight="1" x14ac:dyDescent="0.25">
      <c r="A235" s="72"/>
      <c r="B235" s="73"/>
      <c r="C235" s="120">
        <f>Таблица310[[#This Row],[Степень зрелости вспом]]</f>
        <v>65</v>
      </c>
      <c r="D235" s="75">
        <v>331</v>
      </c>
      <c r="E235" s="146">
        <v>45818</v>
      </c>
      <c r="F235" s="73">
        <v>22670</v>
      </c>
      <c r="G235" s="73">
        <v>8390</v>
      </c>
      <c r="H235" s="77">
        <v>14280</v>
      </c>
      <c r="I235" s="73">
        <v>6795.9</v>
      </c>
      <c r="J235" s="72" t="s">
        <v>78</v>
      </c>
      <c r="K235" s="72" t="s">
        <v>899</v>
      </c>
      <c r="L235" s="72" t="s">
        <v>796</v>
      </c>
      <c r="M235" s="35" t="s">
        <v>127</v>
      </c>
      <c r="N235" s="40"/>
      <c r="O235" s="72"/>
      <c r="P235" s="72"/>
      <c r="Q235" s="72"/>
      <c r="R235" s="72" t="s">
        <v>131</v>
      </c>
      <c r="S235" s="40"/>
      <c r="T235" s="70" t="s">
        <v>840</v>
      </c>
      <c r="U235" s="68" t="str">
        <f>Таблица310[[#This Row],[Регистратор.Номенклатура]]</f>
        <v>парус</v>
      </c>
      <c r="V235" s="45">
        <v>4</v>
      </c>
      <c r="W235" s="72" t="s">
        <v>45</v>
      </c>
      <c r="X235" s="72" t="s">
        <v>19</v>
      </c>
      <c r="Y235" s="40">
        <v>13</v>
      </c>
      <c r="Z235" s="71">
        <v>45818</v>
      </c>
      <c r="AA235" s="40"/>
      <c r="AB235" s="40" t="s">
        <v>907</v>
      </c>
      <c r="AC235" s="40" t="s">
        <v>725</v>
      </c>
      <c r="AD235" s="40" t="s">
        <v>511</v>
      </c>
      <c r="AE235" s="40">
        <v>331</v>
      </c>
      <c r="AF235" s="103">
        <v>45818</v>
      </c>
      <c r="AG235" s="40">
        <v>122</v>
      </c>
      <c r="AH235" s="40">
        <f>VLOOKUP(Таблица310[[#This Row],[№ акта]],'Степень зрелости 2025'!$H$13:$I$583,2,FALSE)</f>
        <v>65</v>
      </c>
      <c r="AI235" s="40" t="str">
        <f>VLOOKUP(Таблица310[[#This Row],[№ акта]],$AQ$1:$AT$594,2,FALSE)</f>
        <v>А-51</v>
      </c>
      <c r="AJ235" s="40" t="str">
        <f>Таблица310[[#This Row],[Регистратор.Номенклатура]]</f>
        <v>парус</v>
      </c>
      <c r="AK235" s="40" t="str">
        <f>VLOOKUP(Таблица310[[#This Row],[№ акта]],$AQ$1:$AT$594,4,FALSE)</f>
        <v>ГРК демо (богара)</v>
      </c>
      <c r="AL235" s="45">
        <f>VLOOKUP(Таблица310[[#This Row],[№ акта]],$AQ$1:$AT$594,3,FALSE)</f>
        <v>4</v>
      </c>
      <c r="AM235" s="40" t="str">
        <f>IF(Таблица310[[#This Row],[Площадь уборки, га]]=Таблица310[[#This Row],[Площадь уборки до корр]],"нет","да")</f>
        <v>нет</v>
      </c>
      <c r="AN235" s="45">
        <f>Таблица310[[#This Row],[Площадь уборки до корр]]-Таблица310[[#This Row],[Площадь уборки, га]]</f>
        <v>0</v>
      </c>
      <c r="AQ235">
        <v>331</v>
      </c>
      <c r="AR235" t="s">
        <v>840</v>
      </c>
      <c r="AS235">
        <v>4</v>
      </c>
      <c r="AT235" t="s">
        <v>45</v>
      </c>
      <c r="XEM235" s="72"/>
      <c r="XEN235" s="73"/>
      <c r="XEO235" s="74"/>
      <c r="XEP235" s="75"/>
      <c r="XEQ235" s="76"/>
      <c r="XER235" s="73"/>
    </row>
    <row r="236" spans="1:46 16367:16372" ht="25.5" hidden="1" customHeight="1" x14ac:dyDescent="0.25">
      <c r="A236" s="72"/>
      <c r="B236" s="73"/>
      <c r="C236" s="120">
        <f>Таблица310[[#This Row],[Степень зрелости вспом]]</f>
        <v>68</v>
      </c>
      <c r="D236" s="75">
        <v>332</v>
      </c>
      <c r="E236" s="146">
        <v>45819</v>
      </c>
      <c r="F236" s="73">
        <v>28460</v>
      </c>
      <c r="G236" s="73">
        <v>13620</v>
      </c>
      <c r="H236" s="77">
        <v>14840</v>
      </c>
      <c r="I236" s="73">
        <v>12326.1</v>
      </c>
      <c r="J236" s="72" t="s">
        <v>78</v>
      </c>
      <c r="K236" s="72" t="s">
        <v>524</v>
      </c>
      <c r="L236" s="72" t="s">
        <v>849</v>
      </c>
      <c r="M236" s="35" t="s">
        <v>894</v>
      </c>
      <c r="N236" s="40"/>
      <c r="O236" s="72"/>
      <c r="P236" s="72"/>
      <c r="Q236" s="72"/>
      <c r="R236" s="72" t="s">
        <v>895</v>
      </c>
      <c r="S236" s="40"/>
      <c r="T236" s="70" t="s">
        <v>864</v>
      </c>
      <c r="U236" s="68" t="str">
        <f>Таблица310[[#This Row],[Регистратор.Номенклатура]]</f>
        <v>Авола</v>
      </c>
      <c r="V236" s="45">
        <f>14*Таблица310[[#This Row],[Регистратор.Вес нетто]]/61880</f>
        <v>3.0814479638009051</v>
      </c>
      <c r="W236" s="72" t="s">
        <v>46</v>
      </c>
      <c r="X236" s="72" t="s">
        <v>19</v>
      </c>
      <c r="Y236" s="40">
        <v>13</v>
      </c>
      <c r="Z236" s="71">
        <v>45818</v>
      </c>
      <c r="AA236" s="40"/>
      <c r="AB236" s="40"/>
      <c r="AC236" s="40" t="s">
        <v>420</v>
      </c>
      <c r="AD236" s="40" t="s">
        <v>550</v>
      </c>
      <c r="AE236" s="40">
        <v>332</v>
      </c>
      <c r="AF236" s="103">
        <v>45819</v>
      </c>
      <c r="AG236" s="40">
        <v>132</v>
      </c>
      <c r="AH236" s="40">
        <f>VLOOKUP(Таблица310[[#This Row],[№ акта]],'Степень зрелости 2025'!$H$13:$I$583,2,FALSE)</f>
        <v>68</v>
      </c>
      <c r="AI236" s="40" t="str">
        <f>VLOOKUP(Таблица310[[#This Row],[№ акта]],$AQ$1:$AT$594,2,FALSE)</f>
        <v>А-54</v>
      </c>
      <c r="AJ236" s="40" t="str">
        <f>Таблица310[[#This Row],[Регистратор.Номенклатура]]</f>
        <v>Авола</v>
      </c>
      <c r="AK236" s="40" t="str">
        <f>VLOOKUP(Таблица310[[#This Row],[№ акта]],$AQ$1:$AT$594,4,FALSE)</f>
        <v>ГРК (богара)</v>
      </c>
      <c r="AL236" s="45">
        <f>VLOOKUP(Таблица310[[#This Row],[№ акта]],$AQ$1:$AT$594,3,FALSE)</f>
        <v>3.0814479638009051</v>
      </c>
      <c r="AM236" s="40" t="str">
        <f>IF(Таблица310[[#This Row],[Площадь уборки, га]]=Таблица310[[#This Row],[Площадь уборки до корр]],"нет","да")</f>
        <v>нет</v>
      </c>
      <c r="AN236" s="45">
        <f>Таблица310[[#This Row],[Площадь уборки до корр]]-Таблица310[[#This Row],[Площадь уборки, га]]</f>
        <v>0</v>
      </c>
      <c r="AQ236">
        <v>332</v>
      </c>
      <c r="AR236" t="s">
        <v>864</v>
      </c>
      <c r="AS236">
        <v>3.0814479638009051</v>
      </c>
      <c r="AT236" t="s">
        <v>46</v>
      </c>
      <c r="XEM236" s="72"/>
      <c r="XEN236" s="73"/>
      <c r="XEO236" s="74"/>
      <c r="XEP236" s="75"/>
      <c r="XEQ236" s="76"/>
      <c r="XER236" s="73"/>
    </row>
    <row r="237" spans="1:46 16367:16372" ht="25.5" hidden="1" customHeight="1" x14ac:dyDescent="0.25">
      <c r="A237" s="72"/>
      <c r="B237" s="73"/>
      <c r="C237" s="120">
        <f>Таблица310[[#This Row],[Степень зрелости вспом]]</f>
        <v>66</v>
      </c>
      <c r="D237" s="75">
        <v>333</v>
      </c>
      <c r="E237" s="146">
        <v>45819</v>
      </c>
      <c r="F237" s="73">
        <v>27930</v>
      </c>
      <c r="G237" s="73">
        <v>13290</v>
      </c>
      <c r="H237" s="77">
        <v>14640</v>
      </c>
      <c r="I237" s="73">
        <v>11961</v>
      </c>
      <c r="J237" s="72" t="s">
        <v>78</v>
      </c>
      <c r="K237" s="72" t="s">
        <v>747</v>
      </c>
      <c r="L237" s="72" t="s">
        <v>796</v>
      </c>
      <c r="M237" s="35" t="s">
        <v>335</v>
      </c>
      <c r="N237" s="40"/>
      <c r="O237" s="72"/>
      <c r="P237" s="72"/>
      <c r="Q237" s="72"/>
      <c r="R237" s="72" t="s">
        <v>339</v>
      </c>
      <c r="S237" s="40"/>
      <c r="T237" s="70" t="s">
        <v>840</v>
      </c>
      <c r="U237" s="68" t="str">
        <f>Таблица310[[#This Row],[Регистратор.Номенклатура]]</f>
        <v>Увертюра</v>
      </c>
      <c r="V237" s="45">
        <f>23*Таблица310[[#This Row],[Регистратор.Вес нетто]]/94350</f>
        <v>3.239745627980922</v>
      </c>
      <c r="W237" s="72" t="s">
        <v>44</v>
      </c>
      <c r="X237" s="72" t="s">
        <v>19</v>
      </c>
      <c r="Y237" s="40">
        <v>13</v>
      </c>
      <c r="Z237" s="71">
        <v>45818</v>
      </c>
      <c r="AA237" s="40"/>
      <c r="AB237" s="40"/>
      <c r="AC237" s="40" t="s">
        <v>725</v>
      </c>
      <c r="AD237" s="40" t="s">
        <v>550</v>
      </c>
      <c r="AE237" s="40">
        <v>333</v>
      </c>
      <c r="AF237" s="103">
        <v>45819</v>
      </c>
      <c r="AG237" s="40">
        <v>133</v>
      </c>
      <c r="AH237" s="40">
        <f>VLOOKUP(Таблица310[[#This Row],[№ акта]],'Степень зрелости 2025'!$H$13:$I$583,2,FALSE)</f>
        <v>66</v>
      </c>
      <c r="AI237" s="40" t="str">
        <f>VLOOKUP(Таблица310[[#This Row],[№ акта]],$AQ$1:$AT$594,2,FALSE)</f>
        <v>А-51</v>
      </c>
      <c r="AJ237" s="40" t="str">
        <f>Таблица310[[#This Row],[Регистратор.Номенклатура]]</f>
        <v>Увертюра</v>
      </c>
      <c r="AK237" s="40" t="str">
        <f>VLOOKUP(Таблица310[[#This Row],[№ акта]],$AQ$1:$AT$594,4,FALSE)</f>
        <v>ГРК собственные семена (богара)</v>
      </c>
      <c r="AL237" s="45">
        <f>VLOOKUP(Таблица310[[#This Row],[№ акта]],$AQ$1:$AT$594,3,FALSE)</f>
        <v>3.239745627980922</v>
      </c>
      <c r="AM237" s="40" t="str">
        <f>IF(Таблица310[[#This Row],[Площадь уборки, га]]=Таблица310[[#This Row],[Площадь уборки до корр]],"нет","да")</f>
        <v>нет</v>
      </c>
      <c r="AN237" s="45">
        <f>Таблица310[[#This Row],[Площадь уборки до корр]]-Таблица310[[#This Row],[Площадь уборки, га]]</f>
        <v>0</v>
      </c>
      <c r="AQ237">
        <v>333</v>
      </c>
      <c r="AR237" t="s">
        <v>840</v>
      </c>
      <c r="AS237">
        <v>3.239745627980922</v>
      </c>
      <c r="AT237" t="s">
        <v>44</v>
      </c>
      <c r="XEM237" s="72"/>
      <c r="XEN237" s="73"/>
      <c r="XEO237" s="74"/>
      <c r="XEP237" s="75"/>
      <c r="XEQ237" s="76"/>
      <c r="XER237" s="73"/>
    </row>
    <row r="238" spans="1:46 16367:16372" ht="25.5" hidden="1" customHeight="1" x14ac:dyDescent="0.25">
      <c r="A238" s="72"/>
      <c r="B238" s="73"/>
      <c r="C238" s="120">
        <v>74</v>
      </c>
      <c r="D238" s="75">
        <v>334</v>
      </c>
      <c r="E238" s="146">
        <v>45819</v>
      </c>
      <c r="F238" s="73">
        <v>25280</v>
      </c>
      <c r="G238" s="73">
        <v>10340</v>
      </c>
      <c r="H238" s="77">
        <v>14940</v>
      </c>
      <c r="I238" s="73">
        <v>9823</v>
      </c>
      <c r="J238" s="72" t="s">
        <v>78</v>
      </c>
      <c r="K238" s="72" t="s">
        <v>747</v>
      </c>
      <c r="L238" s="72" t="s">
        <v>796</v>
      </c>
      <c r="M238" s="35" t="s">
        <v>133</v>
      </c>
      <c r="N238" s="40"/>
      <c r="O238" s="72"/>
      <c r="P238" s="72"/>
      <c r="Q238" s="72"/>
      <c r="R238" s="72" t="s">
        <v>137</v>
      </c>
      <c r="S238" s="40"/>
      <c r="T238" s="70" t="s">
        <v>840</v>
      </c>
      <c r="U238" s="68" t="str">
        <f>Таблица310[[#This Row],[Регистратор.Номенклатура]]</f>
        <v>Увертюра</v>
      </c>
      <c r="V238" s="45">
        <f>23*Таблица310[[#This Row],[Регистратор.Вес нетто]]/94350</f>
        <v>2.5206147323794381</v>
      </c>
      <c r="W238" s="72" t="s">
        <v>44</v>
      </c>
      <c r="X238" s="72" t="s">
        <v>19</v>
      </c>
      <c r="Y238" s="40">
        <v>14</v>
      </c>
      <c r="Z238" s="71">
        <v>45819</v>
      </c>
      <c r="AA238" s="40"/>
      <c r="AB238" s="40"/>
      <c r="AC238" s="40" t="s">
        <v>420</v>
      </c>
      <c r="AD238" s="40" t="s">
        <v>833</v>
      </c>
      <c r="AE238" s="40">
        <v>334</v>
      </c>
      <c r="AF238" s="103">
        <v>45819</v>
      </c>
      <c r="AG238" s="40">
        <v>134</v>
      </c>
      <c r="AH238" s="40">
        <f>VLOOKUP(Таблица310[[#This Row],[№ акта]],'Степень зрелости 2025'!$H$13:$I$583,2,FALSE)</f>
        <v>74</v>
      </c>
      <c r="AI238" s="40" t="str">
        <f>VLOOKUP(Таблица310[[#This Row],[№ акта]],$AQ$1:$AT$594,2,FALSE)</f>
        <v>А-51</v>
      </c>
      <c r="AJ238" s="40" t="str">
        <f>Таблица310[[#This Row],[Регистратор.Номенклатура]]</f>
        <v>Увертюра</v>
      </c>
      <c r="AK238" s="40" t="str">
        <f>VLOOKUP(Таблица310[[#This Row],[№ акта]],$AQ$1:$AT$594,4,FALSE)</f>
        <v>ГРК собственные семена (богара)</v>
      </c>
      <c r="AL238" s="45">
        <f>VLOOKUP(Таблица310[[#This Row],[№ акта]],$AQ$1:$AT$594,3,FALSE)</f>
        <v>2.5206147323794381</v>
      </c>
      <c r="AM238" s="40" t="str">
        <f>IF(Таблица310[[#This Row],[Площадь уборки, га]]=Таблица310[[#This Row],[Площадь уборки до корр]],"нет","да")</f>
        <v>нет</v>
      </c>
      <c r="AN238" s="45">
        <f>Таблица310[[#This Row],[Площадь уборки до корр]]-Таблица310[[#This Row],[Площадь уборки, га]]</f>
        <v>0</v>
      </c>
      <c r="AQ238">
        <v>334</v>
      </c>
      <c r="AR238" t="s">
        <v>840</v>
      </c>
      <c r="AS238">
        <v>2.5206147323794381</v>
      </c>
      <c r="AT238" t="s">
        <v>44</v>
      </c>
      <c r="XEM238" s="72"/>
      <c r="XEN238" s="73"/>
      <c r="XEO238" s="74"/>
      <c r="XEP238" s="75"/>
      <c r="XEQ238" s="76"/>
      <c r="XER238" s="73"/>
    </row>
    <row r="239" spans="1:46 16367:16372" ht="25.5" hidden="1" customHeight="1" x14ac:dyDescent="0.25">
      <c r="A239" s="72"/>
      <c r="B239" s="73"/>
      <c r="C239" s="120">
        <v>74</v>
      </c>
      <c r="D239" s="75">
        <v>335</v>
      </c>
      <c r="E239" s="146">
        <v>45819</v>
      </c>
      <c r="F239" s="73">
        <v>25720</v>
      </c>
      <c r="G239" s="73">
        <v>10700</v>
      </c>
      <c r="H239" s="77">
        <v>15020</v>
      </c>
      <c r="I239" s="73">
        <v>10004.5</v>
      </c>
      <c r="J239" s="72" t="s">
        <v>78</v>
      </c>
      <c r="K239" s="72" t="s">
        <v>747</v>
      </c>
      <c r="L239" s="72" t="s">
        <v>796</v>
      </c>
      <c r="M239" s="35" t="s">
        <v>311</v>
      </c>
      <c r="N239" s="40"/>
      <c r="O239" s="72"/>
      <c r="P239" s="72"/>
      <c r="Q239" s="72"/>
      <c r="R239" s="72" t="s">
        <v>315</v>
      </c>
      <c r="S239" s="40"/>
      <c r="T239" s="70" t="s">
        <v>840</v>
      </c>
      <c r="U239" s="68" t="str">
        <f>Таблица310[[#This Row],[Регистратор.Номенклатура]]</f>
        <v>Увертюра</v>
      </c>
      <c r="V239" s="45">
        <f>23*Таблица310[[#This Row],[Регистратор.Вес нетто]]/94350</f>
        <v>2.6083730789613142</v>
      </c>
      <c r="W239" s="72" t="s">
        <v>44</v>
      </c>
      <c r="X239" s="72" t="s">
        <v>19</v>
      </c>
      <c r="Y239" s="40">
        <v>14</v>
      </c>
      <c r="Z239" s="71">
        <v>45819</v>
      </c>
      <c r="AA239" s="40"/>
      <c r="AB239" s="40"/>
      <c r="AC239" s="40" t="s">
        <v>420</v>
      </c>
      <c r="AD239" s="40" t="s">
        <v>833</v>
      </c>
      <c r="AE239" s="40">
        <v>335</v>
      </c>
      <c r="AF239" s="103">
        <v>45819</v>
      </c>
      <c r="AG239" s="40">
        <v>135</v>
      </c>
      <c r="AH239" s="40">
        <f>VLOOKUP(Таблица310[[#This Row],[№ акта]],'Степень зрелости 2025'!$H$13:$I$583,2,FALSE)</f>
        <v>74</v>
      </c>
      <c r="AI239" s="40" t="str">
        <f>VLOOKUP(Таблица310[[#This Row],[№ акта]],$AQ$1:$AT$594,2,FALSE)</f>
        <v>А-51</v>
      </c>
      <c r="AJ239" s="40" t="str">
        <f>Таблица310[[#This Row],[Регистратор.Номенклатура]]</f>
        <v>Увертюра</v>
      </c>
      <c r="AK239" s="40" t="str">
        <f>VLOOKUP(Таблица310[[#This Row],[№ акта]],$AQ$1:$AT$594,4,FALSE)</f>
        <v>ГРК собственные семена (богара)</v>
      </c>
      <c r="AL239" s="45">
        <f>VLOOKUP(Таблица310[[#This Row],[№ акта]],$AQ$1:$AT$594,3,FALSE)</f>
        <v>2.6083730789613142</v>
      </c>
      <c r="AM239" s="40" t="str">
        <f>IF(Таблица310[[#This Row],[Площадь уборки, га]]=Таблица310[[#This Row],[Площадь уборки до корр]],"нет","да")</f>
        <v>нет</v>
      </c>
      <c r="AN239" s="45">
        <f>Таблица310[[#This Row],[Площадь уборки до корр]]-Таблица310[[#This Row],[Площадь уборки, га]]</f>
        <v>0</v>
      </c>
      <c r="AQ239">
        <v>335</v>
      </c>
      <c r="AR239" t="s">
        <v>840</v>
      </c>
      <c r="AS239">
        <v>2.6083730789613142</v>
      </c>
      <c r="AT239" t="s">
        <v>44</v>
      </c>
      <c r="XEM239" s="72"/>
      <c r="XEN239" s="73"/>
      <c r="XEO239" s="74"/>
      <c r="XEP239" s="75"/>
      <c r="XEQ239" s="76"/>
      <c r="XER239" s="73"/>
    </row>
    <row r="240" spans="1:46 16367:16372" ht="25.5" hidden="1" customHeight="1" x14ac:dyDescent="0.25">
      <c r="A240" s="72"/>
      <c r="B240" s="73"/>
      <c r="C240" s="120">
        <f>Таблица310[[#This Row],[Степень зрелости вспом]]</f>
        <v>64</v>
      </c>
      <c r="D240" s="75">
        <v>336</v>
      </c>
      <c r="E240" s="146">
        <v>45819</v>
      </c>
      <c r="F240" s="73">
        <v>8800</v>
      </c>
      <c r="G240" s="73">
        <v>4200</v>
      </c>
      <c r="H240" s="77">
        <v>4600</v>
      </c>
      <c r="I240" s="73">
        <v>3906</v>
      </c>
      <c r="J240" s="72" t="s">
        <v>903</v>
      </c>
      <c r="K240" s="72" t="s">
        <v>901</v>
      </c>
      <c r="L240" s="72" t="s">
        <v>904</v>
      </c>
      <c r="M240" s="35" t="s">
        <v>762</v>
      </c>
      <c r="N240" s="40"/>
      <c r="O240" s="72"/>
      <c r="P240" s="72"/>
      <c r="Q240" s="72"/>
      <c r="R240" s="72" t="s">
        <v>763</v>
      </c>
      <c r="S240" s="40"/>
      <c r="T240" s="106">
        <v>40</v>
      </c>
      <c r="U240" s="68" t="str">
        <f>Таблица310[[#This Row],[Регистратор.Номенклатура]]</f>
        <v>Фаворит</v>
      </c>
      <c r="V240" s="45">
        <f>25*Таблица310[[#This Row],[Регистратор.Вес нетто]]/108630</f>
        <v>0.96658381662524162</v>
      </c>
      <c r="W240" s="72" t="s">
        <v>50</v>
      </c>
      <c r="X240" s="72" t="s">
        <v>178</v>
      </c>
      <c r="Y240" s="40">
        <v>2</v>
      </c>
      <c r="Z240" s="71">
        <v>45819</v>
      </c>
      <c r="AA240" s="40"/>
      <c r="AB240" s="40"/>
      <c r="AC240" s="40" t="s">
        <v>420</v>
      </c>
      <c r="AD240" s="40" t="s">
        <v>550</v>
      </c>
      <c r="AE240" s="40">
        <v>336</v>
      </c>
      <c r="AF240" s="103">
        <v>45819</v>
      </c>
      <c r="AG240" s="40">
        <v>3</v>
      </c>
      <c r="AH240" s="40">
        <f>VLOOKUP(Таблица310[[#This Row],[№ акта]],'Степень зрелости 2025'!$H$13:$I$583,2,FALSE)</f>
        <v>64</v>
      </c>
      <c r="AI240" s="40">
        <f>VLOOKUP(Таблица310[[#This Row],[№ акта]],$AQ$1:$AT$594,2,FALSE)</f>
        <v>40</v>
      </c>
      <c r="AJ240" s="40" t="str">
        <f>Таблица310[[#This Row],[Регистратор.Номенклатура]]</f>
        <v>Фаворит</v>
      </c>
      <c r="AK240" s="40" t="str">
        <f>VLOOKUP(Таблица310[[#This Row],[№ акта]],$AQ$1:$AT$594,4,FALSE)</f>
        <v>Братковский (полив)</v>
      </c>
      <c r="AL240" s="45">
        <f>VLOOKUP(Таблица310[[#This Row],[№ акта]],$AQ$1:$AT$594,3,FALSE)</f>
        <v>0.96658381662524162</v>
      </c>
      <c r="AM240" s="40" t="str">
        <f>IF(Таблица310[[#This Row],[Площадь уборки, га]]=Таблица310[[#This Row],[Площадь уборки до корр]],"нет","да")</f>
        <v>нет</v>
      </c>
      <c r="AN240" s="45">
        <f>Таблица310[[#This Row],[Площадь уборки до корр]]-Таблица310[[#This Row],[Площадь уборки, га]]</f>
        <v>0</v>
      </c>
      <c r="AQ240">
        <v>336</v>
      </c>
      <c r="AR240">
        <v>40</v>
      </c>
      <c r="AS240">
        <v>0.96658381662524162</v>
      </c>
      <c r="AT240" t="s">
        <v>50</v>
      </c>
      <c r="XEM240" s="72"/>
      <c r="XEN240" s="73"/>
      <c r="XEO240" s="74"/>
      <c r="XEP240" s="75"/>
      <c r="XEQ240" s="76"/>
      <c r="XER240" s="73"/>
    </row>
    <row r="241" spans="1:46 16367:16372" ht="25.5" hidden="1" customHeight="1" x14ac:dyDescent="0.25">
      <c r="A241" s="72"/>
      <c r="B241" s="73"/>
      <c r="C241" s="120">
        <f>Таблица310[[#This Row],[Степень зрелости вспом]]</f>
        <v>64</v>
      </c>
      <c r="D241" s="75">
        <v>337</v>
      </c>
      <c r="E241" s="146">
        <v>45819</v>
      </c>
      <c r="F241" s="73">
        <v>27810</v>
      </c>
      <c r="G241" s="73">
        <v>12830</v>
      </c>
      <c r="H241" s="77">
        <v>14980</v>
      </c>
      <c r="I241" s="73">
        <v>11611.1</v>
      </c>
      <c r="J241" s="72" t="s">
        <v>903</v>
      </c>
      <c r="K241" s="72" t="s">
        <v>901</v>
      </c>
      <c r="L241" s="72" t="s">
        <v>904</v>
      </c>
      <c r="M241" s="35" t="s">
        <v>1253</v>
      </c>
      <c r="N241" s="40"/>
      <c r="O241" s="72"/>
      <c r="P241" s="72"/>
      <c r="Q241" s="72"/>
      <c r="R241" s="72" t="s">
        <v>270</v>
      </c>
      <c r="S241" s="40"/>
      <c r="T241" s="106">
        <v>40</v>
      </c>
      <c r="U241" s="68" t="str">
        <f>Таблица310[[#This Row],[Регистратор.Номенклатура]]</f>
        <v>Фаворит</v>
      </c>
      <c r="V241" s="45">
        <f>25*Таблица310[[#This Row],[Регистратор.Вес нетто]]/108630</f>
        <v>2.9526834207861548</v>
      </c>
      <c r="W241" s="72" t="s">
        <v>50</v>
      </c>
      <c r="X241" s="72" t="s">
        <v>178</v>
      </c>
      <c r="Y241" s="40">
        <v>2</v>
      </c>
      <c r="Z241" s="71">
        <v>45819</v>
      </c>
      <c r="AA241" s="40"/>
      <c r="AB241" s="40"/>
      <c r="AC241" s="40" t="s">
        <v>420</v>
      </c>
      <c r="AD241" s="40" t="s">
        <v>550</v>
      </c>
      <c r="AE241" s="40">
        <v>337</v>
      </c>
      <c r="AF241" s="103">
        <v>45819</v>
      </c>
      <c r="AG241" s="40">
        <v>1</v>
      </c>
      <c r="AH241" s="40">
        <f>VLOOKUP(Таблица310[[#This Row],[№ акта]],'Степень зрелости 2025'!$H$13:$I$583,2,FALSE)</f>
        <v>64</v>
      </c>
      <c r="AI241" s="40">
        <f>VLOOKUP(Таблица310[[#This Row],[№ акта]],$AQ$1:$AT$594,2,FALSE)</f>
        <v>40</v>
      </c>
      <c r="AJ241" s="40" t="str">
        <f>Таблица310[[#This Row],[Регистратор.Номенклатура]]</f>
        <v>Фаворит</v>
      </c>
      <c r="AK241" s="40" t="str">
        <f>VLOOKUP(Таблица310[[#This Row],[№ акта]],$AQ$1:$AT$594,4,FALSE)</f>
        <v>Братковский (полив)</v>
      </c>
      <c r="AL241" s="45">
        <f>VLOOKUP(Таблица310[[#This Row],[№ акта]],$AQ$1:$AT$594,3,FALSE)</f>
        <v>2.9526834207861548</v>
      </c>
      <c r="AM241" s="40" t="str">
        <f>IF(Таблица310[[#This Row],[Площадь уборки, га]]=Таблица310[[#This Row],[Площадь уборки до корр]],"нет","да")</f>
        <v>нет</v>
      </c>
      <c r="AN241" s="45">
        <f>Таблица310[[#This Row],[Площадь уборки до корр]]-Таблица310[[#This Row],[Площадь уборки, га]]</f>
        <v>0</v>
      </c>
      <c r="AQ241">
        <v>337</v>
      </c>
      <c r="AR241">
        <v>40</v>
      </c>
      <c r="AS241">
        <v>2.9526834207861548</v>
      </c>
      <c r="AT241" t="s">
        <v>50</v>
      </c>
      <c r="XEM241" s="72"/>
      <c r="XEN241" s="73"/>
      <c r="XEO241" s="74"/>
      <c r="XEP241" s="75"/>
      <c r="XEQ241" s="76"/>
      <c r="XER241" s="73"/>
    </row>
    <row r="242" spans="1:46 16367:16372" ht="25.5" hidden="1" customHeight="1" x14ac:dyDescent="0.25">
      <c r="A242" s="72"/>
      <c r="B242" s="73"/>
      <c r="C242" s="120">
        <f>Таблица310[[#This Row],[Степень зрелости вспом]]</f>
        <v>67</v>
      </c>
      <c r="D242" s="75">
        <v>338</v>
      </c>
      <c r="E242" s="146">
        <v>45819</v>
      </c>
      <c r="F242" s="73">
        <v>27520</v>
      </c>
      <c r="G242" s="73">
        <v>12750</v>
      </c>
      <c r="H242" s="77">
        <v>14770</v>
      </c>
      <c r="I242" s="73">
        <v>12112.5</v>
      </c>
      <c r="J242" s="72" t="s">
        <v>903</v>
      </c>
      <c r="K242" s="72" t="s">
        <v>901</v>
      </c>
      <c r="L242" s="72" t="s">
        <v>904</v>
      </c>
      <c r="M242" s="35" t="s">
        <v>272</v>
      </c>
      <c r="N242" s="40"/>
      <c r="O242" s="72"/>
      <c r="P242" s="72"/>
      <c r="Q242" s="72"/>
      <c r="R242" s="72" t="s">
        <v>276</v>
      </c>
      <c r="S242" s="40"/>
      <c r="T242" s="106">
        <v>40</v>
      </c>
      <c r="U242" s="68" t="str">
        <f>Таблица310[[#This Row],[Регистратор.Номенклатура]]</f>
        <v>Фаворит</v>
      </c>
      <c r="V242" s="45">
        <f>25*Таблица310[[#This Row],[Регистратор.Вес нетто]]/108630+0.15</f>
        <v>3.0842723004694834</v>
      </c>
      <c r="W242" s="72" t="s">
        <v>50</v>
      </c>
      <c r="X242" s="72" t="s">
        <v>178</v>
      </c>
      <c r="Y242" s="40">
        <v>2</v>
      </c>
      <c r="Z242" s="71">
        <v>45819</v>
      </c>
      <c r="AA242" s="40"/>
      <c r="AB242" s="40"/>
      <c r="AC242" s="40" t="s">
        <v>420</v>
      </c>
      <c r="AD242" s="40" t="s">
        <v>550</v>
      </c>
      <c r="AE242" s="40">
        <v>338</v>
      </c>
      <c r="AF242" s="103">
        <v>45819</v>
      </c>
      <c r="AG242" s="40">
        <v>2</v>
      </c>
      <c r="AH242" s="40">
        <f>VLOOKUP(Таблица310[[#This Row],[№ акта]],'Степень зрелости 2025'!$H$13:$I$583,2,FALSE)</f>
        <v>67</v>
      </c>
      <c r="AI242" s="40">
        <f>VLOOKUP(Таблица310[[#This Row],[№ акта]],$AQ$1:$AT$594,2,FALSE)</f>
        <v>40</v>
      </c>
      <c r="AJ242" s="40" t="str">
        <f>Таблица310[[#This Row],[Регистратор.Номенклатура]]</f>
        <v>Фаворит</v>
      </c>
      <c r="AK242" s="40" t="str">
        <f>VLOOKUP(Таблица310[[#This Row],[№ акта]],$AQ$1:$AT$594,4,FALSE)</f>
        <v>Братковский (полив)</v>
      </c>
      <c r="AL242" s="45">
        <f>VLOOKUP(Таблица310[[#This Row],[№ акта]],$AQ$1:$AT$594,3,FALSE)</f>
        <v>3.0842723004694834</v>
      </c>
      <c r="AM242" s="40" t="str">
        <f>IF(Таблица310[[#This Row],[Площадь уборки, га]]=Таблица310[[#This Row],[Площадь уборки до корр]],"нет","да")</f>
        <v>нет</v>
      </c>
      <c r="AN242" s="45">
        <f>Таблица310[[#This Row],[Площадь уборки до корр]]-Таблица310[[#This Row],[Площадь уборки, га]]</f>
        <v>0</v>
      </c>
      <c r="AQ242">
        <v>338</v>
      </c>
      <c r="AR242">
        <v>40</v>
      </c>
      <c r="AS242">
        <v>3.0842723004694834</v>
      </c>
      <c r="AT242" t="s">
        <v>50</v>
      </c>
      <c r="XEM242" s="72"/>
      <c r="XEN242" s="73"/>
      <c r="XEO242" s="74"/>
      <c r="XEP242" s="75"/>
      <c r="XEQ242" s="76"/>
      <c r="XER242" s="73"/>
    </row>
    <row r="243" spans="1:46 16367:16372" ht="25.5" hidden="1" customHeight="1" x14ac:dyDescent="0.25">
      <c r="A243" s="72"/>
      <c r="B243" s="73"/>
      <c r="C243" s="120">
        <f>Таблица310[[#This Row],[Степень зрелости вспом]]</f>
        <v>67</v>
      </c>
      <c r="D243" s="75">
        <v>339</v>
      </c>
      <c r="E243" s="146">
        <v>45819</v>
      </c>
      <c r="F243" s="73">
        <v>27190</v>
      </c>
      <c r="G243" s="73">
        <v>12660</v>
      </c>
      <c r="H243" s="77">
        <v>14530</v>
      </c>
      <c r="I243" s="73">
        <v>11647.2</v>
      </c>
      <c r="J243" s="72" t="s">
        <v>903</v>
      </c>
      <c r="K243" s="72" t="s">
        <v>901</v>
      </c>
      <c r="L243" s="72" t="s">
        <v>904</v>
      </c>
      <c r="M243" s="35" t="s">
        <v>239</v>
      </c>
      <c r="N243" s="40"/>
      <c r="O243" s="72"/>
      <c r="P243" s="72"/>
      <c r="Q243" s="72"/>
      <c r="R243" s="72" t="s">
        <v>243</v>
      </c>
      <c r="S243" s="40"/>
      <c r="T243" s="106">
        <v>40</v>
      </c>
      <c r="U243" s="68" t="str">
        <f>Таблица310[[#This Row],[Регистратор.Номенклатура]]</f>
        <v>Фаворит</v>
      </c>
      <c r="V243" s="45">
        <f>25*Таблица310[[#This Row],[Регистратор.Вес нетто]]/108630+0.15</f>
        <v>3.0635597901132283</v>
      </c>
      <c r="W243" s="72" t="s">
        <v>50</v>
      </c>
      <c r="X243" s="72" t="s">
        <v>178</v>
      </c>
      <c r="Y243" s="40">
        <v>2</v>
      </c>
      <c r="Z243" s="71">
        <v>45819</v>
      </c>
      <c r="AA243" s="40"/>
      <c r="AB243" s="40"/>
      <c r="AC243" s="40" t="s">
        <v>420</v>
      </c>
      <c r="AD243" s="40" t="s">
        <v>550</v>
      </c>
      <c r="AE243" s="40">
        <v>339</v>
      </c>
      <c r="AF243" s="103">
        <v>45819</v>
      </c>
      <c r="AG243" s="40">
        <v>4</v>
      </c>
      <c r="AH243" s="40">
        <f>VLOOKUP(Таблица310[[#This Row],[№ акта]],'Степень зрелости 2025'!$H$13:$I$583,2,FALSE)</f>
        <v>67</v>
      </c>
      <c r="AI243" s="40">
        <f>VLOOKUP(Таблица310[[#This Row],[№ акта]],$AQ$1:$AT$594,2,FALSE)</f>
        <v>40</v>
      </c>
      <c r="AJ243" s="40" t="str">
        <f>Таблица310[[#This Row],[Регистратор.Номенклатура]]</f>
        <v>Фаворит</v>
      </c>
      <c r="AK243" s="40" t="str">
        <f>VLOOKUP(Таблица310[[#This Row],[№ акта]],$AQ$1:$AT$594,4,FALSE)</f>
        <v>Братковский (полив)</v>
      </c>
      <c r="AL243" s="45">
        <f>VLOOKUP(Таблица310[[#This Row],[№ акта]],$AQ$1:$AT$594,3,FALSE)</f>
        <v>3.0635597901132283</v>
      </c>
      <c r="AM243" s="40" t="str">
        <f>IF(Таблица310[[#This Row],[Площадь уборки, га]]=Таблица310[[#This Row],[Площадь уборки до корр]],"нет","да")</f>
        <v>нет</v>
      </c>
      <c r="AN243" s="45">
        <f>Таблица310[[#This Row],[Площадь уборки до корр]]-Таблица310[[#This Row],[Площадь уборки, га]]</f>
        <v>0</v>
      </c>
      <c r="AQ243">
        <v>339</v>
      </c>
      <c r="AR243">
        <v>40</v>
      </c>
      <c r="AS243">
        <v>3.0635597901132283</v>
      </c>
      <c r="AT243" t="s">
        <v>50</v>
      </c>
      <c r="XEM243" s="72"/>
      <c r="XEN243" s="73"/>
      <c r="XEO243" s="74"/>
      <c r="XEP243" s="75"/>
      <c r="XEQ243" s="76"/>
      <c r="XER243" s="73"/>
    </row>
    <row r="244" spans="1:46 16367:16372" ht="25.5" hidden="1" customHeight="1" x14ac:dyDescent="0.25">
      <c r="A244" s="72"/>
      <c r="B244" s="73"/>
      <c r="C244" s="120">
        <f>Таблица310[[#This Row],[Степень зрелости вспом]]</f>
        <v>70</v>
      </c>
      <c r="D244" s="75">
        <v>340</v>
      </c>
      <c r="E244" s="146">
        <v>45819</v>
      </c>
      <c r="F244" s="73">
        <v>27620</v>
      </c>
      <c r="G244" s="73">
        <v>12990</v>
      </c>
      <c r="H244" s="77">
        <v>14630</v>
      </c>
      <c r="I244" s="73">
        <v>12080.7</v>
      </c>
      <c r="J244" s="72" t="s">
        <v>903</v>
      </c>
      <c r="K244" s="72" t="s">
        <v>901</v>
      </c>
      <c r="L244" s="72" t="s">
        <v>904</v>
      </c>
      <c r="M244" s="35" t="s">
        <v>121</v>
      </c>
      <c r="N244" s="40"/>
      <c r="O244" s="72"/>
      <c r="P244" s="72"/>
      <c r="Q244" s="72"/>
      <c r="R244" s="72" t="s">
        <v>125</v>
      </c>
      <c r="S244" s="40"/>
      <c r="T244" s="106">
        <v>40</v>
      </c>
      <c r="U244" s="68" t="str">
        <f>Таблица310[[#This Row],[Регистратор.Номенклатура]]</f>
        <v>Фаворит</v>
      </c>
      <c r="V244" s="45">
        <f>25*Таблица310[[#This Row],[Регистратор.Вес нетто]]/108630</f>
        <v>2.9895056614194973</v>
      </c>
      <c r="W244" s="72" t="s">
        <v>50</v>
      </c>
      <c r="X244" s="72" t="s">
        <v>178</v>
      </c>
      <c r="Y244" s="40">
        <v>2</v>
      </c>
      <c r="Z244" s="71">
        <v>45819</v>
      </c>
      <c r="AA244" s="40"/>
      <c r="AB244" s="40"/>
      <c r="AC244" s="40" t="s">
        <v>420</v>
      </c>
      <c r="AD244" s="40" t="s">
        <v>550</v>
      </c>
      <c r="AE244" s="40">
        <v>340</v>
      </c>
      <c r="AF244" s="103">
        <v>45819</v>
      </c>
      <c r="AG244" s="40">
        <v>5</v>
      </c>
      <c r="AH244" s="40">
        <f>VLOOKUP(Таблица310[[#This Row],[№ акта]],'Степень зрелости 2025'!$H$13:$I$583,2,FALSE)</f>
        <v>70</v>
      </c>
      <c r="AI244" s="40">
        <f>VLOOKUP(Таблица310[[#This Row],[№ акта]],$AQ$1:$AT$594,2,FALSE)</f>
        <v>40</v>
      </c>
      <c r="AJ244" s="40" t="str">
        <f>Таблица310[[#This Row],[Регистратор.Номенклатура]]</f>
        <v>Фаворит</v>
      </c>
      <c r="AK244" s="40" t="str">
        <f>VLOOKUP(Таблица310[[#This Row],[№ акта]],$AQ$1:$AT$594,4,FALSE)</f>
        <v>Братковский (полив)</v>
      </c>
      <c r="AL244" s="45">
        <f>VLOOKUP(Таблица310[[#This Row],[№ акта]],$AQ$1:$AT$594,3,FALSE)</f>
        <v>2.9895056614194973</v>
      </c>
      <c r="AM244" s="40" t="str">
        <f>IF(Таблица310[[#This Row],[Площадь уборки, га]]=Таблица310[[#This Row],[Площадь уборки до корр]],"нет","да")</f>
        <v>нет</v>
      </c>
      <c r="AN244" s="45">
        <f>Таблица310[[#This Row],[Площадь уборки до корр]]-Таблица310[[#This Row],[Площадь уборки, га]]</f>
        <v>0</v>
      </c>
      <c r="AQ244">
        <v>340</v>
      </c>
      <c r="AR244">
        <v>40</v>
      </c>
      <c r="AS244">
        <v>2.9895056614194973</v>
      </c>
      <c r="AT244" t="s">
        <v>50</v>
      </c>
      <c r="XEM244" s="72"/>
      <c r="XEN244" s="73"/>
      <c r="XEO244" s="74"/>
      <c r="XEP244" s="75"/>
      <c r="XEQ244" s="76"/>
      <c r="XER244" s="73"/>
    </row>
    <row r="245" spans="1:46 16367:16372" ht="25.5" hidden="1" customHeight="1" x14ac:dyDescent="0.25">
      <c r="A245" s="72"/>
      <c r="B245" s="73"/>
      <c r="C245" s="120">
        <f>Таблица310[[#This Row],[Степень зрелости вспом]]</f>
        <v>66</v>
      </c>
      <c r="D245" s="75">
        <v>341</v>
      </c>
      <c r="E245" s="146">
        <v>45819</v>
      </c>
      <c r="F245" s="73">
        <v>27430</v>
      </c>
      <c r="G245" s="73">
        <v>12360</v>
      </c>
      <c r="H245" s="77">
        <v>15070</v>
      </c>
      <c r="I245" s="73">
        <v>11618.4</v>
      </c>
      <c r="J245" s="72" t="s">
        <v>903</v>
      </c>
      <c r="K245" s="72" t="s">
        <v>901</v>
      </c>
      <c r="L245" s="72">
        <v>40</v>
      </c>
      <c r="M245" s="35" t="s">
        <v>1461</v>
      </c>
      <c r="N245" s="40"/>
      <c r="O245" s="72"/>
      <c r="P245" s="72"/>
      <c r="Q245" s="72"/>
      <c r="R245" s="72" t="s">
        <v>149</v>
      </c>
      <c r="S245" s="40"/>
      <c r="T245" s="106">
        <v>40</v>
      </c>
      <c r="U245" s="68" t="str">
        <f>Таблица310[[#This Row],[Регистратор.Номенклатура]]</f>
        <v>Фаворит</v>
      </c>
      <c r="V245" s="45">
        <f>25*Таблица310[[#This Row],[Регистратор.Вес нетто]]/108630</f>
        <v>2.8445180889257111</v>
      </c>
      <c r="W245" s="72" t="s">
        <v>50</v>
      </c>
      <c r="X245" s="72" t="s">
        <v>178</v>
      </c>
      <c r="Y245" s="40">
        <v>2</v>
      </c>
      <c r="Z245" s="71">
        <v>45819</v>
      </c>
      <c r="AA245" s="40"/>
      <c r="AB245" s="40"/>
      <c r="AC245" s="40" t="s">
        <v>725</v>
      </c>
      <c r="AD245" s="40" t="s">
        <v>550</v>
      </c>
      <c r="AE245" s="40">
        <v>341</v>
      </c>
      <c r="AF245" s="103">
        <v>45819</v>
      </c>
      <c r="AG245" s="40">
        <v>7</v>
      </c>
      <c r="AH245" s="40">
        <f>VLOOKUP(Таблица310[[#This Row],[№ акта]],'Степень зрелости 2025'!$H$13:$I$583,2,FALSE)</f>
        <v>66</v>
      </c>
      <c r="AI245" s="40">
        <f>VLOOKUP(Таблица310[[#This Row],[№ акта]],$AQ$1:$AT$594,2,FALSE)</f>
        <v>40</v>
      </c>
      <c r="AJ245" s="40" t="str">
        <f>Таблица310[[#This Row],[Регистратор.Номенклатура]]</f>
        <v>Фаворит</v>
      </c>
      <c r="AK245" s="40" t="str">
        <f>VLOOKUP(Таблица310[[#This Row],[№ акта]],$AQ$1:$AT$594,4,FALSE)</f>
        <v>Братковский (полив)</v>
      </c>
      <c r="AL245" s="45">
        <f>VLOOKUP(Таблица310[[#This Row],[№ акта]],$AQ$1:$AT$594,3,FALSE)</f>
        <v>2.8445180889257111</v>
      </c>
      <c r="AM245" s="40" t="str">
        <f>IF(Таблица310[[#This Row],[Площадь уборки, га]]=Таблица310[[#This Row],[Площадь уборки до корр]],"нет","да")</f>
        <v>нет</v>
      </c>
      <c r="AN245" s="45">
        <f>Таблица310[[#This Row],[Площадь уборки до корр]]-Таблица310[[#This Row],[Площадь уборки, га]]</f>
        <v>0</v>
      </c>
      <c r="AQ245">
        <v>341</v>
      </c>
      <c r="AR245">
        <v>40</v>
      </c>
      <c r="AS245">
        <v>2.8445180889257111</v>
      </c>
      <c r="AT245" t="s">
        <v>50</v>
      </c>
      <c r="XEM245" s="72"/>
      <c r="XEN245" s="73"/>
      <c r="XEO245" s="74"/>
      <c r="XEP245" s="75"/>
      <c r="XEQ245" s="76"/>
      <c r="XER245" s="73"/>
    </row>
    <row r="246" spans="1:46 16367:16372" ht="25.5" hidden="1" customHeight="1" x14ac:dyDescent="0.25">
      <c r="A246" s="72"/>
      <c r="B246" s="73"/>
      <c r="C246" s="120">
        <f>Таблица310[[#This Row],[Степень зрелости вспом]]</f>
        <v>65</v>
      </c>
      <c r="D246" s="75">
        <v>342</v>
      </c>
      <c r="E246" s="146">
        <v>45819</v>
      </c>
      <c r="F246" s="73">
        <v>28580</v>
      </c>
      <c r="G246" s="73">
        <v>12840</v>
      </c>
      <c r="H246" s="77">
        <v>15740</v>
      </c>
      <c r="I246" s="73">
        <v>11941.2</v>
      </c>
      <c r="J246" s="72" t="s">
        <v>903</v>
      </c>
      <c r="K246" s="72" t="s">
        <v>901</v>
      </c>
      <c r="L246" s="72">
        <v>40</v>
      </c>
      <c r="M246" s="35" t="s">
        <v>1151</v>
      </c>
      <c r="N246" s="40"/>
      <c r="O246" s="72"/>
      <c r="P246" s="72"/>
      <c r="Q246" s="72"/>
      <c r="R246" s="72" t="s">
        <v>145</v>
      </c>
      <c r="S246" s="40"/>
      <c r="T246" s="106">
        <v>40</v>
      </c>
      <c r="U246" s="68" t="str">
        <f>Таблица310[[#This Row],[Регистратор.Номенклатура]]</f>
        <v>Фаворит</v>
      </c>
      <c r="V246" s="45">
        <f>25*Таблица310[[#This Row],[Регистратор.Вес нетто]]/108630</f>
        <v>2.9549848108257386</v>
      </c>
      <c r="W246" s="72" t="s">
        <v>50</v>
      </c>
      <c r="X246" s="72" t="s">
        <v>178</v>
      </c>
      <c r="Y246" s="40">
        <v>2</v>
      </c>
      <c r="Z246" s="71">
        <v>45819</v>
      </c>
      <c r="AA246" s="40"/>
      <c r="AB246" s="40"/>
      <c r="AC246" s="40" t="s">
        <v>725</v>
      </c>
      <c r="AD246" s="40" t="s">
        <v>550</v>
      </c>
      <c r="AE246" s="40">
        <v>342</v>
      </c>
      <c r="AF246" s="103">
        <v>45819</v>
      </c>
      <c r="AG246" s="40">
        <v>6</v>
      </c>
      <c r="AH246" s="40">
        <f>VLOOKUP(Таблица310[[#This Row],[№ акта]],'Степень зрелости 2025'!$H$13:$I$583,2,FALSE)</f>
        <v>65</v>
      </c>
      <c r="AI246" s="40">
        <f>VLOOKUP(Таблица310[[#This Row],[№ акта]],$AQ$1:$AT$594,2,FALSE)</f>
        <v>40</v>
      </c>
      <c r="AJ246" s="40" t="str">
        <f>Таблица310[[#This Row],[Регистратор.Номенклатура]]</f>
        <v>Фаворит</v>
      </c>
      <c r="AK246" s="40" t="str">
        <f>VLOOKUP(Таблица310[[#This Row],[№ акта]],$AQ$1:$AT$594,4,FALSE)</f>
        <v>Братковский (полив)</v>
      </c>
      <c r="AL246" s="45">
        <f>VLOOKUP(Таблица310[[#This Row],[№ акта]],$AQ$1:$AT$594,3,FALSE)</f>
        <v>2.9549848108257386</v>
      </c>
      <c r="AM246" s="40" t="str">
        <f>IF(Таблица310[[#This Row],[Площадь уборки, га]]=Таблица310[[#This Row],[Площадь уборки до корр]],"нет","да")</f>
        <v>нет</v>
      </c>
      <c r="AN246" s="45">
        <f>Таблица310[[#This Row],[Площадь уборки до корр]]-Таблица310[[#This Row],[Площадь уборки, га]]</f>
        <v>0</v>
      </c>
      <c r="AQ246">
        <v>342</v>
      </c>
      <c r="AR246">
        <v>40</v>
      </c>
      <c r="AS246">
        <v>2.9549848108257386</v>
      </c>
      <c r="AT246" t="s">
        <v>50</v>
      </c>
      <c r="XEM246" s="72"/>
      <c r="XEN246" s="73"/>
      <c r="XEO246" s="74"/>
      <c r="XEP246" s="75"/>
      <c r="XEQ246" s="76"/>
      <c r="XER246" s="73"/>
    </row>
    <row r="247" spans="1:46 16367:16372" ht="25.5" hidden="1" customHeight="1" x14ac:dyDescent="0.25">
      <c r="A247" s="72"/>
      <c r="B247" s="73"/>
      <c r="C247" s="120">
        <f>Таблица310[[#This Row],[Степень зрелости вспом]]</f>
        <v>50</v>
      </c>
      <c r="D247" s="75">
        <v>343</v>
      </c>
      <c r="E247" s="146">
        <v>45820</v>
      </c>
      <c r="F247" s="73">
        <v>27660</v>
      </c>
      <c r="G247" s="73">
        <v>12930</v>
      </c>
      <c r="H247" s="77">
        <v>14730</v>
      </c>
      <c r="I247" s="73">
        <v>10537.9</v>
      </c>
      <c r="J247" s="72" t="s">
        <v>903</v>
      </c>
      <c r="K247" s="72" t="s">
        <v>909</v>
      </c>
      <c r="L247" s="72">
        <v>45</v>
      </c>
      <c r="M247" s="35" t="s">
        <v>335</v>
      </c>
      <c r="N247" s="40"/>
      <c r="O247" s="72"/>
      <c r="P247" s="72"/>
      <c r="Q247" s="72"/>
      <c r="R247" s="72" t="s">
        <v>339</v>
      </c>
      <c r="S247" s="40"/>
      <c r="T247" s="70" t="s">
        <v>1067</v>
      </c>
      <c r="U247" s="68" t="str">
        <f>Таблица310[[#This Row],[Регистратор.Номенклатура]]</f>
        <v>Тристар</v>
      </c>
      <c r="V247" s="45">
        <f>25*Таблица310[[#This Row],[Регистратор.Вес нетто]]/108630</f>
        <v>2.9756973211819937</v>
      </c>
      <c r="W247" s="72" t="s">
        <v>51</v>
      </c>
      <c r="X247" s="72" t="s">
        <v>178</v>
      </c>
      <c r="Y247" s="40">
        <v>2</v>
      </c>
      <c r="Z247" s="71">
        <v>45819</v>
      </c>
      <c r="AA247" s="40"/>
      <c r="AB247" s="40"/>
      <c r="AC247" s="40" t="s">
        <v>419</v>
      </c>
      <c r="AD247" s="40" t="s">
        <v>511</v>
      </c>
      <c r="AE247" s="40">
        <v>343</v>
      </c>
      <c r="AF247" s="103">
        <v>45820</v>
      </c>
      <c r="AG247" s="40" t="s">
        <v>902</v>
      </c>
      <c r="AH247" s="40">
        <f>VLOOKUP(Таблица310[[#This Row],[№ акта]],'Степень зрелости 2025'!$H$13:$I$583,2,FALSE)</f>
        <v>50</v>
      </c>
      <c r="AI247" s="40" t="str">
        <f>VLOOKUP(Таблица310[[#This Row],[№ акта]],$AQ$1:$AT$594,2,FALSE)</f>
        <v>закупка</v>
      </c>
      <c r="AJ247" s="40" t="str">
        <f>Таблица310[[#This Row],[Регистратор.Номенклатура]]</f>
        <v>Тристар</v>
      </c>
      <c r="AK247" s="40" t="str">
        <f>VLOOKUP(Таблица310[[#This Row],[№ акта]],$AQ$1:$AT$594,4,FALSE)</f>
        <v>Братковский закупка (полив)</v>
      </c>
      <c r="AL247" s="45">
        <f>VLOOKUP(Таблица310[[#This Row],[№ акта]],$AQ$1:$AT$594,3,FALSE)</f>
        <v>2.9756973211819937</v>
      </c>
      <c r="AM247" s="40" t="str">
        <f>IF(Таблица310[[#This Row],[Площадь уборки, га]]=Таблица310[[#This Row],[Площадь уборки до корр]],"нет","да")</f>
        <v>нет</v>
      </c>
      <c r="AN247" s="45">
        <f>Таблица310[[#This Row],[Площадь уборки до корр]]-Таблица310[[#This Row],[Площадь уборки, га]]</f>
        <v>0</v>
      </c>
      <c r="AQ247">
        <v>343</v>
      </c>
      <c r="AR247" t="s">
        <v>1067</v>
      </c>
      <c r="AS247">
        <v>2.9756973211819937</v>
      </c>
      <c r="AT247" t="s">
        <v>51</v>
      </c>
      <c r="XEM247" s="72"/>
      <c r="XEN247" s="73"/>
      <c r="XEO247" s="74"/>
      <c r="XEP247" s="75"/>
      <c r="XEQ247" s="76"/>
      <c r="XER247" s="73"/>
    </row>
    <row r="248" spans="1:46 16367:16372" ht="25.5" hidden="1" customHeight="1" x14ac:dyDescent="0.25">
      <c r="A248" s="72"/>
      <c r="B248" s="73"/>
      <c r="C248" s="120">
        <f>Таблица310[[#This Row],[Степень зрелости вспом]]</f>
        <v>55</v>
      </c>
      <c r="D248" s="75">
        <v>344</v>
      </c>
      <c r="E248" s="146">
        <v>45820</v>
      </c>
      <c r="F248" s="73">
        <v>28780</v>
      </c>
      <c r="G248" s="73">
        <v>13390</v>
      </c>
      <c r="H248" s="77">
        <v>15390</v>
      </c>
      <c r="I248" s="73">
        <v>11716.2</v>
      </c>
      <c r="J248" s="72" t="s">
        <v>903</v>
      </c>
      <c r="K248" s="72" t="s">
        <v>909</v>
      </c>
      <c r="L248" s="72">
        <v>45</v>
      </c>
      <c r="M248" s="35" t="s">
        <v>111</v>
      </c>
      <c r="N248" s="40"/>
      <c r="O248" s="72"/>
      <c r="P248" s="72"/>
      <c r="Q248" s="72"/>
      <c r="R248" s="72" t="s">
        <v>114</v>
      </c>
      <c r="S248" s="40"/>
      <c r="T248" s="70" t="s">
        <v>1067</v>
      </c>
      <c r="U248" s="68" t="str">
        <f>Таблица310[[#This Row],[Регистратор.Номенклатура]]</f>
        <v>Тристар</v>
      </c>
      <c r="V248" s="45">
        <f>25*Таблица310[[#This Row],[Регистратор.Вес нетто]]/108630</f>
        <v>3.0815612630028539</v>
      </c>
      <c r="W248" s="72" t="s">
        <v>51</v>
      </c>
      <c r="X248" s="72" t="s">
        <v>178</v>
      </c>
      <c r="Y248" s="40">
        <v>2</v>
      </c>
      <c r="Z248" s="71">
        <v>45819</v>
      </c>
      <c r="AA248" s="40"/>
      <c r="AB248" s="40"/>
      <c r="AC248" s="40" t="s">
        <v>724</v>
      </c>
      <c r="AD248" s="40" t="s">
        <v>511</v>
      </c>
      <c r="AE248" s="40">
        <v>344</v>
      </c>
      <c r="AF248" s="103">
        <v>45820</v>
      </c>
      <c r="AG248" s="40" t="s">
        <v>902</v>
      </c>
      <c r="AH248" s="40">
        <f>VLOOKUP(Таблица310[[#This Row],[№ акта]],'Степень зрелости 2025'!$H$13:$I$583,2,FALSE)</f>
        <v>55</v>
      </c>
      <c r="AI248" s="40" t="str">
        <f>VLOOKUP(Таблица310[[#This Row],[№ акта]],$AQ$1:$AT$594,2,FALSE)</f>
        <v>закупка</v>
      </c>
      <c r="AJ248" s="40" t="str">
        <f>Таблица310[[#This Row],[Регистратор.Номенклатура]]</f>
        <v>Тристар</v>
      </c>
      <c r="AK248" s="40" t="str">
        <f>VLOOKUP(Таблица310[[#This Row],[№ акта]],$AQ$1:$AT$594,4,FALSE)</f>
        <v>Братковский закупка (полив)</v>
      </c>
      <c r="AL248" s="45">
        <f>VLOOKUP(Таблица310[[#This Row],[№ акта]],$AQ$1:$AT$594,3,FALSE)</f>
        <v>3.0815612630028539</v>
      </c>
      <c r="AM248" s="40" t="str">
        <f>IF(Таблица310[[#This Row],[Площадь уборки, га]]=Таблица310[[#This Row],[Площадь уборки до корр]],"нет","да")</f>
        <v>нет</v>
      </c>
      <c r="AN248" s="45">
        <f>Таблица310[[#This Row],[Площадь уборки до корр]]-Таблица310[[#This Row],[Площадь уборки, га]]</f>
        <v>0</v>
      </c>
      <c r="AQ248">
        <v>344</v>
      </c>
      <c r="AR248" t="s">
        <v>1067</v>
      </c>
      <c r="AS248">
        <v>3.0815612630028539</v>
      </c>
      <c r="AT248" t="s">
        <v>51</v>
      </c>
      <c r="XEM248" s="72"/>
      <c r="XEN248" s="73"/>
      <c r="XEO248" s="74"/>
      <c r="XEP248" s="75"/>
      <c r="XEQ248" s="76"/>
      <c r="XER248" s="73"/>
    </row>
    <row r="249" spans="1:46 16367:16372" ht="25.5" hidden="1" customHeight="1" x14ac:dyDescent="0.25">
      <c r="A249" s="72"/>
      <c r="B249" s="73"/>
      <c r="C249" s="120">
        <f>Таблица310[[#This Row],[Степень зрелости вспом]]</f>
        <v>53</v>
      </c>
      <c r="D249" s="75">
        <v>345</v>
      </c>
      <c r="E249" s="146">
        <v>45820</v>
      </c>
      <c r="F249" s="73">
        <v>28770</v>
      </c>
      <c r="G249" s="73">
        <v>13180</v>
      </c>
      <c r="H249" s="77">
        <v>15590</v>
      </c>
      <c r="I249" s="73">
        <v>10478.1</v>
      </c>
      <c r="J249" s="72" t="s">
        <v>903</v>
      </c>
      <c r="K249" s="72" t="s">
        <v>909</v>
      </c>
      <c r="L249" s="72">
        <v>45</v>
      </c>
      <c r="M249" s="35" t="s">
        <v>234</v>
      </c>
      <c r="N249" s="40"/>
      <c r="O249" s="72"/>
      <c r="P249" s="72"/>
      <c r="Q249" s="72"/>
      <c r="R249" s="72" t="s">
        <v>238</v>
      </c>
      <c r="S249" s="40"/>
      <c r="T249" s="70" t="s">
        <v>1067</v>
      </c>
      <c r="U249" s="68" t="str">
        <f>Таблица310[[#This Row],[Регистратор.Номенклатура]]</f>
        <v>Тристар</v>
      </c>
      <c r="V249" s="45">
        <f>56.3*Таблица310[[#This Row],[Регистратор.Вес нетто]]/302410</f>
        <v>2.4537349955358621</v>
      </c>
      <c r="W249" s="72" t="s">
        <v>51</v>
      </c>
      <c r="X249" s="72" t="s">
        <v>178</v>
      </c>
      <c r="Y249" s="40">
        <v>3</v>
      </c>
      <c r="Z249" s="71">
        <v>45820</v>
      </c>
      <c r="AA249" s="40"/>
      <c r="AB249" s="40"/>
      <c r="AC249" s="40" t="s">
        <v>420</v>
      </c>
      <c r="AD249" s="40" t="s">
        <v>511</v>
      </c>
      <c r="AE249" s="40">
        <v>345</v>
      </c>
      <c r="AF249" s="103">
        <v>45820</v>
      </c>
      <c r="AG249" s="40" t="s">
        <v>902</v>
      </c>
      <c r="AH249" s="40">
        <f>VLOOKUP(Таблица310[[#This Row],[№ акта]],'Степень зрелости 2025'!$H$13:$I$583,2,FALSE)</f>
        <v>53</v>
      </c>
      <c r="AI249" s="40" t="str">
        <f>VLOOKUP(Таблица310[[#This Row],[№ акта]],$AQ$1:$AT$594,2,FALSE)</f>
        <v>закупка</v>
      </c>
      <c r="AJ249" s="40" t="str">
        <f>Таблица310[[#This Row],[Регистратор.Номенклатура]]</f>
        <v>Тристар</v>
      </c>
      <c r="AK249" s="40" t="str">
        <f>VLOOKUP(Таблица310[[#This Row],[№ акта]],$AQ$1:$AT$594,4,FALSE)</f>
        <v>Братковский закупка (полив)</v>
      </c>
      <c r="AL249" s="45">
        <f>VLOOKUP(Таблица310[[#This Row],[№ акта]],$AQ$1:$AT$594,3,FALSE)</f>
        <v>2.4537349955358621</v>
      </c>
      <c r="AM249" s="40" t="str">
        <f>IF(Таблица310[[#This Row],[Площадь уборки, га]]=Таблица310[[#This Row],[Площадь уборки до корр]],"нет","да")</f>
        <v>нет</v>
      </c>
      <c r="AN249" s="45">
        <f>Таблица310[[#This Row],[Площадь уборки до корр]]-Таблица310[[#This Row],[Площадь уборки, га]]</f>
        <v>0</v>
      </c>
      <c r="AQ249">
        <v>345</v>
      </c>
      <c r="AR249" t="s">
        <v>1067</v>
      </c>
      <c r="AS249">
        <v>2.4537349955358621</v>
      </c>
      <c r="AT249" t="s">
        <v>51</v>
      </c>
      <c r="XEM249" s="72"/>
      <c r="XEN249" s="73"/>
      <c r="XEO249" s="74"/>
      <c r="XEP249" s="75"/>
      <c r="XEQ249" s="76"/>
      <c r="XER249" s="73"/>
    </row>
    <row r="250" spans="1:46 16367:16372" ht="25.5" hidden="1" customHeight="1" x14ac:dyDescent="0.25">
      <c r="A250" s="72"/>
      <c r="B250" s="73"/>
      <c r="C250" s="120">
        <f>Таблица310[[#This Row],[Степень зрелости вспом]]</f>
        <v>51</v>
      </c>
      <c r="D250" s="75">
        <v>346</v>
      </c>
      <c r="E250" s="146">
        <v>45820</v>
      </c>
      <c r="F250" s="73">
        <v>34210</v>
      </c>
      <c r="G250" s="73">
        <v>13150</v>
      </c>
      <c r="H250" s="77">
        <v>21060</v>
      </c>
      <c r="I250" s="73">
        <v>11046</v>
      </c>
      <c r="J250" s="72" t="s">
        <v>903</v>
      </c>
      <c r="K250" s="72" t="s">
        <v>909</v>
      </c>
      <c r="L250" s="72">
        <v>45</v>
      </c>
      <c r="M250" s="35" t="s">
        <v>1152</v>
      </c>
      <c r="N250" s="40"/>
      <c r="O250" s="72"/>
      <c r="P250" s="72"/>
      <c r="Q250" s="72"/>
      <c r="R250" s="72" t="s">
        <v>119</v>
      </c>
      <c r="S250" s="40"/>
      <c r="T250" s="70" t="s">
        <v>1067</v>
      </c>
      <c r="U250" s="68" t="str">
        <f>Таблица310[[#This Row],[Регистратор.Номенклатура]]</f>
        <v>Тристар</v>
      </c>
      <c r="V250" s="45">
        <f>56.3*Таблица310[[#This Row],[Регистратор.Вес нетто]]/302410</f>
        <v>2.4481498627690885</v>
      </c>
      <c r="W250" s="72" t="s">
        <v>51</v>
      </c>
      <c r="X250" s="72" t="s">
        <v>178</v>
      </c>
      <c r="Y250" s="40">
        <v>3</v>
      </c>
      <c r="Z250" s="71">
        <v>45820</v>
      </c>
      <c r="AA250" s="40"/>
      <c r="AB250" s="40"/>
      <c r="AC250" s="40" t="s">
        <v>419</v>
      </c>
      <c r="AD250" s="40" t="s">
        <v>511</v>
      </c>
      <c r="AE250" s="40">
        <v>346</v>
      </c>
      <c r="AF250" s="103">
        <v>45820</v>
      </c>
      <c r="AG250" s="40" t="s">
        <v>902</v>
      </c>
      <c r="AH250" s="40">
        <f>VLOOKUP(Таблица310[[#This Row],[№ акта]],'Степень зрелости 2025'!$H$13:$I$583,2,FALSE)</f>
        <v>51</v>
      </c>
      <c r="AI250" s="40" t="str">
        <f>VLOOKUP(Таблица310[[#This Row],[№ акта]],$AQ$1:$AT$594,2,FALSE)</f>
        <v>закупка</v>
      </c>
      <c r="AJ250" s="40" t="str">
        <f>Таблица310[[#This Row],[Регистратор.Номенклатура]]</f>
        <v>Тристар</v>
      </c>
      <c r="AK250" s="40" t="str">
        <f>VLOOKUP(Таблица310[[#This Row],[№ акта]],$AQ$1:$AT$594,4,FALSE)</f>
        <v>Братковский закупка (полив)</v>
      </c>
      <c r="AL250" s="45">
        <f>VLOOKUP(Таблица310[[#This Row],[№ акта]],$AQ$1:$AT$594,3,FALSE)</f>
        <v>2.4481498627690885</v>
      </c>
      <c r="AM250" s="40" t="str">
        <f>IF(Таблица310[[#This Row],[Площадь уборки, га]]=Таблица310[[#This Row],[Площадь уборки до корр]],"нет","да")</f>
        <v>нет</v>
      </c>
      <c r="AN250" s="45">
        <f>Таблица310[[#This Row],[Площадь уборки до корр]]-Таблица310[[#This Row],[Площадь уборки, га]]</f>
        <v>0</v>
      </c>
      <c r="AQ250">
        <v>346</v>
      </c>
      <c r="AR250" t="s">
        <v>1067</v>
      </c>
      <c r="AS250">
        <v>2.4481498627690885</v>
      </c>
      <c r="AT250" t="s">
        <v>51</v>
      </c>
      <c r="XEM250" s="72"/>
      <c r="XEN250" s="73"/>
      <c r="XEO250" s="74"/>
      <c r="XEP250" s="75"/>
      <c r="XEQ250" s="76"/>
      <c r="XER250" s="73"/>
    </row>
    <row r="251" spans="1:46 16367:16372" ht="25.5" hidden="1" customHeight="1" x14ac:dyDescent="0.25">
      <c r="A251" s="72"/>
      <c r="B251" s="73"/>
      <c r="C251" s="120">
        <f>Таблица310[[#This Row],[Степень зрелости вспом]]</f>
        <v>48</v>
      </c>
      <c r="D251" s="75">
        <v>347</v>
      </c>
      <c r="E251" s="146">
        <v>45820</v>
      </c>
      <c r="F251" s="73">
        <v>37250</v>
      </c>
      <c r="G251" s="73">
        <v>13230</v>
      </c>
      <c r="H251" s="77">
        <v>24020</v>
      </c>
      <c r="I251" s="73">
        <v>11576.2</v>
      </c>
      <c r="J251" s="72" t="s">
        <v>903</v>
      </c>
      <c r="K251" s="72" t="s">
        <v>909</v>
      </c>
      <c r="L251" s="72">
        <v>45</v>
      </c>
      <c r="M251" s="35" t="s">
        <v>160</v>
      </c>
      <c r="N251" s="40"/>
      <c r="O251" s="72"/>
      <c r="P251" s="72"/>
      <c r="Q251" s="72"/>
      <c r="R251" s="72" t="s">
        <v>164</v>
      </c>
      <c r="S251" s="40"/>
      <c r="T251" s="70" t="s">
        <v>1067</v>
      </c>
      <c r="U251" s="68" t="str">
        <f>Таблица310[[#This Row],[Регистратор.Номенклатура]]</f>
        <v>Тристар</v>
      </c>
      <c r="V251" s="45">
        <f>56.3*Таблица310[[#This Row],[Регистратор.Вес нетто]]/302410</f>
        <v>2.4630435501471513</v>
      </c>
      <c r="W251" s="72" t="s">
        <v>51</v>
      </c>
      <c r="X251" s="72" t="s">
        <v>178</v>
      </c>
      <c r="Y251" s="40">
        <v>3</v>
      </c>
      <c r="Z251" s="71">
        <v>45820</v>
      </c>
      <c r="AA251" s="40"/>
      <c r="AB251" s="40"/>
      <c r="AC251" s="40" t="s">
        <v>419</v>
      </c>
      <c r="AD251" s="40" t="s">
        <v>511</v>
      </c>
      <c r="AE251" s="40">
        <v>347</v>
      </c>
      <c r="AF251" s="103">
        <v>45820</v>
      </c>
      <c r="AG251" s="40" t="s">
        <v>902</v>
      </c>
      <c r="AH251" s="40">
        <f>VLOOKUP(Таблица310[[#This Row],[№ акта]],'Степень зрелости 2025'!$H$13:$I$583,2,FALSE)</f>
        <v>48</v>
      </c>
      <c r="AI251" s="40" t="str">
        <f>VLOOKUP(Таблица310[[#This Row],[№ акта]],$AQ$1:$AT$594,2,FALSE)</f>
        <v>закупка</v>
      </c>
      <c r="AJ251" s="40" t="str">
        <f>Таблица310[[#This Row],[Регистратор.Номенклатура]]</f>
        <v>Тристар</v>
      </c>
      <c r="AK251" s="40" t="str">
        <f>VLOOKUP(Таблица310[[#This Row],[№ акта]],$AQ$1:$AT$594,4,FALSE)</f>
        <v>Братковский закупка (полив)</v>
      </c>
      <c r="AL251" s="45">
        <f>VLOOKUP(Таблица310[[#This Row],[№ акта]],$AQ$1:$AT$594,3,FALSE)</f>
        <v>2.4630435501471513</v>
      </c>
      <c r="AM251" s="40" t="str">
        <f>IF(Таблица310[[#This Row],[Площадь уборки, га]]=Таблица310[[#This Row],[Площадь уборки до корр]],"нет","да")</f>
        <v>нет</v>
      </c>
      <c r="AN251" s="45">
        <f>Таблица310[[#This Row],[Площадь уборки до корр]]-Таблица310[[#This Row],[Площадь уборки, га]]</f>
        <v>0</v>
      </c>
      <c r="AQ251">
        <v>347</v>
      </c>
      <c r="AR251" t="s">
        <v>1067</v>
      </c>
      <c r="AS251">
        <v>2.4630435501471513</v>
      </c>
      <c r="AT251" t="s">
        <v>51</v>
      </c>
      <c r="XEM251" s="72"/>
      <c r="XEN251" s="73"/>
      <c r="XEO251" s="74"/>
      <c r="XEP251" s="75"/>
      <c r="XEQ251" s="76"/>
      <c r="XER251" s="73"/>
    </row>
    <row r="252" spans="1:46 16367:16372" ht="25.5" hidden="1" customHeight="1" x14ac:dyDescent="0.25">
      <c r="A252" s="72"/>
      <c r="B252" s="73"/>
      <c r="C252" s="120">
        <f>Таблица310[[#This Row],[Степень зрелости вспом]]</f>
        <v>53</v>
      </c>
      <c r="D252" s="75">
        <v>348</v>
      </c>
      <c r="E252" s="146">
        <v>45820</v>
      </c>
      <c r="F252" s="73">
        <v>27970</v>
      </c>
      <c r="G252" s="73">
        <v>13060</v>
      </c>
      <c r="H252" s="77">
        <v>14910</v>
      </c>
      <c r="I252" s="73">
        <v>11166.3</v>
      </c>
      <c r="J252" s="72" t="s">
        <v>903</v>
      </c>
      <c r="K252" s="72" t="s">
        <v>909</v>
      </c>
      <c r="L252" s="72">
        <v>45</v>
      </c>
      <c r="M252" s="35" t="s">
        <v>151</v>
      </c>
      <c r="N252" s="40"/>
      <c r="O252" s="72"/>
      <c r="P252" s="72"/>
      <c r="Q252" s="72"/>
      <c r="R252" s="72" t="s">
        <v>155</v>
      </c>
      <c r="S252" s="40"/>
      <c r="T252" s="70" t="s">
        <v>1067</v>
      </c>
      <c r="U252" s="68" t="str">
        <f>Таблица310[[#This Row],[Регистратор.Номенклатура]]</f>
        <v>Тристар</v>
      </c>
      <c r="V252" s="45">
        <f>56.3*Таблица310[[#This Row],[Регистратор.Вес нетто]]/302410</f>
        <v>2.4313944644687675</v>
      </c>
      <c r="W252" s="72" t="s">
        <v>51</v>
      </c>
      <c r="X252" s="72" t="s">
        <v>178</v>
      </c>
      <c r="Y252" s="40">
        <v>3</v>
      </c>
      <c r="Z252" s="71">
        <v>45820</v>
      </c>
      <c r="AA252" s="40"/>
      <c r="AB252" s="40"/>
      <c r="AC252" s="40" t="s">
        <v>420</v>
      </c>
      <c r="AD252" s="40" t="s">
        <v>511</v>
      </c>
      <c r="AE252" s="40">
        <v>348</v>
      </c>
      <c r="AF252" s="103">
        <v>45820</v>
      </c>
      <c r="AG252" s="40" t="s">
        <v>902</v>
      </c>
      <c r="AH252" s="40">
        <f>VLOOKUP(Таблица310[[#This Row],[№ акта]],'Степень зрелости 2025'!$H$13:$I$583,2,FALSE)</f>
        <v>53</v>
      </c>
      <c r="AI252" s="40" t="str">
        <f>VLOOKUP(Таблица310[[#This Row],[№ акта]],$AQ$1:$AT$594,2,FALSE)</f>
        <v>закупка</v>
      </c>
      <c r="AJ252" s="40" t="str">
        <f>Таблица310[[#This Row],[Регистратор.Номенклатура]]</f>
        <v>Тристар</v>
      </c>
      <c r="AK252" s="40" t="str">
        <f>VLOOKUP(Таблица310[[#This Row],[№ акта]],$AQ$1:$AT$594,4,FALSE)</f>
        <v>Братковский закупка (полив)</v>
      </c>
      <c r="AL252" s="45">
        <f>VLOOKUP(Таблица310[[#This Row],[№ акта]],$AQ$1:$AT$594,3,FALSE)</f>
        <v>2.4313944644687675</v>
      </c>
      <c r="AM252" s="40" t="str">
        <f>IF(Таблица310[[#This Row],[Площадь уборки, га]]=Таблица310[[#This Row],[Площадь уборки до корр]],"нет","да")</f>
        <v>нет</v>
      </c>
      <c r="AN252" s="45">
        <f>Таблица310[[#This Row],[Площадь уборки до корр]]-Таблица310[[#This Row],[Площадь уборки, га]]</f>
        <v>0</v>
      </c>
      <c r="AQ252">
        <v>348</v>
      </c>
      <c r="AR252" t="s">
        <v>1067</v>
      </c>
      <c r="AS252">
        <v>2.4313944644687675</v>
      </c>
      <c r="AT252" t="s">
        <v>51</v>
      </c>
      <c r="XEM252" s="72"/>
      <c r="XEN252" s="73"/>
      <c r="XEO252" s="74"/>
      <c r="XEP252" s="75"/>
      <c r="XEQ252" s="76"/>
      <c r="XER252" s="73"/>
    </row>
    <row r="253" spans="1:46 16367:16372" ht="25.5" hidden="1" customHeight="1" x14ac:dyDescent="0.25">
      <c r="A253" s="72"/>
      <c r="B253" s="73"/>
      <c r="C253" s="120">
        <f>Таблица310[[#This Row],[Степень зрелости вспом]]</f>
        <v>53</v>
      </c>
      <c r="D253" s="75">
        <v>349</v>
      </c>
      <c r="E253" s="146">
        <v>45820</v>
      </c>
      <c r="F253" s="73">
        <v>31920</v>
      </c>
      <c r="G253" s="73">
        <v>13190</v>
      </c>
      <c r="H253" s="77">
        <v>18730</v>
      </c>
      <c r="I253" s="73">
        <v>12068.8</v>
      </c>
      <c r="J253" s="72" t="s">
        <v>903</v>
      </c>
      <c r="K253" s="72" t="s">
        <v>909</v>
      </c>
      <c r="L253" s="72">
        <v>45</v>
      </c>
      <c r="M253" s="35" t="s">
        <v>347</v>
      </c>
      <c r="N253" s="40"/>
      <c r="O253" s="72"/>
      <c r="P253" s="72"/>
      <c r="Q253" s="72"/>
      <c r="R253" s="72" t="s">
        <v>351</v>
      </c>
      <c r="S253" s="40"/>
      <c r="T253" s="70" t="s">
        <v>1067</v>
      </c>
      <c r="U253" s="68" t="str">
        <f>Таблица310[[#This Row],[Регистратор.Номенклатура]]</f>
        <v>Тристар</v>
      </c>
      <c r="V253" s="45">
        <f>56.3*Таблица310[[#This Row],[Регистратор.Вес нетто]]/302410</f>
        <v>2.4555967064581199</v>
      </c>
      <c r="W253" s="72" t="s">
        <v>51</v>
      </c>
      <c r="X253" s="72" t="s">
        <v>178</v>
      </c>
      <c r="Y253" s="40">
        <v>3</v>
      </c>
      <c r="Z253" s="71">
        <v>45820</v>
      </c>
      <c r="AA253" s="40"/>
      <c r="AB253" s="40"/>
      <c r="AC253" s="40" t="s">
        <v>420</v>
      </c>
      <c r="AD253" s="40" t="s">
        <v>511</v>
      </c>
      <c r="AE253" s="40">
        <v>349</v>
      </c>
      <c r="AF253" s="103">
        <v>45820</v>
      </c>
      <c r="AG253" s="40" t="s">
        <v>902</v>
      </c>
      <c r="AH253" s="40">
        <f>VLOOKUP(Таблица310[[#This Row],[№ акта]],'Степень зрелости 2025'!$H$13:$I$583,2,FALSE)</f>
        <v>53</v>
      </c>
      <c r="AI253" s="40" t="str">
        <f>VLOOKUP(Таблица310[[#This Row],[№ акта]],$AQ$1:$AT$594,2,FALSE)</f>
        <v>закупка</v>
      </c>
      <c r="AJ253" s="40" t="str">
        <f>Таблица310[[#This Row],[Регистратор.Номенклатура]]</f>
        <v>Тристар</v>
      </c>
      <c r="AK253" s="40" t="str">
        <f>VLOOKUP(Таблица310[[#This Row],[№ акта]],$AQ$1:$AT$594,4,FALSE)</f>
        <v>Братковский закупка (полив)</v>
      </c>
      <c r="AL253" s="45">
        <f>VLOOKUP(Таблица310[[#This Row],[№ акта]],$AQ$1:$AT$594,3,FALSE)</f>
        <v>2.4555967064581199</v>
      </c>
      <c r="AM253" s="40" t="str">
        <f>IF(Таблица310[[#This Row],[Площадь уборки, га]]=Таблица310[[#This Row],[Площадь уборки до корр]],"нет","да")</f>
        <v>нет</v>
      </c>
      <c r="AN253" s="45">
        <f>Таблица310[[#This Row],[Площадь уборки до корр]]-Таблица310[[#This Row],[Площадь уборки, га]]</f>
        <v>0</v>
      </c>
      <c r="AQ253">
        <v>349</v>
      </c>
      <c r="AR253" t="s">
        <v>1067</v>
      </c>
      <c r="AS253">
        <v>2.4555967064581199</v>
      </c>
      <c r="AT253" t="s">
        <v>51</v>
      </c>
      <c r="XEM253" s="72"/>
      <c r="XEN253" s="73"/>
      <c r="XEO253" s="74"/>
      <c r="XEP253" s="75"/>
      <c r="XEQ253" s="76"/>
      <c r="XER253" s="73"/>
    </row>
    <row r="254" spans="1:46 16367:16372" ht="25.5" hidden="1" customHeight="1" x14ac:dyDescent="0.25">
      <c r="A254" s="72"/>
      <c r="B254" s="73"/>
      <c r="C254" s="120">
        <f>Таблица310[[#This Row],[Степень зрелости вспом]]</f>
        <v>52</v>
      </c>
      <c r="D254" s="75">
        <v>350</v>
      </c>
      <c r="E254" s="146">
        <v>45820</v>
      </c>
      <c r="F254" s="73">
        <v>28050</v>
      </c>
      <c r="G254" s="73">
        <v>13140</v>
      </c>
      <c r="H254" s="77">
        <v>14910</v>
      </c>
      <c r="I254" s="73">
        <v>11234.7</v>
      </c>
      <c r="J254" s="72" t="s">
        <v>903</v>
      </c>
      <c r="K254" s="72" t="s">
        <v>909</v>
      </c>
      <c r="L254" s="72">
        <v>45</v>
      </c>
      <c r="M254" s="35" t="s">
        <v>133</v>
      </c>
      <c r="N254" s="40"/>
      <c r="O254" s="72"/>
      <c r="P254" s="72"/>
      <c r="Q254" s="72"/>
      <c r="R254" s="72" t="s">
        <v>137</v>
      </c>
      <c r="S254" s="40"/>
      <c r="T254" s="70" t="s">
        <v>1067</v>
      </c>
      <c r="U254" s="68" t="str">
        <f>Таблица310[[#This Row],[Регистратор.Номенклатура]]</f>
        <v>Тристар</v>
      </c>
      <c r="V254" s="45">
        <f>56.3*Таблица310[[#This Row],[Регистратор.Вес нетто]]/302410</f>
        <v>2.4462881518468307</v>
      </c>
      <c r="W254" s="72" t="s">
        <v>51</v>
      </c>
      <c r="X254" s="72" t="s">
        <v>178</v>
      </c>
      <c r="Y254" s="40">
        <v>3</v>
      </c>
      <c r="Z254" s="71">
        <v>45820</v>
      </c>
      <c r="AA254" s="40"/>
      <c r="AB254" s="40"/>
      <c r="AC254" s="40" t="s">
        <v>420</v>
      </c>
      <c r="AD254" s="40" t="s">
        <v>511</v>
      </c>
      <c r="AE254" s="40">
        <v>350</v>
      </c>
      <c r="AF254" s="103">
        <v>45820</v>
      </c>
      <c r="AG254" s="40" t="s">
        <v>902</v>
      </c>
      <c r="AH254" s="40">
        <f>VLOOKUP(Таблица310[[#This Row],[№ акта]],'Степень зрелости 2025'!$H$13:$I$583,2,FALSE)</f>
        <v>52</v>
      </c>
      <c r="AI254" s="40" t="str">
        <f>VLOOKUP(Таблица310[[#This Row],[№ акта]],$AQ$1:$AT$594,2,FALSE)</f>
        <v>закупка</v>
      </c>
      <c r="AJ254" s="40" t="str">
        <f>Таблица310[[#This Row],[Регистратор.Номенклатура]]</f>
        <v>Тристар</v>
      </c>
      <c r="AK254" s="40" t="str">
        <f>VLOOKUP(Таблица310[[#This Row],[№ акта]],$AQ$1:$AT$594,4,FALSE)</f>
        <v>Братковский закупка (полив)</v>
      </c>
      <c r="AL254" s="45">
        <f>VLOOKUP(Таблица310[[#This Row],[№ акта]],$AQ$1:$AT$594,3,FALSE)</f>
        <v>2.4462881518468307</v>
      </c>
      <c r="AM254" s="40" t="str">
        <f>IF(Таблица310[[#This Row],[Площадь уборки, га]]=Таблица310[[#This Row],[Площадь уборки до корр]],"нет","да")</f>
        <v>нет</v>
      </c>
      <c r="AN254" s="45">
        <f>Таблица310[[#This Row],[Площадь уборки до корр]]-Таблица310[[#This Row],[Площадь уборки, га]]</f>
        <v>0</v>
      </c>
      <c r="AQ254">
        <v>350</v>
      </c>
      <c r="AR254" t="s">
        <v>1067</v>
      </c>
      <c r="AS254">
        <v>2.4462881518468307</v>
      </c>
      <c r="AT254" t="s">
        <v>51</v>
      </c>
      <c r="XEM254" s="72"/>
      <c r="XEN254" s="73"/>
      <c r="XEO254" s="74"/>
      <c r="XEP254" s="75"/>
      <c r="XEQ254" s="76"/>
      <c r="XER254" s="73"/>
    </row>
    <row r="255" spans="1:46 16367:16372" ht="25.5" hidden="1" customHeight="1" x14ac:dyDescent="0.25">
      <c r="A255" s="72"/>
      <c r="B255" s="73"/>
      <c r="C255" s="120">
        <f>Таблица310[[#This Row],[Степень зрелости вспом]]</f>
        <v>52</v>
      </c>
      <c r="D255" s="75">
        <v>351</v>
      </c>
      <c r="E255" s="146">
        <v>45820</v>
      </c>
      <c r="F255" s="73">
        <v>28480</v>
      </c>
      <c r="G255" s="73">
        <v>14670</v>
      </c>
      <c r="H255" s="77">
        <v>13810</v>
      </c>
      <c r="I255" s="73">
        <v>13129.6</v>
      </c>
      <c r="J255" s="72" t="s">
        <v>903</v>
      </c>
      <c r="K255" s="72" t="s">
        <v>909</v>
      </c>
      <c r="L255" s="72">
        <v>45</v>
      </c>
      <c r="M255" s="35" t="s">
        <v>212</v>
      </c>
      <c r="N255" s="40"/>
      <c r="O255" s="72"/>
      <c r="P255" s="72"/>
      <c r="Q255" s="72"/>
      <c r="R255" s="72" t="s">
        <v>216</v>
      </c>
      <c r="S255" s="40"/>
      <c r="T255" s="70" t="s">
        <v>1067</v>
      </c>
      <c r="U255" s="68" t="str">
        <f>Таблица310[[#This Row],[Регистратор.Номенклатура]]</f>
        <v>Тристар</v>
      </c>
      <c r="V255" s="45">
        <f>56.3*Таблица310[[#This Row],[Регистратор.Вес нетто]]/302410</f>
        <v>2.7311299229522832</v>
      </c>
      <c r="W255" s="72" t="s">
        <v>51</v>
      </c>
      <c r="X255" s="72" t="s">
        <v>178</v>
      </c>
      <c r="Y255" s="40">
        <v>3</v>
      </c>
      <c r="Z255" s="71">
        <v>45820</v>
      </c>
      <c r="AA255" s="40"/>
      <c r="AB255" s="40"/>
      <c r="AC255" s="40" t="s">
        <v>420</v>
      </c>
      <c r="AD255" s="40" t="s">
        <v>511</v>
      </c>
      <c r="AE255" s="40">
        <v>351</v>
      </c>
      <c r="AF255" s="103">
        <v>45820</v>
      </c>
      <c r="AG255" s="40" t="s">
        <v>902</v>
      </c>
      <c r="AH255" s="40">
        <f>VLOOKUP(Таблица310[[#This Row],[№ акта]],'Степень зрелости 2025'!$H$13:$I$583,2,FALSE)</f>
        <v>52</v>
      </c>
      <c r="AI255" s="40" t="str">
        <f>VLOOKUP(Таблица310[[#This Row],[№ акта]],$AQ$1:$AT$594,2,FALSE)</f>
        <v>закупка</v>
      </c>
      <c r="AJ255" s="40" t="str">
        <f>Таблица310[[#This Row],[Регистратор.Номенклатура]]</f>
        <v>Тристар</v>
      </c>
      <c r="AK255" s="40" t="str">
        <f>VLOOKUP(Таблица310[[#This Row],[№ акта]],$AQ$1:$AT$594,4,FALSE)</f>
        <v>Братковский закупка (полив)</v>
      </c>
      <c r="AL255" s="45">
        <f>VLOOKUP(Таблица310[[#This Row],[№ акта]],$AQ$1:$AT$594,3,FALSE)</f>
        <v>2.7311299229522832</v>
      </c>
      <c r="AM255" s="40" t="str">
        <f>IF(Таблица310[[#This Row],[Площадь уборки, га]]=Таблица310[[#This Row],[Площадь уборки до корр]],"нет","да")</f>
        <v>нет</v>
      </c>
      <c r="AN255" s="45">
        <f>Таблица310[[#This Row],[Площадь уборки до корр]]-Таблица310[[#This Row],[Площадь уборки, га]]</f>
        <v>0</v>
      </c>
      <c r="AQ255">
        <v>351</v>
      </c>
      <c r="AR255" t="s">
        <v>1067</v>
      </c>
      <c r="AS255">
        <v>2.7311299229522832</v>
      </c>
      <c r="AT255" t="s">
        <v>51</v>
      </c>
      <c r="XEM255" s="72"/>
      <c r="XEN255" s="73"/>
      <c r="XEO255" s="74"/>
      <c r="XEP255" s="75"/>
      <c r="XEQ255" s="76"/>
      <c r="XER255" s="73"/>
    </row>
    <row r="256" spans="1:46 16367:16372" ht="25.5" hidden="1" customHeight="1" x14ac:dyDescent="0.25">
      <c r="A256" s="72"/>
      <c r="B256" s="73"/>
      <c r="C256" s="120">
        <f>Таблица310[[#This Row],[Степень зрелости вспом]]</f>
        <v>53</v>
      </c>
      <c r="D256" s="75">
        <v>352</v>
      </c>
      <c r="E256" s="146">
        <v>45820</v>
      </c>
      <c r="F256" s="73">
        <v>28580</v>
      </c>
      <c r="G256" s="73">
        <v>13640</v>
      </c>
      <c r="H256" s="77">
        <v>14940</v>
      </c>
      <c r="I256" s="73">
        <v>12003.2</v>
      </c>
      <c r="J256" s="72" t="s">
        <v>903</v>
      </c>
      <c r="K256" s="72" t="s">
        <v>909</v>
      </c>
      <c r="L256" s="72">
        <v>45</v>
      </c>
      <c r="M256" s="35" t="s">
        <v>1253</v>
      </c>
      <c r="N256" s="40"/>
      <c r="O256" s="72"/>
      <c r="P256" s="72"/>
      <c r="Q256" s="72"/>
      <c r="R256" s="72" t="s">
        <v>270</v>
      </c>
      <c r="S256" s="40"/>
      <c r="T256" s="70" t="s">
        <v>1067</v>
      </c>
      <c r="U256" s="68" t="str">
        <f>Таблица310[[#This Row],[Регистратор.Номенклатура]]</f>
        <v>Тристар</v>
      </c>
      <c r="V256" s="45">
        <f>56.3*Таблица310[[#This Row],[Регистратор.Вес нетто]]/302410</f>
        <v>2.5393736979597237</v>
      </c>
      <c r="W256" s="72" t="s">
        <v>51</v>
      </c>
      <c r="X256" s="72" t="s">
        <v>178</v>
      </c>
      <c r="Y256" s="40">
        <v>3</v>
      </c>
      <c r="Z256" s="71">
        <v>45820</v>
      </c>
      <c r="AA256" s="40"/>
      <c r="AB256" s="40"/>
      <c r="AC256" s="40" t="s">
        <v>420</v>
      </c>
      <c r="AD256" s="40" t="s">
        <v>511</v>
      </c>
      <c r="AE256" s="40">
        <v>352</v>
      </c>
      <c r="AF256" s="103">
        <v>45820</v>
      </c>
      <c r="AG256" s="40" t="s">
        <v>902</v>
      </c>
      <c r="AH256" s="40">
        <f>VLOOKUP(Таблица310[[#This Row],[№ акта]],'Степень зрелости 2025'!$H$13:$I$583,2,FALSE)</f>
        <v>53</v>
      </c>
      <c r="AI256" s="40" t="str">
        <f>VLOOKUP(Таблица310[[#This Row],[№ акта]],$AQ$1:$AT$594,2,FALSE)</f>
        <v>закупка</v>
      </c>
      <c r="AJ256" s="40" t="str">
        <f>Таблица310[[#This Row],[Регистратор.Номенклатура]]</f>
        <v>Тристар</v>
      </c>
      <c r="AK256" s="40" t="str">
        <f>VLOOKUP(Таблица310[[#This Row],[№ акта]],$AQ$1:$AT$594,4,FALSE)</f>
        <v>Братковский закупка (полив)</v>
      </c>
      <c r="AL256" s="45">
        <f>VLOOKUP(Таблица310[[#This Row],[№ акта]],$AQ$1:$AT$594,3,FALSE)</f>
        <v>2.5393736979597237</v>
      </c>
      <c r="AM256" s="40" t="str">
        <f>IF(Таблица310[[#This Row],[Площадь уборки, га]]=Таблица310[[#This Row],[Площадь уборки до корр]],"нет","да")</f>
        <v>нет</v>
      </c>
      <c r="AN256" s="45">
        <f>Таблица310[[#This Row],[Площадь уборки до корр]]-Таблица310[[#This Row],[Площадь уборки, га]]</f>
        <v>0</v>
      </c>
      <c r="AQ256">
        <v>352</v>
      </c>
      <c r="AR256" t="s">
        <v>1067</v>
      </c>
      <c r="AS256">
        <v>2.5393736979597237</v>
      </c>
      <c r="AT256" t="s">
        <v>51</v>
      </c>
      <c r="XEM256" s="72"/>
      <c r="XEN256" s="73"/>
      <c r="XEO256" s="74"/>
      <c r="XEP256" s="75"/>
      <c r="XEQ256" s="76"/>
      <c r="XER256" s="73"/>
    </row>
    <row r="257" spans="1:46 16367:16372" ht="25.5" hidden="1" customHeight="1" x14ac:dyDescent="0.25">
      <c r="A257" s="72"/>
      <c r="B257" s="73"/>
      <c r="C257" s="120">
        <f>Таблица310[[#This Row],[Степень зрелости вспом]]</f>
        <v>54</v>
      </c>
      <c r="D257" s="75">
        <v>353</v>
      </c>
      <c r="E257" s="146">
        <v>45820</v>
      </c>
      <c r="F257" s="73">
        <v>28480</v>
      </c>
      <c r="G257" s="73">
        <v>13760</v>
      </c>
      <c r="H257" s="77">
        <v>14720</v>
      </c>
      <c r="I257" s="73">
        <v>11764.8</v>
      </c>
      <c r="J257" s="72" t="s">
        <v>903</v>
      </c>
      <c r="K257" s="72" t="s">
        <v>909</v>
      </c>
      <c r="L257" s="72">
        <v>45</v>
      </c>
      <c r="M257" s="35" t="s">
        <v>272</v>
      </c>
      <c r="N257" s="40"/>
      <c r="O257" s="72"/>
      <c r="P257" s="72"/>
      <c r="Q257" s="72"/>
      <c r="R257" s="72" t="s">
        <v>276</v>
      </c>
      <c r="S257" s="40"/>
      <c r="T257" s="70" t="s">
        <v>1067</v>
      </c>
      <c r="U257" s="68" t="str">
        <f>Таблица310[[#This Row],[Регистратор.Номенклатура]]</f>
        <v>Тристар</v>
      </c>
      <c r="V257" s="45">
        <f>56.3*Таблица310[[#This Row],[Регистратор.Вес нетто]]/302410</f>
        <v>2.5617142290268178</v>
      </c>
      <c r="W257" s="72" t="s">
        <v>51</v>
      </c>
      <c r="X257" s="72" t="s">
        <v>178</v>
      </c>
      <c r="Y257" s="40">
        <v>3</v>
      </c>
      <c r="Z257" s="71">
        <v>45820</v>
      </c>
      <c r="AA257" s="40"/>
      <c r="AB257" s="40"/>
      <c r="AC257" s="40" t="s">
        <v>724</v>
      </c>
      <c r="AD257" s="40" t="s">
        <v>511</v>
      </c>
      <c r="AE257" s="40">
        <v>353</v>
      </c>
      <c r="AF257" s="103">
        <v>45820</v>
      </c>
      <c r="AG257" s="40" t="s">
        <v>902</v>
      </c>
      <c r="AH257" s="40">
        <f>VLOOKUP(Таблица310[[#This Row],[№ акта]],'Степень зрелости 2025'!$H$13:$I$583,2,FALSE)</f>
        <v>54</v>
      </c>
      <c r="AI257" s="40" t="str">
        <f>VLOOKUP(Таблица310[[#This Row],[№ акта]],$AQ$1:$AT$594,2,FALSE)</f>
        <v>закупка</v>
      </c>
      <c r="AJ257" s="40" t="str">
        <f>Таблица310[[#This Row],[Регистратор.Номенклатура]]</f>
        <v>Тристар</v>
      </c>
      <c r="AK257" s="40" t="str">
        <f>VLOOKUP(Таблица310[[#This Row],[№ акта]],$AQ$1:$AT$594,4,FALSE)</f>
        <v>Братковский закупка (полив)</v>
      </c>
      <c r="AL257" s="45">
        <f>VLOOKUP(Таблица310[[#This Row],[№ акта]],$AQ$1:$AT$594,3,FALSE)</f>
        <v>2.5617142290268178</v>
      </c>
      <c r="AM257" s="40" t="str">
        <f>IF(Таблица310[[#This Row],[Площадь уборки, га]]=Таблица310[[#This Row],[Площадь уборки до корр]],"нет","да")</f>
        <v>нет</v>
      </c>
      <c r="AN257" s="45">
        <f>Таблица310[[#This Row],[Площадь уборки до корр]]-Таблица310[[#This Row],[Площадь уборки, га]]</f>
        <v>0</v>
      </c>
      <c r="AQ257">
        <v>353</v>
      </c>
      <c r="AR257" t="s">
        <v>1067</v>
      </c>
      <c r="AS257">
        <v>2.5617142290268178</v>
      </c>
      <c r="AT257" t="s">
        <v>51</v>
      </c>
      <c r="XEM257" s="72"/>
      <c r="XEN257" s="73"/>
      <c r="XEO257" s="74"/>
      <c r="XEP257" s="75"/>
      <c r="XEQ257" s="76"/>
      <c r="XER257" s="73"/>
    </row>
    <row r="258" spans="1:46 16367:16372" ht="25.5" hidden="1" customHeight="1" x14ac:dyDescent="0.25">
      <c r="A258" s="72"/>
      <c r="B258" s="73"/>
      <c r="C258" s="120">
        <f>Таблица310[[#This Row],[Степень зрелости вспом]]</f>
        <v>53</v>
      </c>
      <c r="D258" s="75">
        <v>354</v>
      </c>
      <c r="E258" s="146">
        <v>45820</v>
      </c>
      <c r="F258" s="73">
        <v>28360</v>
      </c>
      <c r="G258" s="73">
        <v>13810</v>
      </c>
      <c r="H258" s="77">
        <v>14550</v>
      </c>
      <c r="I258" s="73">
        <v>11945.6</v>
      </c>
      <c r="J258" s="72" t="s">
        <v>903</v>
      </c>
      <c r="K258" s="72" t="s">
        <v>909</v>
      </c>
      <c r="L258" s="72">
        <v>45</v>
      </c>
      <c r="M258" s="35" t="s">
        <v>239</v>
      </c>
      <c r="N258" s="40"/>
      <c r="O258" s="72"/>
      <c r="P258" s="72"/>
      <c r="Q258" s="72"/>
      <c r="R258" s="72" t="s">
        <v>243</v>
      </c>
      <c r="S258" s="40"/>
      <c r="T258" s="70" t="s">
        <v>1067</v>
      </c>
      <c r="U258" s="68" t="str">
        <f>Таблица310[[#This Row],[Регистратор.Номенклатура]]</f>
        <v>Тристар</v>
      </c>
      <c r="V258" s="45">
        <f>56.3*Таблица310[[#This Row],[Регистратор.Вес нетто]]/302410</f>
        <v>2.571022783638107</v>
      </c>
      <c r="W258" s="72" t="s">
        <v>51</v>
      </c>
      <c r="X258" s="72" t="s">
        <v>178</v>
      </c>
      <c r="Y258" s="40">
        <v>3</v>
      </c>
      <c r="Z258" s="71">
        <v>45820</v>
      </c>
      <c r="AA258" s="40"/>
      <c r="AB258" s="40"/>
      <c r="AC258" s="40" t="s">
        <v>420</v>
      </c>
      <c r="AD258" s="40" t="s">
        <v>511</v>
      </c>
      <c r="AE258" s="40">
        <v>354</v>
      </c>
      <c r="AF258" s="103">
        <v>45820</v>
      </c>
      <c r="AG258" s="40"/>
      <c r="AH258" s="40">
        <f>VLOOKUP(Таблица310[[#This Row],[№ акта]],'Степень зрелости 2025'!$H$13:$I$583,2,FALSE)</f>
        <v>53</v>
      </c>
      <c r="AI258" s="40" t="str">
        <f>VLOOKUP(Таблица310[[#This Row],[№ акта]],$AQ$1:$AT$594,2,FALSE)</f>
        <v>закупка</v>
      </c>
      <c r="AJ258" s="40" t="str">
        <f>Таблица310[[#This Row],[Регистратор.Номенклатура]]</f>
        <v>Тристар</v>
      </c>
      <c r="AK258" s="40" t="str">
        <f>VLOOKUP(Таблица310[[#This Row],[№ акта]],$AQ$1:$AT$594,4,FALSE)</f>
        <v>Братковский закупка (полив)</v>
      </c>
      <c r="AL258" s="45">
        <f>VLOOKUP(Таблица310[[#This Row],[№ акта]],$AQ$1:$AT$594,3,FALSE)</f>
        <v>2.571022783638107</v>
      </c>
      <c r="AM258" s="40" t="str">
        <f>IF(Таблица310[[#This Row],[Площадь уборки, га]]=Таблица310[[#This Row],[Площадь уборки до корр]],"нет","да")</f>
        <v>нет</v>
      </c>
      <c r="AN258" s="45">
        <f>Таблица310[[#This Row],[Площадь уборки до корр]]-Таблица310[[#This Row],[Площадь уборки, га]]</f>
        <v>0</v>
      </c>
      <c r="AQ258">
        <v>354</v>
      </c>
      <c r="AR258" t="s">
        <v>1067</v>
      </c>
      <c r="AS258">
        <v>2.571022783638107</v>
      </c>
      <c r="AT258" t="s">
        <v>51</v>
      </c>
      <c r="XEM258" s="72"/>
      <c r="XEN258" s="73"/>
      <c r="XEO258" s="74"/>
      <c r="XEP258" s="75"/>
      <c r="XEQ258" s="76"/>
      <c r="XER258" s="73"/>
    </row>
    <row r="259" spans="1:46 16367:16372" ht="25.5" hidden="1" customHeight="1" x14ac:dyDescent="0.25">
      <c r="A259" s="72"/>
      <c r="B259" s="73"/>
      <c r="C259" s="120">
        <f>Таблица310[[#This Row],[Степень зрелости вспом]]</f>
        <v>54</v>
      </c>
      <c r="D259" s="75">
        <v>355</v>
      </c>
      <c r="E259" s="146">
        <v>45820</v>
      </c>
      <c r="F259" s="73">
        <v>28180</v>
      </c>
      <c r="G259" s="73">
        <v>13520</v>
      </c>
      <c r="H259" s="77">
        <v>14660</v>
      </c>
      <c r="I259" s="73">
        <v>11762.4</v>
      </c>
      <c r="J259" s="72" t="s">
        <v>903</v>
      </c>
      <c r="K259" s="72" t="s">
        <v>909</v>
      </c>
      <c r="L259" s="72">
        <v>45</v>
      </c>
      <c r="M259" s="35" t="s">
        <v>121</v>
      </c>
      <c r="N259" s="40"/>
      <c r="O259" s="72"/>
      <c r="P259" s="72"/>
      <c r="Q259" s="72"/>
      <c r="R259" s="72" t="s">
        <v>125</v>
      </c>
      <c r="S259" s="40"/>
      <c r="T259" s="70" t="s">
        <v>1067</v>
      </c>
      <c r="U259" s="68" t="str">
        <f>Таблица310[[#This Row],[Регистратор.Номенклатура]]</f>
        <v>Тристар</v>
      </c>
      <c r="V259" s="45">
        <f>56.3*Таблица310[[#This Row],[Регистратор.Вес нетто]]/302410</f>
        <v>2.5170331668926291</v>
      </c>
      <c r="W259" s="72" t="s">
        <v>51</v>
      </c>
      <c r="X259" s="72" t="s">
        <v>178</v>
      </c>
      <c r="Y259" s="40">
        <v>3</v>
      </c>
      <c r="Z259" s="71">
        <v>45820</v>
      </c>
      <c r="AA259" s="40"/>
      <c r="AB259" s="40"/>
      <c r="AC259" s="40" t="s">
        <v>724</v>
      </c>
      <c r="AD259" s="40" t="s">
        <v>511</v>
      </c>
      <c r="AE259" s="40">
        <v>355</v>
      </c>
      <c r="AF259" s="103">
        <v>45820</v>
      </c>
      <c r="AG259" s="40" t="s">
        <v>902</v>
      </c>
      <c r="AH259" s="40">
        <f>VLOOKUP(Таблица310[[#This Row],[№ акта]],'Степень зрелости 2025'!$H$13:$I$583,2,FALSE)</f>
        <v>54</v>
      </c>
      <c r="AI259" s="40" t="str">
        <f>VLOOKUP(Таблица310[[#This Row],[№ акта]],$AQ$1:$AT$594,2,FALSE)</f>
        <v>закупка</v>
      </c>
      <c r="AJ259" s="40" t="str">
        <f>Таблица310[[#This Row],[Регистратор.Номенклатура]]</f>
        <v>Тристар</v>
      </c>
      <c r="AK259" s="40" t="str">
        <f>VLOOKUP(Таблица310[[#This Row],[№ акта]],$AQ$1:$AT$594,4,FALSE)</f>
        <v>Братковский закупка (полив)</v>
      </c>
      <c r="AL259" s="45">
        <f>VLOOKUP(Таблица310[[#This Row],[№ акта]],$AQ$1:$AT$594,3,FALSE)</f>
        <v>2.5170331668926291</v>
      </c>
      <c r="AM259" s="40" t="str">
        <f>IF(Таблица310[[#This Row],[Площадь уборки, га]]=Таблица310[[#This Row],[Площадь уборки до корр]],"нет","да")</f>
        <v>нет</v>
      </c>
      <c r="AN259" s="45">
        <f>Таблица310[[#This Row],[Площадь уборки до корр]]-Таблица310[[#This Row],[Площадь уборки, га]]</f>
        <v>0</v>
      </c>
      <c r="AQ259">
        <v>355</v>
      </c>
      <c r="AR259" t="s">
        <v>1067</v>
      </c>
      <c r="AS259">
        <v>2.5170331668926291</v>
      </c>
      <c r="AT259" t="s">
        <v>51</v>
      </c>
      <c r="XEM259" s="72"/>
      <c r="XEN259" s="73"/>
      <c r="XEO259" s="74"/>
      <c r="XEP259" s="75"/>
      <c r="XEQ259" s="76"/>
      <c r="XER259" s="73"/>
    </row>
    <row r="260" spans="1:46 16367:16372" ht="25.5" hidden="1" customHeight="1" x14ac:dyDescent="0.25">
      <c r="A260" s="72"/>
      <c r="B260" s="73"/>
      <c r="C260" s="120">
        <f>Таблица310[[#This Row],[Степень зрелости вспом]]</f>
        <v>54</v>
      </c>
      <c r="D260" s="75">
        <v>356</v>
      </c>
      <c r="E260" s="146">
        <v>45820</v>
      </c>
      <c r="F260" s="73">
        <v>29060</v>
      </c>
      <c r="G260" s="73">
        <v>13340</v>
      </c>
      <c r="H260" s="77">
        <v>15720</v>
      </c>
      <c r="I260" s="73">
        <v>11805.9</v>
      </c>
      <c r="J260" s="72" t="s">
        <v>903</v>
      </c>
      <c r="K260" s="72" t="s">
        <v>909</v>
      </c>
      <c r="L260" s="72" t="s">
        <v>967</v>
      </c>
      <c r="M260" s="35" t="s">
        <v>1151</v>
      </c>
      <c r="N260" s="40"/>
      <c r="O260" s="72"/>
      <c r="P260" s="72"/>
      <c r="Q260" s="72"/>
      <c r="R260" s="72" t="s">
        <v>145</v>
      </c>
      <c r="S260" s="40"/>
      <c r="T260" s="70" t="s">
        <v>1067</v>
      </c>
      <c r="U260" s="68" t="str">
        <f>Таблица310[[#This Row],[Регистратор.Номенклатура]]</f>
        <v>Тристар</v>
      </c>
      <c r="V260" s="45">
        <f>56.3*Таблица310[[#This Row],[Регистратор.Вес нетто]]/302410</f>
        <v>2.4835223702919875</v>
      </c>
      <c r="W260" s="72" t="s">
        <v>51</v>
      </c>
      <c r="X260" s="72" t="s">
        <v>178</v>
      </c>
      <c r="Y260" s="40">
        <v>3</v>
      </c>
      <c r="Z260" s="71">
        <v>45820</v>
      </c>
      <c r="AA260" s="40"/>
      <c r="AB260" s="40"/>
      <c r="AC260" s="40" t="s">
        <v>724</v>
      </c>
      <c r="AD260" s="40" t="s">
        <v>550</v>
      </c>
      <c r="AE260" s="40">
        <v>356</v>
      </c>
      <c r="AF260" s="103">
        <v>45820</v>
      </c>
      <c r="AG260" s="40" t="s">
        <v>902</v>
      </c>
      <c r="AH260" s="40">
        <f>VLOOKUP(Таблица310[[#This Row],[№ акта]],'Степень зрелости 2025'!$H$13:$I$583,2,FALSE)</f>
        <v>54</v>
      </c>
      <c r="AI260" s="40" t="str">
        <f>VLOOKUP(Таблица310[[#This Row],[№ акта]],$AQ$1:$AT$594,2,FALSE)</f>
        <v>закупка</v>
      </c>
      <c r="AJ260" s="40" t="str">
        <f>Таблица310[[#This Row],[Регистратор.Номенклатура]]</f>
        <v>Тристар</v>
      </c>
      <c r="AK260" s="40" t="str">
        <f>VLOOKUP(Таблица310[[#This Row],[№ акта]],$AQ$1:$AT$594,4,FALSE)</f>
        <v>Братковский закупка (полив)</v>
      </c>
      <c r="AL260" s="45">
        <f>VLOOKUP(Таблица310[[#This Row],[№ акта]],$AQ$1:$AT$594,3,FALSE)</f>
        <v>2.4835223702919875</v>
      </c>
      <c r="AM260" s="40" t="str">
        <f>IF(Таблица310[[#This Row],[Площадь уборки, га]]=Таблица310[[#This Row],[Площадь уборки до корр]],"нет","да")</f>
        <v>нет</v>
      </c>
      <c r="AN260" s="45">
        <f>Таблица310[[#This Row],[Площадь уборки до корр]]-Таблица310[[#This Row],[Площадь уборки, га]]</f>
        <v>0</v>
      </c>
      <c r="AQ260">
        <v>356</v>
      </c>
      <c r="AR260" t="s">
        <v>1067</v>
      </c>
      <c r="AS260">
        <v>2.4835223702919875</v>
      </c>
      <c r="AT260" t="s">
        <v>51</v>
      </c>
      <c r="XEM260" s="72"/>
      <c r="XEN260" s="73"/>
      <c r="XEO260" s="74"/>
      <c r="XEP260" s="75"/>
      <c r="XEQ260" s="76"/>
      <c r="XER260" s="73"/>
    </row>
    <row r="261" spans="1:46 16367:16372" ht="25.5" hidden="1" customHeight="1" x14ac:dyDescent="0.25">
      <c r="A261" s="72"/>
      <c r="B261" s="73"/>
      <c r="C261" s="120">
        <f>Таблица310[[#This Row],[Степень зрелости вспом]]</f>
        <v>58</v>
      </c>
      <c r="D261" s="75">
        <v>357</v>
      </c>
      <c r="E261" s="146">
        <v>45820</v>
      </c>
      <c r="F261" s="73">
        <v>28460</v>
      </c>
      <c r="G261" s="73">
        <v>13410</v>
      </c>
      <c r="H261" s="77">
        <v>15050</v>
      </c>
      <c r="I261" s="73">
        <v>11800.8</v>
      </c>
      <c r="J261" s="72" t="s">
        <v>903</v>
      </c>
      <c r="K261" s="72" t="s">
        <v>909</v>
      </c>
      <c r="L261" s="72" t="s">
        <v>967</v>
      </c>
      <c r="M261" s="35" t="s">
        <v>1461</v>
      </c>
      <c r="N261" s="40"/>
      <c r="O261" s="72"/>
      <c r="P261" s="72"/>
      <c r="Q261" s="72"/>
      <c r="R261" s="72" t="s">
        <v>149</v>
      </c>
      <c r="S261" s="40"/>
      <c r="T261" s="70" t="s">
        <v>1067</v>
      </c>
      <c r="U261" s="68" t="str">
        <f>Таблица310[[#This Row],[Регистратор.Номенклатура]]</f>
        <v>Тристар</v>
      </c>
      <c r="V261" s="45">
        <f>56.3*Таблица310[[#This Row],[Регистратор.Вес нетто]]/302410</f>
        <v>2.4965543467477929</v>
      </c>
      <c r="W261" s="72" t="s">
        <v>51</v>
      </c>
      <c r="X261" s="72" t="s">
        <v>178</v>
      </c>
      <c r="Y261" s="40">
        <v>3</v>
      </c>
      <c r="Z261" s="71">
        <v>45820</v>
      </c>
      <c r="AA261" s="40"/>
      <c r="AB261" s="40"/>
      <c r="AC261" s="40" t="s">
        <v>724</v>
      </c>
      <c r="AD261" s="40" t="s">
        <v>511</v>
      </c>
      <c r="AE261" s="40">
        <v>357</v>
      </c>
      <c r="AF261" s="103">
        <v>45820</v>
      </c>
      <c r="AG261" s="40" t="s">
        <v>902</v>
      </c>
      <c r="AH261" s="40">
        <f>VLOOKUP(Таблица310[[#This Row],[№ акта]],'Степень зрелости 2025'!$H$13:$I$583,2,FALSE)</f>
        <v>58</v>
      </c>
      <c r="AI261" s="40" t="str">
        <f>VLOOKUP(Таблица310[[#This Row],[№ акта]],$AQ$1:$AT$594,2,FALSE)</f>
        <v>закупка</v>
      </c>
      <c r="AJ261" s="40" t="str">
        <f>Таблица310[[#This Row],[Регистратор.Номенклатура]]</f>
        <v>Тристар</v>
      </c>
      <c r="AK261" s="40" t="str">
        <f>VLOOKUP(Таблица310[[#This Row],[№ акта]],$AQ$1:$AT$594,4,FALSE)</f>
        <v>Братковский закупка (полив)</v>
      </c>
      <c r="AL261" s="45">
        <f>VLOOKUP(Таблица310[[#This Row],[№ акта]],$AQ$1:$AT$594,3,FALSE)</f>
        <v>2.4965543467477929</v>
      </c>
      <c r="AM261" s="40" t="str">
        <f>IF(Таблица310[[#This Row],[Площадь уборки, га]]=Таблица310[[#This Row],[Площадь уборки до корр]],"нет","да")</f>
        <v>нет</v>
      </c>
      <c r="AN261" s="45">
        <f>Таблица310[[#This Row],[Площадь уборки до корр]]-Таблица310[[#This Row],[Площадь уборки, га]]</f>
        <v>0</v>
      </c>
      <c r="AQ261">
        <v>357</v>
      </c>
      <c r="AR261" t="s">
        <v>1067</v>
      </c>
      <c r="AS261">
        <v>2.4965543467477929</v>
      </c>
      <c r="AT261" t="s">
        <v>51</v>
      </c>
      <c r="XEM261" s="72"/>
      <c r="XEN261" s="73"/>
      <c r="XEO261" s="74"/>
      <c r="XEP261" s="75"/>
      <c r="XEQ261" s="76"/>
      <c r="XER261" s="73"/>
    </row>
    <row r="262" spans="1:46 16367:16372" ht="25.5" hidden="1" customHeight="1" x14ac:dyDescent="0.25">
      <c r="A262" s="72"/>
      <c r="B262" s="73"/>
      <c r="C262" s="120">
        <f>Таблица310[[#This Row],[Степень зрелости вспом]]</f>
        <v>60</v>
      </c>
      <c r="D262" s="75">
        <v>358</v>
      </c>
      <c r="E262" s="146">
        <v>45820</v>
      </c>
      <c r="F262" s="73">
        <v>28070</v>
      </c>
      <c r="G262" s="73">
        <v>13350</v>
      </c>
      <c r="H262" s="77">
        <v>14720</v>
      </c>
      <c r="I262" s="73">
        <v>11681.2</v>
      </c>
      <c r="J262" s="72" t="s">
        <v>903</v>
      </c>
      <c r="K262" s="72" t="s">
        <v>909</v>
      </c>
      <c r="L262" s="72" t="s">
        <v>967</v>
      </c>
      <c r="M262" s="35" t="s">
        <v>335</v>
      </c>
      <c r="N262" s="40"/>
      <c r="O262" s="72"/>
      <c r="P262" s="72"/>
      <c r="Q262" s="72"/>
      <c r="R262" s="72" t="s">
        <v>339</v>
      </c>
      <c r="S262" s="40"/>
      <c r="T262" s="70" t="s">
        <v>1067</v>
      </c>
      <c r="U262" s="68" t="str">
        <f>Таблица310[[#This Row],[Регистратор.Номенклатура]]</f>
        <v>Тристар</v>
      </c>
      <c r="V262" s="45">
        <f>56.3*Таблица310[[#This Row],[Регистратор.Вес нетто]]/302410</f>
        <v>2.4853840812142454</v>
      </c>
      <c r="W262" s="72" t="s">
        <v>51</v>
      </c>
      <c r="X262" s="72" t="s">
        <v>178</v>
      </c>
      <c r="Y262" s="40">
        <v>3</v>
      </c>
      <c r="Z262" s="71">
        <v>45820</v>
      </c>
      <c r="AA262" s="40"/>
      <c r="AB262" s="40"/>
      <c r="AC262" s="40" t="s">
        <v>724</v>
      </c>
      <c r="AD262" s="40" t="s">
        <v>511</v>
      </c>
      <c r="AE262" s="40">
        <v>358</v>
      </c>
      <c r="AF262" s="103">
        <v>45820</v>
      </c>
      <c r="AG262" s="40" t="s">
        <v>902</v>
      </c>
      <c r="AH262" s="40">
        <f>VLOOKUP(Таблица310[[#This Row],[№ акта]],'Степень зрелости 2025'!$H$13:$I$583,2,FALSE)</f>
        <v>60</v>
      </c>
      <c r="AI262" s="40" t="str">
        <f>VLOOKUP(Таблица310[[#This Row],[№ акта]],$AQ$1:$AT$594,2,FALSE)</f>
        <v>закупка</v>
      </c>
      <c r="AJ262" s="40" t="str">
        <f>Таблица310[[#This Row],[Регистратор.Номенклатура]]</f>
        <v>Тристар</v>
      </c>
      <c r="AK262" s="40" t="str">
        <f>VLOOKUP(Таблица310[[#This Row],[№ акта]],$AQ$1:$AT$594,4,FALSE)</f>
        <v>Братковский закупка (полив)</v>
      </c>
      <c r="AL262" s="45">
        <f>VLOOKUP(Таблица310[[#This Row],[№ акта]],$AQ$1:$AT$594,3,FALSE)</f>
        <v>2.4853840812142454</v>
      </c>
      <c r="AM262" s="40" t="str">
        <f>IF(Таблица310[[#This Row],[Площадь уборки, га]]=Таблица310[[#This Row],[Площадь уборки до корр]],"нет","да")</f>
        <v>нет</v>
      </c>
      <c r="AN262" s="45">
        <f>Таблица310[[#This Row],[Площадь уборки до корр]]-Таблица310[[#This Row],[Площадь уборки, га]]</f>
        <v>0</v>
      </c>
      <c r="AQ262">
        <v>358</v>
      </c>
      <c r="AR262" t="s">
        <v>1067</v>
      </c>
      <c r="AS262">
        <v>2.4853840812142454</v>
      </c>
      <c r="AT262" t="s">
        <v>51</v>
      </c>
      <c r="XEM262" s="72"/>
      <c r="XEN262" s="73"/>
      <c r="XEO262" s="74"/>
      <c r="XEP262" s="75"/>
      <c r="XEQ262" s="76"/>
      <c r="XER262" s="73"/>
    </row>
    <row r="263" spans="1:46 16367:16372" ht="25.5" hidden="1" customHeight="1" x14ac:dyDescent="0.25">
      <c r="A263" s="72"/>
      <c r="B263" s="73"/>
      <c r="C263" s="120">
        <f>Таблица310[[#This Row],[Степень зрелости вспом]]</f>
        <v>60</v>
      </c>
      <c r="D263" s="75">
        <v>359</v>
      </c>
      <c r="E263" s="146">
        <v>45820</v>
      </c>
      <c r="F263" s="73">
        <v>28930</v>
      </c>
      <c r="G263" s="73">
        <v>13410</v>
      </c>
      <c r="H263" s="77">
        <v>15520</v>
      </c>
      <c r="I263" s="73">
        <v>11733.7</v>
      </c>
      <c r="J263" s="72" t="s">
        <v>903</v>
      </c>
      <c r="K263" s="72" t="s">
        <v>909</v>
      </c>
      <c r="L263" s="72" t="s">
        <v>967</v>
      </c>
      <c r="M263" s="35" t="s">
        <v>234</v>
      </c>
      <c r="N263" s="40"/>
      <c r="O263" s="72"/>
      <c r="P263" s="72"/>
      <c r="Q263" s="72"/>
      <c r="R263" s="72" t="s">
        <v>238</v>
      </c>
      <c r="S263" s="40"/>
      <c r="T263" s="70" t="s">
        <v>1067</v>
      </c>
      <c r="U263" s="68" t="str">
        <f>Таблица310[[#This Row],[Регистратор.Номенклатура]]</f>
        <v>Тристар</v>
      </c>
      <c r="V263" s="45">
        <f>56.3*Таблица310[[#This Row],[Регистратор.Вес нетто]]/302410</f>
        <v>2.4965543467477929</v>
      </c>
      <c r="W263" s="72" t="s">
        <v>51</v>
      </c>
      <c r="X263" s="72" t="s">
        <v>178</v>
      </c>
      <c r="Y263" s="40">
        <v>3</v>
      </c>
      <c r="Z263" s="71">
        <v>45820</v>
      </c>
      <c r="AA263" s="40"/>
      <c r="AB263" s="40"/>
      <c r="AC263" s="40" t="s">
        <v>724</v>
      </c>
      <c r="AD263" s="40" t="s">
        <v>511</v>
      </c>
      <c r="AE263" s="40">
        <v>359</v>
      </c>
      <c r="AF263" s="103">
        <v>45820</v>
      </c>
      <c r="AG263" s="40" t="s">
        <v>902</v>
      </c>
      <c r="AH263" s="40">
        <f>VLOOKUP(Таблица310[[#This Row],[№ акта]],'Степень зрелости 2025'!$H$13:$I$583,2,FALSE)</f>
        <v>60</v>
      </c>
      <c r="AI263" s="40" t="str">
        <f>VLOOKUP(Таблица310[[#This Row],[№ акта]],$AQ$1:$AT$594,2,FALSE)</f>
        <v>закупка</v>
      </c>
      <c r="AJ263" s="40" t="str">
        <f>Таблица310[[#This Row],[Регистратор.Номенклатура]]</f>
        <v>Тристар</v>
      </c>
      <c r="AK263" s="40" t="str">
        <f>VLOOKUP(Таблица310[[#This Row],[№ акта]],$AQ$1:$AT$594,4,FALSE)</f>
        <v>Братковский закупка (полив)</v>
      </c>
      <c r="AL263" s="45">
        <f>VLOOKUP(Таблица310[[#This Row],[№ акта]],$AQ$1:$AT$594,3,FALSE)</f>
        <v>2.4965543467477929</v>
      </c>
      <c r="AM263" s="40" t="str">
        <f>IF(Таблица310[[#This Row],[Площадь уборки, га]]=Таблица310[[#This Row],[Площадь уборки до корр]],"нет","да")</f>
        <v>нет</v>
      </c>
      <c r="AN263" s="45">
        <f>Таблица310[[#This Row],[Площадь уборки до корр]]-Таблица310[[#This Row],[Площадь уборки, га]]</f>
        <v>0</v>
      </c>
      <c r="AQ263">
        <v>359</v>
      </c>
      <c r="AR263" t="s">
        <v>1067</v>
      </c>
      <c r="AS263">
        <v>2.4965543467477929</v>
      </c>
      <c r="AT263" t="s">
        <v>51</v>
      </c>
      <c r="XEM263" s="72"/>
      <c r="XEN263" s="73"/>
      <c r="XEO263" s="74"/>
      <c r="XEP263" s="75"/>
      <c r="XEQ263" s="76"/>
      <c r="XER263" s="73"/>
    </row>
    <row r="264" spans="1:46 16367:16372" ht="25.5" hidden="1" customHeight="1" x14ac:dyDescent="0.25">
      <c r="A264" s="72"/>
      <c r="B264" s="73"/>
      <c r="C264" s="120">
        <f>Таблица310[[#This Row],[Степень зрелости вспом]]</f>
        <v>58</v>
      </c>
      <c r="D264" s="75">
        <v>360</v>
      </c>
      <c r="E264" s="146">
        <v>45820</v>
      </c>
      <c r="F264" s="73">
        <v>28570</v>
      </c>
      <c r="G264" s="73">
        <v>13220</v>
      </c>
      <c r="H264" s="77">
        <v>15350</v>
      </c>
      <c r="I264" s="73">
        <v>11964.1</v>
      </c>
      <c r="J264" s="72" t="s">
        <v>903</v>
      </c>
      <c r="K264" s="72" t="s">
        <v>909</v>
      </c>
      <c r="L264" s="72" t="s">
        <v>967</v>
      </c>
      <c r="M264" s="35" t="s">
        <v>111</v>
      </c>
      <c r="N264" s="40"/>
      <c r="O264" s="72"/>
      <c r="P264" s="72"/>
      <c r="Q264" s="72"/>
      <c r="R264" s="72" t="s">
        <v>114</v>
      </c>
      <c r="S264" s="40"/>
      <c r="T264" s="70" t="s">
        <v>1067</v>
      </c>
      <c r="U264" s="68" t="str">
        <f>Таблица310[[#This Row],[Регистратор.Номенклатура]]</f>
        <v>Тристар</v>
      </c>
      <c r="V264" s="45">
        <f>56.3*Таблица310[[#This Row],[Регистратор.Вес нетто]]/302410</f>
        <v>2.4611818392248934</v>
      </c>
      <c r="W264" s="72" t="s">
        <v>51</v>
      </c>
      <c r="X264" s="72" t="s">
        <v>178</v>
      </c>
      <c r="Y264" s="40">
        <v>3</v>
      </c>
      <c r="Z264" s="71">
        <v>45820</v>
      </c>
      <c r="AA264" s="40"/>
      <c r="AB264" s="40"/>
      <c r="AC264" s="40" t="s">
        <v>724</v>
      </c>
      <c r="AD264" s="40" t="s">
        <v>511</v>
      </c>
      <c r="AE264" s="40">
        <v>360</v>
      </c>
      <c r="AF264" s="103">
        <v>45820</v>
      </c>
      <c r="AG264" s="40" t="s">
        <v>902</v>
      </c>
      <c r="AH264" s="40">
        <f>VLOOKUP(Таблица310[[#This Row],[№ акта]],'Степень зрелости 2025'!$H$13:$I$583,2,FALSE)</f>
        <v>58</v>
      </c>
      <c r="AI264" s="40" t="str">
        <f>VLOOKUP(Таблица310[[#This Row],[№ акта]],$AQ$1:$AT$594,2,FALSE)</f>
        <v>закупка</v>
      </c>
      <c r="AJ264" s="40" t="str">
        <f>Таблица310[[#This Row],[Регистратор.Номенклатура]]</f>
        <v>Тристар</v>
      </c>
      <c r="AK264" s="40" t="str">
        <f>VLOOKUP(Таблица310[[#This Row],[№ акта]],$AQ$1:$AT$594,4,FALSE)</f>
        <v>Братковский закупка (полив)</v>
      </c>
      <c r="AL264" s="45">
        <f>VLOOKUP(Таблица310[[#This Row],[№ акта]],$AQ$1:$AT$594,3,FALSE)</f>
        <v>2.4611818392248934</v>
      </c>
      <c r="AM264" s="40" t="str">
        <f>IF(Таблица310[[#This Row],[Площадь уборки, га]]=Таблица310[[#This Row],[Площадь уборки до корр]],"нет","да")</f>
        <v>нет</v>
      </c>
      <c r="AN264" s="45">
        <f>Таблица310[[#This Row],[Площадь уборки до корр]]-Таблица310[[#This Row],[Площадь уборки, га]]</f>
        <v>0</v>
      </c>
      <c r="AQ264">
        <v>360</v>
      </c>
      <c r="AR264" t="s">
        <v>1067</v>
      </c>
      <c r="AS264">
        <v>2.4611818392248934</v>
      </c>
      <c r="AT264" t="s">
        <v>51</v>
      </c>
      <c r="XEM264" s="72"/>
      <c r="XEN264" s="73"/>
      <c r="XEO264" s="74"/>
      <c r="XEP264" s="75"/>
      <c r="XEQ264" s="76"/>
      <c r="XER264" s="73"/>
    </row>
    <row r="265" spans="1:46 16367:16372" ht="25.5" hidden="1" customHeight="1" x14ac:dyDescent="0.25">
      <c r="A265" s="72"/>
      <c r="B265" s="73"/>
      <c r="C265" s="120">
        <f>Таблица310[[#This Row],[Степень зрелости вспом]]</f>
        <v>54</v>
      </c>
      <c r="D265" s="75">
        <v>361</v>
      </c>
      <c r="E265" s="146">
        <v>45820</v>
      </c>
      <c r="F265" s="73">
        <v>27890</v>
      </c>
      <c r="G265" s="73">
        <v>13470</v>
      </c>
      <c r="H265" s="77">
        <v>14420</v>
      </c>
      <c r="I265" s="73">
        <v>11651.5</v>
      </c>
      <c r="J265" s="72" t="s">
        <v>903</v>
      </c>
      <c r="K265" s="72" t="s">
        <v>909</v>
      </c>
      <c r="L265" s="72" t="s">
        <v>967</v>
      </c>
      <c r="M265" s="35" t="s">
        <v>305</v>
      </c>
      <c r="N265" s="40"/>
      <c r="O265" s="72"/>
      <c r="P265" s="72"/>
      <c r="Q265" s="72"/>
      <c r="R265" s="72" t="s">
        <v>309</v>
      </c>
      <c r="S265" s="40"/>
      <c r="T265" s="70" t="s">
        <v>1067</v>
      </c>
      <c r="U265" s="68" t="str">
        <f>Таблица310[[#This Row],[Регистратор.Номенклатура]]</f>
        <v>Тристар</v>
      </c>
      <c r="V265" s="45">
        <f>56.3*Таблица310[[#This Row],[Регистратор.Вес нетто]]/302410</f>
        <v>2.5077246122813399</v>
      </c>
      <c r="W265" s="72" t="s">
        <v>51</v>
      </c>
      <c r="X265" s="72" t="s">
        <v>178</v>
      </c>
      <c r="Y265" s="40">
        <v>3</v>
      </c>
      <c r="Z265" s="71">
        <v>45820</v>
      </c>
      <c r="AA265" s="40"/>
      <c r="AB265" s="40"/>
      <c r="AC265" s="40" t="s">
        <v>724</v>
      </c>
      <c r="AD265" s="40" t="s">
        <v>511</v>
      </c>
      <c r="AE265" s="40">
        <v>361</v>
      </c>
      <c r="AF265" s="103">
        <v>45820</v>
      </c>
      <c r="AG265" s="40">
        <v>26</v>
      </c>
      <c r="AH265" s="40">
        <f>VLOOKUP(Таблица310[[#This Row],[№ акта]],'Степень зрелости 2025'!$H$13:$I$583,2,FALSE)</f>
        <v>54</v>
      </c>
      <c r="AI265" s="40" t="str">
        <f>VLOOKUP(Таблица310[[#This Row],[№ акта]],$AQ$1:$AT$594,2,FALSE)</f>
        <v>закупка</v>
      </c>
      <c r="AJ265" s="40" t="str">
        <f>Таблица310[[#This Row],[Регистратор.Номенклатура]]</f>
        <v>Тристар</v>
      </c>
      <c r="AK265" s="40" t="str">
        <f>VLOOKUP(Таблица310[[#This Row],[№ акта]],$AQ$1:$AT$594,4,FALSE)</f>
        <v>Братковский закупка (полив)</v>
      </c>
      <c r="AL265" s="45">
        <f>VLOOKUP(Таблица310[[#This Row],[№ акта]],$AQ$1:$AT$594,3,FALSE)</f>
        <v>2.5077246122813399</v>
      </c>
      <c r="AM265" s="40" t="str">
        <f>IF(Таблица310[[#This Row],[Площадь уборки, га]]=Таблица310[[#This Row],[Площадь уборки до корр]],"нет","да")</f>
        <v>нет</v>
      </c>
      <c r="AN265" s="45">
        <f>Таблица310[[#This Row],[Площадь уборки до корр]]-Таблица310[[#This Row],[Площадь уборки, га]]</f>
        <v>0</v>
      </c>
      <c r="AQ265">
        <v>361</v>
      </c>
      <c r="AR265" t="s">
        <v>1067</v>
      </c>
      <c r="AS265">
        <v>2.5077246122813399</v>
      </c>
      <c r="AT265" t="s">
        <v>51</v>
      </c>
      <c r="XEM265" s="72"/>
      <c r="XEN265" s="73"/>
      <c r="XEO265" s="74"/>
      <c r="XEP265" s="75"/>
      <c r="XEQ265" s="76"/>
      <c r="XER265" s="73"/>
    </row>
    <row r="266" spans="1:46 16367:16372" ht="25.5" hidden="1" customHeight="1" x14ac:dyDescent="0.25">
      <c r="A266" s="72"/>
      <c r="B266" s="73"/>
      <c r="C266" s="120">
        <f>Таблица310[[#This Row],[Степень зрелости вспом]]</f>
        <v>54</v>
      </c>
      <c r="D266" s="75">
        <v>362</v>
      </c>
      <c r="E266" s="146">
        <v>45820</v>
      </c>
      <c r="F266" s="73">
        <v>23210</v>
      </c>
      <c r="G266" s="73">
        <v>8080</v>
      </c>
      <c r="H266" s="77">
        <v>15130</v>
      </c>
      <c r="I266" s="73">
        <v>6383.2</v>
      </c>
      <c r="J266" s="72" t="s">
        <v>903</v>
      </c>
      <c r="K266" s="72" t="s">
        <v>909</v>
      </c>
      <c r="L266" s="72" t="s">
        <v>967</v>
      </c>
      <c r="M266" s="35" t="s">
        <v>195</v>
      </c>
      <c r="N266" s="40"/>
      <c r="O266" s="72"/>
      <c r="P266" s="72"/>
      <c r="Q266" s="72"/>
      <c r="R266" s="72" t="s">
        <v>199</v>
      </c>
      <c r="S266" s="40"/>
      <c r="T266" s="70" t="s">
        <v>1067</v>
      </c>
      <c r="U266" s="68" t="str">
        <f>Таблица310[[#This Row],[Регистратор.Номенклатура]]</f>
        <v>Тристар</v>
      </c>
      <c r="V266" s="45">
        <f>56.3*Таблица310[[#This Row],[Регистратор.Вес нетто]]/302410</f>
        <v>1.5042624251843524</v>
      </c>
      <c r="W266" s="72" t="s">
        <v>51</v>
      </c>
      <c r="X266" s="72" t="s">
        <v>178</v>
      </c>
      <c r="Y266" s="40">
        <v>3</v>
      </c>
      <c r="Z266" s="71">
        <v>45820</v>
      </c>
      <c r="AA266" s="40"/>
      <c r="AB266" s="40"/>
      <c r="AC266" s="40" t="s">
        <v>724</v>
      </c>
      <c r="AD266" s="40" t="s">
        <v>511</v>
      </c>
      <c r="AE266" s="40">
        <v>362</v>
      </c>
      <c r="AF266" s="103">
        <v>45820</v>
      </c>
      <c r="AG266" s="40" t="s">
        <v>902</v>
      </c>
      <c r="AH266" s="40">
        <f>VLOOKUP(Таблица310[[#This Row],[№ акта]],'Степень зрелости 2025'!$H$13:$I$583,2,FALSE)</f>
        <v>54</v>
      </c>
      <c r="AI266" s="40" t="str">
        <f>VLOOKUP(Таблица310[[#This Row],[№ акта]],$AQ$1:$AT$594,2,FALSE)</f>
        <v>закупка</v>
      </c>
      <c r="AJ266" s="40" t="str">
        <f>Таблица310[[#This Row],[Регистратор.Номенклатура]]</f>
        <v>Тристар</v>
      </c>
      <c r="AK266" s="40" t="str">
        <f>VLOOKUP(Таблица310[[#This Row],[№ акта]],$AQ$1:$AT$594,4,FALSE)</f>
        <v>Братковский закупка (полив)</v>
      </c>
      <c r="AL266" s="45">
        <f>VLOOKUP(Таблица310[[#This Row],[№ акта]],$AQ$1:$AT$594,3,FALSE)</f>
        <v>1.5042624251843524</v>
      </c>
      <c r="AM266" s="40" t="str">
        <f>IF(Таблица310[[#This Row],[Площадь уборки, га]]=Таблица310[[#This Row],[Площадь уборки до корр]],"нет","да")</f>
        <v>нет</v>
      </c>
      <c r="AN266" s="45">
        <f>Таблица310[[#This Row],[Площадь уборки до корр]]-Таблица310[[#This Row],[Площадь уборки, га]]</f>
        <v>0</v>
      </c>
      <c r="AQ266">
        <v>362</v>
      </c>
      <c r="AR266" t="s">
        <v>1067</v>
      </c>
      <c r="AS266">
        <v>1.5042624251843524</v>
      </c>
      <c r="AT266" t="s">
        <v>51</v>
      </c>
      <c r="XEM266" s="72"/>
      <c r="XEN266" s="73"/>
      <c r="XEO266" s="74"/>
      <c r="XEP266" s="75"/>
      <c r="XEQ266" s="76"/>
      <c r="XER266" s="73"/>
    </row>
    <row r="267" spans="1:46 16367:16372" ht="25.5" hidden="1" customHeight="1" x14ac:dyDescent="0.25">
      <c r="A267" s="72"/>
      <c r="B267" s="73"/>
      <c r="C267" s="120">
        <f>Таблица310[[#This Row],[Степень зрелости вспом]]</f>
        <v>50</v>
      </c>
      <c r="D267" s="75">
        <v>363</v>
      </c>
      <c r="E267" s="146">
        <v>45821</v>
      </c>
      <c r="F267" s="73">
        <v>27530</v>
      </c>
      <c r="G267" s="73">
        <v>13080</v>
      </c>
      <c r="H267" s="77">
        <v>14450</v>
      </c>
      <c r="I267" s="73">
        <v>10856.4</v>
      </c>
      <c r="J267" s="72" t="s">
        <v>903</v>
      </c>
      <c r="K267" s="72" t="s">
        <v>901</v>
      </c>
      <c r="L267" s="72" t="s">
        <v>957</v>
      </c>
      <c r="M267" s="35" t="s">
        <v>1312</v>
      </c>
      <c r="N267" s="40"/>
      <c r="O267" s="72"/>
      <c r="P267" s="72"/>
      <c r="Q267" s="72"/>
      <c r="R267" s="72" t="s">
        <v>320</v>
      </c>
      <c r="S267" s="40"/>
      <c r="T267" s="106">
        <v>41</v>
      </c>
      <c r="U267" s="68" t="str">
        <f>Таблица310[[#This Row],[Регистратор.Номенклатура]]</f>
        <v>Фаворит</v>
      </c>
      <c r="V267" s="45">
        <f>13.6*Таблица310[[#This Row],[Регистратор.Вес нетто]]/33720</f>
        <v>5.2754448398576512</v>
      </c>
      <c r="W267" s="72" t="s">
        <v>50</v>
      </c>
      <c r="X267" s="72" t="s">
        <v>178</v>
      </c>
      <c r="Y267" s="40">
        <v>3</v>
      </c>
      <c r="Z267" s="71">
        <v>45820</v>
      </c>
      <c r="AA267" s="40"/>
      <c r="AB267" s="40"/>
      <c r="AC267" s="40" t="s">
        <v>419</v>
      </c>
      <c r="AD267" s="40" t="s">
        <v>511</v>
      </c>
      <c r="AE267" s="40">
        <v>363</v>
      </c>
      <c r="AF267" s="103">
        <v>45821</v>
      </c>
      <c r="AG267" s="40">
        <v>28</v>
      </c>
      <c r="AH267" s="40">
        <f>VLOOKUP(Таблица310[[#This Row],[№ акта]],'Степень зрелости 2025'!$H$13:$I$583,2,FALSE)</f>
        <v>50</v>
      </c>
      <c r="AI267" s="40">
        <f>VLOOKUP(Таблица310[[#This Row],[№ акта]],$AQ$1:$AT$594,2,FALSE)</f>
        <v>41</v>
      </c>
      <c r="AJ267" s="40" t="str">
        <f>Таблица310[[#This Row],[Регистратор.Номенклатура]]</f>
        <v>Фаворит</v>
      </c>
      <c r="AK267" s="40" t="str">
        <f>VLOOKUP(Таблица310[[#This Row],[№ акта]],$AQ$1:$AT$594,4,FALSE)</f>
        <v>Братковский (полив)</v>
      </c>
      <c r="AL267" s="45">
        <f>VLOOKUP(Таблица310[[#This Row],[№ акта]],$AQ$1:$AT$594,3,FALSE)</f>
        <v>5.2754448398576512</v>
      </c>
      <c r="AM267" s="40" t="str">
        <f>IF(Таблица310[[#This Row],[Площадь уборки, га]]=Таблица310[[#This Row],[Площадь уборки до корр]],"нет","да")</f>
        <v>нет</v>
      </c>
      <c r="AN267" s="45">
        <f>Таблица310[[#This Row],[Площадь уборки до корр]]-Таблица310[[#This Row],[Площадь уборки, га]]</f>
        <v>0</v>
      </c>
      <c r="AQ267">
        <v>363</v>
      </c>
      <c r="AR267">
        <v>41</v>
      </c>
      <c r="AS267">
        <v>5.2754448398576512</v>
      </c>
      <c r="AT267" t="s">
        <v>50</v>
      </c>
      <c r="XEM267" s="72"/>
      <c r="XEN267" s="73"/>
      <c r="XEO267" s="74"/>
      <c r="XEP267" s="75"/>
      <c r="XEQ267" s="76"/>
      <c r="XER267" s="73"/>
    </row>
    <row r="268" spans="1:46 16367:16372" ht="25.5" hidden="1" customHeight="1" x14ac:dyDescent="0.25">
      <c r="A268" s="72"/>
      <c r="B268" s="73"/>
      <c r="C268" s="120">
        <f>Таблица310[[#This Row],[Степень зрелости вспом]]</f>
        <v>51</v>
      </c>
      <c r="D268" s="75">
        <v>364</v>
      </c>
      <c r="E268" s="146">
        <v>45821</v>
      </c>
      <c r="F268" s="73">
        <v>28900</v>
      </c>
      <c r="G268" s="73">
        <v>14010</v>
      </c>
      <c r="H268" s="77">
        <v>14890</v>
      </c>
      <c r="I268" s="73">
        <v>12118.6</v>
      </c>
      <c r="J268" s="72" t="s">
        <v>903</v>
      </c>
      <c r="K268" s="72" t="s">
        <v>901</v>
      </c>
      <c r="L268" s="72" t="s">
        <v>957</v>
      </c>
      <c r="M268" s="35" t="s">
        <v>894</v>
      </c>
      <c r="N268" s="40"/>
      <c r="O268" s="72"/>
      <c r="P268" s="72"/>
      <c r="Q268" s="72"/>
      <c r="R268" s="72" t="s">
        <v>895</v>
      </c>
      <c r="S268" s="40"/>
      <c r="T268" s="106">
        <v>41</v>
      </c>
      <c r="U268" s="68" t="str">
        <f>Таблица310[[#This Row],[Регистратор.Номенклатура]]</f>
        <v>Фаворит</v>
      </c>
      <c r="V268" s="45">
        <f>13.6*Таблица310[[#This Row],[Регистратор.Вес нетто]]/33720</f>
        <v>5.6505338078291816</v>
      </c>
      <c r="W268" s="72" t="s">
        <v>50</v>
      </c>
      <c r="X268" s="72" t="s">
        <v>178</v>
      </c>
      <c r="Y268" s="40">
        <v>3</v>
      </c>
      <c r="Z268" s="71">
        <v>45820</v>
      </c>
      <c r="AA268" s="40"/>
      <c r="AB268" s="40"/>
      <c r="AC268" s="40" t="s">
        <v>419</v>
      </c>
      <c r="AD268" s="40" t="s">
        <v>511</v>
      </c>
      <c r="AE268" s="40">
        <v>364</v>
      </c>
      <c r="AF268" s="103">
        <v>45821</v>
      </c>
      <c r="AG268" s="40">
        <v>29</v>
      </c>
      <c r="AH268" s="40">
        <f>VLOOKUP(Таблица310[[#This Row],[№ акта]],'Степень зрелости 2025'!$H$13:$I$583,2,FALSE)</f>
        <v>51</v>
      </c>
      <c r="AI268" s="40">
        <f>VLOOKUP(Таблица310[[#This Row],[№ акта]],$AQ$1:$AT$594,2,FALSE)</f>
        <v>41</v>
      </c>
      <c r="AJ268" s="40" t="str">
        <f>Таблица310[[#This Row],[Регистратор.Номенклатура]]</f>
        <v>Фаворит</v>
      </c>
      <c r="AK268" s="40" t="str">
        <f>VLOOKUP(Таблица310[[#This Row],[№ акта]],$AQ$1:$AT$594,4,FALSE)</f>
        <v>Братковский (полив)</v>
      </c>
      <c r="AL268" s="45">
        <f>VLOOKUP(Таблица310[[#This Row],[№ акта]],$AQ$1:$AT$594,3,FALSE)</f>
        <v>5.6505338078291816</v>
      </c>
      <c r="AM268" s="40" t="str">
        <f>IF(Таблица310[[#This Row],[Площадь уборки, га]]=Таблица310[[#This Row],[Площадь уборки до корр]],"нет","да")</f>
        <v>нет</v>
      </c>
      <c r="AN268" s="45">
        <f>Таблица310[[#This Row],[Площадь уборки до корр]]-Таблица310[[#This Row],[Площадь уборки, га]]</f>
        <v>0</v>
      </c>
      <c r="AQ268">
        <v>364</v>
      </c>
      <c r="AR268">
        <v>41</v>
      </c>
      <c r="AS268">
        <v>5.6505338078291816</v>
      </c>
      <c r="AT268" t="s">
        <v>50</v>
      </c>
      <c r="XEM268" s="72"/>
      <c r="XEN268" s="73"/>
      <c r="XEO268" s="74"/>
      <c r="XEP268" s="75"/>
      <c r="XEQ268" s="76"/>
      <c r="XER268" s="73"/>
    </row>
    <row r="269" spans="1:46 16367:16372" ht="25.5" hidden="1" customHeight="1" x14ac:dyDescent="0.25">
      <c r="A269" s="72"/>
      <c r="B269" s="73"/>
      <c r="C269" s="120">
        <f>Таблица310[[#This Row],[Степень зрелости вспом]]</f>
        <v>56</v>
      </c>
      <c r="D269" s="75">
        <v>365</v>
      </c>
      <c r="E269" s="146">
        <v>45820</v>
      </c>
      <c r="F269" s="73">
        <v>29840</v>
      </c>
      <c r="G269" s="73">
        <v>6630</v>
      </c>
      <c r="H269" s="77">
        <v>23210</v>
      </c>
      <c r="I269" s="73">
        <v>5668.6</v>
      </c>
      <c r="J269" s="72" t="s">
        <v>903</v>
      </c>
      <c r="K269" s="72" t="s">
        <v>901</v>
      </c>
      <c r="L269" s="72" t="s">
        <v>957</v>
      </c>
      <c r="M269" s="35" t="s">
        <v>195</v>
      </c>
      <c r="N269" s="40"/>
      <c r="O269" s="72"/>
      <c r="P269" s="72"/>
      <c r="Q269" s="72"/>
      <c r="R269" s="72" t="s">
        <v>199</v>
      </c>
      <c r="S269" s="40"/>
      <c r="T269" s="106">
        <v>41</v>
      </c>
      <c r="U269" s="68" t="str">
        <f>Таблица310[[#This Row],[Регистратор.Номенклатура]]</f>
        <v>Фаворит</v>
      </c>
      <c r="V269" s="45">
        <f>13.6*Таблица310[[#This Row],[Регистратор.Вес нетто]]/33720</f>
        <v>2.6740213523131673</v>
      </c>
      <c r="W269" s="72" t="s">
        <v>50</v>
      </c>
      <c r="X269" s="72" t="s">
        <v>178</v>
      </c>
      <c r="Y269" s="40">
        <v>3</v>
      </c>
      <c r="Z269" s="71">
        <v>45820</v>
      </c>
      <c r="AA269" s="40"/>
      <c r="AB269" s="40"/>
      <c r="AC269" s="40" t="s">
        <v>724</v>
      </c>
      <c r="AD269" s="40" t="s">
        <v>511</v>
      </c>
      <c r="AE269" s="40">
        <v>365</v>
      </c>
      <c r="AF269" s="103">
        <v>45820</v>
      </c>
      <c r="AG269" s="40" t="s">
        <v>902</v>
      </c>
      <c r="AH269" s="40">
        <f>VLOOKUP(Таблица310[[#This Row],[№ акта]],'Степень зрелости 2025'!$H$13:$I$583,2,FALSE)</f>
        <v>56</v>
      </c>
      <c r="AI269" s="40">
        <f>VLOOKUP(Таблица310[[#This Row],[№ акта]],$AQ$1:$AT$594,2,FALSE)</f>
        <v>41</v>
      </c>
      <c r="AJ269" s="40" t="str">
        <f>Таблица310[[#This Row],[Регистратор.Номенклатура]]</f>
        <v>Фаворит</v>
      </c>
      <c r="AK269" s="40" t="str">
        <f>VLOOKUP(Таблица310[[#This Row],[№ акта]],$AQ$1:$AT$594,4,FALSE)</f>
        <v>Братковский (полив)</v>
      </c>
      <c r="AL269" s="45">
        <f>VLOOKUP(Таблица310[[#This Row],[№ акта]],$AQ$1:$AT$594,3,FALSE)</f>
        <v>2.6740213523131673</v>
      </c>
      <c r="AM269" s="40" t="str">
        <f>IF(Таблица310[[#This Row],[Площадь уборки, га]]=Таблица310[[#This Row],[Площадь уборки до корр]],"нет","да")</f>
        <v>нет</v>
      </c>
      <c r="AN269" s="45">
        <f>Таблица310[[#This Row],[Площадь уборки до корр]]-Таблица310[[#This Row],[Площадь уборки, га]]</f>
        <v>0</v>
      </c>
      <c r="AQ269">
        <v>365</v>
      </c>
      <c r="AR269">
        <v>41</v>
      </c>
      <c r="AS269">
        <v>2.6740213523131673</v>
      </c>
      <c r="AT269" t="s">
        <v>50</v>
      </c>
      <c r="XEM269" s="72"/>
      <c r="XEN269" s="73"/>
      <c r="XEO269" s="74"/>
      <c r="XEP269" s="75"/>
      <c r="XEQ269" s="76"/>
      <c r="XER269" s="73"/>
    </row>
    <row r="270" spans="1:46 16367:16372" ht="25.5" hidden="1" customHeight="1" x14ac:dyDescent="0.25">
      <c r="A270" s="72"/>
      <c r="B270" s="73"/>
      <c r="C270" s="120">
        <f>Таблица310[[#This Row],[Степень зрелости вспом]]</f>
        <v>60</v>
      </c>
      <c r="D270" s="75">
        <v>366</v>
      </c>
      <c r="E270" s="146">
        <v>45821</v>
      </c>
      <c r="F270" s="73">
        <v>36780</v>
      </c>
      <c r="G270" s="73">
        <v>15820</v>
      </c>
      <c r="H270" s="77">
        <v>20960</v>
      </c>
      <c r="I270" s="73">
        <v>13482.7</v>
      </c>
      <c r="J270" s="72" t="s">
        <v>903</v>
      </c>
      <c r="K270" s="72" t="s">
        <v>909</v>
      </c>
      <c r="L270" s="72" t="s">
        <v>957</v>
      </c>
      <c r="M270" s="35" t="s">
        <v>1152</v>
      </c>
      <c r="N270" s="40"/>
      <c r="O270" s="72"/>
      <c r="P270" s="72"/>
      <c r="Q270" s="72"/>
      <c r="R270" s="72" t="s">
        <v>119</v>
      </c>
      <c r="S270" s="40"/>
      <c r="T270" s="70" t="s">
        <v>1067</v>
      </c>
      <c r="U270" s="68" t="str">
        <f>Таблица310[[#This Row],[Регистратор.Номенклатура]]</f>
        <v>Тристар</v>
      </c>
      <c r="V270" s="45">
        <f>56.3*Таблица310[[#This Row],[Регистратор.Вес нетто]]/302410</f>
        <v>2.9452266790119372</v>
      </c>
      <c r="W270" s="72" t="s">
        <v>51</v>
      </c>
      <c r="X270" s="72" t="s">
        <v>178</v>
      </c>
      <c r="Y270" s="40">
        <v>3</v>
      </c>
      <c r="Z270" s="71">
        <v>45820</v>
      </c>
      <c r="AA270" s="40"/>
      <c r="AB270" s="40"/>
      <c r="AC270" s="40" t="s">
        <v>724</v>
      </c>
      <c r="AD270" s="40" t="s">
        <v>511</v>
      </c>
      <c r="AE270" s="40">
        <v>366</v>
      </c>
      <c r="AF270" s="103">
        <v>45821</v>
      </c>
      <c r="AG270" s="40">
        <v>30</v>
      </c>
      <c r="AH270" s="40">
        <f>VLOOKUP(Таблица310[[#This Row],[№ акта]],'Степень зрелости 2025'!$H$13:$I$583,2,FALSE)</f>
        <v>60</v>
      </c>
      <c r="AI270" s="40" t="str">
        <f>VLOOKUP(Таблица310[[#This Row],[№ акта]],$AQ$1:$AT$594,2,FALSE)</f>
        <v>закупка</v>
      </c>
      <c r="AJ270" s="40" t="str">
        <f>Таблица310[[#This Row],[Регистратор.Номенклатура]]</f>
        <v>Тристар</v>
      </c>
      <c r="AK270" s="40" t="str">
        <f>VLOOKUP(Таблица310[[#This Row],[№ акта]],$AQ$1:$AT$594,4,FALSE)</f>
        <v>Братковский закупка (полив)</v>
      </c>
      <c r="AL270" s="45">
        <f>VLOOKUP(Таблица310[[#This Row],[№ акта]],$AQ$1:$AT$594,3,FALSE)</f>
        <v>2.9452266790119372</v>
      </c>
      <c r="AM270" s="40" t="str">
        <f>IF(Таблица310[[#This Row],[Площадь уборки, га]]=Таблица310[[#This Row],[Площадь уборки до корр]],"нет","да")</f>
        <v>нет</v>
      </c>
      <c r="AN270" s="45">
        <f>Таблица310[[#This Row],[Площадь уборки до корр]]-Таблица310[[#This Row],[Площадь уборки, га]]</f>
        <v>0</v>
      </c>
      <c r="AQ270">
        <v>366</v>
      </c>
      <c r="AR270" t="s">
        <v>1067</v>
      </c>
      <c r="AS270">
        <v>2.9452266790119372</v>
      </c>
      <c r="AT270" t="s">
        <v>51</v>
      </c>
      <c r="XEM270" s="72"/>
      <c r="XEN270" s="73"/>
      <c r="XEO270" s="74"/>
      <c r="XEP270" s="75"/>
      <c r="XEQ270" s="76"/>
      <c r="XER270" s="73"/>
    </row>
    <row r="271" spans="1:46 16367:16372" ht="25.5" hidden="1" customHeight="1" x14ac:dyDescent="0.25">
      <c r="A271" s="72"/>
      <c r="B271" s="73"/>
      <c r="C271" s="120">
        <f>Таблица310[[#This Row],[Степень зрелости вспом]]</f>
        <v>56</v>
      </c>
      <c r="D271" s="75">
        <v>367</v>
      </c>
      <c r="E271" s="146">
        <v>45821</v>
      </c>
      <c r="F271" s="73">
        <v>34890</v>
      </c>
      <c r="G271" s="73">
        <v>16240</v>
      </c>
      <c r="H271" s="77">
        <v>18650</v>
      </c>
      <c r="I271" s="73">
        <v>14697.2</v>
      </c>
      <c r="J271" s="72" t="s">
        <v>903</v>
      </c>
      <c r="K271" s="72" t="s">
        <v>909</v>
      </c>
      <c r="L271" s="72" t="s">
        <v>422</v>
      </c>
      <c r="M271" s="35" t="s">
        <v>347</v>
      </c>
      <c r="N271" s="40"/>
      <c r="O271" s="72"/>
      <c r="P271" s="72"/>
      <c r="Q271" s="72"/>
      <c r="R271" s="72" t="s">
        <v>351</v>
      </c>
      <c r="S271" s="40"/>
      <c r="T271" s="70" t="s">
        <v>1067</v>
      </c>
      <c r="U271" s="68" t="str">
        <f>Таблица310[[#This Row],[Регистратор.Номенклатура]]</f>
        <v>Тристар</v>
      </c>
      <c r="V271" s="45">
        <f>56.3*Таблица310[[#This Row],[Регистратор.Вес нетто]]/302410</f>
        <v>3.0234185377467675</v>
      </c>
      <c r="W271" s="72" t="s">
        <v>51</v>
      </c>
      <c r="X271" s="72" t="s">
        <v>178</v>
      </c>
      <c r="Y271" s="40">
        <v>3</v>
      </c>
      <c r="Z271" s="71">
        <v>45820</v>
      </c>
      <c r="AA271" s="40"/>
      <c r="AB271" s="40"/>
      <c r="AC271" s="40" t="s">
        <v>724</v>
      </c>
      <c r="AD271" s="40" t="s">
        <v>511</v>
      </c>
      <c r="AE271" s="40">
        <v>367</v>
      </c>
      <c r="AF271" s="103">
        <v>45821</v>
      </c>
      <c r="AG271" s="40">
        <v>31</v>
      </c>
      <c r="AH271" s="40">
        <f>VLOOKUP(Таблица310[[#This Row],[№ акта]],'Степень зрелости 2025'!$H$13:$I$583,2,FALSE)</f>
        <v>56</v>
      </c>
      <c r="AI271" s="40" t="str">
        <f>VLOOKUP(Таблица310[[#This Row],[№ акта]],$AQ$1:$AT$594,2,FALSE)</f>
        <v>закупка</v>
      </c>
      <c r="AJ271" s="40" t="str">
        <f>Таблица310[[#This Row],[Регистратор.Номенклатура]]</f>
        <v>Тристар</v>
      </c>
      <c r="AK271" s="40" t="str">
        <f>VLOOKUP(Таблица310[[#This Row],[№ акта]],$AQ$1:$AT$594,4,FALSE)</f>
        <v>Братковский закупка (полив)</v>
      </c>
      <c r="AL271" s="45">
        <f>VLOOKUP(Таблица310[[#This Row],[№ акта]],$AQ$1:$AT$594,3,FALSE)</f>
        <v>3.0234185377467675</v>
      </c>
      <c r="AM271" s="40" t="str">
        <f>IF(Таблица310[[#This Row],[Площадь уборки, га]]=Таблица310[[#This Row],[Площадь уборки до корр]],"нет","да")</f>
        <v>нет</v>
      </c>
      <c r="AN271" s="45">
        <f>Таблица310[[#This Row],[Площадь уборки до корр]]-Таблица310[[#This Row],[Площадь уборки, га]]</f>
        <v>0</v>
      </c>
      <c r="AQ271">
        <v>367</v>
      </c>
      <c r="AR271" t="s">
        <v>1067</v>
      </c>
      <c r="AS271">
        <v>3.0234185377467675</v>
      </c>
      <c r="AT271" t="s">
        <v>51</v>
      </c>
      <c r="XEM271" s="72"/>
      <c r="XEN271" s="73"/>
      <c r="XEO271" s="74"/>
      <c r="XEP271" s="75"/>
      <c r="XEQ271" s="76"/>
      <c r="XER271" s="73"/>
    </row>
    <row r="272" spans="1:46 16367:16372" ht="25.5" hidden="1" customHeight="1" x14ac:dyDescent="0.25">
      <c r="A272" s="72"/>
      <c r="B272" s="73"/>
      <c r="C272" s="120">
        <f>Таблица310[[#This Row],[Степень зрелости вспом]]</f>
        <v>57</v>
      </c>
      <c r="D272" s="75">
        <v>368</v>
      </c>
      <c r="E272" s="146">
        <v>45821</v>
      </c>
      <c r="F272" s="73">
        <v>28220</v>
      </c>
      <c r="G272" s="73">
        <v>13400</v>
      </c>
      <c r="H272" s="77">
        <v>14820</v>
      </c>
      <c r="I272" s="73">
        <v>11725</v>
      </c>
      <c r="J272" s="72" t="s">
        <v>903</v>
      </c>
      <c r="K272" s="72" t="s">
        <v>909</v>
      </c>
      <c r="L272" s="72" t="s">
        <v>422</v>
      </c>
      <c r="M272" s="35" t="s">
        <v>133</v>
      </c>
      <c r="N272" s="40"/>
      <c r="O272" s="72"/>
      <c r="P272" s="72"/>
      <c r="Q272" s="72"/>
      <c r="R272" s="72" t="s">
        <v>137</v>
      </c>
      <c r="S272" s="40"/>
      <c r="T272" s="70" t="s">
        <v>1067</v>
      </c>
      <c r="U272" s="68" t="str">
        <f>Таблица310[[#This Row],[Регистратор.Номенклатура]]</f>
        <v>Тристар</v>
      </c>
      <c r="V272" s="45">
        <f>35*Таблица310[[#This Row],[Регистратор.Вес нетто]]/223090</f>
        <v>2.1022905553812361</v>
      </c>
      <c r="W272" s="72" t="s">
        <v>51</v>
      </c>
      <c r="X272" s="72" t="s">
        <v>178</v>
      </c>
      <c r="Y272" s="40">
        <v>4</v>
      </c>
      <c r="Z272" s="71">
        <v>45821</v>
      </c>
      <c r="AA272" s="40"/>
      <c r="AB272" s="40"/>
      <c r="AC272" s="40" t="s">
        <v>724</v>
      </c>
      <c r="AD272" s="40" t="s">
        <v>511</v>
      </c>
      <c r="AE272" s="40">
        <v>368</v>
      </c>
      <c r="AF272" s="103">
        <v>45821</v>
      </c>
      <c r="AG272" s="40">
        <v>32</v>
      </c>
      <c r="AH272" s="40">
        <f>VLOOKUP(Таблица310[[#This Row],[№ акта]],'Степень зрелости 2025'!$H$13:$I$583,2,FALSE)</f>
        <v>57</v>
      </c>
      <c r="AI272" s="40" t="str">
        <f>VLOOKUP(Таблица310[[#This Row],[№ акта]],$AQ$1:$AT$594,2,FALSE)</f>
        <v>закупка</v>
      </c>
      <c r="AJ272" s="40" t="str">
        <f>Таблица310[[#This Row],[Регистратор.Номенклатура]]</f>
        <v>Тристар</v>
      </c>
      <c r="AK272" s="40" t="str">
        <f>VLOOKUP(Таблица310[[#This Row],[№ акта]],$AQ$1:$AT$594,4,FALSE)</f>
        <v>Братковский закупка (полив)</v>
      </c>
      <c r="AL272" s="45">
        <f>VLOOKUP(Таблица310[[#This Row],[№ акта]],$AQ$1:$AT$594,3,FALSE)</f>
        <v>2.1022905553812361</v>
      </c>
      <c r="AM272" s="40" t="str">
        <f>IF(Таблица310[[#This Row],[Площадь уборки, га]]=Таблица310[[#This Row],[Площадь уборки до корр]],"нет","да")</f>
        <v>нет</v>
      </c>
      <c r="AN272" s="45">
        <f>Таблица310[[#This Row],[Площадь уборки до корр]]-Таблица310[[#This Row],[Площадь уборки, га]]</f>
        <v>0</v>
      </c>
      <c r="AQ272">
        <v>368</v>
      </c>
      <c r="AR272" t="s">
        <v>1067</v>
      </c>
      <c r="AS272">
        <v>2.1022905553812361</v>
      </c>
      <c r="AT272" t="s">
        <v>51</v>
      </c>
      <c r="XEM272" s="72"/>
      <c r="XEN272" s="73"/>
      <c r="XEO272" s="74"/>
      <c r="XEP272" s="75"/>
      <c r="XEQ272" s="76"/>
      <c r="XER272" s="73"/>
    </row>
    <row r="273" spans="1:46 16367:16372" ht="25.5" hidden="1" customHeight="1" x14ac:dyDescent="0.25">
      <c r="A273" s="72"/>
      <c r="B273" s="73"/>
      <c r="C273" s="120">
        <f>Таблица310[[#This Row],[Степень зрелости вспом]]</f>
        <v>57</v>
      </c>
      <c r="D273" s="75">
        <v>369</v>
      </c>
      <c r="E273" s="146">
        <v>45821</v>
      </c>
      <c r="F273" s="73">
        <v>28150</v>
      </c>
      <c r="G273" s="73">
        <v>13240</v>
      </c>
      <c r="H273" s="77">
        <v>14910</v>
      </c>
      <c r="I273" s="73">
        <v>12114.6</v>
      </c>
      <c r="J273" s="72" t="s">
        <v>903</v>
      </c>
      <c r="K273" s="72" t="s">
        <v>909</v>
      </c>
      <c r="L273" s="72" t="s">
        <v>422</v>
      </c>
      <c r="M273" s="35" t="s">
        <v>151</v>
      </c>
      <c r="N273" s="40"/>
      <c r="O273" s="72"/>
      <c r="P273" s="72"/>
      <c r="Q273" s="72"/>
      <c r="R273" s="72" t="s">
        <v>155</v>
      </c>
      <c r="S273" s="40"/>
      <c r="T273" s="70" t="s">
        <v>1067</v>
      </c>
      <c r="U273" s="68" t="str">
        <f>Таблица310[[#This Row],[Регистратор.Номенклатура]]</f>
        <v>Тристар</v>
      </c>
      <c r="V273" s="45">
        <f>35*Таблица310[[#This Row],[Регистратор.Вес нетто]]/223090</f>
        <v>2.0771885786005648</v>
      </c>
      <c r="W273" s="72" t="s">
        <v>51</v>
      </c>
      <c r="X273" s="72" t="s">
        <v>178</v>
      </c>
      <c r="Y273" s="40">
        <v>4</v>
      </c>
      <c r="Z273" s="71">
        <v>45821</v>
      </c>
      <c r="AA273" s="40"/>
      <c r="AB273" s="40"/>
      <c r="AC273" s="40" t="s">
        <v>724</v>
      </c>
      <c r="AD273" s="40" t="s">
        <v>511</v>
      </c>
      <c r="AE273" s="40">
        <v>369</v>
      </c>
      <c r="AF273" s="103">
        <v>45821</v>
      </c>
      <c r="AG273" s="40">
        <v>34</v>
      </c>
      <c r="AH273" s="40">
        <f>VLOOKUP(Таблица310[[#This Row],[№ акта]],'Степень зрелости 2025'!$H$13:$I$583,2,FALSE)</f>
        <v>57</v>
      </c>
      <c r="AI273" s="40" t="str">
        <f>VLOOKUP(Таблица310[[#This Row],[№ акта]],$AQ$1:$AT$594,2,FALSE)</f>
        <v>закупка</v>
      </c>
      <c r="AJ273" s="40" t="str">
        <f>Таблица310[[#This Row],[Регистратор.Номенклатура]]</f>
        <v>Тристар</v>
      </c>
      <c r="AK273" s="40" t="str">
        <f>VLOOKUP(Таблица310[[#This Row],[№ акта]],$AQ$1:$AT$594,4,FALSE)</f>
        <v>Братковский закупка (полив)</v>
      </c>
      <c r="AL273" s="45">
        <f>VLOOKUP(Таблица310[[#This Row],[№ акта]],$AQ$1:$AT$594,3,FALSE)</f>
        <v>2.0771885786005648</v>
      </c>
      <c r="AM273" s="40" t="str">
        <f>IF(Таблица310[[#This Row],[Площадь уборки, га]]=Таблица310[[#This Row],[Площадь уборки до корр]],"нет","да")</f>
        <v>нет</v>
      </c>
      <c r="AN273" s="45">
        <f>Таблица310[[#This Row],[Площадь уборки до корр]]-Таблица310[[#This Row],[Площадь уборки, га]]</f>
        <v>0</v>
      </c>
      <c r="AQ273">
        <v>369</v>
      </c>
      <c r="AR273" t="s">
        <v>1067</v>
      </c>
      <c r="AS273">
        <v>2.0771885786005648</v>
      </c>
      <c r="AT273" t="s">
        <v>51</v>
      </c>
      <c r="XEM273" s="72"/>
      <c r="XEN273" s="73"/>
      <c r="XEO273" s="74"/>
      <c r="XEP273" s="75"/>
      <c r="XEQ273" s="76"/>
      <c r="XER273" s="73"/>
    </row>
    <row r="274" spans="1:46 16367:16372" ht="25.5" hidden="1" customHeight="1" x14ac:dyDescent="0.25">
      <c r="A274" s="72"/>
      <c r="B274" s="73"/>
      <c r="C274" s="120">
        <f>Таблица310[[#This Row],[Степень зрелости вспом]]</f>
        <v>54</v>
      </c>
      <c r="D274" s="75">
        <v>370</v>
      </c>
      <c r="E274" s="146">
        <v>45821</v>
      </c>
      <c r="F274" s="73">
        <v>37170</v>
      </c>
      <c r="G274" s="73">
        <v>13330</v>
      </c>
      <c r="H274" s="77">
        <v>23840</v>
      </c>
      <c r="I274" s="73">
        <v>11530.4</v>
      </c>
      <c r="J274" s="72" t="s">
        <v>903</v>
      </c>
      <c r="K274" s="72" t="s">
        <v>909</v>
      </c>
      <c r="L274" s="72" t="s">
        <v>422</v>
      </c>
      <c r="M274" s="35" t="s">
        <v>160</v>
      </c>
      <c r="N274" s="40"/>
      <c r="O274" s="72"/>
      <c r="P274" s="72"/>
      <c r="Q274" s="72"/>
      <c r="R274" s="72" t="s">
        <v>164</v>
      </c>
      <c r="S274" s="40"/>
      <c r="T274" s="70" t="s">
        <v>1067</v>
      </c>
      <c r="U274" s="68" t="str">
        <f>Таблица310[[#This Row],[Регистратор.Номенклатура]]</f>
        <v>Тристар</v>
      </c>
      <c r="V274" s="45">
        <f>35*Таблица310[[#This Row],[Регистратор.Вес нетто]]/223090</f>
        <v>2.0913084405396924</v>
      </c>
      <c r="W274" s="72" t="s">
        <v>51</v>
      </c>
      <c r="X274" s="72" t="s">
        <v>178</v>
      </c>
      <c r="Y274" s="40">
        <v>4</v>
      </c>
      <c r="Z274" s="71">
        <v>45821</v>
      </c>
      <c r="AA274" s="40"/>
      <c r="AB274" s="40"/>
      <c r="AC274" s="40" t="s">
        <v>724</v>
      </c>
      <c r="AD274" s="40" t="s">
        <v>511</v>
      </c>
      <c r="AE274" s="40">
        <v>370</v>
      </c>
      <c r="AF274" s="103">
        <v>45821</v>
      </c>
      <c r="AG274" s="40">
        <v>33</v>
      </c>
      <c r="AH274" s="40">
        <f>VLOOKUP(Таблица310[[#This Row],[№ акта]],'Степень зрелости 2025'!$H$13:$I$583,2,FALSE)</f>
        <v>54</v>
      </c>
      <c r="AI274" s="40" t="str">
        <f>VLOOKUP(Таблица310[[#This Row],[№ акта]],$AQ$1:$AT$594,2,FALSE)</f>
        <v>закупка</v>
      </c>
      <c r="AJ274" s="40" t="str">
        <f>Таблица310[[#This Row],[Регистратор.Номенклатура]]</f>
        <v>Тристар</v>
      </c>
      <c r="AK274" s="40" t="str">
        <f>VLOOKUP(Таблица310[[#This Row],[№ акта]],$AQ$1:$AT$594,4,FALSE)</f>
        <v>Братковский закупка (полив)</v>
      </c>
      <c r="AL274" s="45">
        <f>VLOOKUP(Таблица310[[#This Row],[№ акта]],$AQ$1:$AT$594,3,FALSE)</f>
        <v>2.0913084405396924</v>
      </c>
      <c r="AM274" s="40" t="str">
        <f>IF(Таблица310[[#This Row],[Площадь уборки, га]]=Таблица310[[#This Row],[Площадь уборки до корр]],"нет","да")</f>
        <v>нет</v>
      </c>
      <c r="AN274" s="45">
        <f>Таблица310[[#This Row],[Площадь уборки до корр]]-Таблица310[[#This Row],[Площадь уборки, га]]</f>
        <v>0</v>
      </c>
      <c r="AQ274">
        <v>370</v>
      </c>
      <c r="AR274" t="s">
        <v>1067</v>
      </c>
      <c r="AS274">
        <v>2.0913084405396924</v>
      </c>
      <c r="AT274" t="s">
        <v>51</v>
      </c>
      <c r="XEM274" s="72"/>
      <c r="XEN274" s="73"/>
      <c r="XEO274" s="74"/>
      <c r="XEP274" s="75"/>
      <c r="XEQ274" s="76"/>
      <c r="XER274" s="73"/>
    </row>
    <row r="275" spans="1:46 16367:16372" ht="25.5" hidden="1" customHeight="1" x14ac:dyDescent="0.25">
      <c r="A275" s="72"/>
      <c r="B275" s="73"/>
      <c r="C275" s="120">
        <f>Таблица310[[#This Row],[Степень зрелости вспом]]</f>
        <v>42</v>
      </c>
      <c r="D275" s="75">
        <v>371</v>
      </c>
      <c r="E275" s="146">
        <v>45821</v>
      </c>
      <c r="F275" s="73">
        <v>8910</v>
      </c>
      <c r="G275" s="73">
        <v>4300</v>
      </c>
      <c r="H275" s="77">
        <v>4610</v>
      </c>
      <c r="I275" s="73">
        <v>3117.5</v>
      </c>
      <c r="J275" s="72" t="s">
        <v>914</v>
      </c>
      <c r="K275" s="72" t="s">
        <v>909</v>
      </c>
      <c r="L275" s="72">
        <v>16</v>
      </c>
      <c r="M275" s="35" t="s">
        <v>762</v>
      </c>
      <c r="N275" s="40"/>
      <c r="O275" s="72"/>
      <c r="P275" s="72"/>
      <c r="Q275" s="72"/>
      <c r="R275" s="72" t="s">
        <v>763</v>
      </c>
      <c r="S275" s="40"/>
      <c r="T275" s="72">
        <v>16</v>
      </c>
      <c r="U275" s="68" t="str">
        <f>Таблица310[[#This Row],[Регистратор.Номенклатура]]</f>
        <v>Тристар</v>
      </c>
      <c r="V275" s="45">
        <f>5*Таблица310[[#This Row],[Регистратор.Вес нетто]]/28730</f>
        <v>0.74834667594848592</v>
      </c>
      <c r="W275" s="72" t="s">
        <v>52</v>
      </c>
      <c r="X275" s="72" t="s">
        <v>178</v>
      </c>
      <c r="Y275" s="40">
        <v>1</v>
      </c>
      <c r="Z275" s="71">
        <v>45821</v>
      </c>
      <c r="AA275" s="40"/>
      <c r="AB275" s="40"/>
      <c r="AC275" s="40" t="s">
        <v>419</v>
      </c>
      <c r="AD275" s="40" t="s">
        <v>511</v>
      </c>
      <c r="AE275" s="40">
        <v>371</v>
      </c>
      <c r="AF275" s="103">
        <v>45821</v>
      </c>
      <c r="AG275" s="40" t="s">
        <v>902</v>
      </c>
      <c r="AH275" s="40">
        <f>VLOOKUP(Таблица310[[#This Row],[№ акта]],'Степень зрелости 2025'!$H$13:$I$583,2,FALSE)</f>
        <v>42</v>
      </c>
      <c r="AI275" s="40">
        <f>VLOOKUP(Таблица310[[#This Row],[№ акта]],$AQ$1:$AT$594,2,FALSE)</f>
        <v>16</v>
      </c>
      <c r="AJ275" s="40" t="str">
        <f>Таблица310[[#This Row],[Регистратор.Номенклатура]]</f>
        <v>Тристар</v>
      </c>
      <c r="AK275" s="40" t="str">
        <f>VLOOKUP(Таблица310[[#This Row],[№ акта]],$AQ$1:$AT$594,4,FALSE)</f>
        <v>Агролидер (полив)</v>
      </c>
      <c r="AL275" s="45">
        <f>VLOOKUP(Таблица310[[#This Row],[№ акта]],$AQ$1:$AT$594,3,FALSE)</f>
        <v>0.74834667594848592</v>
      </c>
      <c r="AM275" s="40" t="str">
        <f>IF(Таблица310[[#This Row],[Площадь уборки, га]]=Таблица310[[#This Row],[Площадь уборки до корр]],"нет","да")</f>
        <v>нет</v>
      </c>
      <c r="AN275" s="45">
        <f>Таблица310[[#This Row],[Площадь уборки до корр]]-Таблица310[[#This Row],[Площадь уборки, га]]</f>
        <v>0</v>
      </c>
      <c r="AQ275">
        <v>371</v>
      </c>
      <c r="AR275">
        <v>16</v>
      </c>
      <c r="AS275">
        <v>0.74834667594848592</v>
      </c>
      <c r="AT275" t="s">
        <v>52</v>
      </c>
      <c r="XEM275" s="72"/>
      <c r="XEN275" s="73"/>
      <c r="XEO275" s="74"/>
      <c r="XEP275" s="75"/>
      <c r="XEQ275" s="76"/>
      <c r="XER275" s="73"/>
    </row>
    <row r="276" spans="1:46 16367:16372" ht="25.5" hidden="1" customHeight="1" x14ac:dyDescent="0.25">
      <c r="A276" s="72"/>
      <c r="B276" s="73"/>
      <c r="C276" s="120">
        <f>Таблица310[[#This Row],[Степень зрелости вспом]]</f>
        <v>55</v>
      </c>
      <c r="D276" s="75">
        <v>372</v>
      </c>
      <c r="E276" s="146">
        <v>45821</v>
      </c>
      <c r="F276" s="73">
        <v>28520</v>
      </c>
      <c r="G276" s="73">
        <v>14740</v>
      </c>
      <c r="H276" s="77">
        <v>13780</v>
      </c>
      <c r="I276" s="73">
        <v>11276.1</v>
      </c>
      <c r="J276" s="72" t="s">
        <v>903</v>
      </c>
      <c r="K276" s="72" t="s">
        <v>909</v>
      </c>
      <c r="L276" s="72" t="s">
        <v>422</v>
      </c>
      <c r="M276" s="35" t="s">
        <v>212</v>
      </c>
      <c r="N276" s="40"/>
      <c r="O276" s="72"/>
      <c r="P276" s="72"/>
      <c r="Q276" s="72"/>
      <c r="R276" s="72" t="s">
        <v>216</v>
      </c>
      <c r="S276" s="40"/>
      <c r="T276" s="70" t="s">
        <v>1067</v>
      </c>
      <c r="U276" s="68" t="str">
        <f>Таблица310[[#This Row],[Регистратор.Номенклатура]]</f>
        <v>Тристар</v>
      </c>
      <c r="V276" s="45">
        <f>35*Таблица310[[#This Row],[Регистратор.Вес нетто]]/223090</f>
        <v>2.31251961091936</v>
      </c>
      <c r="W276" s="72" t="s">
        <v>51</v>
      </c>
      <c r="X276" s="72" t="s">
        <v>178</v>
      </c>
      <c r="Y276" s="40">
        <v>4</v>
      </c>
      <c r="Z276" s="71">
        <v>45821</v>
      </c>
      <c r="AA276" s="40"/>
      <c r="AB276" s="40"/>
      <c r="AC276" s="40" t="s">
        <v>724</v>
      </c>
      <c r="AD276" s="40" t="s">
        <v>511</v>
      </c>
      <c r="AE276" s="40">
        <v>372</v>
      </c>
      <c r="AF276" s="103">
        <v>45821</v>
      </c>
      <c r="AG276" s="40">
        <v>35</v>
      </c>
      <c r="AH276" s="40">
        <f>VLOOKUP(Таблица310[[#This Row],[№ акта]],'Степень зрелости 2025'!$H$13:$I$583,2,FALSE)</f>
        <v>55</v>
      </c>
      <c r="AI276" s="40" t="str">
        <f>VLOOKUP(Таблица310[[#This Row],[№ акта]],$AQ$1:$AT$594,2,FALSE)</f>
        <v>закупка</v>
      </c>
      <c r="AJ276" s="40" t="str">
        <f>Таблица310[[#This Row],[Регистратор.Номенклатура]]</f>
        <v>Тристар</v>
      </c>
      <c r="AK276" s="40" t="str">
        <f>VLOOKUP(Таблица310[[#This Row],[№ акта]],$AQ$1:$AT$594,4,FALSE)</f>
        <v>Братковский закупка (полив)</v>
      </c>
      <c r="AL276" s="45">
        <f>VLOOKUP(Таблица310[[#This Row],[№ акта]],$AQ$1:$AT$594,3,FALSE)</f>
        <v>2.31251961091936</v>
      </c>
      <c r="AM276" s="40" t="str">
        <f>IF(Таблица310[[#This Row],[Площадь уборки, га]]=Таблица310[[#This Row],[Площадь уборки до корр]],"нет","да")</f>
        <v>нет</v>
      </c>
      <c r="AN276" s="45">
        <f>Таблица310[[#This Row],[Площадь уборки до корр]]-Таблица310[[#This Row],[Площадь уборки, га]]</f>
        <v>0</v>
      </c>
      <c r="AQ276">
        <v>372</v>
      </c>
      <c r="AR276" t="s">
        <v>1067</v>
      </c>
      <c r="AS276">
        <v>2.31251961091936</v>
      </c>
      <c r="AT276" t="s">
        <v>51</v>
      </c>
      <c r="XEM276" s="72"/>
      <c r="XEN276" s="73"/>
      <c r="XEO276" s="74"/>
      <c r="XEP276" s="75"/>
      <c r="XEQ276" s="76"/>
      <c r="XER276" s="73"/>
    </row>
    <row r="277" spans="1:46 16367:16372" ht="25.5" hidden="1" customHeight="1" x14ac:dyDescent="0.25">
      <c r="A277" s="72"/>
      <c r="B277" s="73"/>
      <c r="C277" s="120">
        <f>Таблица310[[#This Row],[Степень зрелости вспом]]</f>
        <v>41</v>
      </c>
      <c r="D277" s="75">
        <v>373</v>
      </c>
      <c r="E277" s="146">
        <v>45821</v>
      </c>
      <c r="F277" s="73">
        <v>8780</v>
      </c>
      <c r="G277" s="73">
        <v>4190</v>
      </c>
      <c r="H277" s="77">
        <v>4590</v>
      </c>
      <c r="I277" s="73">
        <v>3456.7</v>
      </c>
      <c r="J277" s="72" t="s">
        <v>914</v>
      </c>
      <c r="K277" s="72" t="s">
        <v>909</v>
      </c>
      <c r="L277" s="72">
        <v>16</v>
      </c>
      <c r="M277" s="35" t="s">
        <v>737</v>
      </c>
      <c r="N277" s="40"/>
      <c r="O277" s="72"/>
      <c r="P277" s="72"/>
      <c r="Q277" s="72"/>
      <c r="R277" s="72" t="s">
        <v>738</v>
      </c>
      <c r="S277" s="40"/>
      <c r="T277" s="72">
        <v>16</v>
      </c>
      <c r="U277" s="68" t="str">
        <f>Таблица310[[#This Row],[Регистратор.Номенклатура]]</f>
        <v>Тристар</v>
      </c>
      <c r="V277" s="45">
        <f>5*Таблица310[[#This Row],[Регистратор.Вес нетто]]/28730</f>
        <v>0.72920292377305951</v>
      </c>
      <c r="W277" s="72" t="s">
        <v>52</v>
      </c>
      <c r="X277" s="72" t="s">
        <v>178</v>
      </c>
      <c r="Y277" s="40">
        <v>1</v>
      </c>
      <c r="Z277" s="71">
        <v>45821</v>
      </c>
      <c r="AA277" s="40"/>
      <c r="AB277" s="40"/>
      <c r="AC277" s="40" t="s">
        <v>419</v>
      </c>
      <c r="AD277" s="40" t="s">
        <v>511</v>
      </c>
      <c r="AE277" s="40">
        <v>373</v>
      </c>
      <c r="AF277" s="103">
        <v>45821</v>
      </c>
      <c r="AG277" s="40" t="s">
        <v>902</v>
      </c>
      <c r="AH277" s="40">
        <f>VLOOKUP(Таблица310[[#This Row],[№ акта]],'Степень зрелости 2025'!$H$13:$I$583,2,FALSE)</f>
        <v>41</v>
      </c>
      <c r="AI277" s="40">
        <f>VLOOKUP(Таблица310[[#This Row],[№ акта]],$AQ$1:$AT$594,2,FALSE)</f>
        <v>16</v>
      </c>
      <c r="AJ277" s="40" t="str">
        <f>Таблица310[[#This Row],[Регистратор.Номенклатура]]</f>
        <v>Тристар</v>
      </c>
      <c r="AK277" s="40" t="str">
        <f>VLOOKUP(Таблица310[[#This Row],[№ акта]],$AQ$1:$AT$594,4,FALSE)</f>
        <v>Агролидер (полив)</v>
      </c>
      <c r="AL277" s="45">
        <f>VLOOKUP(Таблица310[[#This Row],[№ акта]],$AQ$1:$AT$594,3,FALSE)</f>
        <v>0.72920292377305951</v>
      </c>
      <c r="AM277" s="40" t="str">
        <f>IF(Таблица310[[#This Row],[Площадь уборки, га]]=Таблица310[[#This Row],[Площадь уборки до корр]],"нет","да")</f>
        <v>нет</v>
      </c>
      <c r="AN277" s="45">
        <f>Таблица310[[#This Row],[Площадь уборки до корр]]-Таблица310[[#This Row],[Площадь уборки, га]]</f>
        <v>0</v>
      </c>
      <c r="AQ277">
        <v>373</v>
      </c>
      <c r="AR277">
        <v>16</v>
      </c>
      <c r="AS277">
        <v>0.72920292377305951</v>
      </c>
      <c r="AT277" t="s">
        <v>52</v>
      </c>
      <c r="XEM277" s="72"/>
      <c r="XEN277" s="73"/>
      <c r="XEO277" s="74"/>
      <c r="XEP277" s="75"/>
      <c r="XEQ277" s="76"/>
      <c r="XER277" s="73"/>
    </row>
    <row r="278" spans="1:46 16367:16372" ht="25.5" hidden="1" customHeight="1" x14ac:dyDescent="0.25">
      <c r="A278" s="72"/>
      <c r="B278" s="73"/>
      <c r="C278" s="120">
        <f>Таблица310[[#This Row],[Степень зрелости вспом]]</f>
        <v>46</v>
      </c>
      <c r="D278" s="75">
        <v>374</v>
      </c>
      <c r="E278" s="146">
        <v>45821</v>
      </c>
      <c r="F278" s="73">
        <v>28660</v>
      </c>
      <c r="G278" s="73">
        <v>13810</v>
      </c>
      <c r="H278" s="77">
        <v>14850</v>
      </c>
      <c r="I278" s="73">
        <v>10978.9</v>
      </c>
      <c r="J278" s="72" t="s">
        <v>903</v>
      </c>
      <c r="K278" s="72" t="s">
        <v>909</v>
      </c>
      <c r="L278" s="72" t="s">
        <v>422</v>
      </c>
      <c r="M278" s="35" t="s">
        <v>1253</v>
      </c>
      <c r="N278" s="40"/>
      <c r="O278" s="72"/>
      <c r="P278" s="72"/>
      <c r="Q278" s="72"/>
      <c r="R278" s="72" t="s">
        <v>270</v>
      </c>
      <c r="S278" s="40"/>
      <c r="T278" s="70" t="s">
        <v>1067</v>
      </c>
      <c r="U278" s="68" t="str">
        <f>Таблица310[[#This Row],[Регистратор.Номенклатура]]</f>
        <v>Тристар</v>
      </c>
      <c r="V278" s="45">
        <f>35*Таблица310[[#This Row],[Регистратор.Вес нетто]]/223090</f>
        <v>2.1666143708817067</v>
      </c>
      <c r="W278" s="72" t="s">
        <v>51</v>
      </c>
      <c r="X278" s="72" t="s">
        <v>178</v>
      </c>
      <c r="Y278" s="40">
        <v>4</v>
      </c>
      <c r="Z278" s="71">
        <v>45821</v>
      </c>
      <c r="AA278" s="40"/>
      <c r="AB278" s="40"/>
      <c r="AC278" s="40" t="s">
        <v>419</v>
      </c>
      <c r="AD278" s="40" t="s">
        <v>511</v>
      </c>
      <c r="AE278" s="40">
        <v>374</v>
      </c>
      <c r="AF278" s="103">
        <v>45821</v>
      </c>
      <c r="AG278" s="40">
        <v>36</v>
      </c>
      <c r="AH278" s="40">
        <f>VLOOKUP(Таблица310[[#This Row],[№ акта]],'Степень зрелости 2025'!$H$13:$I$583,2,FALSE)</f>
        <v>46</v>
      </c>
      <c r="AI278" s="40" t="str">
        <f>VLOOKUP(Таблица310[[#This Row],[№ акта]],$AQ$1:$AT$594,2,FALSE)</f>
        <v>закупка</v>
      </c>
      <c r="AJ278" s="40" t="str">
        <f>Таблица310[[#This Row],[Регистратор.Номенклатура]]</f>
        <v>Тристар</v>
      </c>
      <c r="AK278" s="40" t="str">
        <f>VLOOKUP(Таблица310[[#This Row],[№ акта]],$AQ$1:$AT$594,4,FALSE)</f>
        <v>Братковский закупка (полив)</v>
      </c>
      <c r="AL278" s="45">
        <f>VLOOKUP(Таблица310[[#This Row],[№ акта]],$AQ$1:$AT$594,3,FALSE)</f>
        <v>2.1666143708817067</v>
      </c>
      <c r="AM278" s="40" t="str">
        <f>IF(Таблица310[[#This Row],[Площадь уборки, га]]=Таблица310[[#This Row],[Площадь уборки до корр]],"нет","да")</f>
        <v>нет</v>
      </c>
      <c r="AN278" s="45">
        <f>Таблица310[[#This Row],[Площадь уборки до корр]]-Таблица310[[#This Row],[Площадь уборки, га]]</f>
        <v>0</v>
      </c>
      <c r="AQ278">
        <v>374</v>
      </c>
      <c r="AR278" t="s">
        <v>1067</v>
      </c>
      <c r="AS278">
        <v>2.1666143708817067</v>
      </c>
      <c r="AT278" t="s">
        <v>51</v>
      </c>
      <c r="XEM278" s="72"/>
      <c r="XEN278" s="73"/>
      <c r="XEO278" s="74"/>
      <c r="XEP278" s="75"/>
      <c r="XEQ278" s="76"/>
      <c r="XER278" s="73"/>
    </row>
    <row r="279" spans="1:46 16367:16372" ht="25.5" hidden="1" customHeight="1" x14ac:dyDescent="0.25">
      <c r="A279" s="72"/>
      <c r="B279" s="73"/>
      <c r="C279" s="120">
        <f>Таблица310[[#This Row],[Степень зрелости вспом]]</f>
        <v>60</v>
      </c>
      <c r="D279" s="75">
        <v>375</v>
      </c>
      <c r="E279" s="146">
        <v>45821</v>
      </c>
      <c r="F279" s="73">
        <v>28160</v>
      </c>
      <c r="G279" s="73">
        <v>13540</v>
      </c>
      <c r="H279" s="77">
        <v>14620</v>
      </c>
      <c r="I279" s="73">
        <v>11712.1</v>
      </c>
      <c r="J279" s="72" t="s">
        <v>903</v>
      </c>
      <c r="K279" s="72" t="s">
        <v>909</v>
      </c>
      <c r="L279" s="72" t="s">
        <v>957</v>
      </c>
      <c r="M279" s="35" t="s">
        <v>272</v>
      </c>
      <c r="N279" s="40"/>
      <c r="O279" s="72"/>
      <c r="P279" s="72"/>
      <c r="Q279" s="72"/>
      <c r="R279" s="72" t="s">
        <v>276</v>
      </c>
      <c r="S279" s="40"/>
      <c r="T279" s="70" t="s">
        <v>1067</v>
      </c>
      <c r="U279" s="68" t="str">
        <f>Таблица310[[#This Row],[Регистратор.Номенклатура]]</f>
        <v>Тристар</v>
      </c>
      <c r="V279" s="45">
        <f>35*Таблица310[[#This Row],[Регистратор.Вес нетто]]/223090</f>
        <v>2.1242547850643239</v>
      </c>
      <c r="W279" s="72" t="s">
        <v>51</v>
      </c>
      <c r="X279" s="72" t="s">
        <v>178</v>
      </c>
      <c r="Y279" s="40">
        <v>4</v>
      </c>
      <c r="Z279" s="71">
        <v>45821</v>
      </c>
      <c r="AA279" s="40"/>
      <c r="AB279" s="40"/>
      <c r="AC279" s="40" t="s">
        <v>724</v>
      </c>
      <c r="AD279" s="40" t="s">
        <v>511</v>
      </c>
      <c r="AE279" s="40">
        <v>375</v>
      </c>
      <c r="AF279" s="103">
        <v>45821</v>
      </c>
      <c r="AG279" s="40">
        <v>37</v>
      </c>
      <c r="AH279" s="40">
        <f>VLOOKUP(Таблица310[[#This Row],[№ акта]],'Степень зрелости 2025'!$H$13:$I$583,2,FALSE)</f>
        <v>60</v>
      </c>
      <c r="AI279" s="40" t="str">
        <f>VLOOKUP(Таблица310[[#This Row],[№ акта]],$AQ$1:$AT$594,2,FALSE)</f>
        <v>закупка</v>
      </c>
      <c r="AJ279" s="40" t="str">
        <f>Таблица310[[#This Row],[Регистратор.Номенклатура]]</f>
        <v>Тристар</v>
      </c>
      <c r="AK279" s="40" t="str">
        <f>VLOOKUP(Таблица310[[#This Row],[№ акта]],$AQ$1:$AT$594,4,FALSE)</f>
        <v>Братковский закупка (полив)</v>
      </c>
      <c r="AL279" s="45">
        <f>VLOOKUP(Таблица310[[#This Row],[№ акта]],$AQ$1:$AT$594,3,FALSE)</f>
        <v>2.1242547850643239</v>
      </c>
      <c r="AM279" s="40" t="str">
        <f>IF(Таблица310[[#This Row],[Площадь уборки, га]]=Таблица310[[#This Row],[Площадь уборки до корр]],"нет","да")</f>
        <v>нет</v>
      </c>
      <c r="AN279" s="45">
        <f>Таблица310[[#This Row],[Площадь уборки до корр]]-Таблица310[[#This Row],[Площадь уборки, га]]</f>
        <v>0</v>
      </c>
      <c r="AQ279">
        <v>375</v>
      </c>
      <c r="AR279" t="s">
        <v>1067</v>
      </c>
      <c r="AS279">
        <v>2.1242547850643239</v>
      </c>
      <c r="AT279" t="s">
        <v>51</v>
      </c>
      <c r="XEM279" s="72"/>
      <c r="XEN279" s="73"/>
      <c r="XEO279" s="74"/>
      <c r="XEP279" s="75"/>
      <c r="XEQ279" s="76"/>
      <c r="XER279" s="73"/>
    </row>
    <row r="280" spans="1:46 16367:16372" ht="25.5" hidden="1" customHeight="1" x14ac:dyDescent="0.25">
      <c r="A280" s="72"/>
      <c r="B280" s="73"/>
      <c r="C280" s="120">
        <f>Таблица310[[#This Row],[Степень зрелости вспом]]</f>
        <v>40</v>
      </c>
      <c r="D280" s="75">
        <v>376</v>
      </c>
      <c r="E280" s="146">
        <v>45821</v>
      </c>
      <c r="F280" s="73">
        <v>9430</v>
      </c>
      <c r="G280" s="73">
        <v>4840</v>
      </c>
      <c r="H280" s="77">
        <v>4590</v>
      </c>
      <c r="I280" s="73">
        <v>3847.8</v>
      </c>
      <c r="J280" s="72" t="s">
        <v>914</v>
      </c>
      <c r="K280" s="72" t="s">
        <v>909</v>
      </c>
      <c r="L280" s="72">
        <v>16</v>
      </c>
      <c r="M280" s="35" t="s">
        <v>762</v>
      </c>
      <c r="N280" s="40"/>
      <c r="O280" s="72"/>
      <c r="P280" s="72"/>
      <c r="Q280" s="72"/>
      <c r="R280" s="72" t="s">
        <v>763</v>
      </c>
      <c r="S280" s="40"/>
      <c r="T280" s="72">
        <v>16</v>
      </c>
      <c r="U280" s="68" t="str">
        <f>Таблица310[[#This Row],[Регистратор.Номенклатура]]</f>
        <v>Тристар</v>
      </c>
      <c r="V280" s="45">
        <f>5*Таблица310[[#This Row],[Регистратор.Вес нетто]]/28730</f>
        <v>0.84232509571876091</v>
      </c>
      <c r="W280" s="72" t="s">
        <v>52</v>
      </c>
      <c r="X280" s="72" t="s">
        <v>178</v>
      </c>
      <c r="Y280" s="40">
        <v>1</v>
      </c>
      <c r="Z280" s="71">
        <v>45821</v>
      </c>
      <c r="AA280" s="40"/>
      <c r="AB280" s="40"/>
      <c r="AC280" s="40" t="s">
        <v>420</v>
      </c>
      <c r="AD280" s="40" t="s">
        <v>511</v>
      </c>
      <c r="AE280" s="40">
        <v>376</v>
      </c>
      <c r="AF280" s="103">
        <v>45821</v>
      </c>
      <c r="AG280" s="40" t="s">
        <v>902</v>
      </c>
      <c r="AH280" s="40">
        <f>VLOOKUP(Таблица310[[#This Row],[№ акта]],'Степень зрелости 2025'!$H$13:$I$583,2,FALSE)</f>
        <v>40</v>
      </c>
      <c r="AI280" s="40">
        <f>VLOOKUP(Таблица310[[#This Row],[№ акта]],$AQ$1:$AT$594,2,FALSE)</f>
        <v>16</v>
      </c>
      <c r="AJ280" s="40" t="str">
        <f>Таблица310[[#This Row],[Регистратор.Номенклатура]]</f>
        <v>Тристар</v>
      </c>
      <c r="AK280" s="40" t="str">
        <f>VLOOKUP(Таблица310[[#This Row],[№ акта]],$AQ$1:$AT$594,4,FALSE)</f>
        <v>Агролидер (полив)</v>
      </c>
      <c r="AL280" s="45">
        <f>VLOOKUP(Таблица310[[#This Row],[№ акта]],$AQ$1:$AT$594,3,FALSE)</f>
        <v>0.84232509571876091</v>
      </c>
      <c r="AM280" s="40" t="str">
        <f>IF(Таблица310[[#This Row],[Площадь уборки, га]]=Таблица310[[#This Row],[Площадь уборки до корр]],"нет","да")</f>
        <v>нет</v>
      </c>
      <c r="AN280" s="45">
        <f>Таблица310[[#This Row],[Площадь уборки до корр]]-Таблица310[[#This Row],[Площадь уборки, га]]</f>
        <v>0</v>
      </c>
      <c r="AQ280">
        <v>376</v>
      </c>
      <c r="AR280">
        <v>16</v>
      </c>
      <c r="AS280">
        <v>0.84232509571876091</v>
      </c>
      <c r="AT280" t="s">
        <v>52</v>
      </c>
      <c r="XEM280" s="72"/>
      <c r="XEN280" s="73"/>
      <c r="XEO280" s="74"/>
      <c r="XEP280" s="75"/>
      <c r="XEQ280" s="76"/>
      <c r="XER280" s="73"/>
    </row>
    <row r="281" spans="1:46 16367:16372" ht="25.5" hidden="1" customHeight="1" x14ac:dyDescent="0.25">
      <c r="A281" s="72"/>
      <c r="B281" s="73"/>
      <c r="C281" s="120">
        <f>Таблица310[[#This Row],[Степень зрелости вспом]]</f>
        <v>63</v>
      </c>
      <c r="D281" s="75">
        <v>377</v>
      </c>
      <c r="E281" s="146">
        <v>45821</v>
      </c>
      <c r="F281" s="73">
        <v>28330</v>
      </c>
      <c r="G281" s="73">
        <v>13740</v>
      </c>
      <c r="H281" s="77">
        <v>14590</v>
      </c>
      <c r="I281" s="73">
        <v>12297.3</v>
      </c>
      <c r="J281" s="72" t="s">
        <v>903</v>
      </c>
      <c r="K281" s="72" t="s">
        <v>909</v>
      </c>
      <c r="L281" s="72" t="s">
        <v>422</v>
      </c>
      <c r="M281" s="35" t="s">
        <v>239</v>
      </c>
      <c r="N281" s="40"/>
      <c r="O281" s="72"/>
      <c r="P281" s="72"/>
      <c r="Q281" s="72"/>
      <c r="R281" s="72" t="s">
        <v>243</v>
      </c>
      <c r="S281" s="40"/>
      <c r="T281" s="70" t="s">
        <v>1067</v>
      </c>
      <c r="U281" s="68" t="str">
        <f>Таблица310[[#This Row],[Регистратор.Номенклатура]]</f>
        <v>Тристар</v>
      </c>
      <c r="V281" s="45">
        <f>35*Таблица310[[#This Row],[Регистратор.Вес нетто]]/223090</f>
        <v>2.1556322560401631</v>
      </c>
      <c r="W281" s="72" t="s">
        <v>51</v>
      </c>
      <c r="X281" s="72" t="s">
        <v>178</v>
      </c>
      <c r="Y281" s="40">
        <v>4</v>
      </c>
      <c r="Z281" s="71">
        <v>45821</v>
      </c>
      <c r="AA281" s="40"/>
      <c r="AB281" s="40"/>
      <c r="AC281" s="40" t="s">
        <v>420</v>
      </c>
      <c r="AD281" s="40" t="s">
        <v>511</v>
      </c>
      <c r="AE281" s="40">
        <v>377</v>
      </c>
      <c r="AF281" s="103">
        <v>45821</v>
      </c>
      <c r="AG281" s="40">
        <v>38</v>
      </c>
      <c r="AH281" s="40">
        <f>VLOOKUP(Таблица310[[#This Row],[№ акта]],'Степень зрелости 2025'!$H$13:$I$583,2,FALSE)</f>
        <v>63</v>
      </c>
      <c r="AI281" s="40" t="str">
        <f>VLOOKUP(Таблица310[[#This Row],[№ акта]],$AQ$1:$AT$594,2,FALSE)</f>
        <v>закупка</v>
      </c>
      <c r="AJ281" s="40" t="str">
        <f>Таблица310[[#This Row],[Регистратор.Номенклатура]]</f>
        <v>Тристар</v>
      </c>
      <c r="AK281" s="40" t="str">
        <f>VLOOKUP(Таблица310[[#This Row],[№ акта]],$AQ$1:$AT$594,4,FALSE)</f>
        <v>Братковский закупка (полив)</v>
      </c>
      <c r="AL281" s="45">
        <f>VLOOKUP(Таблица310[[#This Row],[№ акта]],$AQ$1:$AT$594,3,FALSE)</f>
        <v>2.1556322560401631</v>
      </c>
      <c r="AM281" s="40" t="str">
        <f>IF(Таблица310[[#This Row],[Площадь уборки, га]]=Таблица310[[#This Row],[Площадь уборки до корр]],"нет","да")</f>
        <v>нет</v>
      </c>
      <c r="AN281" s="45">
        <f>Таблица310[[#This Row],[Площадь уборки до корр]]-Таблица310[[#This Row],[Площадь уборки, га]]</f>
        <v>0</v>
      </c>
      <c r="AQ281">
        <v>377</v>
      </c>
      <c r="AR281" t="s">
        <v>1067</v>
      </c>
      <c r="AS281">
        <v>2.1556322560401631</v>
      </c>
      <c r="AT281" t="s">
        <v>51</v>
      </c>
      <c r="XEM281" s="72"/>
      <c r="XEN281" s="73"/>
      <c r="XEO281" s="74"/>
      <c r="XEP281" s="75"/>
      <c r="XEQ281" s="76"/>
      <c r="XER281" s="73"/>
    </row>
    <row r="282" spans="1:46 16367:16372" ht="25.5" hidden="1" customHeight="1" x14ac:dyDescent="0.25">
      <c r="A282" s="72"/>
      <c r="B282" s="73"/>
      <c r="C282" s="120">
        <f>Таблица310[[#This Row],[Степень зрелости вспом]]</f>
        <v>41</v>
      </c>
      <c r="D282" s="75">
        <v>378</v>
      </c>
      <c r="E282" s="146">
        <v>45821</v>
      </c>
      <c r="F282" s="73">
        <v>9160</v>
      </c>
      <c r="G282" s="73">
        <v>4600</v>
      </c>
      <c r="H282" s="77">
        <v>4560</v>
      </c>
      <c r="I282" s="73">
        <v>3749</v>
      </c>
      <c r="J282" s="72" t="s">
        <v>914</v>
      </c>
      <c r="K282" s="72" t="s">
        <v>909</v>
      </c>
      <c r="L282" s="72">
        <v>16</v>
      </c>
      <c r="M282" s="35" t="s">
        <v>737</v>
      </c>
      <c r="N282" s="40"/>
      <c r="O282" s="72"/>
      <c r="P282" s="72"/>
      <c r="Q282" s="72"/>
      <c r="R282" s="72" t="s">
        <v>738</v>
      </c>
      <c r="S282" s="40"/>
      <c r="T282" s="72">
        <v>16</v>
      </c>
      <c r="U282" s="68" t="str">
        <f>Таблица310[[#This Row],[Регистратор.Номенклатура]]</f>
        <v>Тристар</v>
      </c>
      <c r="V282" s="45">
        <f>5*Таблица310[[#This Row],[Регистратор.Вес нетто]]/28730</f>
        <v>0.8005569091541942</v>
      </c>
      <c r="W282" s="72" t="s">
        <v>52</v>
      </c>
      <c r="X282" s="72" t="s">
        <v>178</v>
      </c>
      <c r="Y282" s="40">
        <v>1</v>
      </c>
      <c r="Z282" s="71">
        <v>45821</v>
      </c>
      <c r="AA282" s="40"/>
      <c r="AB282" s="40"/>
      <c r="AC282" s="40" t="s">
        <v>419</v>
      </c>
      <c r="AD282" s="40" t="s">
        <v>511</v>
      </c>
      <c r="AE282" s="40">
        <v>378</v>
      </c>
      <c r="AF282" s="103">
        <v>45821</v>
      </c>
      <c r="AG282" s="40" t="s">
        <v>902</v>
      </c>
      <c r="AH282" s="40">
        <f>VLOOKUP(Таблица310[[#This Row],[№ акта]],'Степень зрелости 2025'!$H$13:$I$583,2,FALSE)</f>
        <v>41</v>
      </c>
      <c r="AI282" s="40">
        <f>VLOOKUP(Таблица310[[#This Row],[№ акта]],$AQ$1:$AT$594,2,FALSE)</f>
        <v>16</v>
      </c>
      <c r="AJ282" s="40" t="str">
        <f>Таблица310[[#This Row],[Регистратор.Номенклатура]]</f>
        <v>Тристар</v>
      </c>
      <c r="AK282" s="40" t="str">
        <f>VLOOKUP(Таблица310[[#This Row],[№ акта]],$AQ$1:$AT$594,4,FALSE)</f>
        <v>Агролидер (полив)</v>
      </c>
      <c r="AL282" s="45">
        <f>VLOOKUP(Таблица310[[#This Row],[№ акта]],$AQ$1:$AT$594,3,FALSE)</f>
        <v>0.8005569091541942</v>
      </c>
      <c r="AM282" s="40" t="str">
        <f>IF(Таблица310[[#This Row],[Площадь уборки, га]]=Таблица310[[#This Row],[Площадь уборки до корр]],"нет","да")</f>
        <v>нет</v>
      </c>
      <c r="AN282" s="45">
        <f>Таблица310[[#This Row],[Площадь уборки до корр]]-Таблица310[[#This Row],[Площадь уборки, га]]</f>
        <v>0</v>
      </c>
      <c r="AQ282">
        <v>378</v>
      </c>
      <c r="AR282">
        <v>16</v>
      </c>
      <c r="AS282">
        <v>0.8005569091541942</v>
      </c>
      <c r="AT282" t="s">
        <v>52</v>
      </c>
      <c r="XEM282" s="72"/>
      <c r="XEN282" s="73"/>
      <c r="XEO282" s="74"/>
      <c r="XEP282" s="75"/>
      <c r="XEQ282" s="76"/>
      <c r="XER282" s="73"/>
    </row>
    <row r="283" spans="1:46 16367:16372" ht="25.5" hidden="1" customHeight="1" x14ac:dyDescent="0.25">
      <c r="A283" s="72"/>
      <c r="B283" s="73"/>
      <c r="C283" s="120">
        <f>Таблица310[[#This Row],[Степень зрелости вспом]]</f>
        <v>69</v>
      </c>
      <c r="D283" s="75">
        <v>379</v>
      </c>
      <c r="E283" s="146">
        <v>45821</v>
      </c>
      <c r="F283" s="73">
        <v>28610</v>
      </c>
      <c r="G283" s="73">
        <v>13670</v>
      </c>
      <c r="H283" s="77">
        <v>14940</v>
      </c>
      <c r="I283" s="73">
        <v>12439.7</v>
      </c>
      <c r="J283" s="72" t="s">
        <v>903</v>
      </c>
      <c r="K283" s="72" t="s">
        <v>909</v>
      </c>
      <c r="L283" s="72" t="s">
        <v>422</v>
      </c>
      <c r="M283" s="35" t="s">
        <v>1461</v>
      </c>
      <c r="N283" s="40"/>
      <c r="O283" s="72"/>
      <c r="P283" s="72"/>
      <c r="Q283" s="72"/>
      <c r="R283" s="72" t="s">
        <v>149</v>
      </c>
      <c r="S283" s="40"/>
      <c r="T283" s="70" t="s">
        <v>1067</v>
      </c>
      <c r="U283" s="68" t="str">
        <f>Таблица310[[#This Row],[Регистратор.Номенклатура]]</f>
        <v>Тристар</v>
      </c>
      <c r="V283" s="45">
        <f>35*Таблица310[[#This Row],[Регистратор.Вес нетто]]/223090</f>
        <v>2.1446501411986194</v>
      </c>
      <c r="W283" s="72" t="s">
        <v>51</v>
      </c>
      <c r="X283" s="72" t="s">
        <v>178</v>
      </c>
      <c r="Y283" s="40">
        <v>4</v>
      </c>
      <c r="Z283" s="71">
        <v>45821</v>
      </c>
      <c r="AA283" s="40"/>
      <c r="AB283" s="40"/>
      <c r="AC283" s="40" t="s">
        <v>420</v>
      </c>
      <c r="AD283" s="40" t="s">
        <v>550</v>
      </c>
      <c r="AE283" s="40">
        <v>379</v>
      </c>
      <c r="AF283" s="103">
        <v>45821</v>
      </c>
      <c r="AG283" s="40">
        <v>40</v>
      </c>
      <c r="AH283" s="40">
        <f>VLOOKUP(Таблица310[[#This Row],[№ акта]],'Степень зрелости 2025'!$H$13:$I$583,2,FALSE)</f>
        <v>69</v>
      </c>
      <c r="AI283" s="40" t="str">
        <f>VLOOKUP(Таблица310[[#This Row],[№ акта]],$AQ$1:$AT$594,2,FALSE)</f>
        <v>закупка</v>
      </c>
      <c r="AJ283" s="40" t="str">
        <f>Таблица310[[#This Row],[Регистратор.Номенклатура]]</f>
        <v>Тристар</v>
      </c>
      <c r="AK283" s="40" t="str">
        <f>VLOOKUP(Таблица310[[#This Row],[№ акта]],$AQ$1:$AT$594,4,FALSE)</f>
        <v>Братковский закупка (полив)</v>
      </c>
      <c r="AL283" s="45">
        <f>VLOOKUP(Таблица310[[#This Row],[№ акта]],$AQ$1:$AT$594,3,FALSE)</f>
        <v>2.1446501411986194</v>
      </c>
      <c r="AM283" s="40" t="str">
        <f>IF(Таблица310[[#This Row],[Площадь уборки, га]]=Таблица310[[#This Row],[Площадь уборки до корр]],"нет","да")</f>
        <v>нет</v>
      </c>
      <c r="AN283" s="45">
        <f>Таблица310[[#This Row],[Площадь уборки до корр]]-Таблица310[[#This Row],[Площадь уборки, га]]</f>
        <v>0</v>
      </c>
      <c r="AQ283">
        <v>379</v>
      </c>
      <c r="AR283" t="s">
        <v>1067</v>
      </c>
      <c r="AS283">
        <v>2.1446501411986194</v>
      </c>
      <c r="AT283" t="s">
        <v>51</v>
      </c>
      <c r="XEM283" s="72"/>
      <c r="XEN283" s="73"/>
      <c r="XEO283" s="74"/>
      <c r="XEP283" s="75"/>
      <c r="XEQ283" s="76"/>
      <c r="XER283" s="73"/>
    </row>
    <row r="284" spans="1:46 16367:16372" ht="25.5" hidden="1" customHeight="1" x14ac:dyDescent="0.25">
      <c r="A284" s="72"/>
      <c r="B284" s="73"/>
      <c r="C284" s="120">
        <f>Таблица310[[#This Row],[Степень зрелости вспом]]</f>
        <v>51</v>
      </c>
      <c r="D284" s="75">
        <v>380</v>
      </c>
      <c r="E284" s="146">
        <v>45821</v>
      </c>
      <c r="F284" s="73">
        <v>28710</v>
      </c>
      <c r="G284" s="73">
        <v>13930</v>
      </c>
      <c r="H284" s="77">
        <v>14780</v>
      </c>
      <c r="I284" s="73">
        <v>11144</v>
      </c>
      <c r="J284" s="72" t="s">
        <v>903</v>
      </c>
      <c r="K284" s="72" t="s">
        <v>909</v>
      </c>
      <c r="L284" s="72" t="s">
        <v>422</v>
      </c>
      <c r="M284" s="35" t="s">
        <v>335</v>
      </c>
      <c r="N284" s="40"/>
      <c r="O284" s="72"/>
      <c r="P284" s="72"/>
      <c r="Q284" s="72"/>
      <c r="R284" s="72" t="s">
        <v>339</v>
      </c>
      <c r="S284" s="40"/>
      <c r="T284" s="70" t="s">
        <v>1067</v>
      </c>
      <c r="U284" s="68" t="str">
        <f>Таблица310[[#This Row],[Регистратор.Номенклатура]]</f>
        <v>Тристар</v>
      </c>
      <c r="V284" s="45">
        <f>35*Таблица310[[#This Row],[Регистратор.Вес нетто]]/223090</f>
        <v>2.1854408534672105</v>
      </c>
      <c r="W284" s="72" t="s">
        <v>51</v>
      </c>
      <c r="X284" s="72" t="s">
        <v>178</v>
      </c>
      <c r="Y284" s="40">
        <v>4</v>
      </c>
      <c r="Z284" s="71">
        <v>45821</v>
      </c>
      <c r="AA284" s="40"/>
      <c r="AB284" s="40"/>
      <c r="AC284" s="40" t="s">
        <v>419</v>
      </c>
      <c r="AD284" s="40" t="s">
        <v>511</v>
      </c>
      <c r="AE284" s="40">
        <v>380</v>
      </c>
      <c r="AF284" s="103">
        <v>45821</v>
      </c>
      <c r="AG284" s="40">
        <v>41</v>
      </c>
      <c r="AH284" s="40">
        <f>VLOOKUP(Таблица310[[#This Row],[№ акта]],'Степень зрелости 2025'!$H$13:$I$583,2,FALSE)</f>
        <v>51</v>
      </c>
      <c r="AI284" s="40" t="str">
        <f>VLOOKUP(Таблица310[[#This Row],[№ акта]],$AQ$1:$AT$594,2,FALSE)</f>
        <v>закупка</v>
      </c>
      <c r="AJ284" s="40" t="str">
        <f>Таблица310[[#This Row],[Регистратор.Номенклатура]]</f>
        <v>Тристар</v>
      </c>
      <c r="AK284" s="40" t="str">
        <f>VLOOKUP(Таблица310[[#This Row],[№ акта]],$AQ$1:$AT$594,4,FALSE)</f>
        <v>Братковский закупка (полив)</v>
      </c>
      <c r="AL284" s="45">
        <f>VLOOKUP(Таблица310[[#This Row],[№ акта]],$AQ$1:$AT$594,3,FALSE)</f>
        <v>2.1854408534672105</v>
      </c>
      <c r="AM284" s="40" t="str">
        <f>IF(Таблица310[[#This Row],[Площадь уборки, га]]=Таблица310[[#This Row],[Площадь уборки до корр]],"нет","да")</f>
        <v>нет</v>
      </c>
      <c r="AN284" s="45">
        <f>Таблица310[[#This Row],[Площадь уборки до корр]]-Таблица310[[#This Row],[Площадь уборки, га]]</f>
        <v>0</v>
      </c>
      <c r="AQ284">
        <v>380</v>
      </c>
      <c r="AR284" t="s">
        <v>1067</v>
      </c>
      <c r="AS284">
        <v>2.1854408534672105</v>
      </c>
      <c r="AT284" t="s">
        <v>51</v>
      </c>
      <c r="XEM284" s="72"/>
      <c r="XEN284" s="73"/>
      <c r="XEO284" s="74"/>
      <c r="XEP284" s="75"/>
      <c r="XEQ284" s="76"/>
      <c r="XER284" s="73"/>
    </row>
    <row r="285" spans="1:46 16367:16372" ht="25.5" hidden="1" customHeight="1" x14ac:dyDescent="0.25">
      <c r="A285" s="72"/>
      <c r="B285" s="73"/>
      <c r="C285" s="120">
        <f>Таблица310[[#This Row],[Степень зрелости вспом]]</f>
        <v>40</v>
      </c>
      <c r="D285" s="75">
        <v>381</v>
      </c>
      <c r="E285" s="146">
        <v>45822</v>
      </c>
      <c r="F285" s="73">
        <v>8810</v>
      </c>
      <c r="G285" s="73">
        <v>4220</v>
      </c>
      <c r="H285" s="77">
        <v>4590</v>
      </c>
      <c r="I285" s="73">
        <v>3354.9</v>
      </c>
      <c r="J285" s="72" t="s">
        <v>914</v>
      </c>
      <c r="K285" s="72" t="s">
        <v>909</v>
      </c>
      <c r="L285" s="72">
        <v>16</v>
      </c>
      <c r="M285" s="35" t="s">
        <v>762</v>
      </c>
      <c r="N285" s="40"/>
      <c r="O285" s="72"/>
      <c r="P285" s="72"/>
      <c r="Q285" s="72"/>
      <c r="R285" s="72" t="s">
        <v>763</v>
      </c>
      <c r="S285" s="40"/>
      <c r="T285" s="72">
        <v>16</v>
      </c>
      <c r="U285" s="68" t="str">
        <f>Таблица310[[#This Row],[Регистратор.Номенклатура]]</f>
        <v>Тристар</v>
      </c>
      <c r="V285" s="45">
        <f>5*Таблица310[[#This Row],[Регистратор.Вес нетто]]/28730</f>
        <v>0.73442394709363035</v>
      </c>
      <c r="W285" s="72" t="s">
        <v>52</v>
      </c>
      <c r="X285" s="72" t="s">
        <v>178</v>
      </c>
      <c r="Y285" s="40">
        <v>1</v>
      </c>
      <c r="Z285" s="71">
        <v>45821</v>
      </c>
      <c r="AA285" s="40"/>
      <c r="AB285" s="40"/>
      <c r="AC285" s="40" t="s">
        <v>420</v>
      </c>
      <c r="AD285" s="40" t="s">
        <v>511</v>
      </c>
      <c r="AE285" s="40">
        <v>381</v>
      </c>
      <c r="AF285" s="103">
        <v>45822</v>
      </c>
      <c r="AG285" s="40" t="s">
        <v>902</v>
      </c>
      <c r="AH285" s="40">
        <f>VLOOKUP(Таблица310[[#This Row],[№ акта]],'Степень зрелости 2025'!$H$13:$I$583,2,FALSE)</f>
        <v>40</v>
      </c>
      <c r="AI285" s="40">
        <f>VLOOKUP(Таблица310[[#This Row],[№ акта]],$AQ$1:$AT$594,2,FALSE)</f>
        <v>16</v>
      </c>
      <c r="AJ285" s="40" t="str">
        <f>Таблица310[[#This Row],[Регистратор.Номенклатура]]</f>
        <v>Тристар</v>
      </c>
      <c r="AK285" s="40" t="str">
        <f>VLOOKUP(Таблица310[[#This Row],[№ акта]],$AQ$1:$AT$594,4,FALSE)</f>
        <v>Агролидер (полив)</v>
      </c>
      <c r="AL285" s="45">
        <f>VLOOKUP(Таблица310[[#This Row],[№ акта]],$AQ$1:$AT$594,3,FALSE)</f>
        <v>0.73442394709363035</v>
      </c>
      <c r="AM285" s="40" t="str">
        <f>IF(Таблица310[[#This Row],[Площадь уборки, га]]=Таблица310[[#This Row],[Площадь уборки до корр]],"нет","да")</f>
        <v>нет</v>
      </c>
      <c r="AN285" s="45">
        <f>Таблица310[[#This Row],[Площадь уборки до корр]]-Таблица310[[#This Row],[Площадь уборки, га]]</f>
        <v>0</v>
      </c>
      <c r="AQ285">
        <v>381</v>
      </c>
      <c r="AR285">
        <v>16</v>
      </c>
      <c r="AS285">
        <v>0.73442394709363035</v>
      </c>
      <c r="AT285" t="s">
        <v>52</v>
      </c>
      <c r="XEM285" s="72"/>
      <c r="XEN285" s="73"/>
      <c r="XEO285" s="74"/>
      <c r="XEP285" s="75"/>
      <c r="XEQ285" s="76"/>
      <c r="XER285" s="73"/>
    </row>
    <row r="286" spans="1:46 16367:16372" ht="25.5" hidden="1" customHeight="1" x14ac:dyDescent="0.25">
      <c r="A286" s="72"/>
      <c r="B286" s="73"/>
      <c r="C286" s="120">
        <f>Таблица310[[#This Row],[Степень зрелости вспом]]</f>
        <v>69</v>
      </c>
      <c r="D286" s="75">
        <v>382</v>
      </c>
      <c r="E286" s="146">
        <v>45821</v>
      </c>
      <c r="F286" s="73">
        <v>29140</v>
      </c>
      <c r="G286" s="73">
        <v>13540</v>
      </c>
      <c r="H286" s="77">
        <v>15600</v>
      </c>
      <c r="I286" s="73">
        <v>12321.4</v>
      </c>
      <c r="J286" s="72" t="s">
        <v>903</v>
      </c>
      <c r="K286" s="72" t="s">
        <v>909</v>
      </c>
      <c r="L286" s="72" t="s">
        <v>422</v>
      </c>
      <c r="M286" s="35" t="s">
        <v>1151</v>
      </c>
      <c r="N286" s="40"/>
      <c r="O286" s="72"/>
      <c r="P286" s="72"/>
      <c r="Q286" s="72"/>
      <c r="R286" s="72" t="s">
        <v>145</v>
      </c>
      <c r="S286" s="40"/>
      <c r="T286" s="70" t="s">
        <v>1067</v>
      </c>
      <c r="U286" s="68" t="str">
        <f>Таблица310[[#This Row],[Регистратор.Номенклатура]]</f>
        <v>Тристар</v>
      </c>
      <c r="V286" s="45">
        <f>35*Таблица310[[#This Row],[Регистратор.Вес нетто]]/223090</f>
        <v>2.1242547850643239</v>
      </c>
      <c r="W286" s="72" t="s">
        <v>51</v>
      </c>
      <c r="X286" s="72" t="s">
        <v>178</v>
      </c>
      <c r="Y286" s="40">
        <v>4</v>
      </c>
      <c r="Z286" s="71">
        <v>45821</v>
      </c>
      <c r="AA286" s="40"/>
      <c r="AB286" s="40"/>
      <c r="AC286" s="40" t="s">
        <v>420</v>
      </c>
      <c r="AD286" s="40" t="s">
        <v>550</v>
      </c>
      <c r="AE286" s="40">
        <v>382</v>
      </c>
      <c r="AF286" s="103">
        <v>45821</v>
      </c>
      <c r="AG286" s="40">
        <v>39</v>
      </c>
      <c r="AH286" s="40">
        <f>VLOOKUP(Таблица310[[#This Row],[№ акта]],'Степень зрелости 2025'!$H$13:$I$583,2,FALSE)</f>
        <v>69</v>
      </c>
      <c r="AI286" s="40" t="str">
        <f>VLOOKUP(Таблица310[[#This Row],[№ акта]],$AQ$1:$AT$594,2,FALSE)</f>
        <v>закупка</v>
      </c>
      <c r="AJ286" s="40" t="str">
        <f>Таблица310[[#This Row],[Регистратор.Номенклатура]]</f>
        <v>Тристар</v>
      </c>
      <c r="AK286" s="40" t="str">
        <f>VLOOKUP(Таблица310[[#This Row],[№ акта]],$AQ$1:$AT$594,4,FALSE)</f>
        <v>Братковский закупка (полив)</v>
      </c>
      <c r="AL286" s="45">
        <f>VLOOKUP(Таблица310[[#This Row],[№ акта]],$AQ$1:$AT$594,3,FALSE)</f>
        <v>2.1242547850643239</v>
      </c>
      <c r="AM286" s="40" t="str">
        <f>IF(Таблица310[[#This Row],[Площадь уборки, га]]=Таблица310[[#This Row],[Площадь уборки до корр]],"нет","да")</f>
        <v>нет</v>
      </c>
      <c r="AN286" s="45">
        <f>Таблица310[[#This Row],[Площадь уборки до корр]]-Таблица310[[#This Row],[Площадь уборки, га]]</f>
        <v>0</v>
      </c>
      <c r="AQ286">
        <v>382</v>
      </c>
      <c r="AR286" t="s">
        <v>1067</v>
      </c>
      <c r="AS286">
        <v>2.1242547850643239</v>
      </c>
      <c r="AT286" t="s">
        <v>51</v>
      </c>
      <c r="XEM286" s="72"/>
      <c r="XEN286" s="73"/>
      <c r="XEO286" s="74"/>
      <c r="XEP286" s="75"/>
      <c r="XEQ286" s="76"/>
      <c r="XER286" s="73"/>
    </row>
    <row r="287" spans="1:46 16367:16372" ht="25.5" hidden="1" customHeight="1" x14ac:dyDescent="0.25">
      <c r="A287" s="72"/>
      <c r="B287" s="73"/>
      <c r="C287" s="120">
        <f>Таблица310[[#This Row],[Степень зрелости вспом]]</f>
        <v>45</v>
      </c>
      <c r="D287" s="75">
        <v>383</v>
      </c>
      <c r="E287" s="146">
        <v>45822</v>
      </c>
      <c r="F287" s="73">
        <v>28150</v>
      </c>
      <c r="G287" s="73">
        <v>13590</v>
      </c>
      <c r="H287" s="77">
        <v>14560</v>
      </c>
      <c r="I287" s="73">
        <v>11211.7</v>
      </c>
      <c r="J287" s="72" t="s">
        <v>903</v>
      </c>
      <c r="K287" s="72" t="s">
        <v>909</v>
      </c>
      <c r="L287" s="72" t="s">
        <v>422</v>
      </c>
      <c r="M287" s="35" t="s">
        <v>121</v>
      </c>
      <c r="N287" s="40"/>
      <c r="O287" s="72"/>
      <c r="P287" s="72"/>
      <c r="Q287" s="72"/>
      <c r="R287" s="72" t="s">
        <v>125</v>
      </c>
      <c r="S287" s="40"/>
      <c r="T287" s="70" t="s">
        <v>1067</v>
      </c>
      <c r="U287" s="68" t="str">
        <f>Таблица310[[#This Row],[Регистратор.Номенклатура]]</f>
        <v>Тристар</v>
      </c>
      <c r="V287" s="45">
        <f>35*Таблица310[[#This Row],[Регистратор.Вес нетто]]/223090</f>
        <v>2.1320991528082835</v>
      </c>
      <c r="W287" s="72" t="s">
        <v>51</v>
      </c>
      <c r="X287" s="72" t="s">
        <v>178</v>
      </c>
      <c r="Y287" s="40">
        <v>4</v>
      </c>
      <c r="Z287" s="71">
        <v>45821</v>
      </c>
      <c r="AA287" s="40"/>
      <c r="AB287" s="40"/>
      <c r="AC287" s="40" t="s">
        <v>419</v>
      </c>
      <c r="AD287" s="40" t="s">
        <v>511</v>
      </c>
      <c r="AE287" s="40">
        <v>383</v>
      </c>
      <c r="AF287" s="103">
        <v>45822</v>
      </c>
      <c r="AG287" s="40">
        <v>42</v>
      </c>
      <c r="AH287" s="40">
        <f>VLOOKUP(Таблица310[[#This Row],[№ акта]],'Степень зрелости 2025'!$H$13:$I$583,2,FALSE)</f>
        <v>45</v>
      </c>
      <c r="AI287" s="40" t="str">
        <f>VLOOKUP(Таблица310[[#This Row],[№ акта]],$AQ$1:$AT$594,2,FALSE)</f>
        <v>закупка</v>
      </c>
      <c r="AJ287" s="40" t="str">
        <f>Таблица310[[#This Row],[Регистратор.Номенклатура]]</f>
        <v>Тристар</v>
      </c>
      <c r="AK287" s="40" t="str">
        <f>VLOOKUP(Таблица310[[#This Row],[№ акта]],$AQ$1:$AT$594,4,FALSE)</f>
        <v>Братковский закупка (полив)</v>
      </c>
      <c r="AL287" s="45">
        <f>VLOOKUP(Таблица310[[#This Row],[№ акта]],$AQ$1:$AT$594,3,FALSE)</f>
        <v>2.1320991528082835</v>
      </c>
      <c r="AM287" s="40" t="str">
        <f>IF(Таблица310[[#This Row],[Площадь уборки, га]]=Таблица310[[#This Row],[Площадь уборки до корр]],"нет","да")</f>
        <v>нет</v>
      </c>
      <c r="AN287" s="45">
        <f>Таблица310[[#This Row],[Площадь уборки до корр]]-Таблица310[[#This Row],[Площадь уборки, га]]</f>
        <v>0</v>
      </c>
      <c r="AQ287">
        <v>383</v>
      </c>
      <c r="AR287" t="s">
        <v>1067</v>
      </c>
      <c r="AS287">
        <v>2.1320991528082835</v>
      </c>
      <c r="AT287" t="s">
        <v>51</v>
      </c>
      <c r="XEM287" s="72"/>
      <c r="XEN287" s="73"/>
      <c r="XEO287" s="74"/>
      <c r="XEP287" s="75"/>
      <c r="XEQ287" s="76"/>
      <c r="XER287" s="73"/>
    </row>
    <row r="288" spans="1:46 16367:16372" ht="25.5" hidden="1" customHeight="1" x14ac:dyDescent="0.25">
      <c r="A288" s="72"/>
      <c r="B288" s="73"/>
      <c r="C288" s="120">
        <f>Таблица310[[#This Row],[Степень зрелости вспом]]</f>
        <v>44</v>
      </c>
      <c r="D288" s="75">
        <v>384</v>
      </c>
      <c r="E288" s="146">
        <v>45822</v>
      </c>
      <c r="F288" s="73">
        <v>28620</v>
      </c>
      <c r="G288" s="73">
        <v>13200</v>
      </c>
      <c r="H288" s="77">
        <v>15420</v>
      </c>
      <c r="I288" s="73">
        <v>10626</v>
      </c>
      <c r="J288" s="72" t="s">
        <v>903</v>
      </c>
      <c r="K288" s="72" t="s">
        <v>909</v>
      </c>
      <c r="L288" s="72" t="s">
        <v>967</v>
      </c>
      <c r="M288" s="35" t="s">
        <v>234</v>
      </c>
      <c r="N288" s="40"/>
      <c r="O288" s="72"/>
      <c r="P288" s="72"/>
      <c r="Q288" s="72"/>
      <c r="R288" s="72" t="s">
        <v>238</v>
      </c>
      <c r="S288" s="40"/>
      <c r="T288" s="70" t="s">
        <v>1067</v>
      </c>
      <c r="U288" s="68" t="str">
        <f>Таблица310[[#This Row],[Регистратор.Номенклатура]]</f>
        <v>Тристар</v>
      </c>
      <c r="V288" s="45">
        <f>35*Таблица310[[#This Row],[Регистратор.Вес нетто]]/223090</f>
        <v>2.0709130844053969</v>
      </c>
      <c r="W288" s="72" t="s">
        <v>51</v>
      </c>
      <c r="X288" s="72" t="s">
        <v>178</v>
      </c>
      <c r="Y288" s="40">
        <v>4</v>
      </c>
      <c r="Z288" s="71">
        <v>45821</v>
      </c>
      <c r="AA288" s="40"/>
      <c r="AB288" s="40"/>
      <c r="AC288" s="40" t="s">
        <v>419</v>
      </c>
      <c r="AD288" s="40" t="s">
        <v>511</v>
      </c>
      <c r="AE288" s="40">
        <v>384</v>
      </c>
      <c r="AF288" s="103">
        <v>45822</v>
      </c>
      <c r="AG288" s="40" t="s">
        <v>902</v>
      </c>
      <c r="AH288" s="40">
        <f>VLOOKUP(Таблица310[[#This Row],[№ акта]],'Степень зрелости 2025'!$H$13:$I$583,2,FALSE)</f>
        <v>44</v>
      </c>
      <c r="AI288" s="40" t="str">
        <f>VLOOKUP(Таблица310[[#This Row],[№ акта]],$AQ$1:$AT$594,2,FALSE)</f>
        <v>закупка</v>
      </c>
      <c r="AJ288" s="40" t="str">
        <f>Таблица310[[#This Row],[Регистратор.Номенклатура]]</f>
        <v>Тристар</v>
      </c>
      <c r="AK288" s="40" t="str">
        <f>VLOOKUP(Таблица310[[#This Row],[№ акта]],$AQ$1:$AT$594,4,FALSE)</f>
        <v>Братковский закупка (полив)</v>
      </c>
      <c r="AL288" s="45">
        <f>VLOOKUP(Таблица310[[#This Row],[№ акта]],$AQ$1:$AT$594,3,FALSE)</f>
        <v>2.0709130844053969</v>
      </c>
      <c r="AM288" s="40" t="str">
        <f>IF(Таблица310[[#This Row],[Площадь уборки, га]]=Таблица310[[#This Row],[Площадь уборки до корр]],"нет","да")</f>
        <v>нет</v>
      </c>
      <c r="AN288" s="45">
        <f>Таблица310[[#This Row],[Площадь уборки до корр]]-Таблица310[[#This Row],[Площадь уборки, га]]</f>
        <v>0</v>
      </c>
      <c r="AQ288">
        <v>384</v>
      </c>
      <c r="AR288" t="s">
        <v>1067</v>
      </c>
      <c r="AS288">
        <v>2.0709130844053969</v>
      </c>
      <c r="AT288" t="s">
        <v>51</v>
      </c>
      <c r="XEM288" s="72"/>
      <c r="XEN288" s="73"/>
      <c r="XEO288" s="74"/>
      <c r="XEP288" s="75"/>
      <c r="XEQ288" s="76"/>
      <c r="XER288" s="73"/>
    </row>
    <row r="289" spans="1:46 16367:16372" ht="25.5" hidden="1" customHeight="1" x14ac:dyDescent="0.25">
      <c r="A289" s="72"/>
      <c r="B289" s="73"/>
      <c r="C289" s="120">
        <f>Таблица310[[#This Row],[Степень зрелости вспом]]</f>
        <v>64</v>
      </c>
      <c r="D289" s="75">
        <v>385</v>
      </c>
      <c r="E289" s="146">
        <v>45822</v>
      </c>
      <c r="F289" s="73">
        <v>27970</v>
      </c>
      <c r="G289" s="73">
        <v>13020</v>
      </c>
      <c r="H289" s="77">
        <v>14950</v>
      </c>
      <c r="I289" s="73">
        <v>11132.1</v>
      </c>
      <c r="J289" s="72" t="s">
        <v>903</v>
      </c>
      <c r="K289" s="72" t="s">
        <v>916</v>
      </c>
      <c r="L289" s="72">
        <v>43</v>
      </c>
      <c r="M289" s="35" t="s">
        <v>329</v>
      </c>
      <c r="N289" s="40"/>
      <c r="O289" s="72"/>
      <c r="P289" s="72"/>
      <c r="Q289" s="72"/>
      <c r="R289" s="72" t="s">
        <v>333</v>
      </c>
      <c r="S289" s="40"/>
      <c r="T289" s="106">
        <v>41</v>
      </c>
      <c r="U289" s="68" t="str">
        <f>Таблица310[[#This Row],[Регистратор.Номенклатура]]</f>
        <v>Вольф</v>
      </c>
      <c r="V289" s="45">
        <f>37.9*Таблица310[[#This Row],[Регистратор.Вес нетто]]/315870</f>
        <v>1.5622186342482667</v>
      </c>
      <c r="W289" s="72" t="s">
        <v>50</v>
      </c>
      <c r="X289" s="72" t="s">
        <v>178</v>
      </c>
      <c r="Y289" s="40">
        <v>4</v>
      </c>
      <c r="Z289" s="71">
        <v>45821</v>
      </c>
      <c r="AA289" s="40"/>
      <c r="AB289" s="40" t="s">
        <v>524</v>
      </c>
      <c r="AC289" s="40" t="s">
        <v>420</v>
      </c>
      <c r="AD289" s="40" t="s">
        <v>550</v>
      </c>
      <c r="AE289" s="40">
        <v>385</v>
      </c>
      <c r="AF289" s="103">
        <v>45822</v>
      </c>
      <c r="AG289" s="40" t="s">
        <v>902</v>
      </c>
      <c r="AH289" s="40">
        <f>VLOOKUP(Таблица310[[#This Row],[№ акта]],'Степень зрелости 2025'!$H$13:$I$583,2,FALSE)</f>
        <v>64</v>
      </c>
      <c r="AI289" s="40">
        <f>VLOOKUP(Таблица310[[#This Row],[№ акта]],$AQ$1:$AT$594,2,FALSE)</f>
        <v>41</v>
      </c>
      <c r="AJ289" s="40" t="str">
        <f>Таблица310[[#This Row],[Регистратор.Номенклатура]]</f>
        <v>Вольф</v>
      </c>
      <c r="AK289" s="40" t="str">
        <f>VLOOKUP(Таблица310[[#This Row],[№ акта]],$AQ$1:$AT$594,4,FALSE)</f>
        <v>Братковский (полив)</v>
      </c>
      <c r="AL289" s="45">
        <f>VLOOKUP(Таблица310[[#This Row],[№ акта]],$AQ$1:$AT$594,3,FALSE)</f>
        <v>1.5622186342482667</v>
      </c>
      <c r="AM289" s="40" t="str">
        <f>IF(Таблица310[[#This Row],[Площадь уборки, га]]=Таблица310[[#This Row],[Площадь уборки до корр]],"нет","да")</f>
        <v>нет</v>
      </c>
      <c r="AN289" s="45">
        <f>Таблица310[[#This Row],[Площадь уборки до корр]]-Таблица310[[#This Row],[Площадь уборки, га]]</f>
        <v>0</v>
      </c>
      <c r="AQ289">
        <v>385</v>
      </c>
      <c r="AR289">
        <v>41</v>
      </c>
      <c r="AS289">
        <v>1.5622186342482667</v>
      </c>
      <c r="AT289" t="s">
        <v>50</v>
      </c>
      <c r="XEM289" s="72"/>
      <c r="XEN289" s="73"/>
      <c r="XEO289" s="74"/>
      <c r="XEP289" s="75"/>
      <c r="XEQ289" s="76"/>
      <c r="XER289" s="73"/>
    </row>
    <row r="290" spans="1:46 16367:16372" ht="25.5" hidden="1" customHeight="1" x14ac:dyDescent="0.25">
      <c r="A290" s="72"/>
      <c r="B290" s="73"/>
      <c r="C290" s="120">
        <v>63</v>
      </c>
      <c r="D290" s="75">
        <v>386</v>
      </c>
      <c r="E290" s="146">
        <v>45822</v>
      </c>
      <c r="F290" s="73">
        <v>27650</v>
      </c>
      <c r="G290" s="73">
        <v>6590</v>
      </c>
      <c r="H290" s="77">
        <v>21060</v>
      </c>
      <c r="I290" s="73">
        <v>6161.6</v>
      </c>
      <c r="J290" s="72" t="s">
        <v>903</v>
      </c>
      <c r="K290" s="72" t="s">
        <v>916</v>
      </c>
      <c r="L290" s="72">
        <v>43</v>
      </c>
      <c r="M290" s="35" t="s">
        <v>1152</v>
      </c>
      <c r="N290" s="40"/>
      <c r="O290" s="72"/>
      <c r="P290" s="72"/>
      <c r="Q290" s="72"/>
      <c r="R290" s="72" t="s">
        <v>119</v>
      </c>
      <c r="S290" s="40"/>
      <c r="T290" s="106">
        <v>41</v>
      </c>
      <c r="U290" s="68" t="str">
        <f>Таблица310[[#This Row],[Регистратор.Номенклатура]]</f>
        <v>Вольф</v>
      </c>
      <c r="V290" s="45">
        <f>37.9*Таблица310[[#This Row],[Регистратор.Вес нетто]]/315870</f>
        <v>0.79070820274163423</v>
      </c>
      <c r="W290" s="72" t="s">
        <v>50</v>
      </c>
      <c r="X290" s="72" t="s">
        <v>178</v>
      </c>
      <c r="Y290" s="40">
        <v>4</v>
      </c>
      <c r="Z290" s="71">
        <v>45821</v>
      </c>
      <c r="AA290" s="40"/>
      <c r="AB290" s="40" t="s">
        <v>524</v>
      </c>
      <c r="AC290" s="40" t="s">
        <v>724</v>
      </c>
      <c r="AD290" s="40" t="s">
        <v>550</v>
      </c>
      <c r="AE290" s="40">
        <v>386</v>
      </c>
      <c r="AF290" s="103">
        <v>45822</v>
      </c>
      <c r="AG290" s="40" t="s">
        <v>970</v>
      </c>
      <c r="AH290" s="40">
        <f>VLOOKUP(Таблица310[[#This Row],[№ акта]],'Степень зрелости 2025'!$H$13:$I$583,2,FALSE)</f>
        <v>63</v>
      </c>
      <c r="AI290" s="40">
        <f>VLOOKUP(Таблица310[[#This Row],[№ акта]],$AQ$1:$AT$594,2,FALSE)</f>
        <v>41</v>
      </c>
      <c r="AJ290" s="40" t="str">
        <f>Таблица310[[#This Row],[Регистратор.Номенклатура]]</f>
        <v>Вольф</v>
      </c>
      <c r="AK290" s="40" t="str">
        <f>VLOOKUP(Таблица310[[#This Row],[№ акта]],$AQ$1:$AT$594,4,FALSE)</f>
        <v>Братковский (полив)</v>
      </c>
      <c r="AL290" s="45">
        <f>VLOOKUP(Таблица310[[#This Row],[№ акта]],$AQ$1:$AT$594,3,FALSE)</f>
        <v>0.79070820274163423</v>
      </c>
      <c r="AM290" s="40" t="str">
        <f>IF(Таблица310[[#This Row],[Площадь уборки, га]]=Таблица310[[#This Row],[Площадь уборки до корр]],"нет","да")</f>
        <v>нет</v>
      </c>
      <c r="AN290" s="45">
        <f>Таблица310[[#This Row],[Площадь уборки до корр]]-Таблица310[[#This Row],[Площадь уборки, га]]</f>
        <v>0</v>
      </c>
      <c r="AQ290">
        <v>386</v>
      </c>
      <c r="AR290">
        <v>41</v>
      </c>
      <c r="AS290">
        <v>0.79070820274163423</v>
      </c>
      <c r="AT290" t="s">
        <v>50</v>
      </c>
      <c r="XEM290" s="72"/>
      <c r="XEN290" s="73"/>
      <c r="XEO290" s="74"/>
      <c r="XEP290" s="75"/>
      <c r="XEQ290" s="76"/>
      <c r="XER290" s="73"/>
    </row>
    <row r="291" spans="1:46 16367:16372" ht="25.5" hidden="1" customHeight="1" x14ac:dyDescent="0.25">
      <c r="A291" s="72"/>
      <c r="B291" s="73"/>
      <c r="C291" s="120">
        <f>Таблица310[[#This Row],[Степень зрелости вспом]]</f>
        <v>67</v>
      </c>
      <c r="D291" s="75">
        <v>387</v>
      </c>
      <c r="E291" s="146">
        <v>45822</v>
      </c>
      <c r="F291" s="73">
        <v>31950</v>
      </c>
      <c r="G291" s="73">
        <v>13240</v>
      </c>
      <c r="H291" s="77">
        <v>18710</v>
      </c>
      <c r="I291" s="73">
        <v>11982.2</v>
      </c>
      <c r="J291" s="72" t="s">
        <v>903</v>
      </c>
      <c r="K291" s="72" t="s">
        <v>916</v>
      </c>
      <c r="L291" s="72">
        <v>43</v>
      </c>
      <c r="M291" s="35" t="s">
        <v>347</v>
      </c>
      <c r="N291" s="40"/>
      <c r="O291" s="72"/>
      <c r="P291" s="72"/>
      <c r="Q291" s="72"/>
      <c r="R291" s="72" t="s">
        <v>351</v>
      </c>
      <c r="S291" s="40"/>
      <c r="T291" s="106">
        <v>41</v>
      </c>
      <c r="U291" s="68" t="str">
        <f>Таблица310[[#This Row],[Регистратор.Номенклатура]]</f>
        <v>Вольф</v>
      </c>
      <c r="V291" s="45">
        <f>37.9*Таблица310[[#This Row],[Регистратор.Вес нетто]]/315870</f>
        <v>1.5886155696963942</v>
      </c>
      <c r="W291" s="72" t="s">
        <v>50</v>
      </c>
      <c r="X291" s="72" t="s">
        <v>178</v>
      </c>
      <c r="Y291" s="40">
        <v>4</v>
      </c>
      <c r="Z291" s="71">
        <v>45821</v>
      </c>
      <c r="AA291" s="40"/>
      <c r="AB291" s="40" t="s">
        <v>524</v>
      </c>
      <c r="AC291" s="40" t="s">
        <v>420</v>
      </c>
      <c r="AD291" s="40" t="s">
        <v>550</v>
      </c>
      <c r="AE291" s="40">
        <v>387</v>
      </c>
      <c r="AF291" s="103">
        <v>45822</v>
      </c>
      <c r="AG291" s="40" t="s">
        <v>902</v>
      </c>
      <c r="AH291" s="40">
        <f>VLOOKUP(Таблица310[[#This Row],[№ акта]],'Степень зрелости 2025'!$H$13:$I$583,2,FALSE)</f>
        <v>67</v>
      </c>
      <c r="AI291" s="40">
        <f>VLOOKUP(Таблица310[[#This Row],[№ акта]],$AQ$1:$AT$594,2,FALSE)</f>
        <v>41</v>
      </c>
      <c r="AJ291" s="40" t="str">
        <f>Таблица310[[#This Row],[Регистратор.Номенклатура]]</f>
        <v>Вольф</v>
      </c>
      <c r="AK291" s="40" t="str">
        <f>VLOOKUP(Таблица310[[#This Row],[№ акта]],$AQ$1:$AT$594,4,FALSE)</f>
        <v>Братковский (полив)</v>
      </c>
      <c r="AL291" s="45">
        <f>VLOOKUP(Таблица310[[#This Row],[№ акта]],$AQ$1:$AT$594,3,FALSE)</f>
        <v>1.5886155696963942</v>
      </c>
      <c r="AM291" s="40" t="str">
        <f>IF(Таблица310[[#This Row],[Площадь уборки, га]]=Таблица310[[#This Row],[Площадь уборки до корр]],"нет","да")</f>
        <v>нет</v>
      </c>
      <c r="AN291" s="45">
        <f>Таблица310[[#This Row],[Площадь уборки до корр]]-Таблица310[[#This Row],[Площадь уборки, га]]</f>
        <v>0</v>
      </c>
      <c r="AQ291">
        <v>387</v>
      </c>
      <c r="AR291">
        <v>41</v>
      </c>
      <c r="AS291">
        <v>1.5886155696963942</v>
      </c>
      <c r="AT291" t="s">
        <v>50</v>
      </c>
      <c r="XEM291" s="72"/>
      <c r="XEN291" s="73"/>
      <c r="XEO291" s="74"/>
      <c r="XEP291" s="75"/>
      <c r="XEQ291" s="76"/>
      <c r="XER291" s="73"/>
    </row>
    <row r="292" spans="1:46 16367:16372" ht="25.5" hidden="1" customHeight="1" x14ac:dyDescent="0.25">
      <c r="A292" s="72"/>
      <c r="B292" s="73"/>
      <c r="C292" s="120">
        <v>69</v>
      </c>
      <c r="D292" s="75">
        <v>388</v>
      </c>
      <c r="E292" s="146">
        <v>45822</v>
      </c>
      <c r="F292" s="73">
        <v>28170</v>
      </c>
      <c r="G292" s="73">
        <v>13200</v>
      </c>
      <c r="H292" s="77">
        <v>14970</v>
      </c>
      <c r="I292" s="73">
        <v>12342</v>
      </c>
      <c r="J292" s="72" t="s">
        <v>903</v>
      </c>
      <c r="K292" s="72" t="s">
        <v>916</v>
      </c>
      <c r="L292" s="72">
        <v>43</v>
      </c>
      <c r="M292" s="35" t="s">
        <v>311</v>
      </c>
      <c r="N292" s="40"/>
      <c r="O292" s="72"/>
      <c r="P292" s="72"/>
      <c r="Q292" s="72"/>
      <c r="R292" s="72" t="s">
        <v>315</v>
      </c>
      <c r="S292" s="40"/>
      <c r="T292" s="106">
        <v>41</v>
      </c>
      <c r="U292" s="68" t="str">
        <f>Таблица310[[#This Row],[Регистратор.Номенклатура]]</f>
        <v>Вольф</v>
      </c>
      <c r="V292" s="45">
        <f>37.9*Таблица310[[#This Row],[Регистратор.Вес нетто]]/315870</f>
        <v>1.5838161268876436</v>
      </c>
      <c r="W292" s="72" t="s">
        <v>50</v>
      </c>
      <c r="X292" s="72" t="s">
        <v>178</v>
      </c>
      <c r="Y292" s="40">
        <v>4</v>
      </c>
      <c r="Z292" s="71">
        <v>45821</v>
      </c>
      <c r="AA292" s="40"/>
      <c r="AB292" s="40" t="s">
        <v>524</v>
      </c>
      <c r="AC292" s="40" t="s">
        <v>420</v>
      </c>
      <c r="AD292" s="40" t="s">
        <v>550</v>
      </c>
      <c r="AE292" s="40">
        <v>388</v>
      </c>
      <c r="AF292" s="103">
        <v>45822</v>
      </c>
      <c r="AG292" s="40" t="s">
        <v>902</v>
      </c>
      <c r="AH292" s="40">
        <f>VLOOKUP(Таблица310[[#This Row],[№ акта]],'Степень зрелости 2025'!$H$13:$I$583,2,FALSE)</f>
        <v>69</v>
      </c>
      <c r="AI292" s="40">
        <f>VLOOKUP(Таблица310[[#This Row],[№ акта]],$AQ$1:$AT$594,2,FALSE)</f>
        <v>41</v>
      </c>
      <c r="AJ292" s="40" t="str">
        <f>Таблица310[[#This Row],[Регистратор.Номенклатура]]</f>
        <v>Вольф</v>
      </c>
      <c r="AK292" s="40" t="str">
        <f>VLOOKUP(Таблица310[[#This Row],[№ акта]],$AQ$1:$AT$594,4,FALSE)</f>
        <v>Братковский (полив)</v>
      </c>
      <c r="AL292" s="45">
        <f>VLOOKUP(Таблица310[[#This Row],[№ акта]],$AQ$1:$AT$594,3,FALSE)</f>
        <v>1.5838161268876436</v>
      </c>
      <c r="AM292" s="40" t="str">
        <f>IF(Таблица310[[#This Row],[Площадь уборки, га]]=Таблица310[[#This Row],[Площадь уборки до корр]],"нет","да")</f>
        <v>нет</v>
      </c>
      <c r="AN292" s="45">
        <f>Таблица310[[#This Row],[Площадь уборки до корр]]-Таблица310[[#This Row],[Площадь уборки, га]]</f>
        <v>0</v>
      </c>
      <c r="AQ292">
        <v>388</v>
      </c>
      <c r="AR292">
        <v>41</v>
      </c>
      <c r="AS292">
        <v>1.5838161268876436</v>
      </c>
      <c r="AT292" t="s">
        <v>50</v>
      </c>
      <c r="XEM292" s="72"/>
      <c r="XEN292" s="73"/>
      <c r="XEO292" s="74"/>
      <c r="XEP292" s="75"/>
      <c r="XEQ292" s="76"/>
      <c r="XER292" s="73"/>
    </row>
    <row r="293" spans="1:46 16367:16372" ht="25.5" hidden="1" customHeight="1" x14ac:dyDescent="0.25">
      <c r="A293" s="72"/>
      <c r="B293" s="73"/>
      <c r="C293" s="120">
        <f>Таблица310[[#This Row],[Степень зрелости вспом]]</f>
        <v>65</v>
      </c>
      <c r="D293" s="75">
        <v>389</v>
      </c>
      <c r="E293" s="146">
        <v>45822</v>
      </c>
      <c r="F293" s="73">
        <v>37310</v>
      </c>
      <c r="G293" s="73">
        <v>13310</v>
      </c>
      <c r="H293" s="77">
        <v>24000</v>
      </c>
      <c r="I293" s="73">
        <v>12444.8</v>
      </c>
      <c r="J293" s="72" t="s">
        <v>903</v>
      </c>
      <c r="K293" s="72" t="s">
        <v>916</v>
      </c>
      <c r="L293" s="72">
        <v>43</v>
      </c>
      <c r="M293" s="35" t="s">
        <v>160</v>
      </c>
      <c r="N293" s="40"/>
      <c r="O293" s="72"/>
      <c r="P293" s="72"/>
      <c r="Q293" s="72"/>
      <c r="R293" s="72" t="s">
        <v>164</v>
      </c>
      <c r="S293" s="40"/>
      <c r="T293" s="106">
        <v>41</v>
      </c>
      <c r="U293" s="68" t="str">
        <f>Таблица310[[#This Row],[Регистратор.Номенклатура]]</f>
        <v>Вольф</v>
      </c>
      <c r="V293" s="45">
        <f>37.9*Таблица310[[#This Row],[Регистратор.Вес нетто]]/315870</f>
        <v>1.5970145946117074</v>
      </c>
      <c r="W293" s="72" t="s">
        <v>50</v>
      </c>
      <c r="X293" s="72" t="s">
        <v>178</v>
      </c>
      <c r="Y293" s="40">
        <v>4</v>
      </c>
      <c r="Z293" s="71">
        <v>45821</v>
      </c>
      <c r="AA293" s="40"/>
      <c r="AB293" s="40" t="s">
        <v>524</v>
      </c>
      <c r="AC293" s="40" t="s">
        <v>725</v>
      </c>
      <c r="AD293" s="40" t="s">
        <v>550</v>
      </c>
      <c r="AE293" s="40">
        <v>389</v>
      </c>
      <c r="AF293" s="103">
        <v>45822</v>
      </c>
      <c r="AG293" s="40" t="s">
        <v>902</v>
      </c>
      <c r="AH293" s="40">
        <f>VLOOKUP(Таблица310[[#This Row],[№ акта]],'Степень зрелости 2025'!$H$13:$I$583,2,FALSE)</f>
        <v>65</v>
      </c>
      <c r="AI293" s="40">
        <f>VLOOKUP(Таблица310[[#This Row],[№ акта]],$AQ$1:$AT$594,2,FALSE)</f>
        <v>41</v>
      </c>
      <c r="AJ293" s="40" t="str">
        <f>Таблица310[[#This Row],[Регистратор.Номенклатура]]</f>
        <v>Вольф</v>
      </c>
      <c r="AK293" s="40" t="str">
        <f>VLOOKUP(Таблица310[[#This Row],[№ акта]],$AQ$1:$AT$594,4,FALSE)</f>
        <v>Братковский (полив)</v>
      </c>
      <c r="AL293" s="45">
        <f>VLOOKUP(Таблица310[[#This Row],[№ акта]],$AQ$1:$AT$594,3,FALSE)</f>
        <v>1.5970145946117074</v>
      </c>
      <c r="AM293" s="40" t="str">
        <f>IF(Таблица310[[#This Row],[Площадь уборки, га]]=Таблица310[[#This Row],[Площадь уборки до корр]],"нет","да")</f>
        <v>нет</v>
      </c>
      <c r="AN293" s="45">
        <f>Таблица310[[#This Row],[Площадь уборки до корр]]-Таблица310[[#This Row],[Площадь уборки, га]]</f>
        <v>0</v>
      </c>
      <c r="AQ293">
        <v>389</v>
      </c>
      <c r="AR293">
        <v>41</v>
      </c>
      <c r="AS293">
        <v>1.5970145946117074</v>
      </c>
      <c r="AT293" t="s">
        <v>50</v>
      </c>
      <c r="XEM293" s="72"/>
      <c r="XEN293" s="73"/>
      <c r="XEO293" s="74"/>
      <c r="XEP293" s="75"/>
      <c r="XEQ293" s="76"/>
      <c r="XER293" s="73"/>
    </row>
    <row r="294" spans="1:46 16367:16372" ht="25.5" hidden="1" customHeight="1" x14ac:dyDescent="0.25">
      <c r="A294" s="72"/>
      <c r="B294" s="73"/>
      <c r="C294" s="120">
        <v>42</v>
      </c>
      <c r="D294" s="75">
        <v>390</v>
      </c>
      <c r="E294" s="146">
        <v>45822</v>
      </c>
      <c r="F294" s="73">
        <v>34940</v>
      </c>
      <c r="G294" s="73">
        <v>7270</v>
      </c>
      <c r="H294" s="77">
        <v>27670</v>
      </c>
      <c r="I294" s="73">
        <v>5925</v>
      </c>
      <c r="J294" s="72" t="s">
        <v>903</v>
      </c>
      <c r="K294" s="72" t="s">
        <v>909</v>
      </c>
      <c r="L294" s="72">
        <v>46</v>
      </c>
      <c r="M294" s="35" t="s">
        <v>1152</v>
      </c>
      <c r="N294" s="40"/>
      <c r="O294" s="72"/>
      <c r="P294" s="72"/>
      <c r="Q294" s="72"/>
      <c r="R294" s="72" t="s">
        <v>119</v>
      </c>
      <c r="S294" s="40"/>
      <c r="T294" s="70" t="s">
        <v>1067</v>
      </c>
      <c r="U294" s="68" t="str">
        <f>Таблица310[[#This Row],[Регистратор.Номенклатура]]</f>
        <v>Тристар</v>
      </c>
      <c r="V294" s="45">
        <f>41.5*Таблица310[[#This Row],[Регистратор.Вес нетто]]/260190</f>
        <v>1.1595564779584151</v>
      </c>
      <c r="W294" s="72" t="s">
        <v>51</v>
      </c>
      <c r="X294" s="72" t="s">
        <v>178</v>
      </c>
      <c r="Y294" s="40">
        <v>5</v>
      </c>
      <c r="Z294" s="71">
        <v>45822</v>
      </c>
      <c r="AA294" s="40"/>
      <c r="AB294" s="40"/>
      <c r="AC294" s="40" t="s">
        <v>419</v>
      </c>
      <c r="AD294" s="40" t="s">
        <v>511</v>
      </c>
      <c r="AE294" s="40">
        <v>390</v>
      </c>
      <c r="AF294" s="103">
        <v>45822</v>
      </c>
      <c r="AG294" s="40" t="s">
        <v>970</v>
      </c>
      <c r="AH294" s="40" t="e">
        <f>VLOOKUP(Таблица310[[#This Row],[№ акта]],'Степень зрелости 2025'!$H$13:$I$583,2,FALSE)</f>
        <v>#N/A</v>
      </c>
      <c r="AI294" s="40" t="str">
        <f>VLOOKUP(Таблица310[[#This Row],[№ акта]],$AQ$1:$AT$594,2,FALSE)</f>
        <v>закупка</v>
      </c>
      <c r="AJ294" s="40" t="str">
        <f>Таблица310[[#This Row],[Регистратор.Номенклатура]]</f>
        <v>Тристар</v>
      </c>
      <c r="AK294" s="40" t="str">
        <f>VLOOKUP(Таблица310[[#This Row],[№ акта]],$AQ$1:$AT$594,4,FALSE)</f>
        <v>Братковский закупка (полив)</v>
      </c>
      <c r="AL294" s="45">
        <f>VLOOKUP(Таблица310[[#This Row],[№ акта]],$AQ$1:$AT$594,3,FALSE)</f>
        <v>1.1595564779584151</v>
      </c>
      <c r="AM294" s="40" t="str">
        <f>IF(Таблица310[[#This Row],[Площадь уборки, га]]=Таблица310[[#This Row],[Площадь уборки до корр]],"нет","да")</f>
        <v>нет</v>
      </c>
      <c r="AN294" s="45">
        <f>Таблица310[[#This Row],[Площадь уборки до корр]]-Таблица310[[#This Row],[Площадь уборки, га]]</f>
        <v>0</v>
      </c>
      <c r="AQ294">
        <v>390</v>
      </c>
      <c r="AR294" t="s">
        <v>1067</v>
      </c>
      <c r="AS294">
        <v>1.1595564779584151</v>
      </c>
      <c r="AT294" t="s">
        <v>51</v>
      </c>
      <c r="XEM294" s="72"/>
      <c r="XEN294" s="73"/>
      <c r="XEO294" s="74"/>
      <c r="XEP294" s="75"/>
      <c r="XEQ294" s="76"/>
      <c r="XER294" s="73"/>
    </row>
    <row r="295" spans="1:46 16367:16372" ht="25.5" hidden="1" customHeight="1" x14ac:dyDescent="0.25">
      <c r="A295" s="72"/>
      <c r="B295" s="73"/>
      <c r="C295" s="120">
        <v>64</v>
      </c>
      <c r="D295" s="75">
        <v>391</v>
      </c>
      <c r="E295" s="146">
        <v>45822</v>
      </c>
      <c r="F295" s="73">
        <v>28140</v>
      </c>
      <c r="G295" s="73">
        <v>13200</v>
      </c>
      <c r="H295" s="77">
        <v>14940</v>
      </c>
      <c r="I295" s="73">
        <v>11814</v>
      </c>
      <c r="J295" s="72" t="s">
        <v>903</v>
      </c>
      <c r="K295" s="72" t="s">
        <v>916</v>
      </c>
      <c r="L295" s="72">
        <v>44</v>
      </c>
      <c r="M295" s="35" t="s">
        <v>151</v>
      </c>
      <c r="N295" s="40"/>
      <c r="O295" s="72"/>
      <c r="P295" s="72"/>
      <c r="Q295" s="72"/>
      <c r="R295" s="72" t="s">
        <v>155</v>
      </c>
      <c r="S295" s="40"/>
      <c r="T295" s="106">
        <v>50</v>
      </c>
      <c r="U295" s="68" t="str">
        <f>Таблица310[[#This Row],[Регистратор.Номенклатура]]</f>
        <v>Вольф</v>
      </c>
      <c r="V295" s="45">
        <f>41.5*Таблица310[[#This Row],[Регистратор.Вес нетто]]/260190</f>
        <v>2.1053845266920326</v>
      </c>
      <c r="W295" s="72" t="s">
        <v>50</v>
      </c>
      <c r="X295" s="72" t="s">
        <v>178</v>
      </c>
      <c r="Y295" s="40">
        <v>5</v>
      </c>
      <c r="Z295" s="71">
        <v>45822</v>
      </c>
      <c r="AA295" s="40"/>
      <c r="AB295" s="40"/>
      <c r="AC295" s="40" t="s">
        <v>420</v>
      </c>
      <c r="AD295" s="40" t="s">
        <v>550</v>
      </c>
      <c r="AE295" s="40">
        <v>391</v>
      </c>
      <c r="AF295" s="103">
        <v>45822</v>
      </c>
      <c r="AG295" s="40" t="s">
        <v>902</v>
      </c>
      <c r="AH295" s="40" t="e">
        <f>VLOOKUP(Таблица310[[#This Row],[№ акта]],'Степень зрелости 2025'!$H$13:$I$583,2,FALSE)</f>
        <v>#N/A</v>
      </c>
      <c r="AI295" s="40">
        <f>VLOOKUP(Таблица310[[#This Row],[№ акта]],$AQ$1:$AT$594,2,FALSE)</f>
        <v>50</v>
      </c>
      <c r="AJ295" s="40" t="str">
        <f>Таблица310[[#This Row],[Регистратор.Номенклатура]]</f>
        <v>Вольф</v>
      </c>
      <c r="AK295" s="40" t="str">
        <f>VLOOKUP(Таблица310[[#This Row],[№ акта]],$AQ$1:$AT$594,4,FALSE)</f>
        <v>Братковский (полив)</v>
      </c>
      <c r="AL295" s="45">
        <f>VLOOKUP(Таблица310[[#This Row],[№ акта]],$AQ$1:$AT$594,3,FALSE)</f>
        <v>2.1053845266920326</v>
      </c>
      <c r="AM295" s="40" t="str">
        <f>IF(Таблица310[[#This Row],[Площадь уборки, га]]=Таблица310[[#This Row],[Площадь уборки до корр]],"нет","да")</f>
        <v>нет</v>
      </c>
      <c r="AN295" s="45">
        <f>Таблица310[[#This Row],[Площадь уборки до корр]]-Таблица310[[#This Row],[Площадь уборки, га]]</f>
        <v>0</v>
      </c>
      <c r="AQ295">
        <v>391</v>
      </c>
      <c r="AR295">
        <v>50</v>
      </c>
      <c r="AS295">
        <v>2.1053845266920326</v>
      </c>
      <c r="AT295" t="s">
        <v>50</v>
      </c>
      <c r="XEM295" s="72"/>
      <c r="XEN295" s="73"/>
      <c r="XEO295" s="74"/>
      <c r="XEP295" s="75"/>
      <c r="XEQ295" s="76"/>
      <c r="XER295" s="73"/>
    </row>
    <row r="296" spans="1:46 16367:16372" ht="25.5" hidden="1" customHeight="1" x14ac:dyDescent="0.25">
      <c r="A296" s="72"/>
      <c r="B296" s="73"/>
      <c r="C296" s="120">
        <f>Таблица310[[#This Row],[Степень зрелости вспом]]</f>
        <v>40</v>
      </c>
      <c r="D296" s="75">
        <v>392</v>
      </c>
      <c r="E296" s="146">
        <v>45822</v>
      </c>
      <c r="F296" s="73">
        <v>9100</v>
      </c>
      <c r="G296" s="73">
        <v>4510</v>
      </c>
      <c r="H296" s="77">
        <v>4590</v>
      </c>
      <c r="I296" s="73">
        <v>3675.6</v>
      </c>
      <c r="J296" s="72" t="s">
        <v>914</v>
      </c>
      <c r="K296" s="72" t="s">
        <v>909</v>
      </c>
      <c r="L296" s="72">
        <v>16</v>
      </c>
      <c r="M296" s="35" t="s">
        <v>737</v>
      </c>
      <c r="N296" s="40"/>
      <c r="O296" s="72"/>
      <c r="P296" s="72"/>
      <c r="Q296" s="72"/>
      <c r="R296" s="72" t="s">
        <v>738</v>
      </c>
      <c r="S296" s="40"/>
      <c r="T296" s="72">
        <v>16</v>
      </c>
      <c r="U296" s="68" t="str">
        <f>Таблица310[[#This Row],[Регистратор.Номенклатура]]</f>
        <v>Тристар</v>
      </c>
      <c r="V296" s="45">
        <f>5*Таблица310[[#This Row],[Регистратор.Вес нетто]]/28730</f>
        <v>0.78489383919248168</v>
      </c>
      <c r="W296" s="72" t="s">
        <v>52</v>
      </c>
      <c r="X296" s="72" t="s">
        <v>178</v>
      </c>
      <c r="Y296" s="40">
        <v>1</v>
      </c>
      <c r="Z296" s="71">
        <v>45821</v>
      </c>
      <c r="AA296" s="40"/>
      <c r="AB296" s="40"/>
      <c r="AC296" s="40" t="s">
        <v>420</v>
      </c>
      <c r="AD296" s="40" t="s">
        <v>511</v>
      </c>
      <c r="AE296" s="40">
        <v>392</v>
      </c>
      <c r="AF296" s="103">
        <v>45822</v>
      </c>
      <c r="AG296" s="40" t="s">
        <v>902</v>
      </c>
      <c r="AH296" s="40">
        <f>VLOOKUP(Таблица310[[#This Row],[№ акта]],'Степень зрелости 2025'!$H$13:$I$583,2,FALSE)</f>
        <v>40</v>
      </c>
      <c r="AI296" s="40">
        <f>VLOOKUP(Таблица310[[#This Row],[№ акта]],$AQ$1:$AT$594,2,FALSE)</f>
        <v>16</v>
      </c>
      <c r="AJ296" s="40" t="str">
        <f>Таблица310[[#This Row],[Регистратор.Номенклатура]]</f>
        <v>Тристар</v>
      </c>
      <c r="AK296" s="40" t="str">
        <f>VLOOKUP(Таблица310[[#This Row],[№ акта]],$AQ$1:$AT$594,4,FALSE)</f>
        <v>Агролидер (полив)</v>
      </c>
      <c r="AL296" s="45">
        <f>VLOOKUP(Таблица310[[#This Row],[№ акта]],$AQ$1:$AT$594,3,FALSE)</f>
        <v>0.78489383919248168</v>
      </c>
      <c r="AM296" s="40" t="str">
        <f>IF(Таблица310[[#This Row],[Площадь уборки, га]]=Таблица310[[#This Row],[Площадь уборки до корр]],"нет","да")</f>
        <v>нет</v>
      </c>
      <c r="AN296" s="45">
        <f>Таблица310[[#This Row],[Площадь уборки до корр]]-Таблица310[[#This Row],[Площадь уборки, га]]</f>
        <v>0</v>
      </c>
      <c r="AQ296">
        <v>392</v>
      </c>
      <c r="AR296">
        <v>16</v>
      </c>
      <c r="AS296">
        <v>0.78489383919248168</v>
      </c>
      <c r="AT296" t="s">
        <v>52</v>
      </c>
      <c r="XEM296" s="72"/>
      <c r="XEN296" s="73"/>
      <c r="XEO296" s="74"/>
      <c r="XEP296" s="75"/>
      <c r="XEQ296" s="76"/>
      <c r="XER296" s="73"/>
    </row>
    <row r="297" spans="1:46 16367:16372" ht="25.5" hidden="1" customHeight="1" x14ac:dyDescent="0.25">
      <c r="A297" s="72"/>
      <c r="B297" s="73"/>
      <c r="C297" s="120">
        <f>Таблица310[[#This Row],[Степень зрелости вспом]]</f>
        <v>56</v>
      </c>
      <c r="D297" s="75">
        <v>393</v>
      </c>
      <c r="E297" s="146">
        <v>45822</v>
      </c>
      <c r="F297" s="73">
        <v>27130</v>
      </c>
      <c r="G297" s="73">
        <v>13360</v>
      </c>
      <c r="H297" s="77">
        <v>13770</v>
      </c>
      <c r="I297" s="73">
        <v>11756.8</v>
      </c>
      <c r="J297" s="72" t="s">
        <v>903</v>
      </c>
      <c r="K297" s="72" t="s">
        <v>916</v>
      </c>
      <c r="L297" s="72">
        <v>44</v>
      </c>
      <c r="M297" s="35" t="s">
        <v>212</v>
      </c>
      <c r="N297" s="40"/>
      <c r="O297" s="72"/>
      <c r="P297" s="72"/>
      <c r="Q297" s="72"/>
      <c r="R297" s="72" t="s">
        <v>216</v>
      </c>
      <c r="S297" s="40"/>
      <c r="T297" s="106">
        <v>50</v>
      </c>
      <c r="U297" s="68" t="str">
        <f>Таблица310[[#This Row],[Регистратор.Номенклатура]]</f>
        <v>Вольф</v>
      </c>
      <c r="V297" s="45">
        <f>41.5*Таблица310[[#This Row],[Регистратор.Вес нетто]]/260190</f>
        <v>2.1309043391367846</v>
      </c>
      <c r="W297" s="72" t="s">
        <v>50</v>
      </c>
      <c r="X297" s="72" t="s">
        <v>178</v>
      </c>
      <c r="Y297" s="40">
        <v>5</v>
      </c>
      <c r="Z297" s="71">
        <v>45822</v>
      </c>
      <c r="AA297" s="40"/>
      <c r="AB297" s="40"/>
      <c r="AC297" s="40" t="s">
        <v>724</v>
      </c>
      <c r="AD297" s="40" t="s">
        <v>550</v>
      </c>
      <c r="AE297" s="40">
        <v>393</v>
      </c>
      <c r="AF297" s="103">
        <v>45822</v>
      </c>
      <c r="AG297" s="40" t="s">
        <v>902</v>
      </c>
      <c r="AH297" s="40">
        <f>VLOOKUP(Таблица310[[#This Row],[№ акта]],'Степень зрелости 2025'!$H$13:$I$583,2,FALSE)</f>
        <v>56</v>
      </c>
      <c r="AI297" s="40">
        <f>VLOOKUP(Таблица310[[#This Row],[№ акта]],$AQ$1:$AT$594,2,FALSE)</f>
        <v>50</v>
      </c>
      <c r="AJ297" s="40" t="str">
        <f>Таблица310[[#This Row],[Регистратор.Номенклатура]]</f>
        <v>Вольф</v>
      </c>
      <c r="AK297" s="40" t="str">
        <f>VLOOKUP(Таблица310[[#This Row],[№ акта]],$AQ$1:$AT$594,4,FALSE)</f>
        <v>Братковский (полив)</v>
      </c>
      <c r="AL297" s="45">
        <f>VLOOKUP(Таблица310[[#This Row],[№ акта]],$AQ$1:$AT$594,3,FALSE)</f>
        <v>2.1309043391367846</v>
      </c>
      <c r="AM297" s="40" t="str">
        <f>IF(Таблица310[[#This Row],[Площадь уборки, га]]=Таблица310[[#This Row],[Площадь уборки до корр]],"нет","да")</f>
        <v>нет</v>
      </c>
      <c r="AN297" s="45">
        <f>Таблица310[[#This Row],[Площадь уборки до корр]]-Таблица310[[#This Row],[Площадь уборки, га]]</f>
        <v>0</v>
      </c>
      <c r="AQ297">
        <v>393</v>
      </c>
      <c r="AR297">
        <v>50</v>
      </c>
      <c r="AS297">
        <v>2.1309043391367846</v>
      </c>
      <c r="AT297" t="s">
        <v>50</v>
      </c>
      <c r="XEM297" s="72"/>
      <c r="XEN297" s="73"/>
      <c r="XEO297" s="74"/>
      <c r="XEP297" s="75"/>
      <c r="XEQ297" s="76"/>
      <c r="XER297" s="73"/>
    </row>
    <row r="298" spans="1:46 16367:16372" ht="25.5" hidden="1" customHeight="1" x14ac:dyDescent="0.25">
      <c r="A298" s="72"/>
      <c r="B298" s="73"/>
      <c r="C298" s="120">
        <f>Таблица310[[#This Row],[Степень зрелости вспом]]</f>
        <v>63</v>
      </c>
      <c r="D298" s="75">
        <v>394</v>
      </c>
      <c r="E298" s="146">
        <v>45822</v>
      </c>
      <c r="F298" s="73">
        <v>28050</v>
      </c>
      <c r="G298" s="73">
        <v>13320</v>
      </c>
      <c r="H298" s="77">
        <v>14730</v>
      </c>
      <c r="I298" s="73">
        <v>11854.8</v>
      </c>
      <c r="J298" s="72" t="s">
        <v>903</v>
      </c>
      <c r="K298" s="72" t="s">
        <v>916</v>
      </c>
      <c r="L298" s="72">
        <v>43</v>
      </c>
      <c r="M298" s="35" t="s">
        <v>133</v>
      </c>
      <c r="N298" s="40"/>
      <c r="O298" s="72"/>
      <c r="P298" s="72"/>
      <c r="Q298" s="72"/>
      <c r="R298" s="72" t="s">
        <v>137</v>
      </c>
      <c r="S298" s="40"/>
      <c r="T298" s="106">
        <v>41</v>
      </c>
      <c r="U298" s="68" t="str">
        <f>Таблица310[[#This Row],[Регистратор.Номенклатура]]</f>
        <v>Вольф</v>
      </c>
      <c r="V298" s="45">
        <f>37.9*Таблица310[[#This Row],[Регистратор.Вес нетто]]/315870</f>
        <v>1.5982144553138951</v>
      </c>
      <c r="W298" s="72" t="s">
        <v>50</v>
      </c>
      <c r="X298" s="72" t="s">
        <v>178</v>
      </c>
      <c r="Y298" s="40">
        <v>5</v>
      </c>
      <c r="Z298" s="71">
        <v>45822</v>
      </c>
      <c r="AA298" s="40"/>
      <c r="AB298" s="40"/>
      <c r="AC298" s="40" t="s">
        <v>420</v>
      </c>
      <c r="AD298" s="40" t="s">
        <v>550</v>
      </c>
      <c r="AE298" s="40">
        <v>394</v>
      </c>
      <c r="AF298" s="103">
        <v>45822</v>
      </c>
      <c r="AG298" s="40" t="s">
        <v>902</v>
      </c>
      <c r="AH298" s="40">
        <f>VLOOKUP(Таблица310[[#This Row],[№ акта]],'Степень зрелости 2025'!$H$13:$I$583,2,FALSE)</f>
        <v>63</v>
      </c>
      <c r="AI298" s="40">
        <f>VLOOKUP(Таблица310[[#This Row],[№ акта]],$AQ$1:$AT$594,2,FALSE)</f>
        <v>41</v>
      </c>
      <c r="AJ298" s="40" t="str">
        <f>Таблица310[[#This Row],[Регистратор.Номенклатура]]</f>
        <v>Вольф</v>
      </c>
      <c r="AK298" s="40" t="str">
        <f>VLOOKUP(Таблица310[[#This Row],[№ акта]],$AQ$1:$AT$594,4,FALSE)</f>
        <v>Братковский (полив)</v>
      </c>
      <c r="AL298" s="45">
        <f>VLOOKUP(Таблица310[[#This Row],[№ акта]],$AQ$1:$AT$594,3,FALSE)</f>
        <v>1.5982144553138951</v>
      </c>
      <c r="AM298" s="40" t="str">
        <f>IF(Таблица310[[#This Row],[Площадь уборки, га]]=Таблица310[[#This Row],[Площадь уборки до корр]],"нет","да")</f>
        <v>нет</v>
      </c>
      <c r="AN298" s="45">
        <f>Таблица310[[#This Row],[Площадь уборки до корр]]-Таблица310[[#This Row],[Площадь уборки, га]]</f>
        <v>0</v>
      </c>
      <c r="AQ298">
        <v>394</v>
      </c>
      <c r="AR298">
        <v>41</v>
      </c>
      <c r="AS298">
        <v>1.5982144553138951</v>
      </c>
      <c r="AT298" t="s">
        <v>50</v>
      </c>
      <c r="XEM298" s="72"/>
      <c r="XEN298" s="73"/>
      <c r="XEO298" s="74"/>
      <c r="XEP298" s="75"/>
      <c r="XEQ298" s="76"/>
      <c r="XER298" s="73"/>
    </row>
    <row r="299" spans="1:46 16367:16372" ht="25.5" hidden="1" customHeight="1" x14ac:dyDescent="0.25">
      <c r="A299" s="72"/>
      <c r="B299" s="73"/>
      <c r="C299" s="120">
        <f>Таблица310[[#This Row],[Степень зрелости вспом]]</f>
        <v>65</v>
      </c>
      <c r="D299" s="75">
        <v>395</v>
      </c>
      <c r="E299" s="146">
        <v>45822</v>
      </c>
      <c r="F299" s="73">
        <v>27780</v>
      </c>
      <c r="G299" s="73">
        <v>13210</v>
      </c>
      <c r="H299" s="77">
        <v>14570</v>
      </c>
      <c r="I299" s="73">
        <v>12021.1</v>
      </c>
      <c r="J299" s="72" t="s">
        <v>903</v>
      </c>
      <c r="K299" s="72" t="s">
        <v>916</v>
      </c>
      <c r="L299" s="72">
        <v>43</v>
      </c>
      <c r="M299" s="35" t="s">
        <v>272</v>
      </c>
      <c r="N299" s="40"/>
      <c r="O299" s="72"/>
      <c r="P299" s="72"/>
      <c r="Q299" s="72"/>
      <c r="R299" s="72" t="s">
        <v>276</v>
      </c>
      <c r="S299" s="40"/>
      <c r="T299" s="106">
        <v>41</v>
      </c>
      <c r="U299" s="68" t="str">
        <f>Таблица310[[#This Row],[Регистратор.Номенклатура]]</f>
        <v>Вольф</v>
      </c>
      <c r="V299" s="45">
        <f>37.9*Таблица310[[#This Row],[Регистратор.Вес нетто]]/315870</f>
        <v>1.5850159875898313</v>
      </c>
      <c r="W299" s="72" t="s">
        <v>50</v>
      </c>
      <c r="X299" s="72" t="s">
        <v>178</v>
      </c>
      <c r="Y299" s="40">
        <v>5</v>
      </c>
      <c r="Z299" s="71">
        <v>45822</v>
      </c>
      <c r="AA299" s="40"/>
      <c r="AB299" s="40"/>
      <c r="AC299" s="40" t="s">
        <v>725</v>
      </c>
      <c r="AD299" s="40" t="s">
        <v>550</v>
      </c>
      <c r="AE299" s="40">
        <v>395</v>
      </c>
      <c r="AF299" s="103">
        <v>45822</v>
      </c>
      <c r="AG299" s="40" t="s">
        <v>902</v>
      </c>
      <c r="AH299" s="40">
        <f>VLOOKUP(Таблица310[[#This Row],[№ акта]],'Степень зрелости 2025'!$H$13:$I$583,2,FALSE)</f>
        <v>65</v>
      </c>
      <c r="AI299" s="40">
        <f>VLOOKUP(Таблица310[[#This Row],[№ акта]],$AQ$1:$AT$594,2,FALSE)</f>
        <v>41</v>
      </c>
      <c r="AJ299" s="40" t="str">
        <f>Таблица310[[#This Row],[Регистратор.Номенклатура]]</f>
        <v>Вольф</v>
      </c>
      <c r="AK299" s="40" t="str">
        <f>VLOOKUP(Таблица310[[#This Row],[№ акта]],$AQ$1:$AT$594,4,FALSE)</f>
        <v>Братковский (полив)</v>
      </c>
      <c r="AL299" s="45">
        <f>VLOOKUP(Таблица310[[#This Row],[№ акта]],$AQ$1:$AT$594,3,FALSE)</f>
        <v>1.5850159875898313</v>
      </c>
      <c r="AM299" s="40" t="str">
        <f>IF(Таблица310[[#This Row],[Площадь уборки, га]]=Таблица310[[#This Row],[Площадь уборки до корр]],"нет","да")</f>
        <v>нет</v>
      </c>
      <c r="AN299" s="45">
        <f>Таблица310[[#This Row],[Площадь уборки до корр]]-Таблица310[[#This Row],[Площадь уборки, га]]</f>
        <v>0</v>
      </c>
      <c r="AQ299">
        <v>395</v>
      </c>
      <c r="AR299">
        <v>41</v>
      </c>
      <c r="AS299">
        <v>1.5850159875898313</v>
      </c>
      <c r="AT299" t="s">
        <v>50</v>
      </c>
      <c r="XEM299" s="72"/>
      <c r="XEN299" s="73"/>
      <c r="XEO299" s="74"/>
      <c r="XEP299" s="75"/>
      <c r="XEQ299" s="76"/>
      <c r="XER299" s="73"/>
    </row>
    <row r="300" spans="1:46 16367:16372" ht="25.5" hidden="1" customHeight="1" x14ac:dyDescent="0.25">
      <c r="A300" s="72"/>
      <c r="B300" s="73"/>
      <c r="C300" s="120">
        <f>Таблица310[[#This Row],[Степень зрелости вспом]]</f>
        <v>59</v>
      </c>
      <c r="D300" s="75">
        <v>396</v>
      </c>
      <c r="E300" s="146">
        <v>45822</v>
      </c>
      <c r="F300" s="73">
        <v>27970</v>
      </c>
      <c r="G300" s="73">
        <v>13210</v>
      </c>
      <c r="H300" s="77">
        <v>14760</v>
      </c>
      <c r="I300" s="73">
        <v>11690.8</v>
      </c>
      <c r="J300" s="72" t="s">
        <v>903</v>
      </c>
      <c r="K300" s="72" t="s">
        <v>916</v>
      </c>
      <c r="L300" s="72">
        <v>43</v>
      </c>
      <c r="M300" s="35" t="s">
        <v>1253</v>
      </c>
      <c r="N300" s="40"/>
      <c r="O300" s="72"/>
      <c r="P300" s="72"/>
      <c r="Q300" s="72"/>
      <c r="R300" s="72" t="s">
        <v>270</v>
      </c>
      <c r="S300" s="40"/>
      <c r="T300" s="106">
        <v>41</v>
      </c>
      <c r="U300" s="68" t="str">
        <f>Таблица310[[#This Row],[Регистратор.Номенклатура]]</f>
        <v>Вольф</v>
      </c>
      <c r="V300" s="45">
        <f>37.9*Таблица310[[#This Row],[Регистратор.Вес нетто]]/315870</f>
        <v>1.5850159875898313</v>
      </c>
      <c r="W300" s="72" t="s">
        <v>50</v>
      </c>
      <c r="X300" s="72" t="s">
        <v>178</v>
      </c>
      <c r="Y300" s="40">
        <v>5</v>
      </c>
      <c r="Z300" s="71">
        <v>45822</v>
      </c>
      <c r="AA300" s="40"/>
      <c r="AB300" s="40"/>
      <c r="AC300" s="40" t="s">
        <v>724</v>
      </c>
      <c r="AD300" s="40" t="s">
        <v>511</v>
      </c>
      <c r="AE300" s="40">
        <v>396</v>
      </c>
      <c r="AF300" s="103">
        <v>45822</v>
      </c>
      <c r="AG300" s="40" t="s">
        <v>902</v>
      </c>
      <c r="AH300" s="40">
        <f>VLOOKUP(Таблица310[[#This Row],[№ акта]],'Степень зрелости 2025'!$H$13:$I$583,2,FALSE)</f>
        <v>59</v>
      </c>
      <c r="AI300" s="40">
        <f>VLOOKUP(Таблица310[[#This Row],[№ акта]],$AQ$1:$AT$594,2,FALSE)</f>
        <v>41</v>
      </c>
      <c r="AJ300" s="40" t="str">
        <f>Таблица310[[#This Row],[Регистратор.Номенклатура]]</f>
        <v>Вольф</v>
      </c>
      <c r="AK300" s="40" t="str">
        <f>VLOOKUP(Таблица310[[#This Row],[№ акта]],$AQ$1:$AT$594,4,FALSE)</f>
        <v>Братковский (полив)</v>
      </c>
      <c r="AL300" s="45">
        <f>VLOOKUP(Таблица310[[#This Row],[№ акта]],$AQ$1:$AT$594,3,FALSE)</f>
        <v>1.5850159875898313</v>
      </c>
      <c r="AM300" s="40" t="str">
        <f>IF(Таблица310[[#This Row],[Площадь уборки, га]]=Таблица310[[#This Row],[Площадь уборки до корр]],"нет","да")</f>
        <v>нет</v>
      </c>
      <c r="AN300" s="45">
        <f>Таблица310[[#This Row],[Площадь уборки до корр]]-Таблица310[[#This Row],[Площадь уборки, га]]</f>
        <v>0</v>
      </c>
      <c r="AQ300">
        <v>396</v>
      </c>
      <c r="AR300">
        <v>41</v>
      </c>
      <c r="AS300">
        <v>1.5850159875898313</v>
      </c>
      <c r="AT300" t="s">
        <v>50</v>
      </c>
      <c r="XEM300" s="72"/>
      <c r="XEN300" s="73"/>
      <c r="XEO300" s="74"/>
      <c r="XEP300" s="75"/>
      <c r="XEQ300" s="76"/>
      <c r="XER300" s="73"/>
    </row>
    <row r="301" spans="1:46 16367:16372" ht="25.5" hidden="1" customHeight="1" x14ac:dyDescent="0.25">
      <c r="A301" s="72"/>
      <c r="B301" s="73"/>
      <c r="C301" s="120">
        <f>Таблица310[[#This Row],[Степень зрелости вспом]]</f>
        <v>65</v>
      </c>
      <c r="D301" s="75">
        <v>397</v>
      </c>
      <c r="E301" s="146">
        <v>45822</v>
      </c>
      <c r="F301" s="73">
        <v>27860</v>
      </c>
      <c r="G301" s="73">
        <v>13270</v>
      </c>
      <c r="H301" s="77">
        <v>14590</v>
      </c>
      <c r="I301" s="73">
        <v>11345.8</v>
      </c>
      <c r="J301" s="72" t="s">
        <v>903</v>
      </c>
      <c r="K301" s="72" t="s">
        <v>916</v>
      </c>
      <c r="L301" s="72">
        <v>43</v>
      </c>
      <c r="M301" s="35" t="s">
        <v>239</v>
      </c>
      <c r="N301" s="40"/>
      <c r="O301" s="72"/>
      <c r="P301" s="72"/>
      <c r="Q301" s="72"/>
      <c r="R301" s="72" t="s">
        <v>243</v>
      </c>
      <c r="S301" s="40"/>
      <c r="T301" s="106">
        <v>41</v>
      </c>
      <c r="U301" s="68" t="str">
        <f>Таблица310[[#This Row],[Регистратор.Номенклатура]]</f>
        <v>Вольф</v>
      </c>
      <c r="V301" s="45">
        <f>37.9*Таблица310[[#This Row],[Регистратор.Вес нетто]]/315870</f>
        <v>1.5922151518029568</v>
      </c>
      <c r="W301" s="72" t="s">
        <v>50</v>
      </c>
      <c r="X301" s="72" t="s">
        <v>178</v>
      </c>
      <c r="Y301" s="40">
        <v>5</v>
      </c>
      <c r="Z301" s="71">
        <v>45822</v>
      </c>
      <c r="AA301" s="40"/>
      <c r="AB301" s="40"/>
      <c r="AC301" s="40" t="s">
        <v>725</v>
      </c>
      <c r="AD301" s="40" t="s">
        <v>550</v>
      </c>
      <c r="AE301" s="40">
        <v>397</v>
      </c>
      <c r="AF301" s="103">
        <v>45822</v>
      </c>
      <c r="AG301" s="40" t="s">
        <v>902</v>
      </c>
      <c r="AH301" s="40">
        <f>VLOOKUP(Таблица310[[#This Row],[№ акта]],'Степень зрелости 2025'!$H$13:$I$583,2,FALSE)</f>
        <v>65</v>
      </c>
      <c r="AI301" s="40">
        <f>VLOOKUP(Таблица310[[#This Row],[№ акта]],$AQ$1:$AT$594,2,FALSE)</f>
        <v>41</v>
      </c>
      <c r="AJ301" s="40" t="str">
        <f>Таблица310[[#This Row],[Регистратор.Номенклатура]]</f>
        <v>Вольф</v>
      </c>
      <c r="AK301" s="40" t="str">
        <f>VLOOKUP(Таблица310[[#This Row],[№ акта]],$AQ$1:$AT$594,4,FALSE)</f>
        <v>Братковский (полив)</v>
      </c>
      <c r="AL301" s="45">
        <f>VLOOKUP(Таблица310[[#This Row],[№ акта]],$AQ$1:$AT$594,3,FALSE)</f>
        <v>1.5922151518029568</v>
      </c>
      <c r="AM301" s="40" t="str">
        <f>IF(Таблица310[[#This Row],[Площадь уборки, га]]=Таблица310[[#This Row],[Площадь уборки до корр]],"нет","да")</f>
        <v>нет</v>
      </c>
      <c r="AN301" s="45">
        <f>Таблица310[[#This Row],[Площадь уборки до корр]]-Таблица310[[#This Row],[Площадь уборки, га]]</f>
        <v>0</v>
      </c>
      <c r="AQ301">
        <v>397</v>
      </c>
      <c r="AR301">
        <v>41</v>
      </c>
      <c r="AS301">
        <v>1.5922151518029568</v>
      </c>
      <c r="AT301" t="s">
        <v>50</v>
      </c>
      <c r="XEM301" s="72"/>
      <c r="XEN301" s="73"/>
      <c r="XEO301" s="74"/>
      <c r="XEP301" s="75"/>
      <c r="XEQ301" s="76"/>
      <c r="XER301" s="73"/>
    </row>
    <row r="302" spans="1:46 16367:16372" ht="25.5" hidden="1" customHeight="1" x14ac:dyDescent="0.25">
      <c r="A302" s="72"/>
      <c r="B302" s="73"/>
      <c r="C302" s="120">
        <f>Таблица310[[#This Row],[Степень зрелости вспом]]</f>
        <v>62</v>
      </c>
      <c r="D302" s="75">
        <v>398</v>
      </c>
      <c r="E302" s="146">
        <v>45822</v>
      </c>
      <c r="F302" s="73">
        <v>28040</v>
      </c>
      <c r="G302" s="73">
        <v>13350</v>
      </c>
      <c r="H302" s="77">
        <v>14690</v>
      </c>
      <c r="I302" s="73">
        <v>10746.7</v>
      </c>
      <c r="J302" s="72" t="s">
        <v>903</v>
      </c>
      <c r="K302" s="72" t="s">
        <v>916</v>
      </c>
      <c r="L302" s="72">
        <v>43</v>
      </c>
      <c r="M302" s="35" t="s">
        <v>335</v>
      </c>
      <c r="N302" s="40"/>
      <c r="O302" s="72"/>
      <c r="P302" s="72"/>
      <c r="Q302" s="72"/>
      <c r="R302" s="72" t="s">
        <v>339</v>
      </c>
      <c r="S302" s="40"/>
      <c r="T302" s="106">
        <v>41</v>
      </c>
      <c r="U302" s="68" t="str">
        <f>Таблица310[[#This Row],[Регистратор.Номенклатура]]</f>
        <v>Вольф</v>
      </c>
      <c r="V302" s="45">
        <f>37.9*Таблица310[[#This Row],[Регистратор.Вес нетто]]/315870</f>
        <v>1.6018140374204577</v>
      </c>
      <c r="W302" s="72" t="s">
        <v>50</v>
      </c>
      <c r="X302" s="72" t="s">
        <v>178</v>
      </c>
      <c r="Y302" s="40">
        <v>5</v>
      </c>
      <c r="Z302" s="71">
        <v>45822</v>
      </c>
      <c r="AA302" s="40"/>
      <c r="AB302" s="40"/>
      <c r="AC302" s="40" t="s">
        <v>724</v>
      </c>
      <c r="AD302" s="40" t="s">
        <v>511</v>
      </c>
      <c r="AE302" s="40">
        <v>398</v>
      </c>
      <c r="AF302" s="103">
        <v>45822</v>
      </c>
      <c r="AG302" s="40" t="s">
        <v>902</v>
      </c>
      <c r="AH302" s="40">
        <f>VLOOKUP(Таблица310[[#This Row],[№ акта]],'Степень зрелости 2025'!$H$13:$I$583,2,FALSE)</f>
        <v>62</v>
      </c>
      <c r="AI302" s="40">
        <f>VLOOKUP(Таблица310[[#This Row],[№ акта]],$AQ$1:$AT$594,2,FALSE)</f>
        <v>41</v>
      </c>
      <c r="AJ302" s="40" t="str">
        <f>Таблица310[[#This Row],[Регистратор.Номенклатура]]</f>
        <v>Вольф</v>
      </c>
      <c r="AK302" s="40" t="str">
        <f>VLOOKUP(Таблица310[[#This Row],[№ акта]],$AQ$1:$AT$594,4,FALSE)</f>
        <v>Братковский (полив)</v>
      </c>
      <c r="AL302" s="45">
        <f>VLOOKUP(Таблица310[[#This Row],[№ акта]],$AQ$1:$AT$594,3,FALSE)</f>
        <v>1.6018140374204577</v>
      </c>
      <c r="AM302" s="40" t="str">
        <f>IF(Таблица310[[#This Row],[Площадь уборки, га]]=Таблица310[[#This Row],[Площадь уборки до корр]],"нет","да")</f>
        <v>нет</v>
      </c>
      <c r="AN302" s="45">
        <f>Таблица310[[#This Row],[Площадь уборки до корр]]-Таблица310[[#This Row],[Площадь уборки, га]]</f>
        <v>0</v>
      </c>
      <c r="AQ302">
        <v>398</v>
      </c>
      <c r="AR302">
        <v>41</v>
      </c>
      <c r="AS302">
        <v>1.6018140374204577</v>
      </c>
      <c r="AT302" t="s">
        <v>50</v>
      </c>
      <c r="XEM302" s="72"/>
      <c r="XEN302" s="73"/>
      <c r="XEO302" s="74"/>
      <c r="XEP302" s="75"/>
      <c r="XEQ302" s="76"/>
      <c r="XER302" s="73"/>
    </row>
    <row r="303" spans="1:46 16367:16372" ht="25.5" hidden="1" customHeight="1" x14ac:dyDescent="0.25">
      <c r="A303" s="72"/>
      <c r="B303" s="73"/>
      <c r="C303" s="120">
        <f>Таблица310[[#This Row],[Степень зрелости вспом]]</f>
        <v>63</v>
      </c>
      <c r="D303" s="75">
        <v>399</v>
      </c>
      <c r="E303" s="146">
        <v>45822</v>
      </c>
      <c r="F303" s="73">
        <v>28180</v>
      </c>
      <c r="G303" s="73">
        <v>13320</v>
      </c>
      <c r="H303" s="77">
        <v>14860</v>
      </c>
      <c r="I303" s="73">
        <v>11854.8</v>
      </c>
      <c r="J303" s="72" t="s">
        <v>903</v>
      </c>
      <c r="K303" s="72" t="s">
        <v>916</v>
      </c>
      <c r="L303" s="72">
        <v>43</v>
      </c>
      <c r="M303" s="35" t="s">
        <v>1461</v>
      </c>
      <c r="N303" s="40"/>
      <c r="O303" s="72"/>
      <c r="P303" s="72"/>
      <c r="Q303" s="72"/>
      <c r="R303" s="72" t="s">
        <v>149</v>
      </c>
      <c r="S303" s="40"/>
      <c r="T303" s="106">
        <v>41</v>
      </c>
      <c r="U303" s="68" t="str">
        <f>Таблица310[[#This Row],[Регистратор.Номенклатура]]</f>
        <v>Вольф</v>
      </c>
      <c r="V303" s="45">
        <f>37.9*Таблица310[[#This Row],[Регистратор.Вес нетто]]/315870</f>
        <v>1.5982144553138951</v>
      </c>
      <c r="W303" s="72" t="s">
        <v>50</v>
      </c>
      <c r="X303" s="72" t="s">
        <v>178</v>
      </c>
      <c r="Y303" s="40">
        <v>5</v>
      </c>
      <c r="Z303" s="71">
        <v>45822</v>
      </c>
      <c r="AA303" s="40"/>
      <c r="AB303" s="40"/>
      <c r="AC303" s="40" t="s">
        <v>420</v>
      </c>
      <c r="AD303" s="40" t="s">
        <v>550</v>
      </c>
      <c r="AE303" s="40">
        <v>399</v>
      </c>
      <c r="AF303" s="103">
        <v>45822</v>
      </c>
      <c r="AG303" s="40" t="s">
        <v>902</v>
      </c>
      <c r="AH303" s="40">
        <f>VLOOKUP(Таблица310[[#This Row],[№ акта]],'Степень зрелости 2025'!$H$13:$I$583,2,FALSE)</f>
        <v>63</v>
      </c>
      <c r="AI303" s="40">
        <f>VLOOKUP(Таблица310[[#This Row],[№ акта]],$AQ$1:$AT$594,2,FALSE)</f>
        <v>41</v>
      </c>
      <c r="AJ303" s="40" t="str">
        <f>Таблица310[[#This Row],[Регистратор.Номенклатура]]</f>
        <v>Вольф</v>
      </c>
      <c r="AK303" s="40" t="str">
        <f>VLOOKUP(Таблица310[[#This Row],[№ акта]],$AQ$1:$AT$594,4,FALSE)</f>
        <v>Братковский (полив)</v>
      </c>
      <c r="AL303" s="45">
        <f>VLOOKUP(Таблица310[[#This Row],[№ акта]],$AQ$1:$AT$594,3,FALSE)</f>
        <v>1.5982144553138951</v>
      </c>
      <c r="AM303" s="40" t="str">
        <f>IF(Таблица310[[#This Row],[Площадь уборки, га]]=Таблица310[[#This Row],[Площадь уборки до корр]],"нет","да")</f>
        <v>нет</v>
      </c>
      <c r="AN303" s="45">
        <f>Таблица310[[#This Row],[Площадь уборки до корр]]-Таблица310[[#This Row],[Площадь уборки, га]]</f>
        <v>0</v>
      </c>
      <c r="AQ303">
        <v>399</v>
      </c>
      <c r="AR303">
        <v>41</v>
      </c>
      <c r="AS303">
        <v>1.5982144553138951</v>
      </c>
      <c r="AT303" t="s">
        <v>50</v>
      </c>
      <c r="XEM303" s="72"/>
      <c r="XEN303" s="73"/>
      <c r="XEO303" s="74"/>
      <c r="XEP303" s="75"/>
      <c r="XEQ303" s="76"/>
      <c r="XER303" s="73"/>
    </row>
    <row r="304" spans="1:46 16367:16372" ht="25.5" hidden="1" customHeight="1" x14ac:dyDescent="0.25">
      <c r="A304" s="72"/>
      <c r="B304" s="73"/>
      <c r="C304" s="120">
        <f>Таблица310[[#This Row],[Степень зрелости вспом]]</f>
        <v>62</v>
      </c>
      <c r="D304" s="75">
        <v>400</v>
      </c>
      <c r="E304" s="146">
        <v>45822</v>
      </c>
      <c r="F304" s="73">
        <v>29070</v>
      </c>
      <c r="G304" s="73">
        <v>13550</v>
      </c>
      <c r="H304" s="77">
        <v>15520</v>
      </c>
      <c r="I304" s="73">
        <v>12195</v>
      </c>
      <c r="J304" s="72" t="s">
        <v>903</v>
      </c>
      <c r="K304" s="72" t="s">
        <v>916</v>
      </c>
      <c r="L304" s="72">
        <v>44</v>
      </c>
      <c r="M304" s="35" t="s">
        <v>1151</v>
      </c>
      <c r="N304" s="40"/>
      <c r="O304" s="72"/>
      <c r="P304" s="72"/>
      <c r="Q304" s="72"/>
      <c r="R304" s="72" t="s">
        <v>145</v>
      </c>
      <c r="S304" s="40"/>
      <c r="T304" s="106">
        <v>50</v>
      </c>
      <c r="U304" s="68" t="str">
        <f>Таблица310[[#This Row],[Регистратор.Номенклатура]]</f>
        <v>Вольф</v>
      </c>
      <c r="V304" s="45">
        <f>41.5*Таблица310[[#This Row],[Регистратор.Вес нетто]]/260190</f>
        <v>2.1612091164149274</v>
      </c>
      <c r="W304" s="72" t="s">
        <v>50</v>
      </c>
      <c r="X304" s="72" t="s">
        <v>178</v>
      </c>
      <c r="Y304" s="40">
        <v>5</v>
      </c>
      <c r="Z304" s="71">
        <v>45822</v>
      </c>
      <c r="AA304" s="40"/>
      <c r="AB304" s="40"/>
      <c r="AC304" s="40" t="s">
        <v>58</v>
      </c>
      <c r="AD304" s="40" t="s">
        <v>511</v>
      </c>
      <c r="AE304" s="40">
        <v>400</v>
      </c>
      <c r="AF304" s="103">
        <v>45822</v>
      </c>
      <c r="AG304" s="40" t="s">
        <v>902</v>
      </c>
      <c r="AH304" s="40">
        <f>VLOOKUP(Таблица310[[#This Row],[№ акта]],'Степень зрелости 2025'!$H$13:$I$583,2,FALSE)</f>
        <v>62</v>
      </c>
      <c r="AI304" s="40">
        <f>VLOOKUP(Таблица310[[#This Row],[№ акта]],$AQ$1:$AT$594,2,FALSE)</f>
        <v>50</v>
      </c>
      <c r="AJ304" s="40" t="str">
        <f>Таблица310[[#This Row],[Регистратор.Номенклатура]]</f>
        <v>Вольф</v>
      </c>
      <c r="AK304" s="40" t="str">
        <f>VLOOKUP(Таблица310[[#This Row],[№ акта]],$AQ$1:$AT$594,4,FALSE)</f>
        <v>Братковский (полив)</v>
      </c>
      <c r="AL304" s="45">
        <f>VLOOKUP(Таблица310[[#This Row],[№ акта]],$AQ$1:$AT$594,3,FALSE)</f>
        <v>2.1612091164149274</v>
      </c>
      <c r="AM304" s="40" t="str">
        <f>IF(Таблица310[[#This Row],[Площадь уборки, га]]=Таблица310[[#This Row],[Площадь уборки до корр]],"нет","да")</f>
        <v>нет</v>
      </c>
      <c r="AN304" s="45">
        <f>Таблица310[[#This Row],[Площадь уборки до корр]]-Таблица310[[#This Row],[Площадь уборки, га]]</f>
        <v>0</v>
      </c>
      <c r="AQ304">
        <v>400</v>
      </c>
      <c r="AR304">
        <v>50</v>
      </c>
      <c r="AS304">
        <v>2.1612091164149274</v>
      </c>
      <c r="AT304" t="s">
        <v>50</v>
      </c>
      <c r="XEM304" s="72"/>
      <c r="XEN304" s="73"/>
      <c r="XEO304" s="74"/>
      <c r="XEP304" s="75"/>
      <c r="XEQ304" s="76"/>
      <c r="XER304" s="73"/>
    </row>
    <row r="305" spans="1:46 16367:16372" ht="25.5" hidden="1" customHeight="1" x14ac:dyDescent="0.25">
      <c r="A305" s="72"/>
      <c r="B305" s="73"/>
      <c r="C305" s="120">
        <f>Таблица310[[#This Row],[Степень зрелости вспом]]</f>
        <v>65</v>
      </c>
      <c r="D305" s="75">
        <v>401</v>
      </c>
      <c r="E305" s="146">
        <v>45822</v>
      </c>
      <c r="F305" s="73">
        <v>27420</v>
      </c>
      <c r="G305" s="73">
        <v>13000</v>
      </c>
      <c r="H305" s="77">
        <v>14420</v>
      </c>
      <c r="I305" s="73">
        <v>11180</v>
      </c>
      <c r="J305" s="72" t="s">
        <v>903</v>
      </c>
      <c r="K305" s="72" t="s">
        <v>916</v>
      </c>
      <c r="L305" s="72">
        <v>43</v>
      </c>
      <c r="M305" s="35" t="s">
        <v>305</v>
      </c>
      <c r="N305" s="40"/>
      <c r="O305" s="72"/>
      <c r="P305" s="72"/>
      <c r="Q305" s="72"/>
      <c r="R305" s="72" t="s">
        <v>309</v>
      </c>
      <c r="S305" s="40"/>
      <c r="T305" s="106">
        <v>41</v>
      </c>
      <c r="U305" s="68" t="str">
        <f>Таблица310[[#This Row],[Регистратор.Номенклатура]]</f>
        <v>Вольф</v>
      </c>
      <c r="V305" s="45">
        <f>37.9*Таблица310[[#This Row],[Регистратор.Вес нетто]]/315870</f>
        <v>1.5598189128438915</v>
      </c>
      <c r="W305" s="72" t="s">
        <v>50</v>
      </c>
      <c r="X305" s="72" t="s">
        <v>178</v>
      </c>
      <c r="Y305" s="40">
        <v>5</v>
      </c>
      <c r="Z305" s="71">
        <v>45822</v>
      </c>
      <c r="AA305" s="40"/>
      <c r="AB305" s="40"/>
      <c r="AC305" s="40" t="s">
        <v>725</v>
      </c>
      <c r="AD305" s="40" t="s">
        <v>550</v>
      </c>
      <c r="AE305" s="40">
        <v>401</v>
      </c>
      <c r="AF305" s="103">
        <v>45822</v>
      </c>
      <c r="AG305" s="40" t="s">
        <v>902</v>
      </c>
      <c r="AH305" s="40">
        <f>VLOOKUP(Таблица310[[#This Row],[№ акта]],'Степень зрелости 2025'!$H$13:$I$583,2,FALSE)</f>
        <v>65</v>
      </c>
      <c r="AI305" s="40">
        <f>VLOOKUP(Таблица310[[#This Row],[№ акта]],$AQ$1:$AT$594,2,FALSE)</f>
        <v>41</v>
      </c>
      <c r="AJ305" s="40" t="str">
        <f>Таблица310[[#This Row],[Регистратор.Номенклатура]]</f>
        <v>Вольф</v>
      </c>
      <c r="AK305" s="40" t="str">
        <f>VLOOKUP(Таблица310[[#This Row],[№ акта]],$AQ$1:$AT$594,4,FALSE)</f>
        <v>Братковский (полив)</v>
      </c>
      <c r="AL305" s="45">
        <f>VLOOKUP(Таблица310[[#This Row],[№ акта]],$AQ$1:$AT$594,3,FALSE)</f>
        <v>1.5598189128438915</v>
      </c>
      <c r="AM305" s="40" t="str">
        <f>IF(Таблица310[[#This Row],[Площадь уборки, га]]=Таблица310[[#This Row],[Площадь уборки до корр]],"нет","да")</f>
        <v>нет</v>
      </c>
      <c r="AN305" s="45">
        <f>Таблица310[[#This Row],[Площадь уборки до корр]]-Таблица310[[#This Row],[Площадь уборки, га]]</f>
        <v>0</v>
      </c>
      <c r="AQ305">
        <v>401</v>
      </c>
      <c r="AR305">
        <v>41</v>
      </c>
      <c r="AS305">
        <v>1.5598189128438915</v>
      </c>
      <c r="AT305" t="s">
        <v>50</v>
      </c>
      <c r="XEM305" s="72"/>
      <c r="XEN305" s="73"/>
      <c r="XEO305" s="74"/>
      <c r="XEP305" s="75"/>
      <c r="XEQ305" s="76"/>
      <c r="XER305" s="73"/>
    </row>
    <row r="306" spans="1:46 16367:16372" ht="25.5" hidden="1" customHeight="1" x14ac:dyDescent="0.25">
      <c r="A306" s="72"/>
      <c r="B306" s="73"/>
      <c r="C306" s="120">
        <f>Таблица310[[#This Row],[Степень зрелости вспом]]</f>
        <v>64</v>
      </c>
      <c r="D306" s="75">
        <v>402</v>
      </c>
      <c r="E306" s="146">
        <v>45822</v>
      </c>
      <c r="F306" s="73">
        <v>28390</v>
      </c>
      <c r="G306" s="73">
        <v>13500</v>
      </c>
      <c r="H306" s="77">
        <v>14890</v>
      </c>
      <c r="I306" s="73">
        <v>12150</v>
      </c>
      <c r="J306" s="72" t="s">
        <v>903</v>
      </c>
      <c r="K306" s="72" t="s">
        <v>916</v>
      </c>
      <c r="L306" s="72">
        <v>44</v>
      </c>
      <c r="M306" s="35" t="s">
        <v>329</v>
      </c>
      <c r="N306" s="40"/>
      <c r="O306" s="72"/>
      <c r="P306" s="72"/>
      <c r="Q306" s="72"/>
      <c r="R306" s="72" t="s">
        <v>333</v>
      </c>
      <c r="S306" s="40"/>
      <c r="T306" s="106">
        <v>50</v>
      </c>
      <c r="U306" s="68" t="str">
        <f>Таблица310[[#This Row],[Регистратор.Номенклатура]]</f>
        <v>Вольф</v>
      </c>
      <c r="V306" s="45">
        <f>41.5*Таблица310[[#This Row],[Регистратор.Вес нетто]]/260190</f>
        <v>2.1532341750259425</v>
      </c>
      <c r="W306" s="72" t="s">
        <v>50</v>
      </c>
      <c r="X306" s="72" t="s">
        <v>178</v>
      </c>
      <c r="Y306" s="40">
        <v>5</v>
      </c>
      <c r="Z306" s="71">
        <v>45822</v>
      </c>
      <c r="AA306" s="40"/>
      <c r="AB306" s="40"/>
      <c r="AC306" s="40" t="s">
        <v>420</v>
      </c>
      <c r="AD306" s="40" t="s">
        <v>550</v>
      </c>
      <c r="AE306" s="40">
        <v>402</v>
      </c>
      <c r="AF306" s="103">
        <v>45822</v>
      </c>
      <c r="AG306" s="40" t="s">
        <v>902</v>
      </c>
      <c r="AH306" s="40">
        <f>VLOOKUP(Таблица310[[#This Row],[№ акта]],'Степень зрелости 2025'!$H$13:$I$583,2,FALSE)</f>
        <v>64</v>
      </c>
      <c r="AI306" s="40">
        <f>VLOOKUP(Таблица310[[#This Row],[№ акта]],$AQ$1:$AT$594,2,FALSE)</f>
        <v>50</v>
      </c>
      <c r="AJ306" s="40" t="str">
        <f>Таблица310[[#This Row],[Регистратор.Номенклатура]]</f>
        <v>Вольф</v>
      </c>
      <c r="AK306" s="40" t="str">
        <f>VLOOKUP(Таблица310[[#This Row],[№ акта]],$AQ$1:$AT$594,4,FALSE)</f>
        <v>Братковский (полив)</v>
      </c>
      <c r="AL306" s="45">
        <f>VLOOKUP(Таблица310[[#This Row],[№ акта]],$AQ$1:$AT$594,3,FALSE)</f>
        <v>2.1532341750259425</v>
      </c>
      <c r="AM306" s="40" t="str">
        <f>IF(Таблица310[[#This Row],[Площадь уборки, га]]=Таблица310[[#This Row],[Площадь уборки до корр]],"нет","да")</f>
        <v>нет</v>
      </c>
      <c r="AN306" s="45">
        <f>Таблица310[[#This Row],[Площадь уборки до корр]]-Таблица310[[#This Row],[Площадь уборки, га]]</f>
        <v>0</v>
      </c>
      <c r="AQ306">
        <v>402</v>
      </c>
      <c r="AR306">
        <v>50</v>
      </c>
      <c r="AS306">
        <v>2.1532341750259425</v>
      </c>
      <c r="AT306" t="s">
        <v>50</v>
      </c>
      <c r="XEM306" s="72"/>
      <c r="XEN306" s="73"/>
      <c r="XEO306" s="74"/>
      <c r="XEP306" s="75"/>
      <c r="XEQ306" s="76"/>
      <c r="XER306" s="73"/>
    </row>
    <row r="307" spans="1:46 16367:16372" ht="25.5" hidden="1" customHeight="1" x14ac:dyDescent="0.25">
      <c r="A307" s="72"/>
      <c r="B307" s="73"/>
      <c r="C307" s="120">
        <f>Таблица310[[#This Row],[Степень зрелости вспом]]</f>
        <v>67</v>
      </c>
      <c r="D307" s="75">
        <v>403</v>
      </c>
      <c r="E307" s="146">
        <v>45822</v>
      </c>
      <c r="F307" s="73">
        <v>27550</v>
      </c>
      <c r="G307" s="73">
        <v>12850</v>
      </c>
      <c r="H307" s="77">
        <v>14700</v>
      </c>
      <c r="I307" s="73">
        <v>11693.5</v>
      </c>
      <c r="J307" s="72" t="s">
        <v>903</v>
      </c>
      <c r="K307" s="72" t="s">
        <v>916</v>
      </c>
      <c r="L307" s="72">
        <v>43</v>
      </c>
      <c r="M307" s="35" t="s">
        <v>121</v>
      </c>
      <c r="N307" s="40"/>
      <c r="O307" s="72"/>
      <c r="P307" s="72"/>
      <c r="Q307" s="72"/>
      <c r="R307" s="72" t="s">
        <v>125</v>
      </c>
      <c r="S307" s="40"/>
      <c r="T307" s="106">
        <v>41</v>
      </c>
      <c r="U307" s="68" t="str">
        <f>Таблица310[[#This Row],[Регистратор.Номенклатура]]</f>
        <v>Вольф</v>
      </c>
      <c r="V307" s="45">
        <f>37.9*Таблица310[[#This Row],[Регистратор.Вес нетто]]/315870</f>
        <v>1.5418210023110774</v>
      </c>
      <c r="W307" s="72" t="s">
        <v>50</v>
      </c>
      <c r="X307" s="72" t="s">
        <v>178</v>
      </c>
      <c r="Y307" s="40">
        <v>5</v>
      </c>
      <c r="Z307" s="71">
        <v>45822</v>
      </c>
      <c r="AA307" s="40"/>
      <c r="AB307" s="40"/>
      <c r="AC307" s="40" t="s">
        <v>420</v>
      </c>
      <c r="AD307" s="40" t="s">
        <v>550</v>
      </c>
      <c r="AE307" s="40">
        <v>403</v>
      </c>
      <c r="AF307" s="103">
        <v>45822</v>
      </c>
      <c r="AG307" s="40" t="s">
        <v>902</v>
      </c>
      <c r="AH307" s="40">
        <f>VLOOKUP(Таблица310[[#This Row],[№ акта]],'Степень зрелости 2025'!$H$13:$I$583,2,FALSE)</f>
        <v>67</v>
      </c>
      <c r="AI307" s="40">
        <f>VLOOKUP(Таблица310[[#This Row],[№ акта]],$AQ$1:$AT$594,2,FALSE)</f>
        <v>41</v>
      </c>
      <c r="AJ307" s="40" t="str">
        <f>Таблица310[[#This Row],[Регистратор.Номенклатура]]</f>
        <v>Вольф</v>
      </c>
      <c r="AK307" s="40" t="str">
        <f>VLOOKUP(Таблица310[[#This Row],[№ акта]],$AQ$1:$AT$594,4,FALSE)</f>
        <v>Братковский (полив)</v>
      </c>
      <c r="AL307" s="45">
        <f>VLOOKUP(Таблица310[[#This Row],[№ акта]],$AQ$1:$AT$594,3,FALSE)</f>
        <v>1.5418210023110774</v>
      </c>
      <c r="AM307" s="40" t="str">
        <f>IF(Таблица310[[#This Row],[Площадь уборки, га]]=Таблица310[[#This Row],[Площадь уборки до корр]],"нет","да")</f>
        <v>нет</v>
      </c>
      <c r="AN307" s="45">
        <f>Таблица310[[#This Row],[Площадь уборки до корр]]-Таблица310[[#This Row],[Площадь уборки, га]]</f>
        <v>0</v>
      </c>
      <c r="AQ307">
        <v>403</v>
      </c>
      <c r="AR307">
        <v>41</v>
      </c>
      <c r="AS307">
        <v>1.5418210023110774</v>
      </c>
      <c r="AT307" t="s">
        <v>50</v>
      </c>
      <c r="XEM307" s="72"/>
      <c r="XEN307" s="73"/>
      <c r="XEO307" s="74"/>
      <c r="XEP307" s="75"/>
      <c r="XEQ307" s="76"/>
      <c r="XER307" s="73"/>
    </row>
    <row r="308" spans="1:46 16367:16372" ht="25.5" hidden="1" customHeight="1" x14ac:dyDescent="0.25">
      <c r="A308" s="72"/>
      <c r="B308" s="73"/>
      <c r="C308" s="120">
        <f>Таблица310[[#This Row],[Степень зрелости вспом]]</f>
        <v>66</v>
      </c>
      <c r="D308" s="75">
        <v>404</v>
      </c>
      <c r="E308" s="146">
        <v>45822</v>
      </c>
      <c r="F308" s="73">
        <v>32500</v>
      </c>
      <c r="G308" s="73">
        <v>13850</v>
      </c>
      <c r="H308" s="77">
        <v>18650</v>
      </c>
      <c r="I308" s="73">
        <v>12395.7</v>
      </c>
      <c r="J308" s="72" t="s">
        <v>903</v>
      </c>
      <c r="K308" s="72" t="s">
        <v>916</v>
      </c>
      <c r="L308" s="72">
        <v>44</v>
      </c>
      <c r="M308" s="35" t="s">
        <v>347</v>
      </c>
      <c r="N308" s="40"/>
      <c r="O308" s="72"/>
      <c r="P308" s="72"/>
      <c r="Q308" s="72"/>
      <c r="R308" s="72" t="s">
        <v>351</v>
      </c>
      <c r="S308" s="40"/>
      <c r="T308" s="106">
        <v>50</v>
      </c>
      <c r="U308" s="68" t="str">
        <f>Таблица310[[#This Row],[Регистратор.Номенклатура]]</f>
        <v>Вольф</v>
      </c>
      <c r="V308" s="45">
        <f>41.5*Таблица310[[#This Row],[Регистратор.Вес нетто]]/260190</f>
        <v>2.2090587647488373</v>
      </c>
      <c r="W308" s="72" t="s">
        <v>50</v>
      </c>
      <c r="X308" s="72" t="s">
        <v>178</v>
      </c>
      <c r="Y308" s="40">
        <v>5</v>
      </c>
      <c r="Z308" s="71">
        <v>45822</v>
      </c>
      <c r="AA308" s="40"/>
      <c r="AB308" s="40"/>
      <c r="AC308" s="40" t="s">
        <v>725</v>
      </c>
      <c r="AD308" s="40" t="s">
        <v>550</v>
      </c>
      <c r="AE308" s="40">
        <v>404</v>
      </c>
      <c r="AF308" s="103">
        <v>45822</v>
      </c>
      <c r="AG308" s="40" t="s">
        <v>902</v>
      </c>
      <c r="AH308" s="40">
        <f>VLOOKUP(Таблица310[[#This Row],[№ акта]],'Степень зрелости 2025'!$H$13:$I$583,2,FALSE)</f>
        <v>66</v>
      </c>
      <c r="AI308" s="40">
        <f>VLOOKUP(Таблица310[[#This Row],[№ акта]],$AQ$1:$AT$594,2,FALSE)</f>
        <v>50</v>
      </c>
      <c r="AJ308" s="40" t="str">
        <f>Таблица310[[#This Row],[Регистратор.Номенклатура]]</f>
        <v>Вольф</v>
      </c>
      <c r="AK308" s="40" t="str">
        <f>VLOOKUP(Таблица310[[#This Row],[№ акта]],$AQ$1:$AT$594,4,FALSE)</f>
        <v>Братковский (полив)</v>
      </c>
      <c r="AL308" s="45">
        <f>VLOOKUP(Таблица310[[#This Row],[№ акта]],$AQ$1:$AT$594,3,FALSE)</f>
        <v>2.2090587647488373</v>
      </c>
      <c r="AM308" s="40" t="str">
        <f>IF(Таблица310[[#This Row],[Площадь уборки, га]]=Таблица310[[#This Row],[Площадь уборки до корр]],"нет","да")</f>
        <v>нет</v>
      </c>
      <c r="AN308" s="45">
        <f>Таблица310[[#This Row],[Площадь уборки до корр]]-Таблица310[[#This Row],[Площадь уборки, га]]</f>
        <v>0</v>
      </c>
      <c r="AQ308">
        <v>404</v>
      </c>
      <c r="AR308">
        <v>50</v>
      </c>
      <c r="AS308">
        <v>2.2090587647488373</v>
      </c>
      <c r="AT308" t="s">
        <v>50</v>
      </c>
      <c r="XEM308" s="72"/>
      <c r="XEN308" s="73"/>
      <c r="XEO308" s="74"/>
      <c r="XEP308" s="75"/>
      <c r="XEQ308" s="76"/>
      <c r="XER308" s="73"/>
    </row>
    <row r="309" spans="1:46 16367:16372" ht="25.5" hidden="1" customHeight="1" x14ac:dyDescent="0.25">
      <c r="A309" s="72"/>
      <c r="B309" s="73"/>
      <c r="C309" s="120">
        <f>Таблица310[[#This Row],[Степень зрелости вспом]]</f>
        <v>64</v>
      </c>
      <c r="D309" s="75">
        <v>405</v>
      </c>
      <c r="E309" s="146">
        <v>45823</v>
      </c>
      <c r="F309" s="73">
        <v>28590</v>
      </c>
      <c r="G309" s="73">
        <v>13600</v>
      </c>
      <c r="H309" s="77">
        <v>14990</v>
      </c>
      <c r="I309" s="73">
        <v>11900</v>
      </c>
      <c r="J309" s="72" t="s">
        <v>903</v>
      </c>
      <c r="K309" s="72" t="s">
        <v>916</v>
      </c>
      <c r="L309" s="72">
        <v>44</v>
      </c>
      <c r="M309" s="35" t="s">
        <v>311</v>
      </c>
      <c r="N309" s="40"/>
      <c r="O309" s="72"/>
      <c r="P309" s="72"/>
      <c r="Q309" s="72"/>
      <c r="R309" s="72" t="s">
        <v>315</v>
      </c>
      <c r="S309" s="40"/>
      <c r="T309" s="106">
        <v>50</v>
      </c>
      <c r="U309" s="68" t="str">
        <f>Таблица310[[#This Row],[Регистратор.Номенклатура]]</f>
        <v>Вольф</v>
      </c>
      <c r="V309" s="45">
        <f>41.5*Таблица310[[#This Row],[Регистратор.Вес нетто]]/260190</f>
        <v>2.1691840578039123</v>
      </c>
      <c r="W309" s="72" t="s">
        <v>50</v>
      </c>
      <c r="X309" s="72" t="s">
        <v>178</v>
      </c>
      <c r="Y309" s="40">
        <v>5</v>
      </c>
      <c r="Z309" s="71">
        <v>45822</v>
      </c>
      <c r="AA309" s="40"/>
      <c r="AB309" s="40"/>
      <c r="AC309" s="40" t="s">
        <v>420</v>
      </c>
      <c r="AD309" s="40" t="s">
        <v>550</v>
      </c>
      <c r="AE309" s="40">
        <v>405</v>
      </c>
      <c r="AF309" s="103">
        <v>45823</v>
      </c>
      <c r="AG309" s="40" t="s">
        <v>902</v>
      </c>
      <c r="AH309" s="40">
        <f>VLOOKUP(Таблица310[[#This Row],[№ акта]],'Степень зрелости 2025'!$H$13:$I$583,2,FALSE)</f>
        <v>64</v>
      </c>
      <c r="AI309" s="40">
        <f>VLOOKUP(Таблица310[[#This Row],[№ акта]],$AQ$1:$AT$594,2,FALSE)</f>
        <v>50</v>
      </c>
      <c r="AJ309" s="40" t="str">
        <f>Таблица310[[#This Row],[Регистратор.Номенклатура]]</f>
        <v>Вольф</v>
      </c>
      <c r="AK309" s="40" t="str">
        <f>VLOOKUP(Таблица310[[#This Row],[№ акта]],$AQ$1:$AT$594,4,FALSE)</f>
        <v>Братковский (полив)</v>
      </c>
      <c r="AL309" s="45">
        <f>VLOOKUP(Таблица310[[#This Row],[№ акта]],$AQ$1:$AT$594,3,FALSE)</f>
        <v>2.1691840578039123</v>
      </c>
      <c r="AM309" s="40" t="str">
        <f>IF(Таблица310[[#This Row],[Площадь уборки, га]]=Таблица310[[#This Row],[Площадь уборки до корр]],"нет","да")</f>
        <v>нет</v>
      </c>
      <c r="AN309" s="45">
        <f>Таблица310[[#This Row],[Площадь уборки до корр]]-Таблица310[[#This Row],[Площадь уборки, га]]</f>
        <v>0</v>
      </c>
      <c r="AQ309">
        <v>405</v>
      </c>
      <c r="AR309">
        <v>50</v>
      </c>
      <c r="AS309">
        <v>2.1691840578039123</v>
      </c>
      <c r="AT309" t="s">
        <v>50</v>
      </c>
      <c r="XEM309" s="72"/>
      <c r="XEN309" s="73"/>
      <c r="XEO309" s="74"/>
      <c r="XEP309" s="75"/>
      <c r="XEQ309" s="76"/>
      <c r="XER309" s="73"/>
    </row>
    <row r="310" spans="1:46 16367:16372" ht="25.5" hidden="1" customHeight="1" x14ac:dyDescent="0.25">
      <c r="A310" s="72"/>
      <c r="B310" s="73"/>
      <c r="C310" s="120">
        <f>Таблица310[[#This Row],[Степень зрелости вспом]]</f>
        <v>67</v>
      </c>
      <c r="D310" s="75">
        <v>406</v>
      </c>
      <c r="E310" s="146">
        <v>45822</v>
      </c>
      <c r="F310" s="73">
        <v>28720</v>
      </c>
      <c r="G310" s="73">
        <v>13100</v>
      </c>
      <c r="H310" s="77">
        <v>15620</v>
      </c>
      <c r="I310" s="73">
        <v>11331.5</v>
      </c>
      <c r="J310" s="72" t="s">
        <v>903</v>
      </c>
      <c r="K310" s="72" t="s">
        <v>916</v>
      </c>
      <c r="L310" s="72">
        <v>43</v>
      </c>
      <c r="M310" s="35" t="s">
        <v>234</v>
      </c>
      <c r="N310" s="40"/>
      <c r="O310" s="72"/>
      <c r="P310" s="72"/>
      <c r="Q310" s="72"/>
      <c r="R310" s="72" t="s">
        <v>238</v>
      </c>
      <c r="S310" s="40"/>
      <c r="T310" s="106">
        <v>41</v>
      </c>
      <c r="U310" s="68" t="str">
        <f>Таблица310[[#This Row],[Регистратор.Номенклатура]]</f>
        <v>Вольф</v>
      </c>
      <c r="V310" s="45">
        <f>37.9*Таблица310[[#This Row],[Регистратор.Вес нетто]]/315870</f>
        <v>1.5718175198657676</v>
      </c>
      <c r="W310" s="72" t="s">
        <v>50</v>
      </c>
      <c r="X310" s="72" t="s">
        <v>178</v>
      </c>
      <c r="Y310" s="40">
        <v>5</v>
      </c>
      <c r="Z310" s="71">
        <v>45822</v>
      </c>
      <c r="AA310" s="40"/>
      <c r="AB310" s="40"/>
      <c r="AC310" s="40" t="s">
        <v>420</v>
      </c>
      <c r="AD310" s="40" t="s">
        <v>550</v>
      </c>
      <c r="AE310" s="40">
        <v>406</v>
      </c>
      <c r="AF310" s="103">
        <v>45822</v>
      </c>
      <c r="AG310" s="40" t="s">
        <v>902</v>
      </c>
      <c r="AH310" s="40">
        <f>VLOOKUP(Таблица310[[#This Row],[№ акта]],'Степень зрелости 2025'!$H$13:$I$583,2,FALSE)</f>
        <v>67</v>
      </c>
      <c r="AI310" s="40">
        <f>VLOOKUP(Таблица310[[#This Row],[№ акта]],$AQ$1:$AT$594,2,FALSE)</f>
        <v>41</v>
      </c>
      <c r="AJ310" s="40" t="str">
        <f>Таблица310[[#This Row],[Регистратор.Номенклатура]]</f>
        <v>Вольф</v>
      </c>
      <c r="AK310" s="40" t="str">
        <f>VLOOKUP(Таблица310[[#This Row],[№ акта]],$AQ$1:$AT$594,4,FALSE)</f>
        <v>Братковский (полив)</v>
      </c>
      <c r="AL310" s="45">
        <f>VLOOKUP(Таблица310[[#This Row],[№ акта]],$AQ$1:$AT$594,3,FALSE)</f>
        <v>1.5718175198657676</v>
      </c>
      <c r="AM310" s="40" t="str">
        <f>IF(Таблица310[[#This Row],[Площадь уборки, га]]=Таблица310[[#This Row],[Площадь уборки до корр]],"нет","да")</f>
        <v>нет</v>
      </c>
      <c r="AN310" s="45">
        <f>Таблица310[[#This Row],[Площадь уборки до корр]]-Таблица310[[#This Row],[Площадь уборки, га]]</f>
        <v>0</v>
      </c>
      <c r="AQ310">
        <v>406</v>
      </c>
      <c r="AR310">
        <v>41</v>
      </c>
      <c r="AS310">
        <v>1.5718175198657676</v>
      </c>
      <c r="AT310" t="s">
        <v>50</v>
      </c>
      <c r="XEM310" s="72"/>
      <c r="XEN310" s="73"/>
      <c r="XEO310" s="74"/>
      <c r="XEP310" s="75"/>
      <c r="XEQ310" s="76"/>
      <c r="XER310" s="73"/>
    </row>
    <row r="311" spans="1:46 16367:16372" ht="25.5" hidden="1" customHeight="1" x14ac:dyDescent="0.25">
      <c r="A311" s="72"/>
      <c r="B311" s="73"/>
      <c r="C311" s="120">
        <f>Таблица310[[#This Row],[Степень зрелости вспом]]</f>
        <v>66</v>
      </c>
      <c r="D311" s="75">
        <v>407</v>
      </c>
      <c r="E311" s="146">
        <v>45823</v>
      </c>
      <c r="F311" s="73">
        <v>27660</v>
      </c>
      <c r="G311" s="73">
        <v>13000</v>
      </c>
      <c r="H311" s="77">
        <v>14660</v>
      </c>
      <c r="I311" s="73">
        <v>11570</v>
      </c>
      <c r="J311" s="72" t="s">
        <v>903</v>
      </c>
      <c r="K311" s="72" t="s">
        <v>916</v>
      </c>
      <c r="L311" s="72">
        <v>43</v>
      </c>
      <c r="M311" s="35" t="s">
        <v>262</v>
      </c>
      <c r="N311" s="40"/>
      <c r="O311" s="72"/>
      <c r="P311" s="72"/>
      <c r="Q311" s="72"/>
      <c r="R311" s="72" t="s">
        <v>266</v>
      </c>
      <c r="S311" s="40"/>
      <c r="T311" s="106">
        <v>41</v>
      </c>
      <c r="U311" s="68" t="str">
        <f>Таблица310[[#This Row],[Регистратор.Номенклатура]]</f>
        <v>Вольф</v>
      </c>
      <c r="V311" s="45">
        <f>37.9*Таблица310[[#This Row],[Регистратор.Вес нетто]]/315870</f>
        <v>1.5598189128438915</v>
      </c>
      <c r="W311" s="72" t="s">
        <v>50</v>
      </c>
      <c r="X311" s="72" t="s">
        <v>178</v>
      </c>
      <c r="Y311" s="40">
        <v>5</v>
      </c>
      <c r="Z311" s="71">
        <v>45822</v>
      </c>
      <c r="AA311" s="40"/>
      <c r="AB311" s="40"/>
      <c r="AC311" s="40" t="s">
        <v>725</v>
      </c>
      <c r="AD311" s="40" t="s">
        <v>550</v>
      </c>
      <c r="AE311" s="40">
        <v>407</v>
      </c>
      <c r="AF311" s="103">
        <v>45823</v>
      </c>
      <c r="AG311" s="40" t="s">
        <v>902</v>
      </c>
      <c r="AH311" s="40">
        <f>VLOOKUP(Таблица310[[#This Row],[№ акта]],'Степень зрелости 2025'!$H$13:$I$583,2,FALSE)</f>
        <v>66</v>
      </c>
      <c r="AI311" s="40">
        <f>VLOOKUP(Таблица310[[#This Row],[№ акта]],$AQ$1:$AT$594,2,FALSE)</f>
        <v>41</v>
      </c>
      <c r="AJ311" s="40" t="str">
        <f>Таблица310[[#This Row],[Регистратор.Номенклатура]]</f>
        <v>Вольф</v>
      </c>
      <c r="AK311" s="40" t="str">
        <f>VLOOKUP(Таблица310[[#This Row],[№ акта]],$AQ$1:$AT$594,4,FALSE)</f>
        <v>Братковский (полив)</v>
      </c>
      <c r="AL311" s="45">
        <f>VLOOKUP(Таблица310[[#This Row],[№ акта]],$AQ$1:$AT$594,3,FALSE)</f>
        <v>1.5598189128438915</v>
      </c>
      <c r="AM311" s="40" t="str">
        <f>IF(Таблица310[[#This Row],[Площадь уборки, га]]=Таблица310[[#This Row],[Площадь уборки до корр]],"нет","да")</f>
        <v>нет</v>
      </c>
      <c r="AN311" s="45">
        <f>Таблица310[[#This Row],[Площадь уборки до корр]]-Таблица310[[#This Row],[Площадь уборки, га]]</f>
        <v>0</v>
      </c>
      <c r="AQ311">
        <v>407</v>
      </c>
      <c r="AR311">
        <v>41</v>
      </c>
      <c r="AS311">
        <v>1.5598189128438915</v>
      </c>
      <c r="AT311" t="s">
        <v>50</v>
      </c>
      <c r="XEM311" s="72"/>
      <c r="XEN311" s="73"/>
      <c r="XEO311" s="74"/>
      <c r="XEP311" s="75"/>
      <c r="XEQ311" s="76"/>
      <c r="XER311" s="73"/>
    </row>
    <row r="312" spans="1:46 16367:16372" ht="25.5" hidden="1" customHeight="1" x14ac:dyDescent="0.25">
      <c r="A312" s="72"/>
      <c r="B312" s="73"/>
      <c r="C312" s="120">
        <f>Таблица310[[#This Row],[Степень зрелости вспом]]</f>
        <v>68</v>
      </c>
      <c r="D312" s="75">
        <v>408</v>
      </c>
      <c r="E312" s="146">
        <v>45823</v>
      </c>
      <c r="F312" s="73">
        <v>37400</v>
      </c>
      <c r="G312" s="73">
        <v>13510</v>
      </c>
      <c r="H312" s="77">
        <v>23890</v>
      </c>
      <c r="I312" s="73">
        <v>12361.6</v>
      </c>
      <c r="J312" s="72" t="s">
        <v>903</v>
      </c>
      <c r="K312" s="72" t="s">
        <v>916</v>
      </c>
      <c r="L312" s="72">
        <v>44</v>
      </c>
      <c r="M312" s="35" t="s">
        <v>160</v>
      </c>
      <c r="N312" s="40"/>
      <c r="O312" s="72"/>
      <c r="P312" s="72"/>
      <c r="Q312" s="72"/>
      <c r="R312" s="72" t="s">
        <v>164</v>
      </c>
      <c r="S312" s="40"/>
      <c r="T312" s="106">
        <v>50</v>
      </c>
      <c r="U312" s="68" t="str">
        <f>Таблица310[[#This Row],[Регистратор.Номенклатура]]</f>
        <v>Вольф</v>
      </c>
      <c r="V312" s="45">
        <f>41.5*Таблица310[[#This Row],[Регистратор.Вес нетто]]/260190</f>
        <v>2.1548291633037397</v>
      </c>
      <c r="W312" s="72" t="s">
        <v>50</v>
      </c>
      <c r="X312" s="72" t="s">
        <v>178</v>
      </c>
      <c r="Y312" s="40">
        <v>5</v>
      </c>
      <c r="Z312" s="71">
        <v>45822</v>
      </c>
      <c r="AA312" s="40"/>
      <c r="AB312" s="40"/>
      <c r="AC312" s="40" t="s">
        <v>420</v>
      </c>
      <c r="AD312" s="40" t="s">
        <v>550</v>
      </c>
      <c r="AE312" s="40">
        <v>408</v>
      </c>
      <c r="AF312" s="103">
        <v>45823</v>
      </c>
      <c r="AG312" s="40" t="s">
        <v>902</v>
      </c>
      <c r="AH312" s="40">
        <f>VLOOKUP(Таблица310[[#This Row],[№ акта]],'Степень зрелости 2025'!$H$13:$I$583,2,FALSE)</f>
        <v>68</v>
      </c>
      <c r="AI312" s="40">
        <f>VLOOKUP(Таблица310[[#This Row],[№ акта]],$AQ$1:$AT$594,2,FALSE)</f>
        <v>50</v>
      </c>
      <c r="AJ312" s="40" t="str">
        <f>Таблица310[[#This Row],[Регистратор.Номенклатура]]</f>
        <v>Вольф</v>
      </c>
      <c r="AK312" s="40" t="str">
        <f>VLOOKUP(Таблица310[[#This Row],[№ акта]],$AQ$1:$AT$594,4,FALSE)</f>
        <v>Братковский (полив)</v>
      </c>
      <c r="AL312" s="45">
        <f>VLOOKUP(Таблица310[[#This Row],[№ акта]],$AQ$1:$AT$594,3,FALSE)</f>
        <v>2.1548291633037397</v>
      </c>
      <c r="AM312" s="40" t="str">
        <f>IF(Таблица310[[#This Row],[Площадь уборки, га]]=Таблица310[[#This Row],[Площадь уборки до корр]],"нет","да")</f>
        <v>нет</v>
      </c>
      <c r="AN312" s="45">
        <f>Таблица310[[#This Row],[Площадь уборки до корр]]-Таблица310[[#This Row],[Площадь уборки, га]]</f>
        <v>0</v>
      </c>
      <c r="AQ312">
        <v>408</v>
      </c>
      <c r="AR312">
        <v>50</v>
      </c>
      <c r="AS312">
        <v>2.1548291633037397</v>
      </c>
      <c r="AT312" t="s">
        <v>50</v>
      </c>
      <c r="XEM312" s="72"/>
      <c r="XEN312" s="73"/>
      <c r="XEO312" s="74"/>
      <c r="XEP312" s="75"/>
      <c r="XEQ312" s="76"/>
      <c r="XER312" s="73"/>
    </row>
    <row r="313" spans="1:46 16367:16372" ht="25.5" hidden="1" customHeight="1" x14ac:dyDescent="0.25">
      <c r="A313" s="72"/>
      <c r="B313" s="73"/>
      <c r="C313" s="120">
        <f>Таблица310[[#This Row],[Степень зрелости вспом]]</f>
        <v>69</v>
      </c>
      <c r="D313" s="75">
        <v>409</v>
      </c>
      <c r="E313" s="146">
        <v>45823</v>
      </c>
      <c r="F313" s="73">
        <v>28240</v>
      </c>
      <c r="G313" s="73">
        <v>13300</v>
      </c>
      <c r="H313" s="77">
        <v>14940</v>
      </c>
      <c r="I313" s="73">
        <v>12103</v>
      </c>
      <c r="J313" s="72" t="s">
        <v>903</v>
      </c>
      <c r="K313" s="72" t="s">
        <v>916</v>
      </c>
      <c r="L313" s="72">
        <v>43</v>
      </c>
      <c r="M313" s="35" t="s">
        <v>151</v>
      </c>
      <c r="N313" s="40"/>
      <c r="O313" s="72"/>
      <c r="P313" s="72"/>
      <c r="Q313" s="72"/>
      <c r="R313" s="72" t="s">
        <v>155</v>
      </c>
      <c r="S313" s="40"/>
      <c r="T313" s="106">
        <v>41</v>
      </c>
      <c r="U313" s="68" t="str">
        <f>Таблица310[[#This Row],[Регистратор.Номенклатура]]</f>
        <v>Вольф</v>
      </c>
      <c r="V313" s="45">
        <f>37.9*Таблица310[[#This Row],[Регистратор.Вес нетто]]/315870</f>
        <v>1.5958147339095197</v>
      </c>
      <c r="W313" s="72" t="s">
        <v>50</v>
      </c>
      <c r="X313" s="72" t="s">
        <v>178</v>
      </c>
      <c r="Y313" s="40">
        <v>5</v>
      </c>
      <c r="Z313" s="71">
        <v>45822</v>
      </c>
      <c r="AA313" s="40"/>
      <c r="AB313" s="40"/>
      <c r="AC313" s="40" t="s">
        <v>420</v>
      </c>
      <c r="AD313" s="40" t="s">
        <v>550</v>
      </c>
      <c r="AE313" s="40">
        <v>409</v>
      </c>
      <c r="AF313" s="103">
        <v>45823</v>
      </c>
      <c r="AG313" s="40" t="s">
        <v>902</v>
      </c>
      <c r="AH313" s="40">
        <f>VLOOKUP(Таблица310[[#This Row],[№ акта]],'Степень зрелости 2025'!$H$13:$I$583,2,FALSE)</f>
        <v>69</v>
      </c>
      <c r="AI313" s="40">
        <f>VLOOKUP(Таблица310[[#This Row],[№ акта]],$AQ$1:$AT$594,2,FALSE)</f>
        <v>41</v>
      </c>
      <c r="AJ313" s="40" t="str">
        <f>Таблица310[[#This Row],[Регистратор.Номенклатура]]</f>
        <v>Вольф</v>
      </c>
      <c r="AK313" s="40" t="str">
        <f>VLOOKUP(Таблица310[[#This Row],[№ акта]],$AQ$1:$AT$594,4,FALSE)</f>
        <v>Братковский (полив)</v>
      </c>
      <c r="AL313" s="45">
        <f>VLOOKUP(Таблица310[[#This Row],[№ акта]],$AQ$1:$AT$594,3,FALSE)</f>
        <v>1.5958147339095197</v>
      </c>
      <c r="AM313" s="40" t="str">
        <f>IF(Таблица310[[#This Row],[Площадь уборки, га]]=Таблица310[[#This Row],[Площадь уборки до корр]],"нет","да")</f>
        <v>нет</v>
      </c>
      <c r="AN313" s="45">
        <f>Таблица310[[#This Row],[Площадь уборки до корр]]-Таблица310[[#This Row],[Площадь уборки, га]]</f>
        <v>0</v>
      </c>
      <c r="AQ313">
        <v>409</v>
      </c>
      <c r="AR313">
        <v>41</v>
      </c>
      <c r="AS313">
        <v>1.5958147339095197</v>
      </c>
      <c r="AT313" t="s">
        <v>50</v>
      </c>
      <c r="XEM313" s="72"/>
      <c r="XEN313" s="73"/>
      <c r="XEO313" s="74"/>
      <c r="XEP313" s="75"/>
      <c r="XEQ313" s="76"/>
      <c r="XER313" s="73"/>
    </row>
    <row r="314" spans="1:46 16367:16372" ht="25.5" hidden="1" customHeight="1" x14ac:dyDescent="0.25">
      <c r="A314" s="72"/>
      <c r="B314" s="73"/>
      <c r="C314" s="120">
        <f>Таблица310[[#This Row],[Степень зрелости вспом]]</f>
        <v>66</v>
      </c>
      <c r="D314" s="75">
        <v>410</v>
      </c>
      <c r="E314" s="146">
        <v>45823</v>
      </c>
      <c r="F314" s="73">
        <v>34370</v>
      </c>
      <c r="G314" s="73">
        <v>13420</v>
      </c>
      <c r="H314" s="77">
        <v>20950</v>
      </c>
      <c r="I314" s="73">
        <v>11675.4</v>
      </c>
      <c r="J314" s="72" t="s">
        <v>903</v>
      </c>
      <c r="K314" s="72" t="s">
        <v>916</v>
      </c>
      <c r="L314" s="72">
        <v>44</v>
      </c>
      <c r="M314" s="35" t="s">
        <v>1152</v>
      </c>
      <c r="N314" s="40"/>
      <c r="O314" s="72"/>
      <c r="P314" s="72"/>
      <c r="Q314" s="72"/>
      <c r="R314" s="72" t="s">
        <v>119</v>
      </c>
      <c r="S314" s="40"/>
      <c r="T314" s="106">
        <v>50</v>
      </c>
      <c r="U314" s="68" t="str">
        <f>Таблица310[[#This Row],[Регистратор.Номенклатура]]</f>
        <v>Вольф</v>
      </c>
      <c r="V314" s="45">
        <f>41.5*Таблица310[[#This Row],[Регистратор.Вес нетто]]/260190</f>
        <v>2.1404742688035667</v>
      </c>
      <c r="W314" s="72" t="s">
        <v>50</v>
      </c>
      <c r="X314" s="72" t="s">
        <v>178</v>
      </c>
      <c r="Y314" s="40">
        <v>5</v>
      </c>
      <c r="Z314" s="71">
        <v>45822</v>
      </c>
      <c r="AA314" s="40"/>
      <c r="AB314" s="40"/>
      <c r="AC314" s="40" t="s">
        <v>725</v>
      </c>
      <c r="AD314" s="40" t="s">
        <v>550</v>
      </c>
      <c r="AE314" s="40">
        <v>410</v>
      </c>
      <c r="AF314" s="103">
        <v>45823</v>
      </c>
      <c r="AG314" s="40">
        <v>67</v>
      </c>
      <c r="AH314" s="40">
        <f>VLOOKUP(Таблица310[[#This Row],[№ акта]],'Степень зрелости 2025'!$H$13:$I$583,2,FALSE)</f>
        <v>66</v>
      </c>
      <c r="AI314" s="40">
        <f>VLOOKUP(Таблица310[[#This Row],[№ акта]],$AQ$1:$AT$594,2,FALSE)</f>
        <v>50</v>
      </c>
      <c r="AJ314" s="40" t="str">
        <f>Таблица310[[#This Row],[Регистратор.Номенклатура]]</f>
        <v>Вольф</v>
      </c>
      <c r="AK314" s="40" t="str">
        <f>VLOOKUP(Таблица310[[#This Row],[№ акта]],$AQ$1:$AT$594,4,FALSE)</f>
        <v>Братковский (полив)</v>
      </c>
      <c r="AL314" s="45">
        <f>VLOOKUP(Таблица310[[#This Row],[№ акта]],$AQ$1:$AT$594,3,FALSE)</f>
        <v>2.1404742688035667</v>
      </c>
      <c r="AM314" s="40" t="str">
        <f>IF(Таблица310[[#This Row],[Площадь уборки, га]]=Таблица310[[#This Row],[Площадь уборки до корр]],"нет","да")</f>
        <v>нет</v>
      </c>
      <c r="AN314" s="45">
        <f>Таблица310[[#This Row],[Площадь уборки до корр]]-Таблица310[[#This Row],[Площадь уборки, га]]</f>
        <v>0</v>
      </c>
      <c r="AQ314">
        <v>410</v>
      </c>
      <c r="AR314">
        <v>50</v>
      </c>
      <c r="AS314">
        <v>2.1404742688035667</v>
      </c>
      <c r="AT314" t="s">
        <v>50</v>
      </c>
      <c r="XEM314" s="72"/>
      <c r="XEN314" s="73"/>
      <c r="XEO314" s="74"/>
      <c r="XEP314" s="75"/>
      <c r="XEQ314" s="76"/>
      <c r="XER314" s="73"/>
    </row>
    <row r="315" spans="1:46 16367:16372" ht="25.5" hidden="1" customHeight="1" x14ac:dyDescent="0.25">
      <c r="A315" s="72"/>
      <c r="B315" s="73"/>
      <c r="C315" s="120">
        <f>Таблица310[[#This Row],[Степень зрелости вспом]]</f>
        <v>57</v>
      </c>
      <c r="D315" s="75">
        <v>411</v>
      </c>
      <c r="E315" s="146">
        <v>45823</v>
      </c>
      <c r="F315" s="73">
        <v>27800</v>
      </c>
      <c r="G315" s="73">
        <v>12980</v>
      </c>
      <c r="H315" s="77">
        <v>14820</v>
      </c>
      <c r="I315" s="73">
        <v>11033</v>
      </c>
      <c r="J315" s="72" t="s">
        <v>903</v>
      </c>
      <c r="K315" s="72" t="s">
        <v>916</v>
      </c>
      <c r="L315" s="72">
        <v>45</v>
      </c>
      <c r="M315" s="35" t="s">
        <v>133</v>
      </c>
      <c r="N315" s="40"/>
      <c r="O315" s="72"/>
      <c r="P315" s="72"/>
      <c r="Q315" s="72"/>
      <c r="R315" s="72" t="s">
        <v>137</v>
      </c>
      <c r="S315" s="40"/>
      <c r="T315" s="106">
        <v>50</v>
      </c>
      <c r="U315" s="68" t="str">
        <f>Таблица310[[#This Row],[Регистратор.Номенклатура]]</f>
        <v>Вольф</v>
      </c>
      <c r="V315" s="45">
        <f>Таблица310[[#This Row],[Регистратор.Вес нетто]]/(192870/46.5)</f>
        <v>3.1294135946492454</v>
      </c>
      <c r="W315" s="72" t="s">
        <v>50</v>
      </c>
      <c r="X315" s="72" t="s">
        <v>178</v>
      </c>
      <c r="Y315" s="40">
        <v>6</v>
      </c>
      <c r="Z315" s="71">
        <v>45823</v>
      </c>
      <c r="AA315" s="40"/>
      <c r="AB315" s="40"/>
      <c r="AC315" s="40" t="s">
        <v>724</v>
      </c>
      <c r="AD315" s="40" t="s">
        <v>511</v>
      </c>
      <c r="AE315" s="40">
        <v>411</v>
      </c>
      <c r="AF315" s="103">
        <v>45823</v>
      </c>
      <c r="AG315" s="40">
        <v>68</v>
      </c>
      <c r="AH315" s="40">
        <f>VLOOKUP(Таблица310[[#This Row],[№ акта]],'Степень зрелости 2025'!$H$13:$I$583,2,FALSE)</f>
        <v>57</v>
      </c>
      <c r="AI315" s="40">
        <f>VLOOKUP(Таблица310[[#This Row],[№ акта]],$AQ$1:$AT$594,2,FALSE)</f>
        <v>50</v>
      </c>
      <c r="AJ315" s="40" t="str">
        <f>Таблица310[[#This Row],[Регистратор.Номенклатура]]</f>
        <v>Вольф</v>
      </c>
      <c r="AK315" s="40" t="str">
        <f>VLOOKUP(Таблица310[[#This Row],[№ акта]],$AQ$1:$AT$594,4,FALSE)</f>
        <v>Братковский (полив)</v>
      </c>
      <c r="AL315" s="45">
        <f>VLOOKUP(Таблица310[[#This Row],[№ акта]],$AQ$1:$AT$594,3,FALSE)</f>
        <v>3.1294135946492454</v>
      </c>
      <c r="AM315" s="40" t="str">
        <f>IF(Таблица310[[#This Row],[Площадь уборки, га]]=Таблица310[[#This Row],[Площадь уборки до корр]],"нет","да")</f>
        <v>нет</v>
      </c>
      <c r="AN315" s="45">
        <f>Таблица310[[#This Row],[Площадь уборки до корр]]-Таблица310[[#This Row],[Площадь уборки, га]]</f>
        <v>0</v>
      </c>
      <c r="AQ315">
        <v>411</v>
      </c>
      <c r="AR315">
        <v>50</v>
      </c>
      <c r="AS315">
        <v>3.1294135946492454</v>
      </c>
      <c r="AT315" t="s">
        <v>50</v>
      </c>
      <c r="XEM315" s="72"/>
      <c r="XEN315" s="73"/>
      <c r="XEO315" s="74"/>
      <c r="XEP315" s="75"/>
      <c r="XEQ315" s="76"/>
      <c r="XER315" s="73"/>
    </row>
    <row r="316" spans="1:46 16367:16372" ht="25.5" hidden="1" customHeight="1" x14ac:dyDescent="0.25">
      <c r="A316" s="72"/>
      <c r="B316" s="73"/>
      <c r="C316" s="120">
        <f>Таблица310[[#This Row],[Степень зрелости вспом]]</f>
        <v>61</v>
      </c>
      <c r="D316" s="75">
        <v>412</v>
      </c>
      <c r="E316" s="146">
        <v>45823</v>
      </c>
      <c r="F316" s="73">
        <v>28260</v>
      </c>
      <c r="G316" s="73">
        <v>13490</v>
      </c>
      <c r="H316" s="77">
        <v>14770</v>
      </c>
      <c r="I316" s="73">
        <v>11601.4</v>
      </c>
      <c r="J316" s="72" t="s">
        <v>903</v>
      </c>
      <c r="K316" s="72" t="s">
        <v>916</v>
      </c>
      <c r="L316" s="72">
        <v>45</v>
      </c>
      <c r="M316" s="35" t="s">
        <v>1253</v>
      </c>
      <c r="N316" s="40"/>
      <c r="O316" s="72"/>
      <c r="P316" s="72"/>
      <c r="Q316" s="72"/>
      <c r="R316" s="72" t="s">
        <v>270</v>
      </c>
      <c r="S316" s="40"/>
      <c r="T316" s="106">
        <v>50</v>
      </c>
      <c r="U316" s="68" t="str">
        <f>Таблица310[[#This Row],[Регистратор.Номенклатура]]</f>
        <v>Вольф</v>
      </c>
      <c r="V316" s="45">
        <f>Таблица310[[#This Row],[Регистратор.Вес нетто]]/(192870/46.5)</f>
        <v>3.2523720640846165</v>
      </c>
      <c r="W316" s="72" t="s">
        <v>50</v>
      </c>
      <c r="X316" s="72" t="s">
        <v>178</v>
      </c>
      <c r="Y316" s="40">
        <v>6</v>
      </c>
      <c r="Z316" s="103">
        <v>45823</v>
      </c>
      <c r="AA316" s="40"/>
      <c r="AB316" s="40"/>
      <c r="AC316" s="40" t="s">
        <v>724</v>
      </c>
      <c r="AD316" s="40" t="s">
        <v>511</v>
      </c>
      <c r="AE316" s="40">
        <v>412</v>
      </c>
      <c r="AF316" s="103">
        <v>45823</v>
      </c>
      <c r="AG316" s="40">
        <v>69</v>
      </c>
      <c r="AH316" s="40">
        <f>VLOOKUP(Таблица310[[#This Row],[№ акта]],'Степень зрелости 2025'!$H$13:$I$583,2,FALSE)</f>
        <v>61</v>
      </c>
      <c r="AI316" s="40">
        <f>VLOOKUP(Таблица310[[#This Row],[№ акта]],$AQ$1:$AT$594,2,FALSE)</f>
        <v>50</v>
      </c>
      <c r="AJ316" s="40" t="str">
        <f>Таблица310[[#This Row],[Регистратор.Номенклатура]]</f>
        <v>Вольф</v>
      </c>
      <c r="AK316" s="40" t="str">
        <f>VLOOKUP(Таблица310[[#This Row],[№ акта]],$AQ$1:$AT$594,4,FALSE)</f>
        <v>Братковский (полив)</v>
      </c>
      <c r="AL316" s="45">
        <f>VLOOKUP(Таблица310[[#This Row],[№ акта]],$AQ$1:$AT$594,3,FALSE)</f>
        <v>3.2523720640846165</v>
      </c>
      <c r="AM316" s="40" t="str">
        <f>IF(Таблица310[[#This Row],[Площадь уборки, га]]=Таблица310[[#This Row],[Площадь уборки до корр]],"нет","да")</f>
        <v>нет</v>
      </c>
      <c r="AN316" s="45">
        <f>Таблица310[[#This Row],[Площадь уборки до корр]]-Таблица310[[#This Row],[Площадь уборки, га]]</f>
        <v>0</v>
      </c>
      <c r="AQ316">
        <v>412</v>
      </c>
      <c r="AR316">
        <v>50</v>
      </c>
      <c r="AS316">
        <v>3.2523720640846165</v>
      </c>
      <c r="AT316" t="s">
        <v>50</v>
      </c>
      <c r="XEM316" s="72"/>
      <c r="XEN316" s="73"/>
      <c r="XEO316" s="74"/>
      <c r="XEP316" s="75"/>
      <c r="XEQ316" s="76"/>
      <c r="XER316" s="73"/>
    </row>
    <row r="317" spans="1:46 16367:16372" ht="25.5" hidden="1" customHeight="1" x14ac:dyDescent="0.25">
      <c r="A317" s="72"/>
      <c r="B317" s="73"/>
      <c r="C317" s="120">
        <f>Таблица310[[#This Row],[Степень зрелости вспом]]</f>
        <v>59</v>
      </c>
      <c r="D317" s="75">
        <v>413</v>
      </c>
      <c r="E317" s="146">
        <v>45823</v>
      </c>
      <c r="F317" s="73">
        <v>27760</v>
      </c>
      <c r="G317" s="73">
        <v>13090</v>
      </c>
      <c r="H317" s="77">
        <v>14670</v>
      </c>
      <c r="I317" s="73">
        <v>10733.8</v>
      </c>
      <c r="J317" s="72" t="s">
        <v>903</v>
      </c>
      <c r="K317" s="72" t="s">
        <v>916</v>
      </c>
      <c r="L317" s="72">
        <v>45</v>
      </c>
      <c r="M317" s="35" t="s">
        <v>272</v>
      </c>
      <c r="N317" s="40"/>
      <c r="O317" s="72"/>
      <c r="P317" s="72"/>
      <c r="Q317" s="72"/>
      <c r="R317" s="72" t="s">
        <v>276</v>
      </c>
      <c r="S317" s="40"/>
      <c r="T317" s="106">
        <v>50</v>
      </c>
      <c r="U317" s="68" t="str">
        <f>Таблица310[[#This Row],[Регистратор.Номенклатура]]</f>
        <v>Вольф</v>
      </c>
      <c r="V317" s="45">
        <f>Таблица310[[#This Row],[Регистратор.Вес нетто]]/(192870/46.5)</f>
        <v>3.1559340488411882</v>
      </c>
      <c r="W317" s="72" t="s">
        <v>50</v>
      </c>
      <c r="X317" s="72" t="s">
        <v>178</v>
      </c>
      <c r="Y317" s="40">
        <v>6</v>
      </c>
      <c r="Z317" s="103">
        <v>45823</v>
      </c>
      <c r="AA317" s="40"/>
      <c r="AB317" s="40"/>
      <c r="AC317" s="40" t="s">
        <v>724</v>
      </c>
      <c r="AD317" s="40" t="s">
        <v>511</v>
      </c>
      <c r="AE317" s="40">
        <v>413</v>
      </c>
      <c r="AF317" s="103">
        <v>45823</v>
      </c>
      <c r="AG317" s="40">
        <v>70</v>
      </c>
      <c r="AH317" s="40">
        <f>VLOOKUP(Таблица310[[#This Row],[№ акта]],'Степень зрелости 2025'!$H$13:$I$583,2,FALSE)</f>
        <v>59</v>
      </c>
      <c r="AI317" s="40">
        <f>VLOOKUP(Таблица310[[#This Row],[№ акта]],$AQ$1:$AT$594,2,FALSE)</f>
        <v>50</v>
      </c>
      <c r="AJ317" s="40" t="str">
        <f>Таблица310[[#This Row],[Регистратор.Номенклатура]]</f>
        <v>Вольф</v>
      </c>
      <c r="AK317" s="40" t="str">
        <f>VLOOKUP(Таблица310[[#This Row],[№ акта]],$AQ$1:$AT$594,4,FALSE)</f>
        <v>Братковский (полив)</v>
      </c>
      <c r="AL317" s="45">
        <f>VLOOKUP(Таблица310[[#This Row],[№ акта]],$AQ$1:$AT$594,3,FALSE)</f>
        <v>3.1559340488411882</v>
      </c>
      <c r="AM317" s="40" t="str">
        <f>IF(Таблица310[[#This Row],[Площадь уборки, га]]=Таблица310[[#This Row],[Площадь уборки до корр]],"нет","да")</f>
        <v>нет</v>
      </c>
      <c r="AN317" s="45">
        <f>Таблица310[[#This Row],[Площадь уборки до корр]]-Таблица310[[#This Row],[Площадь уборки, га]]</f>
        <v>0</v>
      </c>
      <c r="AQ317">
        <v>413</v>
      </c>
      <c r="AR317">
        <v>50</v>
      </c>
      <c r="AS317">
        <v>3.1559340488411882</v>
      </c>
      <c r="AT317" t="s">
        <v>50</v>
      </c>
      <c r="XEM317" s="72"/>
      <c r="XEN317" s="73"/>
      <c r="XEO317" s="74"/>
      <c r="XEP317" s="75"/>
      <c r="XEQ317" s="76"/>
      <c r="XER317" s="73"/>
    </row>
    <row r="318" spans="1:46 16367:16372" ht="25.5" hidden="1" customHeight="1" x14ac:dyDescent="0.25">
      <c r="A318" s="72"/>
      <c r="B318" s="73"/>
      <c r="C318" s="120">
        <f>Таблица310[[#This Row],[Степень зрелости вспом]]</f>
        <v>63</v>
      </c>
      <c r="D318" s="75">
        <v>414</v>
      </c>
      <c r="E318" s="146">
        <v>45823</v>
      </c>
      <c r="F318" s="73">
        <v>27960</v>
      </c>
      <c r="G318" s="73">
        <v>13360</v>
      </c>
      <c r="H318" s="77">
        <v>14600</v>
      </c>
      <c r="I318" s="73">
        <v>11088.8</v>
      </c>
      <c r="J318" s="72" t="s">
        <v>903</v>
      </c>
      <c r="K318" s="72" t="s">
        <v>916</v>
      </c>
      <c r="L318" s="72">
        <v>45</v>
      </c>
      <c r="M318" s="35" t="s">
        <v>239</v>
      </c>
      <c r="N318" s="40"/>
      <c r="O318" s="72"/>
      <c r="P318" s="72"/>
      <c r="Q318" s="72"/>
      <c r="R318" s="72" t="s">
        <v>243</v>
      </c>
      <c r="S318" s="40"/>
      <c r="T318" s="106">
        <v>50</v>
      </c>
      <c r="U318" s="68" t="str">
        <f>Таблица310[[#This Row],[Регистратор.Номенклатура]]</f>
        <v>Вольф</v>
      </c>
      <c r="V318" s="45">
        <f>Таблица310[[#This Row],[Регистратор.Вес нетто]]/(192870/46.5)</f>
        <v>3.221029709130502</v>
      </c>
      <c r="W318" s="72" t="s">
        <v>50</v>
      </c>
      <c r="X318" s="72" t="s">
        <v>178</v>
      </c>
      <c r="Y318" s="40">
        <v>6</v>
      </c>
      <c r="Z318" s="103">
        <v>45823</v>
      </c>
      <c r="AA318" s="40"/>
      <c r="AB318" s="40"/>
      <c r="AC318" s="40" t="s">
        <v>420</v>
      </c>
      <c r="AD318" s="40" t="s">
        <v>511</v>
      </c>
      <c r="AE318" s="40">
        <v>414</v>
      </c>
      <c r="AF318" s="103">
        <v>45823</v>
      </c>
      <c r="AG318" s="40">
        <v>71</v>
      </c>
      <c r="AH318" s="40">
        <f>VLOOKUP(Таблица310[[#This Row],[№ акта]],'Степень зрелости 2025'!$H$13:$I$583,2,FALSE)</f>
        <v>63</v>
      </c>
      <c r="AI318" s="40">
        <f>VLOOKUP(Таблица310[[#This Row],[№ акта]],$AQ$1:$AT$594,2,FALSE)</f>
        <v>50</v>
      </c>
      <c r="AJ318" s="40" t="str">
        <f>Таблица310[[#This Row],[Регистратор.Номенклатура]]</f>
        <v>Вольф</v>
      </c>
      <c r="AK318" s="40" t="str">
        <f>VLOOKUP(Таблица310[[#This Row],[№ акта]],$AQ$1:$AT$594,4,FALSE)</f>
        <v>Братковский (полив)</v>
      </c>
      <c r="AL318" s="45">
        <f>VLOOKUP(Таблица310[[#This Row],[№ акта]],$AQ$1:$AT$594,3,FALSE)</f>
        <v>3.221029709130502</v>
      </c>
      <c r="AM318" s="40" t="str">
        <f>IF(Таблица310[[#This Row],[Площадь уборки, га]]=Таблица310[[#This Row],[Площадь уборки до корр]],"нет","да")</f>
        <v>нет</v>
      </c>
      <c r="AN318" s="45">
        <f>Таблица310[[#This Row],[Площадь уборки до корр]]-Таблица310[[#This Row],[Площадь уборки, га]]</f>
        <v>0</v>
      </c>
      <c r="AQ318">
        <v>414</v>
      </c>
      <c r="AR318">
        <v>50</v>
      </c>
      <c r="AS318">
        <v>3.221029709130502</v>
      </c>
      <c r="AT318" t="s">
        <v>50</v>
      </c>
      <c r="XEM318" s="72"/>
      <c r="XEN318" s="73"/>
      <c r="XEO318" s="74"/>
      <c r="XEP318" s="75"/>
      <c r="XEQ318" s="76"/>
      <c r="XER318" s="73"/>
    </row>
    <row r="319" spans="1:46 16367:16372" ht="25.5" hidden="1" customHeight="1" x14ac:dyDescent="0.25">
      <c r="A319" s="72"/>
      <c r="B319" s="73"/>
      <c r="C319" s="120">
        <f>Таблица310[[#This Row],[Степень зрелости вспом]]</f>
        <v>60</v>
      </c>
      <c r="D319" s="75">
        <v>415</v>
      </c>
      <c r="E319" s="146">
        <v>45823</v>
      </c>
      <c r="F319" s="73">
        <v>29200</v>
      </c>
      <c r="G319" s="73">
        <v>13590</v>
      </c>
      <c r="H319" s="77">
        <v>15610</v>
      </c>
      <c r="I319" s="73">
        <v>12434.8</v>
      </c>
      <c r="J319" s="72" t="s">
        <v>903</v>
      </c>
      <c r="K319" s="72" t="s">
        <v>916</v>
      </c>
      <c r="L319" s="72">
        <v>45</v>
      </c>
      <c r="M319" s="35" t="s">
        <v>1151</v>
      </c>
      <c r="N319" s="40"/>
      <c r="O319" s="72"/>
      <c r="P319" s="72"/>
      <c r="Q319" s="72"/>
      <c r="R319" s="72" t="s">
        <v>145</v>
      </c>
      <c r="S319" s="40"/>
      <c r="T319" s="106">
        <v>50</v>
      </c>
      <c r="U319" s="68" t="str">
        <f>Таблица310[[#This Row],[Регистратор.Номенклатура]]</f>
        <v>Вольф</v>
      </c>
      <c r="V319" s="45">
        <f>Таблица310[[#This Row],[Регистратор.Вес нетто]]/(192870/46.5)</f>
        <v>3.2764815678954733</v>
      </c>
      <c r="W319" s="72" t="s">
        <v>50</v>
      </c>
      <c r="X319" s="72" t="s">
        <v>178</v>
      </c>
      <c r="Y319" s="40">
        <v>6</v>
      </c>
      <c r="Z319" s="103">
        <v>45823</v>
      </c>
      <c r="AA319" s="40"/>
      <c r="AB319" s="40"/>
      <c r="AC319" s="40" t="s">
        <v>724</v>
      </c>
      <c r="AD319" s="40" t="s">
        <v>511</v>
      </c>
      <c r="AE319" s="40">
        <v>415</v>
      </c>
      <c r="AF319" s="103">
        <v>45823</v>
      </c>
      <c r="AG319" s="40">
        <v>73</v>
      </c>
      <c r="AH319" s="40">
        <f>VLOOKUP(Таблица310[[#This Row],[№ акта]],'Степень зрелости 2025'!$H$13:$I$583,2,FALSE)</f>
        <v>60</v>
      </c>
      <c r="AI319" s="40">
        <f>VLOOKUP(Таблица310[[#This Row],[№ акта]],$AQ$1:$AT$594,2,FALSE)</f>
        <v>50</v>
      </c>
      <c r="AJ319" s="40" t="str">
        <f>Таблица310[[#This Row],[Регистратор.Номенклатура]]</f>
        <v>Вольф</v>
      </c>
      <c r="AK319" s="40" t="str">
        <f>VLOOKUP(Таблица310[[#This Row],[№ акта]],$AQ$1:$AT$594,4,FALSE)</f>
        <v>Братковский (полив)</v>
      </c>
      <c r="AL319" s="45">
        <f>VLOOKUP(Таблица310[[#This Row],[№ акта]],$AQ$1:$AT$594,3,FALSE)</f>
        <v>3.2764815678954733</v>
      </c>
      <c r="AM319" s="40" t="str">
        <f>IF(Таблица310[[#This Row],[Площадь уборки, га]]=Таблица310[[#This Row],[Площадь уборки до корр]],"нет","да")</f>
        <v>нет</v>
      </c>
      <c r="AN319" s="45">
        <f>Таблица310[[#This Row],[Площадь уборки до корр]]-Таблица310[[#This Row],[Площадь уборки, га]]</f>
        <v>0</v>
      </c>
      <c r="AQ319">
        <v>415</v>
      </c>
      <c r="AR319">
        <v>50</v>
      </c>
      <c r="AS319">
        <v>3.2764815678954733</v>
      </c>
      <c r="AT319" t="s">
        <v>50</v>
      </c>
      <c r="XEM319" s="72"/>
      <c r="XEN319" s="73"/>
      <c r="XEO319" s="74"/>
      <c r="XEP319" s="75"/>
      <c r="XEQ319" s="76"/>
      <c r="XER319" s="73"/>
    </row>
    <row r="320" spans="1:46 16367:16372" ht="25.5" hidden="1" customHeight="1" x14ac:dyDescent="0.25">
      <c r="A320" s="72"/>
      <c r="B320" s="73"/>
      <c r="C320" s="120">
        <f>Таблица310[[#This Row],[Степень зрелости вспом]]</f>
        <v>63</v>
      </c>
      <c r="D320" s="75">
        <v>416</v>
      </c>
      <c r="E320" s="146">
        <v>45823</v>
      </c>
      <c r="F320" s="73">
        <v>28230</v>
      </c>
      <c r="G320" s="73">
        <v>13240</v>
      </c>
      <c r="H320" s="77">
        <v>14990</v>
      </c>
      <c r="I320" s="73">
        <v>11585</v>
      </c>
      <c r="J320" s="72" t="s">
        <v>903</v>
      </c>
      <c r="K320" s="72" t="s">
        <v>916</v>
      </c>
      <c r="L320" s="72">
        <v>45</v>
      </c>
      <c r="M320" s="35" t="s">
        <v>1461</v>
      </c>
      <c r="N320" s="40"/>
      <c r="O320" s="72"/>
      <c r="P320" s="72"/>
      <c r="Q320" s="72"/>
      <c r="R320" s="72" t="s">
        <v>149</v>
      </c>
      <c r="S320" s="40"/>
      <c r="T320" s="106">
        <v>50</v>
      </c>
      <c r="U320" s="68" t="str">
        <f>Таблица310[[#This Row],[Регистратор.Номенклатура]]</f>
        <v>Вольф</v>
      </c>
      <c r="V320" s="45">
        <f>Таблица310[[#This Row],[Регистратор.Вес нетто]]/(192870/46.5)</f>
        <v>3.1920983045574736</v>
      </c>
      <c r="W320" s="72" t="s">
        <v>50</v>
      </c>
      <c r="X320" s="72" t="s">
        <v>178</v>
      </c>
      <c r="Y320" s="40">
        <v>6</v>
      </c>
      <c r="Z320" s="103">
        <v>45823</v>
      </c>
      <c r="AA320" s="40"/>
      <c r="AB320" s="40"/>
      <c r="AC320" s="40" t="s">
        <v>420</v>
      </c>
      <c r="AD320" s="40" t="s">
        <v>511</v>
      </c>
      <c r="AE320" s="40">
        <v>416</v>
      </c>
      <c r="AF320" s="103">
        <v>45823</v>
      </c>
      <c r="AG320" s="40">
        <v>72</v>
      </c>
      <c r="AH320" s="40">
        <f>VLOOKUP(Таблица310[[#This Row],[№ акта]],'Степень зрелости 2025'!$H$13:$I$583,2,FALSE)</f>
        <v>63</v>
      </c>
      <c r="AI320" s="40">
        <f>VLOOKUP(Таблица310[[#This Row],[№ акта]],$AQ$1:$AT$594,2,FALSE)</f>
        <v>50</v>
      </c>
      <c r="AJ320" s="40" t="str">
        <f>Таблица310[[#This Row],[Регистратор.Номенклатура]]</f>
        <v>Вольф</v>
      </c>
      <c r="AK320" s="40" t="str">
        <f>VLOOKUP(Таблица310[[#This Row],[№ акта]],$AQ$1:$AT$594,4,FALSE)</f>
        <v>Братковский (полив)</v>
      </c>
      <c r="AL320" s="45">
        <f>VLOOKUP(Таблица310[[#This Row],[№ акта]],$AQ$1:$AT$594,3,FALSE)</f>
        <v>3.1920983045574736</v>
      </c>
      <c r="AM320" s="40" t="str">
        <f>IF(Таблица310[[#This Row],[Площадь уборки, га]]=Таблица310[[#This Row],[Площадь уборки до корр]],"нет","да")</f>
        <v>нет</v>
      </c>
      <c r="AN320" s="45">
        <f>Таблица310[[#This Row],[Площадь уборки до корр]]-Таблица310[[#This Row],[Площадь уборки, га]]</f>
        <v>0</v>
      </c>
      <c r="AQ320">
        <v>416</v>
      </c>
      <c r="AR320">
        <v>50</v>
      </c>
      <c r="AS320">
        <v>3.1920983045574736</v>
      </c>
      <c r="AT320" t="s">
        <v>50</v>
      </c>
      <c r="XEM320" s="72"/>
      <c r="XEN320" s="73"/>
      <c r="XEO320" s="74"/>
      <c r="XEP320" s="75"/>
      <c r="XEQ320" s="76"/>
      <c r="XER320" s="73"/>
    </row>
    <row r="321" spans="1:46 16367:16372" ht="25.5" hidden="1" customHeight="1" x14ac:dyDescent="0.25">
      <c r="A321" s="72"/>
      <c r="B321" s="73"/>
      <c r="C321" s="120">
        <f>Таблица310[[#This Row],[Степень зрелости вспом]]</f>
        <v>67</v>
      </c>
      <c r="D321" s="75">
        <v>417</v>
      </c>
      <c r="E321" s="146">
        <v>45823</v>
      </c>
      <c r="F321" s="73">
        <v>27820</v>
      </c>
      <c r="G321" s="73">
        <v>13480</v>
      </c>
      <c r="H321" s="77">
        <v>14340</v>
      </c>
      <c r="I321" s="73">
        <v>11997.2</v>
      </c>
      <c r="J321" s="72" t="s">
        <v>903</v>
      </c>
      <c r="K321" s="72" t="s">
        <v>916</v>
      </c>
      <c r="L321" s="72">
        <v>45</v>
      </c>
      <c r="M321" s="35" t="s">
        <v>305</v>
      </c>
      <c r="N321" s="40"/>
      <c r="O321" s="72"/>
      <c r="P321" s="72"/>
      <c r="Q321" s="72"/>
      <c r="R321" s="72" t="s">
        <v>309</v>
      </c>
      <c r="S321" s="40"/>
      <c r="T321" s="106">
        <v>50</v>
      </c>
      <c r="U321" s="68" t="str">
        <f>Таблица310[[#This Row],[Регистратор.Номенклатура]]</f>
        <v>Вольф</v>
      </c>
      <c r="V321" s="45">
        <f>Таблица310[[#This Row],[Регистратор.Вес нетто]]/(192870/46.5)</f>
        <v>3.2499611137035309</v>
      </c>
      <c r="W321" s="72" t="s">
        <v>50</v>
      </c>
      <c r="X321" s="72" t="s">
        <v>178</v>
      </c>
      <c r="Y321" s="40">
        <v>6</v>
      </c>
      <c r="Z321" s="103">
        <v>45823</v>
      </c>
      <c r="AA321" s="40"/>
      <c r="AB321" s="40"/>
      <c r="AC321" s="40" t="s">
        <v>420</v>
      </c>
      <c r="AD321" s="40" t="s">
        <v>550</v>
      </c>
      <c r="AE321" s="40">
        <v>417</v>
      </c>
      <c r="AF321" s="103">
        <v>45823</v>
      </c>
      <c r="AG321" s="40" t="s">
        <v>902</v>
      </c>
      <c r="AH321" s="40">
        <f>VLOOKUP(Таблица310[[#This Row],[№ акта]],'Степень зрелости 2025'!$H$13:$I$583,2,FALSE)</f>
        <v>67</v>
      </c>
      <c r="AI321" s="40">
        <f>VLOOKUP(Таблица310[[#This Row],[№ акта]],$AQ$1:$AT$594,2,FALSE)</f>
        <v>50</v>
      </c>
      <c r="AJ321" s="40" t="str">
        <f>Таблица310[[#This Row],[Регистратор.Номенклатура]]</f>
        <v>Вольф</v>
      </c>
      <c r="AK321" s="40" t="str">
        <f>VLOOKUP(Таблица310[[#This Row],[№ акта]],$AQ$1:$AT$594,4,FALSE)</f>
        <v>Братковский (полив)</v>
      </c>
      <c r="AL321" s="45">
        <f>VLOOKUP(Таблица310[[#This Row],[№ акта]],$AQ$1:$AT$594,3,FALSE)</f>
        <v>3.2499611137035309</v>
      </c>
      <c r="AM321" s="40" t="str">
        <f>IF(Таблица310[[#This Row],[Площадь уборки, га]]=Таблица310[[#This Row],[Площадь уборки до корр]],"нет","да")</f>
        <v>нет</v>
      </c>
      <c r="AN321" s="45">
        <f>Таблица310[[#This Row],[Площадь уборки до корр]]-Таблица310[[#This Row],[Площадь уборки, га]]</f>
        <v>0</v>
      </c>
      <c r="AQ321">
        <v>417</v>
      </c>
      <c r="AR321">
        <v>50</v>
      </c>
      <c r="AS321">
        <v>3.2499611137035309</v>
      </c>
      <c r="AT321" t="s">
        <v>50</v>
      </c>
      <c r="XEM321" s="72"/>
      <c r="XEN321" s="73"/>
      <c r="XEO321" s="74"/>
      <c r="XEP321" s="75"/>
      <c r="XEQ321" s="76"/>
      <c r="XER321" s="73"/>
    </row>
    <row r="322" spans="1:46 16367:16372" ht="25.5" hidden="1" customHeight="1" x14ac:dyDescent="0.25">
      <c r="A322" s="72"/>
      <c r="B322" s="73"/>
      <c r="C322" s="120">
        <f>Таблица310[[#This Row],[Степень зрелости вспом]]</f>
        <v>72</v>
      </c>
      <c r="D322" s="75">
        <v>418</v>
      </c>
      <c r="E322" s="146">
        <v>45823</v>
      </c>
      <c r="F322" s="73">
        <v>28360</v>
      </c>
      <c r="G322" s="73">
        <v>6670</v>
      </c>
      <c r="H322" s="77">
        <v>21690</v>
      </c>
      <c r="I322" s="73">
        <v>6069.7</v>
      </c>
      <c r="J322" s="72" t="s">
        <v>903</v>
      </c>
      <c r="K322" s="72" t="s">
        <v>916</v>
      </c>
      <c r="L322" s="72">
        <v>44</v>
      </c>
      <c r="M322" s="35" t="s">
        <v>329</v>
      </c>
      <c r="N322" s="40"/>
      <c r="O322" s="72"/>
      <c r="P322" s="72"/>
      <c r="Q322" s="72"/>
      <c r="R322" s="72" t="s">
        <v>333</v>
      </c>
      <c r="S322" s="40"/>
      <c r="T322" s="106">
        <v>50</v>
      </c>
      <c r="U322" s="68" t="str">
        <f>Таблица310[[#This Row],[Регистратор.Номенклатура]]</f>
        <v>Вольф</v>
      </c>
      <c r="V322" s="45">
        <f>Таблица310[[#This Row],[Регистратор.Вес нетто]]/(192870/46.5)</f>
        <v>1.6081039041841654</v>
      </c>
      <c r="W322" s="72" t="s">
        <v>50</v>
      </c>
      <c r="X322" s="72" t="s">
        <v>178</v>
      </c>
      <c r="Y322" s="40">
        <v>6</v>
      </c>
      <c r="Z322" s="103">
        <v>45823</v>
      </c>
      <c r="AA322" s="40"/>
      <c r="AB322" s="40"/>
      <c r="AC322" s="40" t="s">
        <v>420</v>
      </c>
      <c r="AD322" s="40" t="s">
        <v>550</v>
      </c>
      <c r="AE322" s="40">
        <v>418</v>
      </c>
      <c r="AF322" s="103">
        <v>45823</v>
      </c>
      <c r="AG322" s="40" t="s">
        <v>902</v>
      </c>
      <c r="AH322" s="40">
        <f>VLOOKUP(Таблица310[[#This Row],[№ акта]],'Степень зрелости 2025'!$H$13:$I$583,2,FALSE)</f>
        <v>72</v>
      </c>
      <c r="AI322" s="40">
        <f>VLOOKUP(Таблица310[[#This Row],[№ акта]],$AQ$1:$AT$594,2,FALSE)</f>
        <v>50</v>
      </c>
      <c r="AJ322" s="40" t="str">
        <f>Таблица310[[#This Row],[Регистратор.Номенклатура]]</f>
        <v>Вольф</v>
      </c>
      <c r="AK322" s="40" t="str">
        <f>VLOOKUP(Таблица310[[#This Row],[№ акта]],$AQ$1:$AT$594,4,FALSE)</f>
        <v>Братковский (полив)</v>
      </c>
      <c r="AL322" s="45">
        <f>VLOOKUP(Таблица310[[#This Row],[№ акта]],$AQ$1:$AT$594,3,FALSE)</f>
        <v>1.6081039041841654</v>
      </c>
      <c r="AM322" s="40" t="str">
        <f>IF(Таблица310[[#This Row],[Площадь уборки, га]]=Таблица310[[#This Row],[Площадь уборки до корр]],"нет","да")</f>
        <v>нет</v>
      </c>
      <c r="AN322" s="45">
        <f>Таблица310[[#This Row],[Площадь уборки до корр]]-Таблица310[[#This Row],[Площадь уборки, га]]</f>
        <v>0</v>
      </c>
      <c r="AQ322">
        <v>418</v>
      </c>
      <c r="AR322">
        <v>50</v>
      </c>
      <c r="AS322">
        <v>1.6081039041841654</v>
      </c>
      <c r="AT322" t="s">
        <v>50</v>
      </c>
      <c r="XEM322" s="72"/>
      <c r="XEN322" s="73"/>
      <c r="XEO322" s="74"/>
      <c r="XEP322" s="75"/>
      <c r="XEQ322" s="76"/>
      <c r="XER322" s="73"/>
    </row>
    <row r="323" spans="1:46 16367:16372" ht="25.5" hidden="1" customHeight="1" x14ac:dyDescent="0.25">
      <c r="A323" s="72"/>
      <c r="B323" s="73"/>
      <c r="C323" s="120">
        <f>Таблица310[[#This Row],[Степень зрелости вспом]]</f>
        <v>64</v>
      </c>
      <c r="D323" s="75">
        <v>419</v>
      </c>
      <c r="E323" s="146">
        <v>45823</v>
      </c>
      <c r="F323" s="73">
        <v>21690</v>
      </c>
      <c r="G323" s="73">
        <v>6720</v>
      </c>
      <c r="H323" s="77">
        <v>14970</v>
      </c>
      <c r="I323" s="73">
        <v>6148.8</v>
      </c>
      <c r="J323" s="72" t="s">
        <v>903</v>
      </c>
      <c r="K323" s="72" t="s">
        <v>916</v>
      </c>
      <c r="L323" s="72">
        <v>45</v>
      </c>
      <c r="M323" s="35" t="s">
        <v>329</v>
      </c>
      <c r="N323" s="40"/>
      <c r="O323" s="72"/>
      <c r="P323" s="72"/>
      <c r="Q323" s="72"/>
      <c r="R323" s="72" t="s">
        <v>333</v>
      </c>
      <c r="S323" s="40"/>
      <c r="T323" s="106">
        <v>50</v>
      </c>
      <c r="U323" s="68" t="str">
        <f>Таблица310[[#This Row],[Регистратор.Номенклатура]]</f>
        <v>Вольф</v>
      </c>
      <c r="V323" s="45">
        <f>Таблица310[[#This Row],[Регистратор.Вес нетто]]/(192870/46.5)</f>
        <v>1.620158656089594</v>
      </c>
      <c r="W323" s="72" t="s">
        <v>50</v>
      </c>
      <c r="X323" s="72" t="s">
        <v>178</v>
      </c>
      <c r="Y323" s="40">
        <v>6</v>
      </c>
      <c r="Z323" s="103">
        <v>45823</v>
      </c>
      <c r="AA323" s="40"/>
      <c r="AB323" s="40"/>
      <c r="AC323" s="40" t="s">
        <v>420</v>
      </c>
      <c r="AD323" s="40" t="s">
        <v>550</v>
      </c>
      <c r="AE323" s="40">
        <v>419</v>
      </c>
      <c r="AF323" s="103">
        <v>45823</v>
      </c>
      <c r="AG323" s="40" t="s">
        <v>902</v>
      </c>
      <c r="AH323" s="40">
        <f>VLOOKUP(Таблица310[[#This Row],[№ акта]],'Степень зрелости 2025'!$H$13:$I$583,2,FALSE)</f>
        <v>64</v>
      </c>
      <c r="AI323" s="40">
        <f>VLOOKUP(Таблица310[[#This Row],[№ акта]],$AQ$1:$AT$594,2,FALSE)</f>
        <v>50</v>
      </c>
      <c r="AJ323" s="40" t="str">
        <f>Таблица310[[#This Row],[Регистратор.Номенклатура]]</f>
        <v>Вольф</v>
      </c>
      <c r="AK323" s="40" t="str">
        <f>VLOOKUP(Таблица310[[#This Row],[№ акта]],$AQ$1:$AT$594,4,FALSE)</f>
        <v>Братковский (полив)</v>
      </c>
      <c r="AL323" s="45">
        <f>VLOOKUP(Таблица310[[#This Row],[№ акта]],$AQ$1:$AT$594,3,FALSE)</f>
        <v>1.620158656089594</v>
      </c>
      <c r="AM323" s="40" t="str">
        <f>IF(Таблица310[[#This Row],[Площадь уборки, га]]=Таблица310[[#This Row],[Площадь уборки до корр]],"нет","да")</f>
        <v>нет</v>
      </c>
      <c r="AN323" s="45">
        <f>Таблица310[[#This Row],[Площадь уборки до корр]]-Таблица310[[#This Row],[Площадь уборки, га]]</f>
        <v>0</v>
      </c>
      <c r="AQ323">
        <v>419</v>
      </c>
      <c r="AR323">
        <v>50</v>
      </c>
      <c r="AS323">
        <v>1.620158656089594</v>
      </c>
      <c r="AT323" t="s">
        <v>50</v>
      </c>
      <c r="XEM323" s="72"/>
      <c r="XEN323" s="73"/>
      <c r="XEO323" s="74"/>
      <c r="XEP323" s="75"/>
      <c r="XEQ323" s="76"/>
      <c r="XER323" s="73"/>
    </row>
    <row r="324" spans="1:46 16367:16372" ht="25.5" hidden="1" customHeight="1" x14ac:dyDescent="0.25">
      <c r="A324" s="72"/>
      <c r="B324" s="73"/>
      <c r="C324" s="120">
        <f>Таблица310[[#This Row],[Степень зрелости вспом]]</f>
        <v>71</v>
      </c>
      <c r="D324" s="75">
        <v>420</v>
      </c>
      <c r="E324" s="146">
        <v>45823</v>
      </c>
      <c r="F324" s="73">
        <v>28140</v>
      </c>
      <c r="G324" s="73">
        <v>13450</v>
      </c>
      <c r="H324" s="77">
        <v>14690</v>
      </c>
      <c r="I324" s="73">
        <v>12374</v>
      </c>
      <c r="J324" s="72" t="s">
        <v>903</v>
      </c>
      <c r="K324" s="72" t="s">
        <v>916</v>
      </c>
      <c r="L324" s="72">
        <v>44</v>
      </c>
      <c r="M324" s="35" t="s">
        <v>262</v>
      </c>
      <c r="N324" s="40"/>
      <c r="O324" s="72"/>
      <c r="P324" s="72"/>
      <c r="Q324" s="72"/>
      <c r="R324" s="72" t="s">
        <v>266</v>
      </c>
      <c r="S324" s="40"/>
      <c r="T324" s="106">
        <v>50</v>
      </c>
      <c r="U324" s="68" t="str">
        <f>Таблица310[[#This Row],[Регистратор.Номенклатура]]</f>
        <v>Вольф</v>
      </c>
      <c r="V324" s="45">
        <f>Таблица310[[#This Row],[Регистратор.Вес нетто]]/(192870/46.5)</f>
        <v>3.2427282625602736</v>
      </c>
      <c r="W324" s="72" t="s">
        <v>50</v>
      </c>
      <c r="X324" s="72" t="s">
        <v>178</v>
      </c>
      <c r="Y324" s="40">
        <v>6</v>
      </c>
      <c r="Z324" s="103">
        <v>45823</v>
      </c>
      <c r="AA324" s="40"/>
      <c r="AB324" s="40"/>
      <c r="AC324" s="40" t="s">
        <v>420</v>
      </c>
      <c r="AD324" s="40" t="s">
        <v>550</v>
      </c>
      <c r="AE324" s="40">
        <v>420</v>
      </c>
      <c r="AF324" s="103">
        <v>45823</v>
      </c>
      <c r="AG324" s="40" t="s">
        <v>902</v>
      </c>
      <c r="AH324" s="40">
        <f>VLOOKUP(Таблица310[[#This Row],[№ акта]],'Степень зрелости 2025'!$H$13:$I$583,2,FALSE)</f>
        <v>71</v>
      </c>
      <c r="AI324" s="40">
        <f>VLOOKUP(Таблица310[[#This Row],[№ акта]],$AQ$1:$AT$594,2,FALSE)</f>
        <v>50</v>
      </c>
      <c r="AJ324" s="40" t="str">
        <f>Таблица310[[#This Row],[Регистратор.Номенклатура]]</f>
        <v>Вольф</v>
      </c>
      <c r="AK324" s="40" t="str">
        <f>VLOOKUP(Таблица310[[#This Row],[№ акта]],$AQ$1:$AT$594,4,FALSE)</f>
        <v>Братковский (полив)</v>
      </c>
      <c r="AL324" s="45">
        <f>VLOOKUP(Таблица310[[#This Row],[№ акта]],$AQ$1:$AT$594,3,FALSE)</f>
        <v>3.2427282625602736</v>
      </c>
      <c r="AM324" s="40" t="str">
        <f>IF(Таблица310[[#This Row],[Площадь уборки, га]]=Таблица310[[#This Row],[Площадь уборки до корр]],"нет","да")</f>
        <v>нет</v>
      </c>
      <c r="AN324" s="45">
        <f>Таблица310[[#This Row],[Площадь уборки до корр]]-Таблица310[[#This Row],[Площадь уборки, га]]</f>
        <v>0</v>
      </c>
      <c r="AQ324">
        <v>420</v>
      </c>
      <c r="AR324">
        <v>50</v>
      </c>
      <c r="AS324">
        <v>3.2427282625602736</v>
      </c>
      <c r="AT324" t="s">
        <v>50</v>
      </c>
      <c r="XEM324" s="72"/>
      <c r="XEN324" s="73"/>
      <c r="XEO324" s="74"/>
      <c r="XEP324" s="75"/>
      <c r="XEQ324" s="76"/>
      <c r="XER324" s="73"/>
    </row>
    <row r="325" spans="1:46 16367:16372" ht="33.75" hidden="1" x14ac:dyDescent="0.25">
      <c r="A325" s="40"/>
      <c r="B325" s="41"/>
      <c r="C325" s="120">
        <f>Таблица310[[#This Row],[Степень зрелости вспом]]</f>
        <v>68</v>
      </c>
      <c r="D325" s="42">
        <v>421</v>
      </c>
      <c r="E325" s="147">
        <v>45823</v>
      </c>
      <c r="F325" s="41">
        <v>28130</v>
      </c>
      <c r="G325" s="41">
        <v>13130</v>
      </c>
      <c r="H325" s="69">
        <v>15000</v>
      </c>
      <c r="I325" s="41">
        <v>12276.5</v>
      </c>
      <c r="J325" s="40" t="s">
        <v>903</v>
      </c>
      <c r="K325" s="40" t="s">
        <v>916</v>
      </c>
      <c r="L325" s="40">
        <v>44</v>
      </c>
      <c r="M325" s="35" t="s">
        <v>311</v>
      </c>
      <c r="N325" s="40"/>
      <c r="O325" s="40"/>
      <c r="P325" s="40"/>
      <c r="Q325" s="40"/>
      <c r="R325" s="40" t="s">
        <v>315</v>
      </c>
      <c r="S325" s="40"/>
      <c r="T325" s="106">
        <v>50</v>
      </c>
      <c r="U325" s="68" t="str">
        <f>Таблица310[[#This Row],[Регистратор.Номенклатура]]</f>
        <v>Вольф</v>
      </c>
      <c r="V325" s="45">
        <f>Таблица310[[#This Row],[Регистратор.Вес нетто]]/(192870/46.5)</f>
        <v>3.1655778503655312</v>
      </c>
      <c r="W325" s="40" t="s">
        <v>50</v>
      </c>
      <c r="X325" s="40" t="s">
        <v>178</v>
      </c>
      <c r="Y325" s="40">
        <v>6</v>
      </c>
      <c r="Z325" s="103">
        <v>45823</v>
      </c>
      <c r="AA325" s="40"/>
      <c r="AB325" s="40"/>
      <c r="AC325" s="40" t="s">
        <v>420</v>
      </c>
      <c r="AD325" s="40" t="s">
        <v>550</v>
      </c>
      <c r="AE325" s="40">
        <v>421</v>
      </c>
      <c r="AF325" s="103">
        <v>45823</v>
      </c>
      <c r="AG325" s="40" t="s">
        <v>902</v>
      </c>
      <c r="AH325" s="40">
        <f>VLOOKUP(Таблица310[[#This Row],[№ акта]],'Степень зрелости 2025'!$H$13:$I$583,2,FALSE)</f>
        <v>68</v>
      </c>
      <c r="AI325" s="40">
        <f>VLOOKUP(Таблица310[[#This Row],[№ акта]],$AQ$1:$AT$594,2,FALSE)</f>
        <v>50</v>
      </c>
      <c r="AJ325" s="40" t="str">
        <f>Таблица310[[#This Row],[Регистратор.Номенклатура]]</f>
        <v>Вольф</v>
      </c>
      <c r="AK325" s="40" t="str">
        <f>VLOOKUP(Таблица310[[#This Row],[№ акта]],$AQ$1:$AT$594,4,FALSE)</f>
        <v>Братковский (полив)</v>
      </c>
      <c r="AL325" s="45">
        <f>VLOOKUP(Таблица310[[#This Row],[№ акта]],$AQ$1:$AT$594,3,FALSE)</f>
        <v>3.1655778503655312</v>
      </c>
      <c r="AM325" s="40" t="str">
        <f>IF(Таблица310[[#This Row],[Площадь уборки, га]]=Таблица310[[#This Row],[Площадь уборки до корр]],"нет","да")</f>
        <v>нет</v>
      </c>
      <c r="AN325" s="45">
        <f>Таблица310[[#This Row],[Площадь уборки до корр]]-Таблица310[[#This Row],[Площадь уборки, га]]</f>
        <v>0</v>
      </c>
      <c r="AQ325">
        <v>421</v>
      </c>
      <c r="AR325">
        <v>50</v>
      </c>
      <c r="AS325">
        <v>3.1655778503655312</v>
      </c>
      <c r="AT325" t="s">
        <v>50</v>
      </c>
    </row>
    <row r="326" spans="1:46 16367:16372" ht="33.75" hidden="1" x14ac:dyDescent="0.25">
      <c r="A326" s="40"/>
      <c r="B326" s="41"/>
      <c r="C326" s="120">
        <f>Таблица310[[#This Row],[Степень зрелости вспом]]</f>
        <v>69</v>
      </c>
      <c r="D326" s="42">
        <v>422</v>
      </c>
      <c r="E326" s="147">
        <v>45823</v>
      </c>
      <c r="F326" s="41">
        <v>27790</v>
      </c>
      <c r="G326" s="41">
        <v>13170</v>
      </c>
      <c r="H326" s="69">
        <v>14620</v>
      </c>
      <c r="I326" s="41">
        <v>12182.2</v>
      </c>
      <c r="J326" s="40" t="s">
        <v>903</v>
      </c>
      <c r="K326" s="40" t="s">
        <v>916</v>
      </c>
      <c r="L326" s="40">
        <v>43</v>
      </c>
      <c r="M326" s="35" t="s">
        <v>121</v>
      </c>
      <c r="N326" s="40"/>
      <c r="O326" s="40"/>
      <c r="P326" s="40"/>
      <c r="Q326" s="40"/>
      <c r="R326" s="40" t="s">
        <v>125</v>
      </c>
      <c r="S326" s="40"/>
      <c r="T326" s="106">
        <v>41</v>
      </c>
      <c r="U326" s="68" t="str">
        <f>Таблица310[[#This Row],[Регистратор.Номенклатура]]</f>
        <v>Вольф</v>
      </c>
      <c r="V326" s="45">
        <f>37.9*Таблица310[[#This Row],[Регистратор.Вес нетто]]/315870</f>
        <v>1.5802165447810808</v>
      </c>
      <c r="W326" s="40" t="s">
        <v>50</v>
      </c>
      <c r="X326" s="40" t="s">
        <v>178</v>
      </c>
      <c r="Y326" s="40">
        <v>6</v>
      </c>
      <c r="Z326" s="103">
        <v>45823</v>
      </c>
      <c r="AA326" s="40"/>
      <c r="AB326" s="40"/>
      <c r="AC326" s="40" t="s">
        <v>420</v>
      </c>
      <c r="AD326" s="40" t="s">
        <v>550</v>
      </c>
      <c r="AE326" s="40">
        <v>422</v>
      </c>
      <c r="AF326" s="103">
        <v>45823</v>
      </c>
      <c r="AG326" s="40" t="s">
        <v>902</v>
      </c>
      <c r="AH326" s="40">
        <f>VLOOKUP(Таблица310[[#This Row],[№ акта]],'Степень зрелости 2025'!$H$13:$I$583,2,FALSE)</f>
        <v>69</v>
      </c>
      <c r="AI326" s="40">
        <f>VLOOKUP(Таблица310[[#This Row],[№ акта]],$AQ$1:$AT$594,2,FALSE)</f>
        <v>41</v>
      </c>
      <c r="AJ326" s="40" t="str">
        <f>Таблица310[[#This Row],[Регистратор.Номенклатура]]</f>
        <v>Вольф</v>
      </c>
      <c r="AK326" s="40" t="str">
        <f>VLOOKUP(Таблица310[[#This Row],[№ акта]],$AQ$1:$AT$594,4,FALSE)</f>
        <v>Братковский (полив)</v>
      </c>
      <c r="AL326" s="45">
        <f>VLOOKUP(Таблица310[[#This Row],[№ акта]],$AQ$1:$AT$594,3,FALSE)</f>
        <v>1.5802165447810808</v>
      </c>
      <c r="AM326" s="40" t="str">
        <f>IF(Таблица310[[#This Row],[Площадь уборки, га]]=Таблица310[[#This Row],[Площадь уборки до корр]],"нет","да")</f>
        <v>нет</v>
      </c>
      <c r="AN326" s="45">
        <f>Таблица310[[#This Row],[Площадь уборки до корр]]-Таблица310[[#This Row],[Площадь уборки, га]]</f>
        <v>0</v>
      </c>
      <c r="AQ326">
        <v>422</v>
      </c>
      <c r="AR326">
        <v>41</v>
      </c>
      <c r="AS326">
        <v>1.5802165447810808</v>
      </c>
      <c r="AT326" t="s">
        <v>50</v>
      </c>
    </row>
    <row r="327" spans="1:46 16367:16372" ht="22.5" hidden="1" x14ac:dyDescent="0.25">
      <c r="A327" s="40"/>
      <c r="B327" s="41"/>
      <c r="C327" s="120">
        <f>Таблица310[[#This Row],[Степень зрелости вспом]]</f>
        <v>70</v>
      </c>
      <c r="D327" s="42">
        <v>423</v>
      </c>
      <c r="E327" s="147">
        <v>45823</v>
      </c>
      <c r="F327" s="41">
        <v>28530</v>
      </c>
      <c r="G327" s="41">
        <v>12950</v>
      </c>
      <c r="H327" s="69">
        <v>15580</v>
      </c>
      <c r="I327" s="41">
        <v>11784.5</v>
      </c>
      <c r="J327" s="40" t="s">
        <v>903</v>
      </c>
      <c r="K327" s="40" t="s">
        <v>916</v>
      </c>
      <c r="L327" s="40">
        <v>43</v>
      </c>
      <c r="M327" s="35" t="s">
        <v>234</v>
      </c>
      <c r="N327" s="40"/>
      <c r="O327" s="40"/>
      <c r="P327" s="40"/>
      <c r="Q327" s="40"/>
      <c r="R327" s="40" t="s">
        <v>238</v>
      </c>
      <c r="S327" s="40"/>
      <c r="T327" s="106">
        <v>41</v>
      </c>
      <c r="U327" s="68" t="str">
        <f>Таблица310[[#This Row],[Регистратор.Номенклатура]]</f>
        <v>Вольф</v>
      </c>
      <c r="V327" s="45">
        <f>37.9*Таблица310[[#This Row],[Регистратор.Вес нетто]]/315870</f>
        <v>1.5538196093329535</v>
      </c>
      <c r="W327" s="40" t="s">
        <v>50</v>
      </c>
      <c r="X327" s="40" t="s">
        <v>178</v>
      </c>
      <c r="Y327" s="40">
        <v>6</v>
      </c>
      <c r="Z327" s="103">
        <v>45823</v>
      </c>
      <c r="AA327" s="40"/>
      <c r="AB327" s="40"/>
      <c r="AC327" s="40" t="s">
        <v>420</v>
      </c>
      <c r="AD327" s="40" t="s">
        <v>550</v>
      </c>
      <c r="AE327" s="40">
        <v>423</v>
      </c>
      <c r="AF327" s="103">
        <v>45823</v>
      </c>
      <c r="AG327" s="40" t="s">
        <v>902</v>
      </c>
      <c r="AH327" s="40">
        <f>VLOOKUP(Таблица310[[#This Row],[№ акта]],'Степень зрелости 2025'!$H$13:$I$583,2,FALSE)</f>
        <v>70</v>
      </c>
      <c r="AI327" s="40">
        <f>VLOOKUP(Таблица310[[#This Row],[№ акта]],$AQ$1:$AT$594,2,FALSE)</f>
        <v>41</v>
      </c>
      <c r="AJ327" s="40" t="str">
        <f>Таблица310[[#This Row],[Регистратор.Номенклатура]]</f>
        <v>Вольф</v>
      </c>
      <c r="AK327" s="40" t="str">
        <f>VLOOKUP(Таблица310[[#This Row],[№ акта]],$AQ$1:$AT$594,4,FALSE)</f>
        <v>Братковский (полив)</v>
      </c>
      <c r="AL327" s="45">
        <f>VLOOKUP(Таблица310[[#This Row],[№ акта]],$AQ$1:$AT$594,3,FALSE)</f>
        <v>1.5538196093329535</v>
      </c>
      <c r="AM327" s="40" t="str">
        <f>IF(Таблица310[[#This Row],[Площадь уборки, га]]=Таблица310[[#This Row],[Площадь уборки до корр]],"нет","да")</f>
        <v>нет</v>
      </c>
      <c r="AN327" s="45">
        <f>Таблица310[[#This Row],[Площадь уборки до корр]]-Таблица310[[#This Row],[Площадь уборки, га]]</f>
        <v>0</v>
      </c>
      <c r="AQ327">
        <v>423</v>
      </c>
      <c r="AR327">
        <v>41</v>
      </c>
      <c r="AS327">
        <v>1.5538196093329535</v>
      </c>
      <c r="AT327" t="s">
        <v>50</v>
      </c>
    </row>
    <row r="328" spans="1:46 16367:16372" ht="22.5" hidden="1" x14ac:dyDescent="0.25">
      <c r="A328" s="40"/>
      <c r="B328" s="41"/>
      <c r="C328" s="120">
        <f>Таблица310[[#This Row],[Степень зрелости вспом]]</f>
        <v>72</v>
      </c>
      <c r="D328" s="42">
        <v>424</v>
      </c>
      <c r="E328" s="147">
        <v>45823</v>
      </c>
      <c r="F328" s="41">
        <v>28040</v>
      </c>
      <c r="G328" s="41">
        <v>13150</v>
      </c>
      <c r="H328" s="69">
        <v>14890</v>
      </c>
      <c r="I328" s="41">
        <v>12229.5</v>
      </c>
      <c r="J328" s="40" t="s">
        <v>903</v>
      </c>
      <c r="K328" s="40" t="s">
        <v>916</v>
      </c>
      <c r="L328" s="40">
        <v>43</v>
      </c>
      <c r="M328" s="35" t="s">
        <v>894</v>
      </c>
      <c r="N328" s="40"/>
      <c r="O328" s="40"/>
      <c r="P328" s="40"/>
      <c r="Q328" s="40"/>
      <c r="R328" s="40" t="s">
        <v>895</v>
      </c>
      <c r="S328" s="40"/>
      <c r="T328" s="106">
        <v>41</v>
      </c>
      <c r="U328" s="68" t="str">
        <f>Таблица310[[#This Row],[Регистратор.Номенклатура]]</f>
        <v>Вольф</v>
      </c>
      <c r="V328" s="45">
        <f>37.9*Таблица310[[#This Row],[Регистратор.Вес нетто]]/315870</f>
        <v>1.5778168233767056</v>
      </c>
      <c r="W328" s="40" t="s">
        <v>50</v>
      </c>
      <c r="X328" s="40" t="s">
        <v>178</v>
      </c>
      <c r="Y328" s="40">
        <v>6</v>
      </c>
      <c r="Z328" s="103">
        <v>45823</v>
      </c>
      <c r="AA328" s="40"/>
      <c r="AB328" s="40"/>
      <c r="AC328" s="40" t="s">
        <v>420</v>
      </c>
      <c r="AD328" s="40" t="s">
        <v>550</v>
      </c>
      <c r="AE328" s="40">
        <v>424</v>
      </c>
      <c r="AF328" s="103">
        <v>45823</v>
      </c>
      <c r="AG328" s="40" t="s">
        <v>902</v>
      </c>
      <c r="AH328" s="40">
        <f>VLOOKUP(Таблица310[[#This Row],[№ акта]],'Степень зрелости 2025'!$H$13:$I$583,2,FALSE)</f>
        <v>72</v>
      </c>
      <c r="AI328" s="40">
        <f>VLOOKUP(Таблица310[[#This Row],[№ акта]],$AQ$1:$AT$594,2,FALSE)</f>
        <v>41</v>
      </c>
      <c r="AJ328" s="40" t="str">
        <f>Таблица310[[#This Row],[Регистратор.Номенклатура]]</f>
        <v>Вольф</v>
      </c>
      <c r="AK328" s="40" t="str">
        <f>VLOOKUP(Таблица310[[#This Row],[№ акта]],$AQ$1:$AT$594,4,FALSE)</f>
        <v>Братковский (полив)</v>
      </c>
      <c r="AL328" s="45">
        <f>VLOOKUP(Таблица310[[#This Row],[№ акта]],$AQ$1:$AT$594,3,FALSE)</f>
        <v>1.5778168233767056</v>
      </c>
      <c r="AM328" s="40" t="str">
        <f>IF(Таблица310[[#This Row],[Площадь уборки, га]]=Таблица310[[#This Row],[Площадь уборки до корр]],"нет","да")</f>
        <v>нет</v>
      </c>
      <c r="AN328" s="45">
        <f>Таблица310[[#This Row],[Площадь уборки до корр]]-Таблица310[[#This Row],[Площадь уборки, га]]</f>
        <v>0</v>
      </c>
      <c r="AQ328">
        <v>424</v>
      </c>
      <c r="AR328">
        <v>41</v>
      </c>
      <c r="AS328">
        <v>1.5778168233767056</v>
      </c>
      <c r="AT328" t="s">
        <v>50</v>
      </c>
    </row>
    <row r="329" spans="1:46 16367:16372" ht="22.5" hidden="1" x14ac:dyDescent="0.25">
      <c r="A329" s="40"/>
      <c r="B329" s="41"/>
      <c r="C329" s="120">
        <f>Таблица310[[#This Row],[Степень зрелости вспом]]</f>
        <v>72</v>
      </c>
      <c r="D329" s="42">
        <v>425</v>
      </c>
      <c r="E329" s="147">
        <v>45824</v>
      </c>
      <c r="F329" s="41">
        <v>27690</v>
      </c>
      <c r="G329" s="41">
        <v>12990</v>
      </c>
      <c r="H329" s="69">
        <v>14700</v>
      </c>
      <c r="I329" s="41">
        <v>11755.9</v>
      </c>
      <c r="J329" s="40" t="s">
        <v>903</v>
      </c>
      <c r="K329" s="40" t="s">
        <v>916</v>
      </c>
      <c r="L329" s="40">
        <v>43</v>
      </c>
      <c r="M329" s="35" t="s">
        <v>133</v>
      </c>
      <c r="N329" s="40"/>
      <c r="O329" s="40"/>
      <c r="P329" s="40"/>
      <c r="Q329" s="40"/>
      <c r="R329" s="40" t="s">
        <v>137</v>
      </c>
      <c r="S329" s="40"/>
      <c r="T329" s="106">
        <v>41</v>
      </c>
      <c r="U329" s="68" t="str">
        <f>Таблица310[[#This Row],[Регистратор.Номенклатура]]</f>
        <v>Вольф</v>
      </c>
      <c r="V329" s="45">
        <f>37.9*Таблица310[[#This Row],[Регистратор.Вес нетто]]/315870</f>
        <v>1.5586190521417038</v>
      </c>
      <c r="W329" s="40" t="s">
        <v>50</v>
      </c>
      <c r="X329" s="40" t="s">
        <v>178</v>
      </c>
      <c r="Y329" s="40">
        <v>6</v>
      </c>
      <c r="Z329" s="103">
        <v>45823</v>
      </c>
      <c r="AA329" s="40"/>
      <c r="AB329" s="40"/>
      <c r="AC329" s="40" t="s">
        <v>420</v>
      </c>
      <c r="AD329" s="40" t="s">
        <v>550</v>
      </c>
      <c r="AE329" s="40">
        <v>425</v>
      </c>
      <c r="AF329" s="103">
        <v>45824</v>
      </c>
      <c r="AG329" s="40" t="s">
        <v>902</v>
      </c>
      <c r="AH329" s="40">
        <f>VLOOKUP(Таблица310[[#This Row],[№ акта]],'Степень зрелости 2025'!$H$13:$I$583,2,FALSE)</f>
        <v>72</v>
      </c>
      <c r="AI329" s="40">
        <f>VLOOKUP(Таблица310[[#This Row],[№ акта]],$AQ$1:$AT$594,2,FALSE)</f>
        <v>41</v>
      </c>
      <c r="AJ329" s="40" t="str">
        <f>Таблица310[[#This Row],[Регистратор.Номенклатура]]</f>
        <v>Вольф</v>
      </c>
      <c r="AK329" s="40" t="str">
        <f>VLOOKUP(Таблица310[[#This Row],[№ акта]],$AQ$1:$AT$594,4,FALSE)</f>
        <v>Братковский (полив)</v>
      </c>
      <c r="AL329" s="45">
        <f>VLOOKUP(Таблица310[[#This Row],[№ акта]],$AQ$1:$AT$594,3,FALSE)</f>
        <v>1.5586190521417038</v>
      </c>
      <c r="AM329" s="40" t="str">
        <f>IF(Таблица310[[#This Row],[Площадь уборки, га]]=Таблица310[[#This Row],[Площадь уборки до корр]],"нет","да")</f>
        <v>нет</v>
      </c>
      <c r="AN329" s="45">
        <f>Таблица310[[#This Row],[Площадь уборки до корр]]-Таблица310[[#This Row],[Площадь уборки, га]]</f>
        <v>0</v>
      </c>
      <c r="AQ329">
        <v>425</v>
      </c>
      <c r="AR329">
        <v>41</v>
      </c>
      <c r="AS329">
        <v>1.5586190521417038</v>
      </c>
      <c r="AT329" t="s">
        <v>50</v>
      </c>
    </row>
    <row r="330" spans="1:46 16367:16372" ht="22.5" hidden="1" x14ac:dyDescent="0.25">
      <c r="A330" s="40"/>
      <c r="B330" s="41"/>
      <c r="C330" s="120">
        <f>Таблица310[[#This Row],[Степень зрелости вспом]]</f>
        <v>71</v>
      </c>
      <c r="D330" s="42">
        <v>426</v>
      </c>
      <c r="E330" s="147">
        <v>45824</v>
      </c>
      <c r="F330" s="41">
        <v>27340</v>
      </c>
      <c r="G330" s="41">
        <v>12910</v>
      </c>
      <c r="H330" s="69">
        <v>14430</v>
      </c>
      <c r="I330" s="41">
        <v>11683.5</v>
      </c>
      <c r="J330" s="40" t="s">
        <v>903</v>
      </c>
      <c r="K330" s="40" t="s">
        <v>916</v>
      </c>
      <c r="L330" s="40">
        <v>43</v>
      </c>
      <c r="M330" s="35" t="s">
        <v>1312</v>
      </c>
      <c r="N330" s="40"/>
      <c r="O330" s="40"/>
      <c r="P330" s="40"/>
      <c r="Q330" s="40"/>
      <c r="R330" s="40" t="s">
        <v>320</v>
      </c>
      <c r="S330" s="40"/>
      <c r="T330" s="106">
        <v>41</v>
      </c>
      <c r="U330" s="68" t="str">
        <f>Таблица310[[#This Row],[Регистратор.Номенклатура]]</f>
        <v>Вольф</v>
      </c>
      <c r="V330" s="45">
        <f>37.9*Таблица310[[#This Row],[Регистратор.Вес нетто]]/315870</f>
        <v>1.5490201665242029</v>
      </c>
      <c r="W330" s="40" t="s">
        <v>50</v>
      </c>
      <c r="X330" s="40" t="s">
        <v>178</v>
      </c>
      <c r="Y330" s="40">
        <v>6</v>
      </c>
      <c r="Z330" s="103">
        <v>45823</v>
      </c>
      <c r="AA330" s="40"/>
      <c r="AB330" s="40"/>
      <c r="AC330" s="40" t="s">
        <v>420</v>
      </c>
      <c r="AD330" s="40" t="s">
        <v>550</v>
      </c>
      <c r="AE330" s="40">
        <v>426</v>
      </c>
      <c r="AF330" s="103">
        <v>45824</v>
      </c>
      <c r="AG330" s="40" t="s">
        <v>902</v>
      </c>
      <c r="AH330" s="40">
        <f>VLOOKUP(Таблица310[[#This Row],[№ акта]],'Степень зрелости 2025'!$H$13:$I$583,2,FALSE)</f>
        <v>71</v>
      </c>
      <c r="AI330" s="40">
        <f>VLOOKUP(Таблица310[[#This Row],[№ акта]],$AQ$1:$AT$594,2,FALSE)</f>
        <v>41</v>
      </c>
      <c r="AJ330" s="40" t="str">
        <f>Таблица310[[#This Row],[Регистратор.Номенклатура]]</f>
        <v>Вольф</v>
      </c>
      <c r="AK330" s="40" t="str">
        <f>VLOOKUP(Таблица310[[#This Row],[№ акта]],$AQ$1:$AT$594,4,FALSE)</f>
        <v>Братковский (полив)</v>
      </c>
      <c r="AL330" s="45">
        <f>VLOOKUP(Таблица310[[#This Row],[№ акта]],$AQ$1:$AT$594,3,FALSE)</f>
        <v>1.5490201665242029</v>
      </c>
      <c r="AM330" s="40" t="str">
        <f>IF(Таблица310[[#This Row],[Площадь уборки, га]]=Таблица310[[#This Row],[Площадь уборки до корр]],"нет","да")</f>
        <v>нет</v>
      </c>
      <c r="AN330" s="45">
        <f>Таблица310[[#This Row],[Площадь уборки до корр]]-Таблица310[[#This Row],[Площадь уборки, га]]</f>
        <v>0</v>
      </c>
      <c r="AQ330">
        <v>426</v>
      </c>
      <c r="AR330">
        <v>41</v>
      </c>
      <c r="AS330">
        <v>1.5490201665242029</v>
      </c>
      <c r="AT330" t="s">
        <v>50</v>
      </c>
    </row>
    <row r="331" spans="1:46 16367:16372" ht="22.5" hidden="1" x14ac:dyDescent="0.25">
      <c r="A331" s="40"/>
      <c r="B331" s="41"/>
      <c r="C331" s="120">
        <v>72</v>
      </c>
      <c r="D331" s="42">
        <v>427</v>
      </c>
      <c r="E331" s="147">
        <v>45824</v>
      </c>
      <c r="F331" s="41">
        <v>28260</v>
      </c>
      <c r="G331" s="41">
        <v>13330</v>
      </c>
      <c r="H331" s="69">
        <v>14930</v>
      </c>
      <c r="I331" s="41">
        <v>12196.9</v>
      </c>
      <c r="J331" s="40" t="s">
        <v>903</v>
      </c>
      <c r="K331" s="40" t="s">
        <v>916</v>
      </c>
      <c r="L331" s="40">
        <v>43</v>
      </c>
      <c r="M331" s="35" t="s">
        <v>151</v>
      </c>
      <c r="N331" s="40"/>
      <c r="O331" s="40"/>
      <c r="P331" s="40"/>
      <c r="Q331" s="40"/>
      <c r="R331" s="40" t="s">
        <v>155</v>
      </c>
      <c r="S331" s="40"/>
      <c r="T331" s="106">
        <v>41</v>
      </c>
      <c r="U331" s="68" t="str">
        <f>Таблица310[[#This Row],[Регистратор.Номенклатура]]</f>
        <v>Вольф</v>
      </c>
      <c r="V331" s="45">
        <f>37.9*Таблица310[[#This Row],[Регистратор.Вес нетто]]/315870</f>
        <v>1.5994143160160825</v>
      </c>
      <c r="W331" s="40" t="s">
        <v>50</v>
      </c>
      <c r="X331" s="40" t="s">
        <v>178</v>
      </c>
      <c r="Y331" s="40">
        <v>6</v>
      </c>
      <c r="Z331" s="103">
        <v>45823</v>
      </c>
      <c r="AA331" s="40"/>
      <c r="AB331" s="40"/>
      <c r="AC331" s="40" t="s">
        <v>420</v>
      </c>
      <c r="AD331" s="40" t="s">
        <v>833</v>
      </c>
      <c r="AE331" s="40">
        <v>427</v>
      </c>
      <c r="AF331" s="103">
        <v>45824</v>
      </c>
      <c r="AG331" s="40" t="s">
        <v>902</v>
      </c>
      <c r="AH331" s="40">
        <f>VLOOKUP(Таблица310[[#This Row],[№ акта]],'Степень зрелости 2025'!$H$13:$I$583,2,FALSE)</f>
        <v>72</v>
      </c>
      <c r="AI331" s="40">
        <f>VLOOKUP(Таблица310[[#This Row],[№ акта]],$AQ$1:$AT$594,2,FALSE)</f>
        <v>41</v>
      </c>
      <c r="AJ331" s="40" t="str">
        <f>Таблица310[[#This Row],[Регистратор.Номенклатура]]</f>
        <v>Вольф</v>
      </c>
      <c r="AK331" s="40" t="str">
        <f>VLOOKUP(Таблица310[[#This Row],[№ акта]],$AQ$1:$AT$594,4,FALSE)</f>
        <v>Братковский (полив)</v>
      </c>
      <c r="AL331" s="45">
        <f>VLOOKUP(Таблица310[[#This Row],[№ акта]],$AQ$1:$AT$594,3,FALSE)</f>
        <v>1.5994143160160825</v>
      </c>
      <c r="AM331" s="40" t="str">
        <f>IF(Таблица310[[#This Row],[Площадь уборки, га]]=Таблица310[[#This Row],[Площадь уборки до корр]],"нет","да")</f>
        <v>нет</v>
      </c>
      <c r="AN331" s="45">
        <f>Таблица310[[#This Row],[Площадь уборки до корр]]-Таблица310[[#This Row],[Площадь уборки, га]]</f>
        <v>0</v>
      </c>
      <c r="AQ331">
        <v>427</v>
      </c>
      <c r="AR331">
        <v>41</v>
      </c>
      <c r="AS331">
        <v>1.5994143160160825</v>
      </c>
      <c r="AT331" t="s">
        <v>50</v>
      </c>
    </row>
    <row r="332" spans="1:46 16367:16372" ht="22.5" hidden="1" x14ac:dyDescent="0.25">
      <c r="A332" s="40"/>
      <c r="B332" s="41"/>
      <c r="C332" s="120">
        <v>72</v>
      </c>
      <c r="D332" s="42">
        <v>428</v>
      </c>
      <c r="E332" s="147">
        <v>45824</v>
      </c>
      <c r="F332" s="41">
        <v>31920</v>
      </c>
      <c r="G332" s="41">
        <v>13120</v>
      </c>
      <c r="H332" s="69">
        <v>18800</v>
      </c>
      <c r="I332" s="41">
        <v>12398.4</v>
      </c>
      <c r="J332" s="40" t="s">
        <v>903</v>
      </c>
      <c r="K332" s="40" t="s">
        <v>916</v>
      </c>
      <c r="L332" s="40">
        <v>43</v>
      </c>
      <c r="M332" s="35" t="s">
        <v>347</v>
      </c>
      <c r="N332" s="40"/>
      <c r="O332" s="40"/>
      <c r="P332" s="40"/>
      <c r="Q332" s="40"/>
      <c r="R332" s="40" t="s">
        <v>351</v>
      </c>
      <c r="S332" s="40"/>
      <c r="T332" s="106">
        <v>41</v>
      </c>
      <c r="U332" s="68" t="str">
        <f>Таблица310[[#This Row],[Регистратор.Номенклатура]]</f>
        <v>Вольф</v>
      </c>
      <c r="V332" s="45">
        <f>37.9*Таблица310[[#This Row],[Регистратор.Вес нетто]]/315870</f>
        <v>1.5742172412701427</v>
      </c>
      <c r="W332" s="40" t="s">
        <v>50</v>
      </c>
      <c r="X332" s="40" t="s">
        <v>178</v>
      </c>
      <c r="Y332" s="40">
        <v>6</v>
      </c>
      <c r="Z332" s="103">
        <v>45823</v>
      </c>
      <c r="AA332" s="40"/>
      <c r="AB332" s="40"/>
      <c r="AC332" s="40" t="s">
        <v>420</v>
      </c>
      <c r="AD332" s="40" t="s">
        <v>833</v>
      </c>
      <c r="AE332" s="40">
        <v>428</v>
      </c>
      <c r="AF332" s="103">
        <v>45824</v>
      </c>
      <c r="AG332" s="40" t="s">
        <v>902</v>
      </c>
      <c r="AH332" s="40">
        <f>VLOOKUP(Таблица310[[#This Row],[№ акта]],'Степень зрелости 2025'!$H$13:$I$583,2,FALSE)</f>
        <v>72</v>
      </c>
      <c r="AI332" s="40">
        <f>VLOOKUP(Таблица310[[#This Row],[№ акта]],$AQ$1:$AT$594,2,FALSE)</f>
        <v>41</v>
      </c>
      <c r="AJ332" s="40" t="str">
        <f>Таблица310[[#This Row],[Регистратор.Номенклатура]]</f>
        <v>Вольф</v>
      </c>
      <c r="AK332" s="40" t="str">
        <f>VLOOKUP(Таблица310[[#This Row],[№ акта]],$AQ$1:$AT$594,4,FALSE)</f>
        <v>Братковский (полив)</v>
      </c>
      <c r="AL332" s="45">
        <f>VLOOKUP(Таблица310[[#This Row],[№ акта]],$AQ$1:$AT$594,3,FALSE)</f>
        <v>1.5742172412701427</v>
      </c>
      <c r="AM332" s="40" t="str">
        <f>IF(Таблица310[[#This Row],[Площадь уборки, га]]=Таблица310[[#This Row],[Площадь уборки до корр]],"нет","да")</f>
        <v>нет</v>
      </c>
      <c r="AN332" s="45">
        <f>Таблица310[[#This Row],[Площадь уборки до корр]]-Таблица310[[#This Row],[Площадь уборки, га]]</f>
        <v>0</v>
      </c>
      <c r="AQ332">
        <v>428</v>
      </c>
      <c r="AR332">
        <v>41</v>
      </c>
      <c r="AS332">
        <v>1.5742172412701427</v>
      </c>
      <c r="AT332" t="s">
        <v>50</v>
      </c>
    </row>
    <row r="333" spans="1:46 16367:16372" ht="22.5" hidden="1" x14ac:dyDescent="0.25">
      <c r="A333" s="40"/>
      <c r="B333" s="41"/>
      <c r="C333" s="120">
        <v>73</v>
      </c>
      <c r="D333" s="42">
        <v>429</v>
      </c>
      <c r="E333" s="147">
        <v>45824</v>
      </c>
      <c r="F333" s="41">
        <v>37340</v>
      </c>
      <c r="G333" s="41">
        <v>13310</v>
      </c>
      <c r="H333" s="69">
        <v>24030</v>
      </c>
      <c r="I333" s="41">
        <v>12245.2</v>
      </c>
      <c r="J333" s="40" t="s">
        <v>903</v>
      </c>
      <c r="K333" s="40" t="s">
        <v>916</v>
      </c>
      <c r="L333" s="40">
        <v>43</v>
      </c>
      <c r="M333" s="35" t="s">
        <v>160</v>
      </c>
      <c r="N333" s="40"/>
      <c r="O333" s="40"/>
      <c r="P333" s="40"/>
      <c r="Q333" s="40"/>
      <c r="R333" s="40" t="s">
        <v>164</v>
      </c>
      <c r="S333" s="40"/>
      <c r="T333" s="106">
        <v>41</v>
      </c>
      <c r="U333" s="68" t="str">
        <f>Таблица310[[#This Row],[Регистратор.Номенклатура]]</f>
        <v>Вольф</v>
      </c>
      <c r="V333" s="45">
        <f>37.9*Таблица310[[#This Row],[Регистратор.Вес нетто]]/315870</f>
        <v>1.5970145946117074</v>
      </c>
      <c r="W333" s="40" t="s">
        <v>50</v>
      </c>
      <c r="X333" s="40" t="s">
        <v>178</v>
      </c>
      <c r="Y333" s="40">
        <v>6</v>
      </c>
      <c r="Z333" s="103">
        <v>45823</v>
      </c>
      <c r="AA333" s="40"/>
      <c r="AB333" s="40"/>
      <c r="AC333" s="40" t="s">
        <v>420</v>
      </c>
      <c r="AD333" s="40" t="s">
        <v>833</v>
      </c>
      <c r="AE333" s="40">
        <v>429</v>
      </c>
      <c r="AF333" s="103">
        <v>45824</v>
      </c>
      <c r="AG333" s="40" t="s">
        <v>902</v>
      </c>
      <c r="AH333" s="40">
        <f>VLOOKUP(Таблица310[[#This Row],[№ акта]],'Степень зрелости 2025'!$H$13:$I$583,2,FALSE)</f>
        <v>73</v>
      </c>
      <c r="AI333" s="40">
        <f>VLOOKUP(Таблица310[[#This Row],[№ акта]],$AQ$1:$AT$594,2,FALSE)</f>
        <v>41</v>
      </c>
      <c r="AJ333" s="40" t="str">
        <f>Таблица310[[#This Row],[Регистратор.Номенклатура]]</f>
        <v>Вольф</v>
      </c>
      <c r="AK333" s="40" t="str">
        <f>VLOOKUP(Таблица310[[#This Row],[№ акта]],$AQ$1:$AT$594,4,FALSE)</f>
        <v>Братковский (полив)</v>
      </c>
      <c r="AL333" s="45">
        <f>VLOOKUP(Таблица310[[#This Row],[№ акта]],$AQ$1:$AT$594,3,FALSE)</f>
        <v>1.5970145946117074</v>
      </c>
      <c r="AM333" s="40" t="str">
        <f>IF(Таблица310[[#This Row],[Площадь уборки, га]]=Таблица310[[#This Row],[Площадь уборки до корр]],"нет","да")</f>
        <v>нет</v>
      </c>
      <c r="AN333" s="45">
        <f>Таблица310[[#This Row],[Площадь уборки до корр]]-Таблица310[[#This Row],[Площадь уборки, га]]</f>
        <v>0</v>
      </c>
      <c r="AQ333">
        <v>429</v>
      </c>
      <c r="AR333">
        <v>41</v>
      </c>
      <c r="AS333">
        <v>1.5970145946117074</v>
      </c>
      <c r="AT333" t="s">
        <v>50</v>
      </c>
    </row>
    <row r="334" spans="1:46 16367:16372" ht="22.5" hidden="1" x14ac:dyDescent="0.25">
      <c r="A334" s="40"/>
      <c r="B334" s="41"/>
      <c r="C334" s="120">
        <f>Таблица310[[#This Row],[Степень зрелости вспом]]</f>
        <v>69</v>
      </c>
      <c r="D334" s="42">
        <v>430</v>
      </c>
      <c r="E334" s="147">
        <v>45824</v>
      </c>
      <c r="F334" s="41">
        <v>28270</v>
      </c>
      <c r="G334" s="41">
        <v>6850</v>
      </c>
      <c r="H334" s="69">
        <v>21420</v>
      </c>
      <c r="I334" s="41">
        <v>6130.7</v>
      </c>
      <c r="J334" s="40" t="s">
        <v>903</v>
      </c>
      <c r="K334" s="40" t="s">
        <v>916</v>
      </c>
      <c r="L334" s="40" t="s">
        <v>110</v>
      </c>
      <c r="M334" s="35" t="s">
        <v>335</v>
      </c>
      <c r="N334" s="40"/>
      <c r="O334" s="40"/>
      <c r="P334" s="40"/>
      <c r="Q334" s="40"/>
      <c r="R334" s="40" t="s">
        <v>339</v>
      </c>
      <c r="S334" s="40"/>
      <c r="T334" s="106">
        <v>50</v>
      </c>
      <c r="U334" s="68" t="str">
        <f>Таблица310[[#This Row],[Регистратор.Номенклатура]]</f>
        <v>Вольф</v>
      </c>
      <c r="V334" s="45">
        <f>Таблица310[[#This Row],[Регистратор.Вес нетто]]/(192870/46.5)</f>
        <v>1.6515010110437081</v>
      </c>
      <c r="W334" s="40" t="s">
        <v>50</v>
      </c>
      <c r="X334" s="40" t="s">
        <v>178</v>
      </c>
      <c r="Y334" s="40">
        <v>6</v>
      </c>
      <c r="Z334" s="103">
        <v>45823</v>
      </c>
      <c r="AA334" s="40"/>
      <c r="AB334" s="40"/>
      <c r="AC334" s="40" t="s">
        <v>420</v>
      </c>
      <c r="AD334" s="40" t="s">
        <v>550</v>
      </c>
      <c r="AE334" s="40">
        <v>430</v>
      </c>
      <c r="AF334" s="103">
        <v>45824</v>
      </c>
      <c r="AG334" s="40" t="s">
        <v>902</v>
      </c>
      <c r="AH334" s="40">
        <f>VLOOKUP(Таблица310[[#This Row],[№ акта]],'Степень зрелости 2025'!$H$13:$I$583,2,FALSE)</f>
        <v>69</v>
      </c>
      <c r="AI334" s="40">
        <f>VLOOKUP(Таблица310[[#This Row],[№ акта]],$AQ$1:$AT$594,2,FALSE)</f>
        <v>50</v>
      </c>
      <c r="AJ334" s="40" t="str">
        <f>Таблица310[[#This Row],[Регистратор.Номенклатура]]</f>
        <v>Вольф</v>
      </c>
      <c r="AK334" s="40" t="str">
        <f>VLOOKUP(Таблица310[[#This Row],[№ акта]],$AQ$1:$AT$594,4,FALSE)</f>
        <v>Братковский (полив)</v>
      </c>
      <c r="AL334" s="45">
        <f>VLOOKUP(Таблица310[[#This Row],[№ акта]],$AQ$1:$AT$594,3,FALSE)</f>
        <v>1.6515010110437081</v>
      </c>
      <c r="AM334" s="40" t="str">
        <f>IF(Таблица310[[#This Row],[Площадь уборки, га]]=Таблица310[[#This Row],[Площадь уборки до корр]],"нет","да")</f>
        <v>нет</v>
      </c>
      <c r="AN334" s="45">
        <f>Таблица310[[#This Row],[Площадь уборки до корр]]-Таблица310[[#This Row],[Площадь уборки, га]]</f>
        <v>0</v>
      </c>
      <c r="AQ334">
        <v>430</v>
      </c>
      <c r="AR334">
        <v>50</v>
      </c>
      <c r="AS334">
        <v>1.6515010110437081</v>
      </c>
      <c r="AT334" t="s">
        <v>50</v>
      </c>
    </row>
    <row r="335" spans="1:46 16367:16372" ht="22.5" hidden="1" x14ac:dyDescent="0.25">
      <c r="A335" s="40"/>
      <c r="B335" s="41"/>
      <c r="C335" s="120">
        <f>Таблица310[[#This Row],[Степень зрелости вспом]]</f>
        <v>64</v>
      </c>
      <c r="D335" s="42">
        <v>431</v>
      </c>
      <c r="E335" s="147">
        <v>45824</v>
      </c>
      <c r="F335" s="41">
        <v>21420</v>
      </c>
      <c r="G335" s="41">
        <v>6650</v>
      </c>
      <c r="H335" s="69">
        <v>14770</v>
      </c>
      <c r="I335" s="41">
        <v>5685.7</v>
      </c>
      <c r="J335" s="40" t="s">
        <v>903</v>
      </c>
      <c r="K335" s="40" t="s">
        <v>916</v>
      </c>
      <c r="L335" s="40">
        <v>43</v>
      </c>
      <c r="M335" s="35" t="s">
        <v>335</v>
      </c>
      <c r="N335" s="40"/>
      <c r="O335" s="40"/>
      <c r="P335" s="40"/>
      <c r="Q335" s="40"/>
      <c r="R335" s="40" t="s">
        <v>339</v>
      </c>
      <c r="S335" s="40"/>
      <c r="T335" s="106">
        <v>41</v>
      </c>
      <c r="U335" s="68" t="str">
        <f>Таблица310[[#This Row],[Регистратор.Номенклатура]]</f>
        <v>Вольф</v>
      </c>
      <c r="V335" s="45">
        <f>37.9*Таблица310[[#This Row],[Регистратор.Вес нетто]]/315870</f>
        <v>0.79790736695475983</v>
      </c>
      <c r="W335" s="40" t="s">
        <v>50</v>
      </c>
      <c r="X335" s="40" t="s">
        <v>178</v>
      </c>
      <c r="Y335" s="40">
        <v>6</v>
      </c>
      <c r="Z335" s="103">
        <v>45823</v>
      </c>
      <c r="AA335" s="40"/>
      <c r="AB335" s="40"/>
      <c r="AC335" s="40" t="s">
        <v>420</v>
      </c>
      <c r="AD335" s="40" t="s">
        <v>550</v>
      </c>
      <c r="AE335" s="40">
        <v>431</v>
      </c>
      <c r="AF335" s="103">
        <v>45824</v>
      </c>
      <c r="AG335" s="40" t="s">
        <v>902</v>
      </c>
      <c r="AH335" s="40">
        <f>VLOOKUP(Таблица310[[#This Row],[№ акта]],'Степень зрелости 2025'!$H$13:$I$583,2,FALSE)</f>
        <v>64</v>
      </c>
      <c r="AI335" s="40">
        <f>VLOOKUP(Таблица310[[#This Row],[№ акта]],$AQ$1:$AT$594,2,FALSE)</f>
        <v>41</v>
      </c>
      <c r="AJ335" s="40" t="str">
        <f>Таблица310[[#This Row],[Регистратор.Номенклатура]]</f>
        <v>Вольф</v>
      </c>
      <c r="AK335" s="40" t="str">
        <f>VLOOKUP(Таблица310[[#This Row],[№ акта]],$AQ$1:$AT$594,4,FALSE)</f>
        <v>Братковский (полив)</v>
      </c>
      <c r="AL335" s="45">
        <f>VLOOKUP(Таблица310[[#This Row],[№ акта]],$AQ$1:$AT$594,3,FALSE)</f>
        <v>0.79790736695475983</v>
      </c>
      <c r="AM335" s="40" t="str">
        <f>IF(Таблица310[[#This Row],[Площадь уборки, га]]=Таблица310[[#This Row],[Площадь уборки до корр]],"нет","да")</f>
        <v>нет</v>
      </c>
      <c r="AN335" s="45">
        <f>Таблица310[[#This Row],[Площадь уборки до корр]]-Таблица310[[#This Row],[Площадь уборки, га]]</f>
        <v>0</v>
      </c>
      <c r="AQ335">
        <v>431</v>
      </c>
      <c r="AR335">
        <v>41</v>
      </c>
      <c r="AS335">
        <v>0.79790736695475983</v>
      </c>
      <c r="AT335" t="s">
        <v>50</v>
      </c>
    </row>
    <row r="336" spans="1:46 16367:16372" ht="22.5" hidden="1" x14ac:dyDescent="0.25">
      <c r="A336" s="40"/>
      <c r="B336" s="41"/>
      <c r="C336" s="120">
        <f>Таблица310[[#This Row],[Степень зрелости вспом]]</f>
        <v>44</v>
      </c>
      <c r="D336" s="42">
        <v>432</v>
      </c>
      <c r="E336" s="147">
        <v>45824</v>
      </c>
      <c r="F336" s="41">
        <v>6630</v>
      </c>
      <c r="G336" s="41">
        <v>2070</v>
      </c>
      <c r="H336" s="69">
        <v>4560</v>
      </c>
      <c r="I336" s="41">
        <v>1769.8</v>
      </c>
      <c r="J336" s="40" t="s">
        <v>914</v>
      </c>
      <c r="K336" s="40" t="s">
        <v>909</v>
      </c>
      <c r="L336" s="40">
        <v>15</v>
      </c>
      <c r="M336" s="35" t="s">
        <v>737</v>
      </c>
      <c r="N336" s="40"/>
      <c r="O336" s="40"/>
      <c r="P336" s="40"/>
      <c r="Q336" s="40"/>
      <c r="R336" s="40" t="s">
        <v>738</v>
      </c>
      <c r="S336" s="40"/>
      <c r="T336" s="40">
        <v>15</v>
      </c>
      <c r="U336" s="68" t="str">
        <f>Таблица310[[#This Row],[Регистратор.Номенклатура]]</f>
        <v>Тристар</v>
      </c>
      <c r="V336" s="45">
        <f>5*Таблица310[[#This Row],[Регистратор.Вес нетто]]/28730</f>
        <v>0.36025060911938739</v>
      </c>
      <c r="W336" s="40" t="s">
        <v>52</v>
      </c>
      <c r="X336" s="40" t="s">
        <v>178</v>
      </c>
      <c r="Y336" s="40">
        <v>1</v>
      </c>
      <c r="Z336" s="71">
        <v>45821</v>
      </c>
      <c r="AA336" s="40"/>
      <c r="AB336" s="40"/>
      <c r="AC336" s="40" t="s">
        <v>419</v>
      </c>
      <c r="AD336" s="40" t="s">
        <v>511</v>
      </c>
      <c r="AE336" s="40">
        <v>432</v>
      </c>
      <c r="AF336" s="103">
        <v>45824</v>
      </c>
      <c r="AG336" s="40" t="s">
        <v>902</v>
      </c>
      <c r="AH336" s="40">
        <f>VLOOKUP(Таблица310[[#This Row],[№ акта]],'Степень зрелости 2025'!$H$13:$I$583,2,FALSE)</f>
        <v>44</v>
      </c>
      <c r="AI336" s="40">
        <f>VLOOKUP(Таблица310[[#This Row],[№ акта]],$AQ$1:$AT$594,2,FALSE)</f>
        <v>15</v>
      </c>
      <c r="AJ336" s="40" t="str">
        <f>Таблица310[[#This Row],[Регистратор.Номенклатура]]</f>
        <v>Тристар</v>
      </c>
      <c r="AK336" s="40" t="str">
        <f>VLOOKUP(Таблица310[[#This Row],[№ акта]],$AQ$1:$AT$594,4,FALSE)</f>
        <v>Агролидер (полив)</v>
      </c>
      <c r="AL336" s="45">
        <f>VLOOKUP(Таблица310[[#This Row],[№ акта]],$AQ$1:$AT$594,3,FALSE)</f>
        <v>0.36025060911938739</v>
      </c>
      <c r="AM336" s="40" t="str">
        <f>IF(Таблица310[[#This Row],[Площадь уборки, га]]=Таблица310[[#This Row],[Площадь уборки до корр]],"нет","да")</f>
        <v>нет</v>
      </c>
      <c r="AN336" s="45">
        <f>Таблица310[[#This Row],[Площадь уборки до корр]]-Таблица310[[#This Row],[Площадь уборки, га]]</f>
        <v>0</v>
      </c>
      <c r="AQ336">
        <v>432</v>
      </c>
      <c r="AR336">
        <v>15</v>
      </c>
      <c r="AS336">
        <v>0.36025060911938739</v>
      </c>
      <c r="AT336" t="s">
        <v>52</v>
      </c>
    </row>
    <row r="337" spans="1:46" ht="33.75" hidden="1" x14ac:dyDescent="0.25">
      <c r="A337" s="40"/>
      <c r="B337" s="41"/>
      <c r="C337" s="120">
        <f>Таблица310[[#This Row],[Степень зрелости вспом]]</f>
        <v>69</v>
      </c>
      <c r="D337" s="42">
        <v>434</v>
      </c>
      <c r="E337" s="147">
        <v>45824</v>
      </c>
      <c r="F337" s="41">
        <v>27820</v>
      </c>
      <c r="G337" s="41">
        <v>6650</v>
      </c>
      <c r="H337" s="69">
        <v>21170</v>
      </c>
      <c r="I337" s="41">
        <v>5818.7</v>
      </c>
      <c r="J337" s="40" t="s">
        <v>903</v>
      </c>
      <c r="K337" s="40" t="s">
        <v>916</v>
      </c>
      <c r="L337" s="40">
        <v>44</v>
      </c>
      <c r="M337" s="35" t="s">
        <v>1253</v>
      </c>
      <c r="N337" s="40"/>
      <c r="O337" s="40"/>
      <c r="P337" s="40"/>
      <c r="Q337" s="40"/>
      <c r="R337" s="40" t="s">
        <v>270</v>
      </c>
      <c r="S337" s="40"/>
      <c r="T337" s="70" t="s">
        <v>1067</v>
      </c>
      <c r="U337" s="68" t="str">
        <f>Таблица310[[#This Row],[Регистратор.Номенклатура]]</f>
        <v>Вольф</v>
      </c>
      <c r="V337" s="45">
        <f>30.4*Таблица310[[#This Row],[Регистратор.Вес нетто]]/67190</f>
        <v>3.0087810686114005</v>
      </c>
      <c r="W337" s="40" t="s">
        <v>51</v>
      </c>
      <c r="X337" s="40" t="s">
        <v>178</v>
      </c>
      <c r="Y337" s="40">
        <v>7</v>
      </c>
      <c r="Z337" s="103">
        <v>45824</v>
      </c>
      <c r="AA337" s="40"/>
      <c r="AB337" s="40"/>
      <c r="AC337" s="40" t="s">
        <v>420</v>
      </c>
      <c r="AD337" s="40" t="s">
        <v>550</v>
      </c>
      <c r="AE337" s="40">
        <v>434</v>
      </c>
      <c r="AF337" s="103">
        <v>45824</v>
      </c>
      <c r="AG337" s="40">
        <v>87</v>
      </c>
      <c r="AH337" s="40">
        <f>VLOOKUP(Таблица310[[#This Row],[№ акта]],'Степень зрелости 2025'!$H$13:$I$583,2,FALSE)</f>
        <v>69</v>
      </c>
      <c r="AI337" s="40" t="str">
        <f>VLOOKUP(Таблица310[[#This Row],[№ акта]],$AQ$1:$AT$594,2,FALSE)</f>
        <v>закупка</v>
      </c>
      <c r="AJ337" s="40" t="str">
        <f>Таблица310[[#This Row],[Регистратор.Номенклатура]]</f>
        <v>Вольф</v>
      </c>
      <c r="AK337" s="40" t="str">
        <f>VLOOKUP(Таблица310[[#This Row],[№ акта]],$AQ$1:$AT$594,4,FALSE)</f>
        <v>Братковский закупка (полив)</v>
      </c>
      <c r="AL337" s="45">
        <f>VLOOKUP(Таблица310[[#This Row],[№ акта]],$AQ$1:$AT$594,3,FALSE)</f>
        <v>3.0087810686114005</v>
      </c>
      <c r="AM337" s="40" t="str">
        <f>IF(Таблица310[[#This Row],[Площадь уборки, га]]=Таблица310[[#This Row],[Площадь уборки до корр]],"нет","да")</f>
        <v>нет</v>
      </c>
      <c r="AN337" s="45">
        <f>Таблица310[[#This Row],[Площадь уборки до корр]]-Таблица310[[#This Row],[Площадь уборки, га]]</f>
        <v>0</v>
      </c>
      <c r="AQ337">
        <v>434</v>
      </c>
      <c r="AR337" t="s">
        <v>1067</v>
      </c>
      <c r="AS337">
        <v>3.0087810686114005</v>
      </c>
      <c r="AT337" t="s">
        <v>51</v>
      </c>
    </row>
    <row r="338" spans="1:46" ht="33.75" hidden="1" x14ac:dyDescent="0.25">
      <c r="A338" s="40"/>
      <c r="B338" s="41"/>
      <c r="C338" s="120">
        <f>Таблица310[[#This Row],[Степень зрелости вспом]]</f>
        <v>68</v>
      </c>
      <c r="D338" s="42">
        <v>435</v>
      </c>
      <c r="E338" s="147">
        <v>45824</v>
      </c>
      <c r="F338" s="41">
        <v>27950</v>
      </c>
      <c r="G338" s="41">
        <v>13280</v>
      </c>
      <c r="H338" s="69">
        <v>14670</v>
      </c>
      <c r="I338" s="41">
        <v>11885.6</v>
      </c>
      <c r="J338" s="40" t="s">
        <v>903</v>
      </c>
      <c r="K338" s="40" t="s">
        <v>916</v>
      </c>
      <c r="L338" s="40">
        <v>44</v>
      </c>
      <c r="M338" s="35" t="s">
        <v>272</v>
      </c>
      <c r="N338" s="40"/>
      <c r="O338" s="40"/>
      <c r="P338" s="40"/>
      <c r="Q338" s="40"/>
      <c r="R338" s="40" t="s">
        <v>276</v>
      </c>
      <c r="S338" s="40"/>
      <c r="T338" s="70" t="s">
        <v>1067</v>
      </c>
      <c r="U338" s="68" t="str">
        <f>Таблица310[[#This Row],[Регистратор.Номенклатура]]</f>
        <v>Вольф</v>
      </c>
      <c r="V338" s="45">
        <f>30.4*Таблица310[[#This Row],[Регистратор.Вес нетто]]/67190</f>
        <v>6.0085131716029174</v>
      </c>
      <c r="W338" s="40" t="s">
        <v>51</v>
      </c>
      <c r="X338" s="40" t="s">
        <v>178</v>
      </c>
      <c r="Y338" s="40">
        <v>7</v>
      </c>
      <c r="Z338" s="103">
        <v>45824</v>
      </c>
      <c r="AA338" s="40"/>
      <c r="AB338" s="40"/>
      <c r="AC338" s="40" t="s">
        <v>420</v>
      </c>
      <c r="AD338" s="40" t="s">
        <v>550</v>
      </c>
      <c r="AE338" s="40">
        <v>435</v>
      </c>
      <c r="AF338" s="103">
        <v>45824</v>
      </c>
      <c r="AG338" s="40">
        <v>47</v>
      </c>
      <c r="AH338" s="40">
        <f>VLOOKUP(Таблица310[[#This Row],[№ акта]],'Степень зрелости 2025'!$H$13:$I$583,2,FALSE)</f>
        <v>68</v>
      </c>
      <c r="AI338" s="40" t="str">
        <f>VLOOKUP(Таблица310[[#This Row],[№ акта]],$AQ$1:$AT$594,2,FALSE)</f>
        <v>закупка</v>
      </c>
      <c r="AJ338" s="40" t="str">
        <f>Таблица310[[#This Row],[Регистратор.Номенклатура]]</f>
        <v>Вольф</v>
      </c>
      <c r="AK338" s="40" t="str">
        <f>VLOOKUP(Таблица310[[#This Row],[№ акта]],$AQ$1:$AT$594,4,FALSE)</f>
        <v>Братковский закупка (полив)</v>
      </c>
      <c r="AL338" s="45">
        <f>VLOOKUP(Таблица310[[#This Row],[№ акта]],$AQ$1:$AT$594,3,FALSE)</f>
        <v>6.0085131716029174</v>
      </c>
      <c r="AM338" s="40" t="str">
        <f>IF(Таблица310[[#This Row],[Площадь уборки, га]]=Таблица310[[#This Row],[Площадь уборки до корр]],"нет","да")</f>
        <v>нет</v>
      </c>
      <c r="AN338" s="45">
        <f>Таблица310[[#This Row],[Площадь уборки до корр]]-Таблица310[[#This Row],[Площадь уборки, га]]</f>
        <v>0</v>
      </c>
      <c r="AQ338">
        <v>435</v>
      </c>
      <c r="AR338" t="s">
        <v>1067</v>
      </c>
      <c r="AS338">
        <v>6.0085131716029174</v>
      </c>
      <c r="AT338" t="s">
        <v>51</v>
      </c>
    </row>
    <row r="339" spans="1:46" ht="33.75" hidden="1" x14ac:dyDescent="0.25">
      <c r="A339" s="40"/>
      <c r="B339" s="41"/>
      <c r="C339" s="120">
        <f>Таблица310[[#This Row],[Степень зрелости вспом]]</f>
        <v>47</v>
      </c>
      <c r="D339" s="42">
        <v>436</v>
      </c>
      <c r="E339" s="147">
        <v>45824</v>
      </c>
      <c r="F339" s="41">
        <v>16710</v>
      </c>
      <c r="G339" s="41">
        <v>7010</v>
      </c>
      <c r="H339" s="69">
        <v>9700</v>
      </c>
      <c r="I339" s="41">
        <v>5643</v>
      </c>
      <c r="J339" s="40" t="s">
        <v>914</v>
      </c>
      <c r="K339" s="40" t="s">
        <v>909</v>
      </c>
      <c r="L339" s="40">
        <v>16</v>
      </c>
      <c r="M339" s="35" t="s">
        <v>311</v>
      </c>
      <c r="N339" s="40"/>
      <c r="O339" s="40"/>
      <c r="P339" s="40"/>
      <c r="Q339" s="40"/>
      <c r="R339" s="40" t="s">
        <v>315</v>
      </c>
      <c r="S339" s="40"/>
      <c r="T339" s="40">
        <v>16</v>
      </c>
      <c r="U339" s="68" t="str">
        <f>Таблица310[[#This Row],[Регистратор.Номенклатура]]</f>
        <v>Тристар</v>
      </c>
      <c r="V339" s="45">
        <f>10*Таблица310[[#This Row],[Регистратор.Вес нетто]]/36190</f>
        <v>1.9369991710417243</v>
      </c>
      <c r="W339" s="40" t="s">
        <v>52</v>
      </c>
      <c r="X339" s="40" t="s">
        <v>178</v>
      </c>
      <c r="Y339" s="40">
        <v>2</v>
      </c>
      <c r="Z339" s="103">
        <v>45824</v>
      </c>
      <c r="AA339" s="40"/>
      <c r="AB339" s="40"/>
      <c r="AC339" s="40" t="s">
        <v>419</v>
      </c>
      <c r="AD339" s="40" t="s">
        <v>511</v>
      </c>
      <c r="AE339" s="40">
        <v>436</v>
      </c>
      <c r="AF339" s="103">
        <v>45824</v>
      </c>
      <c r="AG339" s="40" t="s">
        <v>902</v>
      </c>
      <c r="AH339" s="40">
        <f>VLOOKUP(Таблица310[[#This Row],[№ акта]],'Степень зрелости 2025'!$H$13:$I$583,2,FALSE)</f>
        <v>47</v>
      </c>
      <c r="AI339" s="40">
        <f>VLOOKUP(Таблица310[[#This Row],[№ акта]],$AQ$1:$AT$594,2,FALSE)</f>
        <v>16</v>
      </c>
      <c r="AJ339" s="40" t="str">
        <f>Таблица310[[#This Row],[Регистратор.Номенклатура]]</f>
        <v>Тристар</v>
      </c>
      <c r="AK339" s="40" t="str">
        <f>VLOOKUP(Таблица310[[#This Row],[№ акта]],$AQ$1:$AT$594,4,FALSE)</f>
        <v>Агролидер (полив)</v>
      </c>
      <c r="AL339" s="45">
        <f>VLOOKUP(Таблица310[[#This Row],[№ акта]],$AQ$1:$AT$594,3,FALSE)</f>
        <v>1.9369991710417243</v>
      </c>
      <c r="AM339" s="40" t="str">
        <f>IF(Таблица310[[#This Row],[Площадь уборки, га]]=Таблица310[[#This Row],[Площадь уборки до корр]],"нет","да")</f>
        <v>нет</v>
      </c>
      <c r="AN339" s="45">
        <f>Таблица310[[#This Row],[Площадь уборки до корр]]-Таблица310[[#This Row],[Площадь уборки, га]]</f>
        <v>0</v>
      </c>
      <c r="AQ339">
        <v>436</v>
      </c>
      <c r="AR339">
        <v>16</v>
      </c>
      <c r="AS339">
        <v>1.9369991710417243</v>
      </c>
      <c r="AT339" t="s">
        <v>52</v>
      </c>
    </row>
    <row r="340" spans="1:46" ht="33.75" hidden="1" x14ac:dyDescent="0.25">
      <c r="A340" s="40"/>
      <c r="B340" s="41"/>
      <c r="C340" s="120">
        <f>Таблица310[[#This Row],[Степень зрелости вспом]]</f>
        <v>59</v>
      </c>
      <c r="D340" s="42">
        <v>437</v>
      </c>
      <c r="E340" s="147">
        <v>45825</v>
      </c>
      <c r="F340" s="41">
        <v>29220</v>
      </c>
      <c r="G340" s="41">
        <v>13730</v>
      </c>
      <c r="H340" s="69">
        <v>15490</v>
      </c>
      <c r="I340" s="41">
        <v>11601.8</v>
      </c>
      <c r="J340" s="40" t="s">
        <v>903</v>
      </c>
      <c r="K340" s="40" t="s">
        <v>909</v>
      </c>
      <c r="L340" s="40">
        <v>46</v>
      </c>
      <c r="M340" s="35" t="s">
        <v>234</v>
      </c>
      <c r="N340" s="40"/>
      <c r="O340" s="40"/>
      <c r="P340" s="40"/>
      <c r="Q340" s="40"/>
      <c r="R340" s="40" t="s">
        <v>238</v>
      </c>
      <c r="S340" s="40"/>
      <c r="T340" s="40" t="s">
        <v>1067</v>
      </c>
      <c r="U340" s="68" t="str">
        <f>Таблица310[[#This Row],[Регистратор.Номенклатура]]</f>
        <v>Тристар</v>
      </c>
      <c r="V340" s="45">
        <f>30.4*Таблица310[[#This Row],[Регистратор.Вес нетто]]/67190</f>
        <v>6.2121148980503049</v>
      </c>
      <c r="W340" s="40" t="s">
        <v>51</v>
      </c>
      <c r="X340" s="40" t="s">
        <v>178</v>
      </c>
      <c r="Y340" s="40">
        <v>7</v>
      </c>
      <c r="Z340" s="103">
        <v>45824</v>
      </c>
      <c r="AA340" s="40"/>
      <c r="AB340" s="40"/>
      <c r="AC340" s="40" t="s">
        <v>724</v>
      </c>
      <c r="AD340" s="40" t="s">
        <v>511</v>
      </c>
      <c r="AE340" s="40">
        <v>437</v>
      </c>
      <c r="AF340" s="103">
        <v>45825</v>
      </c>
      <c r="AG340" s="40">
        <v>95</v>
      </c>
      <c r="AH340" s="40">
        <f>VLOOKUP(Таблица310[[#This Row],[№ акта]],'Степень зрелости 2025'!$H$13:$I$583,2,FALSE)</f>
        <v>59</v>
      </c>
      <c r="AI340" s="40" t="str">
        <f>VLOOKUP(Таблица310[[#This Row],[№ акта]],$AQ$1:$AT$594,2,FALSE)</f>
        <v>закупка</v>
      </c>
      <c r="AJ340" s="40" t="str">
        <f>Таблица310[[#This Row],[Регистратор.Номенклатура]]</f>
        <v>Тристар</v>
      </c>
      <c r="AK340" s="40" t="str">
        <f>VLOOKUP(Таблица310[[#This Row],[№ акта]],$AQ$1:$AT$594,4,FALSE)</f>
        <v>Братковский закупка (полив)</v>
      </c>
      <c r="AL340" s="45">
        <f>VLOOKUP(Таблица310[[#This Row],[№ акта]],$AQ$1:$AT$594,3,FALSE)</f>
        <v>6.2121148980503049</v>
      </c>
      <c r="AM340" s="40" t="str">
        <f>IF(Таблица310[[#This Row],[Площадь уборки, га]]=Таблица310[[#This Row],[Площадь уборки до корр]],"нет","да")</f>
        <v>нет</v>
      </c>
      <c r="AN340" s="45">
        <f>Таблица310[[#This Row],[Площадь уборки до корр]]-Таблица310[[#This Row],[Площадь уборки, га]]</f>
        <v>0</v>
      </c>
      <c r="AQ340">
        <v>437</v>
      </c>
      <c r="AR340" t="s">
        <v>1067</v>
      </c>
      <c r="AS340">
        <v>6.2121148980503049</v>
      </c>
      <c r="AT340" t="s">
        <v>51</v>
      </c>
    </row>
    <row r="341" spans="1:46" ht="22.5" hidden="1" x14ac:dyDescent="0.25">
      <c r="A341" s="40"/>
      <c r="B341" s="41"/>
      <c r="C341" s="120">
        <f>Таблица310[[#This Row],[Степень зрелости вспом]]</f>
        <v>49</v>
      </c>
      <c r="D341" s="42">
        <v>438</v>
      </c>
      <c r="E341" s="147">
        <v>45825</v>
      </c>
      <c r="F341" s="41">
        <v>9640</v>
      </c>
      <c r="G341" s="41">
        <v>4990</v>
      </c>
      <c r="H341" s="69">
        <v>4650</v>
      </c>
      <c r="I341" s="41">
        <v>4565.8</v>
      </c>
      <c r="J341" s="40" t="s">
        <v>914</v>
      </c>
      <c r="K341" s="40" t="s">
        <v>909</v>
      </c>
      <c r="L341" s="40">
        <v>16</v>
      </c>
      <c r="M341" s="35" t="s">
        <v>762</v>
      </c>
      <c r="N341" s="40"/>
      <c r="O341" s="40"/>
      <c r="P341" s="40"/>
      <c r="Q341" s="40"/>
      <c r="R341" s="40" t="s">
        <v>763</v>
      </c>
      <c r="S341" s="40"/>
      <c r="T341" s="40">
        <v>16</v>
      </c>
      <c r="U341" s="68" t="str">
        <f>Таблица310[[#This Row],[Регистратор.Номенклатура]]</f>
        <v>Тристар</v>
      </c>
      <c r="V341" s="45">
        <f>10*Таблица310[[#This Row],[Регистратор.Вес нетто]]/36190</f>
        <v>1.3788339320254215</v>
      </c>
      <c r="W341" s="40" t="s">
        <v>52</v>
      </c>
      <c r="X341" s="40" t="s">
        <v>178</v>
      </c>
      <c r="Y341" s="40">
        <v>2</v>
      </c>
      <c r="Z341" s="103">
        <v>45824</v>
      </c>
      <c r="AA341" s="40"/>
      <c r="AB341" s="40"/>
      <c r="AC341" s="40" t="s">
        <v>419</v>
      </c>
      <c r="AD341" s="40" t="s">
        <v>511</v>
      </c>
      <c r="AE341" s="40">
        <v>438</v>
      </c>
      <c r="AF341" s="103">
        <v>45825</v>
      </c>
      <c r="AG341" s="40" t="s">
        <v>902</v>
      </c>
      <c r="AH341" s="40">
        <f>VLOOKUP(Таблица310[[#This Row],[№ акта]],'Степень зрелости 2025'!$H$13:$I$583,2,FALSE)</f>
        <v>49</v>
      </c>
      <c r="AI341" s="40">
        <f>VLOOKUP(Таблица310[[#This Row],[№ акта]],$AQ$1:$AT$594,2,FALSE)</f>
        <v>16</v>
      </c>
      <c r="AJ341" s="40" t="str">
        <f>Таблица310[[#This Row],[Регистратор.Номенклатура]]</f>
        <v>Тристар</v>
      </c>
      <c r="AK341" s="40" t="str">
        <f>VLOOKUP(Таблица310[[#This Row],[№ акта]],$AQ$1:$AT$594,4,FALSE)</f>
        <v>Агролидер (полив)</v>
      </c>
      <c r="AL341" s="45">
        <f>VLOOKUP(Таблица310[[#This Row],[№ акта]],$AQ$1:$AT$594,3,FALSE)</f>
        <v>1.3788339320254215</v>
      </c>
      <c r="AM341" s="40" t="str">
        <f>IF(Таблица310[[#This Row],[Площадь уборки, га]]=Таблица310[[#This Row],[Площадь уборки до корр]],"нет","да")</f>
        <v>нет</v>
      </c>
      <c r="AN341" s="45">
        <f>Таблица310[[#This Row],[Площадь уборки до корр]]-Таблица310[[#This Row],[Площадь уборки, га]]</f>
        <v>0</v>
      </c>
      <c r="AQ341">
        <v>438</v>
      </c>
      <c r="AR341">
        <v>16</v>
      </c>
      <c r="AS341">
        <v>1.3788339320254215</v>
      </c>
      <c r="AT341" t="s">
        <v>52</v>
      </c>
    </row>
    <row r="342" spans="1:46" ht="33.75" hidden="1" x14ac:dyDescent="0.25">
      <c r="A342" s="40"/>
      <c r="B342" s="41"/>
      <c r="C342" s="120">
        <f>Таблица310[[#This Row],[Степень зрелости вспом]]</f>
        <v>48</v>
      </c>
      <c r="D342" s="42">
        <v>439</v>
      </c>
      <c r="E342" s="147">
        <v>45825</v>
      </c>
      <c r="F342" s="41">
        <v>27130</v>
      </c>
      <c r="G342" s="41">
        <v>13310</v>
      </c>
      <c r="H342" s="69">
        <v>13820</v>
      </c>
      <c r="I342" s="41">
        <v>10514.9</v>
      </c>
      <c r="J342" s="40" t="s">
        <v>903</v>
      </c>
      <c r="K342" s="40" t="s">
        <v>909</v>
      </c>
      <c r="L342" s="40">
        <v>46</v>
      </c>
      <c r="M342" s="35" t="s">
        <v>212</v>
      </c>
      <c r="N342" s="40"/>
      <c r="O342" s="40"/>
      <c r="P342" s="40"/>
      <c r="Q342" s="40"/>
      <c r="R342" s="40" t="s">
        <v>216</v>
      </c>
      <c r="S342" s="40"/>
      <c r="T342" s="40" t="s">
        <v>1067</v>
      </c>
      <c r="U342" s="68" t="str">
        <f>Таблица310[[#This Row],[Регистратор.Номенклатура]]</f>
        <v>Тристар</v>
      </c>
      <c r="V342" s="45">
        <f>6.7*Таблица310[[#This Row],[Регистратор.Вес нетто]]/28100</f>
        <v>3.17355871886121</v>
      </c>
      <c r="W342" s="40" t="s">
        <v>51</v>
      </c>
      <c r="X342" s="40" t="s">
        <v>178</v>
      </c>
      <c r="Y342" s="40">
        <v>8</v>
      </c>
      <c r="Z342" s="103">
        <v>45825</v>
      </c>
      <c r="AA342" s="40"/>
      <c r="AB342" s="40"/>
      <c r="AC342" s="40" t="s">
        <v>419</v>
      </c>
      <c r="AD342" s="40" t="s">
        <v>511</v>
      </c>
      <c r="AE342" s="40">
        <v>439</v>
      </c>
      <c r="AF342" s="103">
        <v>45825</v>
      </c>
      <c r="AG342" s="40" t="s">
        <v>902</v>
      </c>
      <c r="AH342" s="40">
        <f>VLOOKUP(Таблица310[[#This Row],[№ акта]],'Степень зрелости 2025'!$H$13:$I$583,2,FALSE)</f>
        <v>48</v>
      </c>
      <c r="AI342" s="40" t="str">
        <f>VLOOKUP(Таблица310[[#This Row],[№ акта]],$AQ$1:$AT$594,2,FALSE)</f>
        <v>закупка</v>
      </c>
      <c r="AJ342" s="40" t="str">
        <f>Таблица310[[#This Row],[Регистратор.Номенклатура]]</f>
        <v>Тристар</v>
      </c>
      <c r="AK342" s="40" t="str">
        <f>VLOOKUP(Таблица310[[#This Row],[№ акта]],$AQ$1:$AT$594,4,FALSE)</f>
        <v>Братковский закупка (полив)</v>
      </c>
      <c r="AL342" s="45">
        <f>VLOOKUP(Таблица310[[#This Row],[№ акта]],$AQ$1:$AT$594,3,FALSE)</f>
        <v>3.17355871886121</v>
      </c>
      <c r="AM342" s="40" t="str">
        <f>IF(Таблица310[[#This Row],[Площадь уборки, га]]=Таблица310[[#This Row],[Площадь уборки до корр]],"нет","да")</f>
        <v>нет</v>
      </c>
      <c r="AN342" s="45">
        <f>Таблица310[[#This Row],[Площадь уборки до корр]]-Таблица310[[#This Row],[Площадь уборки, га]]</f>
        <v>0</v>
      </c>
      <c r="AQ342">
        <v>439</v>
      </c>
      <c r="AR342" t="s">
        <v>1067</v>
      </c>
      <c r="AS342">
        <v>3.17355871886121</v>
      </c>
      <c r="AT342" t="s">
        <v>51</v>
      </c>
    </row>
    <row r="343" spans="1:46" ht="33.75" hidden="1" x14ac:dyDescent="0.25">
      <c r="A343" s="40"/>
      <c r="B343" s="41"/>
      <c r="C343" s="120">
        <f>Таблица310[[#This Row],[Степень зрелости вспом]]</f>
        <v>52</v>
      </c>
      <c r="D343" s="42">
        <v>440</v>
      </c>
      <c r="E343" s="147">
        <v>45825</v>
      </c>
      <c r="F343" s="41">
        <v>30100</v>
      </c>
      <c r="G343" s="41">
        <v>14790</v>
      </c>
      <c r="H343" s="69">
        <v>15310</v>
      </c>
      <c r="I343" s="41">
        <v>12645.4</v>
      </c>
      <c r="J343" s="40" t="s">
        <v>903</v>
      </c>
      <c r="K343" s="40" t="s">
        <v>909</v>
      </c>
      <c r="L343" s="40">
        <v>46</v>
      </c>
      <c r="M343" s="35" t="s">
        <v>195</v>
      </c>
      <c r="N343" s="40"/>
      <c r="O343" s="40"/>
      <c r="P343" s="40"/>
      <c r="Q343" s="40"/>
      <c r="R343" s="40" t="s">
        <v>199</v>
      </c>
      <c r="S343" s="40"/>
      <c r="T343" s="40" t="s">
        <v>1067</v>
      </c>
      <c r="U343" s="68" t="str">
        <f>Таблица310[[#This Row],[Регистратор.Номенклатура]]</f>
        <v>Тристар</v>
      </c>
      <c r="V343" s="45">
        <f>6.7*Таблица310[[#This Row],[Регистратор.Вес нетто]]/28100</f>
        <v>3.5264412811387902</v>
      </c>
      <c r="W343" s="40" t="s">
        <v>51</v>
      </c>
      <c r="X343" s="40" t="s">
        <v>178</v>
      </c>
      <c r="Y343" s="40">
        <v>8</v>
      </c>
      <c r="Z343" s="103">
        <v>45825</v>
      </c>
      <c r="AA343" s="40"/>
      <c r="AB343" s="40"/>
      <c r="AC343" s="40" t="s">
        <v>420</v>
      </c>
      <c r="AD343" s="40" t="s">
        <v>511</v>
      </c>
      <c r="AE343" s="40">
        <v>440</v>
      </c>
      <c r="AF343" s="103">
        <v>45825</v>
      </c>
      <c r="AG343" s="40" t="s">
        <v>902</v>
      </c>
      <c r="AH343" s="40">
        <f>VLOOKUP(Таблица310[[#This Row],[№ акта]],'Степень зрелости 2025'!$H$13:$I$583,2,FALSE)</f>
        <v>52</v>
      </c>
      <c r="AI343" s="40" t="str">
        <f>VLOOKUP(Таблица310[[#This Row],[№ акта]],$AQ$1:$AT$594,2,FALSE)</f>
        <v>закупка</v>
      </c>
      <c r="AJ343" s="40" t="str">
        <f>Таблица310[[#This Row],[Регистратор.Номенклатура]]</f>
        <v>Тристар</v>
      </c>
      <c r="AK343" s="40" t="str">
        <f>VLOOKUP(Таблица310[[#This Row],[№ акта]],$AQ$1:$AT$594,4,FALSE)</f>
        <v>Братковский закупка (полив)</v>
      </c>
      <c r="AL343" s="45">
        <f>VLOOKUP(Таблица310[[#This Row],[№ акта]],$AQ$1:$AT$594,3,FALSE)</f>
        <v>3.5264412811387902</v>
      </c>
      <c r="AM343" s="40" t="str">
        <f>IF(Таблица310[[#This Row],[Площадь уборки, га]]=Таблица310[[#This Row],[Площадь уборки до корр]],"нет","да")</f>
        <v>нет</v>
      </c>
      <c r="AN343" s="45">
        <f>Таблица310[[#This Row],[Площадь уборки до корр]]-Таблица310[[#This Row],[Площадь уборки, га]]</f>
        <v>0</v>
      </c>
      <c r="AQ343">
        <v>440</v>
      </c>
      <c r="AR343" t="s">
        <v>1067</v>
      </c>
      <c r="AS343">
        <v>3.5264412811387902</v>
      </c>
      <c r="AT343" t="s">
        <v>51</v>
      </c>
    </row>
    <row r="344" spans="1:46" ht="22.5" hidden="1" x14ac:dyDescent="0.25">
      <c r="A344" s="40"/>
      <c r="B344" s="41"/>
      <c r="C344" s="120">
        <f>Таблица310[[#This Row],[Степень зрелости вспом]]</f>
        <v>52</v>
      </c>
      <c r="D344" s="42">
        <v>441</v>
      </c>
      <c r="E344" s="147">
        <v>45825</v>
      </c>
      <c r="F344" s="41">
        <v>8350</v>
      </c>
      <c r="G344" s="41">
        <v>3770</v>
      </c>
      <c r="H344" s="69">
        <v>4580</v>
      </c>
      <c r="I344" s="41">
        <v>3411.8</v>
      </c>
      <c r="J344" s="40" t="s">
        <v>914</v>
      </c>
      <c r="K344" s="40" t="s">
        <v>909</v>
      </c>
      <c r="L344" s="40">
        <v>16</v>
      </c>
      <c r="M344" s="35" t="s">
        <v>737</v>
      </c>
      <c r="N344" s="40"/>
      <c r="O344" s="40"/>
      <c r="P344" s="40"/>
      <c r="Q344" s="40"/>
      <c r="R344" s="40" t="s">
        <v>738</v>
      </c>
      <c r="S344" s="40"/>
      <c r="T344" s="40">
        <v>16</v>
      </c>
      <c r="U344" s="68" t="str">
        <f>Таблица310[[#This Row],[Регистратор.Номенклатура]]</f>
        <v>Тристар</v>
      </c>
      <c r="V344" s="45">
        <f>10*Таблица310[[#This Row],[Регистратор.Вес нетто]]/36190</f>
        <v>1.041724233213595</v>
      </c>
      <c r="W344" s="40" t="s">
        <v>52</v>
      </c>
      <c r="X344" s="40" t="s">
        <v>178</v>
      </c>
      <c r="Y344" s="40">
        <v>2</v>
      </c>
      <c r="Z344" s="103">
        <v>45824</v>
      </c>
      <c r="AA344" s="40"/>
      <c r="AB344" s="40"/>
      <c r="AC344" s="40" t="s">
        <v>420</v>
      </c>
      <c r="AD344" s="40" t="s">
        <v>511</v>
      </c>
      <c r="AE344" s="40">
        <v>441</v>
      </c>
      <c r="AF344" s="103">
        <v>45825</v>
      </c>
      <c r="AG344" s="40" t="s">
        <v>902</v>
      </c>
      <c r="AH344" s="40">
        <f>VLOOKUP(Таблица310[[#This Row],[№ акта]],'Степень зрелости 2025'!$H$13:$I$583,2,FALSE)</f>
        <v>52</v>
      </c>
      <c r="AI344" s="40">
        <f>VLOOKUP(Таблица310[[#This Row],[№ акта]],$AQ$1:$AT$594,2,FALSE)</f>
        <v>16</v>
      </c>
      <c r="AJ344" s="40" t="str">
        <f>Таблица310[[#This Row],[Регистратор.Номенклатура]]</f>
        <v>Тристар</v>
      </c>
      <c r="AK344" s="40" t="str">
        <f>VLOOKUP(Таблица310[[#This Row],[№ акта]],$AQ$1:$AT$594,4,FALSE)</f>
        <v>Агролидер (полив)</v>
      </c>
      <c r="AL344" s="45">
        <f>VLOOKUP(Таблица310[[#This Row],[№ акта]],$AQ$1:$AT$594,3,FALSE)</f>
        <v>1.041724233213595</v>
      </c>
      <c r="AM344" s="40" t="str">
        <f>IF(Таблица310[[#This Row],[Площадь уборки, га]]=Таблица310[[#This Row],[Площадь уборки до корр]],"нет","да")</f>
        <v>нет</v>
      </c>
      <c r="AN344" s="45">
        <f>Таблица310[[#This Row],[Площадь уборки до корр]]-Таблица310[[#This Row],[Площадь уборки, га]]</f>
        <v>0</v>
      </c>
      <c r="AQ344">
        <v>441</v>
      </c>
      <c r="AR344">
        <v>16</v>
      </c>
      <c r="AS344">
        <v>1.041724233213595</v>
      </c>
      <c r="AT344" t="s">
        <v>52</v>
      </c>
    </row>
    <row r="345" spans="1:46" ht="22.5" hidden="1" x14ac:dyDescent="0.25">
      <c r="A345" s="40"/>
      <c r="B345" s="41"/>
      <c r="C345" s="120">
        <f>Таблица310[[#This Row],[Степень зрелости вспом]]</f>
        <v>54</v>
      </c>
      <c r="D345" s="42">
        <v>442</v>
      </c>
      <c r="E345" s="147">
        <v>45825</v>
      </c>
      <c r="F345" s="41">
        <v>6950</v>
      </c>
      <c r="G345" s="41">
        <v>2350</v>
      </c>
      <c r="H345" s="69">
        <v>4600</v>
      </c>
      <c r="I345" s="41">
        <v>2056.1999999999998</v>
      </c>
      <c r="J345" s="40" t="s">
        <v>914</v>
      </c>
      <c r="K345" s="40" t="s">
        <v>909</v>
      </c>
      <c r="L345" s="40">
        <v>15</v>
      </c>
      <c r="M345" s="35" t="s">
        <v>762</v>
      </c>
      <c r="N345" s="40"/>
      <c r="O345" s="40"/>
      <c r="P345" s="40"/>
      <c r="Q345" s="40"/>
      <c r="R345" s="40" t="s">
        <v>763</v>
      </c>
      <c r="S345" s="40"/>
      <c r="T345" s="40">
        <v>15</v>
      </c>
      <c r="U345" s="68" t="str">
        <f>Таблица310[[#This Row],[Регистратор.Номенклатура]]</f>
        <v>Тристар</v>
      </c>
      <c r="V345" s="45">
        <f>10*Таблица310[[#This Row],[Регистратор.Вес нетто]]/36190+0.7</f>
        <v>1.3493506493506493</v>
      </c>
      <c r="W345" s="40" t="s">
        <v>52</v>
      </c>
      <c r="X345" s="40" t="s">
        <v>178</v>
      </c>
      <c r="Y345" s="40">
        <v>2</v>
      </c>
      <c r="Z345" s="103">
        <v>45824</v>
      </c>
      <c r="AA345" s="40"/>
      <c r="AB345" s="40"/>
      <c r="AC345" s="40" t="s">
        <v>724</v>
      </c>
      <c r="AD345" s="40" t="s">
        <v>511</v>
      </c>
      <c r="AE345" s="40">
        <v>442</v>
      </c>
      <c r="AF345" s="103">
        <v>45825</v>
      </c>
      <c r="AG345" s="40" t="s">
        <v>902</v>
      </c>
      <c r="AH345" s="40">
        <f>VLOOKUP(Таблица310[[#This Row],[№ акта]],'Степень зрелости 2025'!$H$13:$I$583,2,FALSE)</f>
        <v>54</v>
      </c>
      <c r="AI345" s="40">
        <f>VLOOKUP(Таблица310[[#This Row],[№ акта]],$AQ$1:$AT$594,2,FALSE)</f>
        <v>15</v>
      </c>
      <c r="AJ345" s="40" t="str">
        <f>Таблица310[[#This Row],[Регистратор.Номенклатура]]</f>
        <v>Тристар</v>
      </c>
      <c r="AK345" s="40" t="str">
        <f>VLOOKUP(Таблица310[[#This Row],[№ акта]],$AQ$1:$AT$594,4,FALSE)</f>
        <v>Агролидер (полив)</v>
      </c>
      <c r="AL345" s="45">
        <f>VLOOKUP(Таблица310[[#This Row],[№ акта]],$AQ$1:$AT$594,3,FALSE)</f>
        <v>1.3493506493506493</v>
      </c>
      <c r="AM345" s="40" t="str">
        <f>IF(Таблица310[[#This Row],[Площадь уборки, га]]=Таблица310[[#This Row],[Площадь уборки до корр]],"нет","да")</f>
        <v>нет</v>
      </c>
      <c r="AN345" s="45">
        <f>Таблица310[[#This Row],[Площадь уборки до корр]]-Таблица310[[#This Row],[Площадь уборки, га]]</f>
        <v>0</v>
      </c>
      <c r="AQ345">
        <v>442</v>
      </c>
      <c r="AR345">
        <v>15</v>
      </c>
      <c r="AS345">
        <v>1.3493506493506493</v>
      </c>
      <c r="AT345" t="s">
        <v>52</v>
      </c>
    </row>
    <row r="346" spans="1:46" ht="22.5" hidden="1" x14ac:dyDescent="0.25">
      <c r="A346" s="40"/>
      <c r="B346" s="41"/>
      <c r="C346" s="120">
        <f>Таблица310[[#This Row],[Степень зрелости вспом]]</f>
        <v>53</v>
      </c>
      <c r="D346" s="42">
        <v>443</v>
      </c>
      <c r="E346" s="147">
        <v>45825</v>
      </c>
      <c r="F346" s="41">
        <v>9060</v>
      </c>
      <c r="G346" s="41">
        <v>4510</v>
      </c>
      <c r="H346" s="69">
        <v>4550</v>
      </c>
      <c r="I346" s="41">
        <v>3585.4</v>
      </c>
      <c r="J346" s="40" t="s">
        <v>914</v>
      </c>
      <c r="K346" s="40" t="s">
        <v>909</v>
      </c>
      <c r="L346" s="40">
        <v>15</v>
      </c>
      <c r="M346" s="35" t="s">
        <v>737</v>
      </c>
      <c r="N346" s="40"/>
      <c r="O346" s="40"/>
      <c r="P346" s="40"/>
      <c r="Q346" s="40"/>
      <c r="R346" s="40" t="s">
        <v>738</v>
      </c>
      <c r="S346" s="40"/>
      <c r="T346" s="40">
        <v>15</v>
      </c>
      <c r="U346" s="68" t="str">
        <f>Таблица310[[#This Row],[Регистратор.Номенклатура]]</f>
        <v>Тристар</v>
      </c>
      <c r="V346" s="45">
        <f>10*Таблица310[[#This Row],[Регистратор.Вес нетто]]/36190</f>
        <v>1.2462006079027355</v>
      </c>
      <c r="W346" s="40" t="s">
        <v>52</v>
      </c>
      <c r="X346" s="40" t="s">
        <v>178</v>
      </c>
      <c r="Y346" s="40">
        <v>2</v>
      </c>
      <c r="Z346" s="103">
        <v>45824</v>
      </c>
      <c r="AA346" s="40"/>
      <c r="AB346" s="40"/>
      <c r="AC346" s="40" t="s">
        <v>420</v>
      </c>
      <c r="AD346" s="40" t="s">
        <v>511</v>
      </c>
      <c r="AE346" s="40">
        <v>443</v>
      </c>
      <c r="AF346" s="103">
        <v>45825</v>
      </c>
      <c r="AG346" s="40" t="s">
        <v>902</v>
      </c>
      <c r="AH346" s="40">
        <f>VLOOKUP(Таблица310[[#This Row],[№ акта]],'Степень зрелости 2025'!$H$13:$I$583,2,FALSE)</f>
        <v>53</v>
      </c>
      <c r="AI346" s="40">
        <f>VLOOKUP(Таблица310[[#This Row],[№ акта]],$AQ$1:$AT$594,2,FALSE)</f>
        <v>15</v>
      </c>
      <c r="AJ346" s="40" t="str">
        <f>Таблица310[[#This Row],[Регистратор.Номенклатура]]</f>
        <v>Тристар</v>
      </c>
      <c r="AK346" s="40" t="str">
        <f>VLOOKUP(Таблица310[[#This Row],[№ акта]],$AQ$1:$AT$594,4,FALSE)</f>
        <v>Агролидер (полив)</v>
      </c>
      <c r="AL346" s="45">
        <f>VLOOKUP(Таблица310[[#This Row],[№ акта]],$AQ$1:$AT$594,3,FALSE)</f>
        <v>1.2462006079027355</v>
      </c>
      <c r="AM346" s="40" t="str">
        <f>IF(Таблица310[[#This Row],[Площадь уборки, га]]=Таблица310[[#This Row],[Площадь уборки до корр]],"нет","да")</f>
        <v>нет</v>
      </c>
      <c r="AN346" s="45">
        <f>Таблица310[[#This Row],[Площадь уборки до корр]]-Таблица310[[#This Row],[Площадь уборки, га]]</f>
        <v>0</v>
      </c>
      <c r="AQ346">
        <v>443</v>
      </c>
      <c r="AR346">
        <v>15</v>
      </c>
      <c r="AS346">
        <v>1.2462006079027355</v>
      </c>
      <c r="AT346" t="s">
        <v>52</v>
      </c>
    </row>
    <row r="347" spans="1:46" ht="33.75" hidden="1" x14ac:dyDescent="0.25">
      <c r="A347" s="40"/>
      <c r="B347" s="41"/>
      <c r="C347" s="120">
        <f>Таблица310[[#This Row],[Степень зрелости вспом]]</f>
        <v>57</v>
      </c>
      <c r="D347" s="42">
        <v>444</v>
      </c>
      <c r="E347" s="147">
        <v>45825</v>
      </c>
      <c r="F347" s="41">
        <v>28310</v>
      </c>
      <c r="G347" s="41">
        <v>13560</v>
      </c>
      <c r="H347" s="69">
        <v>14750</v>
      </c>
      <c r="I347" s="41">
        <v>11593.8</v>
      </c>
      <c r="J347" s="40" t="s">
        <v>914</v>
      </c>
      <c r="K347" s="40" t="s">
        <v>909</v>
      </c>
      <c r="L347" s="40">
        <v>15</v>
      </c>
      <c r="M347" s="35" t="s">
        <v>121</v>
      </c>
      <c r="N347" s="40"/>
      <c r="O347" s="40"/>
      <c r="P347" s="40"/>
      <c r="Q347" s="40"/>
      <c r="R347" s="40" t="s">
        <v>125</v>
      </c>
      <c r="S347" s="40"/>
      <c r="T347" s="40">
        <v>15</v>
      </c>
      <c r="U347" s="68" t="str">
        <f>Таблица310[[#This Row],[Регистратор.Номенклатура]]</f>
        <v>Тристар</v>
      </c>
      <c r="V347" s="45">
        <f>10*Таблица310[[#This Row],[Регистратор.Вес нетто]]/36190</f>
        <v>3.7468914064658745</v>
      </c>
      <c r="W347" s="40" t="s">
        <v>52</v>
      </c>
      <c r="X347" s="40" t="s">
        <v>178</v>
      </c>
      <c r="Y347" s="40">
        <v>2</v>
      </c>
      <c r="Z347" s="103">
        <v>45824</v>
      </c>
      <c r="AA347" s="40"/>
      <c r="AB347" s="40"/>
      <c r="AC347" s="40" t="s">
        <v>724</v>
      </c>
      <c r="AD347" s="40" t="s">
        <v>511</v>
      </c>
      <c r="AE347" s="40">
        <v>444</v>
      </c>
      <c r="AF347" s="103">
        <v>45825</v>
      </c>
      <c r="AG347" s="40" t="s">
        <v>902</v>
      </c>
      <c r="AH347" s="40">
        <f>VLOOKUP(Таблица310[[#This Row],[№ акта]],'Степень зрелости 2025'!$H$13:$I$583,2,FALSE)</f>
        <v>57</v>
      </c>
      <c r="AI347" s="40">
        <f>VLOOKUP(Таблица310[[#This Row],[№ акта]],$AQ$1:$AT$594,2,FALSE)</f>
        <v>15</v>
      </c>
      <c r="AJ347" s="40" t="str">
        <f>Таблица310[[#This Row],[Регистратор.Номенклатура]]</f>
        <v>Тристар</v>
      </c>
      <c r="AK347" s="40" t="str">
        <f>VLOOKUP(Таблица310[[#This Row],[№ акта]],$AQ$1:$AT$594,4,FALSE)</f>
        <v>Агролидер (полив)</v>
      </c>
      <c r="AL347" s="45">
        <f>VLOOKUP(Таблица310[[#This Row],[№ акта]],$AQ$1:$AT$594,3,FALSE)</f>
        <v>3.7468914064658745</v>
      </c>
      <c r="AM347" s="40" t="str">
        <f>IF(Таблица310[[#This Row],[Площадь уборки, га]]=Таблица310[[#This Row],[Площадь уборки до корр]],"нет","да")</f>
        <v>нет</v>
      </c>
      <c r="AN347" s="45">
        <f>Таблица310[[#This Row],[Площадь уборки до корр]]-Таблица310[[#This Row],[Площадь уборки, га]]</f>
        <v>0</v>
      </c>
      <c r="AQ347">
        <v>444</v>
      </c>
      <c r="AR347">
        <v>15</v>
      </c>
      <c r="AS347">
        <v>3.7468914064658745</v>
      </c>
      <c r="AT347" t="s">
        <v>52</v>
      </c>
    </row>
    <row r="348" spans="1:46" ht="33.75" hidden="1" x14ac:dyDescent="0.25">
      <c r="A348" s="40"/>
      <c r="B348" s="41"/>
      <c r="C348" s="120">
        <f>Таблица310[[#This Row],[Степень зрелости вспом]]</f>
        <v>54</v>
      </c>
      <c r="D348" s="42">
        <v>445</v>
      </c>
      <c r="E348" s="147">
        <v>45826</v>
      </c>
      <c r="F348" s="41">
        <v>28060</v>
      </c>
      <c r="G348" s="41">
        <v>13390</v>
      </c>
      <c r="H348" s="69">
        <v>14670</v>
      </c>
      <c r="I348" s="41">
        <v>11582.3</v>
      </c>
      <c r="J348" s="40" t="s">
        <v>914</v>
      </c>
      <c r="K348" s="40" t="s">
        <v>909</v>
      </c>
      <c r="L348" s="40">
        <v>15</v>
      </c>
      <c r="M348" s="35" t="s">
        <v>239</v>
      </c>
      <c r="N348" s="40"/>
      <c r="O348" s="40"/>
      <c r="P348" s="40"/>
      <c r="Q348" s="40"/>
      <c r="R348" s="40" t="s">
        <v>243</v>
      </c>
      <c r="S348" s="40"/>
      <c r="T348" s="40">
        <v>15</v>
      </c>
      <c r="U348" s="68" t="str">
        <f>Таблица310[[#This Row],[Регистратор.Номенклатура]]</f>
        <v>Тристар</v>
      </c>
      <c r="V348" s="45">
        <f>36*Таблица310[[#This Row],[Регистратор.Вес нетто]]/277060</f>
        <v>1.7398397459034145</v>
      </c>
      <c r="W348" s="40" t="s">
        <v>52</v>
      </c>
      <c r="X348" s="40" t="s">
        <v>178</v>
      </c>
      <c r="Y348" s="40">
        <v>3</v>
      </c>
      <c r="Z348" s="103">
        <v>45825</v>
      </c>
      <c r="AA348" s="40"/>
      <c r="AB348" s="40"/>
      <c r="AC348" s="40" t="s">
        <v>724</v>
      </c>
      <c r="AD348" s="40" t="s">
        <v>511</v>
      </c>
      <c r="AE348" s="40">
        <v>445</v>
      </c>
      <c r="AF348" s="103">
        <v>45826</v>
      </c>
      <c r="AG348" s="40" t="s">
        <v>902</v>
      </c>
      <c r="AH348" s="40">
        <f>VLOOKUP(Таблица310[[#This Row],[№ акта]],'Степень зрелости 2025'!$H$13:$I$583,2,FALSE)</f>
        <v>54</v>
      </c>
      <c r="AI348" s="40">
        <f>VLOOKUP(Таблица310[[#This Row],[№ акта]],$AQ$1:$AT$594,2,FALSE)</f>
        <v>15</v>
      </c>
      <c r="AJ348" s="40" t="str">
        <f>Таблица310[[#This Row],[Регистратор.Номенклатура]]</f>
        <v>Тристар</v>
      </c>
      <c r="AK348" s="40" t="str">
        <f>VLOOKUP(Таблица310[[#This Row],[№ акта]],$AQ$1:$AT$594,4,FALSE)</f>
        <v>Агролидер (полив)</v>
      </c>
      <c r="AL348" s="45">
        <f>VLOOKUP(Таблица310[[#This Row],[№ акта]],$AQ$1:$AT$594,3,FALSE)</f>
        <v>1.7398397459034145</v>
      </c>
      <c r="AM348" s="40" t="str">
        <f>IF(Таблица310[[#This Row],[Площадь уборки, га]]=Таблица310[[#This Row],[Площадь уборки до корр]],"нет","да")</f>
        <v>нет</v>
      </c>
      <c r="AN348" s="45">
        <f>Таблица310[[#This Row],[Площадь уборки до корр]]-Таблица310[[#This Row],[Площадь уборки, га]]</f>
        <v>0</v>
      </c>
      <c r="AQ348">
        <v>445</v>
      </c>
      <c r="AR348">
        <v>15</v>
      </c>
      <c r="AS348">
        <v>1.7398397459034145</v>
      </c>
      <c r="AT348" t="s">
        <v>52</v>
      </c>
    </row>
    <row r="349" spans="1:46" ht="33.75" hidden="1" x14ac:dyDescent="0.25">
      <c r="A349" s="40"/>
      <c r="B349" s="41"/>
      <c r="C349" s="120">
        <f>Таблица310[[#This Row],[Степень зрелости вспом]]</f>
        <v>54</v>
      </c>
      <c r="D349" s="42">
        <v>446</v>
      </c>
      <c r="E349" s="147">
        <v>45826</v>
      </c>
      <c r="F349" s="41">
        <v>29120</v>
      </c>
      <c r="G349" s="41">
        <v>13470</v>
      </c>
      <c r="H349" s="69">
        <v>15650</v>
      </c>
      <c r="I349" s="41">
        <v>11651.5</v>
      </c>
      <c r="J349" s="40" t="s">
        <v>914</v>
      </c>
      <c r="K349" s="40" t="s">
        <v>909</v>
      </c>
      <c r="L349" s="40">
        <v>15</v>
      </c>
      <c r="M349" s="35" t="s">
        <v>244</v>
      </c>
      <c r="N349" s="40"/>
      <c r="O349" s="40"/>
      <c r="P349" s="40"/>
      <c r="Q349" s="40"/>
      <c r="R349" s="40" t="s">
        <v>248</v>
      </c>
      <c r="S349" s="40"/>
      <c r="T349" s="40">
        <v>15</v>
      </c>
      <c r="U349" s="68" t="str">
        <f>Таблица310[[#This Row],[Регистратор.Номенклатура]]</f>
        <v>Тристар</v>
      </c>
      <c r="V349" s="45">
        <f>36*Таблица310[[#This Row],[Регистратор.Вес нетто]]/277060</f>
        <v>1.750234606222479</v>
      </c>
      <c r="W349" s="40" t="s">
        <v>52</v>
      </c>
      <c r="X349" s="40" t="s">
        <v>178</v>
      </c>
      <c r="Y349" s="40">
        <v>3</v>
      </c>
      <c r="Z349" s="103">
        <v>45825</v>
      </c>
      <c r="AA349" s="40"/>
      <c r="AB349" s="40"/>
      <c r="AC349" s="40" t="s">
        <v>724</v>
      </c>
      <c r="AD349" s="40" t="s">
        <v>511</v>
      </c>
      <c r="AE349" s="40">
        <v>446</v>
      </c>
      <c r="AF349" s="103">
        <v>45826</v>
      </c>
      <c r="AG349" s="40" t="s">
        <v>902</v>
      </c>
      <c r="AH349" s="40">
        <f>VLOOKUP(Таблица310[[#This Row],[№ акта]],'Степень зрелости 2025'!$H$13:$I$583,2,FALSE)</f>
        <v>54</v>
      </c>
      <c r="AI349" s="40">
        <f>VLOOKUP(Таблица310[[#This Row],[№ акта]],$AQ$1:$AT$594,2,FALSE)</f>
        <v>15</v>
      </c>
      <c r="AJ349" s="40" t="str">
        <f>Таблица310[[#This Row],[Регистратор.Номенклатура]]</f>
        <v>Тристар</v>
      </c>
      <c r="AK349" s="40" t="str">
        <f>VLOOKUP(Таблица310[[#This Row],[№ акта]],$AQ$1:$AT$594,4,FALSE)</f>
        <v>Агролидер (полив)</v>
      </c>
      <c r="AL349" s="45">
        <f>VLOOKUP(Таблица310[[#This Row],[№ акта]],$AQ$1:$AT$594,3,FALSE)</f>
        <v>1.750234606222479</v>
      </c>
      <c r="AM349" s="40" t="str">
        <f>IF(Таблица310[[#This Row],[Площадь уборки, га]]=Таблица310[[#This Row],[Площадь уборки до корр]],"нет","да")</f>
        <v>нет</v>
      </c>
      <c r="AN349" s="45">
        <f>Таблица310[[#This Row],[Площадь уборки до корр]]-Таблица310[[#This Row],[Площадь уборки, га]]</f>
        <v>0</v>
      </c>
      <c r="AQ349">
        <v>446</v>
      </c>
      <c r="AR349">
        <v>15</v>
      </c>
      <c r="AS349">
        <v>1.750234606222479</v>
      </c>
      <c r="AT349" t="s">
        <v>52</v>
      </c>
    </row>
    <row r="350" spans="1:46" ht="22.5" hidden="1" x14ac:dyDescent="0.25">
      <c r="A350" s="40"/>
      <c r="B350" s="41"/>
      <c r="C350" s="120">
        <f>Таблица310[[#This Row],[Степень зрелости вспом]]</f>
        <v>53</v>
      </c>
      <c r="D350" s="42">
        <v>447</v>
      </c>
      <c r="E350" s="147">
        <v>45826</v>
      </c>
      <c r="F350" s="41">
        <v>27390</v>
      </c>
      <c r="G350" s="41">
        <v>13520</v>
      </c>
      <c r="H350" s="69">
        <v>13870</v>
      </c>
      <c r="I350" s="41">
        <v>11830</v>
      </c>
      <c r="J350" s="40" t="s">
        <v>914</v>
      </c>
      <c r="K350" s="40" t="s">
        <v>909</v>
      </c>
      <c r="L350" s="40">
        <v>15</v>
      </c>
      <c r="M350" s="35" t="s">
        <v>212</v>
      </c>
      <c r="N350" s="40"/>
      <c r="O350" s="40"/>
      <c r="P350" s="40"/>
      <c r="Q350" s="40"/>
      <c r="R350" s="40" t="s">
        <v>216</v>
      </c>
      <c r="S350" s="40"/>
      <c r="T350" s="40">
        <v>15</v>
      </c>
      <c r="U350" s="68" t="str">
        <f>Таблица310[[#This Row],[Регистратор.Номенклатура]]</f>
        <v>Тристар</v>
      </c>
      <c r="V350" s="45">
        <f>36*Таблица310[[#This Row],[Регистратор.Вес нетто]]/277060</f>
        <v>1.7567313939218943</v>
      </c>
      <c r="W350" s="40" t="s">
        <v>52</v>
      </c>
      <c r="X350" s="40" t="s">
        <v>178</v>
      </c>
      <c r="Y350" s="40">
        <v>3</v>
      </c>
      <c r="Z350" s="103">
        <v>45825</v>
      </c>
      <c r="AA350" s="40"/>
      <c r="AB350" s="40"/>
      <c r="AC350" s="40" t="s">
        <v>420</v>
      </c>
      <c r="AD350" s="40" t="s">
        <v>511</v>
      </c>
      <c r="AE350" s="40">
        <v>447</v>
      </c>
      <c r="AF350" s="103">
        <v>45826</v>
      </c>
      <c r="AG350" s="40" t="s">
        <v>902</v>
      </c>
      <c r="AH350" s="40">
        <f>VLOOKUP(Таблица310[[#This Row],[№ акта]],'Степень зрелости 2025'!$H$13:$I$583,2,FALSE)</f>
        <v>53</v>
      </c>
      <c r="AI350" s="40">
        <f>VLOOKUP(Таблица310[[#This Row],[№ акта]],$AQ$1:$AT$594,2,FALSE)</f>
        <v>15</v>
      </c>
      <c r="AJ350" s="40" t="str">
        <f>Таблица310[[#This Row],[Регистратор.Номенклатура]]</f>
        <v>Тристар</v>
      </c>
      <c r="AK350" s="40" t="str">
        <f>VLOOKUP(Таблица310[[#This Row],[№ акта]],$AQ$1:$AT$594,4,FALSE)</f>
        <v>Агролидер (полив)</v>
      </c>
      <c r="AL350" s="45">
        <f>VLOOKUP(Таблица310[[#This Row],[№ акта]],$AQ$1:$AT$594,3,FALSE)</f>
        <v>1.7567313939218943</v>
      </c>
      <c r="AM350" s="40" t="str">
        <f>IF(Таблица310[[#This Row],[Площадь уборки, га]]=Таблица310[[#This Row],[Площадь уборки до корр]],"нет","да")</f>
        <v>нет</v>
      </c>
      <c r="AN350" s="45">
        <f>Таблица310[[#This Row],[Площадь уборки до корр]]-Таблица310[[#This Row],[Площадь уборки, га]]</f>
        <v>0</v>
      </c>
      <c r="AQ350">
        <v>447</v>
      </c>
      <c r="AR350">
        <v>15</v>
      </c>
      <c r="AS350">
        <v>1.7567313939218943</v>
      </c>
      <c r="AT350" t="s">
        <v>52</v>
      </c>
    </row>
    <row r="351" spans="1:46" ht="22.5" hidden="1" x14ac:dyDescent="0.25">
      <c r="A351" s="40"/>
      <c r="B351" s="41"/>
      <c r="C351" s="120">
        <v>55</v>
      </c>
      <c r="D351" s="42">
        <v>448</v>
      </c>
      <c r="E351" s="147">
        <v>45826</v>
      </c>
      <c r="F351" s="41">
        <v>37650</v>
      </c>
      <c r="G351" s="41">
        <v>13480</v>
      </c>
      <c r="H351" s="69">
        <v>24170</v>
      </c>
      <c r="I351" s="41">
        <v>11929.8</v>
      </c>
      <c r="J351" s="40" t="s">
        <v>914</v>
      </c>
      <c r="K351" s="40" t="s">
        <v>909</v>
      </c>
      <c r="L351" s="40">
        <v>15</v>
      </c>
      <c r="M351" s="35" t="s">
        <v>160</v>
      </c>
      <c r="N351" s="40"/>
      <c r="O351" s="40"/>
      <c r="P351" s="40"/>
      <c r="Q351" s="40"/>
      <c r="R351" s="40" t="s">
        <v>164</v>
      </c>
      <c r="S351" s="40"/>
      <c r="T351" s="40">
        <v>15</v>
      </c>
      <c r="U351" s="68" t="str">
        <f>Таблица310[[#This Row],[Регистратор.Номенклатура]]</f>
        <v>Тристар</v>
      </c>
      <c r="V351" s="45">
        <f>36*Таблица310[[#This Row],[Регистратор.Вес нетто]]/277060</f>
        <v>1.7515339637623619</v>
      </c>
      <c r="W351" s="40" t="s">
        <v>52</v>
      </c>
      <c r="X351" s="40" t="s">
        <v>178</v>
      </c>
      <c r="Y351" s="40">
        <v>3</v>
      </c>
      <c r="Z351" s="103">
        <v>45825</v>
      </c>
      <c r="AA351" s="40"/>
      <c r="AB351" s="40"/>
      <c r="AC351" s="40" t="s">
        <v>724</v>
      </c>
      <c r="AD351" s="40" t="s">
        <v>511</v>
      </c>
      <c r="AE351" s="40">
        <v>448</v>
      </c>
      <c r="AF351" s="103">
        <v>45826</v>
      </c>
      <c r="AG351" s="40" t="s">
        <v>902</v>
      </c>
      <c r="AH351" s="40" t="e">
        <f>VLOOKUP(Таблица310[[#This Row],[№ акта]],'Степень зрелости 2025'!$H$13:$I$583,2,FALSE)</f>
        <v>#N/A</v>
      </c>
      <c r="AI351" s="40">
        <f>VLOOKUP(Таблица310[[#This Row],[№ акта]],$AQ$1:$AT$594,2,FALSE)</f>
        <v>15</v>
      </c>
      <c r="AJ351" s="40" t="str">
        <f>Таблица310[[#This Row],[Регистратор.Номенклатура]]</f>
        <v>Тристар</v>
      </c>
      <c r="AK351" s="40" t="str">
        <f>VLOOKUP(Таблица310[[#This Row],[№ акта]],$AQ$1:$AT$594,4,FALSE)</f>
        <v>Агролидер (полив)</v>
      </c>
      <c r="AL351" s="45">
        <f>VLOOKUP(Таблица310[[#This Row],[№ акта]],$AQ$1:$AT$594,3,FALSE)</f>
        <v>1.7515339637623619</v>
      </c>
      <c r="AM351" s="40" t="str">
        <f>IF(Таблица310[[#This Row],[Площадь уборки, га]]=Таблица310[[#This Row],[Площадь уборки до корр]],"нет","да")</f>
        <v>нет</v>
      </c>
      <c r="AN351" s="45">
        <f>Таблица310[[#This Row],[Площадь уборки до корр]]-Таблица310[[#This Row],[Площадь уборки, га]]</f>
        <v>0</v>
      </c>
      <c r="AQ351">
        <v>448</v>
      </c>
      <c r="AR351">
        <v>15</v>
      </c>
      <c r="AS351">
        <v>1.7515339637623619</v>
      </c>
      <c r="AT351" t="s">
        <v>52</v>
      </c>
    </row>
    <row r="352" spans="1:46" ht="33.75" hidden="1" x14ac:dyDescent="0.25">
      <c r="A352" s="40"/>
      <c r="B352" s="41"/>
      <c r="C352" s="120"/>
      <c r="D352" s="42">
        <v>449</v>
      </c>
      <c r="E352" s="147">
        <v>45824</v>
      </c>
      <c r="F352" s="41">
        <v>21170</v>
      </c>
      <c r="G352" s="41">
        <v>6330</v>
      </c>
      <c r="H352" s="69">
        <v>14840</v>
      </c>
      <c r="I352" s="41">
        <v>6330</v>
      </c>
      <c r="J352" s="40" t="s">
        <v>903</v>
      </c>
      <c r="K352" s="40" t="s">
        <v>916</v>
      </c>
      <c r="L352" s="40" t="s">
        <v>110</v>
      </c>
      <c r="M352" s="35" t="s">
        <v>1253</v>
      </c>
      <c r="N352" s="40"/>
      <c r="O352" s="40"/>
      <c r="P352" s="40"/>
      <c r="Q352" s="40"/>
      <c r="R352" s="40" t="s">
        <v>270</v>
      </c>
      <c r="S352" s="40"/>
      <c r="T352" s="106">
        <v>50</v>
      </c>
      <c r="U352" s="68" t="str">
        <f>Таблица310[[#This Row],[Регистратор.Номенклатура]]</f>
        <v>Вольф</v>
      </c>
      <c r="V352" s="45">
        <f>12.7*Таблица310[[#This Row],[Регистратор.Вес нетто]]/78700</f>
        <v>1.0214866581956799</v>
      </c>
      <c r="W352" s="40" t="s">
        <v>50</v>
      </c>
      <c r="X352" s="40" t="s">
        <v>178</v>
      </c>
      <c r="Y352" s="40">
        <v>7</v>
      </c>
      <c r="Z352" s="103">
        <v>45824</v>
      </c>
      <c r="AA352" s="40"/>
      <c r="AB352" s="40"/>
      <c r="AC352" s="40" t="s">
        <v>509</v>
      </c>
      <c r="AD352" s="40" t="s">
        <v>833</v>
      </c>
      <c r="AE352" s="40">
        <v>449</v>
      </c>
      <c r="AF352" s="103">
        <v>45824</v>
      </c>
      <c r="AG352" s="40" t="s">
        <v>992</v>
      </c>
      <c r="AH352" s="40">
        <f>VLOOKUP(Таблица310[[#This Row],[№ акта]],'Степень зрелости 2025'!$H$13:$I$583,2,FALSE)</f>
        <v>0</v>
      </c>
      <c r="AI352" s="40">
        <f>VLOOKUP(Таблица310[[#This Row],[№ акта]],$AQ$1:$AT$594,2,FALSE)</f>
        <v>50</v>
      </c>
      <c r="AJ352" s="40" t="str">
        <f>Таблица310[[#This Row],[Регистратор.Номенклатура]]</f>
        <v>Вольф</v>
      </c>
      <c r="AK352" s="40" t="str">
        <f>VLOOKUP(Таблица310[[#This Row],[№ акта]],$AQ$1:$AT$594,4,FALSE)</f>
        <v>Братковский (полив)</v>
      </c>
      <c r="AL352" s="45">
        <f>VLOOKUP(Таблица310[[#This Row],[№ акта]],$AQ$1:$AT$594,3,FALSE)</f>
        <v>1.0214866581956799</v>
      </c>
      <c r="AM352" s="40" t="str">
        <f>IF(Таблица310[[#This Row],[Площадь уборки, га]]=Таблица310[[#This Row],[Площадь уборки до корр]],"нет","да")</f>
        <v>нет</v>
      </c>
      <c r="AN352" s="45">
        <f>Таблица310[[#This Row],[Площадь уборки до корр]]-Таблица310[[#This Row],[Площадь уборки, га]]</f>
        <v>0</v>
      </c>
      <c r="AQ352">
        <v>449</v>
      </c>
      <c r="AR352">
        <v>50</v>
      </c>
      <c r="AS352">
        <v>1.0214866581956799</v>
      </c>
      <c r="AT352" t="s">
        <v>50</v>
      </c>
    </row>
    <row r="353" spans="1:46" ht="33.75" hidden="1" x14ac:dyDescent="0.25">
      <c r="A353" s="40"/>
      <c r="B353" s="41"/>
      <c r="C353" s="120"/>
      <c r="D353" s="42">
        <v>450</v>
      </c>
      <c r="E353" s="147">
        <v>45824</v>
      </c>
      <c r="F353" s="41">
        <v>21160</v>
      </c>
      <c r="G353" s="41">
        <v>6620</v>
      </c>
      <c r="H353" s="69">
        <v>14540</v>
      </c>
      <c r="I353" s="41">
        <v>6620</v>
      </c>
      <c r="J353" s="40" t="s">
        <v>903</v>
      </c>
      <c r="K353" s="40" t="s">
        <v>916</v>
      </c>
      <c r="L353" s="40">
        <v>44</v>
      </c>
      <c r="M353" s="35" t="s">
        <v>239</v>
      </c>
      <c r="N353" s="40"/>
      <c r="O353" s="40"/>
      <c r="P353" s="40"/>
      <c r="Q353" s="40"/>
      <c r="R353" s="40" t="s">
        <v>243</v>
      </c>
      <c r="S353" s="40"/>
      <c r="T353" s="106">
        <v>50</v>
      </c>
      <c r="U353" s="68" t="str">
        <f>Таблица310[[#This Row],[Регистратор.Номенклатура]]</f>
        <v>Вольф</v>
      </c>
      <c r="V353" s="45">
        <f>12.7*Таблица310[[#This Row],[Регистратор.Вес нетто]]/78700</f>
        <v>1.0682846251588309</v>
      </c>
      <c r="W353" s="40" t="s">
        <v>50</v>
      </c>
      <c r="X353" s="40" t="s">
        <v>178</v>
      </c>
      <c r="Y353" s="40">
        <v>7</v>
      </c>
      <c r="Z353" s="103">
        <v>45824</v>
      </c>
      <c r="AA353" s="40"/>
      <c r="AB353" s="40"/>
      <c r="AC353" s="40" t="s">
        <v>509</v>
      </c>
      <c r="AD353" s="40" t="s">
        <v>833</v>
      </c>
      <c r="AE353" s="40">
        <v>450</v>
      </c>
      <c r="AF353" s="103">
        <v>45824</v>
      </c>
      <c r="AG353" s="40" t="s">
        <v>994</v>
      </c>
      <c r="AH353" s="40">
        <f>VLOOKUP(Таблица310[[#This Row],[№ акта]],'Степень зрелости 2025'!$H$13:$I$583,2,FALSE)</f>
        <v>0</v>
      </c>
      <c r="AI353" s="40">
        <f>VLOOKUP(Таблица310[[#This Row],[№ акта]],$AQ$1:$AT$594,2,FALSE)</f>
        <v>50</v>
      </c>
      <c r="AJ353" s="40" t="str">
        <f>Таблица310[[#This Row],[Регистратор.Номенклатура]]</f>
        <v>Вольф</v>
      </c>
      <c r="AK353" s="40" t="str">
        <f>VLOOKUP(Таблица310[[#This Row],[№ акта]],$AQ$1:$AT$594,4,FALSE)</f>
        <v>Братковский (полив)</v>
      </c>
      <c r="AL353" s="45">
        <f>VLOOKUP(Таблица310[[#This Row],[№ акта]],$AQ$1:$AT$594,3,FALSE)</f>
        <v>1.0682846251588309</v>
      </c>
      <c r="AM353" s="40" t="str">
        <f>IF(Таблица310[[#This Row],[Площадь уборки, га]]=Таблица310[[#This Row],[Площадь уборки до корр]],"нет","да")</f>
        <v>нет</v>
      </c>
      <c r="AN353" s="45">
        <f>Таблица310[[#This Row],[Площадь уборки до корр]]-Таблица310[[#This Row],[Площадь уборки, га]]</f>
        <v>0</v>
      </c>
      <c r="AQ353">
        <v>450</v>
      </c>
      <c r="AR353">
        <v>50</v>
      </c>
      <c r="AS353">
        <v>1.0682846251588309</v>
      </c>
      <c r="AT353" t="s">
        <v>50</v>
      </c>
    </row>
    <row r="354" spans="1:46" ht="22.5" hidden="1" x14ac:dyDescent="0.25">
      <c r="A354" s="40"/>
      <c r="B354" s="41"/>
      <c r="C354" s="120"/>
      <c r="D354" s="42">
        <v>451</v>
      </c>
      <c r="E354" s="147">
        <v>45824</v>
      </c>
      <c r="F354" s="41">
        <v>27440</v>
      </c>
      <c r="G354" s="41">
        <v>6410</v>
      </c>
      <c r="H354" s="69">
        <v>21030</v>
      </c>
      <c r="I354" s="41">
        <v>6410</v>
      </c>
      <c r="J354" s="40" t="s">
        <v>903</v>
      </c>
      <c r="K354" s="40" t="s">
        <v>916</v>
      </c>
      <c r="L354" s="40">
        <v>44</v>
      </c>
      <c r="M354" s="35" t="s">
        <v>1152</v>
      </c>
      <c r="N354" s="40"/>
      <c r="O354" s="40"/>
      <c r="P354" s="40"/>
      <c r="Q354" s="40"/>
      <c r="R354" s="40" t="s">
        <v>119</v>
      </c>
      <c r="S354" s="40"/>
      <c r="T354" s="106">
        <v>50</v>
      </c>
      <c r="U354" s="68" t="str">
        <f>Таблица310[[#This Row],[Регистратор.Номенклатура]]</f>
        <v>Вольф</v>
      </c>
      <c r="V354" s="45">
        <f>12.7*Таблица310[[#This Row],[Регистратор.Вес нетто]]/78700</f>
        <v>1.0343964421855145</v>
      </c>
      <c r="W354" s="40" t="s">
        <v>50</v>
      </c>
      <c r="X354" s="40" t="s">
        <v>178</v>
      </c>
      <c r="Y354" s="40">
        <v>7</v>
      </c>
      <c r="Z354" s="103">
        <v>45824</v>
      </c>
      <c r="AA354" s="40"/>
      <c r="AB354" s="40"/>
      <c r="AC354" s="40" t="s">
        <v>509</v>
      </c>
      <c r="AD354" s="40" t="s">
        <v>833</v>
      </c>
      <c r="AE354" s="40">
        <v>451</v>
      </c>
      <c r="AF354" s="103">
        <v>45824</v>
      </c>
      <c r="AG354" s="40" t="s">
        <v>996</v>
      </c>
      <c r="AH354" s="40">
        <f>VLOOKUP(Таблица310[[#This Row],[№ акта]],'Степень зрелости 2025'!$H$13:$I$583,2,FALSE)</f>
        <v>0</v>
      </c>
      <c r="AI354" s="40">
        <f>VLOOKUP(Таблица310[[#This Row],[№ акта]],$AQ$1:$AT$594,2,FALSE)</f>
        <v>50</v>
      </c>
      <c r="AJ354" s="40" t="str">
        <f>Таблица310[[#This Row],[Регистратор.Номенклатура]]</f>
        <v>Вольф</v>
      </c>
      <c r="AK354" s="40" t="str">
        <f>VLOOKUP(Таблица310[[#This Row],[№ акта]],$AQ$1:$AT$594,4,FALSE)</f>
        <v>Братковский (полив)</v>
      </c>
      <c r="AL354" s="45">
        <f>VLOOKUP(Таблица310[[#This Row],[№ акта]],$AQ$1:$AT$594,3,FALSE)</f>
        <v>1.0343964421855145</v>
      </c>
      <c r="AM354" s="40" t="str">
        <f>IF(Таблица310[[#This Row],[Площадь уборки, га]]=Таблица310[[#This Row],[Площадь уборки до корр]],"нет","да")</f>
        <v>нет</v>
      </c>
      <c r="AN354" s="45">
        <f>Таблица310[[#This Row],[Площадь уборки до корр]]-Таблица310[[#This Row],[Площадь уборки, га]]</f>
        <v>0</v>
      </c>
      <c r="AQ354">
        <v>451</v>
      </c>
      <c r="AR354">
        <v>50</v>
      </c>
      <c r="AS354">
        <v>1.0343964421855145</v>
      </c>
      <c r="AT354" t="s">
        <v>50</v>
      </c>
    </row>
    <row r="355" spans="1:46" ht="33.75" hidden="1" x14ac:dyDescent="0.25">
      <c r="A355" s="40"/>
      <c r="B355" s="41"/>
      <c r="C355" s="120"/>
      <c r="D355" s="42">
        <v>452</v>
      </c>
      <c r="E355" s="147">
        <v>45824</v>
      </c>
      <c r="F355" s="41">
        <v>29040</v>
      </c>
      <c r="G355" s="41">
        <v>13510</v>
      </c>
      <c r="H355" s="69">
        <v>15530</v>
      </c>
      <c r="I355" s="41">
        <v>13510</v>
      </c>
      <c r="J355" s="40" t="s">
        <v>903</v>
      </c>
      <c r="K355" s="40" t="s">
        <v>916</v>
      </c>
      <c r="L355" s="40">
        <v>44</v>
      </c>
      <c r="M355" s="35" t="s">
        <v>1151</v>
      </c>
      <c r="N355" s="40"/>
      <c r="O355" s="40"/>
      <c r="P355" s="40"/>
      <c r="Q355" s="40"/>
      <c r="R355" s="40" t="s">
        <v>145</v>
      </c>
      <c r="S355" s="40"/>
      <c r="T355" s="70" t="s">
        <v>1067</v>
      </c>
      <c r="U355" s="68" t="str">
        <f>Таблица310[[#This Row],[Регистратор.Номенклатура]]</f>
        <v>Вольф</v>
      </c>
      <c r="V355" s="45">
        <f>30.4*Таблица310[[#This Row],[Регистратор.Вес нетто]]/67190</f>
        <v>6.1125762762315823</v>
      </c>
      <c r="W355" s="40" t="s">
        <v>51</v>
      </c>
      <c r="X355" s="40" t="s">
        <v>178</v>
      </c>
      <c r="Y355" s="40">
        <v>7</v>
      </c>
      <c r="Z355" s="103">
        <v>45824</v>
      </c>
      <c r="AA355" s="40"/>
      <c r="AB355" s="40"/>
      <c r="AC355" s="40" t="s">
        <v>509</v>
      </c>
      <c r="AD355" s="40" t="s">
        <v>833</v>
      </c>
      <c r="AE355" s="40">
        <v>452</v>
      </c>
      <c r="AF355" s="103">
        <v>45824</v>
      </c>
      <c r="AG355" s="40" t="s">
        <v>998</v>
      </c>
      <c r="AH355" s="40">
        <f>VLOOKUP(Таблица310[[#This Row],[№ акта]],'Степень зрелости 2025'!$H$13:$I$583,2,FALSE)</f>
        <v>0</v>
      </c>
      <c r="AI355" s="40" t="str">
        <f>VLOOKUP(Таблица310[[#This Row],[№ акта]],$AQ$1:$AT$594,2,FALSE)</f>
        <v>закупка</v>
      </c>
      <c r="AJ355" s="40" t="str">
        <f>Таблица310[[#This Row],[Регистратор.Номенклатура]]</f>
        <v>Вольф</v>
      </c>
      <c r="AK355" s="40" t="str">
        <f>VLOOKUP(Таблица310[[#This Row],[№ акта]],$AQ$1:$AT$594,4,FALSE)</f>
        <v>Братковский закупка (полив)</v>
      </c>
      <c r="AL355" s="45">
        <f>VLOOKUP(Таблица310[[#This Row],[№ акта]],$AQ$1:$AT$594,3,FALSE)</f>
        <v>6.1125762762315823</v>
      </c>
      <c r="AM355" s="40" t="str">
        <f>IF(Таблица310[[#This Row],[Площадь уборки, га]]=Таблица310[[#This Row],[Площадь уборки до корр]],"нет","да")</f>
        <v>нет</v>
      </c>
      <c r="AN355" s="45">
        <f>Таблица310[[#This Row],[Площадь уборки до корр]]-Таблица310[[#This Row],[Площадь уборки, га]]</f>
        <v>0</v>
      </c>
      <c r="AQ355">
        <v>452</v>
      </c>
      <c r="AR355" t="s">
        <v>1067</v>
      </c>
      <c r="AS355">
        <v>6.1125762762315823</v>
      </c>
      <c r="AT355" t="s">
        <v>51</v>
      </c>
    </row>
    <row r="356" spans="1:46" ht="22.5" hidden="1" x14ac:dyDescent="0.25">
      <c r="A356" s="40"/>
      <c r="B356" s="41"/>
      <c r="C356" s="120"/>
      <c r="D356" s="42">
        <v>453</v>
      </c>
      <c r="E356" s="147">
        <v>45824</v>
      </c>
      <c r="F356" s="41">
        <v>21600</v>
      </c>
      <c r="G356" s="41">
        <v>6520</v>
      </c>
      <c r="H356" s="69">
        <v>15080</v>
      </c>
      <c r="I356" s="41">
        <v>6520</v>
      </c>
      <c r="J356" s="40" t="s">
        <v>903</v>
      </c>
      <c r="K356" s="40" t="s">
        <v>916</v>
      </c>
      <c r="L356" s="40">
        <v>44</v>
      </c>
      <c r="M356" s="35" t="s">
        <v>1461</v>
      </c>
      <c r="N356" s="40"/>
      <c r="O356" s="40"/>
      <c r="P356" s="40"/>
      <c r="Q356" s="40"/>
      <c r="R356" s="40" t="s">
        <v>149</v>
      </c>
      <c r="S356" s="40"/>
      <c r="T356" s="106">
        <v>50</v>
      </c>
      <c r="U356" s="68" t="str">
        <f>Таблица310[[#This Row],[Регистратор.Номенклатура]]</f>
        <v>Вольф</v>
      </c>
      <c r="V356" s="45">
        <f>12.7*Таблица310[[#This Row],[Регистратор.Вес нетто]]/78700</f>
        <v>1.0521473951715374</v>
      </c>
      <c r="W356" s="40" t="s">
        <v>50</v>
      </c>
      <c r="X356" s="40" t="s">
        <v>178</v>
      </c>
      <c r="Y356" s="40">
        <v>7</v>
      </c>
      <c r="Z356" s="103">
        <v>45824</v>
      </c>
      <c r="AA356" s="40"/>
      <c r="AB356" s="40"/>
      <c r="AC356" s="40" t="s">
        <v>509</v>
      </c>
      <c r="AD356" s="40" t="s">
        <v>833</v>
      </c>
      <c r="AE356" s="40">
        <v>453</v>
      </c>
      <c r="AF356" s="103">
        <v>45824</v>
      </c>
      <c r="AG356" s="40" t="s">
        <v>1000</v>
      </c>
      <c r="AH356" s="40">
        <f>VLOOKUP(Таблица310[[#This Row],[№ акта]],'Степень зрелости 2025'!$H$13:$I$583,2,FALSE)</f>
        <v>0</v>
      </c>
      <c r="AI356" s="40">
        <f>VLOOKUP(Таблица310[[#This Row],[№ акта]],$AQ$1:$AT$594,2,FALSE)</f>
        <v>50</v>
      </c>
      <c r="AJ356" s="40" t="str">
        <f>Таблица310[[#This Row],[Регистратор.Номенклатура]]</f>
        <v>Вольф</v>
      </c>
      <c r="AK356" s="40" t="str">
        <f>VLOOKUP(Таблица310[[#This Row],[№ акта]],$AQ$1:$AT$594,4,FALSE)</f>
        <v>Братковский (полив)</v>
      </c>
      <c r="AL356" s="45">
        <f>VLOOKUP(Таблица310[[#This Row],[№ акта]],$AQ$1:$AT$594,3,FALSE)</f>
        <v>1.0521473951715374</v>
      </c>
      <c r="AM356" s="40" t="str">
        <f>IF(Таблица310[[#This Row],[Площадь уборки, га]]=Таблица310[[#This Row],[Площадь уборки до корр]],"нет","да")</f>
        <v>нет</v>
      </c>
      <c r="AN356" s="45">
        <f>Таблица310[[#This Row],[Площадь уборки до корр]]-Таблица310[[#This Row],[Площадь уборки, га]]</f>
        <v>0</v>
      </c>
      <c r="AQ356">
        <v>453</v>
      </c>
      <c r="AR356">
        <v>50</v>
      </c>
      <c r="AS356">
        <v>1.0521473951715374</v>
      </c>
      <c r="AT356" t="s">
        <v>50</v>
      </c>
    </row>
    <row r="357" spans="1:46" ht="22.5" hidden="1" x14ac:dyDescent="0.25">
      <c r="A357" s="40"/>
      <c r="B357" s="41"/>
      <c r="C357" s="120">
        <f>Таблица310[[#This Row],[Степень зрелости вспом]]</f>
        <v>51</v>
      </c>
      <c r="D357" s="42">
        <v>454</v>
      </c>
      <c r="E357" s="147">
        <v>45826</v>
      </c>
      <c r="F357" s="41">
        <v>28510</v>
      </c>
      <c r="G357" s="41">
        <v>13520</v>
      </c>
      <c r="H357" s="69">
        <v>14990</v>
      </c>
      <c r="I357" s="41">
        <v>12641.2</v>
      </c>
      <c r="J357" s="40" t="s">
        <v>914</v>
      </c>
      <c r="K357" s="40" t="s">
        <v>909</v>
      </c>
      <c r="L357" s="40">
        <v>15</v>
      </c>
      <c r="M357" s="35" t="s">
        <v>151</v>
      </c>
      <c r="N357" s="40"/>
      <c r="O357" s="40"/>
      <c r="P357" s="40"/>
      <c r="Q357" s="40"/>
      <c r="R357" s="40" t="s">
        <v>155</v>
      </c>
      <c r="S357" s="40"/>
      <c r="T357" s="40">
        <v>15</v>
      </c>
      <c r="U357" s="68" t="str">
        <f>Таблица310[[#This Row],[Регистратор.Номенклатура]]</f>
        <v>Тристар</v>
      </c>
      <c r="V357" s="45">
        <f>36*Таблица310[[#This Row],[Регистратор.Вес нетто]]/277060</f>
        <v>1.7567313939218943</v>
      </c>
      <c r="W357" s="40" t="s">
        <v>52</v>
      </c>
      <c r="X357" s="40" t="s">
        <v>178</v>
      </c>
      <c r="Y357" s="40">
        <v>3</v>
      </c>
      <c r="Z357" s="103">
        <v>45825</v>
      </c>
      <c r="AA357" s="40"/>
      <c r="AB357" s="40"/>
      <c r="AC357" s="40" t="s">
        <v>419</v>
      </c>
      <c r="AD357" s="40" t="s">
        <v>511</v>
      </c>
      <c r="AE357" s="40">
        <v>454</v>
      </c>
      <c r="AF357" s="103">
        <v>45826</v>
      </c>
      <c r="AG357" s="40" t="s">
        <v>902</v>
      </c>
      <c r="AH357" s="40">
        <f>VLOOKUP(Таблица310[[#This Row],[№ акта]],'Степень зрелости 2025'!$H$13:$I$583,2,FALSE)</f>
        <v>51</v>
      </c>
      <c r="AI357" s="40">
        <f>VLOOKUP(Таблица310[[#This Row],[№ акта]],$AQ$1:$AT$594,2,FALSE)</f>
        <v>15</v>
      </c>
      <c r="AJ357" s="40" t="str">
        <f>Таблица310[[#This Row],[Регистратор.Номенклатура]]</f>
        <v>Тристар</v>
      </c>
      <c r="AK357" s="40" t="str">
        <f>VLOOKUP(Таблица310[[#This Row],[№ акта]],$AQ$1:$AT$594,4,FALSE)</f>
        <v>Агролидер (полив)</v>
      </c>
      <c r="AL357" s="45">
        <f>VLOOKUP(Таблица310[[#This Row],[№ акта]],$AQ$1:$AT$594,3,FALSE)</f>
        <v>1.7567313939218943</v>
      </c>
      <c r="AM357" s="40" t="str">
        <f>IF(Таблица310[[#This Row],[Площадь уборки, га]]=Таблица310[[#This Row],[Площадь уборки до корр]],"нет","да")</f>
        <v>нет</v>
      </c>
      <c r="AN357" s="45">
        <f>Таблица310[[#This Row],[Площадь уборки до корр]]-Таблица310[[#This Row],[Площадь уборки, га]]</f>
        <v>0</v>
      </c>
      <c r="AQ357">
        <v>454</v>
      </c>
      <c r="AR357">
        <v>15</v>
      </c>
      <c r="AS357">
        <v>1.7567313939218943</v>
      </c>
      <c r="AT357" t="s">
        <v>52</v>
      </c>
    </row>
    <row r="358" spans="1:46" ht="33.75" hidden="1" x14ac:dyDescent="0.25">
      <c r="A358" s="40"/>
      <c r="B358" s="41"/>
      <c r="C358" s="120">
        <f>Таблица310[[#This Row],[Степень зрелости вспом]]</f>
        <v>68</v>
      </c>
      <c r="D358" s="42">
        <v>455</v>
      </c>
      <c r="E358" s="147">
        <v>45824</v>
      </c>
      <c r="F358" s="41">
        <v>27790</v>
      </c>
      <c r="G358" s="41">
        <v>6630</v>
      </c>
      <c r="H358" s="69">
        <v>21160</v>
      </c>
      <c r="I358" s="41">
        <v>5668.6</v>
      </c>
      <c r="J358" s="40" t="s">
        <v>903</v>
      </c>
      <c r="K358" s="40" t="s">
        <v>916</v>
      </c>
      <c r="L358" s="40">
        <v>44</v>
      </c>
      <c r="M358" s="35" t="s">
        <v>239</v>
      </c>
      <c r="N358" s="40"/>
      <c r="O358" s="40"/>
      <c r="P358" s="40"/>
      <c r="Q358" s="40"/>
      <c r="R358" s="40" t="s">
        <v>243</v>
      </c>
      <c r="S358" s="40"/>
      <c r="T358" s="70" t="s">
        <v>1067</v>
      </c>
      <c r="U358" s="68" t="str">
        <f>Таблица310[[#This Row],[Регистратор.Номенклатура]]</f>
        <v>Вольф</v>
      </c>
      <c r="V358" s="45">
        <f>30.4*Таблица310[[#This Row],[Регистратор.Вес нетто]]/67190</f>
        <v>2.9997321029915165</v>
      </c>
      <c r="W358" s="40" t="s">
        <v>51</v>
      </c>
      <c r="X358" s="40" t="s">
        <v>178</v>
      </c>
      <c r="Y358" s="40">
        <v>7</v>
      </c>
      <c r="Z358" s="103">
        <v>45824</v>
      </c>
      <c r="AA358" s="40"/>
      <c r="AB358" s="40"/>
      <c r="AC358" s="40" t="s">
        <v>420</v>
      </c>
      <c r="AD358" s="40" t="s">
        <v>550</v>
      </c>
      <c r="AE358" s="40">
        <v>455</v>
      </c>
      <c r="AF358" s="103">
        <v>45824</v>
      </c>
      <c r="AG358" s="40" t="s">
        <v>902</v>
      </c>
      <c r="AH358" s="40">
        <f>VLOOKUP(Таблица310[[#This Row],[№ акта]],'Степень зрелости 2025'!$H$13:$I$583,2,FALSE)</f>
        <v>68</v>
      </c>
      <c r="AI358" s="40" t="str">
        <f>VLOOKUP(Таблица310[[#This Row],[№ акта]],$AQ$1:$AT$594,2,FALSE)</f>
        <v>закупка</v>
      </c>
      <c r="AJ358" s="40" t="str">
        <f>Таблица310[[#This Row],[Регистратор.Номенклатура]]</f>
        <v>Вольф</v>
      </c>
      <c r="AK358" s="40" t="str">
        <f>VLOOKUP(Таблица310[[#This Row],[№ акта]],$AQ$1:$AT$594,4,FALSE)</f>
        <v>Братковский закупка (полив)</v>
      </c>
      <c r="AL358" s="45">
        <f>VLOOKUP(Таблица310[[#This Row],[№ акта]],$AQ$1:$AT$594,3,FALSE)</f>
        <v>2.9997321029915165</v>
      </c>
      <c r="AM358" s="40" t="str">
        <f>IF(Таблица310[[#This Row],[Площадь уборки, га]]=Таблица310[[#This Row],[Площадь уборки до корр]],"нет","да")</f>
        <v>нет</v>
      </c>
      <c r="AN358" s="45">
        <f>Таблица310[[#This Row],[Площадь уборки до корр]]-Таблица310[[#This Row],[Площадь уборки, га]]</f>
        <v>0</v>
      </c>
      <c r="AQ358">
        <v>455</v>
      </c>
      <c r="AR358" t="s">
        <v>1067</v>
      </c>
      <c r="AS358">
        <v>2.9997321029915165</v>
      </c>
      <c r="AT358" t="s">
        <v>51</v>
      </c>
    </row>
    <row r="359" spans="1:46" ht="33.75" hidden="1" x14ac:dyDescent="0.25">
      <c r="A359" s="40"/>
      <c r="B359" s="41"/>
      <c r="C359" s="120">
        <f>Таблица310[[#This Row],[Степень зрелости вспом]]</f>
        <v>68</v>
      </c>
      <c r="D359" s="42">
        <v>456</v>
      </c>
      <c r="E359" s="147">
        <v>45824</v>
      </c>
      <c r="F359" s="41">
        <v>28260</v>
      </c>
      <c r="G359" s="41">
        <v>6650</v>
      </c>
      <c r="H359" s="69">
        <v>21610</v>
      </c>
      <c r="I359" s="41">
        <v>6151.2</v>
      </c>
      <c r="J359" s="40" t="s">
        <v>903</v>
      </c>
      <c r="K359" s="40" t="s">
        <v>916</v>
      </c>
      <c r="L359" s="40">
        <v>44</v>
      </c>
      <c r="M359" s="35" t="s">
        <v>1461</v>
      </c>
      <c r="N359" s="40"/>
      <c r="O359" s="40"/>
      <c r="P359" s="40"/>
      <c r="Q359" s="40"/>
      <c r="R359" s="40" t="s">
        <v>149</v>
      </c>
      <c r="S359" s="40"/>
      <c r="T359" s="70" t="s">
        <v>1067</v>
      </c>
      <c r="U359" s="68" t="str">
        <f>Таблица310[[#This Row],[Регистратор.Номенклатура]]</f>
        <v>Вольф</v>
      </c>
      <c r="V359" s="45">
        <f>30.4*Таблица310[[#This Row],[Регистратор.Вес нетто]]/67190</f>
        <v>3.0087810686114005</v>
      </c>
      <c r="W359" s="40" t="s">
        <v>51</v>
      </c>
      <c r="X359" s="40" t="s">
        <v>178</v>
      </c>
      <c r="Y359" s="40">
        <v>7</v>
      </c>
      <c r="Z359" s="103">
        <v>45824</v>
      </c>
      <c r="AA359" s="40"/>
      <c r="AB359" s="40"/>
      <c r="AC359" s="40" t="s">
        <v>420</v>
      </c>
      <c r="AD359" s="40" t="s">
        <v>550</v>
      </c>
      <c r="AE359" s="40">
        <v>456</v>
      </c>
      <c r="AF359" s="103">
        <v>45824</v>
      </c>
      <c r="AG359" s="40">
        <v>90</v>
      </c>
      <c r="AH359" s="40">
        <f>VLOOKUP(Таблица310[[#This Row],[№ акта]],'Степень зрелости 2025'!$H$13:$I$583,2,FALSE)</f>
        <v>68</v>
      </c>
      <c r="AI359" s="40" t="str">
        <f>VLOOKUP(Таблица310[[#This Row],[№ акта]],$AQ$1:$AT$594,2,FALSE)</f>
        <v>закупка</v>
      </c>
      <c r="AJ359" s="40" t="str">
        <f>Таблица310[[#This Row],[Регистратор.Номенклатура]]</f>
        <v>Вольф</v>
      </c>
      <c r="AK359" s="40" t="str">
        <f>VLOOKUP(Таблица310[[#This Row],[№ акта]],$AQ$1:$AT$594,4,FALSE)</f>
        <v>Братковский закупка (полив)</v>
      </c>
      <c r="AL359" s="45">
        <f>VLOOKUP(Таблица310[[#This Row],[№ акта]],$AQ$1:$AT$594,3,FALSE)</f>
        <v>3.0087810686114005</v>
      </c>
      <c r="AM359" s="40" t="str">
        <f>IF(Таблица310[[#This Row],[Площадь уборки, га]]=Таблица310[[#This Row],[Площадь уборки до корр]],"нет","да")</f>
        <v>нет</v>
      </c>
      <c r="AN359" s="45">
        <f>Таблица310[[#This Row],[Площадь уборки до корр]]-Таблица310[[#This Row],[Площадь уборки, га]]</f>
        <v>0</v>
      </c>
      <c r="AQ359">
        <v>456</v>
      </c>
      <c r="AR359" t="s">
        <v>1067</v>
      </c>
      <c r="AS359">
        <v>3.0087810686114005</v>
      </c>
      <c r="AT359" t="s">
        <v>51</v>
      </c>
    </row>
    <row r="360" spans="1:46" ht="33.75" hidden="1" x14ac:dyDescent="0.25">
      <c r="A360" s="40"/>
      <c r="B360" s="41"/>
      <c r="C360" s="120">
        <f>Таблица310[[#This Row],[Степень зрелости вспом]]</f>
        <v>66</v>
      </c>
      <c r="D360" s="42">
        <v>457</v>
      </c>
      <c r="E360" s="147">
        <v>45824</v>
      </c>
      <c r="F360" s="41">
        <v>34230</v>
      </c>
      <c r="G360" s="41">
        <v>6740</v>
      </c>
      <c r="H360" s="69">
        <v>27490</v>
      </c>
      <c r="I360" s="41">
        <v>5830.1</v>
      </c>
      <c r="J360" s="40" t="s">
        <v>903</v>
      </c>
      <c r="K360" s="40" t="s">
        <v>916</v>
      </c>
      <c r="L360" s="40">
        <v>44</v>
      </c>
      <c r="M360" s="35" t="s">
        <v>1152</v>
      </c>
      <c r="N360" s="40"/>
      <c r="O360" s="40"/>
      <c r="P360" s="40"/>
      <c r="Q360" s="40"/>
      <c r="R360" s="40" t="s">
        <v>119</v>
      </c>
      <c r="S360" s="40"/>
      <c r="T360" s="70" t="s">
        <v>1067</v>
      </c>
      <c r="U360" s="68" t="str">
        <f>Таблица310[[#This Row],[Регистратор.Номенклатура]]</f>
        <v>Вольф</v>
      </c>
      <c r="V360" s="45">
        <f>30.4*Таблица310[[#This Row],[Регистратор.Вес нетто]]/67190</f>
        <v>3.0495014139008783</v>
      </c>
      <c r="W360" s="40" t="s">
        <v>51</v>
      </c>
      <c r="X360" s="40" t="s">
        <v>178</v>
      </c>
      <c r="Y360" s="40">
        <v>7</v>
      </c>
      <c r="Z360" s="103">
        <v>45824</v>
      </c>
      <c r="AA360" s="40"/>
      <c r="AB360" s="40"/>
      <c r="AC360" s="40" t="s">
        <v>725</v>
      </c>
      <c r="AD360" s="40" t="s">
        <v>550</v>
      </c>
      <c r="AE360" s="40">
        <v>457</v>
      </c>
      <c r="AF360" s="103">
        <v>45824</v>
      </c>
      <c r="AG360" s="40">
        <v>92</v>
      </c>
      <c r="AH360" s="40">
        <f>VLOOKUP(Таблица310[[#This Row],[№ акта]],'Степень зрелости 2025'!$H$13:$I$583,2,FALSE)</f>
        <v>66</v>
      </c>
      <c r="AI360" s="40" t="str">
        <f>VLOOKUP(Таблица310[[#This Row],[№ акта]],$AQ$1:$AT$594,2,FALSE)</f>
        <v>закупка</v>
      </c>
      <c r="AJ360" s="40" t="str">
        <f>Таблица310[[#This Row],[Регистратор.Номенклатура]]</f>
        <v>Вольф</v>
      </c>
      <c r="AK360" s="40" t="str">
        <f>VLOOKUP(Таблица310[[#This Row],[№ акта]],$AQ$1:$AT$594,4,FALSE)</f>
        <v>Братковский закупка (полив)</v>
      </c>
      <c r="AL360" s="45">
        <f>VLOOKUP(Таблица310[[#This Row],[№ акта]],$AQ$1:$AT$594,3,FALSE)</f>
        <v>3.0495014139008783</v>
      </c>
      <c r="AM360" s="40" t="str">
        <f>IF(Таблица310[[#This Row],[Площадь уборки, га]]=Таблица310[[#This Row],[Площадь уборки до корр]],"нет","да")</f>
        <v>нет</v>
      </c>
      <c r="AN360" s="45">
        <f>Таблица310[[#This Row],[Площадь уборки до корр]]-Таблица310[[#This Row],[Площадь уборки, га]]</f>
        <v>0</v>
      </c>
      <c r="AQ360">
        <v>457</v>
      </c>
      <c r="AR360" t="s">
        <v>1067</v>
      </c>
      <c r="AS360">
        <v>3.0495014139008783</v>
      </c>
      <c r="AT360" t="s">
        <v>51</v>
      </c>
    </row>
    <row r="361" spans="1:46" ht="33.75" hidden="1" x14ac:dyDescent="0.25">
      <c r="A361" s="40"/>
      <c r="B361" s="41"/>
      <c r="C361" s="120">
        <v>53</v>
      </c>
      <c r="D361" s="42">
        <v>458</v>
      </c>
      <c r="E361" s="147">
        <v>45826</v>
      </c>
      <c r="F361" s="41">
        <v>28350</v>
      </c>
      <c r="G361" s="41">
        <v>13310</v>
      </c>
      <c r="H361" s="69">
        <v>15040</v>
      </c>
      <c r="I361" s="41">
        <v>11646.2</v>
      </c>
      <c r="J361" s="40" t="s">
        <v>914</v>
      </c>
      <c r="K361" s="40" t="s">
        <v>909</v>
      </c>
      <c r="L361" s="40">
        <v>15</v>
      </c>
      <c r="M361" s="35" t="s">
        <v>311</v>
      </c>
      <c r="N361" s="40"/>
      <c r="O361" s="40"/>
      <c r="P361" s="40"/>
      <c r="Q361" s="40"/>
      <c r="R361" s="40" t="s">
        <v>315</v>
      </c>
      <c r="S361" s="40"/>
      <c r="T361" s="40">
        <v>15</v>
      </c>
      <c r="U361" s="68" t="str">
        <f>Таблица310[[#This Row],[Регистратор.Номенклатура]]</f>
        <v>Тристар</v>
      </c>
      <c r="V361" s="45">
        <f>36*Таблица310[[#This Row],[Регистратор.Вес нетто]]/277060</f>
        <v>1.7294448855843501</v>
      </c>
      <c r="W361" s="40" t="s">
        <v>52</v>
      </c>
      <c r="X361" s="40" t="s">
        <v>178</v>
      </c>
      <c r="Y361" s="40">
        <v>3</v>
      </c>
      <c r="Z361" s="103">
        <v>45825</v>
      </c>
      <c r="AA361" s="40"/>
      <c r="AB361" s="40"/>
      <c r="AC361" s="40" t="s">
        <v>724</v>
      </c>
      <c r="AD361" s="40" t="s">
        <v>511</v>
      </c>
      <c r="AE361" s="40">
        <v>458</v>
      </c>
      <c r="AF361" s="103">
        <v>45826</v>
      </c>
      <c r="AG361" s="40" t="s">
        <v>902</v>
      </c>
      <c r="AH361" s="40" t="e">
        <f>VLOOKUP(Таблица310[[#This Row],[№ акта]],'Степень зрелости 2025'!$H$13:$I$583,2,FALSE)</f>
        <v>#N/A</v>
      </c>
      <c r="AI361" s="40">
        <f>VLOOKUP(Таблица310[[#This Row],[№ акта]],$AQ$1:$AT$594,2,FALSE)</f>
        <v>15</v>
      </c>
      <c r="AJ361" s="40" t="str">
        <f>Таблица310[[#This Row],[Регистратор.Номенклатура]]</f>
        <v>Тристар</v>
      </c>
      <c r="AK361" s="40" t="str">
        <f>VLOOKUP(Таблица310[[#This Row],[№ акта]],$AQ$1:$AT$594,4,FALSE)</f>
        <v>Агролидер (полив)</v>
      </c>
      <c r="AL361" s="45">
        <f>VLOOKUP(Таблица310[[#This Row],[№ акта]],$AQ$1:$AT$594,3,FALSE)</f>
        <v>1.7294448855843501</v>
      </c>
      <c r="AM361" s="40" t="str">
        <f>IF(Таблица310[[#This Row],[Площадь уборки, га]]=Таблица310[[#This Row],[Площадь уборки до корр]],"нет","да")</f>
        <v>нет</v>
      </c>
      <c r="AN361" s="45">
        <f>Таблица310[[#This Row],[Площадь уборки до корр]]-Таблица310[[#This Row],[Площадь уборки, га]]</f>
        <v>0</v>
      </c>
      <c r="AQ361">
        <v>458</v>
      </c>
      <c r="AR361">
        <v>15</v>
      </c>
      <c r="AS361">
        <v>1.7294448855843501</v>
      </c>
      <c r="AT361" t="s">
        <v>52</v>
      </c>
    </row>
    <row r="362" spans="1:46" ht="33.75" hidden="1" x14ac:dyDescent="0.25">
      <c r="A362" s="40"/>
      <c r="B362" s="41"/>
      <c r="C362" s="120">
        <v>60</v>
      </c>
      <c r="D362" s="42">
        <v>459</v>
      </c>
      <c r="E362" s="147">
        <v>45824</v>
      </c>
      <c r="F362" s="41">
        <v>27700</v>
      </c>
      <c r="G362" s="41">
        <v>13260</v>
      </c>
      <c r="H362" s="69">
        <v>14440</v>
      </c>
      <c r="I362" s="41">
        <v>11669</v>
      </c>
      <c r="J362" s="40" t="s">
        <v>903</v>
      </c>
      <c r="K362" s="40" t="s">
        <v>916</v>
      </c>
      <c r="L362" s="40">
        <v>44</v>
      </c>
      <c r="M362" s="35" t="s">
        <v>305</v>
      </c>
      <c r="N362" s="40"/>
      <c r="O362" s="40"/>
      <c r="P362" s="40"/>
      <c r="Q362" s="40"/>
      <c r="R362" s="40" t="s">
        <v>309</v>
      </c>
      <c r="S362" s="40"/>
      <c r="T362" s="106">
        <v>50</v>
      </c>
      <c r="U362" s="68" t="str">
        <f>Таблица310[[#This Row],[Регистратор.Номенклатура]]</f>
        <v>Вольф</v>
      </c>
      <c r="V362" s="45">
        <f>12.7*Таблица310[[#This Row],[Регистратор.Вес нетто]]/78700</f>
        <v>2.1397966963151207</v>
      </c>
      <c r="W362" s="40" t="s">
        <v>50</v>
      </c>
      <c r="X362" s="40" t="s">
        <v>178</v>
      </c>
      <c r="Y362" s="40">
        <v>7</v>
      </c>
      <c r="Z362" s="103">
        <v>45824</v>
      </c>
      <c r="AA362" s="94">
        <f>Таблица310[[#This Row],[Регистратор.Вес нетто]]</f>
        <v>13260</v>
      </c>
      <c r="AB362" s="40" t="s">
        <v>1069</v>
      </c>
      <c r="AC362" s="40" t="s">
        <v>724</v>
      </c>
      <c r="AD362" s="40" t="s">
        <v>833</v>
      </c>
      <c r="AE362" s="40">
        <v>459</v>
      </c>
      <c r="AF362" s="103">
        <v>45824</v>
      </c>
      <c r="AG362" s="40" t="s">
        <v>1007</v>
      </c>
      <c r="AH362" s="40">
        <f>VLOOKUP(Таблица310[[#This Row],[№ акта]],'Степень зрелости 2025'!$H$13:$I$583,2,FALSE)</f>
        <v>0</v>
      </c>
      <c r="AI362" s="40">
        <f>VLOOKUP(Таблица310[[#This Row],[№ акта]],$AQ$1:$AT$594,2,FALSE)</f>
        <v>50</v>
      </c>
      <c r="AJ362" s="40" t="str">
        <f>Таблица310[[#This Row],[Регистратор.Номенклатура]]</f>
        <v>Вольф</v>
      </c>
      <c r="AK362" s="40" t="str">
        <f>VLOOKUP(Таблица310[[#This Row],[№ акта]],$AQ$1:$AT$594,4,FALSE)</f>
        <v>Братковский (полив)</v>
      </c>
      <c r="AL362" s="45">
        <f>VLOOKUP(Таблица310[[#This Row],[№ акта]],$AQ$1:$AT$594,3,FALSE)</f>
        <v>2.1397966963151207</v>
      </c>
      <c r="AM362" s="40" t="str">
        <f>IF(Таблица310[[#This Row],[Площадь уборки, га]]=Таблица310[[#This Row],[Площадь уборки до корр]],"нет","да")</f>
        <v>нет</v>
      </c>
      <c r="AN362" s="45">
        <f>Таблица310[[#This Row],[Площадь уборки до корр]]-Таблица310[[#This Row],[Площадь уборки, га]]</f>
        <v>0</v>
      </c>
      <c r="AQ362">
        <v>459</v>
      </c>
      <c r="AR362">
        <v>50</v>
      </c>
      <c r="AS362">
        <v>2.1397966963151207</v>
      </c>
      <c r="AT362" t="s">
        <v>50</v>
      </c>
    </row>
    <row r="363" spans="1:46" ht="22.5" hidden="1" x14ac:dyDescent="0.25">
      <c r="A363" s="40"/>
      <c r="B363" s="41"/>
      <c r="C363" s="120">
        <v>71</v>
      </c>
      <c r="D363" s="42">
        <v>460</v>
      </c>
      <c r="E363" s="147">
        <v>45824</v>
      </c>
      <c r="F363" s="41">
        <v>28260</v>
      </c>
      <c r="G363" s="41">
        <v>13200</v>
      </c>
      <c r="H363" s="69">
        <v>15060</v>
      </c>
      <c r="I363" s="41">
        <v>11564</v>
      </c>
      <c r="J363" s="40" t="s">
        <v>903</v>
      </c>
      <c r="K363" s="40" t="s">
        <v>916</v>
      </c>
      <c r="L363" s="40">
        <v>44</v>
      </c>
      <c r="M363" s="35" t="s">
        <v>329</v>
      </c>
      <c r="N363" s="40"/>
      <c r="O363" s="40"/>
      <c r="P363" s="40"/>
      <c r="Q363" s="40"/>
      <c r="R363" s="40" t="s">
        <v>1010</v>
      </c>
      <c r="S363" s="40"/>
      <c r="T363" s="106">
        <v>50</v>
      </c>
      <c r="U363" s="68" t="str">
        <f>Таблица310[[#This Row],[Регистратор.Номенклатура]]</f>
        <v>Вольф</v>
      </c>
      <c r="V363" s="45">
        <f>12.7*Таблица310[[#This Row],[Регистратор.Вес нетто]]/78700</f>
        <v>2.1301143583227446</v>
      </c>
      <c r="W363" s="40" t="s">
        <v>50</v>
      </c>
      <c r="X363" s="40" t="s">
        <v>178</v>
      </c>
      <c r="Y363" s="40">
        <v>7</v>
      </c>
      <c r="Z363" s="103">
        <v>45824</v>
      </c>
      <c r="AA363" s="94">
        <f>Таблица310[[#This Row],[Регистратор.Вес нетто]]</f>
        <v>13200</v>
      </c>
      <c r="AB363" s="40" t="s">
        <v>1069</v>
      </c>
      <c r="AC363" s="40" t="s">
        <v>420</v>
      </c>
      <c r="AD363" s="40" t="s">
        <v>833</v>
      </c>
      <c r="AE363" s="40">
        <v>460</v>
      </c>
      <c r="AF363" s="103">
        <v>45824</v>
      </c>
      <c r="AG363" s="40" t="s">
        <v>1009</v>
      </c>
      <c r="AH363" s="40">
        <f>VLOOKUP(Таблица310[[#This Row],[№ акта]],'Степень зрелости 2025'!$H$13:$I$583,2,FALSE)</f>
        <v>0</v>
      </c>
      <c r="AI363" s="40">
        <f>VLOOKUP(Таблица310[[#This Row],[№ акта]],$AQ$1:$AT$594,2,FALSE)</f>
        <v>50</v>
      </c>
      <c r="AJ363" s="40" t="str">
        <f>Таблица310[[#This Row],[Регистратор.Номенклатура]]</f>
        <v>Вольф</v>
      </c>
      <c r="AK363" s="40" t="str">
        <f>VLOOKUP(Таблица310[[#This Row],[№ акта]],$AQ$1:$AT$594,4,FALSE)</f>
        <v>Братковский (полив)</v>
      </c>
      <c r="AL363" s="45">
        <f>VLOOKUP(Таблица310[[#This Row],[№ акта]],$AQ$1:$AT$594,3,FALSE)</f>
        <v>2.1301143583227446</v>
      </c>
      <c r="AM363" s="40" t="str">
        <f>IF(Таблица310[[#This Row],[Площадь уборки, га]]=Таблица310[[#This Row],[Площадь уборки до корр]],"нет","да")</f>
        <v>нет</v>
      </c>
      <c r="AN363" s="45">
        <f>Таблица310[[#This Row],[Площадь уборки до корр]]-Таблица310[[#This Row],[Площадь уборки, га]]</f>
        <v>0</v>
      </c>
      <c r="AQ363">
        <v>460</v>
      </c>
      <c r="AR363">
        <v>50</v>
      </c>
      <c r="AS363">
        <v>2.1301143583227446</v>
      </c>
      <c r="AT363" t="s">
        <v>50</v>
      </c>
    </row>
    <row r="364" spans="1:46" ht="33.75" hidden="1" x14ac:dyDescent="0.25">
      <c r="A364" s="40"/>
      <c r="B364" s="41"/>
      <c r="C364" s="120">
        <v>71</v>
      </c>
      <c r="D364" s="42">
        <v>461</v>
      </c>
      <c r="E364" s="147">
        <v>45825</v>
      </c>
      <c r="F364" s="41">
        <v>27900</v>
      </c>
      <c r="G364" s="41">
        <v>13440</v>
      </c>
      <c r="H364" s="69">
        <v>14460</v>
      </c>
      <c r="I364" s="41">
        <v>11397</v>
      </c>
      <c r="J364" s="40" t="s">
        <v>903</v>
      </c>
      <c r="K364" s="40" t="s">
        <v>916</v>
      </c>
      <c r="L364" s="40">
        <v>44</v>
      </c>
      <c r="M364" s="35" t="s">
        <v>305</v>
      </c>
      <c r="N364" s="40"/>
      <c r="O364" s="40"/>
      <c r="P364" s="40"/>
      <c r="Q364" s="40"/>
      <c r="R364" s="40" t="s">
        <v>309</v>
      </c>
      <c r="S364" s="40"/>
      <c r="T364" s="106">
        <v>50</v>
      </c>
      <c r="U364" s="68" t="str">
        <f>Таблица310[[#This Row],[Регистратор.Номенклатура]]</f>
        <v>Вольф</v>
      </c>
      <c r="V364" s="45">
        <f>12.7*Таблица310[[#This Row],[Регистратор.Вес нетто]]/78700</f>
        <v>2.1688437102922489</v>
      </c>
      <c r="W364" s="40" t="s">
        <v>50</v>
      </c>
      <c r="X364" s="40" t="s">
        <v>178</v>
      </c>
      <c r="Y364" s="40">
        <v>7</v>
      </c>
      <c r="Z364" s="103">
        <v>45824</v>
      </c>
      <c r="AA364" s="94">
        <f>Таблица310[[#This Row],[Регистратор.Вес нетто]]</f>
        <v>13440</v>
      </c>
      <c r="AB364" s="40" t="s">
        <v>1069</v>
      </c>
      <c r="AC364" s="40" t="s">
        <v>420</v>
      </c>
      <c r="AD364" s="40" t="s">
        <v>833</v>
      </c>
      <c r="AE364" s="40">
        <v>461</v>
      </c>
      <c r="AF364" s="103">
        <v>45825</v>
      </c>
      <c r="AG364" s="40" t="s">
        <v>1012</v>
      </c>
      <c r="AH364" s="40">
        <f>VLOOKUP(Таблица310[[#This Row],[№ акта]],'Степень зрелости 2025'!$H$13:$I$583,2,FALSE)</f>
        <v>0</v>
      </c>
      <c r="AI364" s="40">
        <f>VLOOKUP(Таблица310[[#This Row],[№ акта]],$AQ$1:$AT$594,2,FALSE)</f>
        <v>50</v>
      </c>
      <c r="AJ364" s="40" t="str">
        <f>Таблица310[[#This Row],[Регистратор.Номенклатура]]</f>
        <v>Вольф</v>
      </c>
      <c r="AK364" s="40" t="str">
        <f>VLOOKUP(Таблица310[[#This Row],[№ акта]],$AQ$1:$AT$594,4,FALSE)</f>
        <v>Братковский (полив)</v>
      </c>
      <c r="AL364" s="45">
        <f>VLOOKUP(Таблица310[[#This Row],[№ акта]],$AQ$1:$AT$594,3,FALSE)</f>
        <v>2.1688437102922489</v>
      </c>
      <c r="AM364" s="40" t="str">
        <f>IF(Таблица310[[#This Row],[Площадь уборки, га]]=Таблица310[[#This Row],[Площадь уборки до корр]],"нет","да")</f>
        <v>нет</v>
      </c>
      <c r="AN364" s="45">
        <f>Таблица310[[#This Row],[Площадь уборки до корр]]-Таблица310[[#This Row],[Площадь уборки, га]]</f>
        <v>0</v>
      </c>
      <c r="AQ364">
        <v>461</v>
      </c>
      <c r="AR364">
        <v>50</v>
      </c>
      <c r="AS364">
        <v>2.1688437102922489</v>
      </c>
      <c r="AT364" t="s">
        <v>50</v>
      </c>
    </row>
    <row r="365" spans="1:46" ht="22.5" hidden="1" x14ac:dyDescent="0.25">
      <c r="A365" s="40"/>
      <c r="B365" s="41"/>
      <c r="C365" s="120">
        <v>53</v>
      </c>
      <c r="D365" s="42">
        <v>462</v>
      </c>
      <c r="E365" s="147">
        <v>45826</v>
      </c>
      <c r="F365" s="41">
        <v>27510</v>
      </c>
      <c r="G365" s="41">
        <v>12860</v>
      </c>
      <c r="H365" s="69">
        <v>14650</v>
      </c>
      <c r="I365" s="41">
        <v>12024.1</v>
      </c>
      <c r="J365" s="40" t="s">
        <v>914</v>
      </c>
      <c r="K365" s="40" t="s">
        <v>909</v>
      </c>
      <c r="L365" s="40">
        <v>15</v>
      </c>
      <c r="M365" s="35" t="s">
        <v>1312</v>
      </c>
      <c r="N365" s="40"/>
      <c r="O365" s="40"/>
      <c r="P365" s="40"/>
      <c r="Q365" s="40"/>
      <c r="R365" s="40" t="s">
        <v>320</v>
      </c>
      <c r="S365" s="40"/>
      <c r="T365" s="40">
        <v>15</v>
      </c>
      <c r="U365" s="68" t="str">
        <f>Таблица310[[#This Row],[Регистратор.Номенклатура]]</f>
        <v>Тристар</v>
      </c>
      <c r="V365" s="45">
        <f>36*Таблица310[[#This Row],[Регистратор.Вес нетто]]/277060</f>
        <v>1.6709737962896123</v>
      </c>
      <c r="W365" s="40" t="s">
        <v>52</v>
      </c>
      <c r="X365" s="40" t="s">
        <v>178</v>
      </c>
      <c r="Y365" s="40">
        <v>3</v>
      </c>
      <c r="Z365" s="103">
        <v>45825</v>
      </c>
      <c r="AA365" s="40"/>
      <c r="AB365" s="40"/>
      <c r="AC365" s="40" t="s">
        <v>724</v>
      </c>
      <c r="AD365" s="40" t="s">
        <v>511</v>
      </c>
      <c r="AE365" s="40">
        <v>462</v>
      </c>
      <c r="AF365" s="103">
        <v>45826</v>
      </c>
      <c r="AG365" s="40" t="s">
        <v>902</v>
      </c>
      <c r="AH365" s="40" t="e">
        <f>VLOOKUP(Таблица310[[#This Row],[№ акта]],'Степень зрелости 2025'!$H$13:$I$583,2,FALSE)</f>
        <v>#N/A</v>
      </c>
      <c r="AI365" s="40">
        <f>VLOOKUP(Таблица310[[#This Row],[№ акта]],$AQ$1:$AT$594,2,FALSE)</f>
        <v>15</v>
      </c>
      <c r="AJ365" s="40" t="str">
        <f>Таблица310[[#This Row],[Регистратор.Номенклатура]]</f>
        <v>Тристар</v>
      </c>
      <c r="AK365" s="40" t="str">
        <f>VLOOKUP(Таблица310[[#This Row],[№ акта]],$AQ$1:$AT$594,4,FALSE)</f>
        <v>Агролидер (полив)</v>
      </c>
      <c r="AL365" s="45">
        <f>VLOOKUP(Таблица310[[#This Row],[№ акта]],$AQ$1:$AT$594,3,FALSE)</f>
        <v>1.6709737962896123</v>
      </c>
      <c r="AM365" s="40" t="str">
        <f>IF(Таблица310[[#This Row],[Площадь уборки, га]]=Таблица310[[#This Row],[Площадь уборки до корр]],"нет","да")</f>
        <v>нет</v>
      </c>
      <c r="AN365" s="45">
        <f>Таблица310[[#This Row],[Площадь уборки до корр]]-Таблица310[[#This Row],[Площадь уборки, га]]</f>
        <v>0</v>
      </c>
      <c r="AQ365">
        <v>462</v>
      </c>
      <c r="AR365">
        <v>15</v>
      </c>
      <c r="AS365">
        <v>1.6709737962896123</v>
      </c>
      <c r="AT365" t="s">
        <v>52</v>
      </c>
    </row>
    <row r="366" spans="1:46" ht="33.75" hidden="1" x14ac:dyDescent="0.25">
      <c r="A366" s="40"/>
      <c r="B366" s="41"/>
      <c r="C366" s="120">
        <v>70</v>
      </c>
      <c r="D366" s="42">
        <v>463</v>
      </c>
      <c r="E366" s="147">
        <v>45825</v>
      </c>
      <c r="F366" s="41">
        <v>27960</v>
      </c>
      <c r="G366" s="41">
        <v>12920</v>
      </c>
      <c r="H366" s="69">
        <v>15040</v>
      </c>
      <c r="I366" s="41">
        <v>11479</v>
      </c>
      <c r="J366" s="40" t="s">
        <v>903</v>
      </c>
      <c r="K366" s="40" t="s">
        <v>916</v>
      </c>
      <c r="L366" s="40">
        <v>44</v>
      </c>
      <c r="M366" s="35" t="s">
        <v>262</v>
      </c>
      <c r="N366" s="40"/>
      <c r="O366" s="40"/>
      <c r="P366" s="40"/>
      <c r="Q366" s="40"/>
      <c r="R366" s="40" t="s">
        <v>266</v>
      </c>
      <c r="S366" s="40"/>
      <c r="T366" s="106">
        <v>50</v>
      </c>
      <c r="U366" s="68" t="str">
        <f>Таблица310[[#This Row],[Регистратор.Номенклатура]]</f>
        <v>Вольф</v>
      </c>
      <c r="V366" s="45">
        <f>12.7*Таблица310[[#This Row],[Регистратор.Вес нетто]]/78700+0.1</f>
        <v>2.1849301143583229</v>
      </c>
      <c r="W366" s="40" t="s">
        <v>50</v>
      </c>
      <c r="X366" s="40" t="s">
        <v>178</v>
      </c>
      <c r="Y366" s="40">
        <v>7</v>
      </c>
      <c r="Z366" s="103">
        <v>45824</v>
      </c>
      <c r="AA366" s="94">
        <f>Таблица310[[#This Row],[Регистратор.Вес нетто]]</f>
        <v>12920</v>
      </c>
      <c r="AB366" s="40" t="s">
        <v>1069</v>
      </c>
      <c r="AC366" s="40" t="s">
        <v>420</v>
      </c>
      <c r="AD366" s="40" t="s">
        <v>833</v>
      </c>
      <c r="AE366" s="40">
        <v>463</v>
      </c>
      <c r="AF366" s="103">
        <v>45825</v>
      </c>
      <c r="AG366" s="40" t="s">
        <v>1015</v>
      </c>
      <c r="AH366" s="40">
        <f>VLOOKUP(Таблица310[[#This Row],[№ акта]],'Степень зрелости 2025'!$H$13:$I$583,2,FALSE)</f>
        <v>0</v>
      </c>
      <c r="AI366" s="40">
        <f>VLOOKUP(Таблица310[[#This Row],[№ акта]],$AQ$1:$AT$594,2,FALSE)</f>
        <v>50</v>
      </c>
      <c r="AJ366" s="40" t="str">
        <f>Таблица310[[#This Row],[Регистратор.Номенклатура]]</f>
        <v>Вольф</v>
      </c>
      <c r="AK366" s="40" t="str">
        <f>VLOOKUP(Таблица310[[#This Row],[№ акта]],$AQ$1:$AT$594,4,FALSE)</f>
        <v>Братковский (полив)</v>
      </c>
      <c r="AL366" s="45">
        <f>VLOOKUP(Таблица310[[#This Row],[№ акта]],$AQ$1:$AT$594,3,FALSE)</f>
        <v>2.1849301143583229</v>
      </c>
      <c r="AM366" s="40" t="str">
        <f>IF(Таблица310[[#This Row],[Площадь уборки, га]]=Таблица310[[#This Row],[Площадь уборки до корр]],"нет","да")</f>
        <v>нет</v>
      </c>
      <c r="AN366" s="45">
        <f>Таблица310[[#This Row],[Площадь уборки до корр]]-Таблица310[[#This Row],[Площадь уборки, га]]</f>
        <v>0</v>
      </c>
      <c r="AQ366">
        <v>463</v>
      </c>
      <c r="AR366">
        <v>50</v>
      </c>
      <c r="AS366">
        <v>2.1849301143583229</v>
      </c>
      <c r="AT366" t="s">
        <v>50</v>
      </c>
    </row>
    <row r="367" spans="1:46" ht="33.75" hidden="1" x14ac:dyDescent="0.25">
      <c r="A367" s="40"/>
      <c r="B367" s="41"/>
      <c r="C367" s="120">
        <v>71</v>
      </c>
      <c r="D367" s="42" t="s">
        <v>1059</v>
      </c>
      <c r="E367" s="147">
        <v>45825</v>
      </c>
      <c r="F367" s="41">
        <v>27600</v>
      </c>
      <c r="G367" s="41">
        <v>13020</v>
      </c>
      <c r="H367" s="69">
        <v>14580</v>
      </c>
      <c r="I367" s="41">
        <v>11406</v>
      </c>
      <c r="J367" s="40" t="s">
        <v>903</v>
      </c>
      <c r="K367" s="40" t="s">
        <v>916</v>
      </c>
      <c r="L367" s="40">
        <v>44</v>
      </c>
      <c r="M367" s="35" t="s">
        <v>305</v>
      </c>
      <c r="N367" s="40"/>
      <c r="O367" s="40"/>
      <c r="P367" s="40"/>
      <c r="Q367" s="40"/>
      <c r="R367" s="40" t="s">
        <v>309</v>
      </c>
      <c r="S367" s="40"/>
      <c r="T367" s="106">
        <v>50</v>
      </c>
      <c r="U367" s="68" t="str">
        <f>Таблица310[[#This Row],[Регистратор.Номенклатура]]</f>
        <v>Вольф</v>
      </c>
      <c r="V367" s="45">
        <f>20*Таблица310[[#This Row],[Регистратор.Вес нетто]]/125060</f>
        <v>2.0822005437390052</v>
      </c>
      <c r="W367" s="40" t="s">
        <v>50</v>
      </c>
      <c r="X367" s="40" t="s">
        <v>178</v>
      </c>
      <c r="Y367" s="40">
        <v>8</v>
      </c>
      <c r="Z367" s="103">
        <v>45825</v>
      </c>
      <c r="AA367" s="94">
        <f>Таблица310[[#This Row],[Регистратор.Вес нетто]]</f>
        <v>13020</v>
      </c>
      <c r="AB367" s="40" t="s">
        <v>1069</v>
      </c>
      <c r="AC367" s="40" t="s">
        <v>420</v>
      </c>
      <c r="AD367" s="40" t="s">
        <v>833</v>
      </c>
      <c r="AE367" s="40" t="s">
        <v>1059</v>
      </c>
      <c r="AF367" s="103">
        <v>45825</v>
      </c>
      <c r="AG367" s="40" t="s">
        <v>1076</v>
      </c>
      <c r="AH367" s="40">
        <f>VLOOKUP(Таблица310[[#This Row],[№ акта]],'Степень зрелости 2025'!$H$13:$I$583,2,FALSE)</f>
        <v>0</v>
      </c>
      <c r="AI367" s="40">
        <f>VLOOKUP(Таблица310[[#This Row],[№ акта]],$AQ$1:$AT$594,2,FALSE)</f>
        <v>50</v>
      </c>
      <c r="AJ367" s="40" t="str">
        <f>Таблица310[[#This Row],[Регистратор.Номенклатура]]</f>
        <v>Вольф</v>
      </c>
      <c r="AK367" s="40" t="str">
        <f>VLOOKUP(Таблица310[[#This Row],[№ акта]],$AQ$1:$AT$594,4,FALSE)</f>
        <v>Братковский (полив)</v>
      </c>
      <c r="AL367" s="45">
        <f>VLOOKUP(Таблица310[[#This Row],[№ акта]],$AQ$1:$AT$594,3,FALSE)</f>
        <v>2.0822005437390052</v>
      </c>
      <c r="AM367" s="40" t="str">
        <f>IF(Таблица310[[#This Row],[Площадь уборки, га]]=Таблица310[[#This Row],[Площадь уборки до корр]],"нет","да")</f>
        <v>нет</v>
      </c>
      <c r="AN367" s="45">
        <f>Таблица310[[#This Row],[Площадь уборки до корр]]-Таблица310[[#This Row],[Площадь уборки, га]]</f>
        <v>0</v>
      </c>
      <c r="AQ367" t="s">
        <v>1059</v>
      </c>
      <c r="AR367">
        <v>50</v>
      </c>
      <c r="AS367">
        <v>2.0822005437390052</v>
      </c>
      <c r="AT367" t="s">
        <v>50</v>
      </c>
    </row>
    <row r="368" spans="1:46" ht="22.5" hidden="1" x14ac:dyDescent="0.25">
      <c r="A368" s="40"/>
      <c r="B368" s="41"/>
      <c r="C368" s="120">
        <v>72</v>
      </c>
      <c r="D368" s="42" t="s">
        <v>1060</v>
      </c>
      <c r="E368" s="147">
        <v>45825</v>
      </c>
      <c r="F368" s="41">
        <v>28340</v>
      </c>
      <c r="G368" s="41">
        <v>13240</v>
      </c>
      <c r="H368" s="69">
        <v>15100</v>
      </c>
      <c r="I368" s="41">
        <v>11907</v>
      </c>
      <c r="J368" s="40" t="s">
        <v>903</v>
      </c>
      <c r="K368" s="40" t="s">
        <v>916</v>
      </c>
      <c r="L368" s="40">
        <v>44</v>
      </c>
      <c r="M368" s="35" t="s">
        <v>329</v>
      </c>
      <c r="N368" s="40"/>
      <c r="O368" s="40"/>
      <c r="P368" s="40"/>
      <c r="Q368" s="40"/>
      <c r="R368" s="40" t="s">
        <v>1010</v>
      </c>
      <c r="S368" s="40"/>
      <c r="T368" s="106">
        <v>50</v>
      </c>
      <c r="U368" s="68" t="str">
        <f>Таблица310[[#This Row],[Регистратор.Номенклатура]]</f>
        <v>Вольф</v>
      </c>
      <c r="V368" s="45">
        <f>20*Таблица310[[#This Row],[Регистратор.Вес нетто]]/125060</f>
        <v>2.1173836558451944</v>
      </c>
      <c r="W368" s="40" t="s">
        <v>50</v>
      </c>
      <c r="X368" s="40" t="s">
        <v>178</v>
      </c>
      <c r="Y368" s="40">
        <v>8</v>
      </c>
      <c r="Z368" s="103">
        <v>45825</v>
      </c>
      <c r="AA368" s="94">
        <f>Таблица310[[#This Row],[Регистратор.Вес нетто]]</f>
        <v>13240</v>
      </c>
      <c r="AB368" s="40" t="s">
        <v>1069</v>
      </c>
      <c r="AC368" s="40" t="s">
        <v>420</v>
      </c>
      <c r="AD368" s="40" t="s">
        <v>833</v>
      </c>
      <c r="AE368" s="40" t="s">
        <v>1060</v>
      </c>
      <c r="AF368" s="103">
        <v>45825</v>
      </c>
      <c r="AG368" s="40" t="s">
        <v>1070</v>
      </c>
      <c r="AH368" s="40">
        <f>VLOOKUP(Таблица310[[#This Row],[№ акта]],'Степень зрелости 2025'!$H$13:$I$583,2,FALSE)</f>
        <v>0</v>
      </c>
      <c r="AI368" s="40">
        <f>VLOOKUP(Таблица310[[#This Row],[№ акта]],$AQ$1:$AT$594,2,FALSE)</f>
        <v>50</v>
      </c>
      <c r="AJ368" s="40" t="str">
        <f>Таблица310[[#This Row],[Регистратор.Номенклатура]]</f>
        <v>Вольф</v>
      </c>
      <c r="AK368" s="40" t="str">
        <f>VLOOKUP(Таблица310[[#This Row],[№ акта]],$AQ$1:$AT$594,4,FALSE)</f>
        <v>Братковский (полив)</v>
      </c>
      <c r="AL368" s="45">
        <f>VLOOKUP(Таблица310[[#This Row],[№ акта]],$AQ$1:$AT$594,3,FALSE)</f>
        <v>2.1173836558451944</v>
      </c>
      <c r="AM368" s="40" t="str">
        <f>IF(Таблица310[[#This Row],[Площадь уборки, га]]=Таблица310[[#This Row],[Площадь уборки до корр]],"нет","да")</f>
        <v>нет</v>
      </c>
      <c r="AN368" s="45">
        <f>Таблица310[[#This Row],[Площадь уборки до корр]]-Таблица310[[#This Row],[Площадь уборки, га]]</f>
        <v>0</v>
      </c>
      <c r="AQ368" t="s">
        <v>1060</v>
      </c>
      <c r="AR368">
        <v>50</v>
      </c>
      <c r="AS368">
        <v>2.1173836558451944</v>
      </c>
      <c r="AT368" t="s">
        <v>50</v>
      </c>
    </row>
    <row r="369" spans="1:46" ht="22.5" hidden="1" x14ac:dyDescent="0.25">
      <c r="A369" s="40"/>
      <c r="B369" s="41"/>
      <c r="C369" s="120">
        <v>63</v>
      </c>
      <c r="D369" s="42" t="s">
        <v>1061</v>
      </c>
      <c r="E369" s="147">
        <v>45825</v>
      </c>
      <c r="F369" s="41">
        <v>28460</v>
      </c>
      <c r="G369" s="41">
        <v>13340</v>
      </c>
      <c r="H369" s="69">
        <v>15120</v>
      </c>
      <c r="I369" s="41">
        <v>10979</v>
      </c>
      <c r="J369" s="40" t="s">
        <v>903</v>
      </c>
      <c r="K369" s="40" t="s">
        <v>916</v>
      </c>
      <c r="L369" s="40">
        <v>44</v>
      </c>
      <c r="M369" s="35" t="s">
        <v>329</v>
      </c>
      <c r="N369" s="40"/>
      <c r="O369" s="40"/>
      <c r="P369" s="40"/>
      <c r="Q369" s="40"/>
      <c r="R369" s="40" t="s">
        <v>1010</v>
      </c>
      <c r="S369" s="40"/>
      <c r="T369" s="106">
        <v>50</v>
      </c>
      <c r="U369" s="68" t="str">
        <f>Таблица310[[#This Row],[Регистратор.Номенклатура]]</f>
        <v>Вольф</v>
      </c>
      <c r="V369" s="45">
        <f>20*Таблица310[[#This Row],[Регистратор.Вес нетто]]/125060</f>
        <v>2.1333759795298257</v>
      </c>
      <c r="W369" s="40" t="s">
        <v>50</v>
      </c>
      <c r="X369" s="40" t="s">
        <v>178</v>
      </c>
      <c r="Y369" s="40">
        <v>8</v>
      </c>
      <c r="Z369" s="103">
        <v>45825</v>
      </c>
      <c r="AA369" s="94">
        <f>Таблица310[[#This Row],[Регистратор.Вес нетто]]</f>
        <v>13340</v>
      </c>
      <c r="AB369" s="40" t="s">
        <v>1069</v>
      </c>
      <c r="AC369" s="40" t="s">
        <v>724</v>
      </c>
      <c r="AD369" s="40" t="s">
        <v>833</v>
      </c>
      <c r="AE369" s="40" t="s">
        <v>1061</v>
      </c>
      <c r="AF369" s="103">
        <v>45825</v>
      </c>
      <c r="AG369" s="40" t="s">
        <v>1077</v>
      </c>
      <c r="AH369" s="40">
        <f>VLOOKUP(Таблица310[[#This Row],[№ акта]],'Степень зрелости 2025'!$H$13:$I$583,2,FALSE)</f>
        <v>0</v>
      </c>
      <c r="AI369" s="40">
        <f>VLOOKUP(Таблица310[[#This Row],[№ акта]],$AQ$1:$AT$594,2,FALSE)</f>
        <v>50</v>
      </c>
      <c r="AJ369" s="40" t="str">
        <f>Таблица310[[#This Row],[Регистратор.Номенклатура]]</f>
        <v>Вольф</v>
      </c>
      <c r="AK369" s="40" t="str">
        <f>VLOOKUP(Таблица310[[#This Row],[№ акта]],$AQ$1:$AT$594,4,FALSE)</f>
        <v>Братковский (полив)</v>
      </c>
      <c r="AL369" s="45">
        <f>VLOOKUP(Таблица310[[#This Row],[№ акта]],$AQ$1:$AT$594,3,FALSE)</f>
        <v>2.1333759795298257</v>
      </c>
      <c r="AM369" s="40" t="str">
        <f>IF(Таблица310[[#This Row],[Площадь уборки, га]]=Таблица310[[#This Row],[Площадь уборки до корр]],"нет","да")</f>
        <v>нет</v>
      </c>
      <c r="AN369" s="45">
        <f>Таблица310[[#This Row],[Площадь уборки до корр]]-Таблица310[[#This Row],[Площадь уборки, га]]</f>
        <v>0</v>
      </c>
      <c r="AQ369" t="s">
        <v>1061</v>
      </c>
      <c r="AR369">
        <v>50</v>
      </c>
      <c r="AS369">
        <v>2.1333759795298257</v>
      </c>
      <c r="AT369" t="s">
        <v>50</v>
      </c>
    </row>
    <row r="370" spans="1:46" ht="33.75" hidden="1" x14ac:dyDescent="0.25">
      <c r="A370" s="40"/>
      <c r="B370" s="41"/>
      <c r="C370" s="120">
        <v>71</v>
      </c>
      <c r="D370" s="42" t="s">
        <v>1062</v>
      </c>
      <c r="E370" s="147">
        <v>45825</v>
      </c>
      <c r="F370" s="41">
        <v>32380</v>
      </c>
      <c r="G370" s="41">
        <v>17380</v>
      </c>
      <c r="H370" s="69">
        <v>15000</v>
      </c>
      <c r="I370" s="41">
        <v>15396</v>
      </c>
      <c r="J370" s="40" t="s">
        <v>903</v>
      </c>
      <c r="K370" s="40" t="s">
        <v>916</v>
      </c>
      <c r="L370" s="40">
        <v>44</v>
      </c>
      <c r="M370" s="35" t="s">
        <v>262</v>
      </c>
      <c r="N370" s="40"/>
      <c r="O370" s="40"/>
      <c r="P370" s="40"/>
      <c r="Q370" s="40"/>
      <c r="R370" s="40" t="s">
        <v>266</v>
      </c>
      <c r="S370" s="40"/>
      <c r="T370" s="106">
        <v>50</v>
      </c>
      <c r="U370" s="68" t="str">
        <f>Таблица310[[#This Row],[Регистратор.Номенклатура]]</f>
        <v>Вольф</v>
      </c>
      <c r="V370" s="45">
        <f>20*Таблица310[[#This Row],[Регистратор.Вес нетто]]/125060</f>
        <v>2.7794658563889332</v>
      </c>
      <c r="W370" s="40" t="s">
        <v>50</v>
      </c>
      <c r="X370" s="40" t="s">
        <v>178</v>
      </c>
      <c r="Y370" s="40">
        <v>8</v>
      </c>
      <c r="Z370" s="103">
        <v>45825</v>
      </c>
      <c r="AA370" s="94">
        <f>Таблица310[[#This Row],[Регистратор.Вес нетто]]</f>
        <v>17380</v>
      </c>
      <c r="AB370" s="40" t="s">
        <v>1069</v>
      </c>
      <c r="AC370" s="40" t="s">
        <v>420</v>
      </c>
      <c r="AD370" s="40" t="s">
        <v>833</v>
      </c>
      <c r="AE370" s="40" t="s">
        <v>1062</v>
      </c>
      <c r="AF370" s="103">
        <v>45825</v>
      </c>
      <c r="AG370" s="40" t="s">
        <v>1071</v>
      </c>
      <c r="AH370" s="40">
        <f>VLOOKUP(Таблица310[[#This Row],[№ акта]],'Степень зрелости 2025'!$H$13:$I$583,2,FALSE)</f>
        <v>0</v>
      </c>
      <c r="AI370" s="40">
        <f>VLOOKUP(Таблица310[[#This Row],[№ акта]],$AQ$1:$AT$594,2,FALSE)</f>
        <v>50</v>
      </c>
      <c r="AJ370" s="40" t="str">
        <f>Таблица310[[#This Row],[Регистратор.Номенклатура]]</f>
        <v>Вольф</v>
      </c>
      <c r="AK370" s="40" t="str">
        <f>VLOOKUP(Таблица310[[#This Row],[№ акта]],$AQ$1:$AT$594,4,FALSE)</f>
        <v>Братковский (полив)</v>
      </c>
      <c r="AL370" s="45">
        <f>VLOOKUP(Таблица310[[#This Row],[№ акта]],$AQ$1:$AT$594,3,FALSE)</f>
        <v>2.7794658563889332</v>
      </c>
      <c r="AM370" s="40" t="str">
        <f>IF(Таблица310[[#This Row],[Площадь уборки, га]]=Таблица310[[#This Row],[Площадь уборки до корр]],"нет","да")</f>
        <v>нет</v>
      </c>
      <c r="AN370" s="45">
        <f>Таблица310[[#This Row],[Площадь уборки до корр]]-Таблица310[[#This Row],[Площадь уборки, га]]</f>
        <v>0</v>
      </c>
      <c r="AQ370" t="s">
        <v>1062</v>
      </c>
      <c r="AR370">
        <v>50</v>
      </c>
      <c r="AS370">
        <v>2.7794658563889332</v>
      </c>
      <c r="AT370" t="s">
        <v>50</v>
      </c>
    </row>
    <row r="371" spans="1:46" ht="33.75" hidden="1" x14ac:dyDescent="0.25">
      <c r="A371" s="40"/>
      <c r="B371" s="41"/>
      <c r="C371" s="120">
        <v>66</v>
      </c>
      <c r="D371" s="42" t="s">
        <v>1063</v>
      </c>
      <c r="E371" s="147">
        <v>45825</v>
      </c>
      <c r="F371" s="41">
        <v>28240</v>
      </c>
      <c r="G371" s="41">
        <v>13500</v>
      </c>
      <c r="H371" s="69">
        <v>14740</v>
      </c>
      <c r="I371" s="41">
        <v>11634</v>
      </c>
      <c r="J371" s="40" t="s">
        <v>903</v>
      </c>
      <c r="K371" s="40" t="s">
        <v>916</v>
      </c>
      <c r="L371" s="40">
        <v>44</v>
      </c>
      <c r="M371" s="35" t="s">
        <v>262</v>
      </c>
      <c r="N371" s="40"/>
      <c r="O371" s="40"/>
      <c r="P371" s="40"/>
      <c r="Q371" s="40"/>
      <c r="R371" s="40" t="s">
        <v>266</v>
      </c>
      <c r="S371" s="40"/>
      <c r="T371" s="106">
        <v>50</v>
      </c>
      <c r="U371" s="68" t="str">
        <f>Таблица310[[#This Row],[Регистратор.Номенклатура]]</f>
        <v>Вольф</v>
      </c>
      <c r="V371" s="45">
        <f>20*Таблица310[[#This Row],[Регистратор.Вес нетто]]/125060</f>
        <v>2.1589636974252358</v>
      </c>
      <c r="W371" s="40" t="s">
        <v>50</v>
      </c>
      <c r="X371" s="40" t="s">
        <v>178</v>
      </c>
      <c r="Y371" s="40">
        <v>8</v>
      </c>
      <c r="Z371" s="103">
        <v>45825</v>
      </c>
      <c r="AA371" s="94">
        <f>Таблица310[[#This Row],[Регистратор.Вес нетто]]</f>
        <v>13500</v>
      </c>
      <c r="AB371" s="40" t="s">
        <v>1069</v>
      </c>
      <c r="AC371" s="40" t="s">
        <v>725</v>
      </c>
      <c r="AD371" s="40" t="s">
        <v>833</v>
      </c>
      <c r="AE371" s="40" t="s">
        <v>1063</v>
      </c>
      <c r="AF371" s="103">
        <v>45825</v>
      </c>
      <c r="AG371" s="40" t="s">
        <v>1072</v>
      </c>
      <c r="AH371" s="40">
        <f>VLOOKUP(Таблица310[[#This Row],[№ акта]],'Степень зрелости 2025'!$H$13:$I$583,2,FALSE)</f>
        <v>0</v>
      </c>
      <c r="AI371" s="40">
        <f>VLOOKUP(Таблица310[[#This Row],[№ акта]],$AQ$1:$AT$594,2,FALSE)</f>
        <v>50</v>
      </c>
      <c r="AJ371" s="40" t="str">
        <f>Таблица310[[#This Row],[Регистратор.Номенклатура]]</f>
        <v>Вольф</v>
      </c>
      <c r="AK371" s="40" t="str">
        <f>VLOOKUP(Таблица310[[#This Row],[№ акта]],$AQ$1:$AT$594,4,FALSE)</f>
        <v>Братковский (полив)</v>
      </c>
      <c r="AL371" s="45">
        <f>VLOOKUP(Таблица310[[#This Row],[№ акта]],$AQ$1:$AT$594,3,FALSE)</f>
        <v>2.1589636974252358</v>
      </c>
      <c r="AM371" s="40" t="str">
        <f>IF(Таблица310[[#This Row],[Площадь уборки, га]]=Таблица310[[#This Row],[Площадь уборки до корр]],"нет","да")</f>
        <v>нет</v>
      </c>
      <c r="AN371" s="45">
        <f>Таблица310[[#This Row],[Площадь уборки до корр]]-Таблица310[[#This Row],[Площадь уборки, га]]</f>
        <v>0</v>
      </c>
      <c r="AQ371" t="s">
        <v>1063</v>
      </c>
      <c r="AR371">
        <v>50</v>
      </c>
      <c r="AS371">
        <v>2.1589636974252358</v>
      </c>
      <c r="AT371" t="s">
        <v>50</v>
      </c>
    </row>
    <row r="372" spans="1:46" ht="22.5" hidden="1" x14ac:dyDescent="0.25">
      <c r="A372" s="40"/>
      <c r="B372" s="41"/>
      <c r="C372" s="120">
        <v>63</v>
      </c>
      <c r="D372" s="42" t="s">
        <v>1064</v>
      </c>
      <c r="E372" s="147">
        <v>45825</v>
      </c>
      <c r="F372" s="41">
        <v>27900</v>
      </c>
      <c r="G372" s="41">
        <v>12960</v>
      </c>
      <c r="H372" s="69">
        <v>14940</v>
      </c>
      <c r="I372" s="41">
        <v>10897</v>
      </c>
      <c r="J372" s="40" t="s">
        <v>903</v>
      </c>
      <c r="K372" s="40" t="s">
        <v>916</v>
      </c>
      <c r="L372" s="40">
        <v>44</v>
      </c>
      <c r="M372" s="35" t="s">
        <v>1022</v>
      </c>
      <c r="N372" s="40"/>
      <c r="O372" s="40"/>
      <c r="P372" s="40"/>
      <c r="Q372" s="40"/>
      <c r="R372" s="40" t="s">
        <v>170</v>
      </c>
      <c r="S372" s="40"/>
      <c r="T372" s="106">
        <v>50</v>
      </c>
      <c r="U372" s="68" t="str">
        <f>Таблица310[[#This Row],[Регистратор.Номенклатура]]</f>
        <v>Вольф</v>
      </c>
      <c r="V372" s="45">
        <f>20*Таблица310[[#This Row],[Регистратор.Вес нетто]]/125060</f>
        <v>2.0726051495282265</v>
      </c>
      <c r="W372" s="40" t="s">
        <v>50</v>
      </c>
      <c r="X372" s="40" t="s">
        <v>178</v>
      </c>
      <c r="Y372" s="40">
        <v>8</v>
      </c>
      <c r="Z372" s="103">
        <v>45825</v>
      </c>
      <c r="AA372" s="94">
        <f>Таблица310[[#This Row],[Регистратор.Вес нетто]]</f>
        <v>12960</v>
      </c>
      <c r="AB372" s="40" t="s">
        <v>1069</v>
      </c>
      <c r="AC372" s="40" t="s">
        <v>724</v>
      </c>
      <c r="AD372" s="40" t="s">
        <v>833</v>
      </c>
      <c r="AE372" s="40" t="s">
        <v>1064</v>
      </c>
      <c r="AF372" s="103">
        <v>45825</v>
      </c>
      <c r="AG372" s="40" t="s">
        <v>1073</v>
      </c>
      <c r="AH372" s="40">
        <f>VLOOKUP(Таблица310[[#This Row],[№ акта]],'Степень зрелости 2025'!$H$13:$I$583,2,FALSE)</f>
        <v>0</v>
      </c>
      <c r="AI372" s="40">
        <f>VLOOKUP(Таблица310[[#This Row],[№ акта]],$AQ$1:$AT$594,2,FALSE)</f>
        <v>50</v>
      </c>
      <c r="AJ372" s="40" t="str">
        <f>Таблица310[[#This Row],[Регистратор.Номенклатура]]</f>
        <v>Вольф</v>
      </c>
      <c r="AK372" s="40" t="str">
        <f>VLOOKUP(Таблица310[[#This Row],[№ акта]],$AQ$1:$AT$594,4,FALSE)</f>
        <v>Братковский (полив)</v>
      </c>
      <c r="AL372" s="45">
        <f>VLOOKUP(Таблица310[[#This Row],[№ акта]],$AQ$1:$AT$594,3,FALSE)</f>
        <v>2.0726051495282265</v>
      </c>
      <c r="AM372" s="40" t="str">
        <f>IF(Таблица310[[#This Row],[Площадь уборки, га]]=Таблица310[[#This Row],[Площадь уборки до корр]],"нет","да")</f>
        <v>нет</v>
      </c>
      <c r="AN372" s="45">
        <f>Таблица310[[#This Row],[Площадь уборки до корр]]-Таблица310[[#This Row],[Площадь уборки, га]]</f>
        <v>0</v>
      </c>
      <c r="AQ372" t="s">
        <v>1064</v>
      </c>
      <c r="AR372">
        <v>50</v>
      </c>
      <c r="AS372">
        <v>2.0726051495282265</v>
      </c>
      <c r="AT372" t="s">
        <v>50</v>
      </c>
    </row>
    <row r="373" spans="1:46" ht="22.5" hidden="1" x14ac:dyDescent="0.25">
      <c r="A373" s="40"/>
      <c r="B373" s="41"/>
      <c r="C373" s="120">
        <v>55</v>
      </c>
      <c r="D373" s="42" t="s">
        <v>1065</v>
      </c>
      <c r="E373" s="147">
        <v>45826</v>
      </c>
      <c r="F373" s="41">
        <v>28110</v>
      </c>
      <c r="G373" s="41">
        <v>12990</v>
      </c>
      <c r="H373" s="69">
        <v>15120</v>
      </c>
      <c r="I373" s="41">
        <v>11236.3</v>
      </c>
      <c r="J373" s="40" t="s">
        <v>914</v>
      </c>
      <c r="K373" s="40" t="s">
        <v>909</v>
      </c>
      <c r="L373" s="40">
        <v>15</v>
      </c>
      <c r="M373" s="35" t="s">
        <v>894</v>
      </c>
      <c r="N373" s="40"/>
      <c r="O373" s="40"/>
      <c r="P373" s="40"/>
      <c r="Q373" s="40"/>
      <c r="R373" s="40" t="s">
        <v>895</v>
      </c>
      <c r="S373" s="40"/>
      <c r="T373" s="40">
        <v>15</v>
      </c>
      <c r="U373" s="68" t="str">
        <f>Таблица310[[#This Row],[Регистратор.Номенклатура]]</f>
        <v>Тристар</v>
      </c>
      <c r="V373" s="45">
        <f>36*Таблица310[[#This Row],[Регистратор.Вес нетто]]/277060</f>
        <v>1.687865444308092</v>
      </c>
      <c r="W373" s="40" t="s">
        <v>52</v>
      </c>
      <c r="X373" s="40" t="s">
        <v>178</v>
      </c>
      <c r="Y373" s="40">
        <v>3</v>
      </c>
      <c r="Z373" s="103">
        <v>45825</v>
      </c>
      <c r="AA373" s="40"/>
      <c r="AB373" s="40"/>
      <c r="AC373" s="40" t="s">
        <v>724</v>
      </c>
      <c r="AD373" s="40" t="s">
        <v>511</v>
      </c>
      <c r="AE373" s="40" t="s">
        <v>1065</v>
      </c>
      <c r="AF373" s="103">
        <v>45826</v>
      </c>
      <c r="AG373" s="40" t="s">
        <v>902</v>
      </c>
      <c r="AH373" s="40" t="e">
        <f>VLOOKUP(Таблица310[[#This Row],[№ акта]],'Степень зрелости 2025'!$H$13:$I$583,2,FALSE)</f>
        <v>#N/A</v>
      </c>
      <c r="AI373" s="40">
        <f>VLOOKUP(Таблица310[[#This Row],[№ акта]],$AQ$1:$AT$594,2,FALSE)</f>
        <v>15</v>
      </c>
      <c r="AJ373" s="40" t="str">
        <f>Таблица310[[#This Row],[Регистратор.Номенклатура]]</f>
        <v>Тристар</v>
      </c>
      <c r="AK373" s="40" t="str">
        <f>VLOOKUP(Таблица310[[#This Row],[№ акта]],$AQ$1:$AT$594,4,FALSE)</f>
        <v>Агролидер (полив)</v>
      </c>
      <c r="AL373" s="45">
        <f>VLOOKUP(Таблица310[[#This Row],[№ акта]],$AQ$1:$AT$594,3,FALSE)</f>
        <v>1.687865444308092</v>
      </c>
      <c r="AM373" s="40" t="str">
        <f>IF(Таблица310[[#This Row],[Площадь уборки, га]]=Таблица310[[#This Row],[Площадь уборки до корр]],"нет","да")</f>
        <v>нет</v>
      </c>
      <c r="AN373" s="45">
        <f>Таблица310[[#This Row],[Площадь уборки до корр]]-Таблица310[[#This Row],[Площадь уборки, га]]</f>
        <v>0</v>
      </c>
      <c r="AQ373" t="s">
        <v>1065</v>
      </c>
      <c r="AR373">
        <v>15</v>
      </c>
      <c r="AS373">
        <v>1.687865444308092</v>
      </c>
      <c r="AT373" t="s">
        <v>52</v>
      </c>
    </row>
    <row r="374" spans="1:46" ht="33.75" hidden="1" x14ac:dyDescent="0.25">
      <c r="A374" s="40"/>
      <c r="B374" s="41"/>
      <c r="C374" s="120">
        <v>54</v>
      </c>
      <c r="D374" s="42" t="s">
        <v>1091</v>
      </c>
      <c r="E374" s="147">
        <v>45826</v>
      </c>
      <c r="F374" s="41">
        <v>27760</v>
      </c>
      <c r="G374" s="41">
        <v>13070</v>
      </c>
      <c r="H374" s="69">
        <v>14690</v>
      </c>
      <c r="I374" s="41">
        <v>11828.3</v>
      </c>
      <c r="J374" s="40" t="s">
        <v>914</v>
      </c>
      <c r="K374" s="40" t="s">
        <v>909</v>
      </c>
      <c r="L374" s="40">
        <v>15</v>
      </c>
      <c r="M374" s="35" t="s">
        <v>121</v>
      </c>
      <c r="N374" s="40"/>
      <c r="O374" s="40"/>
      <c r="P374" s="40"/>
      <c r="Q374" s="40"/>
      <c r="R374" s="40" t="s">
        <v>125</v>
      </c>
      <c r="S374" s="40"/>
      <c r="T374" s="40">
        <v>15</v>
      </c>
      <c r="U374" s="68" t="str">
        <f>Таблица310[[#This Row],[Регистратор.Номенклатура]]</f>
        <v>Тристар</v>
      </c>
      <c r="V374" s="45">
        <f>36*Таблица310[[#This Row],[Регистратор.Вес нетто]]/277060</f>
        <v>1.6982603046271565</v>
      </c>
      <c r="W374" s="40" t="s">
        <v>52</v>
      </c>
      <c r="X374" s="40" t="s">
        <v>178</v>
      </c>
      <c r="Y374" s="40">
        <v>3</v>
      </c>
      <c r="Z374" s="103">
        <v>45825</v>
      </c>
      <c r="AA374" s="40"/>
      <c r="AB374" s="40"/>
      <c r="AC374" s="40" t="s">
        <v>724</v>
      </c>
      <c r="AD374" s="40" t="s">
        <v>511</v>
      </c>
      <c r="AE374" s="40" t="s">
        <v>1091</v>
      </c>
      <c r="AF374" s="103">
        <v>45826</v>
      </c>
      <c r="AG374" s="40" t="s">
        <v>902</v>
      </c>
      <c r="AH374" s="40" t="e">
        <f>VLOOKUP(Таблица310[[#This Row],[№ акта]],'Степень зрелости 2025'!$H$13:$I$583,2,FALSE)</f>
        <v>#N/A</v>
      </c>
      <c r="AI374" s="40">
        <f>VLOOKUP(Таблица310[[#This Row],[№ акта]],$AQ$1:$AT$594,2,FALSE)</f>
        <v>15</v>
      </c>
      <c r="AJ374" s="40" t="str">
        <f>Таблица310[[#This Row],[Регистратор.Номенклатура]]</f>
        <v>Тристар</v>
      </c>
      <c r="AK374" s="40" t="str">
        <f>VLOOKUP(Таблица310[[#This Row],[№ акта]],$AQ$1:$AT$594,4,FALSE)</f>
        <v>Агролидер (полив)</v>
      </c>
      <c r="AL374" s="45">
        <f>VLOOKUP(Таблица310[[#This Row],[№ акта]],$AQ$1:$AT$594,3,FALSE)</f>
        <v>1.6982603046271565</v>
      </c>
      <c r="AM374" s="40" t="str">
        <f>IF(Таблица310[[#This Row],[Площадь уборки, га]]=Таблица310[[#This Row],[Площадь уборки до корр]],"нет","да")</f>
        <v>нет</v>
      </c>
      <c r="AN374" s="45">
        <f>Таблица310[[#This Row],[Площадь уборки до корр]]-Таблица310[[#This Row],[Площадь уборки, га]]</f>
        <v>0</v>
      </c>
      <c r="AQ374" t="s">
        <v>1091</v>
      </c>
      <c r="AR374">
        <v>15</v>
      </c>
      <c r="AS374">
        <v>1.6982603046271565</v>
      </c>
      <c r="AT374" t="s">
        <v>52</v>
      </c>
    </row>
    <row r="375" spans="1:46" ht="33.75" hidden="1" x14ac:dyDescent="0.25">
      <c r="A375" s="40"/>
      <c r="B375" s="41"/>
      <c r="C375" s="120">
        <v>53</v>
      </c>
      <c r="D375" s="42" t="s">
        <v>1092</v>
      </c>
      <c r="E375" s="147">
        <v>45826</v>
      </c>
      <c r="F375" s="41">
        <v>27890</v>
      </c>
      <c r="G375" s="41">
        <v>13270</v>
      </c>
      <c r="H375" s="69">
        <v>14620</v>
      </c>
      <c r="I375" s="41">
        <v>11544.9</v>
      </c>
      <c r="J375" s="40" t="s">
        <v>914</v>
      </c>
      <c r="K375" s="40" t="s">
        <v>909</v>
      </c>
      <c r="L375" s="40">
        <v>15</v>
      </c>
      <c r="M375" s="35" t="s">
        <v>239</v>
      </c>
      <c r="N375" s="40"/>
      <c r="O375" s="40"/>
      <c r="P375" s="40"/>
      <c r="Q375" s="40"/>
      <c r="R375" s="40" t="s">
        <v>243</v>
      </c>
      <c r="S375" s="40"/>
      <c r="T375" s="40">
        <v>15</v>
      </c>
      <c r="U375" s="68" t="str">
        <f>Таблица310[[#This Row],[Регистратор.Номенклатура]]</f>
        <v>Тристар</v>
      </c>
      <c r="V375" s="45">
        <f>36*Таблица310[[#This Row],[Регистратор.Вес нетто]]/277060</f>
        <v>1.7242474554248177</v>
      </c>
      <c r="W375" s="40" t="s">
        <v>52</v>
      </c>
      <c r="X375" s="40" t="s">
        <v>178</v>
      </c>
      <c r="Y375" s="40">
        <v>4</v>
      </c>
      <c r="Z375" s="103">
        <v>45826</v>
      </c>
      <c r="AA375" s="40"/>
      <c r="AB375" s="40"/>
      <c r="AC375" s="40" t="s">
        <v>724</v>
      </c>
      <c r="AD375" s="40" t="s">
        <v>511</v>
      </c>
      <c r="AE375" s="40" t="s">
        <v>1092</v>
      </c>
      <c r="AF375" s="103">
        <v>45826</v>
      </c>
      <c r="AG375" s="40" t="s">
        <v>902</v>
      </c>
      <c r="AH375" s="40" t="e">
        <f>VLOOKUP(Таблица310[[#This Row],[№ акта]],'Степень зрелости 2025'!$H$13:$I$583,2,FALSE)</f>
        <v>#N/A</v>
      </c>
      <c r="AI375" s="40">
        <f>VLOOKUP(Таблица310[[#This Row],[№ акта]],$AQ$1:$AT$594,2,FALSE)</f>
        <v>15</v>
      </c>
      <c r="AJ375" s="40" t="str">
        <f>Таблица310[[#This Row],[Регистратор.Номенклатура]]</f>
        <v>Тристар</v>
      </c>
      <c r="AK375" s="40" t="str">
        <f>VLOOKUP(Таблица310[[#This Row],[№ акта]],$AQ$1:$AT$594,4,FALSE)</f>
        <v>Агролидер (полив)</v>
      </c>
      <c r="AL375" s="45">
        <f>VLOOKUP(Таблица310[[#This Row],[№ акта]],$AQ$1:$AT$594,3,FALSE)</f>
        <v>1.7242474554248177</v>
      </c>
      <c r="AM375" s="40" t="str">
        <f>IF(Таблица310[[#This Row],[Площадь уборки, га]]=Таблица310[[#This Row],[Площадь уборки до корр]],"нет","да")</f>
        <v>нет</v>
      </c>
      <c r="AN375" s="45">
        <f>Таблица310[[#This Row],[Площадь уборки до корр]]-Таблица310[[#This Row],[Площадь уборки, га]]</f>
        <v>0</v>
      </c>
      <c r="AQ375" t="s">
        <v>1092</v>
      </c>
      <c r="AR375">
        <v>15</v>
      </c>
      <c r="AS375">
        <v>1.7242474554248177</v>
      </c>
      <c r="AT375" t="s">
        <v>52</v>
      </c>
    </row>
    <row r="376" spans="1:46" ht="33.75" hidden="1" x14ac:dyDescent="0.25">
      <c r="A376" s="40"/>
      <c r="B376" s="41"/>
      <c r="C376" s="120">
        <f>Таблица310[[#This Row],[Степень зрелости вспом]]</f>
        <v>55</v>
      </c>
      <c r="D376" s="42" t="s">
        <v>1093</v>
      </c>
      <c r="E376" s="147">
        <v>45826</v>
      </c>
      <c r="F376" s="41">
        <v>28770</v>
      </c>
      <c r="G376" s="41">
        <v>13210</v>
      </c>
      <c r="H376" s="69">
        <v>15560</v>
      </c>
      <c r="I376" s="41">
        <v>12351.3</v>
      </c>
      <c r="J376" s="40" t="s">
        <v>914</v>
      </c>
      <c r="K376" s="40" t="s">
        <v>909</v>
      </c>
      <c r="L376" s="40">
        <v>15</v>
      </c>
      <c r="M376" s="35" t="s">
        <v>244</v>
      </c>
      <c r="N376" s="40"/>
      <c r="O376" s="40"/>
      <c r="P376" s="40"/>
      <c r="Q376" s="40"/>
      <c r="R376" s="40" t="s">
        <v>248</v>
      </c>
      <c r="S376" s="40"/>
      <c r="T376" s="40">
        <v>15</v>
      </c>
      <c r="U376" s="68" t="str">
        <f>Таблица310[[#This Row],[Регистратор.Номенклатура]]</f>
        <v>Тристар</v>
      </c>
      <c r="V376" s="45">
        <f>36*Таблица310[[#This Row],[Регистратор.Вес нетто]]/277060</f>
        <v>1.7164513101855194</v>
      </c>
      <c r="W376" s="40" t="s">
        <v>52</v>
      </c>
      <c r="X376" s="40" t="s">
        <v>178</v>
      </c>
      <c r="Y376" s="40">
        <v>4</v>
      </c>
      <c r="Z376" s="103">
        <v>45826</v>
      </c>
      <c r="AA376" s="40"/>
      <c r="AB376" s="40"/>
      <c r="AC376" s="40" t="s">
        <v>724</v>
      </c>
      <c r="AD376" s="40" t="s">
        <v>511</v>
      </c>
      <c r="AE376" s="40" t="s">
        <v>1093</v>
      </c>
      <c r="AF376" s="103">
        <v>45826</v>
      </c>
      <c r="AG376" s="40" t="s">
        <v>902</v>
      </c>
      <c r="AH376" s="40">
        <f>VLOOKUP(Таблица310[[#This Row],[№ акта]],'Степень зрелости 2025'!$H$13:$I$583,2,FALSE)</f>
        <v>55</v>
      </c>
      <c r="AI376" s="40">
        <f>VLOOKUP(Таблица310[[#This Row],[№ акта]],$AQ$1:$AT$594,2,FALSE)</f>
        <v>15</v>
      </c>
      <c r="AJ376" s="40" t="str">
        <f>Таблица310[[#This Row],[Регистратор.Номенклатура]]</f>
        <v>Тристар</v>
      </c>
      <c r="AK376" s="40" t="str">
        <f>VLOOKUP(Таблица310[[#This Row],[№ акта]],$AQ$1:$AT$594,4,FALSE)</f>
        <v>Агролидер (полив)</v>
      </c>
      <c r="AL376" s="45">
        <f>VLOOKUP(Таблица310[[#This Row],[№ акта]],$AQ$1:$AT$594,3,FALSE)</f>
        <v>1.7164513101855194</v>
      </c>
      <c r="AM376" s="40" t="str">
        <f>IF(Таблица310[[#This Row],[Площадь уборки, га]]=Таблица310[[#This Row],[Площадь уборки до корр]],"нет","да")</f>
        <v>нет</v>
      </c>
      <c r="AN376" s="45">
        <f>Таблица310[[#This Row],[Площадь уборки до корр]]-Таблица310[[#This Row],[Площадь уборки, га]]</f>
        <v>0</v>
      </c>
      <c r="AQ376" t="s">
        <v>1093</v>
      </c>
      <c r="AR376">
        <v>15</v>
      </c>
      <c r="AS376">
        <v>1.7164513101855194</v>
      </c>
      <c r="AT376" t="s">
        <v>52</v>
      </c>
    </row>
    <row r="377" spans="1:46" ht="22.5" hidden="1" x14ac:dyDescent="0.25">
      <c r="A377" s="40"/>
      <c r="B377" s="41"/>
      <c r="C377" s="120">
        <f>Таблица310[[#This Row],[Степень зрелости вспом]]</f>
        <v>53</v>
      </c>
      <c r="D377" s="42" t="s">
        <v>1094</v>
      </c>
      <c r="E377" s="147">
        <v>45826</v>
      </c>
      <c r="F377" s="41">
        <v>34270</v>
      </c>
      <c r="G377" s="41">
        <v>13260</v>
      </c>
      <c r="H377" s="69">
        <v>21010</v>
      </c>
      <c r="I377" s="41">
        <v>11735.1</v>
      </c>
      <c r="J377" s="40" t="s">
        <v>914</v>
      </c>
      <c r="K377" s="40" t="s">
        <v>909</v>
      </c>
      <c r="L377" s="40">
        <v>15</v>
      </c>
      <c r="M377" s="35" t="s">
        <v>1152</v>
      </c>
      <c r="N377" s="40"/>
      <c r="O377" s="40"/>
      <c r="P377" s="40"/>
      <c r="Q377" s="40"/>
      <c r="R377" s="40" t="s">
        <v>119</v>
      </c>
      <c r="S377" s="40"/>
      <c r="T377" s="40">
        <v>15</v>
      </c>
      <c r="U377" s="68" t="str">
        <f>Таблица310[[#This Row],[Регистратор.Номенклатура]]</f>
        <v>Тристар</v>
      </c>
      <c r="V377" s="45">
        <f>36*Таблица310[[#This Row],[Регистратор.Вес нетто]]/277060</f>
        <v>1.7229480978849347</v>
      </c>
      <c r="W377" s="40" t="s">
        <v>52</v>
      </c>
      <c r="X377" s="40" t="s">
        <v>178</v>
      </c>
      <c r="Y377" s="40">
        <v>4</v>
      </c>
      <c r="Z377" s="103">
        <v>45826</v>
      </c>
      <c r="AA377" s="40"/>
      <c r="AB377" s="40"/>
      <c r="AC377" s="40" t="s">
        <v>420</v>
      </c>
      <c r="AD377" s="40" t="s">
        <v>511</v>
      </c>
      <c r="AE377" s="40" t="s">
        <v>1094</v>
      </c>
      <c r="AF377" s="103">
        <v>45826</v>
      </c>
      <c r="AG377" s="40" t="s">
        <v>902</v>
      </c>
      <c r="AH377" s="40">
        <f>VLOOKUP(Таблица310[[#This Row],[№ акта]],'Степень зрелости 2025'!$H$13:$I$583,2,FALSE)</f>
        <v>53</v>
      </c>
      <c r="AI377" s="40">
        <f>VLOOKUP(Таблица310[[#This Row],[№ акта]],$AQ$1:$AT$594,2,FALSE)</f>
        <v>15</v>
      </c>
      <c r="AJ377" s="40" t="str">
        <f>Таблица310[[#This Row],[Регистратор.Номенклатура]]</f>
        <v>Тристар</v>
      </c>
      <c r="AK377" s="40" t="str">
        <f>VLOOKUP(Таблица310[[#This Row],[№ акта]],$AQ$1:$AT$594,4,FALSE)</f>
        <v>Агролидер (полив)</v>
      </c>
      <c r="AL377" s="45">
        <f>VLOOKUP(Таблица310[[#This Row],[№ акта]],$AQ$1:$AT$594,3,FALSE)</f>
        <v>1.7229480978849347</v>
      </c>
      <c r="AM377" s="40" t="str">
        <f>IF(Таблица310[[#This Row],[Площадь уборки, га]]=Таблица310[[#This Row],[Площадь уборки до корр]],"нет","да")</f>
        <v>нет</v>
      </c>
      <c r="AN377" s="45">
        <f>Таблица310[[#This Row],[Площадь уборки до корр]]-Таблица310[[#This Row],[Площадь уборки, га]]</f>
        <v>0</v>
      </c>
      <c r="AQ377" t="s">
        <v>1094</v>
      </c>
      <c r="AR377">
        <v>15</v>
      </c>
      <c r="AS377">
        <v>1.7229480978849347</v>
      </c>
      <c r="AT377" t="s">
        <v>52</v>
      </c>
    </row>
    <row r="378" spans="1:46" ht="22.5" hidden="1" x14ac:dyDescent="0.25">
      <c r="A378" s="40"/>
      <c r="B378" s="41"/>
      <c r="C378" s="120">
        <f>Таблица310[[#This Row],[Степень зрелости вспом]]</f>
        <v>53</v>
      </c>
      <c r="D378" s="42" t="s">
        <v>1095</v>
      </c>
      <c r="E378" s="147">
        <v>45826</v>
      </c>
      <c r="F378" s="41">
        <v>28000</v>
      </c>
      <c r="G378" s="41">
        <v>13280</v>
      </c>
      <c r="H378" s="69">
        <v>14720</v>
      </c>
      <c r="I378" s="41">
        <v>12416.8</v>
      </c>
      <c r="J378" s="40" t="s">
        <v>914</v>
      </c>
      <c r="K378" s="40" t="s">
        <v>909</v>
      </c>
      <c r="L378" s="40">
        <v>15</v>
      </c>
      <c r="M378" s="35" t="s">
        <v>335</v>
      </c>
      <c r="N378" s="40"/>
      <c r="O378" s="40"/>
      <c r="P378" s="40"/>
      <c r="Q378" s="40"/>
      <c r="R378" s="40" t="s">
        <v>339</v>
      </c>
      <c r="S378" s="40"/>
      <c r="T378" s="40">
        <v>15</v>
      </c>
      <c r="U378" s="68" t="str">
        <f>Таблица310[[#This Row],[Регистратор.Номенклатура]]</f>
        <v>Тристар</v>
      </c>
      <c r="V378" s="45">
        <f>36*Таблица310[[#This Row],[Регистратор.Вес нетто]]/277060</f>
        <v>1.7255468129647007</v>
      </c>
      <c r="W378" s="40" t="s">
        <v>52</v>
      </c>
      <c r="X378" s="40" t="s">
        <v>178</v>
      </c>
      <c r="Y378" s="40">
        <v>4</v>
      </c>
      <c r="Z378" s="103">
        <v>45826</v>
      </c>
      <c r="AA378" s="40"/>
      <c r="AB378" s="40"/>
      <c r="AC378" s="40" t="s">
        <v>420</v>
      </c>
      <c r="AD378" s="40" t="s">
        <v>511</v>
      </c>
      <c r="AE378" s="40" t="s">
        <v>1095</v>
      </c>
      <c r="AF378" s="103">
        <v>45826</v>
      </c>
      <c r="AG378" s="40" t="s">
        <v>902</v>
      </c>
      <c r="AH378" s="40">
        <f>VLOOKUP(Таблица310[[#This Row],[№ акта]],'Степень зрелости 2025'!$H$13:$I$583,2,FALSE)</f>
        <v>53</v>
      </c>
      <c r="AI378" s="40">
        <f>VLOOKUP(Таблица310[[#This Row],[№ акта]],$AQ$1:$AT$594,2,FALSE)</f>
        <v>15</v>
      </c>
      <c r="AJ378" s="40" t="str">
        <f>Таблица310[[#This Row],[Регистратор.Номенклатура]]</f>
        <v>Тристар</v>
      </c>
      <c r="AK378" s="40" t="str">
        <f>VLOOKUP(Таблица310[[#This Row],[№ акта]],$AQ$1:$AT$594,4,FALSE)</f>
        <v>Агролидер (полив)</v>
      </c>
      <c r="AL378" s="45">
        <f>VLOOKUP(Таблица310[[#This Row],[№ акта]],$AQ$1:$AT$594,3,FALSE)</f>
        <v>1.7255468129647007</v>
      </c>
      <c r="AM378" s="40" t="str">
        <f>IF(Таблица310[[#This Row],[Площадь уборки, га]]=Таблица310[[#This Row],[Площадь уборки до корр]],"нет","да")</f>
        <v>нет</v>
      </c>
      <c r="AN378" s="45">
        <f>Таблица310[[#This Row],[Площадь уборки до корр]]-Таблица310[[#This Row],[Площадь уборки, га]]</f>
        <v>0</v>
      </c>
      <c r="AQ378" t="s">
        <v>1095</v>
      </c>
      <c r="AR378">
        <v>15</v>
      </c>
      <c r="AS378">
        <v>1.7255468129647007</v>
      </c>
      <c r="AT378" t="s">
        <v>52</v>
      </c>
    </row>
    <row r="379" spans="1:46" ht="22.5" hidden="1" x14ac:dyDescent="0.25">
      <c r="A379" s="40"/>
      <c r="B379" s="41"/>
      <c r="C379" s="120">
        <f>Таблица310[[#This Row],[Степень зрелости вспом]]</f>
        <v>54</v>
      </c>
      <c r="D379" s="42" t="s">
        <v>1096</v>
      </c>
      <c r="E379" s="147">
        <v>45826</v>
      </c>
      <c r="F379" s="41">
        <v>27280</v>
      </c>
      <c r="G379" s="41">
        <v>13410</v>
      </c>
      <c r="H379" s="69">
        <v>13870</v>
      </c>
      <c r="I379" s="41">
        <v>12136</v>
      </c>
      <c r="J379" s="40" t="s">
        <v>914</v>
      </c>
      <c r="K379" s="40" t="s">
        <v>909</v>
      </c>
      <c r="L379" s="40">
        <v>15</v>
      </c>
      <c r="M379" s="35" t="s">
        <v>212</v>
      </c>
      <c r="N379" s="40"/>
      <c r="O379" s="40"/>
      <c r="P379" s="40"/>
      <c r="Q379" s="40"/>
      <c r="R379" s="40" t="s">
        <v>216</v>
      </c>
      <c r="S379" s="40"/>
      <c r="T379" s="40">
        <v>15</v>
      </c>
      <c r="U379" s="68" t="str">
        <f>Таблица310[[#This Row],[Регистратор.Номенклатура]]</f>
        <v>Тристар</v>
      </c>
      <c r="V379" s="45">
        <f>36*Таблица310[[#This Row],[Регистратор.Вес нетто]]/277060</f>
        <v>1.7424384609831804</v>
      </c>
      <c r="W379" s="40" t="s">
        <v>52</v>
      </c>
      <c r="X379" s="40" t="s">
        <v>178</v>
      </c>
      <c r="Y379" s="40">
        <v>4</v>
      </c>
      <c r="Z379" s="103">
        <v>45826</v>
      </c>
      <c r="AA379" s="40"/>
      <c r="AB379" s="40"/>
      <c r="AC379" s="40" t="s">
        <v>724</v>
      </c>
      <c r="AD379" s="40" t="s">
        <v>511</v>
      </c>
      <c r="AE379" s="40" t="s">
        <v>1096</v>
      </c>
      <c r="AF379" s="103">
        <v>45826</v>
      </c>
      <c r="AG379" s="40">
        <v>54927</v>
      </c>
      <c r="AH379" s="40">
        <f>VLOOKUP(Таблица310[[#This Row],[№ акта]],'Степень зрелости 2025'!$H$13:$I$583,2,FALSE)</f>
        <v>54</v>
      </c>
      <c r="AI379" s="40">
        <f>VLOOKUP(Таблица310[[#This Row],[№ акта]],$AQ$1:$AT$594,2,FALSE)</f>
        <v>15</v>
      </c>
      <c r="AJ379" s="40" t="str">
        <f>Таблица310[[#This Row],[Регистратор.Номенклатура]]</f>
        <v>Тристар</v>
      </c>
      <c r="AK379" s="40" t="str">
        <f>VLOOKUP(Таблица310[[#This Row],[№ акта]],$AQ$1:$AT$594,4,FALSE)</f>
        <v>Агролидер (полив)</v>
      </c>
      <c r="AL379" s="45">
        <f>VLOOKUP(Таблица310[[#This Row],[№ акта]],$AQ$1:$AT$594,3,FALSE)</f>
        <v>1.7424384609831804</v>
      </c>
      <c r="AM379" s="40" t="str">
        <f>IF(Таблица310[[#This Row],[Площадь уборки, га]]=Таблица310[[#This Row],[Площадь уборки до корр]],"нет","да")</f>
        <v>нет</v>
      </c>
      <c r="AN379" s="45">
        <f>Таблица310[[#This Row],[Площадь уборки до корр]]-Таблица310[[#This Row],[Площадь уборки, га]]</f>
        <v>0</v>
      </c>
      <c r="AQ379" t="s">
        <v>1096</v>
      </c>
      <c r="AR379">
        <v>15</v>
      </c>
      <c r="AS379">
        <v>1.7424384609831804</v>
      </c>
      <c r="AT379" t="s">
        <v>52</v>
      </c>
    </row>
    <row r="380" spans="1:46" ht="22.5" hidden="1" x14ac:dyDescent="0.25">
      <c r="A380" s="40"/>
      <c r="B380" s="41"/>
      <c r="C380" s="120">
        <v>57</v>
      </c>
      <c r="D380" s="42" t="s">
        <v>1097</v>
      </c>
      <c r="E380" s="147">
        <v>45826</v>
      </c>
      <c r="F380" s="41">
        <v>28170</v>
      </c>
      <c r="G380" s="41">
        <v>13240</v>
      </c>
      <c r="H380" s="69">
        <v>14930</v>
      </c>
      <c r="I380" s="41">
        <v>12247</v>
      </c>
      <c r="J380" s="40" t="s">
        <v>914</v>
      </c>
      <c r="K380" s="40" t="s">
        <v>909</v>
      </c>
      <c r="L380" s="40">
        <v>15</v>
      </c>
      <c r="M380" s="35" t="s">
        <v>151</v>
      </c>
      <c r="N380" s="40"/>
      <c r="O380" s="40"/>
      <c r="P380" s="40"/>
      <c r="Q380" s="40"/>
      <c r="R380" s="40" t="s">
        <v>155</v>
      </c>
      <c r="S380" s="40"/>
      <c r="T380" s="40">
        <v>15</v>
      </c>
      <c r="U380" s="68" t="str">
        <f>Таблица310[[#This Row],[Регистратор.Номенклатура]]</f>
        <v>Тристар</v>
      </c>
      <c r="V380" s="45">
        <f>36*Таблица310[[#This Row],[Регистратор.Вес нетто]]/277060</f>
        <v>1.7203493828051686</v>
      </c>
      <c r="W380" s="40" t="s">
        <v>52</v>
      </c>
      <c r="X380" s="40" t="s">
        <v>178</v>
      </c>
      <c r="Y380" s="40">
        <v>4</v>
      </c>
      <c r="Z380" s="103">
        <v>45826</v>
      </c>
      <c r="AA380" s="40"/>
      <c r="AB380" s="40"/>
      <c r="AC380" s="40" t="s">
        <v>724</v>
      </c>
      <c r="AD380" s="40" t="s">
        <v>511</v>
      </c>
      <c r="AE380" s="40" t="s">
        <v>1097</v>
      </c>
      <c r="AF380" s="103">
        <v>45826</v>
      </c>
      <c r="AG380" s="40">
        <v>54928</v>
      </c>
      <c r="AH380" s="40">
        <f>VLOOKUP(Таблица310[[#This Row],[№ акта]],'Степень зрелости 2025'!$H$13:$I$583,2,FALSE)</f>
        <v>57</v>
      </c>
      <c r="AI380" s="40">
        <f>VLOOKUP(Таблица310[[#This Row],[№ акта]],$AQ$1:$AT$594,2,FALSE)</f>
        <v>15</v>
      </c>
      <c r="AJ380" s="40" t="str">
        <f>Таблица310[[#This Row],[Регистратор.Номенклатура]]</f>
        <v>Тристар</v>
      </c>
      <c r="AK380" s="40" t="str">
        <f>VLOOKUP(Таблица310[[#This Row],[№ акта]],$AQ$1:$AT$594,4,FALSE)</f>
        <v>Агролидер (полив)</v>
      </c>
      <c r="AL380" s="45">
        <f>VLOOKUP(Таблица310[[#This Row],[№ акта]],$AQ$1:$AT$594,3,FALSE)</f>
        <v>1.7203493828051686</v>
      </c>
      <c r="AM380" s="40" t="str">
        <f>IF(Таблица310[[#This Row],[Площадь уборки, га]]=Таблица310[[#This Row],[Площадь уборки до корр]],"нет","да")</f>
        <v>нет</v>
      </c>
      <c r="AN380" s="45">
        <f>Таблица310[[#This Row],[Площадь уборки до корр]]-Таблица310[[#This Row],[Площадь уборки, га]]</f>
        <v>0</v>
      </c>
      <c r="AQ380" t="s">
        <v>1097</v>
      </c>
      <c r="AR380">
        <v>15</v>
      </c>
      <c r="AS380">
        <v>1.7203493828051686</v>
      </c>
      <c r="AT380" t="s">
        <v>52</v>
      </c>
    </row>
    <row r="381" spans="1:46" ht="22.5" hidden="1" x14ac:dyDescent="0.25">
      <c r="A381" s="40"/>
      <c r="B381" s="41"/>
      <c r="C381" s="120">
        <f>Таблица310[[#This Row],[Степень зрелости вспом]]</f>
        <v>55</v>
      </c>
      <c r="D381" s="42" t="s">
        <v>1098</v>
      </c>
      <c r="E381" s="147">
        <v>45826</v>
      </c>
      <c r="F381" s="41">
        <v>36820</v>
      </c>
      <c r="G381" s="41">
        <v>12760</v>
      </c>
      <c r="H381" s="69">
        <v>24060</v>
      </c>
      <c r="I381" s="41">
        <v>11803</v>
      </c>
      <c r="J381" s="40" t="s">
        <v>914</v>
      </c>
      <c r="K381" s="40" t="s">
        <v>909</v>
      </c>
      <c r="L381" s="40">
        <v>15</v>
      </c>
      <c r="M381" s="35" t="s">
        <v>160</v>
      </c>
      <c r="N381" s="40"/>
      <c r="O381" s="40"/>
      <c r="P381" s="40"/>
      <c r="Q381" s="40"/>
      <c r="R381" s="40" t="s">
        <v>164</v>
      </c>
      <c r="S381" s="40"/>
      <c r="T381" s="40">
        <v>15</v>
      </c>
      <c r="U381" s="68" t="str">
        <f>Таблица310[[#This Row],[Регистратор.Номенклатура]]</f>
        <v>Тристар</v>
      </c>
      <c r="V381" s="45">
        <f>36*Таблица310[[#This Row],[Регистратор.Вес нетто]]/277060</f>
        <v>1.6579802208907817</v>
      </c>
      <c r="W381" s="40" t="s">
        <v>52</v>
      </c>
      <c r="X381" s="40" t="s">
        <v>178</v>
      </c>
      <c r="Y381" s="40">
        <v>4</v>
      </c>
      <c r="Z381" s="103">
        <v>45826</v>
      </c>
      <c r="AA381" s="40"/>
      <c r="AB381" s="40"/>
      <c r="AC381" s="40" t="s">
        <v>724</v>
      </c>
      <c r="AD381" s="40" t="s">
        <v>511</v>
      </c>
      <c r="AE381" s="40" t="s">
        <v>1098</v>
      </c>
      <c r="AF381" s="103">
        <v>45826</v>
      </c>
      <c r="AG381" s="40">
        <v>54927</v>
      </c>
      <c r="AH381" s="40">
        <f>VLOOKUP(Таблица310[[#This Row],[№ акта]],'Степень зрелости 2025'!$H$13:$I$583,2,FALSE)</f>
        <v>55</v>
      </c>
      <c r="AI381" s="40">
        <f>VLOOKUP(Таблица310[[#This Row],[№ акта]],$AQ$1:$AT$594,2,FALSE)</f>
        <v>15</v>
      </c>
      <c r="AJ381" s="40" t="str">
        <f>Таблица310[[#This Row],[Регистратор.Номенклатура]]</f>
        <v>Тристар</v>
      </c>
      <c r="AK381" s="40" t="str">
        <f>VLOOKUP(Таблица310[[#This Row],[№ акта]],$AQ$1:$AT$594,4,FALSE)</f>
        <v>Агролидер (полив)</v>
      </c>
      <c r="AL381" s="45">
        <f>VLOOKUP(Таблица310[[#This Row],[№ акта]],$AQ$1:$AT$594,3,FALSE)</f>
        <v>1.6579802208907817</v>
      </c>
      <c r="AM381" s="40" t="str">
        <f>IF(Таблица310[[#This Row],[Площадь уборки, га]]=Таблица310[[#This Row],[Площадь уборки до корр]],"нет","да")</f>
        <v>нет</v>
      </c>
      <c r="AN381" s="45">
        <f>Таблица310[[#This Row],[Площадь уборки до корр]]-Таблица310[[#This Row],[Площадь уборки, га]]</f>
        <v>0</v>
      </c>
      <c r="AQ381" t="s">
        <v>1098</v>
      </c>
      <c r="AR381">
        <v>15</v>
      </c>
      <c r="AS381">
        <v>1.6579802208907817</v>
      </c>
      <c r="AT381" t="s">
        <v>52</v>
      </c>
    </row>
    <row r="382" spans="1:46" ht="33.75" hidden="1" x14ac:dyDescent="0.25">
      <c r="A382" s="40"/>
      <c r="B382" s="41"/>
      <c r="C382" s="120">
        <f>Таблица310[[#This Row],[Степень зрелости вспом]]</f>
        <v>57</v>
      </c>
      <c r="D382" s="42" t="s">
        <v>1099</v>
      </c>
      <c r="E382" s="147">
        <v>45827</v>
      </c>
      <c r="F382" s="41">
        <v>27850</v>
      </c>
      <c r="G382" s="41">
        <v>12810</v>
      </c>
      <c r="H382" s="69">
        <v>15040</v>
      </c>
      <c r="I382" s="41">
        <v>11977.3</v>
      </c>
      <c r="J382" s="40" t="s">
        <v>914</v>
      </c>
      <c r="K382" s="40" t="s">
        <v>909</v>
      </c>
      <c r="L382" s="40">
        <v>15</v>
      </c>
      <c r="M382" s="35" t="s">
        <v>311</v>
      </c>
      <c r="N382" s="40"/>
      <c r="O382" s="40"/>
      <c r="P382" s="40"/>
      <c r="Q382" s="40"/>
      <c r="R382" s="40" t="s">
        <v>315</v>
      </c>
      <c r="S382" s="40"/>
      <c r="T382" s="40">
        <v>15</v>
      </c>
      <c r="U382" s="68" t="str">
        <f>Таблица310[[#This Row],[Регистратор.Номенклатура]]</f>
        <v>Тристар</v>
      </c>
      <c r="V382" s="45">
        <f>36*Таблица310[[#This Row],[Регистратор.Вес нетто]]/277060</f>
        <v>1.664477008590197</v>
      </c>
      <c r="W382" s="40" t="s">
        <v>52</v>
      </c>
      <c r="X382" s="40" t="s">
        <v>178</v>
      </c>
      <c r="Y382" s="40">
        <v>4</v>
      </c>
      <c r="Z382" s="103">
        <v>45826</v>
      </c>
      <c r="AA382" s="40"/>
      <c r="AB382" s="40"/>
      <c r="AC382" s="40" t="s">
        <v>724</v>
      </c>
      <c r="AD382" s="40" t="s">
        <v>511</v>
      </c>
      <c r="AE382" s="40" t="s">
        <v>1099</v>
      </c>
      <c r="AF382" s="103">
        <v>45827</v>
      </c>
      <c r="AG382" s="40">
        <v>54928</v>
      </c>
      <c r="AH382" s="40">
        <f>VLOOKUP(Таблица310[[#This Row],[№ акта]],'Степень зрелости 2025'!$H$13:$I$583,2,FALSE)</f>
        <v>57</v>
      </c>
      <c r="AI382" s="40">
        <f>VLOOKUP(Таблица310[[#This Row],[№ акта]],$AQ$1:$AT$594,2,FALSE)</f>
        <v>15</v>
      </c>
      <c r="AJ382" s="40" t="str">
        <f>Таблица310[[#This Row],[Регистратор.Номенклатура]]</f>
        <v>Тристар</v>
      </c>
      <c r="AK382" s="40" t="str">
        <f>VLOOKUP(Таблица310[[#This Row],[№ акта]],$AQ$1:$AT$594,4,FALSE)</f>
        <v>Агролидер (полив)</v>
      </c>
      <c r="AL382" s="45">
        <f>VLOOKUP(Таблица310[[#This Row],[№ акта]],$AQ$1:$AT$594,3,FALSE)</f>
        <v>1.664477008590197</v>
      </c>
      <c r="AM382" s="40" t="str">
        <f>IF(Таблица310[[#This Row],[Площадь уборки, га]]=Таблица310[[#This Row],[Площадь уборки до корр]],"нет","да")</f>
        <v>нет</v>
      </c>
      <c r="AN382" s="45">
        <f>Таблица310[[#This Row],[Площадь уборки до корр]]-Таблица310[[#This Row],[Площадь уборки, га]]</f>
        <v>0</v>
      </c>
      <c r="AQ382" t="s">
        <v>1099</v>
      </c>
      <c r="AR382">
        <v>15</v>
      </c>
      <c r="AS382">
        <v>1.664477008590197</v>
      </c>
      <c r="AT382" t="s">
        <v>52</v>
      </c>
    </row>
    <row r="383" spans="1:46" ht="33.75" hidden="1" x14ac:dyDescent="0.25">
      <c r="A383" s="40"/>
      <c r="B383" s="41"/>
      <c r="C383" s="120">
        <f>Таблица310[[#This Row],[Степень зрелости вспом]]</f>
        <v>57</v>
      </c>
      <c r="D383" s="42" t="s">
        <v>1100</v>
      </c>
      <c r="E383" s="147">
        <v>45827</v>
      </c>
      <c r="F383" s="41">
        <v>27380</v>
      </c>
      <c r="G383" s="41">
        <v>12730</v>
      </c>
      <c r="H383" s="69">
        <v>14650</v>
      </c>
      <c r="I383" s="41">
        <v>12029.8</v>
      </c>
      <c r="J383" s="40" t="s">
        <v>914</v>
      </c>
      <c r="K383" s="40" t="s">
        <v>909</v>
      </c>
      <c r="L383" s="40">
        <v>15</v>
      </c>
      <c r="M383" s="35" t="s">
        <v>121</v>
      </c>
      <c r="N383" s="40"/>
      <c r="O383" s="40"/>
      <c r="P383" s="40"/>
      <c r="Q383" s="40"/>
      <c r="R383" s="40" t="s">
        <v>125</v>
      </c>
      <c r="S383" s="40"/>
      <c r="T383" s="40">
        <v>15</v>
      </c>
      <c r="U383" s="68" t="str">
        <f>Таблица310[[#This Row],[Регистратор.Номенклатура]]</f>
        <v>Тристар</v>
      </c>
      <c r="V383" s="45">
        <f>36*Таблица310[[#This Row],[Регистратор.Вес нетто]]/277060</f>
        <v>1.6540821482711325</v>
      </c>
      <c r="W383" s="40" t="s">
        <v>52</v>
      </c>
      <c r="X383" s="40" t="s">
        <v>178</v>
      </c>
      <c r="Y383" s="40">
        <v>4</v>
      </c>
      <c r="Z383" s="103">
        <v>45826</v>
      </c>
      <c r="AA383" s="40"/>
      <c r="AB383" s="40"/>
      <c r="AC383" s="40" t="s">
        <v>724</v>
      </c>
      <c r="AD383" s="40" t="s">
        <v>511</v>
      </c>
      <c r="AE383" s="40" t="s">
        <v>1100</v>
      </c>
      <c r="AF383" s="103">
        <v>45827</v>
      </c>
      <c r="AG383" s="40">
        <v>54929</v>
      </c>
      <c r="AH383" s="40">
        <f>VLOOKUP(Таблица310[[#This Row],[№ акта]],'Степень зрелости 2025'!$H$13:$I$583,2,FALSE)</f>
        <v>57</v>
      </c>
      <c r="AI383" s="40">
        <f>VLOOKUP(Таблица310[[#This Row],[№ акта]],$AQ$1:$AT$594,2,FALSE)</f>
        <v>15</v>
      </c>
      <c r="AJ383" s="40" t="str">
        <f>Таблица310[[#This Row],[Регистратор.Номенклатура]]</f>
        <v>Тристар</v>
      </c>
      <c r="AK383" s="40" t="str">
        <f>VLOOKUP(Таблица310[[#This Row],[№ акта]],$AQ$1:$AT$594,4,FALSE)</f>
        <v>Агролидер (полив)</v>
      </c>
      <c r="AL383" s="45">
        <f>VLOOKUP(Таблица310[[#This Row],[№ акта]],$AQ$1:$AT$594,3,FALSE)</f>
        <v>1.6540821482711325</v>
      </c>
      <c r="AM383" s="40" t="str">
        <f>IF(Таблица310[[#This Row],[Площадь уборки, га]]=Таблица310[[#This Row],[Площадь уборки до корр]],"нет","да")</f>
        <v>нет</v>
      </c>
      <c r="AN383" s="45">
        <f>Таблица310[[#This Row],[Площадь уборки до корр]]-Таблица310[[#This Row],[Площадь уборки, га]]</f>
        <v>0</v>
      </c>
      <c r="AQ383" t="s">
        <v>1100</v>
      </c>
      <c r="AR383">
        <v>15</v>
      </c>
      <c r="AS383">
        <v>1.6540821482711325</v>
      </c>
      <c r="AT383" t="s">
        <v>52</v>
      </c>
    </row>
    <row r="384" spans="1:46" ht="33.75" hidden="1" x14ac:dyDescent="0.25">
      <c r="A384" s="40"/>
      <c r="B384" s="41"/>
      <c r="C384" s="120">
        <f>Таблица310[[#This Row],[Степень зрелости вспом]]</f>
        <v>58</v>
      </c>
      <c r="D384" s="42" t="s">
        <v>1101</v>
      </c>
      <c r="E384" s="147">
        <v>45827</v>
      </c>
      <c r="F384" s="41">
        <v>27650</v>
      </c>
      <c r="G384" s="41">
        <v>12990</v>
      </c>
      <c r="H384" s="69">
        <v>14660</v>
      </c>
      <c r="I384" s="41">
        <v>12145.6</v>
      </c>
      <c r="J384" s="40" t="s">
        <v>914</v>
      </c>
      <c r="K384" s="40" t="s">
        <v>909</v>
      </c>
      <c r="L384" s="40">
        <v>15</v>
      </c>
      <c r="M384" s="35" t="s">
        <v>239</v>
      </c>
      <c r="N384" s="40"/>
      <c r="O384" s="40"/>
      <c r="P384" s="40"/>
      <c r="Q384" s="40"/>
      <c r="R384" s="40" t="s">
        <v>243</v>
      </c>
      <c r="S384" s="40"/>
      <c r="T384" s="40">
        <v>15</v>
      </c>
      <c r="U384" s="68" t="str">
        <f>Таблица310[[#This Row],[Регистратор.Номенклатура]]</f>
        <v>Тристар</v>
      </c>
      <c r="V384" s="45">
        <f>36*Таблица310[[#This Row],[Регистратор.Вес нетто]]/277060</f>
        <v>1.687865444308092</v>
      </c>
      <c r="W384" s="40" t="s">
        <v>52</v>
      </c>
      <c r="X384" s="40" t="s">
        <v>178</v>
      </c>
      <c r="Y384" s="40">
        <v>4</v>
      </c>
      <c r="Z384" s="103">
        <v>45826</v>
      </c>
      <c r="AA384" s="40"/>
      <c r="AB384" s="40"/>
      <c r="AC384" s="40" t="s">
        <v>724</v>
      </c>
      <c r="AD384" s="40" t="s">
        <v>511</v>
      </c>
      <c r="AE384" s="40" t="s">
        <v>1101</v>
      </c>
      <c r="AF384" s="103">
        <v>45827</v>
      </c>
      <c r="AG384" s="40">
        <v>54929</v>
      </c>
      <c r="AH384" s="40">
        <f>VLOOKUP(Таблица310[[#This Row],[№ акта]],'Степень зрелости 2025'!$H$13:$I$583,2,FALSE)</f>
        <v>58</v>
      </c>
      <c r="AI384" s="40">
        <f>VLOOKUP(Таблица310[[#This Row],[№ акта]],$AQ$1:$AT$594,2,FALSE)</f>
        <v>15</v>
      </c>
      <c r="AJ384" s="40" t="str">
        <f>Таблица310[[#This Row],[Регистратор.Номенклатура]]</f>
        <v>Тристар</v>
      </c>
      <c r="AK384" s="40" t="str">
        <f>VLOOKUP(Таблица310[[#This Row],[№ акта]],$AQ$1:$AT$594,4,FALSE)</f>
        <v>Агролидер (полив)</v>
      </c>
      <c r="AL384" s="45">
        <f>VLOOKUP(Таблица310[[#This Row],[№ акта]],$AQ$1:$AT$594,3,FALSE)</f>
        <v>1.687865444308092</v>
      </c>
      <c r="AM384" s="40" t="str">
        <f>IF(Таблица310[[#This Row],[Площадь уборки, га]]=Таблица310[[#This Row],[Площадь уборки до корр]],"нет","да")</f>
        <v>нет</v>
      </c>
      <c r="AN384" s="45">
        <f>Таблица310[[#This Row],[Площадь уборки до корр]]-Таблица310[[#This Row],[Площадь уборки, га]]</f>
        <v>0</v>
      </c>
      <c r="AQ384" t="s">
        <v>1101</v>
      </c>
      <c r="AR384">
        <v>15</v>
      </c>
      <c r="AS384">
        <v>1.687865444308092</v>
      </c>
      <c r="AT384" t="s">
        <v>52</v>
      </c>
    </row>
    <row r="385" spans="1:46" ht="22.5" hidden="1" x14ac:dyDescent="0.25">
      <c r="A385" s="40"/>
      <c r="B385" s="41"/>
      <c r="C385" s="120">
        <f>Таблица310[[#This Row],[Степень зрелости вспом]]</f>
        <v>56</v>
      </c>
      <c r="D385" s="42" t="s">
        <v>1102</v>
      </c>
      <c r="E385" s="147">
        <v>45827</v>
      </c>
      <c r="F385" s="41">
        <v>28680</v>
      </c>
      <c r="G385" s="41">
        <v>13700</v>
      </c>
      <c r="H385" s="69">
        <v>14980</v>
      </c>
      <c r="I385" s="41">
        <v>12535.5</v>
      </c>
      <c r="J385" s="40" t="s">
        <v>914</v>
      </c>
      <c r="K385" s="40" t="s">
        <v>909</v>
      </c>
      <c r="L385" s="40">
        <v>15</v>
      </c>
      <c r="M385" s="35" t="s">
        <v>894</v>
      </c>
      <c r="N385" s="40"/>
      <c r="O385" s="40"/>
      <c r="P385" s="40"/>
      <c r="Q385" s="40"/>
      <c r="R385" s="40" t="s">
        <v>895</v>
      </c>
      <c r="S385" s="40"/>
      <c r="T385" s="40">
        <v>15</v>
      </c>
      <c r="U385" s="68" t="str">
        <f>Таблица310[[#This Row],[Регистратор.Номенклатура]]</f>
        <v>Тристар</v>
      </c>
      <c r="V385" s="45">
        <f>36*Таблица310[[#This Row],[Регистратор.Вес нетто]]/277060</f>
        <v>1.7801198296397893</v>
      </c>
      <c r="W385" s="40" t="s">
        <v>52</v>
      </c>
      <c r="X385" s="40" t="s">
        <v>178</v>
      </c>
      <c r="Y385" s="40">
        <v>4</v>
      </c>
      <c r="Z385" s="103">
        <v>45826</v>
      </c>
      <c r="AA385" s="40"/>
      <c r="AB385" s="40"/>
      <c r="AC385" s="40" t="s">
        <v>724</v>
      </c>
      <c r="AD385" s="40" t="s">
        <v>511</v>
      </c>
      <c r="AE385" s="40" t="s">
        <v>1102</v>
      </c>
      <c r="AF385" s="103">
        <v>45827</v>
      </c>
      <c r="AG385" s="40">
        <v>54930</v>
      </c>
      <c r="AH385" s="40">
        <f>VLOOKUP(Таблица310[[#This Row],[№ акта]],'Степень зрелости 2025'!$H$13:$I$583,2,FALSE)</f>
        <v>56</v>
      </c>
      <c r="AI385" s="40">
        <f>VLOOKUP(Таблица310[[#This Row],[№ акта]],$AQ$1:$AT$594,2,FALSE)</f>
        <v>15</v>
      </c>
      <c r="AJ385" s="40" t="str">
        <f>Таблица310[[#This Row],[Регистратор.Номенклатура]]</f>
        <v>Тристар</v>
      </c>
      <c r="AK385" s="40" t="str">
        <f>VLOOKUP(Таблица310[[#This Row],[№ акта]],$AQ$1:$AT$594,4,FALSE)</f>
        <v>Агролидер (полив)</v>
      </c>
      <c r="AL385" s="45">
        <f>VLOOKUP(Таблица310[[#This Row],[№ акта]],$AQ$1:$AT$594,3,FALSE)</f>
        <v>1.7801198296397893</v>
      </c>
      <c r="AM385" s="40" t="str">
        <f>IF(Таблица310[[#This Row],[Площадь уборки, га]]=Таблица310[[#This Row],[Площадь уборки до корр]],"нет","да")</f>
        <v>нет</v>
      </c>
      <c r="AN385" s="45">
        <f>Таблица310[[#This Row],[Площадь уборки до корр]]-Таблица310[[#This Row],[Площадь уборки, га]]</f>
        <v>0</v>
      </c>
      <c r="AQ385" t="s">
        <v>1102</v>
      </c>
      <c r="AR385">
        <v>15</v>
      </c>
      <c r="AS385">
        <v>1.7801198296397893</v>
      </c>
      <c r="AT385" t="s">
        <v>52</v>
      </c>
    </row>
    <row r="386" spans="1:46" ht="22.5" hidden="1" x14ac:dyDescent="0.25">
      <c r="A386" s="40"/>
      <c r="B386" s="41"/>
      <c r="C386" s="120">
        <v>58</v>
      </c>
      <c r="D386" s="42" t="s">
        <v>1103</v>
      </c>
      <c r="E386" s="147">
        <v>45827</v>
      </c>
      <c r="F386" s="41">
        <v>27300</v>
      </c>
      <c r="G386" s="41">
        <v>12790</v>
      </c>
      <c r="H386" s="69">
        <v>14510</v>
      </c>
      <c r="I386" s="41">
        <v>11958.6</v>
      </c>
      <c r="J386" s="40" t="s">
        <v>914</v>
      </c>
      <c r="K386" s="40" t="s">
        <v>909</v>
      </c>
      <c r="L386" s="40">
        <v>16</v>
      </c>
      <c r="M386" s="35" t="s">
        <v>1312</v>
      </c>
      <c r="N386" s="40"/>
      <c r="O386" s="40"/>
      <c r="P386" s="40"/>
      <c r="Q386" s="40"/>
      <c r="R386" s="40" t="s">
        <v>320</v>
      </c>
      <c r="S386" s="40"/>
      <c r="T386" s="40">
        <v>16</v>
      </c>
      <c r="U386" s="68" t="str">
        <f>Таблица310[[#This Row],[Регистратор.Номенклатура]]</f>
        <v>Тристар</v>
      </c>
      <c r="V386" s="45">
        <f>36*Таблица310[[#This Row],[Регистратор.Вес нетто]]/277060</f>
        <v>1.661878293510431</v>
      </c>
      <c r="W386" s="40" t="s">
        <v>52</v>
      </c>
      <c r="X386" s="40" t="s">
        <v>178</v>
      </c>
      <c r="Y386" s="40">
        <v>4</v>
      </c>
      <c r="Z386" s="103">
        <v>45826</v>
      </c>
      <c r="AA386" s="40"/>
      <c r="AB386" s="40"/>
      <c r="AC386" s="40" t="s">
        <v>724</v>
      </c>
      <c r="AD386" s="40" t="s">
        <v>511</v>
      </c>
      <c r="AE386" s="40" t="s">
        <v>1103</v>
      </c>
      <c r="AF386" s="103">
        <v>45827</v>
      </c>
      <c r="AG386" s="40">
        <v>54930</v>
      </c>
      <c r="AH386" s="40" t="e">
        <f>VLOOKUP(Таблица310[[#This Row],[№ акта]],'Степень зрелости 2025'!$H$13:$I$583,2,FALSE)</f>
        <v>#N/A</v>
      </c>
      <c r="AI386" s="40">
        <f>VLOOKUP(Таблица310[[#This Row],[№ акта]],$AQ$1:$AT$594,2,FALSE)</f>
        <v>16</v>
      </c>
      <c r="AJ386" s="40" t="str">
        <f>Таблица310[[#This Row],[Регистратор.Номенклатура]]</f>
        <v>Тристар</v>
      </c>
      <c r="AK386" s="40" t="str">
        <f>VLOOKUP(Таблица310[[#This Row],[№ акта]],$AQ$1:$AT$594,4,FALSE)</f>
        <v>Агролидер (полив)</v>
      </c>
      <c r="AL386" s="45">
        <f>VLOOKUP(Таблица310[[#This Row],[№ акта]],$AQ$1:$AT$594,3,FALSE)</f>
        <v>1.661878293510431</v>
      </c>
      <c r="AM386" s="40" t="str">
        <f>IF(Таблица310[[#This Row],[Площадь уборки, га]]=Таблица310[[#This Row],[Площадь уборки до корр]],"нет","да")</f>
        <v>нет</v>
      </c>
      <c r="AN386" s="45">
        <f>Таблица310[[#This Row],[Площадь уборки до корр]]-Таблица310[[#This Row],[Площадь уборки, га]]</f>
        <v>0</v>
      </c>
      <c r="AQ386" t="s">
        <v>1103</v>
      </c>
      <c r="AR386">
        <v>16</v>
      </c>
      <c r="AS386">
        <v>1.661878293510431</v>
      </c>
      <c r="AT386" t="s">
        <v>52</v>
      </c>
    </row>
    <row r="387" spans="1:46" ht="33.75" hidden="1" x14ac:dyDescent="0.25">
      <c r="A387" s="40"/>
      <c r="B387" s="41"/>
      <c r="C387" s="120">
        <v>60</v>
      </c>
      <c r="D387" s="42" t="s">
        <v>1127</v>
      </c>
      <c r="E387" s="147">
        <v>45827</v>
      </c>
      <c r="F387" s="41">
        <v>28560</v>
      </c>
      <c r="G387" s="41">
        <v>13000</v>
      </c>
      <c r="H387" s="69">
        <v>15560</v>
      </c>
      <c r="I387" s="41">
        <v>11895</v>
      </c>
      <c r="J387" s="40" t="s">
        <v>914</v>
      </c>
      <c r="K387" s="40" t="s">
        <v>909</v>
      </c>
      <c r="L387" s="40">
        <v>16</v>
      </c>
      <c r="M387" s="35" t="s">
        <v>244</v>
      </c>
      <c r="N387" s="40"/>
      <c r="O387" s="40"/>
      <c r="P387" s="40"/>
      <c r="Q387" s="40"/>
      <c r="R387" s="40" t="s">
        <v>248</v>
      </c>
      <c r="S387" s="40"/>
      <c r="T387" s="40">
        <v>16</v>
      </c>
      <c r="U387" s="68" t="str">
        <f>Таблица310[[#This Row],[Регистратор.Номенклатура]]</f>
        <v>Тристар</v>
      </c>
      <c r="V387" s="45">
        <f>28.3*Таблица310[[#This Row],[Регистратор.Вес нетто]]/252430</f>
        <v>1.4574337440082399</v>
      </c>
      <c r="W387" s="40" t="s">
        <v>52</v>
      </c>
      <c r="X387" s="40" t="s">
        <v>178</v>
      </c>
      <c r="Y387" s="40">
        <v>5</v>
      </c>
      <c r="Z387" s="103">
        <v>45827</v>
      </c>
      <c r="AA387" s="40"/>
      <c r="AB387" s="40"/>
      <c r="AC387" s="40" t="s">
        <v>724</v>
      </c>
      <c r="AD387" s="40" t="s">
        <v>511</v>
      </c>
      <c r="AE387" s="42" t="s">
        <v>1127</v>
      </c>
      <c r="AF387" s="103">
        <v>45827</v>
      </c>
      <c r="AG387" s="40">
        <v>54931</v>
      </c>
      <c r="AH387" s="40" t="e">
        <f>VLOOKUP(Таблица310[[#This Row],[№ акта]],'Степень зрелости 2025'!$H$13:$I$583,2,FALSE)</f>
        <v>#N/A</v>
      </c>
      <c r="AI387" s="40">
        <f>VLOOKUP(Таблица310[[#This Row],[№ акта]],$AQ$1:$AT$594,2,FALSE)</f>
        <v>16</v>
      </c>
      <c r="AJ387" s="40" t="str">
        <f>Таблица310[[#This Row],[Регистратор.Номенклатура]]</f>
        <v>Тристар</v>
      </c>
      <c r="AK387" s="40" t="str">
        <f>VLOOKUP(Таблица310[[#This Row],[№ акта]],$AQ$1:$AT$594,4,FALSE)</f>
        <v>Агролидер (полив)</v>
      </c>
      <c r="AL387" s="45">
        <f>VLOOKUP(Таблица310[[#This Row],[№ акта]],$AQ$1:$AT$594,3,FALSE)</f>
        <v>1.4574337440082399</v>
      </c>
      <c r="AM387" s="40" t="str">
        <f>IF(Таблица310[[#This Row],[Площадь уборки, га]]=Таблица310[[#This Row],[Площадь уборки до корр]],"нет","да")</f>
        <v>нет</v>
      </c>
      <c r="AN387" s="45">
        <f>Таблица310[[#This Row],[Площадь уборки до корр]]-Таблица310[[#This Row],[Площадь уборки, га]]</f>
        <v>0</v>
      </c>
      <c r="AQ387" t="s">
        <v>1127</v>
      </c>
      <c r="AR387">
        <v>16</v>
      </c>
      <c r="AS387">
        <v>1.4574337440082399</v>
      </c>
      <c r="AT387" t="s">
        <v>52</v>
      </c>
    </row>
    <row r="388" spans="1:46" ht="22.5" hidden="1" x14ac:dyDescent="0.25">
      <c r="A388" s="40"/>
      <c r="B388" s="41"/>
      <c r="C388" s="120">
        <v>54</v>
      </c>
      <c r="D388" s="42" t="s">
        <v>1128</v>
      </c>
      <c r="E388" s="147">
        <v>45827</v>
      </c>
      <c r="F388" s="41">
        <v>27680</v>
      </c>
      <c r="G388" s="41">
        <v>13020</v>
      </c>
      <c r="H388" s="69">
        <v>14660</v>
      </c>
      <c r="I388" s="41">
        <v>12043.5</v>
      </c>
      <c r="J388" s="40" t="s">
        <v>914</v>
      </c>
      <c r="K388" s="40" t="s">
        <v>909</v>
      </c>
      <c r="L388" s="40">
        <v>16</v>
      </c>
      <c r="M388" s="35" t="s">
        <v>335</v>
      </c>
      <c r="N388" s="40"/>
      <c r="O388" s="40"/>
      <c r="P388" s="40"/>
      <c r="Q388" s="40"/>
      <c r="R388" s="40" t="s">
        <v>339</v>
      </c>
      <c r="S388" s="40"/>
      <c r="T388" s="40">
        <v>16</v>
      </c>
      <c r="U388" s="68" t="str">
        <f>Таблица310[[#This Row],[Регистратор.Номенклатура]]</f>
        <v>Тристар</v>
      </c>
      <c r="V388" s="45">
        <f>28.3*Таблица310[[#This Row],[Регистратор.Вес нетто]]/252430</f>
        <v>1.4596759497682525</v>
      </c>
      <c r="W388" s="40" t="s">
        <v>52</v>
      </c>
      <c r="X388" s="40" t="s">
        <v>178</v>
      </c>
      <c r="Y388" s="40">
        <v>5</v>
      </c>
      <c r="Z388" s="103">
        <v>45827</v>
      </c>
      <c r="AA388" s="40"/>
      <c r="AB388" s="40"/>
      <c r="AC388" s="40" t="s">
        <v>724</v>
      </c>
      <c r="AD388" s="40" t="s">
        <v>511</v>
      </c>
      <c r="AE388" s="42" t="s">
        <v>1128</v>
      </c>
      <c r="AF388" s="103">
        <v>45827</v>
      </c>
      <c r="AG388" s="40">
        <v>54931</v>
      </c>
      <c r="AH388" s="40" t="e">
        <f>VLOOKUP(Таблица310[[#This Row],[№ акта]],'Степень зрелости 2025'!$H$13:$I$583,2,FALSE)</f>
        <v>#N/A</v>
      </c>
      <c r="AI388" s="40">
        <f>VLOOKUP(Таблица310[[#This Row],[№ акта]],$AQ$1:$AT$594,2,FALSE)</f>
        <v>16</v>
      </c>
      <c r="AJ388" s="40" t="str">
        <f>Таблица310[[#This Row],[Регистратор.Номенклатура]]</f>
        <v>Тристар</v>
      </c>
      <c r="AK388" s="40" t="str">
        <f>VLOOKUP(Таблица310[[#This Row],[№ акта]],$AQ$1:$AT$594,4,FALSE)</f>
        <v>Агролидер (полив)</v>
      </c>
      <c r="AL388" s="45">
        <f>VLOOKUP(Таблица310[[#This Row],[№ акта]],$AQ$1:$AT$594,3,FALSE)</f>
        <v>1.4596759497682525</v>
      </c>
      <c r="AM388" s="40" t="str">
        <f>IF(Таблица310[[#This Row],[Площадь уборки, га]]=Таблица310[[#This Row],[Площадь уборки до корр]],"нет","да")</f>
        <v>нет</v>
      </c>
      <c r="AN388" s="45">
        <f>Таблица310[[#This Row],[Площадь уборки до корр]]-Таблица310[[#This Row],[Площадь уборки, га]]</f>
        <v>0</v>
      </c>
      <c r="AQ388" t="s">
        <v>1128</v>
      </c>
      <c r="AR388">
        <v>16</v>
      </c>
      <c r="AS388">
        <v>1.4596759497682525</v>
      </c>
      <c r="AT388" t="s">
        <v>52</v>
      </c>
    </row>
    <row r="389" spans="1:46" ht="22.5" hidden="1" x14ac:dyDescent="0.25">
      <c r="A389" s="40"/>
      <c r="B389" s="41"/>
      <c r="C389" s="120">
        <v>58</v>
      </c>
      <c r="D389" s="42" t="s">
        <v>1129</v>
      </c>
      <c r="E389" s="147">
        <v>45827</v>
      </c>
      <c r="F389" s="41">
        <v>37000</v>
      </c>
      <c r="G389" s="41">
        <v>13040</v>
      </c>
      <c r="H389" s="69">
        <v>23960</v>
      </c>
      <c r="I389" s="41">
        <v>12192.4</v>
      </c>
      <c r="J389" s="40" t="s">
        <v>914</v>
      </c>
      <c r="K389" s="40" t="s">
        <v>909</v>
      </c>
      <c r="L389" s="40">
        <v>16</v>
      </c>
      <c r="M389" s="35" t="s">
        <v>160</v>
      </c>
      <c r="N389" s="40"/>
      <c r="O389" s="40"/>
      <c r="P389" s="40"/>
      <c r="Q389" s="40"/>
      <c r="R389" s="40" t="s">
        <v>164</v>
      </c>
      <c r="S389" s="40"/>
      <c r="T389" s="40">
        <v>16</v>
      </c>
      <c r="U389" s="68" t="str">
        <f>Таблица310[[#This Row],[Регистратор.Номенклатура]]</f>
        <v>Тристар</v>
      </c>
      <c r="V389" s="45">
        <f>28.3*Таблица310[[#This Row],[Регистратор.Вес нетто]]/252430</f>
        <v>1.4619181555282652</v>
      </c>
      <c r="W389" s="40" t="s">
        <v>52</v>
      </c>
      <c r="X389" s="40" t="s">
        <v>178</v>
      </c>
      <c r="Y389" s="40">
        <v>5</v>
      </c>
      <c r="Z389" s="103">
        <v>45827</v>
      </c>
      <c r="AA389" s="40"/>
      <c r="AB389" s="40"/>
      <c r="AC389" s="40" t="s">
        <v>724</v>
      </c>
      <c r="AD389" s="40" t="s">
        <v>511</v>
      </c>
      <c r="AE389" s="42" t="s">
        <v>1129</v>
      </c>
      <c r="AF389" s="103">
        <v>45827</v>
      </c>
      <c r="AG389" s="40">
        <v>54933</v>
      </c>
      <c r="AH389" s="40" t="e">
        <f>VLOOKUP(Таблица310[[#This Row],[№ акта]],'Степень зрелости 2025'!$H$13:$I$583,2,FALSE)</f>
        <v>#N/A</v>
      </c>
      <c r="AI389" s="40">
        <f>VLOOKUP(Таблица310[[#This Row],[№ акта]],$AQ$1:$AT$594,2,FALSE)</f>
        <v>16</v>
      </c>
      <c r="AJ389" s="40" t="str">
        <f>Таблица310[[#This Row],[Регистратор.Номенклатура]]</f>
        <v>Тристар</v>
      </c>
      <c r="AK389" s="40" t="str">
        <f>VLOOKUP(Таблица310[[#This Row],[№ акта]],$AQ$1:$AT$594,4,FALSE)</f>
        <v>Агролидер (полив)</v>
      </c>
      <c r="AL389" s="45">
        <f>VLOOKUP(Таблица310[[#This Row],[№ акта]],$AQ$1:$AT$594,3,FALSE)</f>
        <v>1.4619181555282652</v>
      </c>
      <c r="AM389" s="40" t="str">
        <f>IF(Таблица310[[#This Row],[Площадь уборки, га]]=Таблица310[[#This Row],[Площадь уборки до корр]],"нет","да")</f>
        <v>нет</v>
      </c>
      <c r="AN389" s="45">
        <f>Таблица310[[#This Row],[Площадь уборки до корр]]-Таблица310[[#This Row],[Площадь уборки, га]]</f>
        <v>0</v>
      </c>
      <c r="AQ389" t="s">
        <v>1129</v>
      </c>
      <c r="AR389">
        <v>16</v>
      </c>
      <c r="AS389">
        <v>1.4619181555282652</v>
      </c>
      <c r="AT389" t="s">
        <v>52</v>
      </c>
    </row>
    <row r="390" spans="1:46" ht="22.5" hidden="1" x14ac:dyDescent="0.25">
      <c r="A390" s="40"/>
      <c r="B390" s="41"/>
      <c r="C390" s="120">
        <v>60</v>
      </c>
      <c r="D390" s="42" t="s">
        <v>1130</v>
      </c>
      <c r="E390" s="147">
        <v>45827</v>
      </c>
      <c r="F390" s="41">
        <v>28150</v>
      </c>
      <c r="G390" s="41">
        <v>13190</v>
      </c>
      <c r="H390" s="69">
        <v>14960</v>
      </c>
      <c r="I390" s="41">
        <v>12068.8</v>
      </c>
      <c r="J390" s="40" t="s">
        <v>914</v>
      </c>
      <c r="K390" s="40" t="s">
        <v>909</v>
      </c>
      <c r="L390" s="40">
        <v>16</v>
      </c>
      <c r="M390" s="35" t="s">
        <v>151</v>
      </c>
      <c r="N390" s="40"/>
      <c r="O390" s="40"/>
      <c r="P390" s="40"/>
      <c r="Q390" s="40"/>
      <c r="R390" s="40" t="s">
        <v>155</v>
      </c>
      <c r="S390" s="40"/>
      <c r="T390" s="40">
        <v>16</v>
      </c>
      <c r="U390" s="68" t="str">
        <f>Таблица310[[#This Row],[Регистратор.Номенклатура]]</f>
        <v>Тристар</v>
      </c>
      <c r="V390" s="45">
        <f>28.3*Таблица310[[#This Row],[Регистратор.Вес нетто]]/252430</f>
        <v>1.4787346987283603</v>
      </c>
      <c r="W390" s="40" t="s">
        <v>52</v>
      </c>
      <c r="X390" s="40" t="s">
        <v>178</v>
      </c>
      <c r="Y390" s="40">
        <v>5</v>
      </c>
      <c r="Z390" s="103">
        <v>45827</v>
      </c>
      <c r="AA390" s="40"/>
      <c r="AB390" s="40"/>
      <c r="AC390" s="40" t="s">
        <v>724</v>
      </c>
      <c r="AD390" s="40" t="s">
        <v>511</v>
      </c>
      <c r="AE390" s="42" t="s">
        <v>1130</v>
      </c>
      <c r="AF390" s="103">
        <v>45827</v>
      </c>
      <c r="AG390" s="40">
        <v>54934</v>
      </c>
      <c r="AH390" s="40" t="e">
        <f>VLOOKUP(Таблица310[[#This Row],[№ акта]],'Степень зрелости 2025'!$H$13:$I$583,2,FALSE)</f>
        <v>#N/A</v>
      </c>
      <c r="AI390" s="40">
        <f>VLOOKUP(Таблица310[[#This Row],[№ акта]],$AQ$1:$AT$594,2,FALSE)</f>
        <v>16</v>
      </c>
      <c r="AJ390" s="40" t="str">
        <f>Таблица310[[#This Row],[Регистратор.Номенклатура]]</f>
        <v>Тристар</v>
      </c>
      <c r="AK390" s="40" t="str">
        <f>VLOOKUP(Таблица310[[#This Row],[№ акта]],$AQ$1:$AT$594,4,FALSE)</f>
        <v>Агролидер (полив)</v>
      </c>
      <c r="AL390" s="45">
        <f>VLOOKUP(Таблица310[[#This Row],[№ акта]],$AQ$1:$AT$594,3,FALSE)</f>
        <v>1.4787346987283603</v>
      </c>
      <c r="AM390" s="40" t="str">
        <f>IF(Таблица310[[#This Row],[Площадь уборки, га]]=Таблица310[[#This Row],[Площадь уборки до корр]],"нет","да")</f>
        <v>нет</v>
      </c>
      <c r="AN390" s="45">
        <f>Таблица310[[#This Row],[Площадь уборки до корр]]-Таблица310[[#This Row],[Площадь уборки, га]]</f>
        <v>0</v>
      </c>
      <c r="AQ390" t="s">
        <v>1130</v>
      </c>
      <c r="AR390">
        <v>16</v>
      </c>
      <c r="AS390">
        <v>1.4787346987283603</v>
      </c>
      <c r="AT390" t="s">
        <v>52</v>
      </c>
    </row>
    <row r="391" spans="1:46" ht="33.75" hidden="1" x14ac:dyDescent="0.25">
      <c r="A391" s="40"/>
      <c r="B391" s="41"/>
      <c r="C391" s="120">
        <v>60</v>
      </c>
      <c r="D391" s="42" t="s">
        <v>1131</v>
      </c>
      <c r="E391" s="147">
        <v>45827</v>
      </c>
      <c r="F391" s="41">
        <v>27940</v>
      </c>
      <c r="G391" s="41">
        <v>13370</v>
      </c>
      <c r="H391" s="69">
        <v>14570</v>
      </c>
      <c r="I391" s="41">
        <v>12099.8</v>
      </c>
      <c r="J391" s="40" t="s">
        <v>914</v>
      </c>
      <c r="K391" s="40" t="s">
        <v>909</v>
      </c>
      <c r="L391" s="40">
        <v>16</v>
      </c>
      <c r="M391" s="35" t="s">
        <v>121</v>
      </c>
      <c r="N391" s="40"/>
      <c r="O391" s="40"/>
      <c r="P391" s="40"/>
      <c r="Q391" s="40"/>
      <c r="R391" s="40" t="s">
        <v>125</v>
      </c>
      <c r="S391" s="40"/>
      <c r="T391" s="40">
        <v>16</v>
      </c>
      <c r="U391" s="68" t="str">
        <f>Таблица310[[#This Row],[Регистратор.Номенклатура]]</f>
        <v>Тристар</v>
      </c>
      <c r="V391" s="45">
        <f>28.3*Таблица310[[#This Row],[Регистратор.Вес нетто]]/252430</f>
        <v>1.4989145505684744</v>
      </c>
      <c r="W391" s="40" t="s">
        <v>52</v>
      </c>
      <c r="X391" s="40" t="s">
        <v>178</v>
      </c>
      <c r="Y391" s="40">
        <v>5</v>
      </c>
      <c r="Z391" s="103">
        <v>45827</v>
      </c>
      <c r="AA391" s="40"/>
      <c r="AB391" s="40"/>
      <c r="AC391" s="40" t="s">
        <v>724</v>
      </c>
      <c r="AD391" s="40" t="s">
        <v>511</v>
      </c>
      <c r="AE391" s="42" t="s">
        <v>1131</v>
      </c>
      <c r="AF391" s="103">
        <v>45827</v>
      </c>
      <c r="AG391" s="40">
        <v>54934</v>
      </c>
      <c r="AH391" s="40" t="e">
        <f>VLOOKUP(Таблица310[[#This Row],[№ акта]],'Степень зрелости 2025'!$H$13:$I$583,2,FALSE)</f>
        <v>#N/A</v>
      </c>
      <c r="AI391" s="40">
        <f>VLOOKUP(Таблица310[[#This Row],[№ акта]],$AQ$1:$AT$594,2,FALSE)</f>
        <v>16</v>
      </c>
      <c r="AJ391" s="40" t="str">
        <f>Таблица310[[#This Row],[Регистратор.Номенклатура]]</f>
        <v>Тристар</v>
      </c>
      <c r="AK391" s="40" t="str">
        <f>VLOOKUP(Таблица310[[#This Row],[№ акта]],$AQ$1:$AT$594,4,FALSE)</f>
        <v>Агролидер (полив)</v>
      </c>
      <c r="AL391" s="45">
        <f>VLOOKUP(Таблица310[[#This Row],[№ акта]],$AQ$1:$AT$594,3,FALSE)</f>
        <v>1.4989145505684744</v>
      </c>
      <c r="AM391" s="40" t="str">
        <f>IF(Таблица310[[#This Row],[Площадь уборки, га]]=Таблица310[[#This Row],[Площадь уборки до корр]],"нет","да")</f>
        <v>нет</v>
      </c>
      <c r="AN391" s="45">
        <f>Таблица310[[#This Row],[Площадь уборки до корр]]-Таблица310[[#This Row],[Площадь уборки, га]]</f>
        <v>0</v>
      </c>
      <c r="AQ391" t="s">
        <v>1131</v>
      </c>
      <c r="AR391">
        <v>16</v>
      </c>
      <c r="AS391">
        <v>1.4989145505684744</v>
      </c>
      <c r="AT391" t="s">
        <v>52</v>
      </c>
    </row>
    <row r="392" spans="1:46" ht="33.75" hidden="1" x14ac:dyDescent="0.25">
      <c r="A392" s="40"/>
      <c r="B392" s="41"/>
      <c r="C392" s="120">
        <v>56</v>
      </c>
      <c r="D392" s="42" t="s">
        <v>1132</v>
      </c>
      <c r="E392" s="147">
        <v>45827</v>
      </c>
      <c r="F392" s="41">
        <v>28260</v>
      </c>
      <c r="G392" s="41">
        <v>13300</v>
      </c>
      <c r="H392" s="69">
        <v>14960</v>
      </c>
      <c r="I392" s="41">
        <v>11571</v>
      </c>
      <c r="J392" s="40" t="s">
        <v>914</v>
      </c>
      <c r="K392" s="40" t="s">
        <v>909</v>
      </c>
      <c r="L392" s="40">
        <v>16</v>
      </c>
      <c r="M392" s="35" t="s">
        <v>311</v>
      </c>
      <c r="N392" s="40"/>
      <c r="O392" s="40"/>
      <c r="P392" s="40"/>
      <c r="Q392" s="40"/>
      <c r="R392" s="40" t="s">
        <v>315</v>
      </c>
      <c r="S392" s="40"/>
      <c r="T392" s="40">
        <v>16</v>
      </c>
      <c r="U392" s="68" t="str">
        <f>Таблица310[[#This Row],[Регистратор.Номенклатура]]</f>
        <v>Тристар</v>
      </c>
      <c r="V392" s="45">
        <f>28.3*Таблица310[[#This Row],[Регистратор.Вес нетто]]/252430</f>
        <v>1.49106683040843</v>
      </c>
      <c r="W392" s="40" t="s">
        <v>52</v>
      </c>
      <c r="X392" s="40" t="s">
        <v>178</v>
      </c>
      <c r="Y392" s="40">
        <v>5</v>
      </c>
      <c r="Z392" s="103">
        <v>45827</v>
      </c>
      <c r="AA392" s="40"/>
      <c r="AB392" s="40"/>
      <c r="AC392" s="40" t="s">
        <v>724</v>
      </c>
      <c r="AD392" s="40" t="s">
        <v>511</v>
      </c>
      <c r="AE392" s="42" t="s">
        <v>1132</v>
      </c>
      <c r="AF392" s="103">
        <v>45827</v>
      </c>
      <c r="AG392" s="40">
        <v>54934</v>
      </c>
      <c r="AH392" s="40" t="e">
        <f>VLOOKUP(Таблица310[[#This Row],[№ акта]],'Степень зрелости 2025'!$H$13:$I$583,2,FALSE)</f>
        <v>#N/A</v>
      </c>
      <c r="AI392" s="40">
        <f>VLOOKUP(Таблица310[[#This Row],[№ акта]],$AQ$1:$AT$594,2,FALSE)</f>
        <v>16</v>
      </c>
      <c r="AJ392" s="40" t="str">
        <f>Таблица310[[#This Row],[Регистратор.Номенклатура]]</f>
        <v>Тристар</v>
      </c>
      <c r="AK392" s="40" t="str">
        <f>VLOOKUP(Таблица310[[#This Row],[№ акта]],$AQ$1:$AT$594,4,FALSE)</f>
        <v>Агролидер (полив)</v>
      </c>
      <c r="AL392" s="45">
        <f>VLOOKUP(Таблица310[[#This Row],[№ акта]],$AQ$1:$AT$594,3,FALSE)</f>
        <v>1.49106683040843</v>
      </c>
      <c r="AM392" s="40" t="str">
        <f>IF(Таблица310[[#This Row],[Площадь уборки, га]]=Таблица310[[#This Row],[Площадь уборки до корр]],"нет","да")</f>
        <v>нет</v>
      </c>
      <c r="AN392" s="45">
        <f>Таблица310[[#This Row],[Площадь уборки до корр]]-Таблица310[[#This Row],[Площадь уборки, га]]</f>
        <v>0</v>
      </c>
      <c r="AQ392" t="s">
        <v>1132</v>
      </c>
      <c r="AR392">
        <v>16</v>
      </c>
      <c r="AS392">
        <v>1.49106683040843</v>
      </c>
      <c r="AT392" t="s">
        <v>52</v>
      </c>
    </row>
    <row r="393" spans="1:46" ht="22.5" hidden="1" x14ac:dyDescent="0.25">
      <c r="A393" s="40"/>
      <c r="B393" s="41"/>
      <c r="C393" s="40">
        <f>VLOOKUP(Таблица310[[#This Row],[№ акта]],'Степень зрелости 2025'!$H$13:$I$391,2,FALSE)</f>
        <v>58</v>
      </c>
      <c r="D393" s="42" t="s">
        <v>1133</v>
      </c>
      <c r="E393" s="147">
        <v>45827</v>
      </c>
      <c r="F393" s="41">
        <v>34460</v>
      </c>
      <c r="G393" s="41">
        <v>13430</v>
      </c>
      <c r="H393" s="69">
        <v>21030</v>
      </c>
      <c r="I393" s="41">
        <v>11751.2</v>
      </c>
      <c r="J393" s="40" t="s">
        <v>914</v>
      </c>
      <c r="K393" s="40" t="s">
        <v>909</v>
      </c>
      <c r="L393" s="40">
        <v>16</v>
      </c>
      <c r="M393" s="35" t="s">
        <v>1152</v>
      </c>
      <c r="N393" s="40"/>
      <c r="O393" s="40"/>
      <c r="P393" s="40"/>
      <c r="Q393" s="40"/>
      <c r="R393" s="40" t="s">
        <v>119</v>
      </c>
      <c r="S393" s="40"/>
      <c r="T393" s="40">
        <v>16</v>
      </c>
      <c r="U393" s="68" t="str">
        <f>Таблица310[[#This Row],[Регистратор.Номенклатура]]</f>
        <v>Тристар</v>
      </c>
      <c r="V393" s="45">
        <f>28.3*Таблица310[[#This Row],[Регистратор.Вес нетто]]/252430</f>
        <v>1.5056411678485124</v>
      </c>
      <c r="W393" s="40" t="s">
        <v>52</v>
      </c>
      <c r="X393" s="40" t="s">
        <v>178</v>
      </c>
      <c r="Y393" s="40">
        <v>5</v>
      </c>
      <c r="Z393" s="103">
        <v>45827</v>
      </c>
      <c r="AA393" s="40"/>
      <c r="AB393" s="40"/>
      <c r="AC393" s="40" t="s">
        <v>724</v>
      </c>
      <c r="AD393" s="40" t="s">
        <v>511</v>
      </c>
      <c r="AE393" s="42" t="s">
        <v>1133</v>
      </c>
      <c r="AF393" s="103">
        <v>45827</v>
      </c>
      <c r="AG393" s="40">
        <v>54936</v>
      </c>
      <c r="AH393" s="40">
        <f>VLOOKUP(Таблица310[[#This Row],[№ акта]],'Степень зрелости 2025'!$H$13:$I$583,2,FALSE)</f>
        <v>58</v>
      </c>
      <c r="AI393" s="40">
        <f>VLOOKUP(Таблица310[[#This Row],[№ акта]],$AQ$1:$AT$594,2,FALSE)</f>
        <v>16</v>
      </c>
      <c r="AJ393" s="40" t="str">
        <f>Таблица310[[#This Row],[Регистратор.Номенклатура]]</f>
        <v>Тристар</v>
      </c>
      <c r="AK393" s="40" t="str">
        <f>VLOOKUP(Таблица310[[#This Row],[№ акта]],$AQ$1:$AT$594,4,FALSE)</f>
        <v>Агролидер (полив)</v>
      </c>
      <c r="AL393" s="45">
        <f>VLOOKUP(Таблица310[[#This Row],[№ акта]],$AQ$1:$AT$594,3,FALSE)</f>
        <v>1.5056411678485124</v>
      </c>
      <c r="AM393" s="40" t="str">
        <f>IF(Таблица310[[#This Row],[Площадь уборки, га]]=Таблица310[[#This Row],[Площадь уборки до корр]],"нет","да")</f>
        <v>нет</v>
      </c>
      <c r="AN393" s="45">
        <f>Таблица310[[#This Row],[Площадь уборки до корр]]-Таблица310[[#This Row],[Площадь уборки, га]]</f>
        <v>0</v>
      </c>
      <c r="AQ393" t="s">
        <v>1133</v>
      </c>
      <c r="AR393">
        <v>16</v>
      </c>
      <c r="AS393">
        <v>1.5056411678485124</v>
      </c>
      <c r="AT393" t="s">
        <v>52</v>
      </c>
    </row>
    <row r="394" spans="1:46" ht="33.75" hidden="1" x14ac:dyDescent="0.25">
      <c r="A394" s="40"/>
      <c r="B394" s="41"/>
      <c r="C394" s="40">
        <f>VLOOKUP(Таблица310[[#This Row],[№ акта]],'Степень зрелости 2025'!$H$13:$I$391,2,FALSE)</f>
        <v>58</v>
      </c>
      <c r="D394" s="42" t="s">
        <v>1134</v>
      </c>
      <c r="E394" s="147">
        <v>45827</v>
      </c>
      <c r="F394" s="41">
        <v>27940</v>
      </c>
      <c r="G394" s="41">
        <v>13350</v>
      </c>
      <c r="H394" s="69">
        <v>14590</v>
      </c>
      <c r="I394" s="41">
        <v>12081.7</v>
      </c>
      <c r="J394" s="40" t="s">
        <v>914</v>
      </c>
      <c r="K394" s="40" t="s">
        <v>909</v>
      </c>
      <c r="L394" s="40">
        <v>16</v>
      </c>
      <c r="M394" s="35" t="s">
        <v>239</v>
      </c>
      <c r="N394" s="40"/>
      <c r="O394" s="40"/>
      <c r="P394" s="40"/>
      <c r="Q394" s="40"/>
      <c r="R394" s="40" t="s">
        <v>243</v>
      </c>
      <c r="S394" s="40"/>
      <c r="T394" s="40">
        <v>16</v>
      </c>
      <c r="U394" s="68" t="str">
        <f>Таблица310[[#This Row],[Регистратор.Номенклатура]]</f>
        <v>Тристар</v>
      </c>
      <c r="V394" s="45">
        <f>28.3*Таблица310[[#This Row],[Регистратор.Вес нетто]]/252430</f>
        <v>1.4966723448084618</v>
      </c>
      <c r="W394" s="40" t="s">
        <v>52</v>
      </c>
      <c r="X394" s="40" t="s">
        <v>178</v>
      </c>
      <c r="Y394" s="40">
        <v>5</v>
      </c>
      <c r="Z394" s="103">
        <v>45827</v>
      </c>
      <c r="AA394" s="40"/>
      <c r="AB394" s="40"/>
      <c r="AC394" s="40" t="s">
        <v>724</v>
      </c>
      <c r="AD394" s="40" t="s">
        <v>511</v>
      </c>
      <c r="AE394" s="42" t="s">
        <v>1134</v>
      </c>
      <c r="AF394" s="103">
        <v>45827</v>
      </c>
      <c r="AG394" s="40">
        <v>54935</v>
      </c>
      <c r="AH394" s="40">
        <f>VLOOKUP(Таблица310[[#This Row],[№ акта]],'Степень зрелости 2025'!$H$13:$I$583,2,FALSE)</f>
        <v>58</v>
      </c>
      <c r="AI394" s="40">
        <f>VLOOKUP(Таблица310[[#This Row],[№ акта]],$AQ$1:$AT$594,2,FALSE)</f>
        <v>16</v>
      </c>
      <c r="AJ394" s="40" t="str">
        <f>Таблица310[[#This Row],[Регистратор.Номенклатура]]</f>
        <v>Тристар</v>
      </c>
      <c r="AK394" s="40" t="str">
        <f>VLOOKUP(Таблица310[[#This Row],[№ акта]],$AQ$1:$AT$594,4,FALSE)</f>
        <v>Агролидер (полив)</v>
      </c>
      <c r="AL394" s="45">
        <f>VLOOKUP(Таблица310[[#This Row],[№ акта]],$AQ$1:$AT$594,3,FALSE)</f>
        <v>1.4966723448084618</v>
      </c>
      <c r="AM394" s="40" t="str">
        <f>IF(Таблица310[[#This Row],[Площадь уборки, га]]=Таблица310[[#This Row],[Площадь уборки до корр]],"нет","да")</f>
        <v>нет</v>
      </c>
      <c r="AN394" s="45">
        <f>Таблица310[[#This Row],[Площадь уборки до корр]]-Таблица310[[#This Row],[Площадь уборки, га]]</f>
        <v>0</v>
      </c>
      <c r="AQ394" t="s">
        <v>1134</v>
      </c>
      <c r="AR394">
        <v>16</v>
      </c>
      <c r="AS394">
        <v>1.4966723448084618</v>
      </c>
      <c r="AT394" t="s">
        <v>52</v>
      </c>
    </row>
    <row r="395" spans="1:46" ht="22.5" hidden="1" x14ac:dyDescent="0.25">
      <c r="A395" s="40"/>
      <c r="B395" s="41"/>
      <c r="C395" s="40">
        <f>VLOOKUP(Таблица310[[#This Row],[№ акта]],'Степень зрелости 2025'!$H$13:$I$391,2,FALSE)</f>
        <v>58</v>
      </c>
      <c r="D395" s="42" t="s">
        <v>1135</v>
      </c>
      <c r="E395" s="147">
        <v>45827</v>
      </c>
      <c r="F395" s="41">
        <v>27200</v>
      </c>
      <c r="G395" s="41">
        <v>13400</v>
      </c>
      <c r="H395" s="69">
        <v>13800</v>
      </c>
      <c r="I395" s="41">
        <v>11993</v>
      </c>
      <c r="J395" s="40" t="s">
        <v>914</v>
      </c>
      <c r="K395" s="40" t="s">
        <v>909</v>
      </c>
      <c r="L395" s="40">
        <v>16</v>
      </c>
      <c r="M395" s="35" t="s">
        <v>212</v>
      </c>
      <c r="N395" s="40"/>
      <c r="O395" s="40"/>
      <c r="P395" s="40"/>
      <c r="Q395" s="40"/>
      <c r="R395" s="40" t="s">
        <v>216</v>
      </c>
      <c r="S395" s="40"/>
      <c r="T395" s="40">
        <v>16</v>
      </c>
      <c r="U395" s="68" t="str">
        <f>Таблица310[[#This Row],[Регистратор.Номенклатура]]</f>
        <v>Тристар</v>
      </c>
      <c r="V395" s="45">
        <f>28.3*Таблица310[[#This Row],[Регистратор.Вес нетто]]/252430</f>
        <v>1.5022778592084935</v>
      </c>
      <c r="W395" s="40" t="s">
        <v>52</v>
      </c>
      <c r="X395" s="40" t="s">
        <v>178</v>
      </c>
      <c r="Y395" s="40">
        <v>5</v>
      </c>
      <c r="Z395" s="103">
        <v>45827</v>
      </c>
      <c r="AA395" s="40"/>
      <c r="AB395" s="40"/>
      <c r="AC395" s="40" t="s">
        <v>724</v>
      </c>
      <c r="AD395" s="40" t="s">
        <v>511</v>
      </c>
      <c r="AE395" s="42" t="s">
        <v>1135</v>
      </c>
      <c r="AF395" s="103">
        <v>45827</v>
      </c>
      <c r="AG395" s="40">
        <v>54936</v>
      </c>
      <c r="AH395" s="40">
        <f>VLOOKUP(Таблица310[[#This Row],[№ акта]],'Степень зрелости 2025'!$H$13:$I$583,2,FALSE)</f>
        <v>58</v>
      </c>
      <c r="AI395" s="40">
        <f>VLOOKUP(Таблица310[[#This Row],[№ акта]],$AQ$1:$AT$594,2,FALSE)</f>
        <v>16</v>
      </c>
      <c r="AJ395" s="40" t="str">
        <f>Таблица310[[#This Row],[Регистратор.Номенклатура]]</f>
        <v>Тристар</v>
      </c>
      <c r="AK395" s="40" t="str">
        <f>VLOOKUP(Таблица310[[#This Row],[№ акта]],$AQ$1:$AT$594,4,FALSE)</f>
        <v>Агролидер (полив)</v>
      </c>
      <c r="AL395" s="45">
        <f>VLOOKUP(Таблица310[[#This Row],[№ акта]],$AQ$1:$AT$594,3,FALSE)</f>
        <v>1.5022778592084935</v>
      </c>
      <c r="AM395" s="40" t="str">
        <f>IF(Таблица310[[#This Row],[Площадь уборки, га]]=Таблица310[[#This Row],[Площадь уборки до корр]],"нет","да")</f>
        <v>нет</v>
      </c>
      <c r="AN395" s="45">
        <f>Таблица310[[#This Row],[Площадь уборки до корр]]-Таблица310[[#This Row],[Площадь уборки, га]]</f>
        <v>0</v>
      </c>
      <c r="AQ395" t="s">
        <v>1135</v>
      </c>
      <c r="AR395">
        <v>16</v>
      </c>
      <c r="AS395">
        <v>1.5022778592084935</v>
      </c>
      <c r="AT395" t="s">
        <v>52</v>
      </c>
    </row>
    <row r="396" spans="1:46" ht="33.75" hidden="1" x14ac:dyDescent="0.25">
      <c r="A396" s="40"/>
      <c r="B396" s="41"/>
      <c r="C396" s="40">
        <f>VLOOKUP(Таблица310[[#This Row],[№ акта]],'Степень зрелости 2025'!$H$13:$I$391,2,FALSE)</f>
        <v>58</v>
      </c>
      <c r="D396" s="42" t="s">
        <v>1136</v>
      </c>
      <c r="E396" s="147">
        <v>45827</v>
      </c>
      <c r="F396" s="41">
        <v>29170</v>
      </c>
      <c r="G396" s="41">
        <v>13670</v>
      </c>
      <c r="H396" s="69">
        <v>15500</v>
      </c>
      <c r="I396" s="41">
        <v>12644.7</v>
      </c>
      <c r="J396" s="40" t="s">
        <v>914</v>
      </c>
      <c r="K396" s="40" t="s">
        <v>909</v>
      </c>
      <c r="L396" s="40">
        <v>16</v>
      </c>
      <c r="M396" s="35" t="s">
        <v>244</v>
      </c>
      <c r="N396" s="40"/>
      <c r="O396" s="40"/>
      <c r="P396" s="40"/>
      <c r="Q396" s="40"/>
      <c r="R396" s="40" t="s">
        <v>248</v>
      </c>
      <c r="S396" s="40"/>
      <c r="T396" s="40">
        <v>16</v>
      </c>
      <c r="U396" s="68" t="str">
        <f>Таблица310[[#This Row],[Регистратор.Номенклатура]]</f>
        <v>Тристар</v>
      </c>
      <c r="V396" s="45">
        <f>28.3*Таблица310[[#This Row],[Регистратор.Вес нетто]]/252430</f>
        <v>1.5325476369686646</v>
      </c>
      <c r="W396" s="40" t="s">
        <v>52</v>
      </c>
      <c r="X396" s="40" t="s">
        <v>178</v>
      </c>
      <c r="Y396" s="40">
        <v>5</v>
      </c>
      <c r="Z396" s="103">
        <v>45827</v>
      </c>
      <c r="AA396" s="40"/>
      <c r="AB396" s="40"/>
      <c r="AC396" s="40" t="s">
        <v>724</v>
      </c>
      <c r="AD396" s="40" t="s">
        <v>511</v>
      </c>
      <c r="AE396" s="42" t="s">
        <v>1136</v>
      </c>
      <c r="AF396" s="103">
        <v>45827</v>
      </c>
      <c r="AG396" s="40">
        <v>54937</v>
      </c>
      <c r="AH396" s="40">
        <f>VLOOKUP(Таблица310[[#This Row],[№ акта]],'Степень зрелости 2025'!$H$13:$I$583,2,FALSE)</f>
        <v>58</v>
      </c>
      <c r="AI396" s="40">
        <f>VLOOKUP(Таблица310[[#This Row],[№ акта]],$AQ$1:$AT$594,2,FALSE)</f>
        <v>16</v>
      </c>
      <c r="AJ396" s="40" t="str">
        <f>Таблица310[[#This Row],[Регистратор.Номенклатура]]</f>
        <v>Тристар</v>
      </c>
      <c r="AK396" s="40" t="str">
        <f>VLOOKUP(Таблица310[[#This Row],[№ акта]],$AQ$1:$AT$594,4,FALSE)</f>
        <v>Агролидер (полив)</v>
      </c>
      <c r="AL396" s="45">
        <f>VLOOKUP(Таблица310[[#This Row],[№ акта]],$AQ$1:$AT$594,3,FALSE)</f>
        <v>1.5325476369686646</v>
      </c>
      <c r="AM396" s="40" t="str">
        <f>IF(Таблица310[[#This Row],[Площадь уборки, га]]=Таблица310[[#This Row],[Площадь уборки до корр]],"нет","да")</f>
        <v>нет</v>
      </c>
      <c r="AN396" s="45">
        <f>Таблица310[[#This Row],[Площадь уборки до корр]]-Таблица310[[#This Row],[Площадь уборки, га]]</f>
        <v>0</v>
      </c>
      <c r="AQ396" t="s">
        <v>1136</v>
      </c>
      <c r="AR396">
        <v>16</v>
      </c>
      <c r="AS396">
        <v>1.5325476369686646</v>
      </c>
      <c r="AT396" t="s">
        <v>52</v>
      </c>
    </row>
    <row r="397" spans="1:46" ht="22.5" hidden="1" x14ac:dyDescent="0.25">
      <c r="A397" s="40"/>
      <c r="B397" s="41"/>
      <c r="C397" s="40">
        <f>VLOOKUP(Таблица310[[#This Row],[№ акта]],'Степень зрелости 2025'!$H$13:$I$391,2,FALSE)</f>
        <v>63</v>
      </c>
      <c r="D397" s="42" t="s">
        <v>1137</v>
      </c>
      <c r="E397" s="147">
        <v>45827</v>
      </c>
      <c r="F397" s="41">
        <v>28460</v>
      </c>
      <c r="G397" s="41">
        <v>13560</v>
      </c>
      <c r="H397" s="69">
        <v>14900</v>
      </c>
      <c r="I397" s="41">
        <v>12678.6</v>
      </c>
      <c r="J397" s="40" t="s">
        <v>914</v>
      </c>
      <c r="K397" s="40" t="s">
        <v>909</v>
      </c>
      <c r="L397" s="40">
        <v>16</v>
      </c>
      <c r="M397" s="35" t="s">
        <v>894</v>
      </c>
      <c r="N397" s="40"/>
      <c r="O397" s="40"/>
      <c r="P397" s="40"/>
      <c r="Q397" s="40"/>
      <c r="R397" s="40" t="s">
        <v>895</v>
      </c>
      <c r="S397" s="40"/>
      <c r="T397" s="40">
        <v>16</v>
      </c>
      <c r="U397" s="68" t="str">
        <f>Таблица310[[#This Row],[Регистратор.Номенклатура]]</f>
        <v>Тристар</v>
      </c>
      <c r="V397" s="45">
        <f>28.3*Таблица310[[#This Row],[Регистратор.Вес нетто]]/252430</f>
        <v>1.5202155052885948</v>
      </c>
      <c r="W397" s="40" t="s">
        <v>52</v>
      </c>
      <c r="X397" s="40" t="s">
        <v>178</v>
      </c>
      <c r="Y397" s="40">
        <v>5</v>
      </c>
      <c r="Z397" s="103">
        <v>45827</v>
      </c>
      <c r="AA397" s="40"/>
      <c r="AB397" s="40"/>
      <c r="AC397" s="40" t="s">
        <v>724</v>
      </c>
      <c r="AD397" s="40" t="s">
        <v>511</v>
      </c>
      <c r="AE397" s="42" t="s">
        <v>1137</v>
      </c>
      <c r="AF397" s="103">
        <v>45827</v>
      </c>
      <c r="AG397" s="40">
        <v>54937</v>
      </c>
      <c r="AH397" s="40">
        <f>VLOOKUP(Таблица310[[#This Row],[№ акта]],'Степень зрелости 2025'!$H$13:$I$583,2,FALSE)</f>
        <v>63</v>
      </c>
      <c r="AI397" s="40">
        <f>VLOOKUP(Таблица310[[#This Row],[№ акта]],$AQ$1:$AT$594,2,FALSE)</f>
        <v>16</v>
      </c>
      <c r="AJ397" s="40" t="str">
        <f>Таблица310[[#This Row],[Регистратор.Номенклатура]]</f>
        <v>Тристар</v>
      </c>
      <c r="AK397" s="40" t="str">
        <f>VLOOKUP(Таблица310[[#This Row],[№ акта]],$AQ$1:$AT$594,4,FALSE)</f>
        <v>Агролидер (полив)</v>
      </c>
      <c r="AL397" s="45">
        <f>VLOOKUP(Таблица310[[#This Row],[№ акта]],$AQ$1:$AT$594,3,FALSE)</f>
        <v>1.5202155052885948</v>
      </c>
      <c r="AM397" s="40" t="str">
        <f>IF(Таблица310[[#This Row],[Площадь уборки, га]]=Таблица310[[#This Row],[Площадь уборки до корр]],"нет","да")</f>
        <v>нет</v>
      </c>
      <c r="AN397" s="45">
        <f>Таблица310[[#This Row],[Площадь уборки до корр]]-Таблица310[[#This Row],[Площадь уборки, га]]</f>
        <v>0</v>
      </c>
      <c r="AQ397" t="s">
        <v>1137</v>
      </c>
      <c r="AR397">
        <v>16</v>
      </c>
      <c r="AS397">
        <v>1.5202155052885948</v>
      </c>
      <c r="AT397" t="s">
        <v>52</v>
      </c>
    </row>
    <row r="398" spans="1:46" ht="22.5" hidden="1" x14ac:dyDescent="0.25">
      <c r="A398" s="40"/>
      <c r="B398" s="41"/>
      <c r="C398" s="40">
        <v>62</v>
      </c>
      <c r="D398" s="42" t="s">
        <v>1138</v>
      </c>
      <c r="E398" s="147">
        <v>45827</v>
      </c>
      <c r="F398" s="41">
        <v>27920</v>
      </c>
      <c r="G398" s="41">
        <v>13520</v>
      </c>
      <c r="H398" s="69">
        <v>14400</v>
      </c>
      <c r="I398" s="41">
        <v>12235.6</v>
      </c>
      <c r="J398" s="40" t="s">
        <v>914</v>
      </c>
      <c r="K398" s="40" t="s">
        <v>909</v>
      </c>
      <c r="L398" s="40">
        <v>16</v>
      </c>
      <c r="M398" s="35" t="s">
        <v>1312</v>
      </c>
      <c r="N398" s="40"/>
      <c r="O398" s="40"/>
      <c r="P398" s="40"/>
      <c r="Q398" s="40"/>
      <c r="R398" s="40" t="s">
        <v>320</v>
      </c>
      <c r="S398" s="40"/>
      <c r="T398" s="40">
        <v>16</v>
      </c>
      <c r="U398" s="68" t="str">
        <f>Таблица310[[#This Row],[Регистратор.Номенклатура]]</f>
        <v>Тристар</v>
      </c>
      <c r="V398" s="45">
        <f>28.3*Таблица310[[#This Row],[Регистратор.Вес нетто]]/252430</f>
        <v>1.5157310937685695</v>
      </c>
      <c r="W398" s="40" t="s">
        <v>52</v>
      </c>
      <c r="X398" s="40" t="s">
        <v>178</v>
      </c>
      <c r="Y398" s="40">
        <v>5</v>
      </c>
      <c r="Z398" s="103">
        <v>45827</v>
      </c>
      <c r="AA398" s="40"/>
      <c r="AB398" s="40"/>
      <c r="AC398" s="40" t="s">
        <v>724</v>
      </c>
      <c r="AD398" s="40" t="s">
        <v>511</v>
      </c>
      <c r="AE398" s="42" t="s">
        <v>1138</v>
      </c>
      <c r="AF398" s="103">
        <v>45827</v>
      </c>
      <c r="AG398" s="40">
        <v>54937</v>
      </c>
      <c r="AH398" s="40">
        <f>VLOOKUP(Таблица310[[#This Row],[№ акта]],'Степень зрелости 2025'!$H$13:$I$583,2,FALSE)</f>
        <v>62</v>
      </c>
      <c r="AI398" s="40">
        <f>VLOOKUP(Таблица310[[#This Row],[№ акта]],$AQ$1:$AT$594,2,FALSE)</f>
        <v>16</v>
      </c>
      <c r="AJ398" s="40" t="str">
        <f>Таблица310[[#This Row],[Регистратор.Номенклатура]]</f>
        <v>Тристар</v>
      </c>
      <c r="AK398" s="40" t="str">
        <f>VLOOKUP(Таблица310[[#This Row],[№ акта]],$AQ$1:$AT$594,4,FALSE)</f>
        <v>Агролидер (полив)</v>
      </c>
      <c r="AL398" s="45">
        <f>VLOOKUP(Таблица310[[#This Row],[№ акта]],$AQ$1:$AT$594,3,FALSE)</f>
        <v>1.5157310937685695</v>
      </c>
      <c r="AM398" s="40" t="str">
        <f>IF(Таблица310[[#This Row],[Площадь уборки, га]]=Таблица310[[#This Row],[Площадь уборки до корр]],"нет","да")</f>
        <v>нет</v>
      </c>
      <c r="AN398" s="45">
        <f>Таблица310[[#This Row],[Площадь уборки до корр]]-Таблица310[[#This Row],[Площадь уборки, га]]</f>
        <v>0</v>
      </c>
      <c r="AQ398" t="s">
        <v>1138</v>
      </c>
      <c r="AR398">
        <v>16</v>
      </c>
      <c r="AS398">
        <v>1.5157310937685695</v>
      </c>
      <c r="AT398" t="s">
        <v>52</v>
      </c>
    </row>
    <row r="399" spans="1:46" ht="22.5" hidden="1" x14ac:dyDescent="0.25">
      <c r="A399" s="40"/>
      <c r="B399" s="41"/>
      <c r="C399" s="40">
        <v>62</v>
      </c>
      <c r="D399" s="42" t="s">
        <v>1139</v>
      </c>
      <c r="E399" s="147">
        <v>45827</v>
      </c>
      <c r="F399" s="41">
        <v>28110</v>
      </c>
      <c r="G399" s="41">
        <v>13380</v>
      </c>
      <c r="H399" s="69">
        <v>14730</v>
      </c>
      <c r="I399" s="41">
        <v>12242.7</v>
      </c>
      <c r="J399" s="40" t="s">
        <v>914</v>
      </c>
      <c r="K399" s="40" t="s">
        <v>909</v>
      </c>
      <c r="L399" s="40">
        <v>16</v>
      </c>
      <c r="M399" s="35" t="s">
        <v>335</v>
      </c>
      <c r="N399" s="40"/>
      <c r="O399" s="40"/>
      <c r="P399" s="40"/>
      <c r="Q399" s="40"/>
      <c r="R399" s="40" t="s">
        <v>339</v>
      </c>
      <c r="S399" s="40"/>
      <c r="T399" s="40">
        <v>16</v>
      </c>
      <c r="U399" s="68" t="str">
        <f>Таблица310[[#This Row],[Регистратор.Номенклатура]]</f>
        <v>Тристар</v>
      </c>
      <c r="V399" s="45">
        <f>28.3*Таблица310[[#This Row],[Регистратор.Вес нетто]]/252430</f>
        <v>1.5000356534484807</v>
      </c>
      <c r="W399" s="40" t="s">
        <v>52</v>
      </c>
      <c r="X399" s="40" t="s">
        <v>178</v>
      </c>
      <c r="Y399" s="40">
        <v>5</v>
      </c>
      <c r="Z399" s="103">
        <v>45827</v>
      </c>
      <c r="AA399" s="40"/>
      <c r="AB399" s="40"/>
      <c r="AC399" s="40" t="s">
        <v>724</v>
      </c>
      <c r="AD399" s="40" t="s">
        <v>511</v>
      </c>
      <c r="AE399" s="42" t="s">
        <v>1139</v>
      </c>
      <c r="AF399" s="103">
        <v>45827</v>
      </c>
      <c r="AG399" s="40">
        <v>54938</v>
      </c>
      <c r="AH399" s="40">
        <f>VLOOKUP(Таблица310[[#This Row],[№ акта]],'Степень зрелости 2025'!$H$13:$I$583,2,FALSE)</f>
        <v>62</v>
      </c>
      <c r="AI399" s="40">
        <f>VLOOKUP(Таблица310[[#This Row],[№ акта]],$AQ$1:$AT$594,2,FALSE)</f>
        <v>16</v>
      </c>
      <c r="AJ399" s="40" t="str">
        <f>Таблица310[[#This Row],[Регистратор.Номенклатура]]</f>
        <v>Тристар</v>
      </c>
      <c r="AK399" s="40" t="str">
        <f>VLOOKUP(Таблица310[[#This Row],[№ акта]],$AQ$1:$AT$594,4,FALSE)</f>
        <v>Агролидер (полив)</v>
      </c>
      <c r="AL399" s="45">
        <f>VLOOKUP(Таблица310[[#This Row],[№ акта]],$AQ$1:$AT$594,3,FALSE)</f>
        <v>1.5000356534484807</v>
      </c>
      <c r="AM399" s="40" t="str">
        <f>IF(Таблица310[[#This Row],[Площадь уборки, га]]=Таблица310[[#This Row],[Площадь уборки до корр]],"нет","да")</f>
        <v>нет</v>
      </c>
      <c r="AN399" s="45">
        <f>Таблица310[[#This Row],[Площадь уборки до корр]]-Таблица310[[#This Row],[Площадь уборки, га]]</f>
        <v>0</v>
      </c>
      <c r="AQ399" t="s">
        <v>1139</v>
      </c>
      <c r="AR399">
        <v>16</v>
      </c>
      <c r="AS399">
        <v>1.5000356534484807</v>
      </c>
      <c r="AT399" t="s">
        <v>52</v>
      </c>
    </row>
    <row r="400" spans="1:46" ht="22.5" hidden="1" x14ac:dyDescent="0.25">
      <c r="A400" s="40"/>
      <c r="B400" s="41"/>
      <c r="C400" s="40">
        <f>VLOOKUP(Таблица310[[#This Row],[№ акта]],'Степень зрелости 2025'!$H$13:$I$391,2,FALSE)</f>
        <v>65</v>
      </c>
      <c r="D400" s="42" t="s">
        <v>1140</v>
      </c>
      <c r="E400" s="147">
        <v>45827</v>
      </c>
      <c r="F400" s="41">
        <v>28060</v>
      </c>
      <c r="G400" s="41">
        <v>13170</v>
      </c>
      <c r="H400" s="69">
        <v>14890</v>
      </c>
      <c r="I400" s="41">
        <v>12313.9</v>
      </c>
      <c r="J400" s="40" t="s">
        <v>914</v>
      </c>
      <c r="K400" s="40" t="s">
        <v>909</v>
      </c>
      <c r="L400" s="40">
        <v>16</v>
      </c>
      <c r="M400" s="35" t="s">
        <v>151</v>
      </c>
      <c r="N400" s="40"/>
      <c r="O400" s="40"/>
      <c r="P400" s="40"/>
      <c r="Q400" s="40"/>
      <c r="R400" s="40" t="s">
        <v>155</v>
      </c>
      <c r="S400" s="40"/>
      <c r="T400" s="40">
        <v>16</v>
      </c>
      <c r="U400" s="68" t="str">
        <f>Таблица310[[#This Row],[Регистратор.Номенклатура]]</f>
        <v>Тристар</v>
      </c>
      <c r="V400" s="45">
        <f>28.3*Таблица310[[#This Row],[Регистратор.Вес нетто]]/252430</f>
        <v>1.4764924929683476</v>
      </c>
      <c r="W400" s="40" t="s">
        <v>52</v>
      </c>
      <c r="X400" s="40" t="s">
        <v>178</v>
      </c>
      <c r="Y400" s="40">
        <v>5</v>
      </c>
      <c r="Z400" s="103">
        <v>45827</v>
      </c>
      <c r="AA400" s="40"/>
      <c r="AB400" s="40"/>
      <c r="AC400" s="40" t="s">
        <v>725</v>
      </c>
      <c r="AD400" s="40" t="s">
        <v>550</v>
      </c>
      <c r="AE400" s="42" t="s">
        <v>1140</v>
      </c>
      <c r="AF400" s="103">
        <v>45827</v>
      </c>
      <c r="AG400" s="40">
        <v>54938</v>
      </c>
      <c r="AH400" s="40">
        <f>VLOOKUP(Таблица310[[#This Row],[№ акта]],'Степень зрелости 2025'!$H$13:$I$583,2,FALSE)</f>
        <v>65</v>
      </c>
      <c r="AI400" s="40">
        <f>VLOOKUP(Таблица310[[#This Row],[№ акта]],$AQ$1:$AT$594,2,FALSE)</f>
        <v>16</v>
      </c>
      <c r="AJ400" s="40" t="str">
        <f>Таблица310[[#This Row],[Регистратор.Номенклатура]]</f>
        <v>Тристар</v>
      </c>
      <c r="AK400" s="40" t="str">
        <f>VLOOKUP(Таблица310[[#This Row],[№ акта]],$AQ$1:$AT$594,4,FALSE)</f>
        <v>Агролидер (полив)</v>
      </c>
      <c r="AL400" s="45">
        <f>VLOOKUP(Таблица310[[#This Row],[№ акта]],$AQ$1:$AT$594,3,FALSE)</f>
        <v>1.4764924929683476</v>
      </c>
      <c r="AM400" s="40" t="str">
        <f>IF(Таблица310[[#This Row],[Площадь уборки, га]]=Таблица310[[#This Row],[Площадь уборки до корр]],"нет","да")</f>
        <v>нет</v>
      </c>
      <c r="AN400" s="45">
        <f>Таблица310[[#This Row],[Площадь уборки до корр]]-Таблица310[[#This Row],[Площадь уборки, га]]</f>
        <v>0</v>
      </c>
      <c r="AQ400" t="s">
        <v>1140</v>
      </c>
      <c r="AR400">
        <v>16</v>
      </c>
      <c r="AS400">
        <v>1.4764924929683476</v>
      </c>
      <c r="AT400" t="s">
        <v>52</v>
      </c>
    </row>
    <row r="401" spans="1:46" ht="33.75" hidden="1" x14ac:dyDescent="0.25">
      <c r="A401" s="40"/>
      <c r="B401" s="41"/>
      <c r="C401" s="40">
        <f>VLOOKUP(Таблица310[[#This Row],[№ акта]],'Степень зрелости 2025'!$H$13:$I$391,2,FALSE)</f>
        <v>65</v>
      </c>
      <c r="D401" s="42" t="s">
        <v>1141</v>
      </c>
      <c r="E401" s="147">
        <v>45827</v>
      </c>
      <c r="F401" s="41">
        <v>28140</v>
      </c>
      <c r="G401" s="41">
        <v>13120</v>
      </c>
      <c r="H401" s="69">
        <v>15020</v>
      </c>
      <c r="I401" s="41">
        <v>12398.4</v>
      </c>
      <c r="J401" s="40" t="s">
        <v>914</v>
      </c>
      <c r="K401" s="40" t="s">
        <v>909</v>
      </c>
      <c r="L401" s="40">
        <v>16</v>
      </c>
      <c r="M401" s="35" t="s">
        <v>311</v>
      </c>
      <c r="N401" s="40"/>
      <c r="O401" s="40"/>
      <c r="P401" s="40"/>
      <c r="Q401" s="40"/>
      <c r="R401" s="40" t="s">
        <v>315</v>
      </c>
      <c r="S401" s="40"/>
      <c r="T401" s="40">
        <v>16</v>
      </c>
      <c r="U401" s="68" t="str">
        <f>Таблица310[[#This Row],[Регистратор.Номенклатура]]</f>
        <v>Тристар</v>
      </c>
      <c r="V401" s="45">
        <f>28.3*Таблица310[[#This Row],[Регистратор.Вес нетто]]/252430</f>
        <v>1.4708869785683161</v>
      </c>
      <c r="W401" s="40" t="s">
        <v>52</v>
      </c>
      <c r="X401" s="40" t="s">
        <v>178</v>
      </c>
      <c r="Y401" s="40">
        <v>5</v>
      </c>
      <c r="Z401" s="103">
        <v>45827</v>
      </c>
      <c r="AA401" s="40"/>
      <c r="AB401" s="40"/>
      <c r="AC401" s="40" t="s">
        <v>725</v>
      </c>
      <c r="AD401" s="40" t="s">
        <v>550</v>
      </c>
      <c r="AE401" s="42" t="s">
        <v>1141</v>
      </c>
      <c r="AF401" s="103">
        <v>45827</v>
      </c>
      <c r="AG401" s="40">
        <v>54939</v>
      </c>
      <c r="AH401" s="40">
        <f>VLOOKUP(Таблица310[[#This Row],[№ акта]],'Степень зрелости 2025'!$H$13:$I$583,2,FALSE)</f>
        <v>65</v>
      </c>
      <c r="AI401" s="40">
        <f>VLOOKUP(Таблица310[[#This Row],[№ акта]],$AQ$1:$AT$594,2,FALSE)</f>
        <v>16</v>
      </c>
      <c r="AJ401" s="40" t="str">
        <f>Таблица310[[#This Row],[Регистратор.Номенклатура]]</f>
        <v>Тристар</v>
      </c>
      <c r="AK401" s="40" t="str">
        <f>VLOOKUP(Таблица310[[#This Row],[№ акта]],$AQ$1:$AT$594,4,FALSE)</f>
        <v>Агролидер (полив)</v>
      </c>
      <c r="AL401" s="45">
        <f>VLOOKUP(Таблица310[[#This Row],[№ акта]],$AQ$1:$AT$594,3,FALSE)</f>
        <v>1.4708869785683161</v>
      </c>
      <c r="AM401" s="40" t="str">
        <f>IF(Таблица310[[#This Row],[Площадь уборки, га]]=Таблица310[[#This Row],[Площадь уборки до корр]],"нет","да")</f>
        <v>нет</v>
      </c>
      <c r="AN401" s="45">
        <f>Таблица310[[#This Row],[Площадь уборки до корр]]-Таблица310[[#This Row],[Площадь уборки, га]]</f>
        <v>0</v>
      </c>
      <c r="AQ401" t="s">
        <v>1141</v>
      </c>
      <c r="AR401">
        <v>16</v>
      </c>
      <c r="AS401">
        <v>1.4708869785683161</v>
      </c>
      <c r="AT401" t="s">
        <v>52</v>
      </c>
    </row>
    <row r="402" spans="1:46" ht="22.5" hidden="1" x14ac:dyDescent="0.25">
      <c r="A402" s="40"/>
      <c r="B402" s="41"/>
      <c r="C402" s="40">
        <f>VLOOKUP(Таблица310[[#This Row],[№ акта]],'Степень зрелости 2025'!$H$13:$I$391,2,FALSE)</f>
        <v>65</v>
      </c>
      <c r="D402" s="42" t="s">
        <v>1142</v>
      </c>
      <c r="E402" s="147">
        <v>45827</v>
      </c>
      <c r="F402" s="41">
        <v>37150</v>
      </c>
      <c r="G402" s="41">
        <v>13010</v>
      </c>
      <c r="H402" s="69">
        <v>24140</v>
      </c>
      <c r="I402" s="41">
        <v>12164.3</v>
      </c>
      <c r="J402" s="40" t="s">
        <v>914</v>
      </c>
      <c r="K402" s="40" t="s">
        <v>909</v>
      </c>
      <c r="L402" s="40">
        <v>16</v>
      </c>
      <c r="M402" s="35" t="s">
        <v>160</v>
      </c>
      <c r="N402" s="40"/>
      <c r="O402" s="40"/>
      <c r="P402" s="40"/>
      <c r="Q402" s="40"/>
      <c r="R402" s="40" t="s">
        <v>164</v>
      </c>
      <c r="S402" s="40"/>
      <c r="T402" s="40">
        <v>16</v>
      </c>
      <c r="U402" s="68" t="str">
        <f>Таблица310[[#This Row],[Регистратор.Номенклатура]]</f>
        <v>Тристар</v>
      </c>
      <c r="V402" s="45">
        <f>28.3*Таблица310[[#This Row],[Регистратор.Вес нетто]]/252430</f>
        <v>1.4585548468882463</v>
      </c>
      <c r="W402" s="40" t="s">
        <v>52</v>
      </c>
      <c r="X402" s="40" t="s">
        <v>178</v>
      </c>
      <c r="Y402" s="40">
        <v>5</v>
      </c>
      <c r="Z402" s="103">
        <v>45827</v>
      </c>
      <c r="AA402" s="40"/>
      <c r="AB402" s="40"/>
      <c r="AC402" s="40" t="s">
        <v>725</v>
      </c>
      <c r="AD402" s="40" t="s">
        <v>550</v>
      </c>
      <c r="AE402" s="42" t="s">
        <v>1142</v>
      </c>
      <c r="AF402" s="103">
        <v>45827</v>
      </c>
      <c r="AG402" s="40">
        <v>54939</v>
      </c>
      <c r="AH402" s="40">
        <f>VLOOKUP(Таблица310[[#This Row],[№ акта]],'Степень зрелости 2025'!$H$13:$I$583,2,FALSE)</f>
        <v>65</v>
      </c>
      <c r="AI402" s="40">
        <f>VLOOKUP(Таблица310[[#This Row],[№ акта]],$AQ$1:$AT$594,2,FALSE)</f>
        <v>16</v>
      </c>
      <c r="AJ402" s="40" t="str">
        <f>Таблица310[[#This Row],[Регистратор.Номенклатура]]</f>
        <v>Тристар</v>
      </c>
      <c r="AK402" s="40" t="str">
        <f>VLOOKUP(Таблица310[[#This Row],[№ акта]],$AQ$1:$AT$594,4,FALSE)</f>
        <v>Агролидер (полив)</v>
      </c>
      <c r="AL402" s="45">
        <f>VLOOKUP(Таблица310[[#This Row],[№ акта]],$AQ$1:$AT$594,3,FALSE)</f>
        <v>1.4585548468882463</v>
      </c>
      <c r="AM402" s="40" t="str">
        <f>IF(Таблица310[[#This Row],[Площадь уборки, га]]=Таблица310[[#This Row],[Площадь уборки до корр]],"нет","да")</f>
        <v>нет</v>
      </c>
      <c r="AN402" s="45">
        <f>Таблица310[[#This Row],[Площадь уборки до корр]]-Таблица310[[#This Row],[Площадь уборки, га]]</f>
        <v>0</v>
      </c>
      <c r="AQ402" t="s">
        <v>1142</v>
      </c>
      <c r="AR402">
        <v>16</v>
      </c>
      <c r="AS402">
        <v>1.4585548468882463</v>
      </c>
      <c r="AT402" t="s">
        <v>52</v>
      </c>
    </row>
    <row r="403" spans="1:46" ht="22.5" hidden="1" x14ac:dyDescent="0.25">
      <c r="A403" s="40"/>
      <c r="B403" s="41"/>
      <c r="C403" s="40">
        <f>VLOOKUP(Таблица310[[#This Row],[№ акта]],'Степень зрелости 2025'!$H$13:$I$391,2,FALSE)</f>
        <v>65</v>
      </c>
      <c r="D403" s="42" t="s">
        <v>1143</v>
      </c>
      <c r="E403" s="147">
        <v>45828</v>
      </c>
      <c r="F403" s="41">
        <v>31800</v>
      </c>
      <c r="G403" s="41">
        <v>13120</v>
      </c>
      <c r="H403" s="69">
        <v>18680</v>
      </c>
      <c r="I403" s="41">
        <v>12267.2</v>
      </c>
      <c r="J403" s="40" t="s">
        <v>914</v>
      </c>
      <c r="K403" s="40" t="s">
        <v>909</v>
      </c>
      <c r="L403" s="40">
        <v>16</v>
      </c>
      <c r="M403" s="35" t="s">
        <v>347</v>
      </c>
      <c r="N403" s="40"/>
      <c r="O403" s="40"/>
      <c r="P403" s="40"/>
      <c r="Q403" s="40"/>
      <c r="R403" s="40" t="s">
        <v>351</v>
      </c>
      <c r="S403" s="40"/>
      <c r="T403" s="40">
        <v>16</v>
      </c>
      <c r="U403" s="68" t="str">
        <f>Таблица310[[#This Row],[Регистратор.Номенклатура]]</f>
        <v>Тристар</v>
      </c>
      <c r="V403" s="45">
        <f>28.3*Таблица310[[#This Row],[Регистратор.Вес нетто]]/252430</f>
        <v>1.4708869785683161</v>
      </c>
      <c r="W403" s="40" t="s">
        <v>52</v>
      </c>
      <c r="X403" s="40" t="s">
        <v>178</v>
      </c>
      <c r="Y403" s="40">
        <v>5</v>
      </c>
      <c r="Z403" s="103">
        <v>45827</v>
      </c>
      <c r="AA403" s="40"/>
      <c r="AB403" s="40"/>
      <c r="AC403" s="40" t="s">
        <v>725</v>
      </c>
      <c r="AD403" s="40" t="s">
        <v>550</v>
      </c>
      <c r="AE403" s="42" t="s">
        <v>1143</v>
      </c>
      <c r="AF403" s="103">
        <v>45828</v>
      </c>
      <c r="AG403" s="40">
        <v>54940</v>
      </c>
      <c r="AH403" s="40">
        <f>VLOOKUP(Таблица310[[#This Row],[№ акта]],'Степень зрелости 2025'!$H$13:$I$583,2,FALSE)</f>
        <v>65</v>
      </c>
      <c r="AI403" s="40">
        <f>VLOOKUP(Таблица310[[#This Row],[№ акта]],$AQ$1:$AT$594,2,FALSE)</f>
        <v>16</v>
      </c>
      <c r="AJ403" s="40" t="str">
        <f>Таблица310[[#This Row],[Регистратор.Номенклатура]]</f>
        <v>Тристар</v>
      </c>
      <c r="AK403" s="40" t="str">
        <f>VLOOKUP(Таблица310[[#This Row],[№ акта]],$AQ$1:$AT$594,4,FALSE)</f>
        <v>Агролидер (полив)</v>
      </c>
      <c r="AL403" s="45">
        <f>VLOOKUP(Таблица310[[#This Row],[№ акта]],$AQ$1:$AT$594,3,FALSE)</f>
        <v>1.4708869785683161</v>
      </c>
      <c r="AM403" s="40" t="str">
        <f>IF(Таблица310[[#This Row],[Площадь уборки, га]]=Таблица310[[#This Row],[Площадь уборки до корр]],"нет","да")</f>
        <v>нет</v>
      </c>
      <c r="AN403" s="45">
        <f>Таблица310[[#This Row],[Площадь уборки до корр]]-Таблица310[[#This Row],[Площадь уборки, га]]</f>
        <v>0</v>
      </c>
      <c r="AQ403" t="s">
        <v>1143</v>
      </c>
      <c r="AR403">
        <v>16</v>
      </c>
      <c r="AS403">
        <v>1.4708869785683161</v>
      </c>
      <c r="AT403" t="s">
        <v>52</v>
      </c>
    </row>
    <row r="404" spans="1:46" ht="33.75" hidden="1" x14ac:dyDescent="0.25">
      <c r="A404" s="40"/>
      <c r="B404" s="41"/>
      <c r="C404" s="40">
        <f>VLOOKUP(Таблица310[[#This Row],[№ акта]],'Степень зрелости 2025'!$H$13:$I$391,2,FALSE)</f>
        <v>68</v>
      </c>
      <c r="D404" s="42" t="s">
        <v>1144</v>
      </c>
      <c r="E404" s="147">
        <v>45828</v>
      </c>
      <c r="F404" s="41">
        <v>27710</v>
      </c>
      <c r="G404" s="41">
        <v>13180</v>
      </c>
      <c r="H404" s="69">
        <v>14530</v>
      </c>
      <c r="I404" s="41">
        <v>12455.1</v>
      </c>
      <c r="J404" s="40" t="s">
        <v>914</v>
      </c>
      <c r="K404" s="40" t="s">
        <v>909</v>
      </c>
      <c r="L404" s="40">
        <v>16</v>
      </c>
      <c r="M404" s="35" t="s">
        <v>239</v>
      </c>
      <c r="N404" s="40"/>
      <c r="O404" s="40"/>
      <c r="P404" s="40"/>
      <c r="Q404" s="40"/>
      <c r="R404" s="40" t="s">
        <v>243</v>
      </c>
      <c r="S404" s="40"/>
      <c r="T404" s="40">
        <v>16</v>
      </c>
      <c r="U404" s="68" t="str">
        <f>Таблица310[[#This Row],[Регистратор.Номенклатура]]</f>
        <v>Тристар</v>
      </c>
      <c r="V404" s="45">
        <f>28.3*Таблица310[[#This Row],[Регистратор.Вес нетто]]/252430</f>
        <v>1.4776135958483541</v>
      </c>
      <c r="W404" s="40" t="s">
        <v>52</v>
      </c>
      <c r="X404" s="40" t="s">
        <v>178</v>
      </c>
      <c r="Y404" s="40">
        <v>5</v>
      </c>
      <c r="Z404" s="103">
        <v>45827</v>
      </c>
      <c r="AA404" s="40"/>
      <c r="AB404" s="40"/>
      <c r="AC404" s="40" t="s">
        <v>420</v>
      </c>
      <c r="AD404" s="40" t="s">
        <v>550</v>
      </c>
      <c r="AE404" s="42" t="s">
        <v>1144</v>
      </c>
      <c r="AF404" s="103">
        <v>45828</v>
      </c>
      <c r="AG404" s="40">
        <v>54940</v>
      </c>
      <c r="AH404" s="40">
        <f>VLOOKUP(Таблица310[[#This Row],[№ акта]],'Степень зрелости 2025'!$H$13:$I$583,2,FALSE)</f>
        <v>68</v>
      </c>
      <c r="AI404" s="40">
        <f>VLOOKUP(Таблица310[[#This Row],[№ акта]],$AQ$1:$AT$594,2,FALSE)</f>
        <v>16</v>
      </c>
      <c r="AJ404" s="40" t="str">
        <f>Таблица310[[#This Row],[Регистратор.Номенклатура]]</f>
        <v>Тристар</v>
      </c>
      <c r="AK404" s="40" t="str">
        <f>VLOOKUP(Таблица310[[#This Row],[№ акта]],$AQ$1:$AT$594,4,FALSE)</f>
        <v>Агролидер (полив)</v>
      </c>
      <c r="AL404" s="45">
        <f>VLOOKUP(Таблица310[[#This Row],[№ акта]],$AQ$1:$AT$594,3,FALSE)</f>
        <v>1.4776135958483541</v>
      </c>
      <c r="AM404" s="40" t="str">
        <f>IF(Таблица310[[#This Row],[Площадь уборки, га]]=Таблица310[[#This Row],[Площадь уборки до корр]],"нет","да")</f>
        <v>нет</v>
      </c>
      <c r="AN404" s="45">
        <f>Таблица310[[#This Row],[Площадь уборки до корр]]-Таблица310[[#This Row],[Площадь уборки, га]]</f>
        <v>0</v>
      </c>
      <c r="AQ404" t="s">
        <v>1144</v>
      </c>
      <c r="AR404">
        <v>16</v>
      </c>
      <c r="AS404">
        <v>1.4776135958483541</v>
      </c>
      <c r="AT404" t="s">
        <v>52</v>
      </c>
    </row>
    <row r="405" spans="1:46" ht="22.5" hidden="1" x14ac:dyDescent="0.25">
      <c r="A405" s="40"/>
      <c r="B405" s="41"/>
      <c r="C405" s="40">
        <f>VLOOKUP(Таблица310[[#This Row],[№ акта]],'Степень зрелости 2025'!$H$13:$I$391,2,FALSE)</f>
        <v>69</v>
      </c>
      <c r="D405" s="42" t="s">
        <v>1145</v>
      </c>
      <c r="E405" s="147">
        <v>45828</v>
      </c>
      <c r="F405" s="41">
        <v>27470</v>
      </c>
      <c r="G405" s="41">
        <v>13600</v>
      </c>
      <c r="H405" s="69">
        <v>13870</v>
      </c>
      <c r="I405" s="41">
        <v>12852</v>
      </c>
      <c r="J405" s="40" t="s">
        <v>914</v>
      </c>
      <c r="K405" s="40" t="s">
        <v>909</v>
      </c>
      <c r="L405" s="40">
        <v>16</v>
      </c>
      <c r="M405" s="35" t="s">
        <v>212</v>
      </c>
      <c r="N405" s="40"/>
      <c r="O405" s="40"/>
      <c r="P405" s="40"/>
      <c r="Q405" s="40"/>
      <c r="R405" s="40" t="s">
        <v>216</v>
      </c>
      <c r="S405" s="40"/>
      <c r="T405" s="40">
        <v>16</v>
      </c>
      <c r="U405" s="68" t="str">
        <f>Таблица310[[#This Row],[Регистратор.Номенклатура]]</f>
        <v>Тристар</v>
      </c>
      <c r="V405" s="45">
        <f>28.3*Таблица310[[#This Row],[Регистратор.Вес нетто]]/252430</f>
        <v>1.5246999168086202</v>
      </c>
      <c r="W405" s="40" t="s">
        <v>52</v>
      </c>
      <c r="X405" s="40" t="s">
        <v>178</v>
      </c>
      <c r="Y405" s="40">
        <v>5</v>
      </c>
      <c r="Z405" s="103">
        <v>45827</v>
      </c>
      <c r="AA405" s="40"/>
      <c r="AB405" s="40"/>
      <c r="AC405" s="40" t="s">
        <v>420</v>
      </c>
      <c r="AD405" s="40" t="s">
        <v>550</v>
      </c>
      <c r="AE405" s="42" t="s">
        <v>1145</v>
      </c>
      <c r="AF405" s="103">
        <v>45828</v>
      </c>
      <c r="AG405" s="40">
        <v>54941</v>
      </c>
      <c r="AH405" s="40">
        <f>VLOOKUP(Таблица310[[#This Row],[№ акта]],'Степень зрелости 2025'!$H$13:$I$583,2,FALSE)</f>
        <v>69</v>
      </c>
      <c r="AI405" s="40">
        <f>VLOOKUP(Таблица310[[#This Row],[№ акта]],$AQ$1:$AT$594,2,FALSE)</f>
        <v>16</v>
      </c>
      <c r="AJ405" s="40" t="str">
        <f>Таблица310[[#This Row],[Регистратор.Номенклатура]]</f>
        <v>Тристар</v>
      </c>
      <c r="AK405" s="40" t="str">
        <f>VLOOKUP(Таблица310[[#This Row],[№ акта]],$AQ$1:$AT$594,4,FALSE)</f>
        <v>Агролидер (полив)</v>
      </c>
      <c r="AL405" s="45">
        <f>VLOOKUP(Таблица310[[#This Row],[№ акта]],$AQ$1:$AT$594,3,FALSE)</f>
        <v>1.5246999168086202</v>
      </c>
      <c r="AM405" s="40" t="str">
        <f>IF(Таблица310[[#This Row],[Площадь уборки, га]]=Таблица310[[#This Row],[Площадь уборки до корр]],"нет","да")</f>
        <v>нет</v>
      </c>
      <c r="AN405" s="45">
        <f>Таблица310[[#This Row],[Площадь уборки до корр]]-Таблица310[[#This Row],[Площадь уборки, га]]</f>
        <v>0</v>
      </c>
      <c r="AQ405" t="s">
        <v>1145</v>
      </c>
      <c r="AR405">
        <v>16</v>
      </c>
      <c r="AS405">
        <v>1.5246999168086202</v>
      </c>
      <c r="AT405" t="s">
        <v>52</v>
      </c>
    </row>
    <row r="406" spans="1:46" ht="22.5" hidden="1" x14ac:dyDescent="0.25">
      <c r="A406" s="40"/>
      <c r="B406" s="41"/>
      <c r="C406" s="40">
        <f>VLOOKUP(Таблица310[[#This Row],[№ акта]],'Степень зрелости 2025'!$H$13:$I$391,2,FALSE)</f>
        <v>68</v>
      </c>
      <c r="D406" s="42" t="s">
        <v>1146</v>
      </c>
      <c r="E406" s="147">
        <v>45828</v>
      </c>
      <c r="F406" s="41">
        <v>34090</v>
      </c>
      <c r="G406" s="41">
        <v>13080</v>
      </c>
      <c r="H406" s="69">
        <v>21010</v>
      </c>
      <c r="I406" s="41">
        <v>12360.6</v>
      </c>
      <c r="J406" s="40" t="s">
        <v>914</v>
      </c>
      <c r="K406" s="40" t="s">
        <v>909</v>
      </c>
      <c r="L406" s="40">
        <v>14</v>
      </c>
      <c r="M406" s="35" t="s">
        <v>1152</v>
      </c>
      <c r="N406" s="40"/>
      <c r="O406" s="40"/>
      <c r="P406" s="40"/>
      <c r="Q406" s="40"/>
      <c r="R406" s="40" t="s">
        <v>119</v>
      </c>
      <c r="S406" s="40"/>
      <c r="T406" s="40">
        <v>14</v>
      </c>
      <c r="U406" s="68" t="str">
        <f>Таблица310[[#This Row],[Регистратор.Номенклатура]]</f>
        <v>Тристар</v>
      </c>
      <c r="V406" s="45">
        <f>6*Таблица310[[#This Row],[Регистратор.Вес нетто]]/52490</f>
        <v>1.4951419317965327</v>
      </c>
      <c r="W406" s="40" t="s">
        <v>52</v>
      </c>
      <c r="X406" s="40" t="s">
        <v>178</v>
      </c>
      <c r="Y406" s="40">
        <v>5</v>
      </c>
      <c r="Z406" s="103">
        <v>45827</v>
      </c>
      <c r="AA406" s="40"/>
      <c r="AB406" s="40"/>
      <c r="AC406" s="40" t="s">
        <v>420</v>
      </c>
      <c r="AD406" s="40" t="s">
        <v>550</v>
      </c>
      <c r="AE406" s="42" t="s">
        <v>1146</v>
      </c>
      <c r="AF406" s="103">
        <v>45828</v>
      </c>
      <c r="AG406" s="40">
        <v>54942</v>
      </c>
      <c r="AH406" s="40">
        <f>VLOOKUP(Таблица310[[#This Row],[№ акта]],'Степень зрелости 2025'!$H$13:$I$583,2,FALSE)</f>
        <v>68</v>
      </c>
      <c r="AI406" s="40">
        <f>VLOOKUP(Таблица310[[#This Row],[№ акта]],$AQ$1:$AT$594,2,FALSE)</f>
        <v>14</v>
      </c>
      <c r="AJ406" s="40" t="str">
        <f>Таблица310[[#This Row],[Регистратор.Номенклатура]]</f>
        <v>Тристар</v>
      </c>
      <c r="AK406" s="40" t="str">
        <f>VLOOKUP(Таблица310[[#This Row],[№ акта]],$AQ$1:$AT$594,4,FALSE)</f>
        <v>Агролидер (полив)</v>
      </c>
      <c r="AL406" s="45">
        <f>VLOOKUP(Таблица310[[#This Row],[№ акта]],$AQ$1:$AT$594,3,FALSE)</f>
        <v>1.4951419317965327</v>
      </c>
      <c r="AM406" s="40" t="str">
        <f>IF(Таблица310[[#This Row],[Площадь уборки, га]]=Таблица310[[#This Row],[Площадь уборки до корр]],"нет","да")</f>
        <v>нет</v>
      </c>
      <c r="AN406" s="45">
        <f>Таблица310[[#This Row],[Площадь уборки до корр]]-Таблица310[[#This Row],[Площадь уборки, га]]</f>
        <v>0</v>
      </c>
      <c r="AQ406" t="s">
        <v>1146</v>
      </c>
      <c r="AR406">
        <v>14</v>
      </c>
      <c r="AS406">
        <v>1.4951419317965327</v>
      </c>
      <c r="AT406" t="s">
        <v>52</v>
      </c>
    </row>
    <row r="407" spans="1:46" ht="33.75" hidden="1" x14ac:dyDescent="0.25">
      <c r="A407" s="40"/>
      <c r="B407" s="41"/>
      <c r="C407" s="40">
        <v>76</v>
      </c>
      <c r="D407" s="42" t="s">
        <v>1147</v>
      </c>
      <c r="E407" s="147">
        <v>45828</v>
      </c>
      <c r="F407" s="41">
        <v>28800</v>
      </c>
      <c r="G407" s="41">
        <v>13200</v>
      </c>
      <c r="H407" s="69">
        <v>15600</v>
      </c>
      <c r="I407" s="41">
        <v>12474</v>
      </c>
      <c r="J407" s="40" t="s">
        <v>914</v>
      </c>
      <c r="K407" s="40" t="s">
        <v>909</v>
      </c>
      <c r="L407" s="40">
        <v>14</v>
      </c>
      <c r="M407" s="35" t="s">
        <v>244</v>
      </c>
      <c r="N407" s="40"/>
      <c r="O407" s="40"/>
      <c r="P407" s="40"/>
      <c r="Q407" s="40"/>
      <c r="R407" s="40" t="s">
        <v>248</v>
      </c>
      <c r="S407" s="40"/>
      <c r="T407" s="40">
        <v>14</v>
      </c>
      <c r="U407" s="68" t="str">
        <f>Таблица310[[#This Row],[Регистратор.Номенклатура]]</f>
        <v>Тристар</v>
      </c>
      <c r="V407" s="45">
        <f>6*Таблица310[[#This Row],[Регистратор.Вес нетто]]/52490</f>
        <v>1.5088588302533816</v>
      </c>
      <c r="W407" s="40" t="s">
        <v>52</v>
      </c>
      <c r="X407" s="40" t="s">
        <v>178</v>
      </c>
      <c r="Y407" s="40">
        <v>5</v>
      </c>
      <c r="Z407" s="103">
        <v>45827</v>
      </c>
      <c r="AA407" s="40"/>
      <c r="AB407" s="40"/>
      <c r="AC407" s="40" t="s">
        <v>420</v>
      </c>
      <c r="AD407" s="40" t="s">
        <v>833</v>
      </c>
      <c r="AE407" s="42" t="s">
        <v>1147</v>
      </c>
      <c r="AF407" s="103">
        <v>45828</v>
      </c>
      <c r="AG407" s="40">
        <v>54941</v>
      </c>
      <c r="AH407" s="40">
        <f>VLOOKUP(Таблица310[[#This Row],[№ акта]],'Степень зрелости 2025'!$H$13:$I$583,2,FALSE)</f>
        <v>76</v>
      </c>
      <c r="AI407" s="40">
        <f>VLOOKUP(Таблица310[[#This Row],[№ акта]],$AQ$1:$AT$594,2,FALSE)</f>
        <v>14</v>
      </c>
      <c r="AJ407" s="40" t="str">
        <f>Таблица310[[#This Row],[Регистратор.Номенклатура]]</f>
        <v>Тристар</v>
      </c>
      <c r="AK407" s="40" t="str">
        <f>VLOOKUP(Таблица310[[#This Row],[№ акта]],$AQ$1:$AT$594,4,FALSE)</f>
        <v>Агролидер (полив)</v>
      </c>
      <c r="AL407" s="45">
        <f>VLOOKUP(Таблица310[[#This Row],[№ акта]],$AQ$1:$AT$594,3,FALSE)</f>
        <v>1.5088588302533816</v>
      </c>
      <c r="AM407" s="40" t="str">
        <f>IF(Таблица310[[#This Row],[Площадь уборки, га]]=Таблица310[[#This Row],[Площадь уборки до корр]],"нет","да")</f>
        <v>нет</v>
      </c>
      <c r="AN407" s="45">
        <f>Таблица310[[#This Row],[Площадь уборки до корр]]-Таблица310[[#This Row],[Площадь уборки, га]]</f>
        <v>0</v>
      </c>
      <c r="AQ407" t="s">
        <v>1147</v>
      </c>
      <c r="AR407">
        <v>14</v>
      </c>
      <c r="AS407">
        <v>1.5088588302533816</v>
      </c>
      <c r="AT407" t="s">
        <v>52</v>
      </c>
    </row>
    <row r="408" spans="1:46" ht="33.75" hidden="1" x14ac:dyDescent="0.25">
      <c r="A408" s="40"/>
      <c r="B408" s="41"/>
      <c r="C408" s="40">
        <f>VLOOKUP(Таблица310[[#This Row],[№ акта]],'Степень зрелости 2025'!$H$13:$I$391,2,FALSE)</f>
        <v>67</v>
      </c>
      <c r="D408" s="42" t="s">
        <v>1148</v>
      </c>
      <c r="E408" s="147">
        <v>45828</v>
      </c>
      <c r="F408" s="41">
        <v>28200</v>
      </c>
      <c r="G408" s="41">
        <v>13210</v>
      </c>
      <c r="H408" s="69">
        <v>14990</v>
      </c>
      <c r="I408" s="41">
        <v>12351.3</v>
      </c>
      <c r="J408" s="40" t="s">
        <v>914</v>
      </c>
      <c r="K408" s="40" t="s">
        <v>909</v>
      </c>
      <c r="L408" s="40">
        <v>14</v>
      </c>
      <c r="M408" s="35" t="s">
        <v>311</v>
      </c>
      <c r="N408" s="40"/>
      <c r="O408" s="40"/>
      <c r="P408" s="40"/>
      <c r="Q408" s="40"/>
      <c r="R408" s="40" t="s">
        <v>315</v>
      </c>
      <c r="S408" s="40"/>
      <c r="T408" s="40">
        <v>14</v>
      </c>
      <c r="U408" s="68" t="str">
        <f>Таблица310[[#This Row],[Регистратор.Номенклатура]]</f>
        <v>Тристар</v>
      </c>
      <c r="V408" s="45">
        <f>6*Таблица310[[#This Row],[Регистратор.Вес нетто]]/52490</f>
        <v>1.5100019051247857</v>
      </c>
      <c r="W408" s="40" t="s">
        <v>52</v>
      </c>
      <c r="X408" s="40" t="s">
        <v>178</v>
      </c>
      <c r="Y408" s="40">
        <v>5</v>
      </c>
      <c r="Z408" s="103">
        <v>45827</v>
      </c>
      <c r="AA408" s="40"/>
      <c r="AB408" s="40"/>
      <c r="AC408" s="40" t="s">
        <v>420</v>
      </c>
      <c r="AD408" s="40" t="s">
        <v>550</v>
      </c>
      <c r="AE408" s="42" t="s">
        <v>1148</v>
      </c>
      <c r="AF408" s="103">
        <v>45828</v>
      </c>
      <c r="AG408" s="40">
        <v>54943</v>
      </c>
      <c r="AH408" s="40">
        <f>VLOOKUP(Таблица310[[#This Row],[№ акта]],'Степень зрелости 2025'!$H$13:$I$583,2,FALSE)</f>
        <v>67</v>
      </c>
      <c r="AI408" s="40">
        <f>VLOOKUP(Таблица310[[#This Row],[№ акта]],$AQ$1:$AT$594,2,FALSE)</f>
        <v>14</v>
      </c>
      <c r="AJ408" s="40" t="str">
        <f>Таблица310[[#This Row],[Регистратор.Номенклатура]]</f>
        <v>Тристар</v>
      </c>
      <c r="AK408" s="40" t="str">
        <f>VLOOKUP(Таблица310[[#This Row],[№ акта]],$AQ$1:$AT$594,4,FALSE)</f>
        <v>Агролидер (полив)</v>
      </c>
      <c r="AL408" s="45">
        <f>VLOOKUP(Таблица310[[#This Row],[№ акта]],$AQ$1:$AT$594,3,FALSE)</f>
        <v>1.5100019051247857</v>
      </c>
      <c r="AM408" s="40" t="str">
        <f>IF(Таблица310[[#This Row],[Площадь уборки, га]]=Таблица310[[#This Row],[Площадь уборки до корр]],"нет","да")</f>
        <v>нет</v>
      </c>
      <c r="AN408" s="45">
        <f>Таблица310[[#This Row],[Площадь уборки до корр]]-Таблица310[[#This Row],[Площадь уборки, га]]</f>
        <v>0</v>
      </c>
      <c r="AQ408" t="s">
        <v>1148</v>
      </c>
      <c r="AR408">
        <v>14</v>
      </c>
      <c r="AS408">
        <v>1.5100019051247857</v>
      </c>
      <c r="AT408" t="s">
        <v>52</v>
      </c>
    </row>
    <row r="409" spans="1:46" ht="22.5" hidden="1" x14ac:dyDescent="0.25">
      <c r="A409" s="40"/>
      <c r="B409" s="41"/>
      <c r="C409" s="40">
        <f>VLOOKUP(Таблица310[[#This Row],[№ акта]],'Степень зрелости 2025'!$H$13:$I$391,2,FALSE)</f>
        <v>70</v>
      </c>
      <c r="D409" s="42" t="s">
        <v>1149</v>
      </c>
      <c r="E409" s="147">
        <v>45828</v>
      </c>
      <c r="F409" s="41">
        <v>27720</v>
      </c>
      <c r="G409" s="41">
        <v>13000</v>
      </c>
      <c r="H409" s="69">
        <v>14720</v>
      </c>
      <c r="I409" s="41">
        <v>12155</v>
      </c>
      <c r="J409" s="40" t="s">
        <v>914</v>
      </c>
      <c r="K409" s="40" t="s">
        <v>909</v>
      </c>
      <c r="L409" s="40">
        <v>14</v>
      </c>
      <c r="M409" s="35" t="s">
        <v>335</v>
      </c>
      <c r="N409" s="40"/>
      <c r="O409" s="40"/>
      <c r="P409" s="40"/>
      <c r="Q409" s="40"/>
      <c r="R409" s="40" t="s">
        <v>339</v>
      </c>
      <c r="S409" s="40"/>
      <c r="T409" s="40">
        <v>14</v>
      </c>
      <c r="U409" s="68" t="str">
        <f>Таблица310[[#This Row],[Регистратор.Номенклатура]]</f>
        <v>Тристар</v>
      </c>
      <c r="V409" s="45">
        <f>6*Таблица310[[#This Row],[Регистратор.Вес нетто]]/52490</f>
        <v>1.4859973328253</v>
      </c>
      <c r="W409" s="40" t="s">
        <v>52</v>
      </c>
      <c r="X409" s="40" t="s">
        <v>178</v>
      </c>
      <c r="Y409" s="40">
        <v>5</v>
      </c>
      <c r="Z409" s="103">
        <v>45827</v>
      </c>
      <c r="AA409" s="40"/>
      <c r="AB409" s="40"/>
      <c r="AC409" s="40" t="s">
        <v>420</v>
      </c>
      <c r="AD409" s="40" t="s">
        <v>550</v>
      </c>
      <c r="AE409" s="42" t="s">
        <v>1149</v>
      </c>
      <c r="AF409" s="103">
        <v>45828</v>
      </c>
      <c r="AG409" s="40">
        <v>54943</v>
      </c>
      <c r="AH409" s="40">
        <f>VLOOKUP(Таблица310[[#This Row],[№ акта]],'Степень зрелости 2025'!$H$13:$I$583,2,FALSE)</f>
        <v>70</v>
      </c>
      <c r="AI409" s="40">
        <f>VLOOKUP(Таблица310[[#This Row],[№ акта]],$AQ$1:$AT$594,2,FALSE)</f>
        <v>14</v>
      </c>
      <c r="AJ409" s="40" t="str">
        <f>Таблица310[[#This Row],[Регистратор.Номенклатура]]</f>
        <v>Тристар</v>
      </c>
      <c r="AK409" s="40" t="str">
        <f>VLOOKUP(Таблица310[[#This Row],[№ акта]],$AQ$1:$AT$594,4,FALSE)</f>
        <v>Агролидер (полив)</v>
      </c>
      <c r="AL409" s="45">
        <f>VLOOKUP(Таблица310[[#This Row],[№ акта]],$AQ$1:$AT$594,3,FALSE)</f>
        <v>1.4859973328253</v>
      </c>
      <c r="AM409" s="40" t="str">
        <f>IF(Таблица310[[#This Row],[Площадь уборки, га]]=Таблица310[[#This Row],[Площадь уборки до корр]],"нет","да")</f>
        <v>нет</v>
      </c>
      <c r="AN409" s="45">
        <f>Таблица310[[#This Row],[Площадь уборки до корр]]-Таблица310[[#This Row],[Площадь уборки, га]]</f>
        <v>0</v>
      </c>
      <c r="AQ409" t="s">
        <v>1149</v>
      </c>
      <c r="AR409">
        <v>14</v>
      </c>
      <c r="AS409">
        <v>1.4859973328253</v>
      </c>
      <c r="AT409" t="s">
        <v>52</v>
      </c>
    </row>
    <row r="410" spans="1:46" ht="22.5" hidden="1" x14ac:dyDescent="0.25">
      <c r="A410" s="40"/>
      <c r="B410" s="41"/>
      <c r="C410" s="121">
        <v>63</v>
      </c>
      <c r="D410" s="42" t="s">
        <v>1217</v>
      </c>
      <c r="E410" s="147">
        <v>45828</v>
      </c>
      <c r="F410" s="41">
        <v>27940</v>
      </c>
      <c r="G410" s="41">
        <v>13090</v>
      </c>
      <c r="H410" s="69">
        <v>14850</v>
      </c>
      <c r="I410" s="41">
        <v>12239.1</v>
      </c>
      <c r="J410" s="40" t="s">
        <v>914</v>
      </c>
      <c r="K410" s="40" t="s">
        <v>909</v>
      </c>
      <c r="L410" s="40">
        <v>14</v>
      </c>
      <c r="M410" s="35" t="s">
        <v>151</v>
      </c>
      <c r="N410" s="40"/>
      <c r="O410" s="40"/>
      <c r="P410" s="40"/>
      <c r="Q410" s="40"/>
      <c r="R410" s="40" t="s">
        <v>155</v>
      </c>
      <c r="S410" s="40"/>
      <c r="T410" s="40">
        <v>14</v>
      </c>
      <c r="U410" s="68" t="str">
        <f>Таблица310[[#This Row],[Регистратор.Номенклатура]]</f>
        <v>Тристар</v>
      </c>
      <c r="V410" s="45">
        <f>36*Таблица310[[#This Row],[Регистратор.Вес нетто]]/252940</f>
        <v>1.8630505258163992</v>
      </c>
      <c r="W410" s="40" t="s">
        <v>52</v>
      </c>
      <c r="X410" s="40" t="s">
        <v>178</v>
      </c>
      <c r="Y410" s="40">
        <v>6</v>
      </c>
      <c r="Z410" s="103">
        <v>45828</v>
      </c>
      <c r="AA410" s="40"/>
      <c r="AB410" s="40"/>
      <c r="AC410" s="40" t="s">
        <v>724</v>
      </c>
      <c r="AD410" s="40" t="s">
        <v>550</v>
      </c>
      <c r="AE410" s="40" t="s">
        <v>1217</v>
      </c>
      <c r="AF410" s="103">
        <v>45828</v>
      </c>
      <c r="AG410" s="40">
        <v>54944</v>
      </c>
      <c r="AH410" s="40">
        <f>VLOOKUP(Таблица310[[#This Row],[№ акта]],'Степень зрелости 2025'!$H$13:$I$583,2,FALSE)</f>
        <v>63</v>
      </c>
      <c r="AI410" s="40">
        <f>VLOOKUP(Таблица310[[#This Row],[№ акта]],$AQ$1:$AT$594,2,FALSE)</f>
        <v>14</v>
      </c>
      <c r="AJ410" s="40" t="str">
        <f>Таблица310[[#This Row],[Регистратор.Номенклатура]]</f>
        <v>Тристар</v>
      </c>
      <c r="AK410" s="40" t="str">
        <f>VLOOKUP(Таблица310[[#This Row],[№ акта]],$AQ$1:$AT$594,4,FALSE)</f>
        <v>Агролидер (полив)</v>
      </c>
      <c r="AL410" s="45">
        <f>VLOOKUP(Таблица310[[#This Row],[№ акта]],$AQ$1:$AT$594,3,FALSE)</f>
        <v>1.8630505258163992</v>
      </c>
      <c r="AM410" s="40" t="str">
        <f>IF(Таблица310[[#This Row],[Площадь уборки, га]]=Таблица310[[#This Row],[Площадь уборки до корр]],"нет","да")</f>
        <v>нет</v>
      </c>
      <c r="AN410" s="45">
        <f>Таблица310[[#This Row],[Площадь уборки до корр]]-Таблица310[[#This Row],[Площадь уборки, га]]</f>
        <v>0</v>
      </c>
      <c r="AQ410" t="s">
        <v>1217</v>
      </c>
      <c r="AR410">
        <v>14</v>
      </c>
      <c r="AS410">
        <v>1.8630505258163992</v>
      </c>
      <c r="AT410" t="s">
        <v>52</v>
      </c>
    </row>
    <row r="411" spans="1:46" ht="22.5" hidden="1" x14ac:dyDescent="0.25">
      <c r="A411" s="40"/>
      <c r="B411" s="41"/>
      <c r="C411" s="121">
        <v>70</v>
      </c>
      <c r="D411" s="42" t="s">
        <v>1218</v>
      </c>
      <c r="E411" s="147">
        <v>45828</v>
      </c>
      <c r="F411" s="41">
        <v>37320</v>
      </c>
      <c r="G411" s="41">
        <v>13260</v>
      </c>
      <c r="H411" s="69">
        <v>24060</v>
      </c>
      <c r="I411" s="41">
        <v>12663.3</v>
      </c>
      <c r="J411" s="40" t="s">
        <v>914</v>
      </c>
      <c r="K411" s="40" t="s">
        <v>909</v>
      </c>
      <c r="L411" s="40">
        <v>14</v>
      </c>
      <c r="M411" s="35" t="s">
        <v>160</v>
      </c>
      <c r="N411" s="40"/>
      <c r="O411" s="40"/>
      <c r="P411" s="40"/>
      <c r="Q411" s="40"/>
      <c r="R411" s="40" t="s">
        <v>164</v>
      </c>
      <c r="S411" s="40"/>
      <c r="T411" s="40">
        <v>14</v>
      </c>
      <c r="U411" s="68" t="str">
        <f>Таблица310[[#This Row],[Регистратор.Номенклатура]]</f>
        <v>Тристар</v>
      </c>
      <c r="V411" s="45">
        <f>36*Таблица310[[#This Row],[Регистратор.Вес нетто]]/252940</f>
        <v>1.8872459871906382</v>
      </c>
      <c r="W411" s="40" t="s">
        <v>52</v>
      </c>
      <c r="X411" s="40" t="s">
        <v>178</v>
      </c>
      <c r="Y411" s="40">
        <v>6</v>
      </c>
      <c r="Z411" s="103">
        <v>45828</v>
      </c>
      <c r="AA411" s="40"/>
      <c r="AB411" s="40"/>
      <c r="AC411" s="40" t="s">
        <v>420</v>
      </c>
      <c r="AD411" s="40" t="s">
        <v>833</v>
      </c>
      <c r="AE411" s="40" t="s">
        <v>1218</v>
      </c>
      <c r="AF411" s="103">
        <v>45828</v>
      </c>
      <c r="AG411" s="40">
        <v>54944</v>
      </c>
      <c r="AH411" s="40">
        <f>VLOOKUP(Таблица310[[#This Row],[№ акта]],'Степень зрелости 2025'!$H$13:$I$583,2,FALSE)</f>
        <v>70</v>
      </c>
      <c r="AI411" s="40">
        <f>VLOOKUP(Таблица310[[#This Row],[№ акта]],$AQ$1:$AT$594,2,FALSE)</f>
        <v>14</v>
      </c>
      <c r="AJ411" s="40" t="str">
        <f>Таблица310[[#This Row],[Регистратор.Номенклатура]]</f>
        <v>Тристар</v>
      </c>
      <c r="AK411" s="40" t="str">
        <f>VLOOKUP(Таблица310[[#This Row],[№ акта]],$AQ$1:$AT$594,4,FALSE)</f>
        <v>Агролидер (полив)</v>
      </c>
      <c r="AL411" s="45">
        <f>VLOOKUP(Таблица310[[#This Row],[№ акта]],$AQ$1:$AT$594,3,FALSE)</f>
        <v>1.8872459871906382</v>
      </c>
      <c r="AM411" s="40" t="str">
        <f>IF(Таблица310[[#This Row],[Площадь уборки, га]]=Таблица310[[#This Row],[Площадь уборки до корр]],"нет","да")</f>
        <v>нет</v>
      </c>
      <c r="AN411" s="45">
        <f>Таблица310[[#This Row],[Площадь уборки до корр]]-Таблица310[[#This Row],[Площадь уборки, га]]</f>
        <v>0</v>
      </c>
      <c r="AQ411" t="s">
        <v>1218</v>
      </c>
      <c r="AR411">
        <v>14</v>
      </c>
      <c r="AS411">
        <v>1.8872459871906382</v>
      </c>
      <c r="AT411" t="s">
        <v>52</v>
      </c>
    </row>
    <row r="412" spans="1:46" ht="22.5" hidden="1" x14ac:dyDescent="0.25">
      <c r="A412" s="40"/>
      <c r="B412" s="41"/>
      <c r="C412" s="121">
        <v>65</v>
      </c>
      <c r="D412" s="42" t="s">
        <v>1219</v>
      </c>
      <c r="E412" s="147">
        <v>45828</v>
      </c>
      <c r="F412" s="41">
        <v>31390</v>
      </c>
      <c r="G412" s="41">
        <v>12770</v>
      </c>
      <c r="H412" s="69">
        <v>18620</v>
      </c>
      <c r="I412" s="41">
        <v>12067.6</v>
      </c>
      <c r="J412" s="40" t="s">
        <v>914</v>
      </c>
      <c r="K412" s="40" t="s">
        <v>909</v>
      </c>
      <c r="L412" s="40">
        <v>14</v>
      </c>
      <c r="M412" s="35" t="s">
        <v>347</v>
      </c>
      <c r="N412" s="40"/>
      <c r="O412" s="40"/>
      <c r="P412" s="40"/>
      <c r="Q412" s="40"/>
      <c r="R412" s="40" t="s">
        <v>351</v>
      </c>
      <c r="S412" s="40"/>
      <c r="T412" s="40">
        <v>14</v>
      </c>
      <c r="U412" s="68" t="str">
        <f>Таблица310[[#This Row],[Регистратор.Номенклатура]]</f>
        <v>Тристар</v>
      </c>
      <c r="V412" s="45">
        <f>36*Таблица310[[#This Row],[Регистратор.Вес нетто]]/252940</f>
        <v>1.8175061279354787</v>
      </c>
      <c r="W412" s="40" t="s">
        <v>52</v>
      </c>
      <c r="X412" s="40" t="s">
        <v>178</v>
      </c>
      <c r="Y412" s="40">
        <v>6</v>
      </c>
      <c r="Z412" s="103">
        <v>45828</v>
      </c>
      <c r="AA412" s="40"/>
      <c r="AB412" s="40"/>
      <c r="AC412" s="40" t="s">
        <v>725</v>
      </c>
      <c r="AD412" s="40" t="s">
        <v>550</v>
      </c>
      <c r="AE412" s="40" t="s">
        <v>1219</v>
      </c>
      <c r="AF412" s="103">
        <v>45828</v>
      </c>
      <c r="AG412" s="40">
        <v>54945</v>
      </c>
      <c r="AH412" s="40">
        <f>VLOOKUP(Таблица310[[#This Row],[№ акта]],'Степень зрелости 2025'!$H$13:$I$583,2,FALSE)</f>
        <v>65</v>
      </c>
      <c r="AI412" s="40">
        <f>VLOOKUP(Таблица310[[#This Row],[№ акта]],$AQ$1:$AT$594,2,FALSE)</f>
        <v>14</v>
      </c>
      <c r="AJ412" s="40" t="str">
        <f>Таблица310[[#This Row],[Регистратор.Номенклатура]]</f>
        <v>Тристар</v>
      </c>
      <c r="AK412" s="40" t="str">
        <f>VLOOKUP(Таблица310[[#This Row],[№ акта]],$AQ$1:$AT$594,4,FALSE)</f>
        <v>Агролидер (полив)</v>
      </c>
      <c r="AL412" s="45">
        <f>VLOOKUP(Таблица310[[#This Row],[№ акта]],$AQ$1:$AT$594,3,FALSE)</f>
        <v>1.8175061279354787</v>
      </c>
      <c r="AM412" s="40" t="str">
        <f>IF(Таблица310[[#This Row],[Площадь уборки, га]]=Таблица310[[#This Row],[Площадь уборки до корр]],"нет","да")</f>
        <v>нет</v>
      </c>
      <c r="AN412" s="45">
        <f>Таблица310[[#This Row],[Площадь уборки до корр]]-Таблица310[[#This Row],[Площадь уборки, га]]</f>
        <v>0</v>
      </c>
      <c r="AQ412" t="s">
        <v>1219</v>
      </c>
      <c r="AR412">
        <v>14</v>
      </c>
      <c r="AS412">
        <v>1.8175061279354787</v>
      </c>
      <c r="AT412" t="s">
        <v>52</v>
      </c>
    </row>
    <row r="413" spans="1:46" ht="33.75" hidden="1" x14ac:dyDescent="0.25">
      <c r="A413" s="40"/>
      <c r="B413" s="41"/>
      <c r="C413" s="40">
        <f>VLOOKUP(Таблица310[[#This Row],[№ акта]],'Степень зрелости 2025'!$H$13:$I$453,2,FALSE)</f>
        <v>66</v>
      </c>
      <c r="D413" s="42" t="s">
        <v>1220</v>
      </c>
      <c r="E413" s="147">
        <v>45828</v>
      </c>
      <c r="F413" s="41">
        <v>27580</v>
      </c>
      <c r="G413" s="41">
        <v>12960</v>
      </c>
      <c r="H413" s="69">
        <v>14620</v>
      </c>
      <c r="I413" s="41">
        <v>12506.4</v>
      </c>
      <c r="J413" s="40" t="s">
        <v>914</v>
      </c>
      <c r="K413" s="40" t="s">
        <v>909</v>
      </c>
      <c r="L413" s="40">
        <v>14</v>
      </c>
      <c r="M413" s="35" t="s">
        <v>121</v>
      </c>
      <c r="N413" s="40"/>
      <c r="O413" s="40"/>
      <c r="P413" s="40"/>
      <c r="Q413" s="40"/>
      <c r="R413" s="40" t="s">
        <v>125</v>
      </c>
      <c r="S413" s="40"/>
      <c r="T413" s="40">
        <v>14</v>
      </c>
      <c r="U413" s="68" t="str">
        <f>Таблица310[[#This Row],[Регистратор.Номенклатура]]</f>
        <v>Тристар</v>
      </c>
      <c r="V413" s="45">
        <f>36*Таблица310[[#This Row],[Регистратор.Вес нетто]]/252940</f>
        <v>1.8445481141772753</v>
      </c>
      <c r="W413" s="40" t="s">
        <v>52</v>
      </c>
      <c r="X413" s="40" t="s">
        <v>178</v>
      </c>
      <c r="Y413" s="40">
        <v>6</v>
      </c>
      <c r="Z413" s="103">
        <v>45828</v>
      </c>
      <c r="AA413" s="40"/>
      <c r="AB413" s="40"/>
      <c r="AC413" s="40" t="s">
        <v>725</v>
      </c>
      <c r="AD413" s="40" t="s">
        <v>550</v>
      </c>
      <c r="AE413" s="40" t="s">
        <v>1220</v>
      </c>
      <c r="AF413" s="103">
        <v>45828</v>
      </c>
      <c r="AG413" s="40">
        <v>54944</v>
      </c>
      <c r="AH413" s="40">
        <f>VLOOKUP(Таблица310[[#This Row],[№ акта]],'Степень зрелости 2025'!$H$13:$I$583,2,FALSE)</f>
        <v>66</v>
      </c>
      <c r="AI413" s="40">
        <f>VLOOKUP(Таблица310[[#This Row],[№ акта]],$AQ$1:$AT$594,2,FALSE)</f>
        <v>14</v>
      </c>
      <c r="AJ413" s="40" t="str">
        <f>Таблица310[[#This Row],[Регистратор.Номенклатура]]</f>
        <v>Тристар</v>
      </c>
      <c r="AK413" s="40" t="str">
        <f>VLOOKUP(Таблица310[[#This Row],[№ акта]],$AQ$1:$AT$594,4,FALSE)</f>
        <v>Агролидер (полив)</v>
      </c>
      <c r="AL413" s="45">
        <f>VLOOKUP(Таблица310[[#This Row],[№ акта]],$AQ$1:$AT$594,3,FALSE)</f>
        <v>1.8445481141772753</v>
      </c>
      <c r="AM413" s="40" t="str">
        <f>IF(Таблица310[[#This Row],[Площадь уборки, га]]=Таблица310[[#This Row],[Площадь уборки до корр]],"нет","да")</f>
        <v>нет</v>
      </c>
      <c r="AN413" s="45">
        <f>Таблица310[[#This Row],[Площадь уборки до корр]]-Таблица310[[#This Row],[Площадь уборки, га]]</f>
        <v>0</v>
      </c>
      <c r="AQ413" t="s">
        <v>1220</v>
      </c>
      <c r="AR413">
        <v>14</v>
      </c>
      <c r="AS413">
        <v>1.8445481141772753</v>
      </c>
      <c r="AT413" t="s">
        <v>52</v>
      </c>
    </row>
    <row r="414" spans="1:46" ht="22.5" hidden="1" x14ac:dyDescent="0.25">
      <c r="A414" s="40"/>
      <c r="B414" s="41"/>
      <c r="C414" s="40">
        <f>VLOOKUP(Таблица310[[#This Row],[№ акта]],'Степень зрелости 2025'!$H$13:$I$453,2,FALSE)</f>
        <v>65</v>
      </c>
      <c r="D414" s="42" t="s">
        <v>1221</v>
      </c>
      <c r="E414" s="147">
        <v>45828</v>
      </c>
      <c r="F414" s="41">
        <v>26510</v>
      </c>
      <c r="G414" s="41">
        <v>12660</v>
      </c>
      <c r="H414" s="69">
        <v>13850</v>
      </c>
      <c r="I414" s="41">
        <v>11837.1</v>
      </c>
      <c r="J414" s="40" t="s">
        <v>914</v>
      </c>
      <c r="K414" s="40" t="s">
        <v>909</v>
      </c>
      <c r="L414" s="40">
        <v>14</v>
      </c>
      <c r="M414" s="35" t="s">
        <v>212</v>
      </c>
      <c r="N414" s="40"/>
      <c r="O414" s="40"/>
      <c r="P414" s="40"/>
      <c r="Q414" s="40"/>
      <c r="R414" s="40" t="s">
        <v>216</v>
      </c>
      <c r="S414" s="40"/>
      <c r="T414" s="40">
        <v>14</v>
      </c>
      <c r="U414" s="68" t="str">
        <f>Таблица310[[#This Row],[Регистратор.Номенклатура]]</f>
        <v>Тристар</v>
      </c>
      <c r="V414" s="45">
        <f>36*Таблица310[[#This Row],[Регистратор.Вес нетто]]/252940</f>
        <v>1.8018502411639123</v>
      </c>
      <c r="W414" s="40" t="s">
        <v>52</v>
      </c>
      <c r="X414" s="40" t="s">
        <v>178</v>
      </c>
      <c r="Y414" s="40">
        <v>6</v>
      </c>
      <c r="Z414" s="103">
        <v>45828</v>
      </c>
      <c r="AA414" s="40"/>
      <c r="AB414" s="40"/>
      <c r="AC414" s="40" t="s">
        <v>725</v>
      </c>
      <c r="AD414" s="40" t="s">
        <v>550</v>
      </c>
      <c r="AE414" s="40" t="s">
        <v>1221</v>
      </c>
      <c r="AF414" s="103">
        <v>45828</v>
      </c>
      <c r="AG414" s="40">
        <v>54945</v>
      </c>
      <c r="AH414" s="40">
        <f>VLOOKUP(Таблица310[[#This Row],[№ акта]],'Степень зрелости 2025'!$H$13:$I$583,2,FALSE)</f>
        <v>65</v>
      </c>
      <c r="AI414" s="40">
        <f>VLOOKUP(Таблица310[[#This Row],[№ акта]],$AQ$1:$AT$594,2,FALSE)</f>
        <v>14</v>
      </c>
      <c r="AJ414" s="40" t="str">
        <f>Таблица310[[#This Row],[Регистратор.Номенклатура]]</f>
        <v>Тристар</v>
      </c>
      <c r="AK414" s="40" t="str">
        <f>VLOOKUP(Таблица310[[#This Row],[№ акта]],$AQ$1:$AT$594,4,FALSE)</f>
        <v>Агролидер (полив)</v>
      </c>
      <c r="AL414" s="45">
        <f>VLOOKUP(Таблица310[[#This Row],[№ акта]],$AQ$1:$AT$594,3,FALSE)</f>
        <v>1.8018502411639123</v>
      </c>
      <c r="AM414" s="40" t="str">
        <f>IF(Таблица310[[#This Row],[Площадь уборки, га]]=Таблица310[[#This Row],[Площадь уборки до корр]],"нет","да")</f>
        <v>нет</v>
      </c>
      <c r="AN414" s="45">
        <f>Таблица310[[#This Row],[Площадь уборки до корр]]-Таблица310[[#This Row],[Площадь уборки, га]]</f>
        <v>0</v>
      </c>
      <c r="AQ414" t="s">
        <v>1221</v>
      </c>
      <c r="AR414">
        <v>14</v>
      </c>
      <c r="AS414">
        <v>1.8018502411639123</v>
      </c>
      <c r="AT414" t="s">
        <v>52</v>
      </c>
    </row>
    <row r="415" spans="1:46" ht="33.75" hidden="1" x14ac:dyDescent="0.25">
      <c r="A415" s="40"/>
      <c r="B415" s="41"/>
      <c r="C415" s="40">
        <f>VLOOKUP(Таблица310[[#This Row],[№ акта]],'Степень зрелости 2025'!$H$13:$I$453,2,FALSE)</f>
        <v>64</v>
      </c>
      <c r="D415" s="42" t="s">
        <v>1222</v>
      </c>
      <c r="E415" s="147">
        <v>45828</v>
      </c>
      <c r="F415" s="41">
        <v>27160</v>
      </c>
      <c r="G415" s="41">
        <v>12620</v>
      </c>
      <c r="H415" s="69">
        <v>14540</v>
      </c>
      <c r="I415" s="41">
        <v>11673.5</v>
      </c>
      <c r="J415" s="40" t="s">
        <v>914</v>
      </c>
      <c r="K415" s="40" t="s">
        <v>909</v>
      </c>
      <c r="L415" s="40">
        <v>14</v>
      </c>
      <c r="M415" s="35" t="s">
        <v>239</v>
      </c>
      <c r="N415" s="40"/>
      <c r="O415" s="40"/>
      <c r="P415" s="40"/>
      <c r="Q415" s="40"/>
      <c r="R415" s="40" t="s">
        <v>243</v>
      </c>
      <c r="S415" s="40"/>
      <c r="T415" s="40">
        <v>14</v>
      </c>
      <c r="U415" s="68" t="str">
        <f>Таблица310[[#This Row],[Регистратор.Номенклатура]]</f>
        <v>Тристар</v>
      </c>
      <c r="V415" s="45">
        <f>36*Таблица310[[#This Row],[Регистратор.Вес нетто]]/252940</f>
        <v>1.7961571914287973</v>
      </c>
      <c r="W415" s="40" t="s">
        <v>52</v>
      </c>
      <c r="X415" s="40" t="s">
        <v>178</v>
      </c>
      <c r="Y415" s="40">
        <v>6</v>
      </c>
      <c r="Z415" s="103">
        <v>45828</v>
      </c>
      <c r="AA415" s="40"/>
      <c r="AB415" s="40"/>
      <c r="AC415" s="40" t="s">
        <v>725</v>
      </c>
      <c r="AD415" s="40" t="s">
        <v>550</v>
      </c>
      <c r="AE415" s="40" t="s">
        <v>1222</v>
      </c>
      <c r="AF415" s="103">
        <v>45828</v>
      </c>
      <c r="AG415" s="40">
        <v>54946</v>
      </c>
      <c r="AH415" s="40">
        <f>VLOOKUP(Таблица310[[#This Row],[№ акта]],'Степень зрелости 2025'!$H$13:$I$583,2,FALSE)</f>
        <v>64</v>
      </c>
      <c r="AI415" s="40">
        <f>VLOOKUP(Таблица310[[#This Row],[№ акта]],$AQ$1:$AT$594,2,FALSE)</f>
        <v>14</v>
      </c>
      <c r="AJ415" s="40" t="str">
        <f>Таблица310[[#This Row],[Регистратор.Номенклатура]]</f>
        <v>Тристар</v>
      </c>
      <c r="AK415" s="40" t="str">
        <f>VLOOKUP(Таблица310[[#This Row],[№ акта]],$AQ$1:$AT$594,4,FALSE)</f>
        <v>Агролидер (полив)</v>
      </c>
      <c r="AL415" s="45">
        <f>VLOOKUP(Таблица310[[#This Row],[№ акта]],$AQ$1:$AT$594,3,FALSE)</f>
        <v>1.7961571914287973</v>
      </c>
      <c r="AM415" s="40" t="str">
        <f>IF(Таблица310[[#This Row],[Площадь уборки, га]]=Таблица310[[#This Row],[Площадь уборки до корр]],"нет","да")</f>
        <v>нет</v>
      </c>
      <c r="AN415" s="45">
        <f>Таблица310[[#This Row],[Площадь уборки до корр]]-Таблица310[[#This Row],[Площадь уборки, га]]</f>
        <v>0</v>
      </c>
      <c r="AQ415" t="s">
        <v>1222</v>
      </c>
      <c r="AR415">
        <v>14</v>
      </c>
      <c r="AS415">
        <v>1.7961571914287973</v>
      </c>
      <c r="AT415" t="s">
        <v>52</v>
      </c>
    </row>
    <row r="416" spans="1:46" ht="33.75" hidden="1" x14ac:dyDescent="0.25">
      <c r="A416" s="40"/>
      <c r="B416" s="41"/>
      <c r="C416" s="40">
        <f>VLOOKUP(Таблица310[[#This Row],[№ акта]],'Степень зрелости 2025'!$H$13:$I$453,2,FALSE)</f>
        <v>65</v>
      </c>
      <c r="D416" s="42" t="s">
        <v>1223</v>
      </c>
      <c r="E416" s="147">
        <v>45828</v>
      </c>
      <c r="F416" s="41">
        <v>28420</v>
      </c>
      <c r="G416" s="41">
        <v>12750</v>
      </c>
      <c r="H416" s="69">
        <v>15670</v>
      </c>
      <c r="I416" s="41">
        <v>11793.7</v>
      </c>
      <c r="J416" s="40" t="s">
        <v>914</v>
      </c>
      <c r="K416" s="40" t="s">
        <v>909</v>
      </c>
      <c r="L416" s="40">
        <v>14</v>
      </c>
      <c r="M416" s="35" t="s">
        <v>244</v>
      </c>
      <c r="N416" s="40"/>
      <c r="O416" s="40"/>
      <c r="P416" s="40"/>
      <c r="Q416" s="40"/>
      <c r="R416" s="40" t="s">
        <v>248</v>
      </c>
      <c r="S416" s="40"/>
      <c r="T416" s="40">
        <v>14</v>
      </c>
      <c r="U416" s="68" t="str">
        <f>Таблица310[[#This Row],[Регистратор.Номенклатура]]</f>
        <v>Тристар</v>
      </c>
      <c r="V416" s="45">
        <f>36*Таблица310[[#This Row],[Регистратор.Вес нетто]]/252940</f>
        <v>1.8146596030679212</v>
      </c>
      <c r="W416" s="40" t="s">
        <v>52</v>
      </c>
      <c r="X416" s="40" t="s">
        <v>178</v>
      </c>
      <c r="Y416" s="40">
        <v>6</v>
      </c>
      <c r="Z416" s="103">
        <v>45828</v>
      </c>
      <c r="AA416" s="40"/>
      <c r="AB416" s="40"/>
      <c r="AC416" s="40" t="s">
        <v>725</v>
      </c>
      <c r="AD416" s="40" t="s">
        <v>550</v>
      </c>
      <c r="AE416" s="40" t="s">
        <v>1223</v>
      </c>
      <c r="AF416" s="103">
        <v>45828</v>
      </c>
      <c r="AG416" s="40">
        <v>54947</v>
      </c>
      <c r="AH416" s="40">
        <f>VLOOKUP(Таблица310[[#This Row],[№ акта]],'Степень зрелости 2025'!$H$13:$I$583,2,FALSE)</f>
        <v>65</v>
      </c>
      <c r="AI416" s="40">
        <f>VLOOKUP(Таблица310[[#This Row],[№ акта]],$AQ$1:$AT$594,2,FALSE)</f>
        <v>14</v>
      </c>
      <c r="AJ416" s="40" t="str">
        <f>Таблица310[[#This Row],[Регистратор.Номенклатура]]</f>
        <v>Тристар</v>
      </c>
      <c r="AK416" s="40" t="str">
        <f>VLOOKUP(Таблица310[[#This Row],[№ акта]],$AQ$1:$AT$594,4,FALSE)</f>
        <v>Агролидер (полив)</v>
      </c>
      <c r="AL416" s="45">
        <f>VLOOKUP(Таблица310[[#This Row],[№ акта]],$AQ$1:$AT$594,3,FALSE)</f>
        <v>1.8146596030679212</v>
      </c>
      <c r="AM416" s="40" t="str">
        <f>IF(Таблица310[[#This Row],[Площадь уборки, га]]=Таблица310[[#This Row],[Площадь уборки до корр]],"нет","да")</f>
        <v>нет</v>
      </c>
      <c r="AN416" s="45">
        <f>Таблица310[[#This Row],[Площадь уборки до корр]]-Таблица310[[#This Row],[Площадь уборки, га]]</f>
        <v>0</v>
      </c>
      <c r="AQ416" t="s">
        <v>1223</v>
      </c>
      <c r="AR416">
        <v>14</v>
      </c>
      <c r="AS416">
        <v>1.8146596030679212</v>
      </c>
      <c r="AT416" t="s">
        <v>52</v>
      </c>
    </row>
    <row r="417" spans="1:46" ht="22.5" hidden="1" x14ac:dyDescent="0.25">
      <c r="A417" s="40"/>
      <c r="B417" s="41"/>
      <c r="C417" s="40">
        <f>VLOOKUP(Таблица310[[#This Row],[№ акта]],'Степень зрелости 2025'!$H$13:$I$453,2,FALSE)</f>
        <v>65</v>
      </c>
      <c r="D417" s="42" t="s">
        <v>1224</v>
      </c>
      <c r="E417" s="147">
        <v>45828</v>
      </c>
      <c r="F417" s="41">
        <v>33730</v>
      </c>
      <c r="G417" s="41">
        <v>12670</v>
      </c>
      <c r="H417" s="69">
        <v>21060</v>
      </c>
      <c r="I417" s="41">
        <v>11973.1</v>
      </c>
      <c r="J417" s="40" t="s">
        <v>914</v>
      </c>
      <c r="K417" s="40" t="s">
        <v>909</v>
      </c>
      <c r="L417" s="40">
        <v>14</v>
      </c>
      <c r="M417" s="35" t="s">
        <v>1152</v>
      </c>
      <c r="N417" s="40"/>
      <c r="O417" s="40"/>
      <c r="P417" s="40"/>
      <c r="Q417" s="40"/>
      <c r="R417" s="40" t="s">
        <v>119</v>
      </c>
      <c r="S417" s="40"/>
      <c r="T417" s="40">
        <v>14</v>
      </c>
      <c r="U417" s="68" t="str">
        <f>Таблица310[[#This Row],[Регистратор.Номенклатура]]</f>
        <v>Тристар</v>
      </c>
      <c r="V417" s="45">
        <f>36*Таблица310[[#This Row],[Регистратор.Вес нетто]]/252940</f>
        <v>1.8032735035976912</v>
      </c>
      <c r="W417" s="40" t="s">
        <v>52</v>
      </c>
      <c r="X417" s="40" t="s">
        <v>178</v>
      </c>
      <c r="Y417" s="40">
        <v>6</v>
      </c>
      <c r="Z417" s="103">
        <v>45828</v>
      </c>
      <c r="AA417" s="40"/>
      <c r="AB417" s="40"/>
      <c r="AC417" s="40" t="s">
        <v>725</v>
      </c>
      <c r="AD417" s="40" t="s">
        <v>550</v>
      </c>
      <c r="AE417" s="40" t="s">
        <v>1224</v>
      </c>
      <c r="AF417" s="103">
        <v>45828</v>
      </c>
      <c r="AG417" s="40">
        <v>54947</v>
      </c>
      <c r="AH417" s="40">
        <f>VLOOKUP(Таблица310[[#This Row],[№ акта]],'Степень зрелости 2025'!$H$13:$I$583,2,FALSE)</f>
        <v>65</v>
      </c>
      <c r="AI417" s="40">
        <f>VLOOKUP(Таблица310[[#This Row],[№ акта]],$AQ$1:$AT$594,2,FALSE)</f>
        <v>14</v>
      </c>
      <c r="AJ417" s="40" t="str">
        <f>Таблица310[[#This Row],[Регистратор.Номенклатура]]</f>
        <v>Тристар</v>
      </c>
      <c r="AK417" s="40" t="str">
        <f>VLOOKUP(Таблица310[[#This Row],[№ акта]],$AQ$1:$AT$594,4,FALSE)</f>
        <v>Агролидер (полив)</v>
      </c>
      <c r="AL417" s="45">
        <f>VLOOKUP(Таблица310[[#This Row],[№ акта]],$AQ$1:$AT$594,3,FALSE)</f>
        <v>1.8032735035976912</v>
      </c>
      <c r="AM417" s="40" t="str">
        <f>IF(Таблица310[[#This Row],[Площадь уборки, га]]=Таблица310[[#This Row],[Площадь уборки до корр]],"нет","да")</f>
        <v>нет</v>
      </c>
      <c r="AN417" s="45">
        <f>Таблица310[[#This Row],[Площадь уборки до корр]]-Таблица310[[#This Row],[Площадь уборки, га]]</f>
        <v>0</v>
      </c>
      <c r="AQ417" t="s">
        <v>1224</v>
      </c>
      <c r="AR417">
        <v>14</v>
      </c>
      <c r="AS417">
        <v>1.8032735035976912</v>
      </c>
      <c r="AT417" t="s">
        <v>52</v>
      </c>
    </row>
    <row r="418" spans="1:46" ht="33.75" hidden="1" x14ac:dyDescent="0.25">
      <c r="A418" s="40"/>
      <c r="B418" s="41"/>
      <c r="C418" s="40">
        <f>VLOOKUP(Таблица310[[#This Row],[№ акта]],'Степень зрелости 2025'!$H$13:$I$453,2,FALSE)</f>
        <v>60</v>
      </c>
      <c r="D418" s="42" t="s">
        <v>1202</v>
      </c>
      <c r="E418" s="147">
        <v>45828</v>
      </c>
      <c r="F418" s="41">
        <v>28000</v>
      </c>
      <c r="G418" s="41">
        <v>12820</v>
      </c>
      <c r="H418" s="69">
        <v>15180</v>
      </c>
      <c r="I418" s="41">
        <v>11730.3</v>
      </c>
      <c r="J418" s="40" t="s">
        <v>914</v>
      </c>
      <c r="K418" s="40" t="s">
        <v>909</v>
      </c>
      <c r="L418" s="40">
        <v>14</v>
      </c>
      <c r="M418" s="35" t="s">
        <v>311</v>
      </c>
      <c r="N418" s="40"/>
      <c r="O418" s="40"/>
      <c r="P418" s="40"/>
      <c r="Q418" s="40"/>
      <c r="R418" s="40" t="s">
        <v>315</v>
      </c>
      <c r="S418" s="40"/>
      <c r="T418" s="40">
        <v>14</v>
      </c>
      <c r="U418" s="68" t="str">
        <f>Таблица310[[#This Row],[Регистратор.Номенклатура]]</f>
        <v>Тристар</v>
      </c>
      <c r="V418" s="45">
        <f>36*Таблица310[[#This Row],[Регистратор.Вес нетто]]/252940</f>
        <v>1.8246224401043727</v>
      </c>
      <c r="W418" s="40" t="s">
        <v>52</v>
      </c>
      <c r="X418" s="40" t="s">
        <v>178</v>
      </c>
      <c r="Y418" s="40">
        <v>6</v>
      </c>
      <c r="Z418" s="103">
        <v>45828</v>
      </c>
      <c r="AA418" s="40"/>
      <c r="AB418" s="40"/>
      <c r="AC418" s="40" t="s">
        <v>724</v>
      </c>
      <c r="AD418" s="40" t="s">
        <v>550</v>
      </c>
      <c r="AE418" s="40" t="s">
        <v>1202</v>
      </c>
      <c r="AF418" s="103">
        <v>45828</v>
      </c>
      <c r="AG418" s="40">
        <v>54948</v>
      </c>
      <c r="AH418" s="40">
        <f>VLOOKUP(Таблица310[[#This Row],[№ акта]],'Степень зрелости 2025'!$H$13:$I$583,2,FALSE)</f>
        <v>60</v>
      </c>
      <c r="AI418" s="40">
        <f>VLOOKUP(Таблица310[[#This Row],[№ акта]],$AQ$1:$AT$594,2,FALSE)</f>
        <v>14</v>
      </c>
      <c r="AJ418" s="40" t="str">
        <f>Таблица310[[#This Row],[Регистратор.Номенклатура]]</f>
        <v>Тристар</v>
      </c>
      <c r="AK418" s="40" t="str">
        <f>VLOOKUP(Таблица310[[#This Row],[№ акта]],$AQ$1:$AT$594,4,FALSE)</f>
        <v>Агролидер (полив)</v>
      </c>
      <c r="AL418" s="45">
        <f>VLOOKUP(Таблица310[[#This Row],[№ акта]],$AQ$1:$AT$594,3,FALSE)</f>
        <v>1.8246224401043727</v>
      </c>
      <c r="AM418" s="40" t="str">
        <f>IF(Таблица310[[#This Row],[Площадь уборки, га]]=Таблица310[[#This Row],[Площадь уборки до корр]],"нет","да")</f>
        <v>нет</v>
      </c>
      <c r="AN418" s="45">
        <f>Таблица310[[#This Row],[Площадь уборки до корр]]-Таблица310[[#This Row],[Площадь уборки, га]]</f>
        <v>0</v>
      </c>
      <c r="AQ418" t="s">
        <v>1202</v>
      </c>
      <c r="AR418">
        <v>14</v>
      </c>
      <c r="AS418">
        <v>1.8246224401043727</v>
      </c>
      <c r="AT418" t="s">
        <v>52</v>
      </c>
    </row>
    <row r="419" spans="1:46" ht="22.5" hidden="1" x14ac:dyDescent="0.25">
      <c r="A419" s="40"/>
      <c r="B419" s="41"/>
      <c r="C419" s="40">
        <f>VLOOKUP(Таблица310[[#This Row],[№ акта]],'Степень зрелости 2025'!$H$13:$I$453,2,FALSE)</f>
        <v>66</v>
      </c>
      <c r="D419" s="42" t="s">
        <v>1203</v>
      </c>
      <c r="E419" s="147">
        <v>45828</v>
      </c>
      <c r="F419" s="41">
        <v>28060</v>
      </c>
      <c r="G419" s="41">
        <v>12810</v>
      </c>
      <c r="H419" s="69">
        <v>15250</v>
      </c>
      <c r="I419" s="41">
        <v>11785.2</v>
      </c>
      <c r="J419" s="40" t="s">
        <v>914</v>
      </c>
      <c r="K419" s="40" t="s">
        <v>909</v>
      </c>
      <c r="L419" s="40">
        <v>14</v>
      </c>
      <c r="M419" s="35" t="s">
        <v>133</v>
      </c>
      <c r="N419" s="40"/>
      <c r="O419" s="40"/>
      <c r="P419" s="40"/>
      <c r="Q419" s="40"/>
      <c r="R419" s="40" t="s">
        <v>137</v>
      </c>
      <c r="S419" s="40"/>
      <c r="T419" s="40">
        <v>14</v>
      </c>
      <c r="U419" s="68" t="str">
        <f>Таблица310[[#This Row],[Регистратор.Номенклатура]]</f>
        <v>Тристар</v>
      </c>
      <c r="V419" s="45">
        <f>36*Таблица310[[#This Row],[Регистратор.Вес нетто]]/252940</f>
        <v>1.8231991776705938</v>
      </c>
      <c r="W419" s="40" t="s">
        <v>52</v>
      </c>
      <c r="X419" s="40" t="s">
        <v>178</v>
      </c>
      <c r="Y419" s="40">
        <v>6</v>
      </c>
      <c r="Z419" s="103">
        <v>45828</v>
      </c>
      <c r="AA419" s="40"/>
      <c r="AB419" s="40"/>
      <c r="AC419" s="40" t="s">
        <v>725</v>
      </c>
      <c r="AD419" s="40" t="s">
        <v>550</v>
      </c>
      <c r="AE419" s="40" t="s">
        <v>1203</v>
      </c>
      <c r="AF419" s="103">
        <v>45828</v>
      </c>
      <c r="AG419" s="40">
        <v>54948</v>
      </c>
      <c r="AH419" s="40">
        <f>VLOOKUP(Таблица310[[#This Row],[№ акта]],'Степень зрелости 2025'!$H$13:$I$583,2,FALSE)</f>
        <v>66</v>
      </c>
      <c r="AI419" s="40">
        <f>VLOOKUP(Таблица310[[#This Row],[№ акта]],$AQ$1:$AT$594,2,FALSE)</f>
        <v>14</v>
      </c>
      <c r="AJ419" s="40" t="str">
        <f>Таблица310[[#This Row],[Регистратор.Номенклатура]]</f>
        <v>Тристар</v>
      </c>
      <c r="AK419" s="40" t="str">
        <f>VLOOKUP(Таблица310[[#This Row],[№ акта]],$AQ$1:$AT$594,4,FALSE)</f>
        <v>Агролидер (полив)</v>
      </c>
      <c r="AL419" s="45">
        <f>VLOOKUP(Таблица310[[#This Row],[№ акта]],$AQ$1:$AT$594,3,FALSE)</f>
        <v>1.8231991776705938</v>
      </c>
      <c r="AM419" s="40" t="str">
        <f>IF(Таблица310[[#This Row],[Площадь уборки, га]]=Таблица310[[#This Row],[Площадь уборки до корр]],"нет","да")</f>
        <v>нет</v>
      </c>
      <c r="AN419" s="45">
        <f>Таблица310[[#This Row],[Площадь уборки до корр]]-Таблица310[[#This Row],[Площадь уборки, га]]</f>
        <v>0</v>
      </c>
      <c r="AQ419" t="s">
        <v>1203</v>
      </c>
      <c r="AR419">
        <v>14</v>
      </c>
      <c r="AS419">
        <v>1.8231991776705938</v>
      </c>
      <c r="AT419" t="s">
        <v>52</v>
      </c>
    </row>
    <row r="420" spans="1:46" ht="22.5" hidden="1" x14ac:dyDescent="0.25">
      <c r="A420" s="40"/>
      <c r="B420" s="41"/>
      <c r="C420" s="40">
        <f>VLOOKUP(Таблица310[[#This Row],[№ акта]],'Степень зрелости 2025'!$H$13:$I$453,2,FALSE)</f>
        <v>68</v>
      </c>
      <c r="D420" s="42" t="s">
        <v>1204</v>
      </c>
      <c r="E420" s="147">
        <v>45829</v>
      </c>
      <c r="F420" s="41">
        <v>27900</v>
      </c>
      <c r="G420" s="41">
        <v>12570</v>
      </c>
      <c r="H420" s="69">
        <v>15330</v>
      </c>
      <c r="I420" s="41">
        <v>11752.9</v>
      </c>
      <c r="J420" s="40" t="s">
        <v>914</v>
      </c>
      <c r="K420" s="40" t="s">
        <v>909</v>
      </c>
      <c r="L420" s="40">
        <v>14</v>
      </c>
      <c r="M420" s="35" t="s">
        <v>151</v>
      </c>
      <c r="N420" s="40"/>
      <c r="O420" s="40"/>
      <c r="P420" s="40"/>
      <c r="Q420" s="40"/>
      <c r="R420" s="40" t="s">
        <v>155</v>
      </c>
      <c r="S420" s="40"/>
      <c r="T420" s="40">
        <v>14</v>
      </c>
      <c r="U420" s="68" t="str">
        <f>Таблица310[[#This Row],[Регистратор.Номенклатура]]</f>
        <v>Тристар</v>
      </c>
      <c r="V420" s="45">
        <f>36*Таблица310[[#This Row],[Регистратор.Вес нетто]]/252940</f>
        <v>1.7890408792599035</v>
      </c>
      <c r="W420" s="40" t="s">
        <v>52</v>
      </c>
      <c r="X420" s="40" t="s">
        <v>178</v>
      </c>
      <c r="Y420" s="40">
        <v>6</v>
      </c>
      <c r="Z420" s="103">
        <v>45828</v>
      </c>
      <c r="AA420" s="40"/>
      <c r="AB420" s="40"/>
      <c r="AC420" s="40" t="s">
        <v>420</v>
      </c>
      <c r="AD420" s="40" t="s">
        <v>550</v>
      </c>
      <c r="AE420" s="40" t="s">
        <v>1204</v>
      </c>
      <c r="AF420" s="103">
        <v>45829</v>
      </c>
      <c r="AG420" s="40">
        <v>54951</v>
      </c>
      <c r="AH420" s="40">
        <f>VLOOKUP(Таблица310[[#This Row],[№ акта]],'Степень зрелости 2025'!$H$13:$I$583,2,FALSE)</f>
        <v>68</v>
      </c>
      <c r="AI420" s="40">
        <f>VLOOKUP(Таблица310[[#This Row],[№ акта]],$AQ$1:$AT$594,2,FALSE)</f>
        <v>14</v>
      </c>
      <c r="AJ420" s="40" t="str">
        <f>Таблица310[[#This Row],[Регистратор.Номенклатура]]</f>
        <v>Тристар</v>
      </c>
      <c r="AK420" s="40" t="str">
        <f>VLOOKUP(Таблица310[[#This Row],[№ акта]],$AQ$1:$AT$594,4,FALSE)</f>
        <v>Агролидер (полив)</v>
      </c>
      <c r="AL420" s="45">
        <f>VLOOKUP(Таблица310[[#This Row],[№ акта]],$AQ$1:$AT$594,3,FALSE)</f>
        <v>1.7890408792599035</v>
      </c>
      <c r="AM420" s="40" t="str">
        <f>IF(Таблица310[[#This Row],[Площадь уборки, га]]=Таблица310[[#This Row],[Площадь уборки до корр]],"нет","да")</f>
        <v>нет</v>
      </c>
      <c r="AN420" s="45">
        <f>Таблица310[[#This Row],[Площадь уборки до корр]]-Таблица310[[#This Row],[Площадь уборки, га]]</f>
        <v>0</v>
      </c>
      <c r="AQ420" t="s">
        <v>1204</v>
      </c>
      <c r="AR420">
        <v>14</v>
      </c>
      <c r="AS420">
        <v>1.7890408792599035</v>
      </c>
      <c r="AT420" t="s">
        <v>52</v>
      </c>
    </row>
    <row r="421" spans="1:46" ht="22.5" hidden="1" x14ac:dyDescent="0.25">
      <c r="A421" s="40"/>
      <c r="B421" s="41"/>
      <c r="C421" s="40">
        <f>VLOOKUP(Таблица310[[#This Row],[№ акта]],'Степень зрелости 2025'!$H$13:$I$453,2,FALSE)</f>
        <v>66</v>
      </c>
      <c r="D421" s="42" t="s">
        <v>1205</v>
      </c>
      <c r="E421" s="147">
        <v>45829</v>
      </c>
      <c r="F421" s="41">
        <v>37180</v>
      </c>
      <c r="G421" s="41">
        <v>12730</v>
      </c>
      <c r="H421" s="69">
        <v>24450</v>
      </c>
      <c r="I421" s="41">
        <v>11266</v>
      </c>
      <c r="J421" s="40" t="s">
        <v>914</v>
      </c>
      <c r="K421" s="40" t="s">
        <v>909</v>
      </c>
      <c r="L421" s="40">
        <v>14</v>
      </c>
      <c r="M421" s="35" t="s">
        <v>160</v>
      </c>
      <c r="N421" s="40"/>
      <c r="O421" s="40"/>
      <c r="P421" s="40"/>
      <c r="Q421" s="40"/>
      <c r="R421" s="40" t="s">
        <v>164</v>
      </c>
      <c r="S421" s="40"/>
      <c r="T421" s="40">
        <v>14</v>
      </c>
      <c r="U421" s="68" t="str">
        <f>Таблица310[[#This Row],[Регистратор.Номенклатура]]</f>
        <v>Тристар</v>
      </c>
      <c r="V421" s="45">
        <f>36*Таблица310[[#This Row],[Регистратор.Вес нетто]]/252940</f>
        <v>1.8118130782003636</v>
      </c>
      <c r="W421" s="40" t="s">
        <v>52</v>
      </c>
      <c r="X421" s="40" t="s">
        <v>178</v>
      </c>
      <c r="Y421" s="40">
        <v>6</v>
      </c>
      <c r="Z421" s="103">
        <v>45828</v>
      </c>
      <c r="AA421" s="40"/>
      <c r="AB421" s="40"/>
      <c r="AC421" s="40" t="s">
        <v>725</v>
      </c>
      <c r="AD421" s="40" t="s">
        <v>550</v>
      </c>
      <c r="AE421" s="40" t="s">
        <v>1205</v>
      </c>
      <c r="AF421" s="103">
        <v>45829</v>
      </c>
      <c r="AG421" s="40">
        <v>54952</v>
      </c>
      <c r="AH421" s="40">
        <f>VLOOKUP(Таблица310[[#This Row],[№ акта]],'Степень зрелости 2025'!$H$13:$I$583,2,FALSE)</f>
        <v>66</v>
      </c>
      <c r="AI421" s="40">
        <f>VLOOKUP(Таблица310[[#This Row],[№ акта]],$AQ$1:$AT$594,2,FALSE)</f>
        <v>14</v>
      </c>
      <c r="AJ421" s="40" t="str">
        <f>Таблица310[[#This Row],[Регистратор.Номенклатура]]</f>
        <v>Тристар</v>
      </c>
      <c r="AK421" s="40" t="str">
        <f>VLOOKUP(Таблица310[[#This Row],[№ акта]],$AQ$1:$AT$594,4,FALSE)</f>
        <v>Агролидер (полив)</v>
      </c>
      <c r="AL421" s="45">
        <f>VLOOKUP(Таблица310[[#This Row],[№ акта]],$AQ$1:$AT$594,3,FALSE)</f>
        <v>1.8118130782003636</v>
      </c>
      <c r="AM421" s="40" t="str">
        <f>IF(Таблица310[[#This Row],[Площадь уборки, га]]=Таблица310[[#This Row],[Площадь уборки до корр]],"нет","да")</f>
        <v>нет</v>
      </c>
      <c r="AN421" s="45">
        <f>Таблица310[[#This Row],[Площадь уборки до корр]]-Таблица310[[#This Row],[Площадь уборки, га]]</f>
        <v>0</v>
      </c>
      <c r="AQ421" t="s">
        <v>1205</v>
      </c>
      <c r="AR421">
        <v>14</v>
      </c>
      <c r="AS421">
        <v>1.8118130782003636</v>
      </c>
      <c r="AT421" t="s">
        <v>52</v>
      </c>
    </row>
    <row r="422" spans="1:46" ht="22.5" hidden="1" x14ac:dyDescent="0.25">
      <c r="A422" s="40"/>
      <c r="B422" s="41"/>
      <c r="C422" s="40">
        <v>62</v>
      </c>
      <c r="D422" s="42" t="s">
        <v>1206</v>
      </c>
      <c r="E422" s="147">
        <v>45829</v>
      </c>
      <c r="F422" s="41">
        <v>31680</v>
      </c>
      <c r="G422" s="41">
        <v>12720</v>
      </c>
      <c r="H422" s="69">
        <v>18960</v>
      </c>
      <c r="I422" s="41">
        <v>11448</v>
      </c>
      <c r="J422" s="40" t="s">
        <v>914</v>
      </c>
      <c r="K422" s="40" t="s">
        <v>909</v>
      </c>
      <c r="L422" s="40">
        <v>14</v>
      </c>
      <c r="M422" s="35" t="s">
        <v>347</v>
      </c>
      <c r="N422" s="40"/>
      <c r="O422" s="40"/>
      <c r="P422" s="40"/>
      <c r="Q422" s="40"/>
      <c r="R422" s="40" t="s">
        <v>351</v>
      </c>
      <c r="S422" s="40"/>
      <c r="T422" s="40">
        <v>14</v>
      </c>
      <c r="U422" s="68" t="str">
        <f>Таблица310[[#This Row],[Регистратор.Номенклатура]]</f>
        <v>Тристар</v>
      </c>
      <c r="V422" s="45">
        <f>36*Таблица310[[#This Row],[Регистратор.Вес нетто]]/252940</f>
        <v>1.810389815766585</v>
      </c>
      <c r="W422" s="40" t="s">
        <v>52</v>
      </c>
      <c r="X422" s="40" t="s">
        <v>178</v>
      </c>
      <c r="Y422" s="40">
        <v>6</v>
      </c>
      <c r="Z422" s="103">
        <v>45828</v>
      </c>
      <c r="AA422" s="40"/>
      <c r="AB422" s="40"/>
      <c r="AC422" s="40" t="s">
        <v>725</v>
      </c>
      <c r="AD422" s="40" t="s">
        <v>511</v>
      </c>
      <c r="AE422" s="40" t="s">
        <v>1206</v>
      </c>
      <c r="AF422" s="103">
        <v>45829</v>
      </c>
      <c r="AG422" s="40">
        <v>54952</v>
      </c>
      <c r="AH422" s="40">
        <f>VLOOKUP(Таблица310[[#This Row],[№ акта]],'Степень зрелости 2025'!$H$13:$I$583,2,FALSE)</f>
        <v>62</v>
      </c>
      <c r="AI422" s="40">
        <f>VLOOKUP(Таблица310[[#This Row],[№ акта]],$AQ$1:$AT$594,2,FALSE)</f>
        <v>14</v>
      </c>
      <c r="AJ422" s="40" t="str">
        <f>Таблица310[[#This Row],[Регистратор.Номенклатура]]</f>
        <v>Тристар</v>
      </c>
      <c r="AK422" s="40" t="str">
        <f>VLOOKUP(Таблица310[[#This Row],[№ акта]],$AQ$1:$AT$594,4,FALSE)</f>
        <v>Агролидер (полив)</v>
      </c>
      <c r="AL422" s="45">
        <f>VLOOKUP(Таблица310[[#This Row],[№ акта]],$AQ$1:$AT$594,3,FALSE)</f>
        <v>1.810389815766585</v>
      </c>
      <c r="AM422" s="40" t="str">
        <f>IF(Таблица310[[#This Row],[Площадь уборки, га]]=Таблица310[[#This Row],[Площадь уборки до корр]],"нет","да")</f>
        <v>нет</v>
      </c>
      <c r="AN422" s="45">
        <f>Таблица310[[#This Row],[Площадь уборки до корр]]-Таблица310[[#This Row],[Площадь уборки, га]]</f>
        <v>0</v>
      </c>
      <c r="AQ422" t="s">
        <v>1206</v>
      </c>
      <c r="AR422">
        <v>14</v>
      </c>
      <c r="AS422">
        <v>1.810389815766585</v>
      </c>
      <c r="AT422" t="s">
        <v>52</v>
      </c>
    </row>
    <row r="423" spans="1:46" ht="33.75" hidden="1" x14ac:dyDescent="0.25">
      <c r="A423" s="40"/>
      <c r="B423" s="41"/>
      <c r="C423" s="40">
        <f>VLOOKUP(Таблица310[[#This Row],[№ акта]],'Степень зрелости 2025'!$H$13:$I$453,2,FALSE)</f>
        <v>64</v>
      </c>
      <c r="D423" s="42" t="s">
        <v>1207</v>
      </c>
      <c r="E423" s="147">
        <v>45829</v>
      </c>
      <c r="F423" s="41">
        <v>28170</v>
      </c>
      <c r="G423" s="41">
        <v>12690</v>
      </c>
      <c r="H423" s="69">
        <v>15480</v>
      </c>
      <c r="I423" s="41">
        <v>11611.3</v>
      </c>
      <c r="J423" s="40" t="s">
        <v>914</v>
      </c>
      <c r="K423" s="40" t="s">
        <v>909</v>
      </c>
      <c r="L423" s="40">
        <v>14</v>
      </c>
      <c r="M423" s="35" t="s">
        <v>195</v>
      </c>
      <c r="N423" s="40"/>
      <c r="O423" s="40"/>
      <c r="P423" s="40"/>
      <c r="Q423" s="40"/>
      <c r="R423" s="40" t="s">
        <v>199</v>
      </c>
      <c r="S423" s="40"/>
      <c r="T423" s="40">
        <v>14</v>
      </c>
      <c r="U423" s="68" t="str">
        <f>Таблица310[[#This Row],[Регистратор.Номенклатура]]</f>
        <v>Тристар</v>
      </c>
      <c r="V423" s="45">
        <f>36*Таблица310[[#This Row],[Регистратор.Вес нетто]]/252940</f>
        <v>1.8061200284652488</v>
      </c>
      <c r="W423" s="40" t="s">
        <v>52</v>
      </c>
      <c r="X423" s="40" t="s">
        <v>178</v>
      </c>
      <c r="Y423" s="40">
        <v>6</v>
      </c>
      <c r="Z423" s="103">
        <v>45828</v>
      </c>
      <c r="AA423" s="40"/>
      <c r="AB423" s="40"/>
      <c r="AC423" s="40" t="s">
        <v>725</v>
      </c>
      <c r="AD423" s="40" t="s">
        <v>550</v>
      </c>
      <c r="AE423" s="40" t="s">
        <v>1207</v>
      </c>
      <c r="AF423" s="103">
        <v>45829</v>
      </c>
      <c r="AG423" s="40">
        <v>54953</v>
      </c>
      <c r="AH423" s="40">
        <f>VLOOKUP(Таблица310[[#This Row],[№ акта]],'Степень зрелости 2025'!$H$13:$I$583,2,FALSE)</f>
        <v>64</v>
      </c>
      <c r="AI423" s="40">
        <f>VLOOKUP(Таблица310[[#This Row],[№ акта]],$AQ$1:$AT$594,2,FALSE)</f>
        <v>14</v>
      </c>
      <c r="AJ423" s="40" t="str">
        <f>Таблица310[[#This Row],[Регистратор.Номенклатура]]</f>
        <v>Тристар</v>
      </c>
      <c r="AK423" s="40" t="str">
        <f>VLOOKUP(Таблица310[[#This Row],[№ акта]],$AQ$1:$AT$594,4,FALSE)</f>
        <v>Агролидер (полив)</v>
      </c>
      <c r="AL423" s="45">
        <f>VLOOKUP(Таблица310[[#This Row],[№ акта]],$AQ$1:$AT$594,3,FALSE)</f>
        <v>1.8061200284652488</v>
      </c>
      <c r="AM423" s="40" t="str">
        <f>IF(Таблица310[[#This Row],[Площадь уборки, га]]=Таблица310[[#This Row],[Площадь уборки до корр]],"нет","да")</f>
        <v>нет</v>
      </c>
      <c r="AN423" s="45">
        <f>Таблица310[[#This Row],[Площадь уборки до корр]]-Таблица310[[#This Row],[Площадь уборки, га]]</f>
        <v>0</v>
      </c>
      <c r="AQ423" t="s">
        <v>1207</v>
      </c>
      <c r="AR423">
        <v>14</v>
      </c>
      <c r="AS423">
        <v>1.8061200284652488</v>
      </c>
      <c r="AT423" t="s">
        <v>52</v>
      </c>
    </row>
    <row r="424" spans="1:46" ht="33.75" hidden="1" x14ac:dyDescent="0.25">
      <c r="A424" s="40"/>
      <c r="B424" s="41"/>
      <c r="C424" s="40">
        <f>VLOOKUP(Таблица310[[#This Row],[№ акта]],'Степень зрелости 2025'!$H$13:$I$453,2,FALSE)</f>
        <v>66</v>
      </c>
      <c r="D424" s="42" t="s">
        <v>1208</v>
      </c>
      <c r="E424" s="147">
        <v>45829</v>
      </c>
      <c r="F424" s="41">
        <v>27490</v>
      </c>
      <c r="G424" s="41">
        <v>12750</v>
      </c>
      <c r="H424" s="69">
        <v>14740</v>
      </c>
      <c r="I424" s="41">
        <v>11666.2</v>
      </c>
      <c r="J424" s="40" t="s">
        <v>914</v>
      </c>
      <c r="K424" s="40" t="s">
        <v>909</v>
      </c>
      <c r="L424" s="40">
        <v>14</v>
      </c>
      <c r="M424" s="35" t="s">
        <v>239</v>
      </c>
      <c r="N424" s="40"/>
      <c r="O424" s="40"/>
      <c r="P424" s="40"/>
      <c r="Q424" s="40"/>
      <c r="R424" s="40" t="s">
        <v>243</v>
      </c>
      <c r="S424" s="40"/>
      <c r="T424" s="40">
        <v>14</v>
      </c>
      <c r="U424" s="68" t="str">
        <f>Таблица310[[#This Row],[Регистратор.Номенклатура]]</f>
        <v>Тристар</v>
      </c>
      <c r="V424" s="45">
        <f>36*Таблица310[[#This Row],[Регистратор.Вес нетто]]/252940</f>
        <v>1.8146596030679212</v>
      </c>
      <c r="W424" s="40" t="s">
        <v>52</v>
      </c>
      <c r="X424" s="40" t="s">
        <v>178</v>
      </c>
      <c r="Y424" s="40">
        <v>6</v>
      </c>
      <c r="Z424" s="103">
        <v>45828</v>
      </c>
      <c r="AA424" s="40"/>
      <c r="AB424" s="40"/>
      <c r="AC424" s="40" t="s">
        <v>725</v>
      </c>
      <c r="AD424" s="40" t="s">
        <v>550</v>
      </c>
      <c r="AE424" s="40" t="s">
        <v>1208</v>
      </c>
      <c r="AF424" s="103">
        <v>45829</v>
      </c>
      <c r="AG424" s="40">
        <v>54953</v>
      </c>
      <c r="AH424" s="40">
        <f>VLOOKUP(Таблица310[[#This Row],[№ акта]],'Степень зрелости 2025'!$H$13:$I$583,2,FALSE)</f>
        <v>66</v>
      </c>
      <c r="AI424" s="40">
        <f>VLOOKUP(Таблица310[[#This Row],[№ акта]],$AQ$1:$AT$594,2,FALSE)</f>
        <v>14</v>
      </c>
      <c r="AJ424" s="40" t="str">
        <f>Таблица310[[#This Row],[Регистратор.Номенклатура]]</f>
        <v>Тристар</v>
      </c>
      <c r="AK424" s="40" t="str">
        <f>VLOOKUP(Таблица310[[#This Row],[№ акта]],$AQ$1:$AT$594,4,FALSE)</f>
        <v>Агролидер (полив)</v>
      </c>
      <c r="AL424" s="45">
        <f>VLOOKUP(Таблица310[[#This Row],[№ акта]],$AQ$1:$AT$594,3,FALSE)</f>
        <v>1.8146596030679212</v>
      </c>
      <c r="AM424" s="40" t="str">
        <f>IF(Таблица310[[#This Row],[Площадь уборки, га]]=Таблица310[[#This Row],[Площадь уборки до корр]],"нет","да")</f>
        <v>нет</v>
      </c>
      <c r="AN424" s="45">
        <f>Таблица310[[#This Row],[Площадь уборки до корр]]-Таблица310[[#This Row],[Площадь уборки, га]]</f>
        <v>0</v>
      </c>
      <c r="AQ424" t="s">
        <v>1208</v>
      </c>
      <c r="AR424">
        <v>14</v>
      </c>
      <c r="AS424">
        <v>1.8146596030679212</v>
      </c>
      <c r="AT424" t="s">
        <v>52</v>
      </c>
    </row>
    <row r="425" spans="1:46" ht="33.75" hidden="1" x14ac:dyDescent="0.25">
      <c r="A425" s="40"/>
      <c r="B425" s="41"/>
      <c r="C425" s="40">
        <f>VLOOKUP(Таблица310[[#This Row],[№ акта]],'Степень зрелости 2025'!$H$13:$I$453,2,FALSE)</f>
        <v>65</v>
      </c>
      <c r="D425" s="42" t="s">
        <v>1209</v>
      </c>
      <c r="E425" s="147">
        <v>45829</v>
      </c>
      <c r="F425" s="41">
        <v>28790</v>
      </c>
      <c r="G425" s="41">
        <v>12970</v>
      </c>
      <c r="H425" s="69">
        <v>15820</v>
      </c>
      <c r="I425" s="41">
        <v>11608.1</v>
      </c>
      <c r="J425" s="40" t="s">
        <v>914</v>
      </c>
      <c r="K425" s="40" t="s">
        <v>909</v>
      </c>
      <c r="L425" s="40">
        <v>14</v>
      </c>
      <c r="M425" s="35" t="s">
        <v>244</v>
      </c>
      <c r="N425" s="40"/>
      <c r="O425" s="40"/>
      <c r="P425" s="40"/>
      <c r="Q425" s="40"/>
      <c r="R425" s="40" t="s">
        <v>248</v>
      </c>
      <c r="S425" s="40"/>
      <c r="T425" s="40">
        <v>14</v>
      </c>
      <c r="U425" s="68" t="str">
        <f>Таблица310[[#This Row],[Регистратор.Номенклатура]]</f>
        <v>Тристар</v>
      </c>
      <c r="V425" s="45">
        <f>36*Таблица310[[#This Row],[Регистратор.Вес нетто]]/252940</f>
        <v>1.8459713766110539</v>
      </c>
      <c r="W425" s="40" t="s">
        <v>52</v>
      </c>
      <c r="X425" s="40" t="s">
        <v>178</v>
      </c>
      <c r="Y425" s="40">
        <v>6</v>
      </c>
      <c r="Z425" s="103">
        <v>45828</v>
      </c>
      <c r="AA425" s="40"/>
      <c r="AB425" s="40"/>
      <c r="AC425" s="40" t="s">
        <v>725</v>
      </c>
      <c r="AD425" s="40" t="s">
        <v>550</v>
      </c>
      <c r="AE425" s="40" t="s">
        <v>1209</v>
      </c>
      <c r="AF425" s="103">
        <v>45829</v>
      </c>
      <c r="AG425" s="40">
        <v>54953</v>
      </c>
      <c r="AH425" s="40">
        <f>VLOOKUP(Таблица310[[#This Row],[№ акта]],'Степень зрелости 2025'!$H$13:$I$583,2,FALSE)</f>
        <v>65</v>
      </c>
      <c r="AI425" s="40">
        <f>VLOOKUP(Таблица310[[#This Row],[№ акта]],$AQ$1:$AT$594,2,FALSE)</f>
        <v>14</v>
      </c>
      <c r="AJ425" s="40" t="str">
        <f>Таблица310[[#This Row],[Регистратор.Номенклатура]]</f>
        <v>Тристар</v>
      </c>
      <c r="AK425" s="40" t="str">
        <f>VLOOKUP(Таблица310[[#This Row],[№ акта]],$AQ$1:$AT$594,4,FALSE)</f>
        <v>Агролидер (полив)</v>
      </c>
      <c r="AL425" s="45">
        <f>VLOOKUP(Таблица310[[#This Row],[№ акта]],$AQ$1:$AT$594,3,FALSE)</f>
        <v>1.8459713766110539</v>
      </c>
      <c r="AM425" s="40" t="str">
        <f>IF(Таблица310[[#This Row],[Площадь уборки, га]]=Таблица310[[#This Row],[Площадь уборки до корр]],"нет","да")</f>
        <v>нет</v>
      </c>
      <c r="AN425" s="45">
        <f>Таблица310[[#This Row],[Площадь уборки до корр]]-Таблица310[[#This Row],[Площадь уборки, га]]</f>
        <v>0</v>
      </c>
      <c r="AQ425" t="s">
        <v>1209</v>
      </c>
      <c r="AR425">
        <v>14</v>
      </c>
      <c r="AS425">
        <v>1.8459713766110539</v>
      </c>
      <c r="AT425" t="s">
        <v>52</v>
      </c>
    </row>
    <row r="426" spans="1:46" ht="33.75" hidden="1" x14ac:dyDescent="0.25">
      <c r="A426" s="40"/>
      <c r="B426" s="41"/>
      <c r="C426" s="40">
        <f>VLOOKUP(Таблица310[[#This Row],[№ акта]],'Степень зрелости 2025'!$H$13:$I$453,2,FALSE)</f>
        <v>70</v>
      </c>
      <c r="D426" s="42" t="s">
        <v>1210</v>
      </c>
      <c r="E426" s="147">
        <v>45829</v>
      </c>
      <c r="F426" s="41">
        <v>28030</v>
      </c>
      <c r="G426" s="41">
        <v>12830</v>
      </c>
      <c r="H426" s="69">
        <v>15200</v>
      </c>
      <c r="I426" s="41">
        <v>12124.3</v>
      </c>
      <c r="J426" s="40" t="s">
        <v>914</v>
      </c>
      <c r="K426" s="40" t="s">
        <v>909</v>
      </c>
      <c r="L426" s="40">
        <v>14</v>
      </c>
      <c r="M426" s="35" t="s">
        <v>311</v>
      </c>
      <c r="N426" s="40"/>
      <c r="O426" s="40"/>
      <c r="P426" s="40"/>
      <c r="Q426" s="40"/>
      <c r="R426" s="40" t="s">
        <v>315</v>
      </c>
      <c r="S426" s="40"/>
      <c r="T426" s="40">
        <v>14</v>
      </c>
      <c r="U426" s="68" t="str">
        <f>Таблица310[[#This Row],[Регистратор.Номенклатура]]</f>
        <v>Тристар</v>
      </c>
      <c r="V426" s="45">
        <f>8*Таблица310[[#This Row],[Регистратор.Вес нетто]]/71720</f>
        <v>1.4311210262130507</v>
      </c>
      <c r="W426" s="40" t="s">
        <v>52</v>
      </c>
      <c r="X426" s="40" t="s">
        <v>178</v>
      </c>
      <c r="Y426" s="40">
        <v>7</v>
      </c>
      <c r="Z426" s="103">
        <v>45829</v>
      </c>
      <c r="AA426" s="40"/>
      <c r="AB426" s="40"/>
      <c r="AC426" s="40" t="s">
        <v>420</v>
      </c>
      <c r="AD426" s="40" t="s">
        <v>550</v>
      </c>
      <c r="AE426" s="40" t="s">
        <v>1210</v>
      </c>
      <c r="AF426" s="103">
        <v>45829</v>
      </c>
      <c r="AG426" s="40">
        <v>54954</v>
      </c>
      <c r="AH426" s="40">
        <f>VLOOKUP(Таблица310[[#This Row],[№ акта]],'Степень зрелости 2025'!$H$13:$I$583,2,FALSE)</f>
        <v>70</v>
      </c>
      <c r="AI426" s="40">
        <f>VLOOKUP(Таблица310[[#This Row],[№ акта]],$AQ$1:$AT$594,2,FALSE)</f>
        <v>14</v>
      </c>
      <c r="AJ426" s="40" t="str">
        <f>Таблица310[[#This Row],[Регистратор.Номенклатура]]</f>
        <v>Тристар</v>
      </c>
      <c r="AK426" s="40" t="str">
        <f>VLOOKUP(Таблица310[[#This Row],[№ акта]],$AQ$1:$AT$594,4,FALSE)</f>
        <v>Агролидер (полив)</v>
      </c>
      <c r="AL426" s="45">
        <f>VLOOKUP(Таблица310[[#This Row],[№ акта]],$AQ$1:$AT$594,3,FALSE)</f>
        <v>1.4311210262130507</v>
      </c>
      <c r="AM426" s="40" t="str">
        <f>IF(Таблица310[[#This Row],[Площадь уборки, га]]=Таблица310[[#This Row],[Площадь уборки до корр]],"нет","да")</f>
        <v>нет</v>
      </c>
      <c r="AN426" s="45">
        <f>Таблица310[[#This Row],[Площадь уборки до корр]]-Таблица310[[#This Row],[Площадь уборки, га]]</f>
        <v>0</v>
      </c>
      <c r="AQ426" t="s">
        <v>1210</v>
      </c>
      <c r="AR426">
        <v>14</v>
      </c>
      <c r="AS426">
        <v>1.4311210262130507</v>
      </c>
      <c r="AT426" t="s">
        <v>52</v>
      </c>
    </row>
    <row r="427" spans="1:46" ht="22.5" hidden="1" x14ac:dyDescent="0.25">
      <c r="A427" s="40"/>
      <c r="B427" s="41"/>
      <c r="C427" s="40">
        <v>73</v>
      </c>
      <c r="D427" s="42" t="s">
        <v>1211</v>
      </c>
      <c r="E427" s="147">
        <v>45829</v>
      </c>
      <c r="F427" s="41">
        <v>36230</v>
      </c>
      <c r="G427" s="41">
        <v>14990</v>
      </c>
      <c r="H427" s="69">
        <v>21240</v>
      </c>
      <c r="I427" s="41">
        <v>13940.7</v>
      </c>
      <c r="J427" s="40" t="s">
        <v>914</v>
      </c>
      <c r="K427" s="40" t="s">
        <v>909</v>
      </c>
      <c r="L427" s="40">
        <v>14</v>
      </c>
      <c r="M427" s="35" t="s">
        <v>1152</v>
      </c>
      <c r="N427" s="40"/>
      <c r="O427" s="40"/>
      <c r="P427" s="40"/>
      <c r="Q427" s="40"/>
      <c r="R427" s="40" t="s">
        <v>119</v>
      </c>
      <c r="S427" s="40"/>
      <c r="T427" s="40">
        <v>14</v>
      </c>
      <c r="U427" s="68" t="str">
        <f>Таблица310[[#This Row],[Регистратор.Номенклатура]]</f>
        <v>Тристар</v>
      </c>
      <c r="V427" s="45">
        <f>8*Таблица310[[#This Row],[Регистратор.Вес нетто]]/71720</f>
        <v>1.6720580033463468</v>
      </c>
      <c r="W427" s="40" t="s">
        <v>52</v>
      </c>
      <c r="X427" s="40" t="s">
        <v>178</v>
      </c>
      <c r="Y427" s="40">
        <v>7</v>
      </c>
      <c r="Z427" s="103">
        <v>45829</v>
      </c>
      <c r="AA427" s="40"/>
      <c r="AB427" s="40"/>
      <c r="AC427" s="40" t="s">
        <v>420</v>
      </c>
      <c r="AD427" s="40" t="s">
        <v>833</v>
      </c>
      <c r="AE427" s="40" t="s">
        <v>1211</v>
      </c>
      <c r="AF427" s="103">
        <v>45829</v>
      </c>
      <c r="AG427" s="40">
        <v>54955</v>
      </c>
      <c r="AH427" s="40">
        <f>VLOOKUP(Таблица310[[#This Row],[№ акта]],'Степень зрелости 2025'!$H$13:$I$583,2,FALSE)</f>
        <v>73</v>
      </c>
      <c r="AI427" s="40">
        <f>VLOOKUP(Таблица310[[#This Row],[№ акта]],$AQ$1:$AT$594,2,FALSE)</f>
        <v>14</v>
      </c>
      <c r="AJ427" s="40" t="str">
        <f>Таблица310[[#This Row],[Регистратор.Номенклатура]]</f>
        <v>Тристар</v>
      </c>
      <c r="AK427" s="40" t="str">
        <f>VLOOKUP(Таблица310[[#This Row],[№ акта]],$AQ$1:$AT$594,4,FALSE)</f>
        <v>Агролидер (полив)</v>
      </c>
      <c r="AL427" s="45">
        <f>VLOOKUP(Таблица310[[#This Row],[№ акта]],$AQ$1:$AT$594,3,FALSE)</f>
        <v>1.6720580033463468</v>
      </c>
      <c r="AM427" s="40" t="str">
        <f>IF(Таблица310[[#This Row],[Площадь уборки, га]]=Таблица310[[#This Row],[Площадь уборки до корр]],"нет","да")</f>
        <v>нет</v>
      </c>
      <c r="AN427" s="45">
        <f>Таблица310[[#This Row],[Площадь уборки до корр]]-Таблица310[[#This Row],[Площадь уборки, га]]</f>
        <v>0</v>
      </c>
      <c r="AQ427" t="s">
        <v>1211</v>
      </c>
      <c r="AR427">
        <v>14</v>
      </c>
      <c r="AS427">
        <v>1.6720580033463468</v>
      </c>
      <c r="AT427" t="s">
        <v>52</v>
      </c>
    </row>
    <row r="428" spans="1:46" ht="22.5" hidden="1" x14ac:dyDescent="0.25">
      <c r="A428" s="40"/>
      <c r="B428" s="41"/>
      <c r="C428" s="40">
        <v>75</v>
      </c>
      <c r="D428" s="42" t="s">
        <v>1212</v>
      </c>
      <c r="E428" s="147">
        <v>45829</v>
      </c>
      <c r="F428" s="41">
        <v>30090</v>
      </c>
      <c r="G428" s="41">
        <v>14990</v>
      </c>
      <c r="H428" s="69">
        <v>15100</v>
      </c>
      <c r="I428" s="41">
        <v>13865.7</v>
      </c>
      <c r="J428" s="40" t="s">
        <v>914</v>
      </c>
      <c r="K428" s="40" t="s">
        <v>909</v>
      </c>
      <c r="L428" s="40">
        <v>14</v>
      </c>
      <c r="M428" s="35" t="s">
        <v>133</v>
      </c>
      <c r="N428" s="40"/>
      <c r="O428" s="40"/>
      <c r="P428" s="40"/>
      <c r="Q428" s="40"/>
      <c r="R428" s="40" t="s">
        <v>137</v>
      </c>
      <c r="S428" s="40"/>
      <c r="T428" s="40">
        <v>14</v>
      </c>
      <c r="U428" s="68" t="str">
        <f>Таблица310[[#This Row],[Регистратор.Номенклатура]]</f>
        <v>Тристар</v>
      </c>
      <c r="V428" s="45">
        <f>8*Таблица310[[#This Row],[Регистратор.Вес нетто]]/71720</f>
        <v>1.6720580033463468</v>
      </c>
      <c r="W428" s="40" t="s">
        <v>52</v>
      </c>
      <c r="X428" s="40" t="s">
        <v>178</v>
      </c>
      <c r="Y428" s="40">
        <v>7</v>
      </c>
      <c r="Z428" s="103">
        <v>45829</v>
      </c>
      <c r="AA428" s="40"/>
      <c r="AB428" s="40"/>
      <c r="AC428" s="40" t="s">
        <v>420</v>
      </c>
      <c r="AD428" s="40" t="s">
        <v>833</v>
      </c>
      <c r="AE428" s="40" t="s">
        <v>1212</v>
      </c>
      <c r="AF428" s="103">
        <v>45829</v>
      </c>
      <c r="AG428" s="40">
        <v>54955</v>
      </c>
      <c r="AH428" s="40">
        <f>VLOOKUP(Таблица310[[#This Row],[№ акта]],'Степень зрелости 2025'!$H$13:$I$583,2,FALSE)</f>
        <v>75</v>
      </c>
      <c r="AI428" s="40">
        <f>VLOOKUP(Таблица310[[#This Row],[№ акта]],$AQ$1:$AT$594,2,FALSE)</f>
        <v>14</v>
      </c>
      <c r="AJ428" s="40" t="str">
        <f>Таблица310[[#This Row],[Регистратор.Номенклатура]]</f>
        <v>Тристар</v>
      </c>
      <c r="AK428" s="40" t="str">
        <f>VLOOKUP(Таблица310[[#This Row],[№ акта]],$AQ$1:$AT$594,4,FALSE)</f>
        <v>Агролидер (полив)</v>
      </c>
      <c r="AL428" s="45">
        <f>VLOOKUP(Таблица310[[#This Row],[№ акта]],$AQ$1:$AT$594,3,FALSE)</f>
        <v>1.6720580033463468</v>
      </c>
      <c r="AM428" s="40" t="str">
        <f>IF(Таблица310[[#This Row],[Площадь уборки, га]]=Таблица310[[#This Row],[Площадь уборки до корр]],"нет","да")</f>
        <v>нет</v>
      </c>
      <c r="AN428" s="45">
        <f>Таблица310[[#This Row],[Площадь уборки до корр]]-Таблица310[[#This Row],[Площадь уборки, га]]</f>
        <v>0</v>
      </c>
      <c r="AQ428" t="s">
        <v>1212</v>
      </c>
      <c r="AR428">
        <v>14</v>
      </c>
      <c r="AS428">
        <v>1.6720580033463468</v>
      </c>
      <c r="AT428" t="s">
        <v>52</v>
      </c>
    </row>
    <row r="429" spans="1:46" ht="22.5" hidden="1" x14ac:dyDescent="0.25">
      <c r="A429" s="40"/>
      <c r="B429" s="41"/>
      <c r="C429" s="40">
        <f>VLOOKUP(Таблица310[[#This Row],[№ акта]],'Степень зрелости 2025'!$H$13:$I$453,2,FALSE)</f>
        <v>69</v>
      </c>
      <c r="D429" s="42" t="s">
        <v>1213</v>
      </c>
      <c r="E429" s="147">
        <v>45829</v>
      </c>
      <c r="F429" s="41">
        <v>30360</v>
      </c>
      <c r="G429" s="41">
        <v>15300</v>
      </c>
      <c r="H429" s="69">
        <v>15060</v>
      </c>
      <c r="I429" s="41">
        <v>13999.5</v>
      </c>
      <c r="J429" s="40" t="s">
        <v>914</v>
      </c>
      <c r="K429" s="40" t="s">
        <v>909</v>
      </c>
      <c r="L429" s="40">
        <v>14</v>
      </c>
      <c r="M429" s="35" t="s">
        <v>151</v>
      </c>
      <c r="N429" s="40"/>
      <c r="O429" s="40"/>
      <c r="P429" s="40"/>
      <c r="Q429" s="40"/>
      <c r="R429" s="40" t="s">
        <v>155</v>
      </c>
      <c r="S429" s="40"/>
      <c r="T429" s="40">
        <v>14</v>
      </c>
      <c r="U429" s="68" t="str">
        <f>Таблица310[[#This Row],[Регистратор.Номенклатура]]</f>
        <v>Тристар</v>
      </c>
      <c r="V429" s="45">
        <f>8*Таблица310[[#This Row],[Регистратор.Вес нетто]]/71720</f>
        <v>1.7066369213608477</v>
      </c>
      <c r="W429" s="40" t="s">
        <v>52</v>
      </c>
      <c r="X429" s="40" t="s">
        <v>178</v>
      </c>
      <c r="Y429" s="40">
        <v>7</v>
      </c>
      <c r="Z429" s="103">
        <v>45829</v>
      </c>
      <c r="AA429" s="40"/>
      <c r="AB429" s="40"/>
      <c r="AC429" s="40" t="s">
        <v>420</v>
      </c>
      <c r="AD429" s="40" t="s">
        <v>550</v>
      </c>
      <c r="AE429" s="40" t="s">
        <v>1213</v>
      </c>
      <c r="AF429" s="103">
        <v>45829</v>
      </c>
      <c r="AG429" s="40">
        <v>54956</v>
      </c>
      <c r="AH429" s="40">
        <f>VLOOKUP(Таблица310[[#This Row],[№ акта]],'Степень зрелости 2025'!$H$13:$I$583,2,FALSE)</f>
        <v>69</v>
      </c>
      <c r="AI429" s="40">
        <f>VLOOKUP(Таблица310[[#This Row],[№ акта]],$AQ$1:$AT$594,2,FALSE)</f>
        <v>14</v>
      </c>
      <c r="AJ429" s="40" t="str">
        <f>Таблица310[[#This Row],[Регистратор.Номенклатура]]</f>
        <v>Тристар</v>
      </c>
      <c r="AK429" s="40" t="str">
        <f>VLOOKUP(Таблица310[[#This Row],[№ акта]],$AQ$1:$AT$594,4,FALSE)</f>
        <v>Агролидер (полив)</v>
      </c>
      <c r="AL429" s="45">
        <f>VLOOKUP(Таблица310[[#This Row],[№ акта]],$AQ$1:$AT$594,3,FALSE)</f>
        <v>1.7066369213608477</v>
      </c>
      <c r="AM429" s="40" t="str">
        <f>IF(Таблица310[[#This Row],[Площадь уборки, га]]=Таблица310[[#This Row],[Площадь уборки до корр]],"нет","да")</f>
        <v>нет</v>
      </c>
      <c r="AN429" s="45">
        <f>Таблица310[[#This Row],[Площадь уборки до корр]]-Таблица310[[#This Row],[Площадь уборки, га]]</f>
        <v>0</v>
      </c>
      <c r="AQ429" t="s">
        <v>1213</v>
      </c>
      <c r="AR429">
        <v>14</v>
      </c>
      <c r="AS429">
        <v>1.7066369213608477</v>
      </c>
      <c r="AT429" t="s">
        <v>52</v>
      </c>
    </row>
    <row r="430" spans="1:46" ht="22.5" hidden="1" x14ac:dyDescent="0.25">
      <c r="A430" s="40"/>
      <c r="B430" s="41"/>
      <c r="C430" s="40">
        <v>72</v>
      </c>
      <c r="D430" s="42" t="s">
        <v>1214</v>
      </c>
      <c r="E430" s="147">
        <v>45829</v>
      </c>
      <c r="F430" s="41">
        <v>37830</v>
      </c>
      <c r="G430" s="41">
        <v>13610</v>
      </c>
      <c r="H430" s="69">
        <v>24220</v>
      </c>
      <c r="I430" s="41">
        <v>12453.1</v>
      </c>
      <c r="J430" s="40" t="s">
        <v>914</v>
      </c>
      <c r="K430" s="40" t="s">
        <v>909</v>
      </c>
      <c r="L430" s="40">
        <v>14</v>
      </c>
      <c r="M430" s="35" t="s">
        <v>160</v>
      </c>
      <c r="N430" s="40"/>
      <c r="O430" s="40"/>
      <c r="P430" s="40"/>
      <c r="Q430" s="40"/>
      <c r="R430" s="40" t="s">
        <v>164</v>
      </c>
      <c r="S430" s="40"/>
      <c r="T430" s="40">
        <v>14</v>
      </c>
      <c r="U430" s="68" t="str">
        <f>Таблица310[[#This Row],[Регистратор.Номенклатура]]</f>
        <v>Тристар</v>
      </c>
      <c r="V430" s="45">
        <f>8*Таблица310[[#This Row],[Регистратор.Вес нетто]]/71720</f>
        <v>1.5181260457334076</v>
      </c>
      <c r="W430" s="40" t="s">
        <v>52</v>
      </c>
      <c r="X430" s="40" t="s">
        <v>178</v>
      </c>
      <c r="Y430" s="40">
        <v>7</v>
      </c>
      <c r="Z430" s="103">
        <v>45829</v>
      </c>
      <c r="AA430" s="40"/>
      <c r="AB430" s="40"/>
      <c r="AC430" s="40" t="s">
        <v>420</v>
      </c>
      <c r="AD430" s="40" t="s">
        <v>833</v>
      </c>
      <c r="AE430" s="40" t="s">
        <v>1214</v>
      </c>
      <c r="AF430" s="103">
        <v>45829</v>
      </c>
      <c r="AG430" s="40">
        <v>54955</v>
      </c>
      <c r="AH430" s="40">
        <f>VLOOKUP(Таблица310[[#This Row],[№ акта]],'Степень зрелости 2025'!$H$13:$I$583,2,FALSE)</f>
        <v>72</v>
      </c>
      <c r="AI430" s="40">
        <f>VLOOKUP(Таблица310[[#This Row],[№ акта]],$AQ$1:$AT$594,2,FALSE)</f>
        <v>14</v>
      </c>
      <c r="AJ430" s="40" t="str">
        <f>Таблица310[[#This Row],[Регистратор.Номенклатура]]</f>
        <v>Тристар</v>
      </c>
      <c r="AK430" s="40" t="str">
        <f>VLOOKUP(Таблица310[[#This Row],[№ акта]],$AQ$1:$AT$594,4,FALSE)</f>
        <v>Агролидер (полив)</v>
      </c>
      <c r="AL430" s="45">
        <f>VLOOKUP(Таблица310[[#This Row],[№ акта]],$AQ$1:$AT$594,3,FALSE)</f>
        <v>1.5181260457334076</v>
      </c>
      <c r="AM430" s="40" t="str">
        <f>IF(Таблица310[[#This Row],[Площадь уборки, га]]=Таблица310[[#This Row],[Площадь уборки до корр]],"нет","да")</f>
        <v>нет</v>
      </c>
      <c r="AN430" s="45">
        <f>Таблица310[[#This Row],[Площадь уборки до корр]]-Таблица310[[#This Row],[Площадь уборки, га]]</f>
        <v>0</v>
      </c>
      <c r="AQ430" t="s">
        <v>1214</v>
      </c>
      <c r="AR430">
        <v>14</v>
      </c>
      <c r="AS430">
        <v>1.5181260457334076</v>
      </c>
      <c r="AT430" t="s">
        <v>52</v>
      </c>
    </row>
    <row r="431" spans="1:46" ht="33.75" hidden="1" x14ac:dyDescent="0.25">
      <c r="A431" s="40"/>
      <c r="B431" s="41"/>
      <c r="C431" s="40">
        <f>VLOOKUP(Таблица310[[#This Row],[№ акта]],'Степень зрелости 2025'!$H$13:$I$453,2,FALSE)</f>
        <v>52</v>
      </c>
      <c r="D431" s="42" t="s">
        <v>1215</v>
      </c>
      <c r="E431" s="147">
        <v>45830</v>
      </c>
      <c r="F431" s="41">
        <v>29100</v>
      </c>
      <c r="G431" s="41">
        <v>13310</v>
      </c>
      <c r="H431" s="69">
        <v>15790</v>
      </c>
      <c r="I431" s="41">
        <v>10448.299999999999</v>
      </c>
      <c r="J431" s="40" t="s">
        <v>1167</v>
      </c>
      <c r="K431" s="40" t="s">
        <v>901</v>
      </c>
      <c r="L431" s="40" t="s">
        <v>1168</v>
      </c>
      <c r="M431" s="35" t="s">
        <v>1151</v>
      </c>
      <c r="N431" s="40"/>
      <c r="O431" s="40"/>
      <c r="P431" s="40"/>
      <c r="Q431" s="40"/>
      <c r="R431" s="40" t="s">
        <v>145</v>
      </c>
      <c r="S431" s="40"/>
      <c r="T431" s="40" t="s">
        <v>1184</v>
      </c>
      <c r="U431" s="40" t="s">
        <v>1185</v>
      </c>
      <c r="V431" s="45">
        <f>19*Таблица310[[#This Row],[Регистратор.Вес нетто]]/92070</f>
        <v>2.7467144563918757</v>
      </c>
      <c r="W431" s="40" t="s">
        <v>53</v>
      </c>
      <c r="X431" s="40" t="s">
        <v>178</v>
      </c>
      <c r="Y431" s="40">
        <v>1</v>
      </c>
      <c r="Z431" s="103">
        <v>45829</v>
      </c>
      <c r="AA431" s="40"/>
      <c r="AB431" s="40" t="s">
        <v>1627</v>
      </c>
      <c r="AC431" s="40" t="s">
        <v>419</v>
      </c>
      <c r="AD431" s="40" t="s">
        <v>511</v>
      </c>
      <c r="AE431" s="40" t="s">
        <v>1215</v>
      </c>
      <c r="AF431" s="103">
        <v>45830</v>
      </c>
      <c r="AG431" s="40">
        <v>1</v>
      </c>
      <c r="AH431" s="40">
        <f>VLOOKUP(Таблица310[[#This Row],[№ акта]],'Степень зрелости 2025'!$H$13:$I$583,2,FALSE)</f>
        <v>52</v>
      </c>
      <c r="AI431" s="40" t="str">
        <f>VLOOKUP(Таблица310[[#This Row],[№ акта]],$AQ$1:$AT$594,2,FALSE)</f>
        <v>4.1</v>
      </c>
      <c r="AJ431" s="40" t="str">
        <f>Таблица310[[#This Row],[Регистратор.Номенклатура]]</f>
        <v>Фаворит</v>
      </c>
      <c r="AK431" s="40" t="str">
        <f>VLOOKUP(Таблица310[[#This Row],[№ акта]],$AQ$1:$AT$594,4,FALSE)</f>
        <v>Колос (полив)</v>
      </c>
      <c r="AL431" s="45">
        <f>VLOOKUP(Таблица310[[#This Row],[№ акта]],$AQ$1:$AT$594,3,FALSE)</f>
        <v>3.0965490500193873</v>
      </c>
      <c r="AM431" s="40" t="str">
        <f>IF(Таблица310[[#This Row],[Площадь уборки, га]]=Таблица310[[#This Row],[Площадь уборки до корр]],"нет","да")</f>
        <v>да</v>
      </c>
      <c r="AN431" s="45">
        <f>Таблица310[[#This Row],[Площадь уборки до корр]]-Таблица310[[#This Row],[Площадь уборки, га]]</f>
        <v>0.34983459362751157</v>
      </c>
      <c r="AQ431" t="s">
        <v>1215</v>
      </c>
      <c r="AR431" t="s">
        <v>1168</v>
      </c>
      <c r="AS431">
        <v>3.0965490500193873</v>
      </c>
      <c r="AT431" t="s">
        <v>53</v>
      </c>
    </row>
    <row r="432" spans="1:46" ht="33.75" hidden="1" x14ac:dyDescent="0.25">
      <c r="A432" s="40"/>
      <c r="B432" s="41"/>
      <c r="C432" s="40">
        <f>VLOOKUP(Таблица310[[#This Row],[№ акта]],'Степень зрелости 2025'!$H$13:$I$453,2,FALSE)</f>
        <v>43</v>
      </c>
      <c r="D432" s="42" t="s">
        <v>1216</v>
      </c>
      <c r="E432" s="147">
        <v>45830</v>
      </c>
      <c r="F432" s="41">
        <v>27970</v>
      </c>
      <c r="G432" s="41">
        <v>13020</v>
      </c>
      <c r="H432" s="69">
        <v>14950</v>
      </c>
      <c r="I432" s="41">
        <v>10481.1</v>
      </c>
      <c r="J432" s="40" t="s">
        <v>1167</v>
      </c>
      <c r="K432" s="40" t="s">
        <v>901</v>
      </c>
      <c r="L432" s="40" t="s">
        <v>1168</v>
      </c>
      <c r="M432" s="35" t="s">
        <v>1253</v>
      </c>
      <c r="N432" s="40"/>
      <c r="O432" s="40"/>
      <c r="P432" s="40"/>
      <c r="Q432" s="40"/>
      <c r="R432" s="40" t="s">
        <v>270</v>
      </c>
      <c r="S432" s="40"/>
      <c r="T432" s="40" t="s">
        <v>1184</v>
      </c>
      <c r="U432" s="40" t="s">
        <v>1185</v>
      </c>
      <c r="V432" s="45">
        <f>19*Таблица310[[#This Row],[Регистратор.Вес нетто]]/92070</f>
        <v>2.6868686868686869</v>
      </c>
      <c r="W432" s="40" t="s">
        <v>53</v>
      </c>
      <c r="X432" s="40" t="s">
        <v>178</v>
      </c>
      <c r="Y432" s="40">
        <v>1</v>
      </c>
      <c r="Z432" s="103">
        <v>45829</v>
      </c>
      <c r="AA432" s="40"/>
      <c r="AB432" s="40" t="s">
        <v>1627</v>
      </c>
      <c r="AC432" s="40" t="s">
        <v>419</v>
      </c>
      <c r="AD432" s="40" t="s">
        <v>511</v>
      </c>
      <c r="AE432" s="40" t="s">
        <v>1216</v>
      </c>
      <c r="AF432" s="103">
        <v>45830</v>
      </c>
      <c r="AG432" s="40">
        <v>3</v>
      </c>
      <c r="AH432" s="40">
        <f>VLOOKUP(Таблица310[[#This Row],[№ акта]],'Степень зрелости 2025'!$H$13:$I$583,2,FALSE)</f>
        <v>43</v>
      </c>
      <c r="AI432" s="40" t="str">
        <f>VLOOKUP(Таблица310[[#This Row],[№ акта]],$AQ$1:$AT$594,2,FALSE)</f>
        <v>4.1</v>
      </c>
      <c r="AJ432" s="40" t="str">
        <f>Таблица310[[#This Row],[Регистратор.Номенклатура]]</f>
        <v>Фаворит</v>
      </c>
      <c r="AK432" s="40" t="str">
        <f>VLOOKUP(Таблица310[[#This Row],[№ акта]],$AQ$1:$AT$594,4,FALSE)</f>
        <v>Колос (полив)</v>
      </c>
      <c r="AL432" s="45">
        <f>VLOOKUP(Таблица310[[#This Row],[№ акта]],$AQ$1:$AT$594,3,FALSE)</f>
        <v>3.0290810391624663</v>
      </c>
      <c r="AM432" s="40" t="str">
        <f>IF(Таблица310[[#This Row],[Площадь уборки, га]]=Таблица310[[#This Row],[Площадь уборки до корр]],"нет","да")</f>
        <v>да</v>
      </c>
      <c r="AN432" s="45">
        <f>Таблица310[[#This Row],[Площадь уборки до корр]]-Таблица310[[#This Row],[Площадь уборки, га]]</f>
        <v>0.34221235229377944</v>
      </c>
      <c r="AQ432" t="s">
        <v>1216</v>
      </c>
      <c r="AR432" t="s">
        <v>1168</v>
      </c>
      <c r="AS432">
        <v>3.0290810391624663</v>
      </c>
      <c r="AT432" t="s">
        <v>53</v>
      </c>
    </row>
    <row r="433" spans="1:46" ht="33.75" hidden="1" x14ac:dyDescent="0.25">
      <c r="A433" s="40"/>
      <c r="B433" s="41"/>
      <c r="C433" s="40">
        <f>VLOOKUP(Таблица310[[#This Row],[№ акта]],'Степень зрелости 2025'!$H$13:$I$453,2,FALSE)</f>
        <v>43</v>
      </c>
      <c r="D433" s="42" t="s">
        <v>1225</v>
      </c>
      <c r="E433" s="147">
        <v>45830</v>
      </c>
      <c r="F433" s="41">
        <v>27740</v>
      </c>
      <c r="G433" s="41">
        <v>12600</v>
      </c>
      <c r="H433" s="69">
        <v>15140</v>
      </c>
      <c r="I433" s="41">
        <v>9576</v>
      </c>
      <c r="J433" s="40" t="s">
        <v>1167</v>
      </c>
      <c r="K433" s="40" t="s">
        <v>901</v>
      </c>
      <c r="L433" s="40" t="s">
        <v>1168</v>
      </c>
      <c r="M433" s="35" t="s">
        <v>1461</v>
      </c>
      <c r="N433" s="40"/>
      <c r="O433" s="40"/>
      <c r="P433" s="40"/>
      <c r="Q433" s="40"/>
      <c r="R433" s="40" t="s">
        <v>149</v>
      </c>
      <c r="S433" s="40"/>
      <c r="T433" s="40" t="s">
        <v>1184</v>
      </c>
      <c r="U433" s="40" t="s">
        <v>1185</v>
      </c>
      <c r="V433" s="45">
        <f>19*Таблица310[[#This Row],[Регистратор.Вес нетто]]/92070</f>
        <v>2.6001955034213098</v>
      </c>
      <c r="W433" s="40" t="s">
        <v>53</v>
      </c>
      <c r="X433" s="40" t="s">
        <v>178</v>
      </c>
      <c r="Y433" s="40">
        <v>1</v>
      </c>
      <c r="Z433" s="103">
        <v>45829</v>
      </c>
      <c r="AA433" s="40"/>
      <c r="AB433" s="40" t="s">
        <v>1627</v>
      </c>
      <c r="AC433" s="40" t="s">
        <v>419</v>
      </c>
      <c r="AD433" s="40" t="s">
        <v>511</v>
      </c>
      <c r="AE433" s="40" t="s">
        <v>1225</v>
      </c>
      <c r="AF433" s="103">
        <v>45830</v>
      </c>
      <c r="AG433" s="40">
        <v>2</v>
      </c>
      <c r="AH433" s="40">
        <f>VLOOKUP(Таблица310[[#This Row],[№ акта]],'Степень зрелости 2025'!$H$13:$I$583,2,FALSE)</f>
        <v>43</v>
      </c>
      <c r="AI433" s="40" t="str">
        <f>VLOOKUP(Таблица310[[#This Row],[№ акта]],$AQ$1:$AT$594,2,FALSE)</f>
        <v>4.1</v>
      </c>
      <c r="AJ433" s="40" t="str">
        <f>Таблица310[[#This Row],[Регистратор.Номенклатура]]</f>
        <v>Фаворит</v>
      </c>
      <c r="AK433" s="40" t="str">
        <f>VLOOKUP(Таблица310[[#This Row],[№ акта]],$AQ$1:$AT$594,4,FALSE)</f>
        <v>Колос (полив)</v>
      </c>
      <c r="AL433" s="45">
        <f>VLOOKUP(Таблица310[[#This Row],[№ акта]],$AQ$1:$AT$594,3,FALSE)</f>
        <v>2.9313687475765802</v>
      </c>
      <c r="AM433" s="40" t="str">
        <f>IF(Таблица310[[#This Row],[Площадь уборки, га]]=Таблица310[[#This Row],[Площадь уборки до корр]],"нет","да")</f>
        <v>да</v>
      </c>
      <c r="AN433" s="45">
        <f>Таблица310[[#This Row],[Площадь уборки до корр]]-Таблица310[[#This Row],[Площадь уборки, га]]</f>
        <v>0.33117324415527039</v>
      </c>
      <c r="AQ433" t="s">
        <v>1225</v>
      </c>
      <c r="AR433" t="s">
        <v>1168</v>
      </c>
      <c r="AS433">
        <v>2.9313687475765802</v>
      </c>
      <c r="AT433" t="s">
        <v>53</v>
      </c>
    </row>
    <row r="434" spans="1:46" ht="33.75" hidden="1" x14ac:dyDescent="0.25">
      <c r="A434" s="40"/>
      <c r="B434" s="41"/>
      <c r="C434" s="40">
        <f>VLOOKUP(Таблица310[[#This Row],[№ акта]],'Степень зрелости 2025'!$H$13:$I$453,2,FALSE)</f>
        <v>43</v>
      </c>
      <c r="D434" s="42" t="s">
        <v>1226</v>
      </c>
      <c r="E434" s="147">
        <v>45830</v>
      </c>
      <c r="F434" s="41">
        <v>27470</v>
      </c>
      <c r="G434" s="41">
        <v>12650</v>
      </c>
      <c r="H434" s="69">
        <v>14820</v>
      </c>
      <c r="I434" s="41">
        <v>10815.7</v>
      </c>
      <c r="J434" s="40" t="s">
        <v>1167</v>
      </c>
      <c r="K434" s="40" t="s">
        <v>901</v>
      </c>
      <c r="L434" s="40" t="s">
        <v>1168</v>
      </c>
      <c r="M434" s="35" t="s">
        <v>272</v>
      </c>
      <c r="N434" s="40"/>
      <c r="O434" s="40"/>
      <c r="P434" s="40"/>
      <c r="Q434" s="40"/>
      <c r="R434" s="40" t="s">
        <v>276</v>
      </c>
      <c r="S434" s="40"/>
      <c r="T434" s="40" t="s">
        <v>1184</v>
      </c>
      <c r="U434" s="40" t="s">
        <v>1185</v>
      </c>
      <c r="V434" s="45">
        <f>19*Таблица310[[#This Row],[Регистратор.Вес нетто]]/92070</f>
        <v>2.6105137395459974</v>
      </c>
      <c r="W434" s="40" t="s">
        <v>53</v>
      </c>
      <c r="X434" s="40" t="s">
        <v>178</v>
      </c>
      <c r="Y434" s="40">
        <v>1</v>
      </c>
      <c r="Z434" s="103">
        <v>45829</v>
      </c>
      <c r="AA434" s="40"/>
      <c r="AB434" s="40" t="s">
        <v>1627</v>
      </c>
      <c r="AC434" s="40" t="s">
        <v>419</v>
      </c>
      <c r="AD434" s="40" t="s">
        <v>511</v>
      </c>
      <c r="AE434" s="40" t="s">
        <v>1226</v>
      </c>
      <c r="AF434" s="103">
        <v>45830</v>
      </c>
      <c r="AG434" s="40">
        <v>4</v>
      </c>
      <c r="AH434" s="40">
        <f>VLOOKUP(Таблица310[[#This Row],[№ акта]],'Степень зрелости 2025'!$H$13:$I$583,2,FALSE)</f>
        <v>43</v>
      </c>
      <c r="AI434" s="40" t="str">
        <f>VLOOKUP(Таблица310[[#This Row],[№ акта]],$AQ$1:$AT$594,2,FALSE)</f>
        <v>4.1</v>
      </c>
      <c r="AJ434" s="40" t="str">
        <f>Таблица310[[#This Row],[Регистратор.Номенклатура]]</f>
        <v>Фаворит</v>
      </c>
      <c r="AK434" s="40" t="str">
        <f>VLOOKUP(Таблица310[[#This Row],[№ акта]],$AQ$1:$AT$594,4,FALSE)</f>
        <v>Колос (полив)</v>
      </c>
      <c r="AL434" s="45">
        <f>VLOOKUP(Таблица310[[#This Row],[№ акта]],$AQ$1:$AT$594,3,FALSE)</f>
        <v>2.9430011632415667</v>
      </c>
      <c r="AM434" s="40" t="str">
        <f>IF(Таблица310[[#This Row],[Площадь уборки, га]]=Таблица310[[#This Row],[Площадь уборки до корр]],"нет","да")</f>
        <v>да</v>
      </c>
      <c r="AN434" s="45">
        <f>Таблица310[[#This Row],[Площадь уборки до корр]]-Таблица310[[#This Row],[Площадь уборки, га]]</f>
        <v>0.33248742369556927</v>
      </c>
      <c r="AQ434" t="s">
        <v>1226</v>
      </c>
      <c r="AR434" t="s">
        <v>1168</v>
      </c>
      <c r="AS434">
        <v>2.9430011632415667</v>
      </c>
      <c r="AT434" t="s">
        <v>53</v>
      </c>
    </row>
    <row r="435" spans="1:46" ht="33.75" hidden="1" x14ac:dyDescent="0.25">
      <c r="A435" s="40"/>
      <c r="B435" s="41"/>
      <c r="C435" s="40">
        <f>VLOOKUP(Таблица310[[#This Row],[№ акта]],'Степень зрелости 2025'!$H$13:$I$453,2,FALSE)</f>
        <v>42</v>
      </c>
      <c r="D435" s="42" t="s">
        <v>1227</v>
      </c>
      <c r="E435" s="147">
        <v>45830</v>
      </c>
      <c r="F435" s="41">
        <v>27940</v>
      </c>
      <c r="G435" s="41">
        <v>13040</v>
      </c>
      <c r="H435" s="69">
        <v>14900</v>
      </c>
      <c r="I435" s="41">
        <v>9975.6</v>
      </c>
      <c r="J435" s="40" t="s">
        <v>1167</v>
      </c>
      <c r="K435" s="40" t="s">
        <v>901</v>
      </c>
      <c r="L435" s="40" t="s">
        <v>1168</v>
      </c>
      <c r="M435" s="35" t="s">
        <v>894</v>
      </c>
      <c r="N435" s="40"/>
      <c r="O435" s="40"/>
      <c r="P435" s="40"/>
      <c r="Q435" s="40"/>
      <c r="R435" s="40" t="s">
        <v>895</v>
      </c>
      <c r="S435" s="40"/>
      <c r="T435" s="40" t="s">
        <v>1184</v>
      </c>
      <c r="U435" s="40" t="s">
        <v>1185</v>
      </c>
      <c r="V435" s="45">
        <f>19*Таблица310[[#This Row],[Регистратор.Вес нетто]]/92070</f>
        <v>2.690995981318562</v>
      </c>
      <c r="W435" s="40" t="s">
        <v>53</v>
      </c>
      <c r="X435" s="40" t="s">
        <v>178</v>
      </c>
      <c r="Y435" s="40">
        <v>2</v>
      </c>
      <c r="Z435" s="103">
        <v>45830</v>
      </c>
      <c r="AA435" s="40"/>
      <c r="AB435" s="40" t="s">
        <v>1627</v>
      </c>
      <c r="AC435" s="40" t="s">
        <v>419</v>
      </c>
      <c r="AD435" s="40" t="s">
        <v>511</v>
      </c>
      <c r="AE435" s="40" t="s">
        <v>1227</v>
      </c>
      <c r="AF435" s="103">
        <v>45830</v>
      </c>
      <c r="AG435" s="40">
        <v>6</v>
      </c>
      <c r="AH435" s="40">
        <f>VLOOKUP(Таблица310[[#This Row],[№ акта]],'Степень зрелости 2025'!$H$13:$I$583,2,FALSE)</f>
        <v>42</v>
      </c>
      <c r="AI435" s="40" t="str">
        <f>VLOOKUP(Таблица310[[#This Row],[№ акта]],$AQ$1:$AT$594,2,FALSE)</f>
        <v>4.1</v>
      </c>
      <c r="AJ435" s="40" t="str">
        <f>Таблица310[[#This Row],[Регистратор.Номенклатура]]</f>
        <v>Фаворит</v>
      </c>
      <c r="AK435" s="40" t="str">
        <f>VLOOKUP(Таблица310[[#This Row],[№ акта]],$AQ$1:$AT$594,4,FALSE)</f>
        <v>Колос (полив)</v>
      </c>
      <c r="AL435" s="45">
        <f>VLOOKUP(Таблица310[[#This Row],[№ акта]],$AQ$1:$AT$594,3,FALSE)</f>
        <v>2.2018941340577052</v>
      </c>
      <c r="AM435" s="40" t="str">
        <f>IF(Таблица310[[#This Row],[Площадь уборки, га]]=Таблица310[[#This Row],[Площадь уборки до корр]],"нет","да")</f>
        <v>да</v>
      </c>
      <c r="AN435" s="45">
        <f>Таблица310[[#This Row],[Площадь уборки до корр]]-Таблица310[[#This Row],[Площадь уборки, га]]</f>
        <v>-0.48910184726085681</v>
      </c>
      <c r="AQ435" t="s">
        <v>1227</v>
      </c>
      <c r="AR435" t="s">
        <v>1168</v>
      </c>
      <c r="AS435">
        <v>2.2018941340577052</v>
      </c>
      <c r="AT435" t="s">
        <v>53</v>
      </c>
    </row>
    <row r="436" spans="1:46" ht="33.75" hidden="1" x14ac:dyDescent="0.25">
      <c r="A436" s="40"/>
      <c r="B436" s="41"/>
      <c r="C436" s="40">
        <v>42</v>
      </c>
      <c r="D436" s="42" t="s">
        <v>1228</v>
      </c>
      <c r="E436" s="147">
        <v>45830</v>
      </c>
      <c r="F436" s="41">
        <v>27840</v>
      </c>
      <c r="G436" s="41">
        <v>13440</v>
      </c>
      <c r="H436" s="69">
        <v>14400</v>
      </c>
      <c r="I436" s="41">
        <v>10684.8</v>
      </c>
      <c r="J436" s="40" t="s">
        <v>1167</v>
      </c>
      <c r="K436" s="40" t="s">
        <v>901</v>
      </c>
      <c r="L436" s="40" t="s">
        <v>1168</v>
      </c>
      <c r="M436" s="35" t="s">
        <v>1312</v>
      </c>
      <c r="N436" s="40"/>
      <c r="O436" s="40"/>
      <c r="P436" s="40"/>
      <c r="Q436" s="40"/>
      <c r="R436" s="40" t="s">
        <v>320</v>
      </c>
      <c r="S436" s="40"/>
      <c r="T436" s="40" t="s">
        <v>1184</v>
      </c>
      <c r="U436" s="40" t="s">
        <v>1185</v>
      </c>
      <c r="V436" s="45">
        <f>19*Таблица310[[#This Row],[Регистратор.Вес нетто]]/92070</f>
        <v>2.7735418703160639</v>
      </c>
      <c r="W436" s="40" t="s">
        <v>53</v>
      </c>
      <c r="X436" s="40" t="s">
        <v>178</v>
      </c>
      <c r="Y436" s="40">
        <v>2</v>
      </c>
      <c r="Z436" s="103">
        <v>45830</v>
      </c>
      <c r="AA436" s="40"/>
      <c r="AB436" s="40" t="s">
        <v>1627</v>
      </c>
      <c r="AC436" s="40" t="s">
        <v>419</v>
      </c>
      <c r="AD436" s="40" t="s">
        <v>511</v>
      </c>
      <c r="AE436" s="40" t="s">
        <v>1228</v>
      </c>
      <c r="AF436" s="103">
        <v>45830</v>
      </c>
      <c r="AG436" s="40">
        <v>5</v>
      </c>
      <c r="AH436" s="40">
        <f>VLOOKUP(Таблица310[[#This Row],[№ акта]],'Степень зрелости 2025'!$H$13:$I$583,2,FALSE)</f>
        <v>42</v>
      </c>
      <c r="AI436" s="40" t="str">
        <f>VLOOKUP(Таблица310[[#This Row],[№ акта]],$AQ$1:$AT$594,2,FALSE)</f>
        <v>4.1</v>
      </c>
      <c r="AJ436" s="40" t="str">
        <f>Таблица310[[#This Row],[Регистратор.Номенклатура]]</f>
        <v>Фаворит</v>
      </c>
      <c r="AK436" s="40" t="str">
        <f>VLOOKUP(Таблица310[[#This Row],[№ акта]],$AQ$1:$AT$594,4,FALSE)</f>
        <v>Колос (полив)</v>
      </c>
      <c r="AL436" s="45">
        <f>VLOOKUP(Таблица310[[#This Row],[№ акта]],$AQ$1:$AT$594,3,FALSE)</f>
        <v>2.2694368989061009</v>
      </c>
      <c r="AM436" s="40" t="str">
        <f>IF(Таблица310[[#This Row],[Площадь уборки, га]]=Таблица310[[#This Row],[Площадь уборки до корр]],"нет","да")</f>
        <v>да</v>
      </c>
      <c r="AN436" s="45">
        <f>Таблица310[[#This Row],[Площадь уборки до корр]]-Таблица310[[#This Row],[Площадь уборки, га]]</f>
        <v>-0.50410497140996302</v>
      </c>
      <c r="AQ436" t="s">
        <v>1228</v>
      </c>
      <c r="AR436" t="s">
        <v>1168</v>
      </c>
      <c r="AS436">
        <v>2.2694368989061009</v>
      </c>
      <c r="AT436" t="s">
        <v>53</v>
      </c>
    </row>
    <row r="437" spans="1:46" ht="33.75" hidden="1" x14ac:dyDescent="0.25">
      <c r="A437" s="40"/>
      <c r="B437" s="41"/>
      <c r="C437" s="40">
        <f>VLOOKUP(Таблица310[[#This Row],[№ акта]],'Степень зрелости 2025'!$H$13:$I$453,2,FALSE)</f>
        <v>54</v>
      </c>
      <c r="D437" s="42" t="s">
        <v>1229</v>
      </c>
      <c r="E437" s="147">
        <v>45830</v>
      </c>
      <c r="F437" s="41">
        <v>35160</v>
      </c>
      <c r="G437" s="41">
        <v>14010</v>
      </c>
      <c r="H437" s="69">
        <v>21150</v>
      </c>
      <c r="I437" s="41">
        <v>10997.8</v>
      </c>
      <c r="J437" s="40" t="s">
        <v>1167</v>
      </c>
      <c r="K437" s="40" t="s">
        <v>901</v>
      </c>
      <c r="L437" s="40" t="s">
        <v>1168</v>
      </c>
      <c r="M437" s="35" t="s">
        <v>1152</v>
      </c>
      <c r="N437" s="40"/>
      <c r="O437" s="40"/>
      <c r="P437" s="40"/>
      <c r="Q437" s="40"/>
      <c r="R437" s="40" t="s">
        <v>119</v>
      </c>
      <c r="S437" s="40"/>
      <c r="T437" s="40" t="s">
        <v>1184</v>
      </c>
      <c r="U437" s="40" t="s">
        <v>1185</v>
      </c>
      <c r="V437" s="45">
        <f>19*Таблица310[[#This Row],[Регистратор.Вес нетто]]/92070</f>
        <v>2.8911697621375039</v>
      </c>
      <c r="W437" s="40" t="s">
        <v>53</v>
      </c>
      <c r="X437" s="40" t="s">
        <v>178</v>
      </c>
      <c r="Y437" s="40">
        <v>2</v>
      </c>
      <c r="Z437" s="103">
        <v>45830</v>
      </c>
      <c r="AA437" s="40"/>
      <c r="AB437" s="40" t="s">
        <v>1627</v>
      </c>
      <c r="AC437" s="40" t="s">
        <v>724</v>
      </c>
      <c r="AD437" s="40" t="s">
        <v>511</v>
      </c>
      <c r="AE437" s="40" t="s">
        <v>1229</v>
      </c>
      <c r="AF437" s="103">
        <v>45830</v>
      </c>
      <c r="AG437" s="40">
        <v>7</v>
      </c>
      <c r="AH437" s="40">
        <f>VLOOKUP(Таблица310[[#This Row],[№ акта]],'Степень зрелости 2025'!$H$13:$I$583,2,FALSE)</f>
        <v>54</v>
      </c>
      <c r="AI437" s="40" t="str">
        <f>VLOOKUP(Таблица310[[#This Row],[№ акта]],$AQ$1:$AT$594,2,FALSE)</f>
        <v>4.1</v>
      </c>
      <c r="AJ437" s="40" t="str">
        <f>Таблица310[[#This Row],[Регистратор.Номенклатура]]</f>
        <v>Фаворит</v>
      </c>
      <c r="AK437" s="40" t="str">
        <f>VLOOKUP(Таблица310[[#This Row],[№ акта]],$AQ$1:$AT$594,4,FALSE)</f>
        <v>Колос (полив)</v>
      </c>
      <c r="AL437" s="45">
        <f>VLOOKUP(Таблица310[[#This Row],[№ акта]],$AQ$1:$AT$594,3,FALSE)</f>
        <v>2.3656853388150649</v>
      </c>
      <c r="AM437" s="40" t="str">
        <f>IF(Таблица310[[#This Row],[Площадь уборки, га]]=Таблица310[[#This Row],[Площадь уборки до корр]],"нет","да")</f>
        <v>да</v>
      </c>
      <c r="AN437" s="45">
        <f>Таблица310[[#This Row],[Площадь уборки до корр]]-Таблица310[[#This Row],[Площадь уборки, га]]</f>
        <v>-0.52548442332243894</v>
      </c>
      <c r="AQ437" t="s">
        <v>1229</v>
      </c>
      <c r="AR437" t="s">
        <v>1168</v>
      </c>
      <c r="AS437">
        <v>2.3656853388150649</v>
      </c>
      <c r="AT437" t="s">
        <v>53</v>
      </c>
    </row>
    <row r="438" spans="1:46" ht="33.75" hidden="1" x14ac:dyDescent="0.25">
      <c r="A438" s="40"/>
      <c r="B438" s="41"/>
      <c r="C438" s="40">
        <v>51</v>
      </c>
      <c r="D438" s="42" t="s">
        <v>1230</v>
      </c>
      <c r="E438" s="147">
        <v>45830</v>
      </c>
      <c r="F438" s="41">
        <v>38170</v>
      </c>
      <c r="G438" s="41">
        <v>14110</v>
      </c>
      <c r="H438" s="69">
        <v>24060</v>
      </c>
      <c r="I438" s="41">
        <v>11993.5</v>
      </c>
      <c r="J438" s="40" t="s">
        <v>1167</v>
      </c>
      <c r="K438" s="40" t="s">
        <v>1185</v>
      </c>
      <c r="L438" s="40" t="s">
        <v>1184</v>
      </c>
      <c r="M438" s="35" t="s">
        <v>160</v>
      </c>
      <c r="N438" s="40"/>
      <c r="O438" s="40"/>
      <c r="P438" s="40"/>
      <c r="Q438" s="40"/>
      <c r="R438" s="40" t="s">
        <v>164</v>
      </c>
      <c r="S438" s="40"/>
      <c r="T438" s="40" t="s">
        <v>1168</v>
      </c>
      <c r="U438" s="40" t="s">
        <v>901</v>
      </c>
      <c r="V438" s="45">
        <f>18.8*Таблица310[[#This Row],[Регистратор.Вес нетто]]/112640</f>
        <v>2.3550071022727272</v>
      </c>
      <c r="W438" s="40" t="s">
        <v>53</v>
      </c>
      <c r="X438" s="40" t="s">
        <v>178</v>
      </c>
      <c r="Y438" s="40">
        <v>2</v>
      </c>
      <c r="Z438" s="103">
        <v>45830</v>
      </c>
      <c r="AA438" s="40"/>
      <c r="AB438" s="40" t="s">
        <v>1627</v>
      </c>
      <c r="AC438" s="40" t="s">
        <v>419</v>
      </c>
      <c r="AD438" s="40" t="s">
        <v>511</v>
      </c>
      <c r="AE438" s="40" t="s">
        <v>1230</v>
      </c>
      <c r="AF438" s="103">
        <v>45830</v>
      </c>
      <c r="AG438" s="40">
        <v>8</v>
      </c>
      <c r="AH438" s="40">
        <f>VLOOKUP(Таблица310[[#This Row],[№ акта]],'Степень зрелости 2025'!$H$13:$I$583,2,FALSE)</f>
        <v>51</v>
      </c>
      <c r="AI438" s="40" t="str">
        <f>VLOOKUP(Таблица310[[#This Row],[№ акта]],$AQ$1:$AT$594,2,FALSE)</f>
        <v>4.4</v>
      </c>
      <c r="AJ438" s="40" t="str">
        <f>Таблица310[[#This Row],[Регистратор.Номенклатура]]</f>
        <v>Грюнди</v>
      </c>
      <c r="AK438" s="40" t="str">
        <f>VLOOKUP(Таблица310[[#This Row],[№ акта]],$AQ$1:$AT$594,4,FALSE)</f>
        <v>Колос (полив)</v>
      </c>
      <c r="AL438" s="45">
        <f>VLOOKUP(Таблица310[[#This Row],[№ акта]],$AQ$1:$AT$594,3,FALSE)</f>
        <v>2.3825710300271639</v>
      </c>
      <c r="AM438" s="40" t="str">
        <f>IF(Таблица310[[#This Row],[Площадь уборки, га]]=Таблица310[[#This Row],[Площадь уборки до корр]],"нет","да")</f>
        <v>да</v>
      </c>
      <c r="AN438" s="45">
        <f>Таблица310[[#This Row],[Площадь уборки до корр]]-Таблица310[[#This Row],[Площадь уборки, га]]</f>
        <v>2.7563927754436612E-2</v>
      </c>
      <c r="AQ438" t="s">
        <v>1230</v>
      </c>
      <c r="AR438" t="s">
        <v>1184</v>
      </c>
      <c r="AS438">
        <v>2.3825710300271639</v>
      </c>
      <c r="AT438" t="s">
        <v>53</v>
      </c>
    </row>
    <row r="439" spans="1:46" ht="33.75" hidden="1" x14ac:dyDescent="0.25">
      <c r="A439" s="40"/>
      <c r="B439" s="41"/>
      <c r="C439" s="40">
        <f>VLOOKUP(Таблица310[[#This Row],[№ акта]],'Степень зрелости 2025'!$H$13:$I$453,2,FALSE)</f>
        <v>50</v>
      </c>
      <c r="D439" s="42" t="s">
        <v>1231</v>
      </c>
      <c r="E439" s="147">
        <v>45830</v>
      </c>
      <c r="F439" s="41">
        <v>29040</v>
      </c>
      <c r="G439" s="41">
        <v>14090</v>
      </c>
      <c r="H439" s="69">
        <v>14950</v>
      </c>
      <c r="I439" s="41">
        <v>11976.5</v>
      </c>
      <c r="J439" s="40" t="s">
        <v>1167</v>
      </c>
      <c r="K439" s="40" t="s">
        <v>1185</v>
      </c>
      <c r="L439" s="40" t="s">
        <v>1184</v>
      </c>
      <c r="M439" s="35" t="s">
        <v>151</v>
      </c>
      <c r="N439" s="40"/>
      <c r="O439" s="40"/>
      <c r="P439" s="40"/>
      <c r="Q439" s="40"/>
      <c r="R439" s="40" t="s">
        <v>155</v>
      </c>
      <c r="S439" s="40"/>
      <c r="T439" s="40" t="s">
        <v>1168</v>
      </c>
      <c r="U439" s="40" t="s">
        <v>901</v>
      </c>
      <c r="V439" s="45">
        <f>18.8*Таблица310[[#This Row],[Регистратор.Вес нетто]]/112640</f>
        <v>2.351669034090909</v>
      </c>
      <c r="W439" s="40" t="s">
        <v>53</v>
      </c>
      <c r="X439" s="40" t="s">
        <v>178</v>
      </c>
      <c r="Y439" s="40">
        <v>2</v>
      </c>
      <c r="Z439" s="103">
        <v>45830</v>
      </c>
      <c r="AA439" s="40"/>
      <c r="AB439" s="40" t="s">
        <v>1627</v>
      </c>
      <c r="AC439" s="40" t="s">
        <v>419</v>
      </c>
      <c r="AD439" s="40" t="s">
        <v>511</v>
      </c>
      <c r="AE439" s="40" t="s">
        <v>1231</v>
      </c>
      <c r="AF439" s="103">
        <v>45830</v>
      </c>
      <c r="AG439" s="40">
        <v>9</v>
      </c>
      <c r="AH439" s="40">
        <f>VLOOKUP(Таблица310[[#This Row],[№ акта]],'Степень зрелости 2025'!$H$13:$I$583,2,FALSE)</f>
        <v>50</v>
      </c>
      <c r="AI439" s="40" t="str">
        <f>VLOOKUP(Таблица310[[#This Row],[№ акта]],$AQ$1:$AT$594,2,FALSE)</f>
        <v>4.4</v>
      </c>
      <c r="AJ439" s="40" t="str">
        <f>Таблица310[[#This Row],[Регистратор.Номенклатура]]</f>
        <v>Грюнди</v>
      </c>
      <c r="AK439" s="40" t="str">
        <f>VLOOKUP(Таблица310[[#This Row],[№ акта]],$AQ$1:$AT$594,4,FALSE)</f>
        <v>Колос (полив)</v>
      </c>
      <c r="AL439" s="45">
        <f>VLOOKUP(Таблица310[[#This Row],[№ акта]],$AQ$1:$AT$594,3,FALSE)</f>
        <v>2.3791938917847442</v>
      </c>
      <c r="AM439" s="40" t="str">
        <f>IF(Таблица310[[#This Row],[Площадь уборки, га]]=Таблица310[[#This Row],[Площадь уборки до корр]],"нет","да")</f>
        <v>да</v>
      </c>
      <c r="AN439" s="45">
        <f>Таблица310[[#This Row],[Площадь уборки до корр]]-Таблица310[[#This Row],[Площадь уборки, га]]</f>
        <v>2.752485769383517E-2</v>
      </c>
      <c r="AQ439" t="s">
        <v>1231</v>
      </c>
      <c r="AR439" t="s">
        <v>1184</v>
      </c>
      <c r="AS439">
        <v>2.3791938917847442</v>
      </c>
      <c r="AT439" t="s">
        <v>53</v>
      </c>
    </row>
    <row r="440" spans="1:46" ht="33.75" hidden="1" x14ac:dyDescent="0.25">
      <c r="A440" s="40"/>
      <c r="B440" s="41"/>
      <c r="C440" s="121">
        <v>50</v>
      </c>
      <c r="D440" s="42" t="s">
        <v>1232</v>
      </c>
      <c r="E440" s="147">
        <v>45830</v>
      </c>
      <c r="F440" s="41">
        <v>28400</v>
      </c>
      <c r="G440" s="41">
        <v>13800</v>
      </c>
      <c r="H440" s="69">
        <v>14600</v>
      </c>
      <c r="I440" s="41">
        <v>10626</v>
      </c>
      <c r="J440" s="40" t="s">
        <v>1167</v>
      </c>
      <c r="K440" s="40" t="s">
        <v>1185</v>
      </c>
      <c r="L440" s="40" t="s">
        <v>1184</v>
      </c>
      <c r="M440" s="35" t="s">
        <v>239</v>
      </c>
      <c r="N440" s="40"/>
      <c r="O440" s="40"/>
      <c r="P440" s="40"/>
      <c r="Q440" s="40"/>
      <c r="R440" s="40" t="s">
        <v>243</v>
      </c>
      <c r="S440" s="40"/>
      <c r="T440" s="40" t="s">
        <v>1168</v>
      </c>
      <c r="U440" s="40" t="s">
        <v>901</v>
      </c>
      <c r="V440" s="45">
        <f>18.8*Таблица310[[#This Row],[Регистратор.Вес нетто]]/112640</f>
        <v>2.3032670454545454</v>
      </c>
      <c r="W440" s="40" t="s">
        <v>53</v>
      </c>
      <c r="X440" s="40" t="s">
        <v>178</v>
      </c>
      <c r="Y440" s="40">
        <v>2</v>
      </c>
      <c r="Z440" s="103">
        <v>45830</v>
      </c>
      <c r="AA440" s="40"/>
      <c r="AB440" s="40" t="s">
        <v>1627</v>
      </c>
      <c r="AC440" s="40" t="s">
        <v>419</v>
      </c>
      <c r="AD440" s="40" t="s">
        <v>511</v>
      </c>
      <c r="AE440" s="40" t="s">
        <v>1232</v>
      </c>
      <c r="AF440" s="103">
        <v>45830</v>
      </c>
      <c r="AG440" s="40">
        <v>10</v>
      </c>
      <c r="AH440" s="40" t="e">
        <f>VLOOKUP(Таблица310[[#This Row],[№ акта]],'Степень зрелости 2025'!$H$13:$I$583,2,FALSE)</f>
        <v>#N/A</v>
      </c>
      <c r="AI440" s="40" t="str">
        <f>VLOOKUP(Таблица310[[#This Row],[№ акта]],$AQ$1:$AT$594,2,FALSE)</f>
        <v>4.4</v>
      </c>
      <c r="AJ440" s="40" t="str">
        <f>Таблица310[[#This Row],[Регистратор.Номенклатура]]</f>
        <v>Грюнди</v>
      </c>
      <c r="AK440" s="40" t="str">
        <f>VLOOKUP(Таблица310[[#This Row],[№ акта]],$AQ$1:$AT$594,4,FALSE)</f>
        <v>Колос (полив)</v>
      </c>
      <c r="AL440" s="45">
        <f>VLOOKUP(Таблица310[[#This Row],[№ акта]],$AQ$1:$AT$594,3,FALSE)</f>
        <v>2.3302253872696572</v>
      </c>
      <c r="AM440" s="40" t="str">
        <f>IF(Таблица310[[#This Row],[Площадь уборки, га]]=Таблица310[[#This Row],[Площадь уборки до корр]],"нет","да")</f>
        <v>да</v>
      </c>
      <c r="AN440" s="45">
        <f>Таблица310[[#This Row],[Площадь уборки до корр]]-Таблица310[[#This Row],[Площадь уборки, га]]</f>
        <v>2.6958341815111808E-2</v>
      </c>
      <c r="AQ440" t="s">
        <v>1232</v>
      </c>
      <c r="AR440" t="s">
        <v>1184</v>
      </c>
      <c r="AS440">
        <v>2.3302253872696572</v>
      </c>
      <c r="AT440" t="s">
        <v>53</v>
      </c>
    </row>
    <row r="441" spans="1:46" ht="33.75" hidden="1" x14ac:dyDescent="0.25">
      <c r="A441" s="40"/>
      <c r="B441" s="41"/>
      <c r="C441" s="121">
        <v>49</v>
      </c>
      <c r="D441" s="42" t="s">
        <v>1233</v>
      </c>
      <c r="E441" s="147">
        <v>45830</v>
      </c>
      <c r="F441" s="41">
        <v>29840</v>
      </c>
      <c r="G441" s="41">
        <v>14120</v>
      </c>
      <c r="H441" s="69">
        <v>15720</v>
      </c>
      <c r="I441" s="41">
        <v>11437.2</v>
      </c>
      <c r="J441" s="40" t="s">
        <v>1167</v>
      </c>
      <c r="K441" s="40" t="s">
        <v>1185</v>
      </c>
      <c r="L441" s="40" t="s">
        <v>1184</v>
      </c>
      <c r="M441" s="35" t="s">
        <v>1151</v>
      </c>
      <c r="N441" s="40"/>
      <c r="O441" s="40"/>
      <c r="P441" s="40"/>
      <c r="Q441" s="40"/>
      <c r="R441" s="40" t="s">
        <v>145</v>
      </c>
      <c r="S441" s="40"/>
      <c r="T441" s="40" t="s">
        <v>1168</v>
      </c>
      <c r="U441" s="40" t="s">
        <v>901</v>
      </c>
      <c r="V441" s="45">
        <f>18.8*Таблица310[[#This Row],[Регистратор.Вес нетто]]/112640</f>
        <v>2.3566761363636362</v>
      </c>
      <c r="W441" s="40" t="s">
        <v>53</v>
      </c>
      <c r="X441" s="40" t="s">
        <v>178</v>
      </c>
      <c r="Y441" s="40">
        <v>2</v>
      </c>
      <c r="Z441" s="103">
        <v>45830</v>
      </c>
      <c r="AA441" s="40"/>
      <c r="AB441" s="40" t="s">
        <v>1627</v>
      </c>
      <c r="AC441" s="40" t="s">
        <v>419</v>
      </c>
      <c r="AD441" s="40" t="s">
        <v>511</v>
      </c>
      <c r="AE441" s="40" t="s">
        <v>1233</v>
      </c>
      <c r="AF441" s="103">
        <v>45830</v>
      </c>
      <c r="AG441" s="40">
        <v>11</v>
      </c>
      <c r="AH441" s="40">
        <f>VLOOKUP(Таблица310[[#This Row],[№ акта]],'Степень зрелости 2025'!$H$13:$I$583,2,FALSE)</f>
        <v>49</v>
      </c>
      <c r="AI441" s="40" t="str">
        <f>VLOOKUP(Таблица310[[#This Row],[№ акта]],$AQ$1:$AT$594,2,FALSE)</f>
        <v>4.4</v>
      </c>
      <c r="AJ441" s="40" t="str">
        <f>Таблица310[[#This Row],[Регистратор.Номенклатура]]</f>
        <v>Грюнди</v>
      </c>
      <c r="AK441" s="40" t="str">
        <f>VLOOKUP(Таблица310[[#This Row],[№ акта]],$AQ$1:$AT$594,4,FALSE)</f>
        <v>Колос (полив)</v>
      </c>
      <c r="AL441" s="45">
        <f>VLOOKUP(Таблица310[[#This Row],[№ акта]],$AQ$1:$AT$594,3,FALSE)</f>
        <v>2.3842595991483737</v>
      </c>
      <c r="AM441" s="40" t="str">
        <f>IF(Таблица310[[#This Row],[Площадь уборки, га]]=Таблица310[[#This Row],[Площадь уборки до корр]],"нет","да")</f>
        <v>да</v>
      </c>
      <c r="AN441" s="45">
        <f>Таблица310[[#This Row],[Площадь уборки до корр]]-Таблица310[[#This Row],[Площадь уборки, га]]</f>
        <v>2.7583462784737556E-2</v>
      </c>
      <c r="AQ441" t="s">
        <v>1233</v>
      </c>
      <c r="AR441" t="s">
        <v>1184</v>
      </c>
      <c r="AS441">
        <v>2.3842595991483737</v>
      </c>
      <c r="AT441" t="s">
        <v>53</v>
      </c>
    </row>
    <row r="442" spans="1:46" ht="33.75" hidden="1" x14ac:dyDescent="0.25">
      <c r="A442" s="40"/>
      <c r="B442" s="41"/>
      <c r="C442" s="121">
        <v>49</v>
      </c>
      <c r="D442" s="42" t="s">
        <v>1234</v>
      </c>
      <c r="E442" s="147">
        <v>45830</v>
      </c>
      <c r="F442" s="41">
        <v>27720</v>
      </c>
      <c r="G442" s="41">
        <v>13870</v>
      </c>
      <c r="H442" s="69">
        <v>13850</v>
      </c>
      <c r="I442" s="41">
        <v>11650.8</v>
      </c>
      <c r="J442" s="40" t="s">
        <v>1167</v>
      </c>
      <c r="K442" s="40" t="s">
        <v>1185</v>
      </c>
      <c r="L442" s="40" t="s">
        <v>1184</v>
      </c>
      <c r="M442" s="35" t="s">
        <v>212</v>
      </c>
      <c r="N442" s="40"/>
      <c r="O442" s="40"/>
      <c r="P442" s="40"/>
      <c r="Q442" s="40"/>
      <c r="R442" s="40" t="s">
        <v>216</v>
      </c>
      <c r="S442" s="40"/>
      <c r="T442" s="40" t="s">
        <v>1168</v>
      </c>
      <c r="U442" s="40" t="s">
        <v>901</v>
      </c>
      <c r="V442" s="45">
        <f>18.8*Таблица310[[#This Row],[Регистратор.Вес нетто]]/112640</f>
        <v>2.3149502840909091</v>
      </c>
      <c r="W442" s="40" t="s">
        <v>53</v>
      </c>
      <c r="X442" s="40" t="s">
        <v>178</v>
      </c>
      <c r="Y442" s="40">
        <v>2</v>
      </c>
      <c r="Z442" s="103">
        <v>45830</v>
      </c>
      <c r="AA442" s="40"/>
      <c r="AB442" s="40" t="s">
        <v>1627</v>
      </c>
      <c r="AC442" s="40" t="s">
        <v>419</v>
      </c>
      <c r="AD442" s="40" t="s">
        <v>511</v>
      </c>
      <c r="AE442" s="40" t="s">
        <v>1234</v>
      </c>
      <c r="AF442" s="103">
        <v>45830</v>
      </c>
      <c r="AG442" s="40">
        <v>12</v>
      </c>
      <c r="AH442" s="40">
        <f>VLOOKUP(Таблица310[[#This Row],[№ акта]],'Степень зрелости 2025'!$H$13:$I$583,2,FALSE)</f>
        <v>49</v>
      </c>
      <c r="AI442" s="40" t="str">
        <f>VLOOKUP(Таблица310[[#This Row],[№ акта]],$AQ$1:$AT$594,2,FALSE)</f>
        <v>4.4</v>
      </c>
      <c r="AJ442" s="40" t="str">
        <f>Таблица310[[#This Row],[Регистратор.Номенклатура]]</f>
        <v>Грюнди</v>
      </c>
      <c r="AK442" s="40" t="str">
        <f>VLOOKUP(Таблица310[[#This Row],[№ акта]],$AQ$1:$AT$594,4,FALSE)</f>
        <v>Колос (полив)</v>
      </c>
      <c r="AL442" s="45">
        <f>VLOOKUP(Таблица310[[#This Row],[№ акта]],$AQ$1:$AT$594,3,FALSE)</f>
        <v>2.3420453711181266</v>
      </c>
      <c r="AM442" s="40" t="str">
        <f>IF(Таблица310[[#This Row],[Площадь уборки, га]]=Таблица310[[#This Row],[Площадь уборки до корр]],"нет","да")</f>
        <v>да</v>
      </c>
      <c r="AN442" s="45">
        <f>Таблица310[[#This Row],[Площадь уборки до корр]]-Таблица310[[#This Row],[Площадь уборки, га]]</f>
        <v>2.7095087027217524E-2</v>
      </c>
      <c r="AQ442" t="s">
        <v>1234</v>
      </c>
      <c r="AR442" t="s">
        <v>1184</v>
      </c>
      <c r="AS442">
        <v>2.3420453711181266</v>
      </c>
      <c r="AT442" t="s">
        <v>53</v>
      </c>
    </row>
    <row r="443" spans="1:46" ht="33.75" hidden="1" x14ac:dyDescent="0.25">
      <c r="A443" s="40"/>
      <c r="B443" s="41"/>
      <c r="C443" s="121">
        <v>48</v>
      </c>
      <c r="D443" s="42" t="s">
        <v>1235</v>
      </c>
      <c r="E443" s="147">
        <v>45830</v>
      </c>
      <c r="F443" s="41">
        <v>29210</v>
      </c>
      <c r="G443" s="41">
        <v>14140</v>
      </c>
      <c r="H443" s="69">
        <v>15070</v>
      </c>
      <c r="I443" s="41">
        <v>11806.9</v>
      </c>
      <c r="J443" s="40" t="s">
        <v>1167</v>
      </c>
      <c r="K443" s="40" t="s">
        <v>1185</v>
      </c>
      <c r="L443" s="40" t="s">
        <v>1184</v>
      </c>
      <c r="M443" s="35" t="s">
        <v>311</v>
      </c>
      <c r="N443" s="40"/>
      <c r="O443" s="40"/>
      <c r="P443" s="40"/>
      <c r="Q443" s="40"/>
      <c r="R443" s="40" t="s">
        <v>315</v>
      </c>
      <c r="S443" s="40"/>
      <c r="T443" s="40" t="s">
        <v>1168</v>
      </c>
      <c r="U443" s="40" t="s">
        <v>901</v>
      </c>
      <c r="V443" s="45">
        <f>18.8*Таблица310[[#This Row],[Регистратор.Вес нетто]]/112640</f>
        <v>2.3600142045454544</v>
      </c>
      <c r="W443" s="40" t="s">
        <v>53</v>
      </c>
      <c r="X443" s="40" t="s">
        <v>178</v>
      </c>
      <c r="Y443" s="40">
        <v>2</v>
      </c>
      <c r="Z443" s="103">
        <v>45830</v>
      </c>
      <c r="AA443" s="40"/>
      <c r="AB443" s="40" t="s">
        <v>1627</v>
      </c>
      <c r="AC443" s="40" t="s">
        <v>419</v>
      </c>
      <c r="AD443" s="40" t="s">
        <v>511</v>
      </c>
      <c r="AE443" s="40" t="s">
        <v>1235</v>
      </c>
      <c r="AF443" s="103">
        <v>45830</v>
      </c>
      <c r="AG443" s="40">
        <v>13</v>
      </c>
      <c r="AH443" s="40">
        <f>VLOOKUP(Таблица310[[#This Row],[№ акта]],'Степень зрелости 2025'!$H$13:$I$583,2,FALSE)</f>
        <v>48</v>
      </c>
      <c r="AI443" s="40" t="str">
        <f>VLOOKUP(Таблица310[[#This Row],[№ акта]],$AQ$1:$AT$594,2,FALSE)</f>
        <v>4.4</v>
      </c>
      <c r="AJ443" s="40" t="str">
        <f>Таблица310[[#This Row],[Регистратор.Номенклатура]]</f>
        <v>Грюнди</v>
      </c>
      <c r="AK443" s="40" t="str">
        <f>VLOOKUP(Таблица310[[#This Row],[№ акта]],$AQ$1:$AT$594,4,FALSE)</f>
        <v>Колос (полив)</v>
      </c>
      <c r="AL443" s="45">
        <f>VLOOKUP(Таблица310[[#This Row],[№ акта]],$AQ$1:$AT$594,3,FALSE)</f>
        <v>2.3876367373907934</v>
      </c>
      <c r="AM443" s="40" t="str">
        <f>IF(Таблица310[[#This Row],[Площадь уборки, га]]=Таблица310[[#This Row],[Площадь уборки до корр]],"нет","да")</f>
        <v>да</v>
      </c>
      <c r="AN443" s="45">
        <f>Таблица310[[#This Row],[Площадь уборки до корр]]-Таблица310[[#This Row],[Площадь уборки, га]]</f>
        <v>2.7622532845338998E-2</v>
      </c>
      <c r="AQ443" t="s">
        <v>1235</v>
      </c>
      <c r="AR443" t="s">
        <v>1184</v>
      </c>
      <c r="AS443">
        <v>2.3876367373907934</v>
      </c>
      <c r="AT443" t="s">
        <v>53</v>
      </c>
    </row>
    <row r="444" spans="1:46" ht="33.75" hidden="1" x14ac:dyDescent="0.25">
      <c r="A444" s="40"/>
      <c r="B444" s="41"/>
      <c r="C444" s="121">
        <v>50</v>
      </c>
      <c r="D444" s="42" t="s">
        <v>1236</v>
      </c>
      <c r="E444" s="147">
        <v>45830</v>
      </c>
      <c r="F444" s="41">
        <v>29280</v>
      </c>
      <c r="G444" s="41">
        <v>14450</v>
      </c>
      <c r="H444" s="69">
        <v>14830</v>
      </c>
      <c r="I444" s="41">
        <v>12354.7</v>
      </c>
      <c r="J444" s="40" t="s">
        <v>1167</v>
      </c>
      <c r="K444" s="40" t="s">
        <v>1185</v>
      </c>
      <c r="L444" s="40" t="s">
        <v>1184</v>
      </c>
      <c r="M444" s="35" t="s">
        <v>1253</v>
      </c>
      <c r="N444" s="40"/>
      <c r="O444" s="40"/>
      <c r="P444" s="40"/>
      <c r="Q444" s="40"/>
      <c r="R444" s="40" t="s">
        <v>270</v>
      </c>
      <c r="S444" s="40"/>
      <c r="T444" s="40" t="s">
        <v>1168</v>
      </c>
      <c r="U444" s="40" t="s">
        <v>901</v>
      </c>
      <c r="V444" s="45">
        <f>18.8*Таблица310[[#This Row],[Регистратор.Вес нетто]]/112640</f>
        <v>2.4117542613636362</v>
      </c>
      <c r="W444" s="40" t="s">
        <v>53</v>
      </c>
      <c r="X444" s="40" t="s">
        <v>178</v>
      </c>
      <c r="Y444" s="40">
        <v>2</v>
      </c>
      <c r="Z444" s="103">
        <v>45830</v>
      </c>
      <c r="AA444" s="40"/>
      <c r="AB444" s="40" t="s">
        <v>1627</v>
      </c>
      <c r="AC444" s="40" t="s">
        <v>419</v>
      </c>
      <c r="AD444" s="40" t="s">
        <v>511</v>
      </c>
      <c r="AE444" s="40" t="s">
        <v>1236</v>
      </c>
      <c r="AF444" s="103">
        <v>45830</v>
      </c>
      <c r="AG444" s="40">
        <v>14</v>
      </c>
      <c r="AH444" s="40">
        <f>VLOOKUP(Таблица310[[#This Row],[№ акта]],'Степень зрелости 2025'!$H$13:$I$583,2,FALSE)</f>
        <v>50</v>
      </c>
      <c r="AI444" s="40" t="str">
        <f>VLOOKUP(Таблица310[[#This Row],[№ акта]],$AQ$1:$AT$594,2,FALSE)</f>
        <v>4.4</v>
      </c>
      <c r="AJ444" s="40" t="str">
        <f>Таблица310[[#This Row],[Регистратор.Номенклатура]]</f>
        <v>Грюнди</v>
      </c>
      <c r="AK444" s="40" t="str">
        <f>VLOOKUP(Таблица310[[#This Row],[№ акта]],$AQ$1:$AT$594,4,FALSE)</f>
        <v>Колос (полив)</v>
      </c>
      <c r="AL444" s="45">
        <f>VLOOKUP(Таблица310[[#This Row],[№ акта]],$AQ$1:$AT$594,3,FALSE)</f>
        <v>2.4399823801483005</v>
      </c>
      <c r="AM444" s="40" t="str">
        <f>IF(Таблица310[[#This Row],[Площадь уборки, га]]=Таблица310[[#This Row],[Площадь уборки до корр]],"нет","да")</f>
        <v>да</v>
      </c>
      <c r="AN444" s="45">
        <f>Таблица310[[#This Row],[Площадь уборки до корр]]-Таблица310[[#This Row],[Площадь уборки, га]]</f>
        <v>2.8228118784664247E-2</v>
      </c>
      <c r="AQ444" t="s">
        <v>1236</v>
      </c>
      <c r="AR444" t="s">
        <v>1184</v>
      </c>
      <c r="AS444">
        <v>2.4399823801483005</v>
      </c>
      <c r="AT444" t="s">
        <v>53</v>
      </c>
    </row>
    <row r="445" spans="1:46" ht="33.75" hidden="1" x14ac:dyDescent="0.25">
      <c r="A445" s="40"/>
      <c r="B445" s="41"/>
      <c r="C445" s="121">
        <v>50</v>
      </c>
      <c r="D445" s="42" t="s">
        <v>1237</v>
      </c>
      <c r="E445" s="147">
        <v>45830</v>
      </c>
      <c r="F445" s="41">
        <v>29070</v>
      </c>
      <c r="G445" s="41">
        <v>14060</v>
      </c>
      <c r="H445" s="69">
        <v>15010</v>
      </c>
      <c r="I445" s="41">
        <v>12302.5</v>
      </c>
      <c r="J445" s="40" t="s">
        <v>1167</v>
      </c>
      <c r="K445" s="40" t="s">
        <v>1185</v>
      </c>
      <c r="L445" s="40" t="s">
        <v>1184</v>
      </c>
      <c r="M445" s="35" t="s">
        <v>1461</v>
      </c>
      <c r="N445" s="40"/>
      <c r="O445" s="40"/>
      <c r="P445" s="40"/>
      <c r="Q445" s="40"/>
      <c r="R445" s="40" t="s">
        <v>149</v>
      </c>
      <c r="S445" s="40"/>
      <c r="T445" s="40" t="s">
        <v>1168</v>
      </c>
      <c r="U445" s="40" t="s">
        <v>901</v>
      </c>
      <c r="V445" s="45">
        <f>18.8*Таблица310[[#This Row],[Регистратор.Вес нетто]]/112640</f>
        <v>2.3466619318181818</v>
      </c>
      <c r="W445" s="40" t="s">
        <v>53</v>
      </c>
      <c r="X445" s="40" t="s">
        <v>178</v>
      </c>
      <c r="Y445" s="40">
        <v>2</v>
      </c>
      <c r="Z445" s="103">
        <v>45830</v>
      </c>
      <c r="AA445" s="40"/>
      <c r="AB445" s="40" t="s">
        <v>1627</v>
      </c>
      <c r="AC445" s="40" t="s">
        <v>419</v>
      </c>
      <c r="AD445" s="40" t="s">
        <v>511</v>
      </c>
      <c r="AE445" s="40" t="s">
        <v>1237</v>
      </c>
      <c r="AF445" s="103">
        <v>45830</v>
      </c>
      <c r="AG445" s="40">
        <v>15</v>
      </c>
      <c r="AH445" s="40">
        <f>VLOOKUP(Таблица310[[#This Row],[№ акта]],'Степень зрелости 2025'!$H$13:$I$583,2,FALSE)</f>
        <v>50</v>
      </c>
      <c r="AI445" s="40" t="str">
        <f>VLOOKUP(Таблица310[[#This Row],[№ акта]],$AQ$1:$AT$594,2,FALSE)</f>
        <v>4.4</v>
      </c>
      <c r="AJ445" s="40" t="str">
        <f>Таблица310[[#This Row],[Регистратор.Номенклатура]]</f>
        <v>Грюнди</v>
      </c>
      <c r="AK445" s="40" t="str">
        <f>VLOOKUP(Таблица310[[#This Row],[№ акта]],$AQ$1:$AT$594,4,FALSE)</f>
        <v>Колос (полив)</v>
      </c>
      <c r="AL445" s="45">
        <f>VLOOKUP(Таблица310[[#This Row],[№ акта]],$AQ$1:$AT$594,3,FALSE)</f>
        <v>2.3741281844211146</v>
      </c>
      <c r="AM445" s="40" t="str">
        <f>IF(Таблица310[[#This Row],[Площадь уборки, га]]=Таблица310[[#This Row],[Площадь уборки до корр]],"нет","да")</f>
        <v>да</v>
      </c>
      <c r="AN445" s="45">
        <f>Таблица310[[#This Row],[Площадь уборки до корр]]-Таблица310[[#This Row],[Площадь уборки, га]]</f>
        <v>2.7466252602932784E-2</v>
      </c>
      <c r="AQ445" t="s">
        <v>1237</v>
      </c>
      <c r="AR445" t="s">
        <v>1184</v>
      </c>
      <c r="AS445">
        <v>2.3741281844211146</v>
      </c>
      <c r="AT445" t="s">
        <v>53</v>
      </c>
    </row>
    <row r="446" spans="1:46" ht="22.5" hidden="1" x14ac:dyDescent="0.25">
      <c r="A446" s="40"/>
      <c r="B446" s="41"/>
      <c r="C446" s="121">
        <v>51</v>
      </c>
      <c r="D446" s="42" t="s">
        <v>1238</v>
      </c>
      <c r="E446" s="147">
        <v>45831</v>
      </c>
      <c r="F446" s="41">
        <v>27990</v>
      </c>
      <c r="G446" s="41">
        <v>13290</v>
      </c>
      <c r="H446" s="69">
        <v>14700</v>
      </c>
      <c r="I446" s="41">
        <v>11296.5</v>
      </c>
      <c r="J446" s="40" t="s">
        <v>1167</v>
      </c>
      <c r="K446" s="40" t="s">
        <v>1185</v>
      </c>
      <c r="L446" s="40" t="s">
        <v>1184</v>
      </c>
      <c r="M446" s="35" t="s">
        <v>335</v>
      </c>
      <c r="N446" s="40"/>
      <c r="O446" s="40"/>
      <c r="P446" s="40"/>
      <c r="Q446" s="40"/>
      <c r="R446" s="40" t="s">
        <v>339</v>
      </c>
      <c r="S446" s="40"/>
      <c r="T446" s="40" t="s">
        <v>1184</v>
      </c>
      <c r="U446" s="40" t="str">
        <f>Таблица310[[#This Row],[Регистратор.Номенклатура]]</f>
        <v>Грюнди</v>
      </c>
      <c r="V446" s="45">
        <f>33.3*Таблица310[[#This Row],[Регистратор.Вес нетто]]/146870</f>
        <v>3.0132566215020082</v>
      </c>
      <c r="W446" s="40" t="s">
        <v>53</v>
      </c>
      <c r="X446" s="40" t="s">
        <v>178</v>
      </c>
      <c r="Y446" s="40">
        <v>2</v>
      </c>
      <c r="Z446" s="103">
        <v>45830</v>
      </c>
      <c r="AA446" s="40"/>
      <c r="AB446" s="40"/>
      <c r="AC446" s="40" t="s">
        <v>419</v>
      </c>
      <c r="AD446" s="40" t="s">
        <v>511</v>
      </c>
      <c r="AE446" s="40" t="s">
        <v>1238</v>
      </c>
      <c r="AF446" s="103">
        <v>45831</v>
      </c>
      <c r="AG446" s="40">
        <v>16</v>
      </c>
      <c r="AH446" s="40">
        <f>VLOOKUP(Таблица310[[#This Row],[№ акта]],'Степень зрелости 2025'!$H$13:$I$583,2,FALSE)</f>
        <v>51</v>
      </c>
      <c r="AI446" s="40" t="str">
        <f>VLOOKUP(Таблица310[[#This Row],[№ акта]],$AQ$1:$AT$594,2,FALSE)</f>
        <v>4.4</v>
      </c>
      <c r="AJ446" s="40" t="str">
        <f>Таблица310[[#This Row],[Регистратор.Номенклатура]]</f>
        <v>Грюнди</v>
      </c>
      <c r="AK446" s="40" t="str">
        <f>VLOOKUP(Таблица310[[#This Row],[№ акта]],$AQ$1:$AT$594,4,FALSE)</f>
        <v>Колос (полив)</v>
      </c>
      <c r="AL446" s="45">
        <f>VLOOKUP(Таблица310[[#This Row],[№ акта]],$AQ$1:$AT$594,3,FALSE)</f>
        <v>2.2441083620879523</v>
      </c>
      <c r="AM446" s="40" t="str">
        <f>IF(Таблица310[[#This Row],[Площадь уборки, га]]=Таблица310[[#This Row],[Площадь уборки до корр]],"нет","да")</f>
        <v>да</v>
      </c>
      <c r="AN446" s="45">
        <f>Таблица310[[#This Row],[Площадь уборки до корр]]-Таблица310[[#This Row],[Площадь уборки, га]]</f>
        <v>-0.76914825941405596</v>
      </c>
      <c r="AQ446" t="s">
        <v>1238</v>
      </c>
      <c r="AR446" t="s">
        <v>1184</v>
      </c>
      <c r="AS446">
        <v>2.2441083620879523</v>
      </c>
      <c r="AT446" t="s">
        <v>53</v>
      </c>
    </row>
    <row r="447" spans="1:46" ht="22.5" hidden="1" x14ac:dyDescent="0.25">
      <c r="A447" s="40"/>
      <c r="B447" s="41"/>
      <c r="C447" s="121">
        <v>49</v>
      </c>
      <c r="D447" s="42" t="s">
        <v>1239</v>
      </c>
      <c r="E447" s="147">
        <v>45831</v>
      </c>
      <c r="F447" s="41">
        <v>28110</v>
      </c>
      <c r="G447" s="41">
        <v>13380</v>
      </c>
      <c r="H447" s="69">
        <v>14730</v>
      </c>
      <c r="I447" s="41">
        <v>10704</v>
      </c>
      <c r="J447" s="40" t="s">
        <v>1167</v>
      </c>
      <c r="K447" s="40" t="s">
        <v>1185</v>
      </c>
      <c r="L447" s="40" t="s">
        <v>1184</v>
      </c>
      <c r="M447" s="35" t="s">
        <v>272</v>
      </c>
      <c r="N447" s="40"/>
      <c r="O447" s="40"/>
      <c r="P447" s="40"/>
      <c r="Q447" s="40"/>
      <c r="R447" s="40" t="s">
        <v>276</v>
      </c>
      <c r="S447" s="40"/>
      <c r="T447" s="40" t="s">
        <v>1184</v>
      </c>
      <c r="U447" s="40" t="str">
        <f>Таблица310[[#This Row],[Регистратор.Номенклатура]]</f>
        <v>Грюнди</v>
      </c>
      <c r="V447" s="45">
        <f>33.3*Таблица310[[#This Row],[Регистратор.Вес нетто]]/146870</f>
        <v>3.0336624225505546</v>
      </c>
      <c r="W447" s="40" t="s">
        <v>53</v>
      </c>
      <c r="X447" s="40" t="s">
        <v>178</v>
      </c>
      <c r="Y447" s="40">
        <v>2</v>
      </c>
      <c r="Z447" s="103">
        <v>45830</v>
      </c>
      <c r="AA447" s="40"/>
      <c r="AB447" s="40"/>
      <c r="AC447" s="40" t="s">
        <v>419</v>
      </c>
      <c r="AD447" s="40" t="s">
        <v>511</v>
      </c>
      <c r="AE447" s="40" t="s">
        <v>1239</v>
      </c>
      <c r="AF447" s="103">
        <v>45831</v>
      </c>
      <c r="AG447" s="40">
        <v>17</v>
      </c>
      <c r="AH447" s="40">
        <f>VLOOKUP(Таблица310[[#This Row],[№ акта]],'Степень зрелости 2025'!$H$13:$I$583,2,FALSE)</f>
        <v>49</v>
      </c>
      <c r="AI447" s="40" t="str">
        <f>VLOOKUP(Таблица310[[#This Row],[№ акта]],$AQ$1:$AT$594,2,FALSE)</f>
        <v>4.4</v>
      </c>
      <c r="AJ447" s="40" t="str">
        <f>Таблица310[[#This Row],[Регистратор.Номенклатура]]</f>
        <v>Грюнди</v>
      </c>
      <c r="AK447" s="40" t="str">
        <f>VLOOKUP(Таблица310[[#This Row],[№ акта]],$AQ$1:$AT$594,4,FALSE)</f>
        <v>Колос (полив)</v>
      </c>
      <c r="AL447" s="45">
        <f>VLOOKUP(Таблица310[[#This Row],[№ акта]],$AQ$1:$AT$594,3,FALSE)</f>
        <v>2.2593054841788414</v>
      </c>
      <c r="AM447" s="40" t="str">
        <f>IF(Таблица310[[#This Row],[Площадь уборки, га]]=Таблица310[[#This Row],[Площадь уборки до корр]],"нет","да")</f>
        <v>да</v>
      </c>
      <c r="AN447" s="45">
        <f>Таблица310[[#This Row],[Площадь уборки до корр]]-Таблица310[[#This Row],[Площадь уборки, га]]</f>
        <v>-0.77435693837171327</v>
      </c>
      <c r="AQ447" t="s">
        <v>1239</v>
      </c>
      <c r="AR447" t="s">
        <v>1184</v>
      </c>
      <c r="AS447">
        <v>2.2593054841788414</v>
      </c>
      <c r="AT447" t="s">
        <v>53</v>
      </c>
    </row>
    <row r="448" spans="1:46" ht="22.5" hidden="1" x14ac:dyDescent="0.25">
      <c r="A448" s="40"/>
      <c r="B448" s="41"/>
      <c r="C448" s="121">
        <v>49</v>
      </c>
      <c r="D448" s="42" t="s">
        <v>1240</v>
      </c>
      <c r="E448" s="147">
        <v>45831</v>
      </c>
      <c r="F448" s="41">
        <v>31970</v>
      </c>
      <c r="G448" s="41">
        <v>13230</v>
      </c>
      <c r="H448" s="69">
        <v>18740</v>
      </c>
      <c r="I448" s="41">
        <v>10980.9</v>
      </c>
      <c r="J448" s="40" t="s">
        <v>1167</v>
      </c>
      <c r="K448" s="40" t="s">
        <v>1185</v>
      </c>
      <c r="L448" s="40" t="s">
        <v>1184</v>
      </c>
      <c r="M448" s="35" t="s">
        <v>347</v>
      </c>
      <c r="N448" s="40"/>
      <c r="O448" s="40"/>
      <c r="P448" s="40"/>
      <c r="Q448" s="40"/>
      <c r="R448" s="40" t="s">
        <v>351</v>
      </c>
      <c r="S448" s="40"/>
      <c r="T448" s="40" t="s">
        <v>1184</v>
      </c>
      <c r="U448" s="40" t="str">
        <f>Таблица310[[#This Row],[Регистратор.Номенклатура]]</f>
        <v>Грюнди</v>
      </c>
      <c r="V448" s="45">
        <f>33.3*Таблица310[[#This Row],[Регистратор.Вес нетто]]/146870</f>
        <v>2.9996527541363105</v>
      </c>
      <c r="W448" s="40" t="s">
        <v>53</v>
      </c>
      <c r="X448" s="40" t="s">
        <v>178</v>
      </c>
      <c r="Y448" s="40">
        <v>2</v>
      </c>
      <c r="Z448" s="103">
        <v>45830</v>
      </c>
      <c r="AA448" s="40"/>
      <c r="AB448" s="40"/>
      <c r="AC448" s="40" t="s">
        <v>419</v>
      </c>
      <c r="AD448" s="40" t="s">
        <v>511</v>
      </c>
      <c r="AE448" s="40" t="s">
        <v>1240</v>
      </c>
      <c r="AF448" s="103">
        <v>45831</v>
      </c>
      <c r="AG448" s="40">
        <v>18</v>
      </c>
      <c r="AH448" s="40">
        <f>VLOOKUP(Таблица310[[#This Row],[№ акта]],'Степень зрелости 2025'!$H$13:$I$583,2,FALSE)</f>
        <v>49</v>
      </c>
      <c r="AI448" s="40" t="str">
        <f>VLOOKUP(Таблица310[[#This Row],[№ акта]],$AQ$1:$AT$594,2,FALSE)</f>
        <v>4.4</v>
      </c>
      <c r="AJ448" s="40" t="str">
        <f>Таблица310[[#This Row],[Регистратор.Номенклатура]]</f>
        <v>Грюнди</v>
      </c>
      <c r="AK448" s="40" t="str">
        <f>VLOOKUP(Таблица310[[#This Row],[№ акта]],$AQ$1:$AT$594,4,FALSE)</f>
        <v>Колос (полив)</v>
      </c>
      <c r="AL448" s="45">
        <f>VLOOKUP(Таблица310[[#This Row],[№ акта]],$AQ$1:$AT$594,3,FALSE)</f>
        <v>2.2339769473606932</v>
      </c>
      <c r="AM448" s="40" t="str">
        <f>IF(Таблица310[[#This Row],[Площадь уборки, га]]=Таблица310[[#This Row],[Площадь уборки до корр]],"нет","да")</f>
        <v>да</v>
      </c>
      <c r="AN448" s="45">
        <f>Таблица310[[#This Row],[Площадь уборки до корр]]-Таблица310[[#This Row],[Площадь уборки, га]]</f>
        <v>-0.76567580677561731</v>
      </c>
      <c r="AQ448" t="s">
        <v>1240</v>
      </c>
      <c r="AR448" t="s">
        <v>1184</v>
      </c>
      <c r="AS448">
        <v>2.2339769473606932</v>
      </c>
      <c r="AT448" t="s">
        <v>53</v>
      </c>
    </row>
    <row r="449" spans="1:46" ht="22.5" hidden="1" x14ac:dyDescent="0.25">
      <c r="A449" s="40"/>
      <c r="B449" s="41"/>
      <c r="C449" s="121">
        <v>51</v>
      </c>
      <c r="D449" s="42" t="s">
        <v>1241</v>
      </c>
      <c r="E449" s="147">
        <v>45831</v>
      </c>
      <c r="F449" s="41">
        <v>28090</v>
      </c>
      <c r="G449" s="41">
        <v>13230</v>
      </c>
      <c r="H449" s="69">
        <v>14860</v>
      </c>
      <c r="I449" s="41">
        <v>11377.8</v>
      </c>
      <c r="J449" s="40" t="s">
        <v>1167</v>
      </c>
      <c r="K449" s="40" t="s">
        <v>1185</v>
      </c>
      <c r="L449" s="40" t="s">
        <v>1184</v>
      </c>
      <c r="M449" s="35" t="s">
        <v>133</v>
      </c>
      <c r="N449" s="40"/>
      <c r="O449" s="40"/>
      <c r="P449" s="40"/>
      <c r="Q449" s="40"/>
      <c r="R449" s="40" t="s">
        <v>137</v>
      </c>
      <c r="S449" s="40"/>
      <c r="T449" s="40" t="s">
        <v>1184</v>
      </c>
      <c r="U449" s="40" t="str">
        <f>Таблица310[[#This Row],[Регистратор.Номенклатура]]</f>
        <v>Грюнди</v>
      </c>
      <c r="V449" s="45">
        <f>33.3*Таблица310[[#This Row],[Регистратор.Вес нетто]]/146870</f>
        <v>2.9996527541363105</v>
      </c>
      <c r="W449" s="40" t="s">
        <v>53</v>
      </c>
      <c r="X449" s="40" t="s">
        <v>178</v>
      </c>
      <c r="Y449" s="40">
        <v>2</v>
      </c>
      <c r="Z449" s="103">
        <v>45830</v>
      </c>
      <c r="AA449" s="40"/>
      <c r="AB449" s="40"/>
      <c r="AC449" s="40" t="s">
        <v>419</v>
      </c>
      <c r="AD449" s="40" t="s">
        <v>511</v>
      </c>
      <c r="AE449" s="40" t="s">
        <v>1241</v>
      </c>
      <c r="AF449" s="103">
        <v>45831</v>
      </c>
      <c r="AG449" s="40">
        <v>19</v>
      </c>
      <c r="AH449" s="40">
        <f>VLOOKUP(Таблица310[[#This Row],[№ акта]],'Степень зрелости 2025'!$H$13:$I$583,2,FALSE)</f>
        <v>51</v>
      </c>
      <c r="AI449" s="40" t="str">
        <f>VLOOKUP(Таблица310[[#This Row],[№ акта]],$AQ$1:$AT$594,2,FALSE)</f>
        <v>4.4</v>
      </c>
      <c r="AJ449" s="40" t="str">
        <f>Таблица310[[#This Row],[Регистратор.Номенклатура]]</f>
        <v>Грюнди</v>
      </c>
      <c r="AK449" s="40" t="str">
        <f>VLOOKUP(Таблица310[[#This Row],[№ акта]],$AQ$1:$AT$594,4,FALSE)</f>
        <v>Колос (полив)</v>
      </c>
      <c r="AL449" s="45">
        <f>VLOOKUP(Таблица310[[#This Row],[№ акта]],$AQ$1:$AT$594,3,FALSE)</f>
        <v>2.2339769473606932</v>
      </c>
      <c r="AM449" s="40" t="str">
        <f>IF(Таблица310[[#This Row],[Площадь уборки, га]]=Таблица310[[#This Row],[Площадь уборки до корр]],"нет","да")</f>
        <v>да</v>
      </c>
      <c r="AN449" s="45">
        <f>Таблица310[[#This Row],[Площадь уборки до корр]]-Таблица310[[#This Row],[Площадь уборки, га]]</f>
        <v>-0.76567580677561731</v>
      </c>
      <c r="AQ449" t="s">
        <v>1241</v>
      </c>
      <c r="AR449" t="s">
        <v>1184</v>
      </c>
      <c r="AS449">
        <v>2.2339769473606932</v>
      </c>
      <c r="AT449" t="s">
        <v>53</v>
      </c>
    </row>
    <row r="450" spans="1:46" ht="33.75" hidden="1" x14ac:dyDescent="0.25">
      <c r="A450" s="40"/>
      <c r="B450" s="41"/>
      <c r="C450" s="121">
        <v>49</v>
      </c>
      <c r="D450" s="42" t="s">
        <v>1242</v>
      </c>
      <c r="E450" s="147">
        <v>45831</v>
      </c>
      <c r="F450" s="41">
        <v>27740</v>
      </c>
      <c r="G450" s="41">
        <v>13320</v>
      </c>
      <c r="H450" s="69">
        <v>14420</v>
      </c>
      <c r="I450" s="41">
        <v>11788.2</v>
      </c>
      <c r="J450" s="40" t="s">
        <v>1167</v>
      </c>
      <c r="K450" s="40" t="s">
        <v>1185</v>
      </c>
      <c r="L450" s="40" t="s">
        <v>1184</v>
      </c>
      <c r="M450" s="35" t="s">
        <v>305</v>
      </c>
      <c r="N450" s="40"/>
      <c r="O450" s="40"/>
      <c r="P450" s="40"/>
      <c r="Q450" s="40"/>
      <c r="R450" s="40" t="s">
        <v>309</v>
      </c>
      <c r="S450" s="40"/>
      <c r="T450" s="40" t="s">
        <v>1184</v>
      </c>
      <c r="U450" s="40" t="str">
        <f>Таблица310[[#This Row],[Регистратор.Номенклатура]]</f>
        <v>Грюнди</v>
      </c>
      <c r="V450" s="45">
        <f>33.3*Таблица310[[#This Row],[Регистратор.Вес нетто]]/146870</f>
        <v>3.0200585551848569</v>
      </c>
      <c r="W450" s="40" t="s">
        <v>53</v>
      </c>
      <c r="X450" s="40" t="s">
        <v>178</v>
      </c>
      <c r="Y450" s="40">
        <v>2</v>
      </c>
      <c r="Z450" s="103">
        <v>45830</v>
      </c>
      <c r="AA450" s="40"/>
      <c r="AB450" s="40"/>
      <c r="AC450" s="40" t="s">
        <v>419</v>
      </c>
      <c r="AD450" s="40" t="s">
        <v>511</v>
      </c>
      <c r="AE450" s="40" t="s">
        <v>1242</v>
      </c>
      <c r="AF450" s="103">
        <v>45831</v>
      </c>
      <c r="AG450" s="40">
        <v>20</v>
      </c>
      <c r="AH450" s="40">
        <f>VLOOKUP(Таблица310[[#This Row],[№ акта]],'Степень зрелости 2025'!$H$13:$I$583,2,FALSE)</f>
        <v>49</v>
      </c>
      <c r="AI450" s="40" t="str">
        <f>VLOOKUP(Таблица310[[#This Row],[№ акта]],$AQ$1:$AT$594,2,FALSE)</f>
        <v>4.4</v>
      </c>
      <c r="AJ450" s="40" t="str">
        <f>Таблица310[[#This Row],[Регистратор.Номенклатура]]</f>
        <v>Грюнди</v>
      </c>
      <c r="AK450" s="40" t="str">
        <f>VLOOKUP(Таблица310[[#This Row],[№ акта]],$AQ$1:$AT$594,4,FALSE)</f>
        <v>Колос (полив)</v>
      </c>
      <c r="AL450" s="45">
        <f>VLOOKUP(Таблица310[[#This Row],[№ акта]],$AQ$1:$AT$594,3,FALSE)</f>
        <v>2.2491740694515823</v>
      </c>
      <c r="AM450" s="40" t="str">
        <f>IF(Таблица310[[#This Row],[Площадь уборки, га]]=Таблица310[[#This Row],[Площадь уборки до корр]],"нет","да")</f>
        <v>да</v>
      </c>
      <c r="AN450" s="45">
        <f>Таблица310[[#This Row],[Площадь уборки до корр]]-Таблица310[[#This Row],[Площадь уборки, га]]</f>
        <v>-0.77088448573327462</v>
      </c>
      <c r="AQ450" t="s">
        <v>1242</v>
      </c>
      <c r="AR450" t="s">
        <v>1184</v>
      </c>
      <c r="AS450">
        <v>2.2491740694515823</v>
      </c>
      <c r="AT450" t="s">
        <v>53</v>
      </c>
    </row>
    <row r="451" spans="1:46" ht="22.5" hidden="1" x14ac:dyDescent="0.25">
      <c r="A451" s="40"/>
      <c r="B451" s="41"/>
      <c r="C451" s="121">
        <v>50</v>
      </c>
      <c r="D451" s="42" t="s">
        <v>1243</v>
      </c>
      <c r="E451" s="147">
        <v>45831</v>
      </c>
      <c r="F451" s="41">
        <v>28190</v>
      </c>
      <c r="G451" s="41">
        <v>13090</v>
      </c>
      <c r="H451" s="69">
        <v>15100</v>
      </c>
      <c r="I451" s="41">
        <v>11191.9</v>
      </c>
      <c r="J451" s="40" t="s">
        <v>1167</v>
      </c>
      <c r="K451" s="40" t="s">
        <v>1185</v>
      </c>
      <c r="L451" s="40" t="s">
        <v>1184</v>
      </c>
      <c r="M451" s="35" t="s">
        <v>329</v>
      </c>
      <c r="N451" s="40"/>
      <c r="O451" s="40"/>
      <c r="P451" s="40"/>
      <c r="Q451" s="40"/>
      <c r="R451" s="40" t="s">
        <v>333</v>
      </c>
      <c r="S451" s="40"/>
      <c r="T451" s="40" t="s">
        <v>1184</v>
      </c>
      <c r="U451" s="40" t="str">
        <f>Таблица310[[#This Row],[Регистратор.Номенклатура]]</f>
        <v>Грюнди</v>
      </c>
      <c r="V451" s="45">
        <f>33.3*Таблица310[[#This Row],[Регистратор.Вес нетто]]/146870</f>
        <v>2.9679103969496832</v>
      </c>
      <c r="W451" s="40" t="s">
        <v>53</v>
      </c>
      <c r="X451" s="40" t="s">
        <v>178</v>
      </c>
      <c r="Y451" s="40">
        <v>2</v>
      </c>
      <c r="Z451" s="103">
        <v>45830</v>
      </c>
      <c r="AA451" s="40"/>
      <c r="AB451" s="40"/>
      <c r="AC451" s="40" t="s">
        <v>419</v>
      </c>
      <c r="AD451" s="40" t="s">
        <v>511</v>
      </c>
      <c r="AE451" s="40" t="s">
        <v>1243</v>
      </c>
      <c r="AF451" s="103">
        <v>45831</v>
      </c>
      <c r="AG451" s="40">
        <v>21</v>
      </c>
      <c r="AH451" s="40">
        <f>VLOOKUP(Таблица310[[#This Row],[№ акта]],'Степень зрелости 2025'!$H$13:$I$583,2,FALSE)</f>
        <v>50</v>
      </c>
      <c r="AI451" s="40" t="str">
        <f>VLOOKUP(Таблица310[[#This Row],[№ акта]],$AQ$1:$AT$594,2,FALSE)</f>
        <v>4.4</v>
      </c>
      <c r="AJ451" s="40" t="str">
        <f>Таблица310[[#This Row],[Регистратор.Номенклатура]]</f>
        <v>Грюнди</v>
      </c>
      <c r="AK451" s="40" t="str">
        <f>VLOOKUP(Таблица310[[#This Row],[№ акта]],$AQ$1:$AT$594,4,FALSE)</f>
        <v>Колос (полив)</v>
      </c>
      <c r="AL451" s="45">
        <f>VLOOKUP(Таблица310[[#This Row],[№ акта]],$AQ$1:$AT$594,3,FALSE)</f>
        <v>2.2103369796637544</v>
      </c>
      <c r="AM451" s="40" t="str">
        <f>IF(Таблица310[[#This Row],[Площадь уборки, га]]=Таблица310[[#This Row],[Площадь уборки до корр]],"нет","да")</f>
        <v>да</v>
      </c>
      <c r="AN451" s="45">
        <f>Таблица310[[#This Row],[Площадь уборки до корр]]-Таблица310[[#This Row],[Площадь уборки, га]]</f>
        <v>-0.75757341728592875</v>
      </c>
      <c r="AQ451" t="s">
        <v>1243</v>
      </c>
      <c r="AR451" t="s">
        <v>1184</v>
      </c>
      <c r="AS451">
        <v>2.2103369796637544</v>
      </c>
      <c r="AT451" t="s">
        <v>53</v>
      </c>
    </row>
    <row r="452" spans="1:46" ht="22.5" hidden="1" x14ac:dyDescent="0.25">
      <c r="A452" s="40"/>
      <c r="B452" s="41"/>
      <c r="C452" s="121">
        <v>51</v>
      </c>
      <c r="D452" s="42" t="s">
        <v>1244</v>
      </c>
      <c r="E452" s="147">
        <v>45831</v>
      </c>
      <c r="F452" s="41">
        <v>28370</v>
      </c>
      <c r="G452" s="41">
        <v>13250</v>
      </c>
      <c r="H452" s="69">
        <v>15120</v>
      </c>
      <c r="I452" s="41">
        <v>10798.7</v>
      </c>
      <c r="J452" s="40" t="s">
        <v>1167</v>
      </c>
      <c r="K452" s="40" t="s">
        <v>1185</v>
      </c>
      <c r="L452" s="40" t="s">
        <v>1184</v>
      </c>
      <c r="M452" s="35" t="s">
        <v>166</v>
      </c>
      <c r="N452" s="40"/>
      <c r="O452" s="40"/>
      <c r="P452" s="40"/>
      <c r="Q452" s="40"/>
      <c r="R452" s="40" t="s">
        <v>170</v>
      </c>
      <c r="S452" s="40"/>
      <c r="T452" s="40" t="s">
        <v>1184</v>
      </c>
      <c r="U452" s="40" t="str">
        <f>Таблица310[[#This Row],[Регистратор.Номенклатура]]</f>
        <v>Грюнди</v>
      </c>
      <c r="V452" s="45">
        <f>33.3*Таблица310[[#This Row],[Регистратор.Вес нетто]]/146870</f>
        <v>3.0041873765915432</v>
      </c>
      <c r="W452" s="40" t="s">
        <v>53</v>
      </c>
      <c r="X452" s="40" t="s">
        <v>178</v>
      </c>
      <c r="Y452" s="40">
        <v>2</v>
      </c>
      <c r="Z452" s="103">
        <v>45830</v>
      </c>
      <c r="AA452" s="40"/>
      <c r="AB452" s="40"/>
      <c r="AC452" s="40" t="s">
        <v>419</v>
      </c>
      <c r="AD452" s="40" t="s">
        <v>511</v>
      </c>
      <c r="AE452" s="40" t="s">
        <v>1244</v>
      </c>
      <c r="AF452" s="103">
        <v>45831</v>
      </c>
      <c r="AG452" s="40">
        <v>22</v>
      </c>
      <c r="AH452" s="40">
        <f>VLOOKUP(Таблица310[[#This Row],[№ акта]],'Степень зрелости 2025'!$H$13:$I$583,2,FALSE)</f>
        <v>51</v>
      </c>
      <c r="AI452" s="40" t="str">
        <f>VLOOKUP(Таблица310[[#This Row],[№ акта]],$AQ$1:$AT$594,2,FALSE)</f>
        <v>4.4</v>
      </c>
      <c r="AJ452" s="40" t="str">
        <f>Таблица310[[#This Row],[Регистратор.Номенклатура]]</f>
        <v>Грюнди</v>
      </c>
      <c r="AK452" s="40" t="str">
        <f>VLOOKUP(Таблица310[[#This Row],[№ акта]],$AQ$1:$AT$594,4,FALSE)</f>
        <v>Колос (полив)</v>
      </c>
      <c r="AL452" s="45">
        <f>VLOOKUP(Таблица310[[#This Row],[№ акта]],$AQ$1:$AT$594,3,FALSE)</f>
        <v>2.2373540856031129</v>
      </c>
      <c r="AM452" s="40" t="str">
        <f>IF(Таблица310[[#This Row],[Площадь уборки, га]]=Таблица310[[#This Row],[Площадь уборки до корр]],"нет","да")</f>
        <v>да</v>
      </c>
      <c r="AN452" s="45">
        <f>Таблица310[[#This Row],[Площадь уборки до корр]]-Таблица310[[#This Row],[Площадь уборки, га]]</f>
        <v>-0.76683329098843034</v>
      </c>
      <c r="AQ452" t="s">
        <v>1244</v>
      </c>
      <c r="AR452" t="s">
        <v>1184</v>
      </c>
      <c r="AS452">
        <v>2.2373540856031129</v>
      </c>
      <c r="AT452" t="s">
        <v>53</v>
      </c>
    </row>
    <row r="453" spans="1:46" ht="22.5" hidden="1" x14ac:dyDescent="0.25">
      <c r="A453" s="40"/>
      <c r="B453" s="41"/>
      <c r="C453" s="121">
        <v>50</v>
      </c>
      <c r="D453" s="42" t="s">
        <v>1245</v>
      </c>
      <c r="E453" s="147">
        <v>45831</v>
      </c>
      <c r="F453" s="41">
        <v>27640</v>
      </c>
      <c r="G453" s="41">
        <v>13200</v>
      </c>
      <c r="H453" s="69">
        <v>14440</v>
      </c>
      <c r="I453" s="41">
        <v>10098</v>
      </c>
      <c r="J453" s="40" t="s">
        <v>1167</v>
      </c>
      <c r="K453" s="40" t="s">
        <v>1185</v>
      </c>
      <c r="L453" s="40" t="s">
        <v>1184</v>
      </c>
      <c r="M453" s="35" t="s">
        <v>1312</v>
      </c>
      <c r="N453" s="40"/>
      <c r="O453" s="40"/>
      <c r="P453" s="40"/>
      <c r="Q453" s="40"/>
      <c r="R453" s="40" t="s">
        <v>320</v>
      </c>
      <c r="S453" s="40"/>
      <c r="T453" s="40" t="s">
        <v>1184</v>
      </c>
      <c r="U453" s="40" t="str">
        <f>Таблица310[[#This Row],[Регистратор.Номенклатура]]</f>
        <v>Грюнди</v>
      </c>
      <c r="V453" s="45">
        <f>33.3*Таблица310[[#This Row],[Регистратор.Вес нетто]]/146870</f>
        <v>2.9928508204534618</v>
      </c>
      <c r="W453" s="40" t="s">
        <v>53</v>
      </c>
      <c r="X453" s="40" t="s">
        <v>178</v>
      </c>
      <c r="Y453" s="40">
        <v>2</v>
      </c>
      <c r="Z453" s="103">
        <v>45830</v>
      </c>
      <c r="AA453" s="40"/>
      <c r="AB453" s="40"/>
      <c r="AC453" s="40" t="s">
        <v>419</v>
      </c>
      <c r="AD453" s="40" t="s">
        <v>511</v>
      </c>
      <c r="AE453" s="40" t="s">
        <v>1245</v>
      </c>
      <c r="AF453" s="103">
        <v>45831</v>
      </c>
      <c r="AG453" s="40">
        <v>23</v>
      </c>
      <c r="AH453" s="40">
        <f>VLOOKUP(Таблица310[[#This Row],[№ акта]],'Степень зрелости 2025'!$H$13:$I$583,2,FALSE)</f>
        <v>50</v>
      </c>
      <c r="AI453" s="40" t="str">
        <f>VLOOKUP(Таблица310[[#This Row],[№ акта]],$AQ$1:$AT$594,2,FALSE)</f>
        <v>4.4</v>
      </c>
      <c r="AJ453" s="40" t="str">
        <f>Таблица310[[#This Row],[Регистратор.Номенклатура]]</f>
        <v>Грюнди</v>
      </c>
      <c r="AK453" s="40" t="str">
        <f>VLOOKUP(Таблица310[[#This Row],[№ акта]],$AQ$1:$AT$594,4,FALSE)</f>
        <v>Колос (полив)</v>
      </c>
      <c r="AL453" s="45">
        <f>VLOOKUP(Таблица310[[#This Row],[№ акта]],$AQ$1:$AT$594,3,FALSE)</f>
        <v>2.2289112399970632</v>
      </c>
      <c r="AM453" s="40" t="str">
        <f>IF(Таблица310[[#This Row],[Площадь уборки, га]]=Таблица310[[#This Row],[Площадь уборки до корр]],"нет","да")</f>
        <v>да</v>
      </c>
      <c r="AN453" s="45">
        <f>Таблица310[[#This Row],[Площадь уборки до корр]]-Таблица310[[#This Row],[Площадь уборки, га]]</f>
        <v>-0.76393958045639865</v>
      </c>
      <c r="AQ453" t="s">
        <v>1245</v>
      </c>
      <c r="AR453" t="s">
        <v>1184</v>
      </c>
      <c r="AS453">
        <v>2.2289112399970632</v>
      </c>
      <c r="AT453" t="s">
        <v>53</v>
      </c>
    </row>
    <row r="454" spans="1:46" ht="22.5" hidden="1" x14ac:dyDescent="0.25">
      <c r="A454" s="40"/>
      <c r="B454" s="41"/>
      <c r="C454" s="121">
        <v>53</v>
      </c>
      <c r="D454" s="42" t="s">
        <v>1246</v>
      </c>
      <c r="E454" s="147">
        <v>45831</v>
      </c>
      <c r="F454" s="41">
        <v>28240</v>
      </c>
      <c r="G454" s="41">
        <v>13300</v>
      </c>
      <c r="H454" s="69">
        <v>14940</v>
      </c>
      <c r="I454" s="41">
        <v>11105.5</v>
      </c>
      <c r="J454" s="40" t="s">
        <v>1167</v>
      </c>
      <c r="K454" s="40" t="s">
        <v>1185</v>
      </c>
      <c r="L454" s="40" t="s">
        <v>1184</v>
      </c>
      <c r="M454" s="35" t="s">
        <v>894</v>
      </c>
      <c r="N454" s="40"/>
      <c r="O454" s="40"/>
      <c r="P454" s="40"/>
      <c r="Q454" s="40"/>
      <c r="R454" s="40" t="s">
        <v>895</v>
      </c>
      <c r="S454" s="40"/>
      <c r="T454" s="40" t="s">
        <v>1184</v>
      </c>
      <c r="U454" s="40" t="str">
        <f>Таблица310[[#This Row],[Регистратор.Номенклатура]]</f>
        <v>Грюнди</v>
      </c>
      <c r="V454" s="45">
        <f>33.3*Таблица310[[#This Row],[Регистратор.Вес нетто]]/146870</f>
        <v>3.0155239327296246</v>
      </c>
      <c r="W454" s="40" t="s">
        <v>53</v>
      </c>
      <c r="X454" s="40" t="s">
        <v>178</v>
      </c>
      <c r="Y454" s="40">
        <v>2</v>
      </c>
      <c r="Z454" s="103">
        <v>45830</v>
      </c>
      <c r="AA454" s="40"/>
      <c r="AB454" s="40"/>
      <c r="AC454" s="40" t="s">
        <v>724</v>
      </c>
      <c r="AD454" s="40" t="s">
        <v>511</v>
      </c>
      <c r="AE454" s="40" t="s">
        <v>1246</v>
      </c>
      <c r="AF454" s="103">
        <v>45831</v>
      </c>
      <c r="AG454" s="40">
        <v>24</v>
      </c>
      <c r="AH454" s="40">
        <f>VLOOKUP(Таблица310[[#This Row],[№ акта]],'Степень зрелости 2025'!$H$13:$I$583,2,FALSE)</f>
        <v>53</v>
      </c>
      <c r="AI454" s="40" t="str">
        <f>VLOOKUP(Таблица310[[#This Row],[№ акта]],$AQ$1:$AT$594,2,FALSE)</f>
        <v>4.4</v>
      </c>
      <c r="AJ454" s="40" t="str">
        <f>Таблица310[[#This Row],[Регистратор.Номенклатура]]</f>
        <v>Грюнди</v>
      </c>
      <c r="AK454" s="40" t="str">
        <f>VLOOKUP(Таблица310[[#This Row],[№ акта]],$AQ$1:$AT$594,4,FALSE)</f>
        <v>Колос (полив)</v>
      </c>
      <c r="AL454" s="45">
        <f>VLOOKUP(Таблица310[[#This Row],[№ акта]],$AQ$1:$AT$594,3,FALSE)</f>
        <v>2.2457969312091621</v>
      </c>
      <c r="AM454" s="40" t="str">
        <f>IF(Таблица310[[#This Row],[Площадь уборки, га]]=Таблица310[[#This Row],[Площадь уборки до корр]],"нет","да")</f>
        <v>да</v>
      </c>
      <c r="AN454" s="45">
        <f>Таблица310[[#This Row],[Площадь уборки до корр]]-Таблица310[[#This Row],[Площадь уборки, га]]</f>
        <v>-0.76972700152046247</v>
      </c>
      <c r="AQ454" t="s">
        <v>1246</v>
      </c>
      <c r="AR454" t="s">
        <v>1184</v>
      </c>
      <c r="AS454">
        <v>2.2457969312091621</v>
      </c>
      <c r="AT454" t="s">
        <v>53</v>
      </c>
    </row>
    <row r="455" spans="1:46" ht="56.25" hidden="1" x14ac:dyDescent="0.25">
      <c r="A455" s="40"/>
      <c r="B455" s="41"/>
      <c r="C455" s="121">
        <v>55</v>
      </c>
      <c r="D455" s="42" t="s">
        <v>1249</v>
      </c>
      <c r="E455" s="147">
        <v>45831</v>
      </c>
      <c r="F455" s="41">
        <v>29240</v>
      </c>
      <c r="G455" s="41">
        <v>13630</v>
      </c>
      <c r="H455" s="69">
        <v>15610</v>
      </c>
      <c r="I455" s="41">
        <v>11381</v>
      </c>
      <c r="J455" s="40" t="s">
        <v>1167</v>
      </c>
      <c r="K455" s="40" t="s">
        <v>1185</v>
      </c>
      <c r="L455" s="40" t="s">
        <v>1184</v>
      </c>
      <c r="M455" s="35" t="s">
        <v>1151</v>
      </c>
      <c r="N455" s="40"/>
      <c r="O455" s="40"/>
      <c r="P455" s="40"/>
      <c r="Q455" s="40"/>
      <c r="R455" s="40" t="s">
        <v>145</v>
      </c>
      <c r="S455" s="40"/>
      <c r="T455" s="40" t="s">
        <v>1184</v>
      </c>
      <c r="U455" s="40" t="str">
        <f>Таблица310[[#This Row],[Регистратор.Номенклатура]]</f>
        <v>Грюнди</v>
      </c>
      <c r="V455" s="45">
        <f>33.3*Таблица310[[#This Row],[Регистратор.Вес нетто]]/146870</f>
        <v>3.0903452032409611</v>
      </c>
      <c r="W455" s="40" t="s">
        <v>53</v>
      </c>
      <c r="X455" s="40" t="s">
        <v>178</v>
      </c>
      <c r="Y455" s="40">
        <v>3</v>
      </c>
      <c r="Z455" s="103">
        <v>45831</v>
      </c>
      <c r="AA455" s="40"/>
      <c r="AB455" s="40" t="s">
        <v>1356</v>
      </c>
      <c r="AC455" s="40" t="s">
        <v>724</v>
      </c>
      <c r="AD455" s="40" t="s">
        <v>511</v>
      </c>
      <c r="AE455" s="40" t="s">
        <v>1249</v>
      </c>
      <c r="AF455" s="103">
        <v>45831</v>
      </c>
      <c r="AG455" s="40">
        <v>25</v>
      </c>
      <c r="AH455" s="40">
        <f>VLOOKUP(Таблица310[[#This Row],[№ акта]],'Степень зрелости 2025'!$H$13:$I$583,2,FALSE)</f>
        <v>55</v>
      </c>
      <c r="AI455" s="40" t="str">
        <f>VLOOKUP(Таблица310[[#This Row],[№ акта]],$AQ$1:$AT$594,2,FALSE)</f>
        <v>4.4</v>
      </c>
      <c r="AJ455" s="40" t="str">
        <f>Таблица310[[#This Row],[Регистратор.Номенклатура]]</f>
        <v>Грюнди</v>
      </c>
      <c r="AK455" s="40" t="str">
        <f>VLOOKUP(Таблица310[[#This Row],[№ акта]],$AQ$1:$AT$594,4,FALSE)</f>
        <v>Колос (полив)</v>
      </c>
      <c r="AL455" s="45">
        <f>VLOOKUP(Таблица310[[#This Row],[№ акта]],$AQ$1:$AT$594,3,FALSE)</f>
        <v>4.293171435441212</v>
      </c>
      <c r="AM455" s="40" t="str">
        <f>IF(Таблица310[[#This Row],[Площадь уборки, га]]=Таблица310[[#This Row],[Площадь уборки до корр]],"нет","да")</f>
        <v>да</v>
      </c>
      <c r="AN455" s="45">
        <f>Таблица310[[#This Row],[Площадь уборки до корр]]-Таблица310[[#This Row],[Площадь уборки, га]]</f>
        <v>1.202826232200251</v>
      </c>
      <c r="AQ455" t="s">
        <v>1249</v>
      </c>
      <c r="AR455" t="s">
        <v>1184</v>
      </c>
      <c r="AS455">
        <v>4.293171435441212</v>
      </c>
      <c r="AT455" t="s">
        <v>53</v>
      </c>
    </row>
    <row r="456" spans="1:46" ht="22.5" hidden="1" x14ac:dyDescent="0.25">
      <c r="A456" s="40"/>
      <c r="B456" s="41"/>
      <c r="C456" s="121">
        <v>63</v>
      </c>
      <c r="D456" s="42" t="s">
        <v>1250</v>
      </c>
      <c r="E456" s="147">
        <v>45828</v>
      </c>
      <c r="F456" s="41">
        <v>32320</v>
      </c>
      <c r="G456" s="41">
        <v>16660</v>
      </c>
      <c r="H456" s="69">
        <v>15660</v>
      </c>
      <c r="I456" s="41">
        <v>13744</v>
      </c>
      <c r="J456" s="40" t="s">
        <v>914</v>
      </c>
      <c r="K456" s="40" t="s">
        <v>909</v>
      </c>
      <c r="L456" s="40">
        <v>14</v>
      </c>
      <c r="M456" s="35" t="s">
        <v>234</v>
      </c>
      <c r="N456" s="40"/>
      <c r="O456" s="40"/>
      <c r="P456" s="40"/>
      <c r="Q456" s="40"/>
      <c r="R456" s="40" t="s">
        <v>1255</v>
      </c>
      <c r="S456" s="40"/>
      <c r="T456" s="40">
        <v>14</v>
      </c>
      <c r="U456" s="40" t="str">
        <f>Таблица310[[#This Row],[Регистратор.Номенклатура]]</f>
        <v>Тристар</v>
      </c>
      <c r="V456" s="45">
        <f>36*Таблица310[[#This Row],[Регистратор.Вес нетто]]/252940</f>
        <v>2.3711552146754169</v>
      </c>
      <c r="W456" s="40" t="s">
        <v>52</v>
      </c>
      <c r="X456" s="40" t="s">
        <v>178</v>
      </c>
      <c r="Y456" s="40">
        <v>6</v>
      </c>
      <c r="Z456" s="103">
        <v>45828</v>
      </c>
      <c r="AA456" s="94">
        <f>Таблица310[[#This Row],[Регистратор.Вес нетто]]</f>
        <v>16660</v>
      </c>
      <c r="AB456" s="40" t="s">
        <v>1069</v>
      </c>
      <c r="AC456" s="40" t="s">
        <v>724</v>
      </c>
      <c r="AD456" s="40" t="s">
        <v>833</v>
      </c>
      <c r="AE456" s="40" t="s">
        <v>1250</v>
      </c>
      <c r="AF456" s="103">
        <v>45828</v>
      </c>
      <c r="AG456" s="40" t="s">
        <v>1277</v>
      </c>
      <c r="AH456" s="40">
        <f>VLOOKUP(Таблица310[[#This Row],[№ акта]],'Степень зрелости 2025'!$H$13:$I$583,2,FALSE)</f>
        <v>0</v>
      </c>
      <c r="AI456" s="40">
        <f>VLOOKUP(Таблица310[[#This Row],[№ акта]],$AQ$1:$AT$594,2,FALSE)</f>
        <v>14</v>
      </c>
      <c r="AJ456" s="40" t="str">
        <f>Таблица310[[#This Row],[Регистратор.Номенклатура]]</f>
        <v>Тристар</v>
      </c>
      <c r="AK456" s="40" t="str">
        <f>VLOOKUP(Таблица310[[#This Row],[№ акта]],$AQ$1:$AT$594,4,FALSE)</f>
        <v>Агролидер (полив)</v>
      </c>
      <c r="AL456" s="45">
        <f>VLOOKUP(Таблица310[[#This Row],[№ акта]],$AQ$1:$AT$594,3,FALSE)</f>
        <v>2.3711552146754169</v>
      </c>
      <c r="AM456" s="40" t="str">
        <f>IF(Таблица310[[#This Row],[Площадь уборки, га]]=Таблица310[[#This Row],[Площадь уборки до корр]],"нет","да")</f>
        <v>нет</v>
      </c>
      <c r="AN456" s="45">
        <f>Таблица310[[#This Row],[Площадь уборки до корр]]-Таблица310[[#This Row],[Площадь уборки, га]]</f>
        <v>0</v>
      </c>
      <c r="AQ456" t="s">
        <v>1250</v>
      </c>
      <c r="AR456">
        <v>14</v>
      </c>
      <c r="AS456">
        <v>2.3711552146754169</v>
      </c>
      <c r="AT456" t="s">
        <v>52</v>
      </c>
    </row>
    <row r="457" spans="1:46" ht="33.75" hidden="1" x14ac:dyDescent="0.25">
      <c r="A457" s="40"/>
      <c r="B457" s="41"/>
      <c r="C457" s="121">
        <v>59</v>
      </c>
      <c r="D457" s="42" t="s">
        <v>1251</v>
      </c>
      <c r="E457" s="147">
        <v>45828</v>
      </c>
      <c r="F457" s="41">
        <v>30280</v>
      </c>
      <c r="G457" s="41">
        <v>15280</v>
      </c>
      <c r="H457" s="69">
        <v>15000</v>
      </c>
      <c r="I457" s="41">
        <v>13168</v>
      </c>
      <c r="J457" s="40" t="s">
        <v>914</v>
      </c>
      <c r="K457" s="40" t="s">
        <v>909</v>
      </c>
      <c r="L457" s="40">
        <v>14</v>
      </c>
      <c r="M457" s="35" t="s">
        <v>262</v>
      </c>
      <c r="N457" s="40"/>
      <c r="O457" s="40"/>
      <c r="P457" s="40"/>
      <c r="Q457" s="40"/>
      <c r="R457" s="40" t="s">
        <v>266</v>
      </c>
      <c r="S457" s="40"/>
      <c r="T457" s="40">
        <v>14</v>
      </c>
      <c r="U457" s="40" t="str">
        <f>Таблица310[[#This Row],[Регистратор.Номенклатура]]</f>
        <v>Тристар</v>
      </c>
      <c r="V457" s="45">
        <f>36*Таблица310[[#This Row],[Регистратор.Вес нетто]]/252940</f>
        <v>2.174744998813948</v>
      </c>
      <c r="W457" s="40" t="s">
        <v>52</v>
      </c>
      <c r="X457" s="40" t="s">
        <v>178</v>
      </c>
      <c r="Y457" s="40">
        <v>6</v>
      </c>
      <c r="Z457" s="103">
        <v>45828</v>
      </c>
      <c r="AA457" s="94">
        <f>Таблица310[[#This Row],[Регистратор.Вес нетто]]</f>
        <v>15280</v>
      </c>
      <c r="AB457" s="40" t="s">
        <v>1069</v>
      </c>
      <c r="AC457" s="40" t="s">
        <v>724</v>
      </c>
      <c r="AD457" s="40" t="s">
        <v>833</v>
      </c>
      <c r="AE457" s="40" t="s">
        <v>1251</v>
      </c>
      <c r="AF457" s="103">
        <v>45828</v>
      </c>
      <c r="AG457" s="40" t="s">
        <v>1278</v>
      </c>
      <c r="AH457" s="40">
        <f>VLOOKUP(Таблица310[[#This Row],[№ акта]],'Степень зрелости 2025'!$H$13:$I$583,2,FALSE)</f>
        <v>0</v>
      </c>
      <c r="AI457" s="40">
        <f>VLOOKUP(Таблица310[[#This Row],[№ акта]],$AQ$1:$AT$594,2,FALSE)</f>
        <v>14</v>
      </c>
      <c r="AJ457" s="40" t="str">
        <f>Таблица310[[#This Row],[Регистратор.Номенклатура]]</f>
        <v>Тристар</v>
      </c>
      <c r="AK457" s="40" t="str">
        <f>VLOOKUP(Таблица310[[#This Row],[№ акта]],$AQ$1:$AT$594,4,FALSE)</f>
        <v>Агролидер (полив)</v>
      </c>
      <c r="AL457" s="45">
        <f>VLOOKUP(Таблица310[[#This Row],[№ акта]],$AQ$1:$AT$594,3,FALSE)</f>
        <v>2.174744998813948</v>
      </c>
      <c r="AM457" s="40" t="str">
        <f>IF(Таблица310[[#This Row],[Площадь уборки, га]]=Таблица310[[#This Row],[Площадь уборки до корр]],"нет","да")</f>
        <v>нет</v>
      </c>
      <c r="AN457" s="45">
        <f>Таблица310[[#This Row],[Площадь уборки до корр]]-Таблица310[[#This Row],[Площадь уборки, га]]</f>
        <v>0</v>
      </c>
      <c r="AQ457" t="s">
        <v>1251</v>
      </c>
      <c r="AR457">
        <v>14</v>
      </c>
      <c r="AS457">
        <v>2.174744998813948</v>
      </c>
      <c r="AT457" t="s">
        <v>52</v>
      </c>
    </row>
    <row r="458" spans="1:46" ht="33.75" hidden="1" x14ac:dyDescent="0.25">
      <c r="A458" s="40"/>
      <c r="B458" s="41"/>
      <c r="C458" s="121">
        <v>64</v>
      </c>
      <c r="D458" s="42" t="s">
        <v>1252</v>
      </c>
      <c r="E458" s="147">
        <v>45828</v>
      </c>
      <c r="F458" s="41">
        <v>31760</v>
      </c>
      <c r="G458" s="41">
        <v>16160</v>
      </c>
      <c r="H458" s="69">
        <v>15600</v>
      </c>
      <c r="I458" s="41">
        <v>12949</v>
      </c>
      <c r="J458" s="40" t="s">
        <v>914</v>
      </c>
      <c r="K458" s="40" t="s">
        <v>909</v>
      </c>
      <c r="L458" s="40">
        <v>14</v>
      </c>
      <c r="M458" s="35" t="s">
        <v>111</v>
      </c>
      <c r="N458" s="40"/>
      <c r="O458" s="40"/>
      <c r="P458" s="40"/>
      <c r="Q458" s="40"/>
      <c r="R458" s="40" t="s">
        <v>114</v>
      </c>
      <c r="S458" s="40"/>
      <c r="T458" s="40">
        <v>14</v>
      </c>
      <c r="U458" s="40" t="str">
        <f>Таблица310[[#This Row],[Регистратор.Номенклатура]]</f>
        <v>Тристар</v>
      </c>
      <c r="V458" s="45">
        <f>36*Таблица310[[#This Row],[Регистратор.Вес нетто]]/252940</f>
        <v>2.299992092986479</v>
      </c>
      <c r="W458" s="40" t="s">
        <v>52</v>
      </c>
      <c r="X458" s="40" t="s">
        <v>178</v>
      </c>
      <c r="Y458" s="40">
        <v>6</v>
      </c>
      <c r="Z458" s="103">
        <v>45828</v>
      </c>
      <c r="AA458" s="94">
        <f>Таблица310[[#This Row],[Регистратор.Вес нетто]]</f>
        <v>16160</v>
      </c>
      <c r="AB458" s="40" t="s">
        <v>1069</v>
      </c>
      <c r="AC458" s="40" t="s">
        <v>725</v>
      </c>
      <c r="AD458" s="40" t="s">
        <v>833</v>
      </c>
      <c r="AE458" s="40" t="s">
        <v>1252</v>
      </c>
      <c r="AF458" s="103">
        <v>45828</v>
      </c>
      <c r="AG458" s="40" t="s">
        <v>1279</v>
      </c>
      <c r="AH458" s="40">
        <f>VLOOKUP(Таблица310[[#This Row],[№ акта]],'Степень зрелости 2025'!$H$13:$I$583,2,FALSE)</f>
        <v>0</v>
      </c>
      <c r="AI458" s="40">
        <f>VLOOKUP(Таблица310[[#This Row],[№ акта]],$AQ$1:$AT$594,2,FALSE)</f>
        <v>14</v>
      </c>
      <c r="AJ458" s="40" t="str">
        <f>Таблица310[[#This Row],[Регистратор.Номенклатура]]</f>
        <v>Тристар</v>
      </c>
      <c r="AK458" s="40" t="str">
        <f>VLOOKUP(Таблица310[[#This Row],[№ акта]],$AQ$1:$AT$594,4,FALSE)</f>
        <v>Агролидер (полив)</v>
      </c>
      <c r="AL458" s="45">
        <f>VLOOKUP(Таблица310[[#This Row],[№ акта]],$AQ$1:$AT$594,3,FALSE)</f>
        <v>2.299992092986479</v>
      </c>
      <c r="AM458" s="40" t="str">
        <f>IF(Таблица310[[#This Row],[Площадь уборки, га]]=Таблица310[[#This Row],[Площадь уборки до корр]],"нет","да")</f>
        <v>нет</v>
      </c>
      <c r="AN458" s="45">
        <f>Таблица310[[#This Row],[Площадь уборки до корр]]-Таблица310[[#This Row],[Площадь уборки, га]]</f>
        <v>0</v>
      </c>
      <c r="AQ458" t="s">
        <v>1252</v>
      </c>
      <c r="AR458">
        <v>14</v>
      </c>
      <c r="AS458">
        <v>2.299992092986479</v>
      </c>
      <c r="AT458" t="s">
        <v>52</v>
      </c>
    </row>
    <row r="459" spans="1:46" ht="56.25" hidden="1" x14ac:dyDescent="0.25">
      <c r="A459" s="40"/>
      <c r="B459" s="41"/>
      <c r="C459" s="40">
        <f>VLOOKUP(Таблица310[[#This Row],[№ акта]],'Степень зрелости 2025'!$H$13:$I$463,2,FALSE)</f>
        <v>54</v>
      </c>
      <c r="D459" s="42" t="s">
        <v>1265</v>
      </c>
      <c r="E459" s="147">
        <v>45831</v>
      </c>
      <c r="F459" s="41">
        <v>27950</v>
      </c>
      <c r="G459" s="41">
        <v>13950</v>
      </c>
      <c r="H459" s="69">
        <v>14000</v>
      </c>
      <c r="I459" s="41">
        <v>11229.7</v>
      </c>
      <c r="J459" s="40" t="s">
        <v>1167</v>
      </c>
      <c r="K459" s="40" t="s">
        <v>1185</v>
      </c>
      <c r="L459" s="40" t="s">
        <v>1184</v>
      </c>
      <c r="M459" s="35" t="s">
        <v>212</v>
      </c>
      <c r="N459" s="40"/>
      <c r="O459" s="40"/>
      <c r="P459" s="40"/>
      <c r="Q459" s="40"/>
      <c r="R459" s="40" t="s">
        <v>216</v>
      </c>
      <c r="S459" s="40"/>
      <c r="T459" s="40" t="s">
        <v>1184</v>
      </c>
      <c r="U459" s="40" t="str">
        <f>Таблица310[[#This Row],[Регистратор.Номенклатура]]</f>
        <v>Грюнди</v>
      </c>
      <c r="V459" s="45">
        <f>33.3*Таблица310[[#This Row],[Регистратор.Вес нетто]]/146870</f>
        <v>3.1628991625246812</v>
      </c>
      <c r="W459" s="40" t="s">
        <v>53</v>
      </c>
      <c r="X459" s="40" t="s">
        <v>178</v>
      </c>
      <c r="Y459" s="40">
        <v>3</v>
      </c>
      <c r="Z459" s="103">
        <v>45831</v>
      </c>
      <c r="AA459" s="40"/>
      <c r="AB459" s="40" t="s">
        <v>1356</v>
      </c>
      <c r="AC459" s="40" t="s">
        <v>724</v>
      </c>
      <c r="AD459" s="40" t="s">
        <v>511</v>
      </c>
      <c r="AE459" s="40" t="s">
        <v>1265</v>
      </c>
      <c r="AF459" s="103">
        <v>45831</v>
      </c>
      <c r="AG459" s="40">
        <v>26</v>
      </c>
      <c r="AH459" s="40">
        <f>VLOOKUP(Таблица310[[#This Row],[№ акта]],'Степень зрелости 2025'!$H$13:$I$583,2,FALSE)</f>
        <v>54</v>
      </c>
      <c r="AI459" s="40" t="str">
        <f>VLOOKUP(Таблица310[[#This Row],[№ акта]],$AQ$1:$AT$594,2,FALSE)</f>
        <v>4.4</v>
      </c>
      <c r="AJ459" s="40" t="str">
        <f>Таблица310[[#This Row],[Регистратор.Номенклатура]]</f>
        <v>Грюнди</v>
      </c>
      <c r="AK459" s="40" t="str">
        <f>VLOOKUP(Таблица310[[#This Row],[№ акта]],$AQ$1:$AT$594,4,FALSE)</f>
        <v>Колос (полив)</v>
      </c>
      <c r="AL459" s="45">
        <f>VLOOKUP(Таблица310[[#This Row],[№ акта]],$AQ$1:$AT$594,3,FALSE)</f>
        <v>4.3939648954075503</v>
      </c>
      <c r="AM459" s="40" t="str">
        <f>IF(Таблица310[[#This Row],[Площадь уборки, га]]=Таблица310[[#This Row],[Площадь уборки до корр]],"нет","да")</f>
        <v>да</v>
      </c>
      <c r="AN459" s="45">
        <f>Таблица310[[#This Row],[Площадь уборки до корр]]-Таблица310[[#This Row],[Площадь уборки, га]]</f>
        <v>1.2310657328828691</v>
      </c>
      <c r="AQ459" t="s">
        <v>1265</v>
      </c>
      <c r="AR459" t="s">
        <v>1184</v>
      </c>
      <c r="AS459">
        <v>4.3939648954075503</v>
      </c>
      <c r="AT459" t="s">
        <v>53</v>
      </c>
    </row>
    <row r="460" spans="1:46" ht="22.5" hidden="1" x14ac:dyDescent="0.25">
      <c r="A460" s="40"/>
      <c r="B460" s="41"/>
      <c r="C460" s="40">
        <f>VLOOKUP(Таблица310[[#This Row],[№ акта]],'Степень зрелости 2025'!$H$13:$I$463,2,FALSE)</f>
        <v>49</v>
      </c>
      <c r="D460" s="42" t="s">
        <v>1266</v>
      </c>
      <c r="E460" s="147">
        <v>45831</v>
      </c>
      <c r="F460" s="41">
        <v>35190</v>
      </c>
      <c r="G460" s="41">
        <v>14010</v>
      </c>
      <c r="H460" s="69">
        <v>21180</v>
      </c>
      <c r="I460" s="41">
        <v>10857.7</v>
      </c>
      <c r="J460" s="40" t="s">
        <v>1167</v>
      </c>
      <c r="K460" s="40" t="s">
        <v>1185</v>
      </c>
      <c r="L460" s="40" t="s">
        <v>1168</v>
      </c>
      <c r="M460" s="35" t="s">
        <v>1152</v>
      </c>
      <c r="N460" s="40"/>
      <c r="O460" s="40"/>
      <c r="P460" s="40"/>
      <c r="Q460" s="40"/>
      <c r="R460" s="40" t="s">
        <v>119</v>
      </c>
      <c r="S460" s="40"/>
      <c r="T460" s="40" t="s">
        <v>1168</v>
      </c>
      <c r="U460" s="40" t="str">
        <f>Таблица310[[#This Row],[Регистратор.Номенклатура]]</f>
        <v>Грюнди</v>
      </c>
      <c r="V460" s="45">
        <f>9*Таблица310[[#This Row],[Регистратор.Вес нетто]]/81700</f>
        <v>1.543329253365973</v>
      </c>
      <c r="W460" s="40" t="s">
        <v>53</v>
      </c>
      <c r="X460" s="40" t="s">
        <v>178</v>
      </c>
      <c r="Y460" s="40">
        <v>3</v>
      </c>
      <c r="Z460" s="103">
        <v>45831</v>
      </c>
      <c r="AA460" s="40"/>
      <c r="AB460" s="40"/>
      <c r="AC460" s="40" t="s">
        <v>419</v>
      </c>
      <c r="AD460" s="40" t="s">
        <v>511</v>
      </c>
      <c r="AE460" s="40" t="s">
        <v>1266</v>
      </c>
      <c r="AF460" s="103">
        <v>45831</v>
      </c>
      <c r="AG460" s="40">
        <v>28</v>
      </c>
      <c r="AH460" s="40">
        <f>VLOOKUP(Таблица310[[#This Row],[№ акта]],'Степень зрелости 2025'!$H$13:$I$583,2,FALSE)</f>
        <v>49</v>
      </c>
      <c r="AI460" s="40" t="str">
        <f>VLOOKUP(Таблица310[[#This Row],[№ акта]],$AQ$1:$AT$594,2,FALSE)</f>
        <v>4.4</v>
      </c>
      <c r="AJ460" s="40" t="str">
        <f>Таблица310[[#This Row],[Регистратор.Номенклатура]]</f>
        <v>Грюнди</v>
      </c>
      <c r="AK460" s="40" t="str">
        <f>VLOOKUP(Таблица310[[#This Row],[№ акта]],$AQ$1:$AT$594,4,FALSE)</f>
        <v>Колос (полив)</v>
      </c>
      <c r="AL460" s="45">
        <f>VLOOKUP(Таблица310[[#This Row],[№ акта]],$AQ$1:$AT$594,3,FALSE)</f>
        <v>4.4128636691512382</v>
      </c>
      <c r="AM460" s="40" t="str">
        <f>IF(Таблица310[[#This Row],[Площадь уборки, га]]=Таблица310[[#This Row],[Площадь уборки до корр]],"нет","да")</f>
        <v>да</v>
      </c>
      <c r="AN460" s="45">
        <f>Таблица310[[#This Row],[Площадь уборки до корр]]-Таблица310[[#This Row],[Площадь уборки, га]]</f>
        <v>2.8695344157852651</v>
      </c>
      <c r="AQ460" t="s">
        <v>1266</v>
      </c>
      <c r="AR460" t="s">
        <v>1184</v>
      </c>
      <c r="AS460">
        <v>4.4128636691512382</v>
      </c>
      <c r="AT460" t="s">
        <v>53</v>
      </c>
    </row>
    <row r="461" spans="1:46" ht="22.5" hidden="1" x14ac:dyDescent="0.25">
      <c r="A461" s="40"/>
      <c r="B461" s="41"/>
      <c r="C461" s="40">
        <f>VLOOKUP(Таблица310[[#This Row],[№ акта]],'Степень зрелости 2025'!$H$13:$I$463,2,FALSE)</f>
        <v>55</v>
      </c>
      <c r="D461" s="42" t="s">
        <v>1267</v>
      </c>
      <c r="E461" s="147">
        <v>45831</v>
      </c>
      <c r="F461" s="41">
        <v>28910</v>
      </c>
      <c r="G461" s="41">
        <v>13950</v>
      </c>
      <c r="H461" s="69">
        <v>14960</v>
      </c>
      <c r="I461" s="41">
        <v>11857.5</v>
      </c>
      <c r="J461" s="40" t="s">
        <v>1167</v>
      </c>
      <c r="K461" s="40" t="s">
        <v>1185</v>
      </c>
      <c r="L461" s="40" t="s">
        <v>1168</v>
      </c>
      <c r="M461" s="35" t="s">
        <v>151</v>
      </c>
      <c r="N461" s="40"/>
      <c r="O461" s="40"/>
      <c r="P461" s="40"/>
      <c r="Q461" s="40"/>
      <c r="R461" s="40" t="s">
        <v>155</v>
      </c>
      <c r="S461" s="40"/>
      <c r="T461" s="40" t="s">
        <v>1168</v>
      </c>
      <c r="U461" s="40" t="str">
        <f>Таблица310[[#This Row],[Регистратор.Номенклатура]]</f>
        <v>Грюнди</v>
      </c>
      <c r="V461" s="45">
        <f>9*Таблица310[[#This Row],[Регистратор.Вес нетто]]/81700</f>
        <v>1.5367197062423501</v>
      </c>
      <c r="W461" s="40" t="s">
        <v>53</v>
      </c>
      <c r="X461" s="40" t="s">
        <v>178</v>
      </c>
      <c r="Y461" s="40">
        <v>3</v>
      </c>
      <c r="Z461" s="103">
        <v>45831</v>
      </c>
      <c r="AA461" s="40"/>
      <c r="AB461" s="40"/>
      <c r="AC461" s="40" t="s">
        <v>724</v>
      </c>
      <c r="AD461" s="40" t="s">
        <v>511</v>
      </c>
      <c r="AE461" s="40" t="s">
        <v>1267</v>
      </c>
      <c r="AF461" s="103">
        <v>45831</v>
      </c>
      <c r="AG461" s="40">
        <v>27</v>
      </c>
      <c r="AH461" s="40">
        <f>VLOOKUP(Таблица310[[#This Row],[№ акта]],'Степень зрелости 2025'!$H$13:$I$583,2,FALSE)</f>
        <v>55</v>
      </c>
      <c r="AI461" s="40" t="str">
        <f>VLOOKUP(Таблица310[[#This Row],[№ акта]],$AQ$1:$AT$594,2,FALSE)</f>
        <v>4.1</v>
      </c>
      <c r="AJ461" s="40" t="str">
        <f>Таблица310[[#This Row],[Регистратор.Номенклатура]]</f>
        <v>Грюнди</v>
      </c>
      <c r="AK461" s="40" t="str">
        <f>VLOOKUP(Таблица310[[#This Row],[№ акта]],$AQ$1:$AT$594,4,FALSE)</f>
        <v>Колос (полив)</v>
      </c>
      <c r="AL461" s="45">
        <f>VLOOKUP(Таблица310[[#This Row],[№ акта]],$AQ$1:$AT$594,3,FALSE)</f>
        <v>1.8547791401979612</v>
      </c>
      <c r="AM461" s="40" t="str">
        <f>IF(Таблица310[[#This Row],[Площадь уборки, га]]=Таблица310[[#This Row],[Площадь уборки до корр]],"нет","да")</f>
        <v>да</v>
      </c>
      <c r="AN461" s="45">
        <f>Таблица310[[#This Row],[Площадь уборки до корр]]-Таблица310[[#This Row],[Площадь уборки, га]]</f>
        <v>0.31805943395561109</v>
      </c>
      <c r="AQ461" t="s">
        <v>1267</v>
      </c>
      <c r="AR461" t="s">
        <v>1168</v>
      </c>
      <c r="AS461">
        <v>1.8547791401979612</v>
      </c>
      <c r="AT461" t="s">
        <v>53</v>
      </c>
    </row>
    <row r="462" spans="1:46" ht="22.5" hidden="1" x14ac:dyDescent="0.25">
      <c r="A462" s="40"/>
      <c r="B462" s="41"/>
      <c r="C462" s="40">
        <f>VLOOKUP(Таблица310[[#This Row],[№ акта]],'Степень зрелости 2025'!$H$13:$I$463,2,FALSE)</f>
        <v>52</v>
      </c>
      <c r="D462" s="42" t="s">
        <v>1268</v>
      </c>
      <c r="E462" s="147">
        <v>45831</v>
      </c>
      <c r="F462" s="41">
        <v>37910</v>
      </c>
      <c r="G462" s="41">
        <v>13770</v>
      </c>
      <c r="H462" s="69">
        <v>24140</v>
      </c>
      <c r="I462" s="41">
        <v>11635.6</v>
      </c>
      <c r="J462" s="40" t="s">
        <v>1167</v>
      </c>
      <c r="K462" s="40" t="s">
        <v>1185</v>
      </c>
      <c r="L462" s="40" t="s">
        <v>1168</v>
      </c>
      <c r="M462" s="35" t="s">
        <v>160</v>
      </c>
      <c r="N462" s="40"/>
      <c r="O462" s="40"/>
      <c r="P462" s="40"/>
      <c r="Q462" s="40"/>
      <c r="R462" s="40" t="s">
        <v>164</v>
      </c>
      <c r="S462" s="40"/>
      <c r="T462" s="40" t="s">
        <v>1168</v>
      </c>
      <c r="U462" s="40" t="str">
        <f>Таблица310[[#This Row],[Регистратор.Номенклатура]]</f>
        <v>Грюнди</v>
      </c>
      <c r="V462" s="45">
        <f>9*Таблица310[[#This Row],[Регистратор.Вес нетто]]/81700</f>
        <v>1.5168910648714811</v>
      </c>
      <c r="W462" s="40" t="s">
        <v>53</v>
      </c>
      <c r="X462" s="40" t="s">
        <v>178</v>
      </c>
      <c r="Y462" s="40">
        <v>3</v>
      </c>
      <c r="Z462" s="103">
        <v>45831</v>
      </c>
      <c r="AA462" s="40"/>
      <c r="AB462" s="40"/>
      <c r="AC462" s="40" t="s">
        <v>419</v>
      </c>
      <c r="AD462" s="40" t="s">
        <v>511</v>
      </c>
      <c r="AE462" s="40" t="s">
        <v>1268</v>
      </c>
      <c r="AF462" s="103">
        <v>45831</v>
      </c>
      <c r="AG462" s="40">
        <v>29</v>
      </c>
      <c r="AH462" s="40">
        <f>VLOOKUP(Таблица310[[#This Row],[№ акта]],'Степень зрелости 2025'!$H$13:$I$583,2,FALSE)</f>
        <v>52</v>
      </c>
      <c r="AI462" s="40" t="str">
        <f>VLOOKUP(Таблица310[[#This Row],[№ акта]],$AQ$1:$AT$594,2,FALSE)</f>
        <v>4.1</v>
      </c>
      <c r="AJ462" s="40" t="str">
        <f>Таблица310[[#This Row],[Регистратор.Номенклатура]]</f>
        <v>Грюнди</v>
      </c>
      <c r="AK462" s="40" t="str">
        <f>VLOOKUP(Таблица310[[#This Row],[№ акта]],$AQ$1:$AT$594,4,FALSE)</f>
        <v>Колос (полив)</v>
      </c>
      <c r="AL462" s="45">
        <f>VLOOKUP(Таблица310[[#This Row],[№ акта]],$AQ$1:$AT$594,3,FALSE)</f>
        <v>1.8308465061308907</v>
      </c>
      <c r="AM462" s="40" t="str">
        <f>IF(Таблица310[[#This Row],[Площадь уборки, га]]=Таблица310[[#This Row],[Площадь уборки до корр]],"нет","да")</f>
        <v>да</v>
      </c>
      <c r="AN462" s="45">
        <f>Таблица310[[#This Row],[Площадь уборки до корр]]-Таблица310[[#This Row],[Площадь уборки, га]]</f>
        <v>0.31395544125940966</v>
      </c>
      <c r="AQ462" t="s">
        <v>1268</v>
      </c>
      <c r="AR462" t="s">
        <v>1168</v>
      </c>
      <c r="AS462">
        <v>1.8308465061308907</v>
      </c>
      <c r="AT462" t="s">
        <v>53</v>
      </c>
    </row>
    <row r="463" spans="1:46" ht="33.75" hidden="1" x14ac:dyDescent="0.25">
      <c r="A463" s="40"/>
      <c r="B463" s="41"/>
      <c r="C463" s="40">
        <f>VLOOKUP(Таблица310[[#This Row],[№ акта]],'Степень зрелости 2025'!$H$13:$I$463,2,FALSE)</f>
        <v>51</v>
      </c>
      <c r="D463" s="42" t="s">
        <v>1269</v>
      </c>
      <c r="E463" s="147">
        <v>45831</v>
      </c>
      <c r="F463" s="41">
        <v>28840</v>
      </c>
      <c r="G463" s="41">
        <v>13760</v>
      </c>
      <c r="H463" s="69">
        <v>15080</v>
      </c>
      <c r="I463" s="41">
        <v>11214.4</v>
      </c>
      <c r="J463" s="40" t="s">
        <v>1167</v>
      </c>
      <c r="K463" s="40" t="s">
        <v>1185</v>
      </c>
      <c r="L463" s="40" t="s">
        <v>1168</v>
      </c>
      <c r="M463" s="35" t="s">
        <v>311</v>
      </c>
      <c r="N463" s="40"/>
      <c r="O463" s="40"/>
      <c r="P463" s="40"/>
      <c r="Q463" s="40"/>
      <c r="R463" s="40" t="s">
        <v>315</v>
      </c>
      <c r="S463" s="40"/>
      <c r="T463" s="40" t="s">
        <v>1168</v>
      </c>
      <c r="U463" s="40" t="str">
        <f>Таблица310[[#This Row],[Регистратор.Номенклатура]]</f>
        <v>Грюнди</v>
      </c>
      <c r="V463" s="45">
        <f>9*Таблица310[[#This Row],[Регистратор.Вес нетто]]/81700</f>
        <v>1.5157894736842106</v>
      </c>
      <c r="W463" s="40" t="s">
        <v>53</v>
      </c>
      <c r="X463" s="40" t="s">
        <v>178</v>
      </c>
      <c r="Y463" s="40">
        <v>3</v>
      </c>
      <c r="Z463" s="103">
        <v>45831</v>
      </c>
      <c r="AA463" s="40"/>
      <c r="AB463" s="40"/>
      <c r="AC463" s="40" t="s">
        <v>419</v>
      </c>
      <c r="AD463" s="40" t="s">
        <v>511</v>
      </c>
      <c r="AE463" s="40" t="s">
        <v>1269</v>
      </c>
      <c r="AF463" s="103">
        <v>45831</v>
      </c>
      <c r="AG463" s="40">
        <v>30</v>
      </c>
      <c r="AH463" s="40">
        <f>VLOOKUP(Таблица310[[#This Row],[№ акта]],'Степень зрелости 2025'!$H$13:$I$583,2,FALSE)</f>
        <v>51</v>
      </c>
      <c r="AI463" s="40" t="str">
        <f>VLOOKUP(Таблица310[[#This Row],[№ акта]],$AQ$1:$AT$594,2,FALSE)</f>
        <v>4.1</v>
      </c>
      <c r="AJ463" s="40" t="str">
        <f>Таблица310[[#This Row],[Регистратор.Номенклатура]]</f>
        <v>Грюнди</v>
      </c>
      <c r="AK463" s="40" t="str">
        <f>VLOOKUP(Таблица310[[#This Row],[№ акта]],$AQ$1:$AT$594,4,FALSE)</f>
        <v>Колос (полив)</v>
      </c>
      <c r="AL463" s="45">
        <f>VLOOKUP(Таблица310[[#This Row],[№ акта]],$AQ$1:$AT$594,3,FALSE)</f>
        <v>1.8295169153493869</v>
      </c>
      <c r="AM463" s="40" t="str">
        <f>IF(Таблица310[[#This Row],[Площадь уборки, га]]=Таблица310[[#This Row],[Площадь уборки до корр]],"нет","да")</f>
        <v>да</v>
      </c>
      <c r="AN463" s="45">
        <f>Таблица310[[#This Row],[Площадь уборки до корр]]-Таблица310[[#This Row],[Площадь уборки, га]]</f>
        <v>0.3137274416651763</v>
      </c>
      <c r="AQ463" t="s">
        <v>1269</v>
      </c>
      <c r="AR463" t="s">
        <v>1168</v>
      </c>
      <c r="AS463">
        <v>1.8295169153493869</v>
      </c>
      <c r="AT463" t="s">
        <v>53</v>
      </c>
    </row>
    <row r="464" spans="1:46" ht="33.75" hidden="1" x14ac:dyDescent="0.25">
      <c r="A464" s="40"/>
      <c r="B464" s="41"/>
      <c r="C464" s="40">
        <f>VLOOKUP(Таблица310[[#This Row],[№ акта]],'Степень зрелости 2025'!$H$13:$I$463,2,FALSE)</f>
        <v>54</v>
      </c>
      <c r="D464" s="42" t="s">
        <v>1270</v>
      </c>
      <c r="E464" s="147">
        <v>45831</v>
      </c>
      <c r="F464" s="41">
        <v>28290</v>
      </c>
      <c r="G464" s="41">
        <v>13380</v>
      </c>
      <c r="H464" s="69">
        <v>14910</v>
      </c>
      <c r="I464" s="41">
        <v>10904.7</v>
      </c>
      <c r="J464" s="40" t="s">
        <v>1167</v>
      </c>
      <c r="K464" s="40" t="s">
        <v>1185</v>
      </c>
      <c r="L464" s="40" t="s">
        <v>1168</v>
      </c>
      <c r="M464" s="35" t="s">
        <v>1253</v>
      </c>
      <c r="N464" s="40"/>
      <c r="O464" s="40"/>
      <c r="P464" s="40"/>
      <c r="Q464" s="40"/>
      <c r="R464" s="40" t="s">
        <v>270</v>
      </c>
      <c r="S464" s="40"/>
      <c r="T464" s="40" t="s">
        <v>1168</v>
      </c>
      <c r="U464" s="40" t="str">
        <f>Таблица310[[#This Row],[Регистратор.Номенклатура]]</f>
        <v>Грюнди</v>
      </c>
      <c r="V464" s="45">
        <f>9*Таблица310[[#This Row],[Регистратор.Вес нетто]]/81700</f>
        <v>1.4739290085679315</v>
      </c>
      <c r="W464" s="40" t="s">
        <v>53</v>
      </c>
      <c r="X464" s="40" t="s">
        <v>178</v>
      </c>
      <c r="Y464" s="40">
        <v>3</v>
      </c>
      <c r="Z464" s="103">
        <v>45831</v>
      </c>
      <c r="AA464" s="40"/>
      <c r="AB464" s="40"/>
      <c r="AC464" s="40" t="s">
        <v>724</v>
      </c>
      <c r="AD464" s="40" t="s">
        <v>511</v>
      </c>
      <c r="AE464" s="40" t="s">
        <v>1270</v>
      </c>
      <c r="AF464" s="103">
        <v>45831</v>
      </c>
      <c r="AG464" s="40">
        <v>31</v>
      </c>
      <c r="AH464" s="40">
        <f>VLOOKUP(Таблица310[[#This Row],[№ акта]],'Степень зрелости 2025'!$H$13:$I$583,2,FALSE)</f>
        <v>54</v>
      </c>
      <c r="AI464" s="40" t="str">
        <f>VLOOKUP(Таблица310[[#This Row],[№ акта]],$AQ$1:$AT$594,2,FALSE)</f>
        <v>4.1</v>
      </c>
      <c r="AJ464" s="40" t="str">
        <f>Таблица310[[#This Row],[Регистратор.Номенклатура]]</f>
        <v>Грюнди</v>
      </c>
      <c r="AK464" s="40" t="str">
        <f>VLOOKUP(Таблица310[[#This Row],[№ акта]],$AQ$1:$AT$594,4,FALSE)</f>
        <v>Колос (полив)</v>
      </c>
      <c r="AL464" s="45">
        <f>VLOOKUP(Таблица310[[#This Row],[№ акта]],$AQ$1:$AT$594,3,FALSE)</f>
        <v>1.7789924656522382</v>
      </c>
      <c r="AM464" s="40" t="str">
        <f>IF(Таблица310[[#This Row],[Площадь уборки, га]]=Таблица310[[#This Row],[Площадь уборки до корр]],"нет","да")</f>
        <v>да</v>
      </c>
      <c r="AN464" s="45">
        <f>Таблица310[[#This Row],[Площадь уборки до корр]]-Таблица310[[#This Row],[Площадь уборки, га]]</f>
        <v>0.30506345708430671</v>
      </c>
      <c r="AQ464" t="s">
        <v>1270</v>
      </c>
      <c r="AR464" t="s">
        <v>1168</v>
      </c>
      <c r="AS464">
        <v>1.7789924656522382</v>
      </c>
      <c r="AT464" t="s">
        <v>53</v>
      </c>
    </row>
    <row r="465" spans="1:46" ht="22.5" hidden="1" x14ac:dyDescent="0.25">
      <c r="A465" s="40"/>
      <c r="B465" s="41"/>
      <c r="C465" s="40">
        <f>VLOOKUP(Таблица310[[#This Row],[№ акта]],'Степень зрелости 2025'!$H$13:$I$463,2,FALSE)</f>
        <v>53</v>
      </c>
      <c r="D465" s="42" t="s">
        <v>1271</v>
      </c>
      <c r="E465" s="147">
        <v>45831</v>
      </c>
      <c r="F465" s="41">
        <v>28630</v>
      </c>
      <c r="G465" s="41">
        <v>12830</v>
      </c>
      <c r="H465" s="69">
        <v>15800</v>
      </c>
      <c r="I465" s="41">
        <v>10584.7</v>
      </c>
      <c r="J465" s="40" t="s">
        <v>1167</v>
      </c>
      <c r="K465" s="40" t="s">
        <v>1185</v>
      </c>
      <c r="L465" s="40" t="s">
        <v>1168</v>
      </c>
      <c r="M465" s="35" t="s">
        <v>234</v>
      </c>
      <c r="N465" s="40"/>
      <c r="O465" s="40"/>
      <c r="P465" s="40"/>
      <c r="Q465" s="40"/>
      <c r="R465" s="40" t="s">
        <v>238</v>
      </c>
      <c r="S465" s="40"/>
      <c r="T465" s="40" t="s">
        <v>1168</v>
      </c>
      <c r="U465" s="40" t="str">
        <f>Таблица310[[#This Row],[Регистратор.Номенклатура]]</f>
        <v>Грюнди</v>
      </c>
      <c r="V465" s="45">
        <f>9*Таблица310[[#This Row],[Регистратор.Вес нетто]]/81700</f>
        <v>1.4133414932680539</v>
      </c>
      <c r="W465" s="40" t="s">
        <v>53</v>
      </c>
      <c r="X465" s="40" t="s">
        <v>178</v>
      </c>
      <c r="Y465" s="40">
        <v>3</v>
      </c>
      <c r="Z465" s="103">
        <v>45831</v>
      </c>
      <c r="AA465" s="40"/>
      <c r="AB465" s="40"/>
      <c r="AC465" s="40" t="s">
        <v>724</v>
      </c>
      <c r="AD465" s="40" t="s">
        <v>511</v>
      </c>
      <c r="AE465" s="40" t="s">
        <v>1271</v>
      </c>
      <c r="AF465" s="103">
        <v>45831</v>
      </c>
      <c r="AG465" s="40">
        <v>32</v>
      </c>
      <c r="AH465" s="40">
        <f>VLOOKUP(Таблица310[[#This Row],[№ акта]],'Степень зрелости 2025'!$H$13:$I$583,2,FALSE)</f>
        <v>53</v>
      </c>
      <c r="AI465" s="40" t="str">
        <f>VLOOKUP(Таблица310[[#This Row],[№ акта]],$AQ$1:$AT$594,2,FALSE)</f>
        <v>4.1</v>
      </c>
      <c r="AJ465" s="40" t="str">
        <f>Таблица310[[#This Row],[Регистратор.Номенклатура]]</f>
        <v>Грюнди</v>
      </c>
      <c r="AK465" s="40" t="str">
        <f>VLOOKUP(Таблица310[[#This Row],[№ акта]],$AQ$1:$AT$594,4,FALSE)</f>
        <v>Колос (полив)</v>
      </c>
      <c r="AL465" s="45">
        <f>VLOOKUP(Таблица310[[#This Row],[№ акта]],$AQ$1:$AT$594,3,FALSE)</f>
        <v>1.7058649726695227</v>
      </c>
      <c r="AM465" s="40" t="str">
        <f>IF(Таблица310[[#This Row],[Площадь уборки, га]]=Таблица310[[#This Row],[Площадь уборки до корр]],"нет","да")</f>
        <v>да</v>
      </c>
      <c r="AN465" s="45">
        <f>Таблица310[[#This Row],[Площадь уборки до корр]]-Таблица310[[#This Row],[Площадь уборки, га]]</f>
        <v>0.29252347940146883</v>
      </c>
      <c r="AQ465" t="s">
        <v>1271</v>
      </c>
      <c r="AR465" t="s">
        <v>1168</v>
      </c>
      <c r="AS465">
        <v>1.7058649726695227</v>
      </c>
      <c r="AT465" t="s">
        <v>53</v>
      </c>
    </row>
    <row r="466" spans="1:46" ht="67.5" hidden="1" x14ac:dyDescent="0.25">
      <c r="A466" s="40"/>
      <c r="B466" s="41"/>
      <c r="C466" s="40">
        <v>52</v>
      </c>
      <c r="D466" s="42" t="s">
        <v>1291</v>
      </c>
      <c r="E466" s="147">
        <v>45832</v>
      </c>
      <c r="F466" s="41">
        <v>28570</v>
      </c>
      <c r="G466" s="41">
        <v>13530</v>
      </c>
      <c r="H466" s="69">
        <v>15040</v>
      </c>
      <c r="I466" s="41">
        <v>11365.2</v>
      </c>
      <c r="J466" s="40" t="s">
        <v>1167</v>
      </c>
      <c r="K466" s="40" t="s">
        <v>1185</v>
      </c>
      <c r="L466" s="40" t="s">
        <v>1168</v>
      </c>
      <c r="M466" s="35" t="s">
        <v>1461</v>
      </c>
      <c r="N466" s="40"/>
      <c r="O466" s="40"/>
      <c r="P466" s="40"/>
      <c r="Q466" s="40"/>
      <c r="R466" s="40" t="s">
        <v>149</v>
      </c>
      <c r="S466" s="40"/>
      <c r="T466" s="40" t="s">
        <v>1168</v>
      </c>
      <c r="U466" s="40" t="str">
        <f>Таблица310[[#This Row],[Регистратор.Номенклатура]]</f>
        <v>Грюнди</v>
      </c>
      <c r="V466" s="45">
        <f>2*Таблица310[[#This Row],[Регистратор.Вес нетто]]/20150</f>
        <v>1.3429280397022332</v>
      </c>
      <c r="W466" s="40" t="s">
        <v>53</v>
      </c>
      <c r="X466" s="40" t="s">
        <v>178</v>
      </c>
      <c r="Y466" s="40">
        <v>4</v>
      </c>
      <c r="Z466" s="103">
        <v>45832</v>
      </c>
      <c r="AA466" s="40"/>
      <c r="AB466" s="40" t="s">
        <v>1357</v>
      </c>
      <c r="AC466" s="40" t="s">
        <v>419</v>
      </c>
      <c r="AD466" s="40" t="s">
        <v>511</v>
      </c>
      <c r="AE466" s="40" t="s">
        <v>1291</v>
      </c>
      <c r="AF466" s="103">
        <v>45832</v>
      </c>
      <c r="AG466" s="40">
        <v>33</v>
      </c>
      <c r="AH466" s="40">
        <f>VLOOKUP(Таблица310[[#This Row],[№ акта]],'Степень зрелости 2025'!$H$13:$I$583,2,FALSE)</f>
        <v>52</v>
      </c>
      <c r="AI466" s="40" t="str">
        <f>VLOOKUP(Таблица310[[#This Row],[№ акта]],$AQ$1:$AT$594,2,FALSE)</f>
        <v>4.1</v>
      </c>
      <c r="AJ466" s="40" t="str">
        <f>Таблица310[[#This Row],[Регистратор.Номенклатура]]</f>
        <v>Грюнди</v>
      </c>
      <c r="AK466" s="40" t="str">
        <f>VLOOKUP(Таблица310[[#This Row],[№ акта]],$AQ$1:$AT$594,4,FALSE)</f>
        <v>Колос (полив)</v>
      </c>
      <c r="AL466" s="45">
        <f>VLOOKUP(Таблица310[[#This Row],[№ акта]],$AQ$1:$AT$594,3,FALSE)</f>
        <v>1.3429280397022332</v>
      </c>
      <c r="AM466" s="40" t="str">
        <f>IF(Таблица310[[#This Row],[Площадь уборки, га]]=Таблица310[[#This Row],[Площадь уборки до корр]],"нет","да")</f>
        <v>нет</v>
      </c>
      <c r="AN466" s="45">
        <f>Таблица310[[#This Row],[Площадь уборки до корр]]-Таблица310[[#This Row],[Площадь уборки, га]]</f>
        <v>0</v>
      </c>
      <c r="AQ466" t="s">
        <v>1291</v>
      </c>
      <c r="AR466" t="s">
        <v>1168</v>
      </c>
      <c r="AS466">
        <v>1.3429280397022332</v>
      </c>
      <c r="AT466" t="s">
        <v>53</v>
      </c>
    </row>
    <row r="467" spans="1:46" ht="22.5" hidden="1" x14ac:dyDescent="0.25">
      <c r="A467" s="40"/>
      <c r="B467" s="41"/>
      <c r="C467" s="40">
        <v>48</v>
      </c>
      <c r="D467" s="42" t="s">
        <v>1292</v>
      </c>
      <c r="E467" s="147">
        <v>45832</v>
      </c>
      <c r="F467" s="41">
        <v>28260</v>
      </c>
      <c r="G467" s="41">
        <v>6860</v>
      </c>
      <c r="H467" s="69">
        <v>21400</v>
      </c>
      <c r="I467" s="41">
        <v>5899.6</v>
      </c>
      <c r="J467" s="40" t="s">
        <v>1167</v>
      </c>
      <c r="K467" s="40" t="s">
        <v>901</v>
      </c>
      <c r="L467" s="40" t="s">
        <v>1168</v>
      </c>
      <c r="M467" s="35" t="s">
        <v>335</v>
      </c>
      <c r="N467" s="40"/>
      <c r="O467" s="40"/>
      <c r="P467" s="40"/>
      <c r="Q467" s="40"/>
      <c r="R467" s="40" t="s">
        <v>339</v>
      </c>
      <c r="S467" s="40"/>
      <c r="T467" s="40" t="s">
        <v>1168</v>
      </c>
      <c r="U467" s="40" t="str">
        <f>Таблица310[[#This Row],[Регистратор.Номенклатура]]</f>
        <v>Фаворит</v>
      </c>
      <c r="V467" s="45">
        <f>24*Таблица310[[#This Row],[Регистратор.Вес нетто]]/180130</f>
        <v>0.91400655082440463</v>
      </c>
      <c r="W467" s="40" t="s">
        <v>53</v>
      </c>
      <c r="X467" s="40" t="s">
        <v>178</v>
      </c>
      <c r="Y467" s="40">
        <v>4</v>
      </c>
      <c r="Z467" s="103">
        <v>45832</v>
      </c>
      <c r="AA467" s="40"/>
      <c r="AB467" s="40"/>
      <c r="AC467" s="40" t="s">
        <v>419</v>
      </c>
      <c r="AD467" s="40" t="s">
        <v>511</v>
      </c>
      <c r="AE467" s="40" t="s">
        <v>1292</v>
      </c>
      <c r="AF467" s="103">
        <v>45832</v>
      </c>
      <c r="AG467" s="40">
        <v>34</v>
      </c>
      <c r="AH467" s="40">
        <f>VLOOKUP(Таблица310[[#This Row],[№ акта]],'Степень зрелости 2025'!$H$13:$I$583,2,FALSE)</f>
        <v>48</v>
      </c>
      <c r="AI467" s="40" t="str">
        <f>VLOOKUP(Таблица310[[#This Row],[№ акта]],$AQ$1:$AT$594,2,FALSE)</f>
        <v>4.1</v>
      </c>
      <c r="AJ467" s="40" t="str">
        <f>Таблица310[[#This Row],[Регистратор.Номенклатура]]</f>
        <v>Фаворит</v>
      </c>
      <c r="AK467" s="40" t="str">
        <f>VLOOKUP(Таблица310[[#This Row],[№ акта]],$AQ$1:$AT$594,4,FALSE)</f>
        <v>Колос (полив)</v>
      </c>
      <c r="AL467" s="45">
        <f>VLOOKUP(Таблица310[[#This Row],[№ акта]],$AQ$1:$AT$594,3,FALSE)</f>
        <v>0.91400655082440463</v>
      </c>
      <c r="AM467" s="40" t="str">
        <f>IF(Таблица310[[#This Row],[Площадь уборки, га]]=Таблица310[[#This Row],[Площадь уборки до корр]],"нет","да")</f>
        <v>нет</v>
      </c>
      <c r="AN467" s="45">
        <f>Таблица310[[#This Row],[Площадь уборки до корр]]-Таблица310[[#This Row],[Площадь уборки, га]]</f>
        <v>0</v>
      </c>
      <c r="AQ467" t="s">
        <v>1292</v>
      </c>
      <c r="AR467" t="s">
        <v>1168</v>
      </c>
      <c r="AS467">
        <v>0.91400655082440463</v>
      </c>
      <c r="AT467" t="s">
        <v>53</v>
      </c>
    </row>
    <row r="468" spans="1:46" ht="22.5" hidden="1" x14ac:dyDescent="0.25">
      <c r="A468" s="40"/>
      <c r="B468" s="41"/>
      <c r="C468" s="40">
        <v>49</v>
      </c>
      <c r="D468" s="42" t="s">
        <v>1293</v>
      </c>
      <c r="E468" s="147">
        <v>45832</v>
      </c>
      <c r="F468" s="41">
        <v>21400</v>
      </c>
      <c r="G468" s="41">
        <v>6620</v>
      </c>
      <c r="H468" s="69">
        <v>14780</v>
      </c>
      <c r="I468" s="41">
        <v>5825.6</v>
      </c>
      <c r="J468" s="40" t="s">
        <v>1167</v>
      </c>
      <c r="K468" s="40" t="s">
        <v>1185</v>
      </c>
      <c r="L468" s="40" t="s">
        <v>1168</v>
      </c>
      <c r="M468" s="35" t="s">
        <v>335</v>
      </c>
      <c r="N468" s="40"/>
      <c r="O468" s="40"/>
      <c r="P468" s="40"/>
      <c r="Q468" s="40"/>
      <c r="R468" s="40" t="s">
        <v>339</v>
      </c>
      <c r="S468" s="40"/>
      <c r="T468" s="40" t="s">
        <v>1168</v>
      </c>
      <c r="U468" s="40" t="str">
        <f>Таблица310[[#This Row],[Регистратор.Номенклатура]]</f>
        <v>Грюнди</v>
      </c>
      <c r="V468" s="45">
        <f>2*Таблица310[[#This Row],[Регистратор.Вес нетто]]/20150</f>
        <v>0.65707196029776671</v>
      </c>
      <c r="W468" s="40" t="s">
        <v>53</v>
      </c>
      <c r="X468" s="40" t="s">
        <v>178</v>
      </c>
      <c r="Y468" s="40">
        <v>4</v>
      </c>
      <c r="Z468" s="103">
        <v>45832</v>
      </c>
      <c r="AA468" s="40"/>
      <c r="AB468" s="40"/>
      <c r="AC468" s="40" t="s">
        <v>419</v>
      </c>
      <c r="AD468" s="40" t="s">
        <v>511</v>
      </c>
      <c r="AE468" s="40" t="s">
        <v>1293</v>
      </c>
      <c r="AF468" s="103">
        <v>45832</v>
      </c>
      <c r="AG468" s="40">
        <v>34</v>
      </c>
      <c r="AH468" s="40">
        <f>VLOOKUP(Таблица310[[#This Row],[№ акта]],'Степень зрелости 2025'!$H$13:$I$583,2,FALSE)</f>
        <v>49</v>
      </c>
      <c r="AI468" s="40" t="str">
        <f>VLOOKUP(Таблица310[[#This Row],[№ акта]],$AQ$1:$AT$594,2,FALSE)</f>
        <v>4.1</v>
      </c>
      <c r="AJ468" s="40" t="str">
        <f>Таблица310[[#This Row],[Регистратор.Номенклатура]]</f>
        <v>Грюнди</v>
      </c>
      <c r="AK468" s="40" t="str">
        <f>VLOOKUP(Таблица310[[#This Row],[№ акта]],$AQ$1:$AT$594,4,FALSE)</f>
        <v>Колос (полив)</v>
      </c>
      <c r="AL468" s="45">
        <f>VLOOKUP(Таблица310[[#This Row],[№ акта]],$AQ$1:$AT$594,3,FALSE)</f>
        <v>0.65707196029776671</v>
      </c>
      <c r="AM468" s="40" t="str">
        <f>IF(Таблица310[[#This Row],[Площадь уборки, га]]=Таблица310[[#This Row],[Площадь уборки до корр]],"нет","да")</f>
        <v>нет</v>
      </c>
      <c r="AN468" s="45">
        <f>Таблица310[[#This Row],[Площадь уборки до корр]]-Таблица310[[#This Row],[Площадь уборки, га]]</f>
        <v>0</v>
      </c>
      <c r="AQ468" t="s">
        <v>1293</v>
      </c>
      <c r="AR468" t="s">
        <v>1168</v>
      </c>
      <c r="AS468">
        <v>0.65707196029776671</v>
      </c>
      <c r="AT468" t="s">
        <v>53</v>
      </c>
    </row>
    <row r="469" spans="1:46" ht="22.5" hidden="1" x14ac:dyDescent="0.25">
      <c r="A469" s="40"/>
      <c r="B469" s="41"/>
      <c r="C469" s="40">
        <v>45</v>
      </c>
      <c r="D469" s="42" t="s">
        <v>1294</v>
      </c>
      <c r="E469" s="147">
        <v>45832</v>
      </c>
      <c r="F469" s="41">
        <v>28550</v>
      </c>
      <c r="G469" s="41">
        <v>13560</v>
      </c>
      <c r="H469" s="69">
        <v>14990</v>
      </c>
      <c r="I469" s="41">
        <v>11322.6</v>
      </c>
      <c r="J469" s="40" t="s">
        <v>1167</v>
      </c>
      <c r="K469" s="40" t="s">
        <v>901</v>
      </c>
      <c r="L469" s="40" t="s">
        <v>1168</v>
      </c>
      <c r="M469" s="35" t="s">
        <v>272</v>
      </c>
      <c r="N469" s="40"/>
      <c r="O469" s="40"/>
      <c r="P469" s="40"/>
      <c r="Q469" s="40"/>
      <c r="R469" s="40" t="s">
        <v>276</v>
      </c>
      <c r="S469" s="40"/>
      <c r="T469" s="40" t="s">
        <v>1168</v>
      </c>
      <c r="U469" s="40" t="str">
        <f>Таблица310[[#This Row],[Регистратор.Номенклатура]]</f>
        <v>Фаворит</v>
      </c>
      <c r="V469" s="45">
        <f>24*Таблица310[[#This Row],[Регистратор.Вес нетто]]/180130</f>
        <v>1.806695164603342</v>
      </c>
      <c r="W469" s="40" t="s">
        <v>53</v>
      </c>
      <c r="X469" s="40" t="s">
        <v>178</v>
      </c>
      <c r="Y469" s="40">
        <v>4</v>
      </c>
      <c r="Z469" s="103">
        <v>45832</v>
      </c>
      <c r="AA469" s="40"/>
      <c r="AB469" s="40"/>
      <c r="AC469" s="40" t="s">
        <v>419</v>
      </c>
      <c r="AD469" s="40" t="s">
        <v>511</v>
      </c>
      <c r="AE469" s="40" t="s">
        <v>1294</v>
      </c>
      <c r="AF469" s="103">
        <v>45832</v>
      </c>
      <c r="AG469" s="40">
        <v>35</v>
      </c>
      <c r="AH469" s="40">
        <f>VLOOKUP(Таблица310[[#This Row],[№ акта]],'Степень зрелости 2025'!$H$13:$I$583,2,FALSE)</f>
        <v>45</v>
      </c>
      <c r="AI469" s="40" t="str">
        <f>VLOOKUP(Таблица310[[#This Row],[№ акта]],$AQ$1:$AT$594,2,FALSE)</f>
        <v>4.1</v>
      </c>
      <c r="AJ469" s="40" t="str">
        <f>Таблица310[[#This Row],[Регистратор.Номенклатура]]</f>
        <v>Фаворит</v>
      </c>
      <c r="AK469" s="40" t="str">
        <f>VLOOKUP(Таблица310[[#This Row],[№ акта]],$AQ$1:$AT$594,4,FALSE)</f>
        <v>Колос (полив)</v>
      </c>
      <c r="AL469" s="45">
        <f>VLOOKUP(Таблица310[[#This Row],[№ акта]],$AQ$1:$AT$594,3,FALSE)</f>
        <v>1.806695164603342</v>
      </c>
      <c r="AM469" s="40" t="str">
        <f>IF(Таблица310[[#This Row],[Площадь уборки, га]]=Таблица310[[#This Row],[Площадь уборки до корр]],"нет","да")</f>
        <v>нет</v>
      </c>
      <c r="AN469" s="45">
        <f>Таблица310[[#This Row],[Площадь уборки до корр]]-Таблица310[[#This Row],[Площадь уборки, га]]</f>
        <v>0</v>
      </c>
      <c r="AQ469" t="s">
        <v>1294</v>
      </c>
      <c r="AR469" t="s">
        <v>1168</v>
      </c>
      <c r="AS469">
        <v>1.806695164603342</v>
      </c>
      <c r="AT469" t="s">
        <v>53</v>
      </c>
    </row>
    <row r="470" spans="1:46" ht="33.75" hidden="1" x14ac:dyDescent="0.25">
      <c r="A470" s="40"/>
      <c r="B470" s="41"/>
      <c r="C470" s="40">
        <v>49</v>
      </c>
      <c r="D470" s="42" t="s">
        <v>1295</v>
      </c>
      <c r="E470" s="147">
        <v>45832</v>
      </c>
      <c r="F470" s="41">
        <v>28120</v>
      </c>
      <c r="G470" s="41">
        <v>13420</v>
      </c>
      <c r="H470" s="69">
        <v>14700</v>
      </c>
      <c r="I470" s="41">
        <v>11339.9</v>
      </c>
      <c r="J470" s="40" t="s">
        <v>1167</v>
      </c>
      <c r="K470" s="40" t="s">
        <v>901</v>
      </c>
      <c r="L470" s="40" t="s">
        <v>1168</v>
      </c>
      <c r="M470" s="35" t="s">
        <v>239</v>
      </c>
      <c r="N470" s="40"/>
      <c r="O470" s="40"/>
      <c r="P470" s="40"/>
      <c r="Q470" s="40"/>
      <c r="R470" s="40" t="s">
        <v>243</v>
      </c>
      <c r="S470" s="40"/>
      <c r="T470" s="40" t="s">
        <v>1168</v>
      </c>
      <c r="U470" s="40" t="str">
        <f>Таблица310[[#This Row],[Регистратор.Номенклатура]]</f>
        <v>Фаворит</v>
      </c>
      <c r="V470" s="45">
        <f>24*Таблица310[[#This Row],[Регистратор.Вес нетто]]/180130</f>
        <v>1.7880419696885583</v>
      </c>
      <c r="W470" s="40" t="s">
        <v>53</v>
      </c>
      <c r="X470" s="40" t="s">
        <v>178</v>
      </c>
      <c r="Y470" s="40">
        <v>4</v>
      </c>
      <c r="Z470" s="103">
        <v>45832</v>
      </c>
      <c r="AA470" s="40"/>
      <c r="AB470" s="40"/>
      <c r="AC470" s="40" t="s">
        <v>419</v>
      </c>
      <c r="AD470" s="40" t="s">
        <v>511</v>
      </c>
      <c r="AE470" s="40" t="s">
        <v>1295</v>
      </c>
      <c r="AF470" s="103">
        <v>45832</v>
      </c>
      <c r="AG470" s="40">
        <v>36</v>
      </c>
      <c r="AH470" s="40">
        <f>VLOOKUP(Таблица310[[#This Row],[№ акта]],'Степень зрелости 2025'!$H$13:$I$583,2,FALSE)</f>
        <v>49</v>
      </c>
      <c r="AI470" s="40" t="str">
        <f>VLOOKUP(Таблица310[[#This Row],[№ акта]],$AQ$1:$AT$594,2,FALSE)</f>
        <v>4.1</v>
      </c>
      <c r="AJ470" s="40" t="str">
        <f>Таблица310[[#This Row],[Регистратор.Номенклатура]]</f>
        <v>Фаворит</v>
      </c>
      <c r="AK470" s="40" t="str">
        <f>VLOOKUP(Таблица310[[#This Row],[№ акта]],$AQ$1:$AT$594,4,FALSE)</f>
        <v>Колос (полив)</v>
      </c>
      <c r="AL470" s="45">
        <f>VLOOKUP(Таблица310[[#This Row],[№ акта]],$AQ$1:$AT$594,3,FALSE)</f>
        <v>1.7880419696885583</v>
      </c>
      <c r="AM470" s="40" t="str">
        <f>IF(Таблица310[[#This Row],[Площадь уборки, га]]=Таблица310[[#This Row],[Площадь уборки до корр]],"нет","да")</f>
        <v>нет</v>
      </c>
      <c r="AN470" s="45">
        <f>Таблица310[[#This Row],[Площадь уборки до корр]]-Таблица310[[#This Row],[Площадь уборки, га]]</f>
        <v>0</v>
      </c>
      <c r="AQ470" t="s">
        <v>1295</v>
      </c>
      <c r="AR470" t="s">
        <v>1168</v>
      </c>
      <c r="AS470">
        <v>1.7880419696885583</v>
      </c>
      <c r="AT470" t="s">
        <v>53</v>
      </c>
    </row>
    <row r="471" spans="1:46" ht="22.5" hidden="1" x14ac:dyDescent="0.25">
      <c r="A471" s="40"/>
      <c r="B471" s="41"/>
      <c r="C471" s="40">
        <v>50</v>
      </c>
      <c r="D471" s="42" t="s">
        <v>1296</v>
      </c>
      <c r="E471" s="147">
        <v>45832</v>
      </c>
      <c r="F471" s="41">
        <v>32280</v>
      </c>
      <c r="G471" s="41">
        <v>13500</v>
      </c>
      <c r="H471" s="69">
        <v>18780</v>
      </c>
      <c r="I471" s="41">
        <v>11677.5</v>
      </c>
      <c r="J471" s="40" t="s">
        <v>1167</v>
      </c>
      <c r="K471" s="40" t="s">
        <v>901</v>
      </c>
      <c r="L471" s="40" t="s">
        <v>1168</v>
      </c>
      <c r="M471" s="35" t="s">
        <v>347</v>
      </c>
      <c r="N471" s="40"/>
      <c r="O471" s="40"/>
      <c r="P471" s="40"/>
      <c r="Q471" s="40"/>
      <c r="R471" s="40" t="s">
        <v>351</v>
      </c>
      <c r="S471" s="40"/>
      <c r="T471" s="40" t="s">
        <v>1168</v>
      </c>
      <c r="U471" s="40" t="str">
        <f>Таблица310[[#This Row],[Регистратор.Номенклатура]]</f>
        <v>Фаворит</v>
      </c>
      <c r="V471" s="45">
        <f>24*Таблица310[[#This Row],[Регистратор.Вес нетто]]/180130</f>
        <v>1.798700938211292</v>
      </c>
      <c r="W471" s="40" t="s">
        <v>53</v>
      </c>
      <c r="X471" s="40" t="s">
        <v>178</v>
      </c>
      <c r="Y471" s="40">
        <v>4</v>
      </c>
      <c r="Z471" s="103">
        <v>45832</v>
      </c>
      <c r="AA471" s="40"/>
      <c r="AB471" s="40"/>
      <c r="AC471" s="40" t="s">
        <v>419</v>
      </c>
      <c r="AD471" s="40" t="s">
        <v>511</v>
      </c>
      <c r="AE471" s="40" t="s">
        <v>1296</v>
      </c>
      <c r="AF471" s="103">
        <v>45832</v>
      </c>
      <c r="AG471" s="40">
        <v>36</v>
      </c>
      <c r="AH471" s="40">
        <f>VLOOKUP(Таблица310[[#This Row],[№ акта]],'Степень зрелости 2025'!$H$13:$I$583,2,FALSE)</f>
        <v>50</v>
      </c>
      <c r="AI471" s="40" t="str">
        <f>VLOOKUP(Таблица310[[#This Row],[№ акта]],$AQ$1:$AT$594,2,FALSE)</f>
        <v>4.1</v>
      </c>
      <c r="AJ471" s="40" t="str">
        <f>Таблица310[[#This Row],[Регистратор.Номенклатура]]</f>
        <v>Фаворит</v>
      </c>
      <c r="AK471" s="40" t="str">
        <f>VLOOKUP(Таблица310[[#This Row],[№ акта]],$AQ$1:$AT$594,4,FALSE)</f>
        <v>Колос (полив)</v>
      </c>
      <c r="AL471" s="45">
        <f>VLOOKUP(Таблица310[[#This Row],[№ акта]],$AQ$1:$AT$594,3,FALSE)</f>
        <v>1.798700938211292</v>
      </c>
      <c r="AM471" s="40" t="str">
        <f>IF(Таблица310[[#This Row],[Площадь уборки, га]]=Таблица310[[#This Row],[Площадь уборки до корр]],"нет","да")</f>
        <v>нет</v>
      </c>
      <c r="AN471" s="45">
        <f>Таблица310[[#This Row],[Площадь уборки до корр]]-Таблица310[[#This Row],[Площадь уборки, га]]</f>
        <v>0</v>
      </c>
      <c r="AQ471" t="s">
        <v>1296</v>
      </c>
      <c r="AR471" t="s">
        <v>1168</v>
      </c>
      <c r="AS471">
        <v>1.798700938211292</v>
      </c>
      <c r="AT471" t="s">
        <v>53</v>
      </c>
    </row>
    <row r="472" spans="1:46" ht="22.5" hidden="1" x14ac:dyDescent="0.25">
      <c r="A472" s="40"/>
      <c r="B472" s="41"/>
      <c r="C472" s="40">
        <v>52</v>
      </c>
      <c r="D472" s="42" t="s">
        <v>1297</v>
      </c>
      <c r="E472" s="147">
        <v>45832</v>
      </c>
      <c r="F472" s="41">
        <v>27870</v>
      </c>
      <c r="G472" s="41">
        <v>12900</v>
      </c>
      <c r="H472" s="69">
        <v>14970</v>
      </c>
      <c r="I472" s="41">
        <v>10900.5</v>
      </c>
      <c r="J472" s="40" t="s">
        <v>1167</v>
      </c>
      <c r="K472" s="40" t="s">
        <v>901</v>
      </c>
      <c r="L472" s="40" t="s">
        <v>1168</v>
      </c>
      <c r="M472" s="35" t="s">
        <v>133</v>
      </c>
      <c r="N472" s="40"/>
      <c r="O472" s="40"/>
      <c r="P472" s="40"/>
      <c r="Q472" s="40"/>
      <c r="R472" s="40" t="s">
        <v>137</v>
      </c>
      <c r="S472" s="40"/>
      <c r="T472" s="40" t="s">
        <v>1168</v>
      </c>
      <c r="U472" s="40" t="str">
        <f>Таблица310[[#This Row],[Регистратор.Номенклатура]]</f>
        <v>Фаворит</v>
      </c>
      <c r="V472" s="45">
        <f>24*Таблица310[[#This Row],[Регистратор.Вес нетто]]/180130</f>
        <v>1.7187586742907899</v>
      </c>
      <c r="W472" s="40" t="s">
        <v>53</v>
      </c>
      <c r="X472" s="40" t="s">
        <v>178</v>
      </c>
      <c r="Y472" s="40">
        <v>4</v>
      </c>
      <c r="Z472" s="103">
        <v>45832</v>
      </c>
      <c r="AA472" s="40"/>
      <c r="AB472" s="40"/>
      <c r="AC472" s="40" t="s">
        <v>419</v>
      </c>
      <c r="AD472" s="40" t="s">
        <v>511</v>
      </c>
      <c r="AE472" s="40" t="s">
        <v>1297</v>
      </c>
      <c r="AF472" s="103">
        <v>45832</v>
      </c>
      <c r="AG472" s="40">
        <v>37</v>
      </c>
      <c r="AH472" s="40">
        <f>VLOOKUP(Таблица310[[#This Row],[№ акта]],'Степень зрелости 2025'!$H$13:$I$583,2,FALSE)</f>
        <v>52</v>
      </c>
      <c r="AI472" s="40" t="str">
        <f>VLOOKUP(Таблица310[[#This Row],[№ акта]],$AQ$1:$AT$594,2,FALSE)</f>
        <v>4.1</v>
      </c>
      <c r="AJ472" s="40" t="str">
        <f>Таблица310[[#This Row],[Регистратор.Номенклатура]]</f>
        <v>Фаворит</v>
      </c>
      <c r="AK472" s="40" t="str">
        <f>VLOOKUP(Таблица310[[#This Row],[№ акта]],$AQ$1:$AT$594,4,FALSE)</f>
        <v>Колос (полив)</v>
      </c>
      <c r="AL472" s="45">
        <f>VLOOKUP(Таблица310[[#This Row],[№ акта]],$AQ$1:$AT$594,3,FALSE)</f>
        <v>1.7187586742907899</v>
      </c>
      <c r="AM472" s="40" t="str">
        <f>IF(Таблица310[[#This Row],[Площадь уборки, га]]=Таблица310[[#This Row],[Площадь уборки до корр]],"нет","да")</f>
        <v>нет</v>
      </c>
      <c r="AN472" s="45">
        <f>Таблица310[[#This Row],[Площадь уборки до корр]]-Таблица310[[#This Row],[Площадь уборки, га]]</f>
        <v>0</v>
      </c>
      <c r="AQ472" t="s">
        <v>1297</v>
      </c>
      <c r="AR472" t="s">
        <v>1168</v>
      </c>
      <c r="AS472">
        <v>1.7187586742907899</v>
      </c>
      <c r="AT472" t="s">
        <v>53</v>
      </c>
    </row>
    <row r="473" spans="1:46" ht="33.75" hidden="1" x14ac:dyDescent="0.25">
      <c r="A473" s="40"/>
      <c r="B473" s="41"/>
      <c r="C473" s="40">
        <v>50</v>
      </c>
      <c r="D473" s="42" t="s">
        <v>1298</v>
      </c>
      <c r="E473" s="147">
        <v>45832</v>
      </c>
      <c r="F473" s="41">
        <v>28890</v>
      </c>
      <c r="G473" s="41">
        <v>13690</v>
      </c>
      <c r="H473" s="69">
        <v>15200</v>
      </c>
      <c r="I473" s="41">
        <v>11225.8</v>
      </c>
      <c r="J473" s="40" t="s">
        <v>1167</v>
      </c>
      <c r="K473" s="40" t="s">
        <v>901</v>
      </c>
      <c r="L473" s="40" t="s">
        <v>1168</v>
      </c>
      <c r="M473" s="35" t="s">
        <v>311</v>
      </c>
      <c r="N473" s="40"/>
      <c r="O473" s="40"/>
      <c r="P473" s="40"/>
      <c r="Q473" s="40"/>
      <c r="R473" s="40" t="s">
        <v>315</v>
      </c>
      <c r="S473" s="40"/>
      <c r="T473" s="40" t="s">
        <v>1168</v>
      </c>
      <c r="U473" s="40" t="str">
        <f>Таблица310[[#This Row],[Регистратор.Номенклатура]]</f>
        <v>Фаворит</v>
      </c>
      <c r="V473" s="45">
        <f>24*Таблица310[[#This Row],[Регистратор.Вес нетто]]/180130</f>
        <v>1.824015988452784</v>
      </c>
      <c r="W473" s="40" t="s">
        <v>53</v>
      </c>
      <c r="X473" s="40" t="s">
        <v>178</v>
      </c>
      <c r="Y473" s="40">
        <v>4</v>
      </c>
      <c r="Z473" s="103">
        <v>45832</v>
      </c>
      <c r="AA473" s="40"/>
      <c r="AB473" s="40"/>
      <c r="AC473" s="40" t="s">
        <v>419</v>
      </c>
      <c r="AD473" s="40" t="s">
        <v>511</v>
      </c>
      <c r="AE473" s="40" t="s">
        <v>1298</v>
      </c>
      <c r="AF473" s="103">
        <v>45832</v>
      </c>
      <c r="AG473" s="40">
        <v>38</v>
      </c>
      <c r="AH473" s="40">
        <f>VLOOKUP(Таблица310[[#This Row],[№ акта]],'Степень зрелости 2025'!$H$13:$I$583,2,FALSE)</f>
        <v>50</v>
      </c>
      <c r="AI473" s="40" t="str">
        <f>VLOOKUP(Таблица310[[#This Row],[№ акта]],$AQ$1:$AT$594,2,FALSE)</f>
        <v>4.1</v>
      </c>
      <c r="AJ473" s="40" t="str">
        <f>Таблица310[[#This Row],[Регистратор.Номенклатура]]</f>
        <v>Фаворит</v>
      </c>
      <c r="AK473" s="40" t="str">
        <f>VLOOKUP(Таблица310[[#This Row],[№ акта]],$AQ$1:$AT$594,4,FALSE)</f>
        <v>Колос (полив)</v>
      </c>
      <c r="AL473" s="45">
        <f>VLOOKUP(Таблица310[[#This Row],[№ акта]],$AQ$1:$AT$594,3,FALSE)</f>
        <v>1.824015988452784</v>
      </c>
      <c r="AM473" s="40" t="str">
        <f>IF(Таблица310[[#This Row],[Площадь уборки, га]]=Таблица310[[#This Row],[Площадь уборки до корр]],"нет","да")</f>
        <v>нет</v>
      </c>
      <c r="AN473" s="45">
        <f>Таблица310[[#This Row],[Площадь уборки до корр]]-Таблица310[[#This Row],[Площадь уборки, га]]</f>
        <v>0</v>
      </c>
      <c r="AQ473" t="s">
        <v>1298</v>
      </c>
      <c r="AR473" t="s">
        <v>1168</v>
      </c>
      <c r="AS473">
        <v>1.824015988452784</v>
      </c>
      <c r="AT473" t="s">
        <v>53</v>
      </c>
    </row>
    <row r="474" spans="1:46" ht="22.5" hidden="1" x14ac:dyDescent="0.25">
      <c r="A474" s="40"/>
      <c r="B474" s="41"/>
      <c r="C474" s="40">
        <v>52</v>
      </c>
      <c r="D474" s="42" t="s">
        <v>1299</v>
      </c>
      <c r="E474" s="147">
        <v>45833</v>
      </c>
      <c r="F474" s="41">
        <v>28640</v>
      </c>
      <c r="G474" s="41">
        <v>13430</v>
      </c>
      <c r="H474" s="69">
        <v>15210</v>
      </c>
      <c r="I474" s="41">
        <v>11214</v>
      </c>
      <c r="J474" s="40" t="s">
        <v>1167</v>
      </c>
      <c r="K474" s="40" t="s">
        <v>901</v>
      </c>
      <c r="L474" s="40" t="s">
        <v>1168</v>
      </c>
      <c r="M474" s="35" t="s">
        <v>166</v>
      </c>
      <c r="N474" s="40"/>
      <c r="O474" s="40"/>
      <c r="P474" s="40"/>
      <c r="Q474" s="40"/>
      <c r="R474" s="40" t="s">
        <v>170</v>
      </c>
      <c r="S474" s="40"/>
      <c r="T474" s="40" t="s">
        <v>1168</v>
      </c>
      <c r="U474" s="40" t="str">
        <f>Таблица310[[#This Row],[Регистратор.Номенклатура]]</f>
        <v>Фаворит</v>
      </c>
      <c r="V474" s="45">
        <f>24*Таблица310[[#This Row],[Регистратор.Вес нетто]]/180130</f>
        <v>1.7893743407539</v>
      </c>
      <c r="W474" s="40" t="s">
        <v>53</v>
      </c>
      <c r="X474" s="40" t="s">
        <v>178</v>
      </c>
      <c r="Y474" s="40">
        <v>4</v>
      </c>
      <c r="Z474" s="103">
        <v>45832</v>
      </c>
      <c r="AA474" s="40"/>
      <c r="AB474" s="40"/>
      <c r="AC474" s="40" t="s">
        <v>419</v>
      </c>
      <c r="AD474" s="40" t="s">
        <v>511</v>
      </c>
      <c r="AE474" s="40" t="s">
        <v>1299</v>
      </c>
      <c r="AF474" s="103">
        <v>45833</v>
      </c>
      <c r="AG474" s="40">
        <v>39</v>
      </c>
      <c r="AH474" s="40">
        <f>VLOOKUP(Таблица310[[#This Row],[№ акта]],'Степень зрелости 2025'!$H$13:$I$583,2,FALSE)</f>
        <v>52</v>
      </c>
      <c r="AI474" s="40" t="str">
        <f>VLOOKUP(Таблица310[[#This Row],[№ акта]],$AQ$1:$AT$594,2,FALSE)</f>
        <v>4.1</v>
      </c>
      <c r="AJ474" s="40" t="str">
        <f>Таблица310[[#This Row],[Регистратор.Номенклатура]]</f>
        <v>Фаворит</v>
      </c>
      <c r="AK474" s="40" t="str">
        <f>VLOOKUP(Таблица310[[#This Row],[№ акта]],$AQ$1:$AT$594,4,FALSE)</f>
        <v>Колос (полив)</v>
      </c>
      <c r="AL474" s="45">
        <f>VLOOKUP(Таблица310[[#This Row],[№ акта]],$AQ$1:$AT$594,3,FALSE)</f>
        <v>1.7893743407539</v>
      </c>
      <c r="AM474" s="40" t="str">
        <f>IF(Таблица310[[#This Row],[Площадь уборки, га]]=Таблица310[[#This Row],[Площадь уборки до корр]],"нет","да")</f>
        <v>нет</v>
      </c>
      <c r="AN474" s="45">
        <f>Таблица310[[#This Row],[Площадь уборки до корр]]-Таблица310[[#This Row],[Площадь уборки, га]]</f>
        <v>0</v>
      </c>
      <c r="AQ474" t="s">
        <v>1299</v>
      </c>
      <c r="AR474" t="s">
        <v>1168</v>
      </c>
      <c r="AS474">
        <v>1.7893743407539</v>
      </c>
      <c r="AT474" t="s">
        <v>53</v>
      </c>
    </row>
    <row r="475" spans="1:46" ht="22.5" hidden="1" x14ac:dyDescent="0.25">
      <c r="A475" s="40"/>
      <c r="B475" s="41"/>
      <c r="C475" s="40">
        <v>51</v>
      </c>
      <c r="D475" s="42" t="s">
        <v>1300</v>
      </c>
      <c r="E475" s="147">
        <v>45833</v>
      </c>
      <c r="F475" s="41">
        <v>28540</v>
      </c>
      <c r="G475" s="41">
        <v>13340</v>
      </c>
      <c r="H475" s="69">
        <v>15200</v>
      </c>
      <c r="I475" s="41">
        <v>11072.2</v>
      </c>
      <c r="J475" s="40" t="s">
        <v>1167</v>
      </c>
      <c r="K475" s="40" t="s">
        <v>901</v>
      </c>
      <c r="L475" s="40" t="s">
        <v>1168</v>
      </c>
      <c r="M475" s="35" t="s">
        <v>329</v>
      </c>
      <c r="N475" s="40"/>
      <c r="O475" s="40"/>
      <c r="P475" s="40"/>
      <c r="Q475" s="40"/>
      <c r="R475" s="40" t="s">
        <v>333</v>
      </c>
      <c r="S475" s="40"/>
      <c r="T475" s="40" t="s">
        <v>1168</v>
      </c>
      <c r="U475" s="40" t="str">
        <f>Таблица310[[#This Row],[Регистратор.Номенклатура]]</f>
        <v>Фаворит</v>
      </c>
      <c r="V475" s="45">
        <f>24*Таблица310[[#This Row],[Регистратор.Вес нетто]]/180130</f>
        <v>1.7773830011658247</v>
      </c>
      <c r="W475" s="40" t="s">
        <v>53</v>
      </c>
      <c r="X475" s="40" t="s">
        <v>178</v>
      </c>
      <c r="Y475" s="40">
        <v>4</v>
      </c>
      <c r="Z475" s="103">
        <v>45832</v>
      </c>
      <c r="AA475" s="40"/>
      <c r="AB475" s="40"/>
      <c r="AC475" s="40" t="s">
        <v>419</v>
      </c>
      <c r="AD475" s="40" t="s">
        <v>511</v>
      </c>
      <c r="AE475" s="40" t="s">
        <v>1300</v>
      </c>
      <c r="AF475" s="103">
        <v>45833</v>
      </c>
      <c r="AG475" s="40">
        <v>40</v>
      </c>
      <c r="AH475" s="40">
        <f>VLOOKUP(Таблица310[[#This Row],[№ акта]],'Степень зрелости 2025'!$H$13:$I$583,2,FALSE)</f>
        <v>51</v>
      </c>
      <c r="AI475" s="40" t="str">
        <f>VLOOKUP(Таблица310[[#This Row],[№ акта]],$AQ$1:$AT$594,2,FALSE)</f>
        <v>4.1</v>
      </c>
      <c r="AJ475" s="40" t="str">
        <f>Таблица310[[#This Row],[Регистратор.Номенклатура]]</f>
        <v>Фаворит</v>
      </c>
      <c r="AK475" s="40" t="str">
        <f>VLOOKUP(Таблица310[[#This Row],[№ акта]],$AQ$1:$AT$594,4,FALSE)</f>
        <v>Колос (полив)</v>
      </c>
      <c r="AL475" s="45">
        <f>VLOOKUP(Таблица310[[#This Row],[№ акта]],$AQ$1:$AT$594,3,FALSE)</f>
        <v>1.7773830011658247</v>
      </c>
      <c r="AM475" s="40" t="str">
        <f>IF(Таблица310[[#This Row],[Площадь уборки, га]]=Таблица310[[#This Row],[Площадь уборки до корр]],"нет","да")</f>
        <v>нет</v>
      </c>
      <c r="AN475" s="45">
        <f>Таблица310[[#This Row],[Площадь уборки до корр]]-Таблица310[[#This Row],[Площадь уборки, га]]</f>
        <v>0</v>
      </c>
      <c r="AQ475" t="s">
        <v>1300</v>
      </c>
      <c r="AR475" t="s">
        <v>1168</v>
      </c>
      <c r="AS475">
        <v>1.7773830011658247</v>
      </c>
      <c r="AT475" t="s">
        <v>53</v>
      </c>
    </row>
    <row r="476" spans="1:46" ht="22.5" hidden="1" x14ac:dyDescent="0.25">
      <c r="A476" s="40"/>
      <c r="B476" s="41"/>
      <c r="C476" s="40">
        <v>52</v>
      </c>
      <c r="D476" s="42" t="s">
        <v>1301</v>
      </c>
      <c r="E476" s="147">
        <v>45833</v>
      </c>
      <c r="F476" s="41">
        <v>28910</v>
      </c>
      <c r="G476" s="41">
        <v>13180</v>
      </c>
      <c r="H476" s="69">
        <v>15730</v>
      </c>
      <c r="I476" s="41">
        <v>11268.9</v>
      </c>
      <c r="J476" s="40" t="s">
        <v>1167</v>
      </c>
      <c r="K476" s="40" t="s">
        <v>901</v>
      </c>
      <c r="L476" s="40" t="s">
        <v>1168</v>
      </c>
      <c r="M476" s="35" t="s">
        <v>1151</v>
      </c>
      <c r="N476" s="40"/>
      <c r="O476" s="40"/>
      <c r="P476" s="40"/>
      <c r="Q476" s="40"/>
      <c r="R476" s="40" t="s">
        <v>145</v>
      </c>
      <c r="S476" s="40"/>
      <c r="T476" s="40" t="s">
        <v>1168</v>
      </c>
      <c r="U476" s="40" t="str">
        <f>Таблица310[[#This Row],[Регистратор.Номенклатура]]</f>
        <v>Фаворит</v>
      </c>
      <c r="V476" s="45">
        <f>24*Таблица310[[#This Row],[Регистратор.Вес нетто]]/180130</f>
        <v>1.7560650641203575</v>
      </c>
      <c r="W476" s="40" t="s">
        <v>53</v>
      </c>
      <c r="X476" s="40" t="s">
        <v>178</v>
      </c>
      <c r="Y476" s="40">
        <v>4</v>
      </c>
      <c r="Z476" s="103">
        <v>45832</v>
      </c>
      <c r="AA476" s="40"/>
      <c r="AB476" s="40"/>
      <c r="AC476" s="40" t="s">
        <v>419</v>
      </c>
      <c r="AD476" s="40" t="s">
        <v>511</v>
      </c>
      <c r="AE476" s="40" t="s">
        <v>1301</v>
      </c>
      <c r="AF476" s="103">
        <v>45833</v>
      </c>
      <c r="AG476" s="40">
        <v>41</v>
      </c>
      <c r="AH476" s="40">
        <f>VLOOKUP(Таблица310[[#This Row],[№ акта]],'Степень зрелости 2025'!$H$13:$I$583,2,FALSE)</f>
        <v>52</v>
      </c>
      <c r="AI476" s="40" t="str">
        <f>VLOOKUP(Таблица310[[#This Row],[№ акта]],$AQ$1:$AT$594,2,FALSE)</f>
        <v>4.1</v>
      </c>
      <c r="AJ476" s="40" t="str">
        <f>Таблица310[[#This Row],[Регистратор.Номенклатура]]</f>
        <v>Фаворит</v>
      </c>
      <c r="AK476" s="40" t="str">
        <f>VLOOKUP(Таблица310[[#This Row],[№ акта]],$AQ$1:$AT$594,4,FALSE)</f>
        <v>Колос (полив)</v>
      </c>
      <c r="AL476" s="45">
        <f>VLOOKUP(Таблица310[[#This Row],[№ акта]],$AQ$1:$AT$594,3,FALSE)</f>
        <v>1.7560650641203575</v>
      </c>
      <c r="AM476" s="40" t="str">
        <f>IF(Таблица310[[#This Row],[Площадь уборки, га]]=Таблица310[[#This Row],[Площадь уборки до корр]],"нет","да")</f>
        <v>нет</v>
      </c>
      <c r="AN476" s="45">
        <f>Таблица310[[#This Row],[Площадь уборки до корр]]-Таблица310[[#This Row],[Площадь уборки, га]]</f>
        <v>0</v>
      </c>
      <c r="AQ476" t="s">
        <v>1301</v>
      </c>
      <c r="AR476" t="s">
        <v>1168</v>
      </c>
      <c r="AS476">
        <v>1.7560650641203575</v>
      </c>
      <c r="AT476" t="s">
        <v>53</v>
      </c>
    </row>
    <row r="477" spans="1:46" ht="33.75" hidden="1" x14ac:dyDescent="0.25">
      <c r="A477" s="40"/>
      <c r="B477" s="41"/>
      <c r="C477" s="40">
        <v>49</v>
      </c>
      <c r="D477" s="42" t="s">
        <v>1302</v>
      </c>
      <c r="E477" s="147">
        <v>45833</v>
      </c>
      <c r="F477" s="41">
        <v>28650</v>
      </c>
      <c r="G477" s="41">
        <v>13550</v>
      </c>
      <c r="H477" s="69">
        <v>15100</v>
      </c>
      <c r="I477" s="41">
        <v>11314.2</v>
      </c>
      <c r="J477" s="40" t="s">
        <v>1167</v>
      </c>
      <c r="K477" s="40" t="s">
        <v>901</v>
      </c>
      <c r="L477" s="40" t="s">
        <v>1168</v>
      </c>
      <c r="M477" s="35" t="s">
        <v>1253</v>
      </c>
      <c r="N477" s="40"/>
      <c r="O477" s="40"/>
      <c r="P477" s="40"/>
      <c r="Q477" s="40"/>
      <c r="R477" s="40" t="s">
        <v>270</v>
      </c>
      <c r="S477" s="40"/>
      <c r="T477" s="40" t="s">
        <v>1168</v>
      </c>
      <c r="U477" s="40" t="str">
        <f>Таблица310[[#This Row],[Регистратор.Номенклатура]]</f>
        <v>Фаворит</v>
      </c>
      <c r="V477" s="45">
        <f>24*Таблица310[[#This Row],[Регистратор.Вес нетто]]/180130</f>
        <v>1.8053627935380003</v>
      </c>
      <c r="W477" s="40" t="s">
        <v>53</v>
      </c>
      <c r="X477" s="40" t="s">
        <v>178</v>
      </c>
      <c r="Y477" s="40">
        <v>4</v>
      </c>
      <c r="Z477" s="103">
        <v>45832</v>
      </c>
      <c r="AA477" s="40"/>
      <c r="AB477" s="40"/>
      <c r="AC477" s="40" t="s">
        <v>419</v>
      </c>
      <c r="AD477" s="40" t="s">
        <v>511</v>
      </c>
      <c r="AE477" s="40" t="s">
        <v>1302</v>
      </c>
      <c r="AF477" s="103">
        <v>45833</v>
      </c>
      <c r="AG477" s="40">
        <v>42</v>
      </c>
      <c r="AH477" s="40">
        <f>VLOOKUP(Таблица310[[#This Row],[№ акта]],'Степень зрелости 2025'!$H$13:$I$583,2,FALSE)</f>
        <v>49</v>
      </c>
      <c r="AI477" s="40" t="str">
        <f>VLOOKUP(Таблица310[[#This Row],[№ акта]],$AQ$1:$AT$594,2,FALSE)</f>
        <v>4.1</v>
      </c>
      <c r="AJ477" s="40" t="str">
        <f>Таблица310[[#This Row],[Регистратор.Номенклатура]]</f>
        <v>Фаворит</v>
      </c>
      <c r="AK477" s="40" t="str">
        <f>VLOOKUP(Таблица310[[#This Row],[№ акта]],$AQ$1:$AT$594,4,FALSE)</f>
        <v>Колос (полив)</v>
      </c>
      <c r="AL477" s="45">
        <f>VLOOKUP(Таблица310[[#This Row],[№ акта]],$AQ$1:$AT$594,3,FALSE)</f>
        <v>1.8053627935380003</v>
      </c>
      <c r="AM477" s="40" t="str">
        <f>IF(Таблица310[[#This Row],[Площадь уборки, га]]=Таблица310[[#This Row],[Площадь уборки до корр]],"нет","да")</f>
        <v>нет</v>
      </c>
      <c r="AN477" s="45">
        <f>Таблица310[[#This Row],[Площадь уборки до корр]]-Таблица310[[#This Row],[Площадь уборки, га]]</f>
        <v>0</v>
      </c>
      <c r="AQ477" t="s">
        <v>1302</v>
      </c>
      <c r="AR477" t="s">
        <v>1168</v>
      </c>
      <c r="AS477">
        <v>1.8053627935380003</v>
      </c>
      <c r="AT477" t="s">
        <v>53</v>
      </c>
    </row>
    <row r="478" spans="1:46" ht="22.5" hidden="1" x14ac:dyDescent="0.25">
      <c r="A478" s="40"/>
      <c r="B478" s="41"/>
      <c r="C478" s="40">
        <v>47</v>
      </c>
      <c r="D478" s="42" t="s">
        <v>1303</v>
      </c>
      <c r="E478" s="147">
        <v>45833</v>
      </c>
      <c r="F478" s="41">
        <v>28180</v>
      </c>
      <c r="G478" s="41">
        <v>13160</v>
      </c>
      <c r="H478" s="69">
        <v>15020</v>
      </c>
      <c r="I478" s="41">
        <v>10593.8</v>
      </c>
      <c r="J478" s="40" t="s">
        <v>1167</v>
      </c>
      <c r="K478" s="40" t="s">
        <v>901</v>
      </c>
      <c r="L478" s="40" t="s">
        <v>1168</v>
      </c>
      <c r="M478" s="35" t="s">
        <v>151</v>
      </c>
      <c r="N478" s="40"/>
      <c r="O478" s="40"/>
      <c r="P478" s="40"/>
      <c r="Q478" s="40"/>
      <c r="R478" s="40" t="s">
        <v>155</v>
      </c>
      <c r="S478" s="40"/>
      <c r="T478" s="40" t="s">
        <v>1168</v>
      </c>
      <c r="U478" s="40" t="str">
        <f>Таблица310[[#This Row],[Регистратор.Номенклатура]]</f>
        <v>Фаворит</v>
      </c>
      <c r="V478" s="45">
        <f>24*Таблица310[[#This Row],[Регистратор.Вес нетто]]/180130</f>
        <v>1.7534003219896741</v>
      </c>
      <c r="W478" s="40" t="s">
        <v>53</v>
      </c>
      <c r="X478" s="40" t="s">
        <v>178</v>
      </c>
      <c r="Y478" s="40">
        <v>4</v>
      </c>
      <c r="Z478" s="103">
        <v>45832</v>
      </c>
      <c r="AA478" s="40"/>
      <c r="AB478" s="40"/>
      <c r="AC478" s="40" t="s">
        <v>419</v>
      </c>
      <c r="AD478" s="40" t="s">
        <v>511</v>
      </c>
      <c r="AE478" s="40" t="s">
        <v>1303</v>
      </c>
      <c r="AF478" s="103">
        <v>45833</v>
      </c>
      <c r="AG478" s="40">
        <v>43</v>
      </c>
      <c r="AH478" s="40">
        <f>VLOOKUP(Таблица310[[#This Row],[№ акта]],'Степень зрелости 2025'!$H$13:$I$583,2,FALSE)</f>
        <v>47</v>
      </c>
      <c r="AI478" s="40" t="str">
        <f>VLOOKUP(Таблица310[[#This Row],[№ акта]],$AQ$1:$AT$594,2,FALSE)</f>
        <v>4.1</v>
      </c>
      <c r="AJ478" s="40" t="str">
        <f>Таблица310[[#This Row],[Регистратор.Номенклатура]]</f>
        <v>Фаворит</v>
      </c>
      <c r="AK478" s="40" t="str">
        <f>VLOOKUP(Таблица310[[#This Row],[№ акта]],$AQ$1:$AT$594,4,FALSE)</f>
        <v>Колос (полив)</v>
      </c>
      <c r="AL478" s="45">
        <f>VLOOKUP(Таблица310[[#This Row],[№ акта]],$AQ$1:$AT$594,3,FALSE)</f>
        <v>1.7534003219896741</v>
      </c>
      <c r="AM478" s="40" t="str">
        <f>IF(Таблица310[[#This Row],[Площадь уборки, га]]=Таблица310[[#This Row],[Площадь уборки до корр]],"нет","да")</f>
        <v>нет</v>
      </c>
      <c r="AN478" s="45">
        <f>Таблица310[[#This Row],[Площадь уборки до корр]]-Таблица310[[#This Row],[Площадь уборки, га]]</f>
        <v>0</v>
      </c>
      <c r="AQ478" t="s">
        <v>1303</v>
      </c>
      <c r="AR478" t="s">
        <v>1168</v>
      </c>
      <c r="AS478">
        <v>1.7534003219896741</v>
      </c>
      <c r="AT478" t="s">
        <v>53</v>
      </c>
    </row>
    <row r="479" spans="1:46" ht="22.5" hidden="1" x14ac:dyDescent="0.25">
      <c r="A479" s="40"/>
      <c r="B479" s="41"/>
      <c r="C479" s="40">
        <v>47</v>
      </c>
      <c r="D479" s="42" t="s">
        <v>1304</v>
      </c>
      <c r="E479" s="147">
        <v>45833</v>
      </c>
      <c r="F479" s="41">
        <v>37380</v>
      </c>
      <c r="G479" s="41">
        <v>13110</v>
      </c>
      <c r="H479" s="69">
        <v>24270</v>
      </c>
      <c r="I479" s="41">
        <v>10815.7</v>
      </c>
      <c r="J479" s="40" t="s">
        <v>1167</v>
      </c>
      <c r="K479" s="40" t="s">
        <v>901</v>
      </c>
      <c r="L479" s="40" t="s">
        <v>1168</v>
      </c>
      <c r="M479" s="35" t="s">
        <v>160</v>
      </c>
      <c r="N479" s="40"/>
      <c r="O479" s="40"/>
      <c r="P479" s="40"/>
      <c r="Q479" s="40"/>
      <c r="R479" s="40" t="s">
        <v>164</v>
      </c>
      <c r="S479" s="40"/>
      <c r="T479" s="40" t="s">
        <v>1168</v>
      </c>
      <c r="U479" s="40" t="str">
        <f>Таблица310[[#This Row],[Регистратор.Номенклатура]]</f>
        <v>Фаворит</v>
      </c>
      <c r="V479" s="45">
        <f>24*Таблица310[[#This Row],[Регистратор.Вес нетто]]/180130</f>
        <v>1.7467384666629657</v>
      </c>
      <c r="W479" s="40" t="s">
        <v>53</v>
      </c>
      <c r="X479" s="40" t="s">
        <v>178</v>
      </c>
      <c r="Y479" s="40">
        <v>4</v>
      </c>
      <c r="Z479" s="103">
        <v>45832</v>
      </c>
      <c r="AA479" s="40"/>
      <c r="AB479" s="40"/>
      <c r="AC479" s="40" t="s">
        <v>419</v>
      </c>
      <c r="AD479" s="40" t="s">
        <v>511</v>
      </c>
      <c r="AE479" s="40" t="s">
        <v>1304</v>
      </c>
      <c r="AF479" s="103">
        <v>45833</v>
      </c>
      <c r="AG479" s="40">
        <v>44</v>
      </c>
      <c r="AH479" s="40">
        <f>VLOOKUP(Таблица310[[#This Row],[№ акта]],'Степень зрелости 2025'!$H$13:$I$583,2,FALSE)</f>
        <v>47</v>
      </c>
      <c r="AI479" s="40" t="str">
        <f>VLOOKUP(Таблица310[[#This Row],[№ акта]],$AQ$1:$AT$594,2,FALSE)</f>
        <v>4.1</v>
      </c>
      <c r="AJ479" s="40" t="str">
        <f>Таблица310[[#This Row],[Регистратор.Номенклатура]]</f>
        <v>Фаворит</v>
      </c>
      <c r="AK479" s="40" t="str">
        <f>VLOOKUP(Таблица310[[#This Row],[№ акта]],$AQ$1:$AT$594,4,FALSE)</f>
        <v>Колос (полив)</v>
      </c>
      <c r="AL479" s="45">
        <f>VLOOKUP(Таблица310[[#This Row],[№ акта]],$AQ$1:$AT$594,3,FALSE)</f>
        <v>1.7467384666629657</v>
      </c>
      <c r="AM479" s="40" t="str">
        <f>IF(Таблица310[[#This Row],[Площадь уборки, га]]=Таблица310[[#This Row],[Площадь уборки до корр]],"нет","да")</f>
        <v>нет</v>
      </c>
      <c r="AN479" s="45">
        <f>Таблица310[[#This Row],[Площадь уборки до корр]]-Таблица310[[#This Row],[Площадь уборки, га]]</f>
        <v>0</v>
      </c>
      <c r="AQ479" t="s">
        <v>1304</v>
      </c>
      <c r="AR479" t="s">
        <v>1168</v>
      </c>
      <c r="AS479">
        <v>1.7467384666629657</v>
      </c>
      <c r="AT479" t="s">
        <v>53</v>
      </c>
    </row>
    <row r="480" spans="1:46" ht="22.5" hidden="1" x14ac:dyDescent="0.25">
      <c r="A480" s="40"/>
      <c r="B480" s="41"/>
      <c r="C480" s="40">
        <v>49</v>
      </c>
      <c r="D480" s="42" t="s">
        <v>1305</v>
      </c>
      <c r="E480" s="147">
        <v>45833</v>
      </c>
      <c r="F480" s="41">
        <v>28450</v>
      </c>
      <c r="G480" s="41">
        <v>13190</v>
      </c>
      <c r="H480" s="69">
        <v>15260</v>
      </c>
      <c r="I480" s="41">
        <v>11073</v>
      </c>
      <c r="J480" s="40" t="s">
        <v>1167</v>
      </c>
      <c r="K480" s="40" t="s">
        <v>901</v>
      </c>
      <c r="L480" s="40" t="s">
        <v>1168</v>
      </c>
      <c r="M480" s="35" t="s">
        <v>1461</v>
      </c>
      <c r="N480" s="40"/>
      <c r="O480" s="40"/>
      <c r="P480" s="40"/>
      <c r="Q480" s="40"/>
      <c r="R480" s="40" t="s">
        <v>149</v>
      </c>
      <c r="S480" s="40"/>
      <c r="T480" s="40" t="s">
        <v>1168</v>
      </c>
      <c r="U480" s="40" t="str">
        <f>Таблица310[[#This Row],[Регистратор.Номенклатура]]</f>
        <v>Фаворит</v>
      </c>
      <c r="V480" s="45">
        <f>24*Таблица310[[#This Row],[Регистратор.Вес нетто]]/180130</f>
        <v>1.7573974351856991</v>
      </c>
      <c r="W480" s="40" t="s">
        <v>53</v>
      </c>
      <c r="X480" s="40" t="s">
        <v>178</v>
      </c>
      <c r="Y480" s="40">
        <v>4</v>
      </c>
      <c r="Z480" s="103">
        <v>45832</v>
      </c>
      <c r="AA480" s="40"/>
      <c r="AB480" s="40"/>
      <c r="AC480" s="40" t="s">
        <v>419</v>
      </c>
      <c r="AD480" s="40" t="s">
        <v>511</v>
      </c>
      <c r="AE480" s="40" t="s">
        <v>1305</v>
      </c>
      <c r="AF480" s="103">
        <v>45833</v>
      </c>
      <c r="AG480" s="40">
        <v>45</v>
      </c>
      <c r="AH480" s="40" t="e">
        <f>VLOOKUP(Таблица310[[#This Row],[№ акта]],'Степень зрелости 2025'!$H$13:$I$583,2,FALSE)</f>
        <v>#N/A</v>
      </c>
      <c r="AI480" s="40" t="str">
        <f>VLOOKUP(Таблица310[[#This Row],[№ акта]],$AQ$1:$AT$594,2,FALSE)</f>
        <v>4.1</v>
      </c>
      <c r="AJ480" s="40" t="str">
        <f>Таблица310[[#This Row],[Регистратор.Номенклатура]]</f>
        <v>Фаворит</v>
      </c>
      <c r="AK480" s="40" t="str">
        <f>VLOOKUP(Таблица310[[#This Row],[№ акта]],$AQ$1:$AT$594,4,FALSE)</f>
        <v>Колос (полив)</v>
      </c>
      <c r="AL480" s="45">
        <f>VLOOKUP(Таблица310[[#This Row],[№ акта]],$AQ$1:$AT$594,3,FALSE)</f>
        <v>1.7573974351856991</v>
      </c>
      <c r="AM480" s="40" t="str">
        <f>IF(Таблица310[[#This Row],[Площадь уборки, га]]=Таблица310[[#This Row],[Площадь уборки до корр]],"нет","да")</f>
        <v>нет</v>
      </c>
      <c r="AN480" s="45">
        <f>Таблица310[[#This Row],[Площадь уборки до корр]]-Таблица310[[#This Row],[Площадь уборки, га]]</f>
        <v>0</v>
      </c>
      <c r="AQ480" t="s">
        <v>1305</v>
      </c>
      <c r="AR480" t="s">
        <v>1168</v>
      </c>
      <c r="AS480">
        <v>1.7573974351856991</v>
      </c>
      <c r="AT480" t="s">
        <v>53</v>
      </c>
    </row>
    <row r="481" spans="1:46" ht="22.5" hidden="1" x14ac:dyDescent="0.25">
      <c r="A481" s="40"/>
      <c r="B481" s="41"/>
      <c r="C481" s="40">
        <v>48</v>
      </c>
      <c r="D481" s="42" t="s">
        <v>1306</v>
      </c>
      <c r="E481" s="147">
        <v>45833</v>
      </c>
      <c r="F481" s="41">
        <v>28180</v>
      </c>
      <c r="G481" s="41">
        <v>13240</v>
      </c>
      <c r="H481" s="69">
        <v>14940</v>
      </c>
      <c r="I481" s="41">
        <v>11320.2</v>
      </c>
      <c r="J481" s="40" t="s">
        <v>1167</v>
      </c>
      <c r="K481" s="40" t="s">
        <v>901</v>
      </c>
      <c r="L481" s="40" t="s">
        <v>1168</v>
      </c>
      <c r="M481" s="35" t="s">
        <v>272</v>
      </c>
      <c r="N481" s="40"/>
      <c r="O481" s="40"/>
      <c r="P481" s="40"/>
      <c r="Q481" s="40"/>
      <c r="R481" s="40" t="s">
        <v>276</v>
      </c>
      <c r="S481" s="40"/>
      <c r="T481" s="40" t="s">
        <v>1168</v>
      </c>
      <c r="U481" s="40" t="str">
        <f>Таблица310[[#This Row],[Регистратор.Номенклатура]]</f>
        <v>Фаворит</v>
      </c>
      <c r="V481" s="45">
        <f>24*Таблица310[[#This Row],[Регистратор.Вес нетто]]/180130</f>
        <v>1.7640592905124077</v>
      </c>
      <c r="W481" s="40" t="s">
        <v>53</v>
      </c>
      <c r="X481" s="40" t="s">
        <v>178</v>
      </c>
      <c r="Y481" s="40">
        <v>4</v>
      </c>
      <c r="Z481" s="103">
        <v>45832</v>
      </c>
      <c r="AA481" s="40"/>
      <c r="AB481" s="40"/>
      <c r="AC481" s="40" t="s">
        <v>419</v>
      </c>
      <c r="AD481" s="40" t="s">
        <v>511</v>
      </c>
      <c r="AE481" s="40" t="s">
        <v>1306</v>
      </c>
      <c r="AF481" s="103">
        <v>45833</v>
      </c>
      <c r="AG481" s="40">
        <v>46</v>
      </c>
      <c r="AH481" s="40" t="e">
        <f>VLOOKUP(Таблица310[[#This Row],[№ акта]],'Степень зрелости 2025'!$H$13:$I$583,2,FALSE)</f>
        <v>#N/A</v>
      </c>
      <c r="AI481" s="40" t="str">
        <f>VLOOKUP(Таблица310[[#This Row],[№ акта]],$AQ$1:$AT$594,2,FALSE)</f>
        <v>4.1</v>
      </c>
      <c r="AJ481" s="40" t="str">
        <f>Таблица310[[#This Row],[Регистратор.Номенклатура]]</f>
        <v>Фаворит</v>
      </c>
      <c r="AK481" s="40" t="str">
        <f>VLOOKUP(Таблица310[[#This Row],[№ акта]],$AQ$1:$AT$594,4,FALSE)</f>
        <v>Колос (полив)</v>
      </c>
      <c r="AL481" s="45">
        <f>VLOOKUP(Таблица310[[#This Row],[№ акта]],$AQ$1:$AT$594,3,FALSE)</f>
        <v>1.7640592905124077</v>
      </c>
      <c r="AM481" s="40" t="str">
        <f>IF(Таблица310[[#This Row],[Площадь уборки, га]]=Таблица310[[#This Row],[Площадь уборки до корр]],"нет","да")</f>
        <v>нет</v>
      </c>
      <c r="AN481" s="45">
        <f>Таблица310[[#This Row],[Площадь уборки до корр]]-Таблица310[[#This Row],[Площадь уборки, га]]</f>
        <v>0</v>
      </c>
      <c r="AQ481" t="s">
        <v>1306</v>
      </c>
      <c r="AR481" t="s">
        <v>1168</v>
      </c>
      <c r="AS481">
        <v>1.7640592905124077</v>
      </c>
      <c r="AT481" t="s">
        <v>53</v>
      </c>
    </row>
    <row r="482" spans="1:46" ht="33.75" hidden="1" x14ac:dyDescent="0.25">
      <c r="A482" s="40"/>
      <c r="B482" s="41"/>
      <c r="C482" s="40">
        <v>47</v>
      </c>
      <c r="D482" s="42" t="s">
        <v>1335</v>
      </c>
      <c r="E482" s="147">
        <v>45833</v>
      </c>
      <c r="F482" s="41">
        <v>15880</v>
      </c>
      <c r="G482" s="41">
        <v>6160</v>
      </c>
      <c r="H482" s="69">
        <v>9720</v>
      </c>
      <c r="I482" s="41">
        <v>4958.8</v>
      </c>
      <c r="J482" s="40" t="s">
        <v>1167</v>
      </c>
      <c r="K482" s="40" t="s">
        <v>901</v>
      </c>
      <c r="L482" s="40" t="s">
        <v>1168</v>
      </c>
      <c r="M482" s="35" t="s">
        <v>1253</v>
      </c>
      <c r="N482" s="40"/>
      <c r="O482" s="40"/>
      <c r="P482" s="40"/>
      <c r="Q482" s="40"/>
      <c r="R482" s="40" t="s">
        <v>270</v>
      </c>
      <c r="S482" s="40"/>
      <c r="T482" s="40" t="s">
        <v>1168</v>
      </c>
      <c r="U482" s="40" t="str">
        <f>Таблица310[[#This Row],[Регистратор.Номенклатура]]</f>
        <v>Фаворит</v>
      </c>
      <c r="V482" s="45">
        <f>2*Таблица310[[#This Row],[Регистратор.Вес нетто]]/19230</f>
        <v>0.64066562662506499</v>
      </c>
      <c r="W482" s="40" t="s">
        <v>53</v>
      </c>
      <c r="X482" s="40" t="s">
        <v>178</v>
      </c>
      <c r="Y482" s="40">
        <v>5</v>
      </c>
      <c r="Z482" s="103">
        <v>45833</v>
      </c>
      <c r="AA482" s="40"/>
      <c r="AB482" s="40"/>
      <c r="AC482" s="40" t="s">
        <v>419</v>
      </c>
      <c r="AD482" s="40" t="s">
        <v>511</v>
      </c>
      <c r="AE482" s="40" t="s">
        <v>1335</v>
      </c>
      <c r="AF482" s="103">
        <v>45833</v>
      </c>
      <c r="AG482" s="40">
        <v>48</v>
      </c>
      <c r="AH482" s="40" t="e">
        <f>VLOOKUP(Таблица310[[#This Row],[№ акта]],'Степень зрелости 2025'!$H$13:$I$583,2,FALSE)</f>
        <v>#N/A</v>
      </c>
      <c r="AI482" s="40" t="str">
        <f>VLOOKUP(Таблица310[[#This Row],[№ акта]],$AQ$1:$AT$594,2,FALSE)</f>
        <v>4.1</v>
      </c>
      <c r="AJ482" s="40" t="str">
        <f>Таблица310[[#This Row],[Регистратор.Номенклатура]]</f>
        <v>Фаворит</v>
      </c>
      <c r="AK482" s="40" t="str">
        <f>VLOOKUP(Таблица310[[#This Row],[№ акта]],$AQ$1:$AT$594,4,FALSE)</f>
        <v>Колос (полив)</v>
      </c>
      <c r="AL482" s="45">
        <f>VLOOKUP(Таблица310[[#This Row],[№ акта]],$AQ$1:$AT$594,3,FALSE)</f>
        <v>0.64066562662506499</v>
      </c>
      <c r="AM482" s="40" t="str">
        <f>IF(Таблица310[[#This Row],[Площадь уборки, га]]=Таблица310[[#This Row],[Площадь уборки до корр]],"нет","да")</f>
        <v>нет</v>
      </c>
      <c r="AN482" s="45">
        <f>Таблица310[[#This Row],[Площадь уборки до корр]]-Таблица310[[#This Row],[Площадь уборки, га]]</f>
        <v>0</v>
      </c>
      <c r="AQ482" t="s">
        <v>1335</v>
      </c>
      <c r="AR482" t="s">
        <v>1168</v>
      </c>
      <c r="AS482">
        <v>0.64066562662506499</v>
      </c>
      <c r="AT482" t="s">
        <v>53</v>
      </c>
    </row>
    <row r="483" spans="1:46" ht="22.5" hidden="1" x14ac:dyDescent="0.25">
      <c r="A483" s="40"/>
      <c r="B483" s="41"/>
      <c r="C483" s="40">
        <v>50</v>
      </c>
      <c r="D483" s="42" t="s">
        <v>1336</v>
      </c>
      <c r="E483" s="147">
        <v>45833</v>
      </c>
      <c r="F483" s="41">
        <v>28810</v>
      </c>
      <c r="G483" s="41">
        <v>13070</v>
      </c>
      <c r="H483" s="69">
        <v>15740</v>
      </c>
      <c r="I483" s="41">
        <v>10913.4</v>
      </c>
      <c r="J483" s="40" t="s">
        <v>1167</v>
      </c>
      <c r="K483" s="40" t="s">
        <v>901</v>
      </c>
      <c r="L483" s="40" t="s">
        <v>1168</v>
      </c>
      <c r="M483" s="35" t="s">
        <v>1151</v>
      </c>
      <c r="N483" s="40"/>
      <c r="O483" s="40"/>
      <c r="P483" s="40"/>
      <c r="Q483" s="40"/>
      <c r="R483" s="40" t="s">
        <v>145</v>
      </c>
      <c r="S483" s="40"/>
      <c r="T483" s="40" t="s">
        <v>1168</v>
      </c>
      <c r="U483" s="40" t="str">
        <f>Таблица310[[#This Row],[Регистратор.Номенклатура]]</f>
        <v>Фаворит</v>
      </c>
      <c r="V483" s="45">
        <f>2*Таблица310[[#This Row],[Регистратор.Вес нетто]]/19230</f>
        <v>1.359334373374935</v>
      </c>
      <c r="W483" s="40" t="s">
        <v>53</v>
      </c>
      <c r="X483" s="40" t="s">
        <v>178</v>
      </c>
      <c r="Y483" s="40">
        <v>5</v>
      </c>
      <c r="Z483" s="103">
        <v>45833</v>
      </c>
      <c r="AA483" s="40"/>
      <c r="AB483" s="40"/>
      <c r="AC483" s="40" t="s">
        <v>419</v>
      </c>
      <c r="AD483" s="40" t="s">
        <v>511</v>
      </c>
      <c r="AE483" s="40" t="s">
        <v>1336</v>
      </c>
      <c r="AF483" s="103">
        <v>45833</v>
      </c>
      <c r="AG483" s="40">
        <v>47</v>
      </c>
      <c r="AH483" s="40" t="e">
        <f>VLOOKUP(Таблица310[[#This Row],[№ акта]],'Степень зрелости 2025'!$H$13:$I$583,2,FALSE)</f>
        <v>#N/A</v>
      </c>
      <c r="AI483" s="40" t="str">
        <f>VLOOKUP(Таблица310[[#This Row],[№ акта]],$AQ$1:$AT$594,2,FALSE)</f>
        <v>4.1</v>
      </c>
      <c r="AJ483" s="40" t="str">
        <f>Таблица310[[#This Row],[Регистратор.Номенклатура]]</f>
        <v>Фаворит</v>
      </c>
      <c r="AK483" s="40" t="str">
        <f>VLOOKUP(Таблица310[[#This Row],[№ акта]],$AQ$1:$AT$594,4,FALSE)</f>
        <v>Колос (полив)</v>
      </c>
      <c r="AL483" s="45">
        <f>VLOOKUP(Таблица310[[#This Row],[№ акта]],$AQ$1:$AT$594,3,FALSE)</f>
        <v>1.359334373374935</v>
      </c>
      <c r="AM483" s="40" t="str">
        <f>IF(Таблица310[[#This Row],[Площадь уборки, га]]=Таблица310[[#This Row],[Площадь уборки до корр]],"нет","да")</f>
        <v>нет</v>
      </c>
      <c r="AN483" s="45">
        <f>Таблица310[[#This Row],[Площадь уборки до корр]]-Таблица310[[#This Row],[Площадь уборки, га]]</f>
        <v>0</v>
      </c>
      <c r="AQ483" t="s">
        <v>1336</v>
      </c>
      <c r="AR483" t="s">
        <v>1168</v>
      </c>
      <c r="AS483">
        <v>1.359334373374935</v>
      </c>
      <c r="AT483" t="s">
        <v>53</v>
      </c>
    </row>
    <row r="484" spans="1:46" ht="33.75" hidden="1" x14ac:dyDescent="0.25">
      <c r="A484" s="40"/>
      <c r="B484" s="41"/>
      <c r="C484" s="40">
        <v>47</v>
      </c>
      <c r="D484" s="42" t="s">
        <v>1337</v>
      </c>
      <c r="E484" s="147">
        <v>45836</v>
      </c>
      <c r="F484" s="41">
        <v>18390</v>
      </c>
      <c r="G484" s="41">
        <v>4170</v>
      </c>
      <c r="H484" s="69">
        <v>14220</v>
      </c>
      <c r="I484" s="41">
        <v>3461.1</v>
      </c>
      <c r="J484" s="40" t="s">
        <v>914</v>
      </c>
      <c r="K484" s="40" t="s">
        <v>1316</v>
      </c>
      <c r="L484" s="40">
        <v>14</v>
      </c>
      <c r="M484" s="35" t="s">
        <v>127</v>
      </c>
      <c r="N484" s="40"/>
      <c r="O484" s="40"/>
      <c r="P484" s="40"/>
      <c r="Q484" s="40"/>
      <c r="R484" s="40" t="s">
        <v>131</v>
      </c>
      <c r="S484" s="40"/>
      <c r="T484" s="40">
        <v>14</v>
      </c>
      <c r="U484" s="40" t="str">
        <f>Таблица310[[#This Row],[Регистратор.Номенклатура]]</f>
        <v>Исток</v>
      </c>
      <c r="V484" s="45">
        <v>1</v>
      </c>
      <c r="W484" s="40" t="s">
        <v>52</v>
      </c>
      <c r="X484" s="40" t="s">
        <v>178</v>
      </c>
      <c r="Y484" s="40">
        <v>8</v>
      </c>
      <c r="Z484" s="103">
        <v>45835</v>
      </c>
      <c r="AA484" s="40"/>
      <c r="AB484" s="40" t="s">
        <v>1355</v>
      </c>
      <c r="AC484" s="40" t="s">
        <v>419</v>
      </c>
      <c r="AD484" s="40" t="s">
        <v>511</v>
      </c>
      <c r="AE484" s="40" t="s">
        <v>1337</v>
      </c>
      <c r="AF484" s="103">
        <v>45836</v>
      </c>
      <c r="AG484" s="40">
        <v>54957</v>
      </c>
      <c r="AH484" s="40">
        <f>VLOOKUP(Таблица310[[#This Row],[№ акта]],'Степень зрелости 2025'!$H$13:$I$583,2,FALSE)</f>
        <v>47</v>
      </c>
      <c r="AI484" s="40">
        <f>VLOOKUP(Таблица310[[#This Row],[№ акта]],$AQ$1:$AT$594,2,FALSE)</f>
        <v>14</v>
      </c>
      <c r="AJ484" s="40" t="str">
        <f>Таблица310[[#This Row],[Регистратор.Номенклатура]]</f>
        <v>Исток</v>
      </c>
      <c r="AK484" s="40" t="str">
        <f>VLOOKUP(Таблица310[[#This Row],[№ акта]],$AQ$1:$AT$594,4,FALSE)</f>
        <v>Агролидер (полив)</v>
      </c>
      <c r="AL484" s="45">
        <f>VLOOKUP(Таблица310[[#This Row],[№ акта]],$AQ$1:$AT$594,3,FALSE)</f>
        <v>1</v>
      </c>
      <c r="AM484" s="40" t="str">
        <f>IF(Таблица310[[#This Row],[Площадь уборки, га]]=Таблица310[[#This Row],[Площадь уборки до корр]],"нет","да")</f>
        <v>нет</v>
      </c>
      <c r="AN484" s="45">
        <f>Таблица310[[#This Row],[Площадь уборки до корр]]-Таблица310[[#This Row],[Площадь уборки, га]]</f>
        <v>0</v>
      </c>
      <c r="AQ484" t="s">
        <v>1337</v>
      </c>
      <c r="AR484">
        <v>14</v>
      </c>
      <c r="AS484">
        <v>1</v>
      </c>
      <c r="AT484" t="s">
        <v>52</v>
      </c>
    </row>
    <row r="485" spans="1:46" ht="22.5" hidden="1" x14ac:dyDescent="0.25">
      <c r="A485" s="40"/>
      <c r="B485" s="41"/>
      <c r="C485" s="40">
        <v>45</v>
      </c>
      <c r="D485" s="42" t="s">
        <v>1338</v>
      </c>
      <c r="E485" s="147">
        <v>45836</v>
      </c>
      <c r="F485" s="41">
        <v>28270</v>
      </c>
      <c r="G485" s="41">
        <v>13390</v>
      </c>
      <c r="H485" s="69">
        <v>14880</v>
      </c>
      <c r="I485" s="41">
        <v>11515.4</v>
      </c>
      <c r="J485" s="40" t="s">
        <v>1167</v>
      </c>
      <c r="K485" s="40" t="s">
        <v>1318</v>
      </c>
      <c r="L485" s="40" t="s">
        <v>1168</v>
      </c>
      <c r="M485" s="35" t="s">
        <v>894</v>
      </c>
      <c r="N485" s="40"/>
      <c r="O485" s="40"/>
      <c r="P485" s="40"/>
      <c r="Q485" s="40"/>
      <c r="R485" s="40" t="s">
        <v>895</v>
      </c>
      <c r="S485" s="40"/>
      <c r="T485" s="40" t="s">
        <v>1168</v>
      </c>
      <c r="U485" s="40" t="str">
        <f>Таблица310[[#This Row],[Регистратор.Номенклатура]]</f>
        <v>Парус</v>
      </c>
      <c r="V485" s="45">
        <v>2</v>
      </c>
      <c r="W485" s="40" t="s">
        <v>53</v>
      </c>
      <c r="X485" s="40" t="s">
        <v>178</v>
      </c>
      <c r="Y485" s="40">
        <v>6</v>
      </c>
      <c r="Z485" s="103">
        <v>45835</v>
      </c>
      <c r="AA485" s="40"/>
      <c r="AB485" s="40"/>
      <c r="AC485" s="40" t="s">
        <v>419</v>
      </c>
      <c r="AD485" s="40" t="s">
        <v>511</v>
      </c>
      <c r="AE485" s="40" t="s">
        <v>1338</v>
      </c>
      <c r="AF485" s="103">
        <v>45836</v>
      </c>
      <c r="AG485" s="40">
        <v>51</v>
      </c>
      <c r="AH485" s="40">
        <f>VLOOKUP(Таблица310[[#This Row],[№ акта]],'Степень зрелости 2025'!$H$13:$I$583,2,FALSE)</f>
        <v>45</v>
      </c>
      <c r="AI485" s="40" t="str">
        <f>VLOOKUP(Таблица310[[#This Row],[№ акта]],$AQ$1:$AT$594,2,FALSE)</f>
        <v>4.1</v>
      </c>
      <c r="AJ485" s="40" t="str">
        <f>Таблица310[[#This Row],[Регистратор.Номенклатура]]</f>
        <v>Парус</v>
      </c>
      <c r="AK485" s="40" t="str">
        <f>VLOOKUP(Таблица310[[#This Row],[№ акта]],$AQ$1:$AT$594,4,FALSE)</f>
        <v>Колос (полив)</v>
      </c>
      <c r="AL485" s="45">
        <f>VLOOKUP(Таблица310[[#This Row],[№ акта]],$AQ$1:$AT$594,3,FALSE)</f>
        <v>2</v>
      </c>
      <c r="AM485" s="40" t="str">
        <f>IF(Таблица310[[#This Row],[Площадь уборки, га]]=Таблица310[[#This Row],[Площадь уборки до корр]],"нет","да")</f>
        <v>нет</v>
      </c>
      <c r="AN485" s="45">
        <f>Таблица310[[#This Row],[Площадь уборки до корр]]-Таблица310[[#This Row],[Площадь уборки, га]]</f>
        <v>0</v>
      </c>
      <c r="AQ485" t="s">
        <v>1338</v>
      </c>
      <c r="AR485" t="s">
        <v>1168</v>
      </c>
      <c r="AS485">
        <v>2</v>
      </c>
      <c r="AT485" t="s">
        <v>53</v>
      </c>
    </row>
    <row r="486" spans="1:46" ht="78.75" hidden="1" x14ac:dyDescent="0.25">
      <c r="A486" s="40"/>
      <c r="B486" s="41"/>
      <c r="C486" s="40">
        <v>51</v>
      </c>
      <c r="D486" s="42" t="s">
        <v>1339</v>
      </c>
      <c r="E486" s="147">
        <v>45836</v>
      </c>
      <c r="F486" s="41">
        <v>29130</v>
      </c>
      <c r="G486" s="41">
        <v>14020</v>
      </c>
      <c r="H486" s="69">
        <v>15110</v>
      </c>
      <c r="I486" s="41">
        <v>11987.1</v>
      </c>
      <c r="J486" s="40" t="s">
        <v>1167</v>
      </c>
      <c r="K486" s="40" t="s">
        <v>1318</v>
      </c>
      <c r="L486" s="40" t="s">
        <v>1168</v>
      </c>
      <c r="M486" s="35" t="s">
        <v>311</v>
      </c>
      <c r="N486" s="40"/>
      <c r="O486" s="40"/>
      <c r="P486" s="40"/>
      <c r="Q486" s="40"/>
      <c r="R486" s="40" t="s">
        <v>315</v>
      </c>
      <c r="S486" s="40"/>
      <c r="T486" s="40" t="s">
        <v>1168</v>
      </c>
      <c r="U486" s="40" t="str">
        <f>Таблица310[[#This Row],[Регистратор.Номенклатура]]</f>
        <v>Парус</v>
      </c>
      <c r="V486" s="45">
        <f>15*Таблица310[[#This Row],[Регистратор.Вес нетто]]/98790</f>
        <v>2.1287579714546006</v>
      </c>
      <c r="W486" s="40" t="s">
        <v>53</v>
      </c>
      <c r="X486" s="40" t="s">
        <v>178</v>
      </c>
      <c r="Y486" s="40">
        <v>7</v>
      </c>
      <c r="Z486" s="103">
        <v>45836</v>
      </c>
      <c r="AA486" s="40"/>
      <c r="AB486" s="40" t="s">
        <v>1358</v>
      </c>
      <c r="AC486" s="40" t="s">
        <v>419</v>
      </c>
      <c r="AD486" s="40" t="s">
        <v>511</v>
      </c>
      <c r="AE486" s="40" t="s">
        <v>1339</v>
      </c>
      <c r="AF486" s="103">
        <v>45836</v>
      </c>
      <c r="AG486" s="40">
        <v>49</v>
      </c>
      <c r="AH486" s="40" t="e">
        <f>VLOOKUP(Таблица310[[#This Row],[№ акта]],'Степень зрелости 2025'!$H$13:$I$583,2,FALSE)</f>
        <v>#N/A</v>
      </c>
      <c r="AI486" s="40" t="str">
        <f>VLOOKUP(Таблица310[[#This Row],[№ акта]],$AQ$1:$AT$594,2,FALSE)</f>
        <v>4.1</v>
      </c>
      <c r="AJ486" s="40" t="str">
        <f>Таблица310[[#This Row],[Регистратор.Номенклатура]]</f>
        <v>Парус</v>
      </c>
      <c r="AK486" s="40" t="str">
        <f>VLOOKUP(Таблица310[[#This Row],[№ акта]],$AQ$1:$AT$594,4,FALSE)</f>
        <v>Колос (полив)</v>
      </c>
      <c r="AL486" s="45">
        <f>VLOOKUP(Таблица310[[#This Row],[№ акта]],$AQ$1:$AT$594,3,FALSE)</f>
        <v>2.1287579714546006</v>
      </c>
      <c r="AM486" s="40" t="str">
        <f>IF(Таблица310[[#This Row],[Площадь уборки, га]]=Таблица310[[#This Row],[Площадь уборки до корр]],"нет","да")</f>
        <v>нет</v>
      </c>
      <c r="AN486" s="45">
        <f>Таблица310[[#This Row],[Площадь уборки до корр]]-Таблица310[[#This Row],[Площадь уборки, га]]</f>
        <v>0</v>
      </c>
      <c r="AQ486" t="s">
        <v>1339</v>
      </c>
      <c r="AR486" t="s">
        <v>1168</v>
      </c>
      <c r="AS486">
        <v>2.1287579714546006</v>
      </c>
      <c r="AT486" t="s">
        <v>53</v>
      </c>
    </row>
    <row r="487" spans="1:46" ht="78.75" hidden="1" x14ac:dyDescent="0.25">
      <c r="A487" s="40"/>
      <c r="B487" s="41"/>
      <c r="C487" s="40">
        <v>47</v>
      </c>
      <c r="D487" s="42" t="s">
        <v>1340</v>
      </c>
      <c r="E487" s="147">
        <v>45836</v>
      </c>
      <c r="F487" s="41">
        <v>22010</v>
      </c>
      <c r="G487" s="41">
        <v>7090</v>
      </c>
      <c r="H487" s="69">
        <v>14920</v>
      </c>
      <c r="I487" s="41">
        <v>5742.9</v>
      </c>
      <c r="J487" s="40" t="s">
        <v>1167</v>
      </c>
      <c r="K487" s="40" t="s">
        <v>909</v>
      </c>
      <c r="L487" s="40" t="s">
        <v>1168</v>
      </c>
      <c r="M487" s="35" t="s">
        <v>335</v>
      </c>
      <c r="N487" s="40"/>
      <c r="O487" s="40"/>
      <c r="P487" s="40"/>
      <c r="Q487" s="40"/>
      <c r="R487" s="40" t="s">
        <v>339</v>
      </c>
      <c r="S487" s="40"/>
      <c r="T487" s="143" t="s">
        <v>1168</v>
      </c>
      <c r="U487" s="40" t="str">
        <f>Таблица310[[#This Row],[Регистратор.Номенклатура]]</f>
        <v>Тристар</v>
      </c>
      <c r="V487" s="45">
        <f>15*Таблица310[[#This Row],[Регистратор.Вес нетто]]/98790</f>
        <v>1.0765259641664136</v>
      </c>
      <c r="W487" s="40" t="s">
        <v>53</v>
      </c>
      <c r="X487" s="40" t="s">
        <v>178</v>
      </c>
      <c r="Y487" s="40">
        <v>7</v>
      </c>
      <c r="Z487" s="103">
        <v>45836</v>
      </c>
      <c r="AA487" s="40"/>
      <c r="AB487" s="40" t="s">
        <v>1358</v>
      </c>
      <c r="AC487" s="40" t="s">
        <v>419</v>
      </c>
      <c r="AD487" s="40" t="s">
        <v>511</v>
      </c>
      <c r="AE487" s="40" t="s">
        <v>1340</v>
      </c>
      <c r="AF487" s="103">
        <v>45836</v>
      </c>
      <c r="AG487" s="40">
        <v>52</v>
      </c>
      <c r="AH487" s="40">
        <f>VLOOKUP(Таблица310[[#This Row],[№ акта]],'Степень зрелости 2025'!$H$13:$I$583,2,FALSE)</f>
        <v>47</v>
      </c>
      <c r="AI487" s="40" t="str">
        <f>VLOOKUP(Таблица310[[#This Row],[№ акта]],$AQ$1:$AT$594,2,FALSE)</f>
        <v>4.1</v>
      </c>
      <c r="AJ487" s="40" t="str">
        <f>Таблица310[[#This Row],[Регистратор.Номенклатура]]</f>
        <v>Тристар</v>
      </c>
      <c r="AK487" s="40" t="str">
        <f>VLOOKUP(Таблица310[[#This Row],[№ акта]],$AQ$1:$AT$594,4,FALSE)</f>
        <v>Колос (полив)</v>
      </c>
      <c r="AL487" s="45">
        <f>VLOOKUP(Таблица310[[#This Row],[№ акта]],$AQ$1:$AT$594,3,FALSE)</f>
        <v>1.0765259641664136</v>
      </c>
      <c r="AM487" s="40" t="str">
        <f>IF(Таблица310[[#This Row],[Площадь уборки, га]]=Таблица310[[#This Row],[Площадь уборки до корр]],"нет","да")</f>
        <v>нет</v>
      </c>
      <c r="AN487" s="45">
        <f>Таблица310[[#This Row],[Площадь уборки до корр]]-Таблица310[[#This Row],[Площадь уборки, га]]</f>
        <v>0</v>
      </c>
      <c r="AQ487" t="s">
        <v>1340</v>
      </c>
      <c r="AR487" t="s">
        <v>1168</v>
      </c>
      <c r="AS487">
        <v>1.0765259641664136</v>
      </c>
      <c r="AT487" t="s">
        <v>53</v>
      </c>
    </row>
    <row r="488" spans="1:46" ht="78.75" hidden="1" x14ac:dyDescent="0.25">
      <c r="A488" s="40"/>
      <c r="B488" s="41"/>
      <c r="C488" s="40">
        <v>45</v>
      </c>
      <c r="D488" s="42" t="s">
        <v>1341</v>
      </c>
      <c r="E488" s="147">
        <v>45836</v>
      </c>
      <c r="F488" s="41">
        <v>29040</v>
      </c>
      <c r="G488" s="41">
        <v>7030</v>
      </c>
      <c r="H488" s="69">
        <v>22010</v>
      </c>
      <c r="I488" s="41">
        <v>5834.9</v>
      </c>
      <c r="J488" s="40" t="s">
        <v>1167</v>
      </c>
      <c r="K488" s="40" t="s">
        <v>1318</v>
      </c>
      <c r="L488" s="40" t="s">
        <v>1168</v>
      </c>
      <c r="M488" s="35" t="s">
        <v>335</v>
      </c>
      <c r="N488" s="40"/>
      <c r="O488" s="40"/>
      <c r="P488" s="40"/>
      <c r="Q488" s="40"/>
      <c r="R488" s="40" t="s">
        <v>339</v>
      </c>
      <c r="S488" s="40"/>
      <c r="T488" s="40" t="s">
        <v>1168</v>
      </c>
      <c r="U488" s="40" t="str">
        <f>Таблица310[[#This Row],[Регистратор.Номенклатура]]</f>
        <v>Парус</v>
      </c>
      <c r="V488" s="45">
        <f>15*Таблица310[[#This Row],[Регистратор.Вес нетто]]/98790</f>
        <v>1.0674157303370786</v>
      </c>
      <c r="W488" s="40" t="s">
        <v>53</v>
      </c>
      <c r="X488" s="40" t="s">
        <v>178</v>
      </c>
      <c r="Y488" s="40">
        <v>7</v>
      </c>
      <c r="Z488" s="103">
        <v>45836</v>
      </c>
      <c r="AA488" s="40"/>
      <c r="AB488" s="40" t="s">
        <v>1358</v>
      </c>
      <c r="AC488" s="40" t="s">
        <v>419</v>
      </c>
      <c r="AD488" s="40" t="s">
        <v>511</v>
      </c>
      <c r="AE488" s="40" t="s">
        <v>1341</v>
      </c>
      <c r="AF488" s="103">
        <v>45836</v>
      </c>
      <c r="AG488" s="40">
        <v>52</v>
      </c>
      <c r="AH488" s="40">
        <f>VLOOKUP(Таблица310[[#This Row],[№ акта]],'Степень зрелости 2025'!$H$13:$I$583,2,FALSE)</f>
        <v>45</v>
      </c>
      <c r="AI488" s="40" t="str">
        <f>VLOOKUP(Таблица310[[#This Row],[№ акта]],$AQ$1:$AT$594,2,FALSE)</f>
        <v>4.1</v>
      </c>
      <c r="AJ488" s="40" t="str">
        <f>Таблица310[[#This Row],[Регистратор.Номенклатура]]</f>
        <v>Парус</v>
      </c>
      <c r="AK488" s="40" t="str">
        <f>VLOOKUP(Таблица310[[#This Row],[№ акта]],$AQ$1:$AT$594,4,FALSE)</f>
        <v>Колос (полив)</v>
      </c>
      <c r="AL488" s="45">
        <f>VLOOKUP(Таблица310[[#This Row],[№ акта]],$AQ$1:$AT$594,3,FALSE)</f>
        <v>1.0674157303370786</v>
      </c>
      <c r="AM488" s="40" t="str">
        <f>IF(Таблица310[[#This Row],[Площадь уборки, га]]=Таблица310[[#This Row],[Площадь уборки до корр]],"нет","да")</f>
        <v>нет</v>
      </c>
      <c r="AN488" s="45">
        <f>Таблица310[[#This Row],[Площадь уборки до корр]]-Таблица310[[#This Row],[Площадь уборки, га]]</f>
        <v>0</v>
      </c>
      <c r="AQ488" t="s">
        <v>1341</v>
      </c>
      <c r="AR488" t="s">
        <v>1168</v>
      </c>
      <c r="AS488">
        <v>1.0674157303370786</v>
      </c>
      <c r="AT488" t="s">
        <v>53</v>
      </c>
    </row>
    <row r="489" spans="1:46" ht="78.75" hidden="1" x14ac:dyDescent="0.25">
      <c r="A489" s="40"/>
      <c r="B489" s="41"/>
      <c r="C489" s="40">
        <v>49</v>
      </c>
      <c r="D489" s="42" t="s">
        <v>1342</v>
      </c>
      <c r="E489" s="147">
        <v>45836</v>
      </c>
      <c r="F489" s="41">
        <v>29480</v>
      </c>
      <c r="G489" s="41">
        <v>15050</v>
      </c>
      <c r="H489" s="69">
        <v>14430</v>
      </c>
      <c r="I489" s="41">
        <v>12792.5</v>
      </c>
      <c r="J489" s="40" t="s">
        <v>1167</v>
      </c>
      <c r="K489" s="40" t="s">
        <v>909</v>
      </c>
      <c r="L489" s="40" t="s">
        <v>1168</v>
      </c>
      <c r="M489" s="35" t="s">
        <v>1312</v>
      </c>
      <c r="N489" s="40"/>
      <c r="O489" s="40"/>
      <c r="P489" s="40"/>
      <c r="Q489" s="40"/>
      <c r="R489" s="40" t="s">
        <v>320</v>
      </c>
      <c r="S489" s="40"/>
      <c r="T489" s="40" t="s">
        <v>1168</v>
      </c>
      <c r="U489" s="40" t="str">
        <f>Таблица310[[#This Row],[Регистратор.Номенклатура]]</f>
        <v>Тристар</v>
      </c>
      <c r="V489" s="45">
        <f>15*Таблица310[[#This Row],[Регистратор.Вес нетто]]/98790</f>
        <v>2.2851503188581841</v>
      </c>
      <c r="W489" s="40" t="s">
        <v>53</v>
      </c>
      <c r="X489" s="40" t="s">
        <v>178</v>
      </c>
      <c r="Y489" s="40">
        <v>7</v>
      </c>
      <c r="Z489" s="103">
        <v>45836</v>
      </c>
      <c r="AA489" s="40"/>
      <c r="AB489" s="40" t="s">
        <v>1358</v>
      </c>
      <c r="AC489" s="40" t="s">
        <v>419</v>
      </c>
      <c r="AD489" s="40" t="s">
        <v>511</v>
      </c>
      <c r="AE489" s="40" t="s">
        <v>1342</v>
      </c>
      <c r="AF489" s="103">
        <v>45836</v>
      </c>
      <c r="AG489" s="40">
        <v>50</v>
      </c>
      <c r="AH489" s="40">
        <f>VLOOKUP(Таблица310[[#This Row],[№ акта]],'Степень зрелости 2025'!$H$13:$I$583,2,FALSE)</f>
        <v>49</v>
      </c>
      <c r="AI489" s="40" t="str">
        <f>VLOOKUP(Таблица310[[#This Row],[№ акта]],$AQ$1:$AT$594,2,FALSE)</f>
        <v>4.1</v>
      </c>
      <c r="AJ489" s="40" t="str">
        <f>Таблица310[[#This Row],[Регистратор.Номенклатура]]</f>
        <v>Тристар</v>
      </c>
      <c r="AK489" s="40" t="str">
        <f>VLOOKUP(Таблица310[[#This Row],[№ акта]],$AQ$1:$AT$594,4,FALSE)</f>
        <v>Колос (полив)</v>
      </c>
      <c r="AL489" s="45">
        <f>VLOOKUP(Таблица310[[#This Row],[№ акта]],$AQ$1:$AT$594,3,FALSE)</f>
        <v>2.2851503188581841</v>
      </c>
      <c r="AM489" s="40" t="str">
        <f>IF(Таблица310[[#This Row],[Площадь уборки, га]]=Таблица310[[#This Row],[Площадь уборки до корр]],"нет","да")</f>
        <v>нет</v>
      </c>
      <c r="AN489" s="45">
        <f>Таблица310[[#This Row],[Площадь уборки до корр]]-Таблица310[[#This Row],[Площадь уборки, га]]</f>
        <v>0</v>
      </c>
      <c r="AQ489" t="s">
        <v>1342</v>
      </c>
      <c r="AR489" t="s">
        <v>1168</v>
      </c>
      <c r="AS489">
        <v>2.2851503188581841</v>
      </c>
      <c r="AT489" t="s">
        <v>53</v>
      </c>
    </row>
    <row r="490" spans="1:46" ht="78.75" hidden="1" x14ac:dyDescent="0.25">
      <c r="A490" s="40"/>
      <c r="B490" s="41"/>
      <c r="C490" s="40">
        <v>50</v>
      </c>
      <c r="D490" s="42" t="s">
        <v>1343</v>
      </c>
      <c r="E490" s="147">
        <v>45837</v>
      </c>
      <c r="F490" s="41">
        <v>35120</v>
      </c>
      <c r="G490" s="41">
        <v>7150</v>
      </c>
      <c r="H490" s="69">
        <v>27970</v>
      </c>
      <c r="I490" s="41">
        <v>6399.2</v>
      </c>
      <c r="J490" s="40" t="s">
        <v>1167</v>
      </c>
      <c r="K490" s="40" t="s">
        <v>909</v>
      </c>
      <c r="L490" s="40" t="s">
        <v>1168</v>
      </c>
      <c r="M490" s="35" t="s">
        <v>1325</v>
      </c>
      <c r="N490" s="40"/>
      <c r="O490" s="40"/>
      <c r="P490" s="40"/>
      <c r="Q490" s="40"/>
      <c r="R490" s="40" t="s">
        <v>119</v>
      </c>
      <c r="S490" s="40"/>
      <c r="T490" s="40" t="s">
        <v>1168</v>
      </c>
      <c r="U490" s="40" t="str">
        <f>Таблица310[[#This Row],[Регистратор.Номенклатура]]</f>
        <v>Тристар</v>
      </c>
      <c r="V490" s="45">
        <f>15*Таблица310[[#This Row],[Регистратор.Вес нетто]]/98790</f>
        <v>1.0856361979957485</v>
      </c>
      <c r="W490" s="40" t="s">
        <v>53</v>
      </c>
      <c r="X490" s="40" t="s">
        <v>178</v>
      </c>
      <c r="Y490" s="40">
        <v>8</v>
      </c>
      <c r="Z490" s="103">
        <v>45837</v>
      </c>
      <c r="AA490" s="40"/>
      <c r="AB490" s="40" t="s">
        <v>1358</v>
      </c>
      <c r="AC490" s="40" t="s">
        <v>419</v>
      </c>
      <c r="AD490" s="40" t="s">
        <v>511</v>
      </c>
      <c r="AE490" s="40" t="s">
        <v>1343</v>
      </c>
      <c r="AF490" s="103">
        <v>45837</v>
      </c>
      <c r="AG490" s="40">
        <v>55</v>
      </c>
      <c r="AH490" s="40">
        <f>VLOOKUP(Таблица310[[#This Row],[№ акта]],'Степень зрелости 2025'!$H$13:$I$583,2,FALSE)</f>
        <v>50</v>
      </c>
      <c r="AI490" s="40" t="str">
        <f>VLOOKUP(Таблица310[[#This Row],[№ акта]],$AQ$1:$AT$594,2,FALSE)</f>
        <v>4.1</v>
      </c>
      <c r="AJ490" s="40" t="str">
        <f>Таблица310[[#This Row],[Регистратор.Номенклатура]]</f>
        <v>Тристар</v>
      </c>
      <c r="AK490" s="40" t="str">
        <f>VLOOKUP(Таблица310[[#This Row],[№ акта]],$AQ$1:$AT$594,4,FALSE)</f>
        <v>Колос (полив)</v>
      </c>
      <c r="AL490" s="45">
        <f>VLOOKUP(Таблица310[[#This Row],[№ акта]],$AQ$1:$AT$594,3,FALSE)</f>
        <v>1.0856361979957485</v>
      </c>
      <c r="AM490" s="40" t="str">
        <f>IF(Таблица310[[#This Row],[Площадь уборки, га]]=Таблица310[[#This Row],[Площадь уборки до корр]],"нет","да")</f>
        <v>нет</v>
      </c>
      <c r="AN490" s="45">
        <f>Таблица310[[#This Row],[Площадь уборки до корр]]-Таблица310[[#This Row],[Площадь уборки, га]]</f>
        <v>0</v>
      </c>
      <c r="AQ490" t="s">
        <v>1343</v>
      </c>
      <c r="AR490" t="s">
        <v>1168</v>
      </c>
      <c r="AS490">
        <v>1.0856361979957485</v>
      </c>
      <c r="AT490" t="s">
        <v>53</v>
      </c>
    </row>
    <row r="491" spans="1:46" ht="78.75" hidden="1" x14ac:dyDescent="0.25">
      <c r="A491" s="40"/>
      <c r="B491" s="41"/>
      <c r="C491" s="40">
        <v>51</v>
      </c>
      <c r="D491" s="42" t="s">
        <v>1344</v>
      </c>
      <c r="E491" s="147">
        <v>45837</v>
      </c>
      <c r="F491" s="41">
        <v>27970</v>
      </c>
      <c r="G491" s="41">
        <v>7050</v>
      </c>
      <c r="H491" s="69">
        <v>20920</v>
      </c>
      <c r="I491" s="41">
        <v>6450.7</v>
      </c>
      <c r="J491" s="40" t="s">
        <v>1167</v>
      </c>
      <c r="K491" s="40" t="s">
        <v>1318</v>
      </c>
      <c r="L491" s="40" t="s">
        <v>1168</v>
      </c>
      <c r="M491" s="35" t="s">
        <v>1325</v>
      </c>
      <c r="N491" s="40"/>
      <c r="O491" s="40"/>
      <c r="P491" s="40"/>
      <c r="Q491" s="40"/>
      <c r="R491" s="40" t="s">
        <v>119</v>
      </c>
      <c r="S491" s="40"/>
      <c r="T491" s="40" t="s">
        <v>1168</v>
      </c>
      <c r="U491" s="40" t="str">
        <f>Таблица310[[#This Row],[Регистратор.Номенклатура]]</f>
        <v>Парус</v>
      </c>
      <c r="V491" s="45">
        <f>15*Таблица310[[#This Row],[Регистратор.Вес нетто]]/98790</f>
        <v>1.0704524749468569</v>
      </c>
      <c r="W491" s="40" t="s">
        <v>53</v>
      </c>
      <c r="X491" s="40" t="s">
        <v>178</v>
      </c>
      <c r="Y491" s="40">
        <v>8</v>
      </c>
      <c r="Z491" s="103">
        <v>45837</v>
      </c>
      <c r="AA491" s="40"/>
      <c r="AB491" s="40" t="s">
        <v>1358</v>
      </c>
      <c r="AC491" s="40" t="s">
        <v>419</v>
      </c>
      <c r="AD491" s="40" t="s">
        <v>511</v>
      </c>
      <c r="AE491" s="40" t="s">
        <v>1344</v>
      </c>
      <c r="AF491" s="103">
        <v>45837</v>
      </c>
      <c r="AG491" s="40">
        <v>55</v>
      </c>
      <c r="AH491" s="40">
        <f>VLOOKUP(Таблица310[[#This Row],[№ акта]],'Степень зрелости 2025'!$H$13:$I$583,2,FALSE)</f>
        <v>51</v>
      </c>
      <c r="AI491" s="40" t="str">
        <f>VLOOKUP(Таблица310[[#This Row],[№ акта]],$AQ$1:$AT$594,2,FALSE)</f>
        <v>4.1</v>
      </c>
      <c r="AJ491" s="40" t="str">
        <f>Таблица310[[#This Row],[Регистратор.Номенклатура]]</f>
        <v>Парус</v>
      </c>
      <c r="AK491" s="40" t="str">
        <f>VLOOKUP(Таблица310[[#This Row],[№ акта]],$AQ$1:$AT$594,4,FALSE)</f>
        <v>Колос (полив)</v>
      </c>
      <c r="AL491" s="45">
        <f>VLOOKUP(Таблица310[[#This Row],[№ акта]],$AQ$1:$AT$594,3,FALSE)</f>
        <v>1.0704524749468569</v>
      </c>
      <c r="AM491" s="40" t="str">
        <f>IF(Таблица310[[#This Row],[Площадь уборки, га]]=Таблица310[[#This Row],[Площадь уборки до корр]],"нет","да")</f>
        <v>нет</v>
      </c>
      <c r="AN491" s="45">
        <f>Таблица310[[#This Row],[Площадь уборки до корр]]-Таблица310[[#This Row],[Площадь уборки, га]]</f>
        <v>0</v>
      </c>
      <c r="AQ491" t="s">
        <v>1344</v>
      </c>
      <c r="AR491" t="s">
        <v>1168</v>
      </c>
      <c r="AS491">
        <v>1.0704524749468569</v>
      </c>
      <c r="AT491" t="s">
        <v>53</v>
      </c>
    </row>
    <row r="492" spans="1:46" ht="78.75" hidden="1" x14ac:dyDescent="0.25">
      <c r="A492" s="40"/>
      <c r="B492" s="41"/>
      <c r="C492" s="40">
        <v>45</v>
      </c>
      <c r="D492" s="42" t="s">
        <v>1345</v>
      </c>
      <c r="E492" s="147">
        <v>45837</v>
      </c>
      <c r="F492" s="41">
        <v>38080</v>
      </c>
      <c r="G492" s="41">
        <v>13930</v>
      </c>
      <c r="H492" s="69">
        <v>24150</v>
      </c>
      <c r="I492" s="41">
        <v>11979.8</v>
      </c>
      <c r="J492" s="40" t="s">
        <v>1167</v>
      </c>
      <c r="K492" s="40" t="s">
        <v>1318</v>
      </c>
      <c r="L492" s="40" t="s">
        <v>1168</v>
      </c>
      <c r="M492" s="35" t="s">
        <v>160</v>
      </c>
      <c r="N492" s="40"/>
      <c r="O492" s="40"/>
      <c r="P492" s="40"/>
      <c r="Q492" s="40"/>
      <c r="R492" s="40" t="s">
        <v>164</v>
      </c>
      <c r="S492" s="40"/>
      <c r="T492" s="40" t="s">
        <v>1168</v>
      </c>
      <c r="U492" s="40" t="str">
        <f>Таблица310[[#This Row],[Регистратор.Номенклатура]]</f>
        <v>Парус</v>
      </c>
      <c r="V492" s="45">
        <f>15*Таблица310[[#This Row],[Регистратор.Вес нетто]]/98790</f>
        <v>2.1150926207105982</v>
      </c>
      <c r="W492" s="40" t="s">
        <v>53</v>
      </c>
      <c r="X492" s="40" t="s">
        <v>178</v>
      </c>
      <c r="Y492" s="40">
        <v>8</v>
      </c>
      <c r="Z492" s="103">
        <v>45837</v>
      </c>
      <c r="AA492" s="40"/>
      <c r="AB492" s="40" t="s">
        <v>1358</v>
      </c>
      <c r="AC492" s="40" t="s">
        <v>419</v>
      </c>
      <c r="AD492" s="40" t="s">
        <v>511</v>
      </c>
      <c r="AE492" s="40" t="s">
        <v>1345</v>
      </c>
      <c r="AF492" s="103">
        <v>45837</v>
      </c>
      <c r="AG492" s="40">
        <v>54</v>
      </c>
      <c r="AH492" s="40">
        <f>VLOOKUP(Таблица310[[#This Row],[№ акта]],'Степень зрелости 2025'!$H$13:$I$583,2,FALSE)</f>
        <v>45</v>
      </c>
      <c r="AI492" s="40" t="str">
        <f>VLOOKUP(Таблица310[[#This Row],[№ акта]],$AQ$1:$AT$594,2,FALSE)</f>
        <v>4.1</v>
      </c>
      <c r="AJ492" s="40" t="str">
        <f>Таблица310[[#This Row],[Регистратор.Номенклатура]]</f>
        <v>Парус</v>
      </c>
      <c r="AK492" s="40" t="str">
        <f>VLOOKUP(Таблица310[[#This Row],[№ акта]],$AQ$1:$AT$594,4,FALSE)</f>
        <v>Колос (полив)</v>
      </c>
      <c r="AL492" s="45">
        <f>VLOOKUP(Таблица310[[#This Row],[№ акта]],$AQ$1:$AT$594,3,FALSE)</f>
        <v>2.1150926207105982</v>
      </c>
      <c r="AM492" s="40" t="str">
        <f>IF(Таблица310[[#This Row],[Площадь уборки, га]]=Таблица310[[#This Row],[Площадь уборки до корр]],"нет","да")</f>
        <v>нет</v>
      </c>
      <c r="AN492" s="45">
        <f>Таблица310[[#This Row],[Площадь уборки до корр]]-Таблица310[[#This Row],[Площадь уборки, га]]</f>
        <v>0</v>
      </c>
      <c r="AQ492" t="s">
        <v>1345</v>
      </c>
      <c r="AR492" t="s">
        <v>1168</v>
      </c>
      <c r="AS492">
        <v>2.1150926207105982</v>
      </c>
      <c r="AT492" t="s">
        <v>53</v>
      </c>
    </row>
    <row r="493" spans="1:46" ht="33.75" hidden="1" x14ac:dyDescent="0.25">
      <c r="A493" s="40"/>
      <c r="B493" s="41"/>
      <c r="C493" s="40">
        <v>44</v>
      </c>
      <c r="D493" s="42" t="s">
        <v>1346</v>
      </c>
      <c r="E493" s="147">
        <v>45837</v>
      </c>
      <c r="F493" s="41">
        <v>23440</v>
      </c>
      <c r="G493" s="41">
        <v>9090</v>
      </c>
      <c r="H493" s="69">
        <v>14350</v>
      </c>
      <c r="I493" s="41">
        <v>7862.8</v>
      </c>
      <c r="J493" s="40" t="s">
        <v>914</v>
      </c>
      <c r="K493" s="40" t="s">
        <v>1316</v>
      </c>
      <c r="L493" s="40">
        <v>14</v>
      </c>
      <c r="M493" s="35" t="s">
        <v>127</v>
      </c>
      <c r="N493" s="40"/>
      <c r="O493" s="40"/>
      <c r="P493" s="40"/>
      <c r="Q493" s="40"/>
      <c r="R493" s="40" t="s">
        <v>131</v>
      </c>
      <c r="S493" s="40"/>
      <c r="T493" s="40">
        <v>14</v>
      </c>
      <c r="U493" s="40" t="str">
        <f>Таблица310[[#This Row],[Регистратор.Номенклатура]]</f>
        <v>Исток</v>
      </c>
      <c r="V493" s="45">
        <f>3*Таблица310[[#This Row],[Регистратор.Вес нетто]]/16370</f>
        <v>1.6658521686010996</v>
      </c>
      <c r="W493" s="40" t="s">
        <v>52</v>
      </c>
      <c r="X493" s="40" t="s">
        <v>178</v>
      </c>
      <c r="Y493" s="40">
        <v>9</v>
      </c>
      <c r="Z493" s="103">
        <v>45837</v>
      </c>
      <c r="AA493" s="40"/>
      <c r="AB493" s="40" t="s">
        <v>1355</v>
      </c>
      <c r="AC493" s="40" t="s">
        <v>419</v>
      </c>
      <c r="AD493" s="40" t="s">
        <v>511</v>
      </c>
      <c r="AE493" s="40" t="s">
        <v>1346</v>
      </c>
      <c r="AF493" s="103">
        <v>45837</v>
      </c>
      <c r="AG493" s="40">
        <v>54958</v>
      </c>
      <c r="AH493" s="40">
        <f>VLOOKUP(Таблица310[[#This Row],[№ акта]],'Степень зрелости 2025'!$H$13:$I$583,2,FALSE)</f>
        <v>44</v>
      </c>
      <c r="AI493" s="40">
        <f>VLOOKUP(Таблица310[[#This Row],[№ акта]],$AQ$1:$AT$594,2,FALSE)</f>
        <v>14</v>
      </c>
      <c r="AJ493" s="40" t="str">
        <f>Таблица310[[#This Row],[Регистратор.Номенклатура]]</f>
        <v>Исток</v>
      </c>
      <c r="AK493" s="40" t="str">
        <f>VLOOKUP(Таблица310[[#This Row],[№ акта]],$AQ$1:$AT$594,4,FALSE)</f>
        <v>Агролидер (полив)</v>
      </c>
      <c r="AL493" s="45">
        <f>VLOOKUP(Таблица310[[#This Row],[№ акта]],$AQ$1:$AT$594,3,FALSE)</f>
        <v>1.6658521686010996</v>
      </c>
      <c r="AM493" s="40" t="str">
        <f>IF(Таблица310[[#This Row],[Площадь уборки, га]]=Таблица310[[#This Row],[Площадь уборки до корр]],"нет","да")</f>
        <v>нет</v>
      </c>
      <c r="AN493" s="45">
        <f>Таблица310[[#This Row],[Площадь уборки до корр]]-Таблица310[[#This Row],[Площадь уборки, га]]</f>
        <v>0</v>
      </c>
      <c r="AQ493" t="s">
        <v>1346</v>
      </c>
      <c r="AR493">
        <v>14</v>
      </c>
      <c r="AS493">
        <v>1.6658521686010996</v>
      </c>
      <c r="AT493" t="s">
        <v>52</v>
      </c>
    </row>
    <row r="494" spans="1:46" ht="78.75" hidden="1" x14ac:dyDescent="0.25">
      <c r="A494" s="40"/>
      <c r="B494" s="41"/>
      <c r="C494" s="40">
        <v>46</v>
      </c>
      <c r="D494" s="42" t="s">
        <v>1347</v>
      </c>
      <c r="E494" s="147">
        <v>45837</v>
      </c>
      <c r="F494" s="41">
        <v>28620</v>
      </c>
      <c r="G494" s="41">
        <v>13680</v>
      </c>
      <c r="H494" s="69">
        <v>14940</v>
      </c>
      <c r="I494" s="41">
        <v>11628</v>
      </c>
      <c r="J494" s="40" t="s">
        <v>1167</v>
      </c>
      <c r="K494" s="40" t="s">
        <v>909</v>
      </c>
      <c r="L494" s="40" t="s">
        <v>1168</v>
      </c>
      <c r="M494" s="35" t="s">
        <v>1461</v>
      </c>
      <c r="N494" s="40"/>
      <c r="O494" s="40"/>
      <c r="P494" s="40"/>
      <c r="Q494" s="40"/>
      <c r="R494" s="40" t="s">
        <v>149</v>
      </c>
      <c r="S494" s="40"/>
      <c r="T494" s="40" t="s">
        <v>1168</v>
      </c>
      <c r="U494" s="40" t="str">
        <f>Таблица310[[#This Row],[Регистратор.Номенклатура]]</f>
        <v>Тристар</v>
      </c>
      <c r="V494" s="45">
        <f>15*Таблица310[[#This Row],[Регистратор.Вес нетто]]/98790</f>
        <v>2.0771333130883693</v>
      </c>
      <c r="W494" s="40" t="s">
        <v>53</v>
      </c>
      <c r="X494" s="40" t="s">
        <v>178</v>
      </c>
      <c r="Y494" s="40">
        <v>8</v>
      </c>
      <c r="Z494" s="103">
        <v>45837</v>
      </c>
      <c r="AA494" s="40"/>
      <c r="AB494" s="40" t="s">
        <v>1358</v>
      </c>
      <c r="AC494" s="40" t="s">
        <v>419</v>
      </c>
      <c r="AD494" s="40" t="s">
        <v>511</v>
      </c>
      <c r="AE494" s="40" t="s">
        <v>1347</v>
      </c>
      <c r="AF494" s="103">
        <v>45837</v>
      </c>
      <c r="AG494" s="40">
        <v>57</v>
      </c>
      <c r="AH494" s="40">
        <f>VLOOKUP(Таблица310[[#This Row],[№ акта]],'Степень зрелости 2025'!$H$13:$I$583,2,FALSE)</f>
        <v>46</v>
      </c>
      <c r="AI494" s="40" t="str">
        <f>VLOOKUP(Таблица310[[#This Row],[№ акта]],$AQ$1:$AT$594,2,FALSE)</f>
        <v>4.1</v>
      </c>
      <c r="AJ494" s="40" t="str">
        <f>Таблица310[[#This Row],[Регистратор.Номенклатура]]</f>
        <v>Тристар</v>
      </c>
      <c r="AK494" s="40" t="str">
        <f>VLOOKUP(Таблица310[[#This Row],[№ акта]],$AQ$1:$AT$594,4,FALSE)</f>
        <v>Колос (полив)</v>
      </c>
      <c r="AL494" s="45">
        <f>VLOOKUP(Таблица310[[#This Row],[№ акта]],$AQ$1:$AT$594,3,FALSE)</f>
        <v>2.0771333130883693</v>
      </c>
      <c r="AM494" s="40" t="str">
        <f>IF(Таблица310[[#This Row],[Площадь уборки, га]]=Таблица310[[#This Row],[Площадь уборки до корр]],"нет","да")</f>
        <v>нет</v>
      </c>
      <c r="AN494" s="45">
        <f>Таблица310[[#This Row],[Площадь уборки до корр]]-Таблица310[[#This Row],[Площадь уборки, га]]</f>
        <v>0</v>
      </c>
      <c r="AQ494" t="s">
        <v>1347</v>
      </c>
      <c r="AR494" t="s">
        <v>1168</v>
      </c>
      <c r="AS494">
        <v>2.0771333130883693</v>
      </c>
      <c r="AT494" t="s">
        <v>53</v>
      </c>
    </row>
    <row r="495" spans="1:46" ht="33.75" hidden="1" x14ac:dyDescent="0.25">
      <c r="A495" s="40"/>
      <c r="B495" s="41"/>
      <c r="C495" s="40">
        <v>45</v>
      </c>
      <c r="D495" s="42" t="s">
        <v>1348</v>
      </c>
      <c r="E495" s="147">
        <v>45837</v>
      </c>
      <c r="F495" s="41">
        <v>9150</v>
      </c>
      <c r="G495" s="41">
        <v>4540</v>
      </c>
      <c r="H495" s="69">
        <v>4610</v>
      </c>
      <c r="I495" s="41">
        <v>3972.5</v>
      </c>
      <c r="J495" s="40" t="s">
        <v>914</v>
      </c>
      <c r="K495" s="40" t="s">
        <v>1316</v>
      </c>
      <c r="L495" s="40">
        <v>14</v>
      </c>
      <c r="M495" s="35" t="s">
        <v>762</v>
      </c>
      <c r="N495" s="40"/>
      <c r="O495" s="40"/>
      <c r="P495" s="40"/>
      <c r="Q495" s="40"/>
      <c r="R495" s="40" t="s">
        <v>763</v>
      </c>
      <c r="S495" s="40"/>
      <c r="T495" s="40">
        <v>14</v>
      </c>
      <c r="U495" s="40" t="str">
        <f>Таблица310[[#This Row],[Регистратор.Номенклатура]]</f>
        <v>Исток</v>
      </c>
      <c r="V495" s="45">
        <f>3*Таблица310[[#This Row],[Регистратор.Вес нетто]]/16370</f>
        <v>0.83200977397678677</v>
      </c>
      <c r="W495" s="40" t="s">
        <v>52</v>
      </c>
      <c r="X495" s="40" t="s">
        <v>178</v>
      </c>
      <c r="Y495" s="40">
        <v>9</v>
      </c>
      <c r="Z495" s="103">
        <v>45837</v>
      </c>
      <c r="AA495" s="40"/>
      <c r="AB495" s="40" t="s">
        <v>1355</v>
      </c>
      <c r="AC495" s="40" t="s">
        <v>419</v>
      </c>
      <c r="AD495" s="40" t="s">
        <v>511</v>
      </c>
      <c r="AE495" s="40" t="s">
        <v>1348</v>
      </c>
      <c r="AF495" s="103">
        <v>45837</v>
      </c>
      <c r="AG495" s="40">
        <v>54958</v>
      </c>
      <c r="AH495" s="40">
        <f>VLOOKUP(Таблица310[[#This Row],[№ акта]],'Степень зрелости 2025'!$H$13:$I$583,2,FALSE)</f>
        <v>45</v>
      </c>
      <c r="AI495" s="40">
        <f>VLOOKUP(Таблица310[[#This Row],[№ акта]],$AQ$1:$AT$594,2,FALSE)</f>
        <v>14</v>
      </c>
      <c r="AJ495" s="40" t="str">
        <f>Таблица310[[#This Row],[Регистратор.Номенклатура]]</f>
        <v>Исток</v>
      </c>
      <c r="AK495" s="40" t="str">
        <f>VLOOKUP(Таблица310[[#This Row],[№ акта]],$AQ$1:$AT$594,4,FALSE)</f>
        <v>Агролидер (полив)</v>
      </c>
      <c r="AL495" s="45">
        <f>VLOOKUP(Таблица310[[#This Row],[№ акта]],$AQ$1:$AT$594,3,FALSE)</f>
        <v>0.83200977397678677</v>
      </c>
      <c r="AM495" s="40" t="str">
        <f>IF(Таблица310[[#This Row],[Площадь уборки, га]]=Таблица310[[#This Row],[Площадь уборки до корр]],"нет","да")</f>
        <v>нет</v>
      </c>
      <c r="AN495" s="45">
        <f>Таблица310[[#This Row],[Площадь уборки до корр]]-Таблица310[[#This Row],[Площадь уборки, га]]</f>
        <v>0</v>
      </c>
      <c r="AQ495" t="s">
        <v>1348</v>
      </c>
      <c r="AR495">
        <v>14</v>
      </c>
      <c r="AS495">
        <v>0.83200977397678677</v>
      </c>
      <c r="AT495" t="s">
        <v>52</v>
      </c>
    </row>
    <row r="496" spans="1:46" ht="33.75" hidden="1" x14ac:dyDescent="0.25">
      <c r="A496" s="40"/>
      <c r="B496" s="41"/>
      <c r="C496" s="40">
        <v>54</v>
      </c>
      <c r="D496" s="42" t="s">
        <v>1349</v>
      </c>
      <c r="E496" s="147">
        <v>45838</v>
      </c>
      <c r="F496" s="41">
        <v>18400</v>
      </c>
      <c r="G496" s="41">
        <v>2740</v>
      </c>
      <c r="H496" s="69">
        <v>15660</v>
      </c>
      <c r="I496" s="41">
        <v>2438.6</v>
      </c>
      <c r="J496" s="40" t="s">
        <v>914</v>
      </c>
      <c r="K496" s="40" t="s">
        <v>1316</v>
      </c>
      <c r="L496" s="40">
        <v>14</v>
      </c>
      <c r="M496" s="35" t="s">
        <v>244</v>
      </c>
      <c r="N496" s="40"/>
      <c r="O496" s="40"/>
      <c r="P496" s="40"/>
      <c r="Q496" s="40"/>
      <c r="R496" s="40" t="s">
        <v>248</v>
      </c>
      <c r="S496" s="40"/>
      <c r="T496" s="40">
        <v>14</v>
      </c>
      <c r="U496" s="40" t="str">
        <f>Таблица310[[#This Row],[Регистратор.Номенклатура]]</f>
        <v>Исток</v>
      </c>
      <c r="V496" s="45">
        <f>3*Таблица310[[#This Row],[Регистратор.Вес нетто]]/16370</f>
        <v>0.50213805742211359</v>
      </c>
      <c r="W496" s="40" t="s">
        <v>52</v>
      </c>
      <c r="X496" s="40" t="s">
        <v>178</v>
      </c>
      <c r="Y496" s="40">
        <v>9</v>
      </c>
      <c r="Z496" s="103">
        <v>45837</v>
      </c>
      <c r="AA496" s="40"/>
      <c r="AB496" s="40" t="s">
        <v>1355</v>
      </c>
      <c r="AC496" s="40" t="s">
        <v>724</v>
      </c>
      <c r="AD496" s="40" t="s">
        <v>511</v>
      </c>
      <c r="AE496" s="40" t="s">
        <v>1349</v>
      </c>
      <c r="AF496" s="103">
        <v>45838</v>
      </c>
      <c r="AG496" s="40">
        <v>54953</v>
      </c>
      <c r="AH496" s="40">
        <f>VLOOKUP(Таблица310[[#This Row],[№ акта]],'Степень зрелости 2025'!$H$13:$I$583,2,FALSE)</f>
        <v>54</v>
      </c>
      <c r="AI496" s="40">
        <f>VLOOKUP(Таблица310[[#This Row],[№ акта]],$AQ$1:$AT$594,2,FALSE)</f>
        <v>14</v>
      </c>
      <c r="AJ496" s="40" t="str">
        <f>Таблица310[[#This Row],[Регистратор.Номенклатура]]</f>
        <v>Исток</v>
      </c>
      <c r="AK496" s="40" t="str">
        <f>VLOOKUP(Таблица310[[#This Row],[№ акта]],$AQ$1:$AT$594,4,FALSE)</f>
        <v>Агролидер (полив)</v>
      </c>
      <c r="AL496" s="45">
        <f>VLOOKUP(Таблица310[[#This Row],[№ акта]],$AQ$1:$AT$594,3,FALSE)</f>
        <v>0.50213805742211359</v>
      </c>
      <c r="AM496" s="40" t="str">
        <f>IF(Таблица310[[#This Row],[Площадь уборки, га]]=Таблица310[[#This Row],[Площадь уборки до корр]],"нет","да")</f>
        <v>нет</v>
      </c>
      <c r="AN496" s="45">
        <f>Таблица310[[#This Row],[Площадь уборки до корр]]-Таблица310[[#This Row],[Площадь уборки, га]]</f>
        <v>0</v>
      </c>
      <c r="AQ496" t="s">
        <v>1349</v>
      </c>
      <c r="AR496">
        <v>14</v>
      </c>
      <c r="AS496">
        <v>0.50213805742211359</v>
      </c>
      <c r="AT496" t="s">
        <v>52</v>
      </c>
    </row>
    <row r="497" spans="1:46" ht="78.75" hidden="1" x14ac:dyDescent="0.25">
      <c r="A497" s="40"/>
      <c r="B497" s="41"/>
      <c r="C497" s="40">
        <v>53</v>
      </c>
      <c r="D497" s="42" t="s">
        <v>1350</v>
      </c>
      <c r="E497" s="147">
        <v>45837</v>
      </c>
      <c r="F497" s="41">
        <v>29430</v>
      </c>
      <c r="G497" s="41">
        <v>6895</v>
      </c>
      <c r="H497" s="69">
        <v>22535</v>
      </c>
      <c r="I497" s="41">
        <v>6240</v>
      </c>
      <c r="J497" s="40" t="s">
        <v>1167</v>
      </c>
      <c r="K497" s="40" t="s">
        <v>1318</v>
      </c>
      <c r="L497" s="40" t="s">
        <v>1168</v>
      </c>
      <c r="M497" s="35" t="s">
        <v>347</v>
      </c>
      <c r="N497" s="40"/>
      <c r="O497" s="40"/>
      <c r="P497" s="40"/>
      <c r="Q497" s="40"/>
      <c r="R497" s="40" t="s">
        <v>351</v>
      </c>
      <c r="S497" s="40"/>
      <c r="T497" s="40" t="s">
        <v>1168</v>
      </c>
      <c r="U497" s="40" t="str">
        <f>Таблица310[[#This Row],[Регистратор.Номенклатура]]</f>
        <v>Парус</v>
      </c>
      <c r="V497" s="45">
        <f>15*Таблица310[[#This Row],[Регистратор.Вес нетто]]/98790</f>
        <v>1.0469177042210751</v>
      </c>
      <c r="W497" s="40" t="s">
        <v>53</v>
      </c>
      <c r="X497" s="40" t="s">
        <v>178</v>
      </c>
      <c r="Y497" s="40">
        <v>8</v>
      </c>
      <c r="Z497" s="103">
        <v>45837</v>
      </c>
      <c r="AA497" s="40"/>
      <c r="AB497" s="40" t="s">
        <v>1358</v>
      </c>
      <c r="AC497" s="40" t="s">
        <v>724</v>
      </c>
      <c r="AD497" s="40" t="s">
        <v>511</v>
      </c>
      <c r="AE497" s="40" t="s">
        <v>1350</v>
      </c>
      <c r="AF497" s="103">
        <v>45837</v>
      </c>
      <c r="AG497" s="40">
        <v>53</v>
      </c>
      <c r="AH497" s="40">
        <f>VLOOKUP(Таблица310[[#This Row],[№ акта]],'Степень зрелости 2025'!$H$13:$I$583,2,FALSE)</f>
        <v>53</v>
      </c>
      <c r="AI497" s="40" t="str">
        <f>VLOOKUP(Таблица310[[#This Row],[№ акта]],$AQ$1:$AT$594,2,FALSE)</f>
        <v>4.1</v>
      </c>
      <c r="AJ497" s="40" t="str">
        <f>Таблица310[[#This Row],[Регистратор.Номенклатура]]</f>
        <v>Парус</v>
      </c>
      <c r="AK497" s="40" t="str">
        <f>VLOOKUP(Таблица310[[#This Row],[№ акта]],$AQ$1:$AT$594,4,FALSE)</f>
        <v>Колос (полив)</v>
      </c>
      <c r="AL497" s="45">
        <f>VLOOKUP(Таблица310[[#This Row],[№ акта]],$AQ$1:$AT$594,3,FALSE)</f>
        <v>1.0469177042210751</v>
      </c>
      <c r="AM497" s="40" t="str">
        <f>IF(Таблица310[[#This Row],[Площадь уборки, га]]=Таблица310[[#This Row],[Площадь уборки до корр]],"нет","да")</f>
        <v>нет</v>
      </c>
      <c r="AN497" s="45">
        <f>Таблица310[[#This Row],[Площадь уборки до корр]]-Таблица310[[#This Row],[Площадь уборки, га]]</f>
        <v>0</v>
      </c>
      <c r="AQ497" t="s">
        <v>1350</v>
      </c>
      <c r="AR497" t="s">
        <v>1168</v>
      </c>
      <c r="AS497">
        <v>1.0469177042210751</v>
      </c>
      <c r="AT497" t="s">
        <v>53</v>
      </c>
    </row>
    <row r="498" spans="1:46" ht="78.75" hidden="1" x14ac:dyDescent="0.25">
      <c r="A498" s="40"/>
      <c r="B498" s="41"/>
      <c r="C498" s="40">
        <v>48</v>
      </c>
      <c r="D498" s="42" t="s">
        <v>1351</v>
      </c>
      <c r="E498" s="147">
        <v>45837</v>
      </c>
      <c r="F498" s="41">
        <v>22535</v>
      </c>
      <c r="G498" s="41">
        <v>6895</v>
      </c>
      <c r="H498" s="69">
        <v>15640</v>
      </c>
      <c r="I498" s="41">
        <v>6067.6</v>
      </c>
      <c r="J498" s="40" t="s">
        <v>1167</v>
      </c>
      <c r="K498" s="40" t="s">
        <v>909</v>
      </c>
      <c r="L498" s="40" t="s">
        <v>1168</v>
      </c>
      <c r="M498" s="35" t="s">
        <v>347</v>
      </c>
      <c r="N498" s="40"/>
      <c r="O498" s="40"/>
      <c r="P498" s="40"/>
      <c r="Q498" s="40"/>
      <c r="R498" s="40" t="s">
        <v>351</v>
      </c>
      <c r="S498" s="40"/>
      <c r="T498" s="40" t="s">
        <v>1168</v>
      </c>
      <c r="U498" s="40" t="str">
        <f>Таблица310[[#This Row],[Регистратор.Номенклатура]]</f>
        <v>Тристар</v>
      </c>
      <c r="V498" s="45">
        <f>15*Таблица310[[#This Row],[Регистратор.Вес нетто]]/98790</f>
        <v>1.0469177042210751</v>
      </c>
      <c r="W498" s="40" t="s">
        <v>53</v>
      </c>
      <c r="X498" s="40" t="s">
        <v>178</v>
      </c>
      <c r="Y498" s="40">
        <v>8</v>
      </c>
      <c r="Z498" s="103">
        <v>45837</v>
      </c>
      <c r="AA498" s="40"/>
      <c r="AB498" s="40" t="s">
        <v>1358</v>
      </c>
      <c r="AC498" s="40" t="s">
        <v>419</v>
      </c>
      <c r="AD498" s="40" t="s">
        <v>511</v>
      </c>
      <c r="AE498" s="40" t="s">
        <v>1351</v>
      </c>
      <c r="AF498" s="103">
        <v>45837</v>
      </c>
      <c r="AG498" s="40">
        <v>53</v>
      </c>
      <c r="AH498" s="40">
        <f>VLOOKUP(Таблица310[[#This Row],[№ акта]],'Степень зрелости 2025'!$H$13:$I$583,2,FALSE)</f>
        <v>48</v>
      </c>
      <c r="AI498" s="40" t="str">
        <f>VLOOKUP(Таблица310[[#This Row],[№ акта]],$AQ$1:$AT$594,2,FALSE)</f>
        <v>4.1</v>
      </c>
      <c r="AJ498" s="40" t="str">
        <f>Таблица310[[#This Row],[Регистратор.Номенклатура]]</f>
        <v>Тристар</v>
      </c>
      <c r="AK498" s="40" t="str">
        <f>VLOOKUP(Таблица310[[#This Row],[№ акта]],$AQ$1:$AT$594,4,FALSE)</f>
        <v>Колос (полив)</v>
      </c>
      <c r="AL498" s="45">
        <f>VLOOKUP(Таблица310[[#This Row],[№ акта]],$AQ$1:$AT$594,3,FALSE)</f>
        <v>1.0469177042210751</v>
      </c>
      <c r="AM498" s="40" t="str">
        <f>IF(Таблица310[[#This Row],[Площадь уборки, га]]=Таблица310[[#This Row],[Площадь уборки до корр]],"нет","да")</f>
        <v>нет</v>
      </c>
      <c r="AN498" s="45">
        <f>Таблица310[[#This Row],[Площадь уборки до корр]]-Таблица310[[#This Row],[Площадь уборки, га]]</f>
        <v>0</v>
      </c>
      <c r="AQ498" t="s">
        <v>1351</v>
      </c>
      <c r="AR498" t="s">
        <v>1168</v>
      </c>
      <c r="AS498">
        <v>1.0469177042210751</v>
      </c>
      <c r="AT498" t="s">
        <v>53</v>
      </c>
    </row>
    <row r="499" spans="1:46" ht="33.75" hidden="1" x14ac:dyDescent="0.25">
      <c r="A499" s="40"/>
      <c r="B499" s="41"/>
      <c r="C499" s="40">
        <v>49</v>
      </c>
      <c r="D499" s="42" t="s">
        <v>1352</v>
      </c>
      <c r="E499" s="147">
        <v>45838</v>
      </c>
      <c r="F499" s="41">
        <v>23370</v>
      </c>
      <c r="G499" s="41">
        <v>8540</v>
      </c>
      <c r="H499" s="69">
        <v>14830</v>
      </c>
      <c r="I499" s="41">
        <v>7643.3</v>
      </c>
      <c r="J499" s="40" t="s">
        <v>914</v>
      </c>
      <c r="K499" s="40" t="s">
        <v>1316</v>
      </c>
      <c r="L499" s="40">
        <v>14</v>
      </c>
      <c r="M499" s="35" t="s">
        <v>262</v>
      </c>
      <c r="N499" s="40"/>
      <c r="O499" s="40"/>
      <c r="P499" s="40"/>
      <c r="Q499" s="40"/>
      <c r="R499" s="40" t="s">
        <v>266</v>
      </c>
      <c r="S499" s="40"/>
      <c r="T499" s="40">
        <v>14</v>
      </c>
      <c r="U499" s="40" t="str">
        <f>Таблица310[[#This Row],[Регистратор.Номенклатура]]</f>
        <v>Исток</v>
      </c>
      <c r="V499" s="45">
        <f>4*Таблица310[[#This Row],[Регистратор.Вес нетто]]/25630</f>
        <v>1.3328131096371441</v>
      </c>
      <c r="W499" s="40" t="s">
        <v>52</v>
      </c>
      <c r="X499" s="40" t="s">
        <v>178</v>
      </c>
      <c r="Y499" s="40">
        <v>10</v>
      </c>
      <c r="Z499" s="103">
        <v>45838</v>
      </c>
      <c r="AA499" s="40"/>
      <c r="AB499" s="40" t="s">
        <v>1355</v>
      </c>
      <c r="AC499" s="40" t="s">
        <v>419</v>
      </c>
      <c r="AD499" s="40" t="s">
        <v>511</v>
      </c>
      <c r="AE499" s="40" t="s">
        <v>1352</v>
      </c>
      <c r="AF499" s="103">
        <v>45838</v>
      </c>
      <c r="AG499" s="40">
        <v>54959</v>
      </c>
      <c r="AH499" s="40">
        <f>VLOOKUP(Таблица310[[#This Row],[№ акта]],'Степень зрелости 2025'!$H$13:$I$583,2,FALSE)</f>
        <v>49</v>
      </c>
      <c r="AI499" s="40">
        <f>VLOOKUP(Таблица310[[#This Row],[№ акта]],$AQ$1:$AT$594,2,FALSE)</f>
        <v>14</v>
      </c>
      <c r="AJ499" s="40" t="str">
        <f>Таблица310[[#This Row],[Регистратор.Номенклатура]]</f>
        <v>Исток</v>
      </c>
      <c r="AK499" s="40" t="str">
        <f>VLOOKUP(Таблица310[[#This Row],[№ акта]],$AQ$1:$AT$594,4,FALSE)</f>
        <v>Агролидер (полив)</v>
      </c>
      <c r="AL499" s="45">
        <f>VLOOKUP(Таблица310[[#This Row],[№ акта]],$AQ$1:$AT$594,3,FALSE)</f>
        <v>1.3328131096371441</v>
      </c>
      <c r="AM499" s="40" t="str">
        <f>IF(Таблица310[[#This Row],[Площадь уборки, га]]=Таблица310[[#This Row],[Площадь уборки до корр]],"нет","да")</f>
        <v>нет</v>
      </c>
      <c r="AN499" s="45">
        <f>Таблица310[[#This Row],[Площадь уборки до корр]]-Таблица310[[#This Row],[Площадь уборки, га]]</f>
        <v>0</v>
      </c>
      <c r="AQ499" t="s">
        <v>1352</v>
      </c>
      <c r="AR499">
        <v>14</v>
      </c>
      <c r="AS499">
        <v>1.3328131096371441</v>
      </c>
      <c r="AT499" t="s">
        <v>52</v>
      </c>
    </row>
    <row r="500" spans="1:46" ht="33.75" hidden="1" x14ac:dyDescent="0.25">
      <c r="A500" s="40"/>
      <c r="B500" s="41"/>
      <c r="C500" s="40">
        <v>54</v>
      </c>
      <c r="D500" s="42" t="s">
        <v>1353</v>
      </c>
      <c r="E500" s="147">
        <v>45838</v>
      </c>
      <c r="F500" s="41">
        <v>23950</v>
      </c>
      <c r="G500" s="41">
        <v>8390</v>
      </c>
      <c r="H500" s="69">
        <v>15560</v>
      </c>
      <c r="I500" s="41">
        <v>7215.4</v>
      </c>
      <c r="J500" s="40" t="s">
        <v>914</v>
      </c>
      <c r="K500" s="40" t="s">
        <v>1316</v>
      </c>
      <c r="L500" s="40">
        <v>14</v>
      </c>
      <c r="M500" s="35" t="s">
        <v>111</v>
      </c>
      <c r="N500" s="40"/>
      <c r="O500" s="40"/>
      <c r="P500" s="40"/>
      <c r="Q500" s="40"/>
      <c r="R500" s="40" t="s">
        <v>114</v>
      </c>
      <c r="S500" s="40"/>
      <c r="T500" s="40">
        <v>14</v>
      </c>
      <c r="U500" s="40" t="str">
        <f>Таблица310[[#This Row],[Регистратор.Номенклатура]]</f>
        <v>Исток</v>
      </c>
      <c r="V500" s="45">
        <f>4*Таблица310[[#This Row],[Регистратор.Вес нетто]]/25630</f>
        <v>1.3094030433086228</v>
      </c>
      <c r="W500" s="40" t="s">
        <v>52</v>
      </c>
      <c r="X500" s="40" t="s">
        <v>178</v>
      </c>
      <c r="Y500" s="40">
        <v>10</v>
      </c>
      <c r="Z500" s="103">
        <v>45838</v>
      </c>
      <c r="AA500" s="40"/>
      <c r="AB500" s="40" t="s">
        <v>1355</v>
      </c>
      <c r="AC500" s="40" t="s">
        <v>724</v>
      </c>
      <c r="AD500" s="40" t="s">
        <v>511</v>
      </c>
      <c r="AE500" s="40" t="s">
        <v>1353</v>
      </c>
      <c r="AF500" s="103">
        <v>45838</v>
      </c>
      <c r="AG500" s="40">
        <v>54960</v>
      </c>
      <c r="AH500" s="40">
        <f>VLOOKUP(Таблица310[[#This Row],[№ акта]],'Степень зрелости 2025'!$H$13:$I$583,2,FALSE)</f>
        <v>54</v>
      </c>
      <c r="AI500" s="40">
        <f>VLOOKUP(Таблица310[[#This Row],[№ акта]],$AQ$1:$AT$594,2,FALSE)</f>
        <v>14</v>
      </c>
      <c r="AJ500" s="40" t="str">
        <f>Таблица310[[#This Row],[Регистратор.Номенклатура]]</f>
        <v>Исток</v>
      </c>
      <c r="AK500" s="40" t="str">
        <f>VLOOKUP(Таблица310[[#This Row],[№ акта]],$AQ$1:$AT$594,4,FALSE)</f>
        <v>Агролидер (полив)</v>
      </c>
      <c r="AL500" s="45">
        <f>VLOOKUP(Таблица310[[#This Row],[№ акта]],$AQ$1:$AT$594,3,FALSE)</f>
        <v>1.3094030433086228</v>
      </c>
      <c r="AM500" s="40" t="str">
        <f>IF(Таблица310[[#This Row],[Площадь уборки, га]]=Таблица310[[#This Row],[Площадь уборки до корр]],"нет","да")</f>
        <v>нет</v>
      </c>
      <c r="AN500" s="45">
        <f>Таблица310[[#This Row],[Площадь уборки до корр]]-Таблица310[[#This Row],[Площадь уборки, га]]</f>
        <v>0</v>
      </c>
      <c r="AQ500" t="s">
        <v>1353</v>
      </c>
      <c r="AR500">
        <v>14</v>
      </c>
      <c r="AS500">
        <v>1.3094030433086228</v>
      </c>
      <c r="AT500" t="s">
        <v>52</v>
      </c>
    </row>
    <row r="501" spans="1:46" ht="33.75" hidden="1" x14ac:dyDescent="0.25">
      <c r="A501" s="40"/>
      <c r="B501" s="41"/>
      <c r="C501" s="40">
        <v>53</v>
      </c>
      <c r="D501" s="42" t="s">
        <v>1354</v>
      </c>
      <c r="E501" s="147">
        <v>45838</v>
      </c>
      <c r="F501" s="41">
        <v>22880</v>
      </c>
      <c r="G501" s="41">
        <v>8700</v>
      </c>
      <c r="H501" s="69">
        <v>14180</v>
      </c>
      <c r="I501" s="41">
        <v>7395</v>
      </c>
      <c r="J501" s="40" t="s">
        <v>914</v>
      </c>
      <c r="K501" s="40" t="s">
        <v>1316</v>
      </c>
      <c r="L501" s="40">
        <v>14</v>
      </c>
      <c r="M501" s="35" t="s">
        <v>79</v>
      </c>
      <c r="N501" s="40"/>
      <c r="O501" s="40"/>
      <c r="P501" s="40"/>
      <c r="Q501" s="40"/>
      <c r="R501" s="40" t="s">
        <v>80</v>
      </c>
      <c r="S501" s="40"/>
      <c r="T501" s="40">
        <v>14</v>
      </c>
      <c r="U501" s="40" t="str">
        <f>Таблица310[[#This Row],[Регистратор.Номенклатура]]</f>
        <v>Исток</v>
      </c>
      <c r="V501" s="45">
        <f>4*Таблица310[[#This Row],[Регистратор.Вес нетто]]/25630</f>
        <v>1.3577838470542334</v>
      </c>
      <c r="W501" s="40" t="s">
        <v>52</v>
      </c>
      <c r="X501" s="40" t="s">
        <v>178</v>
      </c>
      <c r="Y501" s="40">
        <v>10</v>
      </c>
      <c r="Z501" s="103">
        <v>45838</v>
      </c>
      <c r="AA501" s="40"/>
      <c r="AB501" s="40" t="s">
        <v>1355</v>
      </c>
      <c r="AC501" s="40" t="s">
        <v>724</v>
      </c>
      <c r="AD501" s="40" t="s">
        <v>511</v>
      </c>
      <c r="AE501" s="40" t="s">
        <v>1354</v>
      </c>
      <c r="AF501" s="103">
        <v>45838</v>
      </c>
      <c r="AG501" s="40">
        <v>54961</v>
      </c>
      <c r="AH501" s="40">
        <f>VLOOKUP(Таблица310[[#This Row],[№ акта]],'Степень зрелости 2025'!$H$13:$I$583,2,FALSE)</f>
        <v>53</v>
      </c>
      <c r="AI501" s="40">
        <f>VLOOKUP(Таблица310[[#This Row],[№ акта]],$AQ$1:$AT$594,2,FALSE)</f>
        <v>14</v>
      </c>
      <c r="AJ501" s="40" t="str">
        <f>Таблица310[[#This Row],[Регистратор.Номенклатура]]</f>
        <v>Исток</v>
      </c>
      <c r="AK501" s="40" t="str">
        <f>VLOOKUP(Таблица310[[#This Row],[№ акта]],$AQ$1:$AT$594,4,FALSE)</f>
        <v>Агролидер (полив)</v>
      </c>
      <c r="AL501" s="45">
        <f>VLOOKUP(Таблица310[[#This Row],[№ акта]],$AQ$1:$AT$594,3,FALSE)</f>
        <v>1.3577838470542334</v>
      </c>
      <c r="AM501" s="40" t="str">
        <f>IF(Таблица310[[#This Row],[Площадь уборки, га]]=Таблица310[[#This Row],[Площадь уборки до корр]],"нет","да")</f>
        <v>нет</v>
      </c>
      <c r="AN501" s="45">
        <f>Таблица310[[#This Row],[Площадь уборки до корр]]-Таблица310[[#This Row],[Площадь уборки, га]]</f>
        <v>0</v>
      </c>
      <c r="AQ501" t="s">
        <v>1354</v>
      </c>
      <c r="AR501">
        <v>14</v>
      </c>
      <c r="AS501">
        <v>1.3577838470542334</v>
      </c>
      <c r="AT501" t="s">
        <v>52</v>
      </c>
    </row>
    <row r="502" spans="1:46" ht="22.5" hidden="1" x14ac:dyDescent="0.25">
      <c r="A502" s="40"/>
      <c r="B502" s="41"/>
      <c r="C502" s="40">
        <v>55</v>
      </c>
      <c r="D502" s="42" t="s">
        <v>1380</v>
      </c>
      <c r="E502" s="147">
        <v>45839</v>
      </c>
      <c r="F502" s="41">
        <v>27500</v>
      </c>
      <c r="G502" s="41">
        <v>13680</v>
      </c>
      <c r="H502" s="69">
        <v>13820</v>
      </c>
      <c r="I502" s="41">
        <v>11901.6</v>
      </c>
      <c r="J502" s="40" t="s">
        <v>1167</v>
      </c>
      <c r="K502" s="40" t="s">
        <v>909</v>
      </c>
      <c r="L502" s="40" t="s">
        <v>1168</v>
      </c>
      <c r="M502" s="35" t="s">
        <v>212</v>
      </c>
      <c r="N502" s="40"/>
      <c r="O502" s="40"/>
      <c r="P502" s="40"/>
      <c r="Q502" s="40"/>
      <c r="R502" s="40" t="s">
        <v>216</v>
      </c>
      <c r="S502" s="40"/>
      <c r="T502" s="40" t="s">
        <v>1168</v>
      </c>
      <c r="U502" s="40" t="str">
        <f>Таблица310[[#This Row],[Регистратор.Номенклатура]]</f>
        <v>Тристар</v>
      </c>
      <c r="V502" s="45">
        <f>27*Таблица310[[#This Row],[Регистратор.Вес нетто]]/176530</f>
        <v>2.092335580354614</v>
      </c>
      <c r="W502" s="40" t="s">
        <v>53</v>
      </c>
      <c r="X502" s="40" t="s">
        <v>178</v>
      </c>
      <c r="Y502" s="40">
        <v>9</v>
      </c>
      <c r="Z502" s="103">
        <v>45839</v>
      </c>
      <c r="AA502" s="40"/>
      <c r="AB502" s="40"/>
      <c r="AC502" s="40" t="s">
        <v>724</v>
      </c>
      <c r="AD502" s="40" t="s">
        <v>511</v>
      </c>
      <c r="AE502" s="40" t="s">
        <v>1380</v>
      </c>
      <c r="AF502" s="103">
        <v>45839</v>
      </c>
      <c r="AG502" s="40">
        <v>59</v>
      </c>
      <c r="AH502" s="40">
        <f>VLOOKUP(Таблица310[[#This Row],[№ акта]],'Степень зрелости 2025'!$H$13:$I$583,2,FALSE)</f>
        <v>55</v>
      </c>
      <c r="AI502" s="40" t="str">
        <f>VLOOKUP(Таблица310[[#This Row],[№ акта]],$AQ$1:$AT$594,2,FALSE)</f>
        <v>4.1</v>
      </c>
      <c r="AJ502" s="40" t="str">
        <f>Таблица310[[#This Row],[Регистратор.Номенклатура]]</f>
        <v>Тристар</v>
      </c>
      <c r="AK502" s="40" t="str">
        <f>VLOOKUP(Таблица310[[#This Row],[№ акта]],$AQ$1:$AT$594,4,FALSE)</f>
        <v>Колос (полив)</v>
      </c>
      <c r="AL502" s="45">
        <f>VLOOKUP(Таблица310[[#This Row],[№ акта]],$AQ$1:$AT$594,3,FALSE)</f>
        <v>2.092335580354614</v>
      </c>
      <c r="AM502" s="40" t="str">
        <f>IF(Таблица310[[#This Row],[Площадь уборки, га]]=Таблица310[[#This Row],[Площадь уборки до корр]],"нет","да")</f>
        <v>нет</v>
      </c>
      <c r="AN502" s="45">
        <f>Таблица310[[#This Row],[Площадь уборки до корр]]-Таблица310[[#This Row],[Площадь уборки, га]]</f>
        <v>0</v>
      </c>
      <c r="AQ502" t="s">
        <v>1380</v>
      </c>
      <c r="AR502" t="s">
        <v>1168</v>
      </c>
      <c r="AS502">
        <v>2.092335580354614</v>
      </c>
      <c r="AT502" t="s">
        <v>53</v>
      </c>
    </row>
    <row r="503" spans="1:46" ht="33.75" hidden="1" x14ac:dyDescent="0.25">
      <c r="A503" s="40"/>
      <c r="B503" s="41"/>
      <c r="C503" s="40">
        <v>53</v>
      </c>
      <c r="D503" s="42" t="s">
        <v>1381</v>
      </c>
      <c r="E503" s="147">
        <v>45839</v>
      </c>
      <c r="F503" s="41">
        <v>28870</v>
      </c>
      <c r="G503" s="41">
        <v>13910</v>
      </c>
      <c r="H503" s="69">
        <v>14960</v>
      </c>
      <c r="I503" s="41">
        <v>12658.1</v>
      </c>
      <c r="J503" s="40" t="s">
        <v>1167</v>
      </c>
      <c r="K503" s="40" t="s">
        <v>909</v>
      </c>
      <c r="L503" s="40" t="s">
        <v>1168</v>
      </c>
      <c r="M503" s="35" t="s">
        <v>1253</v>
      </c>
      <c r="N503" s="40"/>
      <c r="O503" s="40"/>
      <c r="P503" s="40"/>
      <c r="Q503" s="40"/>
      <c r="R503" s="40" t="s">
        <v>270</v>
      </c>
      <c r="S503" s="40"/>
      <c r="T503" s="40" t="s">
        <v>1168</v>
      </c>
      <c r="U503" s="40" t="str">
        <f>Таблица310[[#This Row],[Регистратор.Номенклатура]]</f>
        <v>Тристар</v>
      </c>
      <c r="V503" s="45">
        <f>27*Таблица310[[#This Row],[Регистратор.Вес нетто]]/176530</f>
        <v>2.1275137370418626</v>
      </c>
      <c r="W503" s="40" t="s">
        <v>53</v>
      </c>
      <c r="X503" s="40" t="s">
        <v>178</v>
      </c>
      <c r="Y503" s="40">
        <v>9</v>
      </c>
      <c r="Z503" s="103">
        <v>45839</v>
      </c>
      <c r="AA503" s="40"/>
      <c r="AB503" s="40"/>
      <c r="AC503" s="40" t="s">
        <v>724</v>
      </c>
      <c r="AD503" s="40" t="s">
        <v>511</v>
      </c>
      <c r="AE503" s="40" t="s">
        <v>1381</v>
      </c>
      <c r="AF503" s="103">
        <v>45839</v>
      </c>
      <c r="AG503" s="40">
        <v>58</v>
      </c>
      <c r="AH503" s="40" t="e">
        <f>VLOOKUP(Таблица310[[#This Row],[№ акта]],'Степень зрелости 2025'!$H$13:$I$583,2,FALSE)</f>
        <v>#N/A</v>
      </c>
      <c r="AI503" s="40" t="str">
        <f>VLOOKUP(Таблица310[[#This Row],[№ акта]],$AQ$1:$AT$594,2,FALSE)</f>
        <v>4.1</v>
      </c>
      <c r="AJ503" s="40" t="str">
        <f>Таблица310[[#This Row],[Регистратор.Номенклатура]]</f>
        <v>Тристар</v>
      </c>
      <c r="AK503" s="40" t="str">
        <f>VLOOKUP(Таблица310[[#This Row],[№ акта]],$AQ$1:$AT$594,4,FALSE)</f>
        <v>Колос (полив)</v>
      </c>
      <c r="AL503" s="45">
        <f>VLOOKUP(Таблица310[[#This Row],[№ акта]],$AQ$1:$AT$594,3,FALSE)</f>
        <v>2.1275137370418626</v>
      </c>
      <c r="AM503" s="40" t="str">
        <f>IF(Таблица310[[#This Row],[Площадь уборки, га]]=Таблица310[[#This Row],[Площадь уборки до корр]],"нет","да")</f>
        <v>нет</v>
      </c>
      <c r="AN503" s="45">
        <f>Таблица310[[#This Row],[Площадь уборки до корр]]-Таблица310[[#This Row],[Площадь уборки, га]]</f>
        <v>0</v>
      </c>
      <c r="AQ503" t="s">
        <v>1381</v>
      </c>
      <c r="AR503" t="s">
        <v>1168</v>
      </c>
      <c r="AS503">
        <v>2.1275137370418626</v>
      </c>
      <c r="AT503" t="s">
        <v>53</v>
      </c>
    </row>
    <row r="504" spans="1:46" ht="22.5" hidden="1" x14ac:dyDescent="0.25">
      <c r="A504" s="40"/>
      <c r="B504" s="41"/>
      <c r="C504" s="40">
        <v>53</v>
      </c>
      <c r="D504" s="42" t="s">
        <v>1382</v>
      </c>
      <c r="E504" s="147">
        <v>45839</v>
      </c>
      <c r="F504" s="41">
        <v>29640</v>
      </c>
      <c r="G504" s="41">
        <v>13890</v>
      </c>
      <c r="H504" s="69">
        <v>15750</v>
      </c>
      <c r="I504" s="41">
        <v>11667.6</v>
      </c>
      <c r="J504" s="40" t="s">
        <v>1167</v>
      </c>
      <c r="K504" s="40" t="s">
        <v>909</v>
      </c>
      <c r="L504" s="40" t="s">
        <v>1168</v>
      </c>
      <c r="M504" s="35" t="s">
        <v>1151</v>
      </c>
      <c r="N504" s="40"/>
      <c r="O504" s="40"/>
      <c r="P504" s="40"/>
      <c r="Q504" s="40"/>
      <c r="R504" s="40" t="s">
        <v>145</v>
      </c>
      <c r="S504" s="40"/>
      <c r="T504" s="40" t="s">
        <v>1168</v>
      </c>
      <c r="U504" s="40" t="str">
        <f>Таблица310[[#This Row],[Регистратор.Номенклатура]]</f>
        <v>Тристар</v>
      </c>
      <c r="V504" s="45">
        <f>27*Таблица310[[#This Row],[Регистратор.Вес нетто]]/176530</f>
        <v>2.1244547668951452</v>
      </c>
      <c r="W504" s="40" t="s">
        <v>53</v>
      </c>
      <c r="X504" s="40" t="s">
        <v>178</v>
      </c>
      <c r="Y504" s="40">
        <v>9</v>
      </c>
      <c r="Z504" s="103">
        <v>45839</v>
      </c>
      <c r="AA504" s="40"/>
      <c r="AB504" s="40"/>
      <c r="AC504" s="40" t="s">
        <v>724</v>
      </c>
      <c r="AD504" s="40" t="s">
        <v>511</v>
      </c>
      <c r="AE504" s="40" t="s">
        <v>1382</v>
      </c>
      <c r="AF504" s="103">
        <v>45839</v>
      </c>
      <c r="AG504" s="40">
        <v>56</v>
      </c>
      <c r="AH504" s="40" t="e">
        <f>VLOOKUP(Таблица310[[#This Row],[№ акта]],'Степень зрелости 2025'!$H$13:$I$583,2,FALSE)</f>
        <v>#N/A</v>
      </c>
      <c r="AI504" s="40" t="str">
        <f>VLOOKUP(Таблица310[[#This Row],[№ акта]],$AQ$1:$AT$594,2,FALSE)</f>
        <v>4.1</v>
      </c>
      <c r="AJ504" s="40" t="str">
        <f>Таблица310[[#This Row],[Регистратор.Номенклатура]]</f>
        <v>Тристар</v>
      </c>
      <c r="AK504" s="40" t="str">
        <f>VLOOKUP(Таблица310[[#This Row],[№ акта]],$AQ$1:$AT$594,4,FALSE)</f>
        <v>Колос (полив)</v>
      </c>
      <c r="AL504" s="45">
        <f>VLOOKUP(Таблица310[[#This Row],[№ акта]],$AQ$1:$AT$594,3,FALSE)</f>
        <v>2.1244547668951452</v>
      </c>
      <c r="AM504" s="40" t="str">
        <f>IF(Таблица310[[#This Row],[Площадь уборки, га]]=Таблица310[[#This Row],[Площадь уборки до корр]],"нет","да")</f>
        <v>нет</v>
      </c>
      <c r="AN504" s="45">
        <f>Таблица310[[#This Row],[Площадь уборки до корр]]-Таблица310[[#This Row],[Площадь уборки, га]]</f>
        <v>0</v>
      </c>
      <c r="AQ504" t="s">
        <v>1382</v>
      </c>
      <c r="AR504" t="s">
        <v>1168</v>
      </c>
      <c r="AS504">
        <v>2.1244547668951452</v>
      </c>
      <c r="AT504" t="s">
        <v>53</v>
      </c>
    </row>
    <row r="505" spans="1:46" ht="22.5" hidden="1" x14ac:dyDescent="0.25">
      <c r="A505" s="40"/>
      <c r="B505" s="41"/>
      <c r="C505" s="40">
        <v>52</v>
      </c>
      <c r="D505" s="42" t="s">
        <v>1383</v>
      </c>
      <c r="E505" s="147">
        <v>45839</v>
      </c>
      <c r="F505" s="41">
        <v>28640</v>
      </c>
      <c r="G505" s="41">
        <v>13860</v>
      </c>
      <c r="H505" s="69">
        <v>14780</v>
      </c>
      <c r="I505" s="41">
        <v>12335.4</v>
      </c>
      <c r="J505" s="40" t="s">
        <v>1167</v>
      </c>
      <c r="K505" s="40" t="s">
        <v>909</v>
      </c>
      <c r="L505" s="40" t="s">
        <v>1168</v>
      </c>
      <c r="M505" s="35" t="s">
        <v>272</v>
      </c>
      <c r="N505" s="40"/>
      <c r="O505" s="40"/>
      <c r="P505" s="40"/>
      <c r="Q505" s="40"/>
      <c r="R505" s="40" t="s">
        <v>276</v>
      </c>
      <c r="S505" s="40"/>
      <c r="T505" s="40" t="s">
        <v>1168</v>
      </c>
      <c r="U505" s="40" t="str">
        <f>Таблица310[[#This Row],[Регистратор.Номенклатура]]</f>
        <v>Тристар</v>
      </c>
      <c r="V505" s="45">
        <f>27*Таблица310[[#This Row],[Регистратор.Вес нетто]]/176530</f>
        <v>2.1198663116750693</v>
      </c>
      <c r="W505" s="40" t="s">
        <v>53</v>
      </c>
      <c r="X505" s="40" t="s">
        <v>178</v>
      </c>
      <c r="Y505" s="40">
        <v>9</v>
      </c>
      <c r="Z505" s="103">
        <v>45839</v>
      </c>
      <c r="AA505" s="40"/>
      <c r="AB505" s="40"/>
      <c r="AC505" s="40" t="s">
        <v>419</v>
      </c>
      <c r="AD505" s="40" t="s">
        <v>511</v>
      </c>
      <c r="AE505" s="40" t="s">
        <v>1383</v>
      </c>
      <c r="AF505" s="103">
        <v>45839</v>
      </c>
      <c r="AG505" s="40">
        <v>60</v>
      </c>
      <c r="AH505" s="40" t="e">
        <f>VLOOKUP(Таблица310[[#This Row],[№ акта]],'Степень зрелости 2025'!$H$13:$I$583,2,FALSE)</f>
        <v>#N/A</v>
      </c>
      <c r="AI505" s="40" t="str">
        <f>VLOOKUP(Таблица310[[#This Row],[№ акта]],$AQ$1:$AT$594,2,FALSE)</f>
        <v>4.1</v>
      </c>
      <c r="AJ505" s="40" t="str">
        <f>Таблица310[[#This Row],[Регистратор.Номенклатура]]</f>
        <v>Тристар</v>
      </c>
      <c r="AK505" s="40" t="str">
        <f>VLOOKUP(Таблица310[[#This Row],[№ акта]],$AQ$1:$AT$594,4,FALSE)</f>
        <v>Колос (полив)</v>
      </c>
      <c r="AL505" s="45">
        <f>VLOOKUP(Таблица310[[#This Row],[№ акта]],$AQ$1:$AT$594,3,FALSE)</f>
        <v>2.1198663116750693</v>
      </c>
      <c r="AM505" s="40" t="str">
        <f>IF(Таблица310[[#This Row],[Площадь уборки, га]]=Таблица310[[#This Row],[Площадь уборки до корр]],"нет","да")</f>
        <v>нет</v>
      </c>
      <c r="AN505" s="45">
        <f>Таблица310[[#This Row],[Площадь уборки до корр]]-Таблица310[[#This Row],[Площадь уборки, га]]</f>
        <v>0</v>
      </c>
      <c r="AQ505" t="s">
        <v>1383</v>
      </c>
      <c r="AR505" t="s">
        <v>1168</v>
      </c>
      <c r="AS505">
        <v>2.1198663116750693</v>
      </c>
      <c r="AT505" t="s">
        <v>53</v>
      </c>
    </row>
    <row r="506" spans="1:46" ht="22.5" hidden="1" x14ac:dyDescent="0.25">
      <c r="A506" s="40"/>
      <c r="B506" s="41"/>
      <c r="C506" s="40">
        <v>55</v>
      </c>
      <c r="D506" s="42" t="s">
        <v>1384</v>
      </c>
      <c r="E506" s="147">
        <v>45839</v>
      </c>
      <c r="F506" s="41">
        <v>29000</v>
      </c>
      <c r="G506" s="41">
        <v>13850</v>
      </c>
      <c r="H506" s="69">
        <v>15150</v>
      </c>
      <c r="I506" s="41">
        <v>11772.5</v>
      </c>
      <c r="J506" s="40" t="s">
        <v>1167</v>
      </c>
      <c r="K506" s="40" t="s">
        <v>909</v>
      </c>
      <c r="L506" s="40" t="s">
        <v>1168</v>
      </c>
      <c r="M506" s="35" t="s">
        <v>1461</v>
      </c>
      <c r="N506" s="40"/>
      <c r="O506" s="40"/>
      <c r="P506" s="40"/>
      <c r="Q506" s="40"/>
      <c r="R506" s="40" t="s">
        <v>149</v>
      </c>
      <c r="S506" s="40"/>
      <c r="T506" s="40" t="s">
        <v>1168</v>
      </c>
      <c r="U506" s="40" t="str">
        <f>Таблица310[[#This Row],[Регистратор.Номенклатура]]</f>
        <v>Тристар</v>
      </c>
      <c r="V506" s="45">
        <f>27*Таблица310[[#This Row],[Регистратор.Вес нетто]]/176530</f>
        <v>2.1183368266017109</v>
      </c>
      <c r="W506" s="40" t="s">
        <v>53</v>
      </c>
      <c r="X506" s="40" t="s">
        <v>178</v>
      </c>
      <c r="Y506" s="40">
        <v>9</v>
      </c>
      <c r="Z506" s="103">
        <v>45839</v>
      </c>
      <c r="AA506" s="40"/>
      <c r="AB506" s="40"/>
      <c r="AC506" s="40" t="s">
        <v>724</v>
      </c>
      <c r="AD506" s="40" t="s">
        <v>511</v>
      </c>
      <c r="AE506" s="40" t="s">
        <v>1384</v>
      </c>
      <c r="AF506" s="103">
        <v>45839</v>
      </c>
      <c r="AG506" s="40">
        <v>61</v>
      </c>
      <c r="AH506" s="40">
        <f>VLOOKUP(Таблица310[[#This Row],[№ акта]],'Степень зрелости 2025'!$H$13:$I$583,2,FALSE)</f>
        <v>55</v>
      </c>
      <c r="AI506" s="40" t="str">
        <f>VLOOKUP(Таблица310[[#This Row],[№ акта]],$AQ$1:$AT$594,2,FALSE)</f>
        <v>4.1</v>
      </c>
      <c r="AJ506" s="40" t="str">
        <f>Таблица310[[#This Row],[Регистратор.Номенклатура]]</f>
        <v>Тристар</v>
      </c>
      <c r="AK506" s="40" t="str">
        <f>VLOOKUP(Таблица310[[#This Row],[№ акта]],$AQ$1:$AT$594,4,FALSE)</f>
        <v>Колос (полив)</v>
      </c>
      <c r="AL506" s="45">
        <f>VLOOKUP(Таблица310[[#This Row],[№ акта]],$AQ$1:$AT$594,3,FALSE)</f>
        <v>2.1183368266017109</v>
      </c>
      <c r="AM506" s="40" t="str">
        <f>IF(Таблица310[[#This Row],[Площадь уборки, га]]=Таблица310[[#This Row],[Площадь уборки до корр]],"нет","да")</f>
        <v>нет</v>
      </c>
      <c r="AN506" s="45">
        <f>Таблица310[[#This Row],[Площадь уборки до корр]]-Таблица310[[#This Row],[Площадь уборки, га]]</f>
        <v>0</v>
      </c>
      <c r="AQ506" t="s">
        <v>1384</v>
      </c>
      <c r="AR506" t="s">
        <v>1168</v>
      </c>
      <c r="AS506">
        <v>2.1183368266017109</v>
      </c>
      <c r="AT506" t="s">
        <v>53</v>
      </c>
    </row>
    <row r="507" spans="1:46" ht="33.75" hidden="1" x14ac:dyDescent="0.25">
      <c r="A507" s="40"/>
      <c r="B507" s="41"/>
      <c r="C507" s="40">
        <v>53</v>
      </c>
      <c r="D507" s="42" t="s">
        <v>1385</v>
      </c>
      <c r="E507" s="147">
        <v>45840</v>
      </c>
      <c r="F507" s="41">
        <v>28630</v>
      </c>
      <c r="G507" s="41">
        <v>13670</v>
      </c>
      <c r="H507" s="69">
        <v>14960</v>
      </c>
      <c r="I507" s="41">
        <v>11551.1</v>
      </c>
      <c r="J507" s="40" t="s">
        <v>1167</v>
      </c>
      <c r="K507" s="40" t="s">
        <v>909</v>
      </c>
      <c r="L507" s="40" t="s">
        <v>1168</v>
      </c>
      <c r="M507" s="35" t="s">
        <v>1367</v>
      </c>
      <c r="N507" s="40"/>
      <c r="O507" s="40"/>
      <c r="P507" s="40"/>
      <c r="Q507" s="40"/>
      <c r="R507" s="40" t="s">
        <v>1368</v>
      </c>
      <c r="S507" s="40"/>
      <c r="T507" s="40" t="s">
        <v>1168</v>
      </c>
      <c r="U507" s="40" t="str">
        <f>Таблица310[[#This Row],[Регистратор.Номенклатура]]</f>
        <v>Тристар</v>
      </c>
      <c r="V507" s="45">
        <f>27*Таблица310[[#This Row],[Регистратор.Вес нетто]]/176530</f>
        <v>2.0908060952812555</v>
      </c>
      <c r="W507" s="40" t="s">
        <v>53</v>
      </c>
      <c r="X507" s="40" t="s">
        <v>178</v>
      </c>
      <c r="Y507" s="40">
        <v>9</v>
      </c>
      <c r="Z507" s="103">
        <v>45839</v>
      </c>
      <c r="AA507" s="40"/>
      <c r="AB507" s="40"/>
      <c r="AC507" s="40" t="s">
        <v>724</v>
      </c>
      <c r="AD507" s="40" t="s">
        <v>511</v>
      </c>
      <c r="AE507" s="40" t="s">
        <v>1385</v>
      </c>
      <c r="AF507" s="103">
        <v>45840</v>
      </c>
      <c r="AG507" s="40">
        <v>62</v>
      </c>
      <c r="AH507" s="40">
        <f>VLOOKUP(Таблица310[[#This Row],[№ акта]],'Степень зрелости 2025'!$H$13:$I$583,2,FALSE)</f>
        <v>53</v>
      </c>
      <c r="AI507" s="40" t="str">
        <f>VLOOKUP(Таблица310[[#This Row],[№ акта]],$AQ$1:$AT$594,2,FALSE)</f>
        <v>4.1</v>
      </c>
      <c r="AJ507" s="40" t="str">
        <f>Таблица310[[#This Row],[Регистратор.Номенклатура]]</f>
        <v>Тристар</v>
      </c>
      <c r="AK507" s="40" t="str">
        <f>VLOOKUP(Таблица310[[#This Row],[№ акта]],$AQ$1:$AT$594,4,FALSE)</f>
        <v>Колос (полив)</v>
      </c>
      <c r="AL507" s="45">
        <f>VLOOKUP(Таблица310[[#This Row],[№ акта]],$AQ$1:$AT$594,3,FALSE)</f>
        <v>2.0908060952812555</v>
      </c>
      <c r="AM507" s="40" t="str">
        <f>IF(Таблица310[[#This Row],[Площадь уборки, га]]=Таблица310[[#This Row],[Площадь уборки до корр]],"нет","да")</f>
        <v>нет</v>
      </c>
      <c r="AN507" s="45">
        <f>Таблица310[[#This Row],[Площадь уборки до корр]]-Таблица310[[#This Row],[Площадь уборки, га]]</f>
        <v>0</v>
      </c>
      <c r="AQ507" t="s">
        <v>1385</v>
      </c>
      <c r="AR507" t="s">
        <v>1168</v>
      </c>
      <c r="AS507">
        <v>2.0908060952812555</v>
      </c>
      <c r="AT507" t="s">
        <v>53</v>
      </c>
    </row>
    <row r="508" spans="1:46" ht="22.5" hidden="1" x14ac:dyDescent="0.25">
      <c r="A508" s="40"/>
      <c r="B508" s="41"/>
      <c r="C508" s="40">
        <v>55</v>
      </c>
      <c r="D508" s="42" t="s">
        <v>1386</v>
      </c>
      <c r="E508" s="147">
        <v>45840</v>
      </c>
      <c r="F508" s="41">
        <v>28060</v>
      </c>
      <c r="G508" s="41">
        <v>13610</v>
      </c>
      <c r="H508" s="69">
        <v>14450</v>
      </c>
      <c r="I508" s="41">
        <v>11772.6</v>
      </c>
      <c r="J508" s="40" t="s">
        <v>1167</v>
      </c>
      <c r="K508" s="40" t="s">
        <v>909</v>
      </c>
      <c r="L508" s="40" t="s">
        <v>1168</v>
      </c>
      <c r="M508" s="35" t="s">
        <v>1312</v>
      </c>
      <c r="N508" s="40"/>
      <c r="O508" s="40"/>
      <c r="P508" s="40"/>
      <c r="Q508" s="40"/>
      <c r="R508" s="40" t="s">
        <v>320</v>
      </c>
      <c r="S508" s="40"/>
      <c r="T508" s="40" t="s">
        <v>1168</v>
      </c>
      <c r="U508" s="40" t="str">
        <f>Таблица310[[#This Row],[Регистратор.Номенклатура]]</f>
        <v>Тристар</v>
      </c>
      <c r="V508" s="45">
        <f>27*Таблица310[[#This Row],[Регистратор.Вес нетто]]/176530</f>
        <v>2.0816291848411037</v>
      </c>
      <c r="W508" s="40" t="s">
        <v>53</v>
      </c>
      <c r="X508" s="40" t="s">
        <v>178</v>
      </c>
      <c r="Y508" s="40">
        <v>9</v>
      </c>
      <c r="Z508" s="103">
        <v>45839</v>
      </c>
      <c r="AA508" s="40"/>
      <c r="AB508" s="40"/>
      <c r="AC508" s="40" t="s">
        <v>724</v>
      </c>
      <c r="AD508" s="40" t="s">
        <v>511</v>
      </c>
      <c r="AE508" s="40" t="s">
        <v>1386</v>
      </c>
      <c r="AF508" s="103">
        <v>45840</v>
      </c>
      <c r="AG508" s="40">
        <v>63</v>
      </c>
      <c r="AH508" s="40">
        <f>VLOOKUP(Таблица310[[#This Row],[№ акта]],'Степень зрелости 2025'!$H$13:$I$583,2,FALSE)</f>
        <v>55</v>
      </c>
      <c r="AI508" s="40" t="str">
        <f>VLOOKUP(Таблица310[[#This Row],[№ акта]],$AQ$1:$AT$594,2,FALSE)</f>
        <v>4.1</v>
      </c>
      <c r="AJ508" s="40" t="str">
        <f>Таблица310[[#This Row],[Регистратор.Номенклатура]]</f>
        <v>Тристар</v>
      </c>
      <c r="AK508" s="40" t="str">
        <f>VLOOKUP(Таблица310[[#This Row],[№ акта]],$AQ$1:$AT$594,4,FALSE)</f>
        <v>Колос (полив)</v>
      </c>
      <c r="AL508" s="45">
        <f>VLOOKUP(Таблица310[[#This Row],[№ акта]],$AQ$1:$AT$594,3,FALSE)</f>
        <v>2.0816291848411037</v>
      </c>
      <c r="AM508" s="40" t="str">
        <f>IF(Таблица310[[#This Row],[Площадь уборки, га]]=Таблица310[[#This Row],[Площадь уборки до корр]],"нет","да")</f>
        <v>нет</v>
      </c>
      <c r="AN508" s="45">
        <f>Таблица310[[#This Row],[Площадь уборки до корр]]-Таблица310[[#This Row],[Площадь уборки, га]]</f>
        <v>0</v>
      </c>
      <c r="AQ508" t="s">
        <v>1386</v>
      </c>
      <c r="AR508" t="s">
        <v>1168</v>
      </c>
      <c r="AS508">
        <v>2.0816291848411037</v>
      </c>
      <c r="AT508" t="s">
        <v>53</v>
      </c>
    </row>
    <row r="509" spans="1:46" ht="22.5" hidden="1" x14ac:dyDescent="0.25">
      <c r="A509" s="40"/>
      <c r="B509" s="41"/>
      <c r="C509" s="40">
        <v>56</v>
      </c>
      <c r="D509" s="42" t="s">
        <v>1387</v>
      </c>
      <c r="E509" s="147">
        <v>45840</v>
      </c>
      <c r="F509" s="41">
        <v>28320</v>
      </c>
      <c r="G509" s="41">
        <v>13420</v>
      </c>
      <c r="H509" s="69">
        <v>14900</v>
      </c>
      <c r="I509" s="41">
        <v>12010.9</v>
      </c>
      <c r="J509" s="40" t="s">
        <v>1167</v>
      </c>
      <c r="K509" s="40" t="s">
        <v>909</v>
      </c>
      <c r="L509" s="40" t="s">
        <v>1168</v>
      </c>
      <c r="M509" s="35" t="s">
        <v>894</v>
      </c>
      <c r="N509" s="40"/>
      <c r="O509" s="40"/>
      <c r="P509" s="40"/>
      <c r="Q509" s="40"/>
      <c r="R509" s="40" t="s">
        <v>895</v>
      </c>
      <c r="S509" s="40"/>
      <c r="T509" s="40" t="s">
        <v>1168</v>
      </c>
      <c r="U509" s="40" t="str">
        <f>Таблица310[[#This Row],[Регистратор.Номенклатура]]</f>
        <v>Тристар</v>
      </c>
      <c r="V509" s="45">
        <f>27*Таблица310[[#This Row],[Регистратор.Вес нетто]]/176530</f>
        <v>2.0525689684472894</v>
      </c>
      <c r="W509" s="40" t="s">
        <v>53</v>
      </c>
      <c r="X509" s="40" t="s">
        <v>178</v>
      </c>
      <c r="Y509" s="40">
        <v>9</v>
      </c>
      <c r="Z509" s="103">
        <v>45839</v>
      </c>
      <c r="AA509" s="40"/>
      <c r="AB509" s="40"/>
      <c r="AC509" s="40" t="s">
        <v>724</v>
      </c>
      <c r="AD509" s="40" t="s">
        <v>511</v>
      </c>
      <c r="AE509" s="40" t="s">
        <v>1387</v>
      </c>
      <c r="AF509" s="103">
        <v>45840</v>
      </c>
      <c r="AG509" s="40">
        <v>64</v>
      </c>
      <c r="AH509" s="40">
        <f>VLOOKUP(Таблица310[[#This Row],[№ акта]],'Степень зрелости 2025'!$H$13:$I$583,2,FALSE)</f>
        <v>56</v>
      </c>
      <c r="AI509" s="40" t="str">
        <f>VLOOKUP(Таблица310[[#This Row],[№ акта]],$AQ$1:$AT$594,2,FALSE)</f>
        <v>4.1</v>
      </c>
      <c r="AJ509" s="40" t="str">
        <f>Таблица310[[#This Row],[Регистратор.Номенклатура]]</f>
        <v>Тристар</v>
      </c>
      <c r="AK509" s="40" t="str">
        <f>VLOOKUP(Таблица310[[#This Row],[№ акта]],$AQ$1:$AT$594,4,FALSE)</f>
        <v>Колос (полив)</v>
      </c>
      <c r="AL509" s="45">
        <f>VLOOKUP(Таблица310[[#This Row],[№ акта]],$AQ$1:$AT$594,3,FALSE)</f>
        <v>2.0525689684472894</v>
      </c>
      <c r="AM509" s="40" t="str">
        <f>IF(Таблица310[[#This Row],[Площадь уборки, га]]=Таблица310[[#This Row],[Площадь уборки до корр]],"нет","да")</f>
        <v>нет</v>
      </c>
      <c r="AN509" s="45">
        <f>Таблица310[[#This Row],[Площадь уборки до корр]]-Таблица310[[#This Row],[Площадь уборки, га]]</f>
        <v>0</v>
      </c>
      <c r="AQ509" t="s">
        <v>1387</v>
      </c>
      <c r="AR509" t="s">
        <v>1168</v>
      </c>
      <c r="AS509">
        <v>2.0525689684472894</v>
      </c>
      <c r="AT509" t="s">
        <v>53</v>
      </c>
    </row>
    <row r="510" spans="1:46" ht="22.5" hidden="1" x14ac:dyDescent="0.25">
      <c r="A510" s="40"/>
      <c r="B510" s="41"/>
      <c r="C510" s="40">
        <v>56</v>
      </c>
      <c r="D510" s="42" t="s">
        <v>1388</v>
      </c>
      <c r="E510" s="147">
        <v>45840</v>
      </c>
      <c r="F510" s="41">
        <v>28080</v>
      </c>
      <c r="G510" s="41">
        <v>13250</v>
      </c>
      <c r="H510" s="69">
        <v>14830</v>
      </c>
      <c r="I510" s="41">
        <v>11328.7</v>
      </c>
      <c r="J510" s="40" t="s">
        <v>1167</v>
      </c>
      <c r="K510" s="40" t="s">
        <v>909</v>
      </c>
      <c r="L510" s="40" t="s">
        <v>1168</v>
      </c>
      <c r="M510" s="35" t="s">
        <v>335</v>
      </c>
      <c r="N510" s="40"/>
      <c r="O510" s="40"/>
      <c r="P510" s="40"/>
      <c r="Q510" s="40"/>
      <c r="R510" s="40" t="s">
        <v>339</v>
      </c>
      <c r="S510" s="40"/>
      <c r="T510" s="40" t="s">
        <v>1168</v>
      </c>
      <c r="U510" s="40" t="str">
        <f>Таблица310[[#This Row],[Регистратор.Номенклатура]]</f>
        <v>Тристар</v>
      </c>
      <c r="V510" s="45">
        <f>27*Таблица310[[#This Row],[Регистратор.Вес нетто]]/176530</f>
        <v>2.0265677222001925</v>
      </c>
      <c r="W510" s="40" t="s">
        <v>53</v>
      </c>
      <c r="X510" s="40" t="s">
        <v>178</v>
      </c>
      <c r="Y510" s="40">
        <v>9</v>
      </c>
      <c r="Z510" s="103">
        <v>45839</v>
      </c>
      <c r="AA510" s="40"/>
      <c r="AB510" s="40"/>
      <c r="AC510" s="40" t="s">
        <v>724</v>
      </c>
      <c r="AD510" s="40" t="s">
        <v>511</v>
      </c>
      <c r="AE510" s="40" t="s">
        <v>1388</v>
      </c>
      <c r="AF510" s="103">
        <v>45840</v>
      </c>
      <c r="AG510" s="40">
        <v>65</v>
      </c>
      <c r="AH510" s="40">
        <f>VLOOKUP(Таблица310[[#This Row],[№ акта]],'Степень зрелости 2025'!$H$13:$I$583,2,FALSE)</f>
        <v>56</v>
      </c>
      <c r="AI510" s="40" t="str">
        <f>VLOOKUP(Таблица310[[#This Row],[№ акта]],$AQ$1:$AT$594,2,FALSE)</f>
        <v>4.1</v>
      </c>
      <c r="AJ510" s="40" t="str">
        <f>Таблица310[[#This Row],[Регистратор.Номенклатура]]</f>
        <v>Тристар</v>
      </c>
      <c r="AK510" s="40" t="str">
        <f>VLOOKUP(Таблица310[[#This Row],[№ акта]],$AQ$1:$AT$594,4,FALSE)</f>
        <v>Колос (полив)</v>
      </c>
      <c r="AL510" s="45">
        <f>VLOOKUP(Таблица310[[#This Row],[№ акта]],$AQ$1:$AT$594,3,FALSE)</f>
        <v>2.0265677222001925</v>
      </c>
      <c r="AM510" s="40" t="str">
        <f>IF(Таблица310[[#This Row],[Площадь уборки, га]]=Таблица310[[#This Row],[Площадь уборки до корр]],"нет","да")</f>
        <v>нет</v>
      </c>
      <c r="AN510" s="45">
        <f>Таблица310[[#This Row],[Площадь уборки до корр]]-Таблица310[[#This Row],[Площадь уборки, га]]</f>
        <v>0</v>
      </c>
      <c r="AQ510" t="s">
        <v>1388</v>
      </c>
      <c r="AR510" t="s">
        <v>1168</v>
      </c>
      <c r="AS510">
        <v>2.0265677222001925</v>
      </c>
      <c r="AT510" t="s">
        <v>53</v>
      </c>
    </row>
    <row r="511" spans="1:46" ht="22.5" hidden="1" x14ac:dyDescent="0.25">
      <c r="A511" s="40"/>
      <c r="B511" s="41"/>
      <c r="C511" s="40">
        <v>52</v>
      </c>
      <c r="D511" s="42" t="s">
        <v>1389</v>
      </c>
      <c r="E511" s="147">
        <v>45840</v>
      </c>
      <c r="F511" s="41">
        <v>37610</v>
      </c>
      <c r="G511" s="41">
        <v>13510</v>
      </c>
      <c r="H511" s="69">
        <v>24100</v>
      </c>
      <c r="I511" s="41">
        <v>11551</v>
      </c>
      <c r="J511" s="40" t="s">
        <v>1167</v>
      </c>
      <c r="K511" s="40" t="s">
        <v>909</v>
      </c>
      <c r="L511" s="40" t="s">
        <v>1168</v>
      </c>
      <c r="M511" s="35" t="s">
        <v>1373</v>
      </c>
      <c r="N511" s="40"/>
      <c r="O511" s="40"/>
      <c r="P511" s="40"/>
      <c r="Q511" s="40"/>
      <c r="R511" s="40" t="s">
        <v>1374</v>
      </c>
      <c r="S511" s="40"/>
      <c r="T511" s="40" t="s">
        <v>1168</v>
      </c>
      <c r="U511" s="40" t="str">
        <f>Таблица310[[#This Row],[Регистратор.Номенклатура]]</f>
        <v>Тристар</v>
      </c>
      <c r="V511" s="45">
        <f>27*Таблица310[[#This Row],[Регистратор.Вес нетто]]/176530</f>
        <v>2.0663343341075171</v>
      </c>
      <c r="W511" s="40" t="s">
        <v>53</v>
      </c>
      <c r="X511" s="40" t="s">
        <v>178</v>
      </c>
      <c r="Y511" s="40">
        <v>9</v>
      </c>
      <c r="Z511" s="103">
        <v>45839</v>
      </c>
      <c r="AA511" s="40"/>
      <c r="AB511" s="40"/>
      <c r="AC511" s="40" t="s">
        <v>419</v>
      </c>
      <c r="AD511" s="40" t="s">
        <v>511</v>
      </c>
      <c r="AE511" s="40" t="s">
        <v>1389</v>
      </c>
      <c r="AF511" s="103">
        <v>45840</v>
      </c>
      <c r="AG511" s="40">
        <v>66</v>
      </c>
      <c r="AH511" s="40">
        <f>VLOOKUP(Таблица310[[#This Row],[№ акта]],'Степень зрелости 2025'!$H$13:$I$583,2,FALSE)</f>
        <v>52</v>
      </c>
      <c r="AI511" s="40" t="str">
        <f>VLOOKUP(Таблица310[[#This Row],[№ акта]],$AQ$1:$AT$594,2,FALSE)</f>
        <v>4.1</v>
      </c>
      <c r="AJ511" s="40" t="str">
        <f>Таблица310[[#This Row],[Регистратор.Номенклатура]]</f>
        <v>Тристар</v>
      </c>
      <c r="AK511" s="40" t="str">
        <f>VLOOKUP(Таблица310[[#This Row],[№ акта]],$AQ$1:$AT$594,4,FALSE)</f>
        <v>Колос (полив)</v>
      </c>
      <c r="AL511" s="45">
        <f>VLOOKUP(Таблица310[[#This Row],[№ акта]],$AQ$1:$AT$594,3,FALSE)</f>
        <v>2.0663343341075171</v>
      </c>
      <c r="AM511" s="40" t="str">
        <f>IF(Таблица310[[#This Row],[Площадь уборки, га]]=Таблица310[[#This Row],[Площадь уборки до корр]],"нет","да")</f>
        <v>нет</v>
      </c>
      <c r="AN511" s="45">
        <f>Таблица310[[#This Row],[Площадь уборки до корр]]-Таблица310[[#This Row],[Площадь уборки, га]]</f>
        <v>0</v>
      </c>
      <c r="AQ511" t="s">
        <v>1389</v>
      </c>
      <c r="AR511" t="s">
        <v>1168</v>
      </c>
      <c r="AS511">
        <v>2.0663343341075171</v>
      </c>
      <c r="AT511" t="s">
        <v>53</v>
      </c>
    </row>
    <row r="512" spans="1:46" ht="22.5" hidden="1" x14ac:dyDescent="0.25">
      <c r="A512" s="40"/>
      <c r="B512" s="41"/>
      <c r="C512" s="40">
        <v>55</v>
      </c>
      <c r="D512" s="42" t="s">
        <v>1390</v>
      </c>
      <c r="E512" s="147">
        <v>45840</v>
      </c>
      <c r="F512" s="41">
        <v>29160</v>
      </c>
      <c r="G512" s="41">
        <v>6740</v>
      </c>
      <c r="H512" s="69">
        <v>22420</v>
      </c>
      <c r="I512" s="41">
        <v>5762.7</v>
      </c>
      <c r="J512" s="40" t="s">
        <v>1167</v>
      </c>
      <c r="K512" s="40" t="s">
        <v>1318</v>
      </c>
      <c r="L512" s="40" t="s">
        <v>1168</v>
      </c>
      <c r="M512" s="35" t="s">
        <v>1376</v>
      </c>
      <c r="N512" s="40"/>
      <c r="O512" s="40"/>
      <c r="P512" s="40"/>
      <c r="Q512" s="40"/>
      <c r="R512" s="40" t="s">
        <v>1377</v>
      </c>
      <c r="S512" s="40"/>
      <c r="T512" s="40" t="s">
        <v>1168</v>
      </c>
      <c r="U512" s="40" t="str">
        <f>Таблица310[[#This Row],[Регистратор.Номенклатура]]</f>
        <v>Парус</v>
      </c>
      <c r="V512" s="45">
        <f>27*Таблица310[[#This Row],[Регистратор.Вес нетто]]/176530</f>
        <v>1.0308729394437206</v>
      </c>
      <c r="W512" s="40" t="s">
        <v>53</v>
      </c>
      <c r="X512" s="40" t="s">
        <v>178</v>
      </c>
      <c r="Y512" s="40">
        <v>9</v>
      </c>
      <c r="Z512" s="103">
        <v>45839</v>
      </c>
      <c r="AA512" s="40"/>
      <c r="AB512" s="40"/>
      <c r="AC512" s="40" t="s">
        <v>724</v>
      </c>
      <c r="AD512" s="40" t="s">
        <v>511</v>
      </c>
      <c r="AE512" s="40" t="s">
        <v>1390</v>
      </c>
      <c r="AF512" s="103">
        <v>45840</v>
      </c>
      <c r="AG512" s="40">
        <v>67</v>
      </c>
      <c r="AH512" s="40">
        <f>VLOOKUP(Таблица310[[#This Row],[№ акта]],'Степень зрелости 2025'!$H$13:$I$583,2,FALSE)</f>
        <v>55</v>
      </c>
      <c r="AI512" s="40" t="str">
        <f>VLOOKUP(Таблица310[[#This Row],[№ акта]],$AQ$1:$AT$594,2,FALSE)</f>
        <v>4.1</v>
      </c>
      <c r="AJ512" s="40" t="str">
        <f>Таблица310[[#This Row],[Регистратор.Номенклатура]]</f>
        <v>Парус</v>
      </c>
      <c r="AK512" s="40" t="str">
        <f>VLOOKUP(Таблица310[[#This Row],[№ акта]],$AQ$1:$AT$594,4,FALSE)</f>
        <v>Колос (полив)</v>
      </c>
      <c r="AL512" s="45">
        <f>VLOOKUP(Таблица310[[#This Row],[№ акта]],$AQ$1:$AT$594,3,FALSE)</f>
        <v>1.0308729394437206</v>
      </c>
      <c r="AM512" s="40" t="str">
        <f>IF(Таблица310[[#This Row],[Площадь уборки, га]]=Таблица310[[#This Row],[Площадь уборки до корр]],"нет","да")</f>
        <v>нет</v>
      </c>
      <c r="AN512" s="45">
        <f>Таблица310[[#This Row],[Площадь уборки до корр]]-Таблица310[[#This Row],[Площадь уборки, га]]</f>
        <v>0</v>
      </c>
      <c r="AQ512" t="s">
        <v>1390</v>
      </c>
      <c r="AR512" t="s">
        <v>1168</v>
      </c>
      <c r="AS512">
        <v>1.0308729394437206</v>
      </c>
      <c r="AT512" t="s">
        <v>53</v>
      </c>
    </row>
    <row r="513" spans="1:46 16384:16384" ht="22.5" hidden="1" x14ac:dyDescent="0.25">
      <c r="A513" s="40"/>
      <c r="B513" s="41"/>
      <c r="C513" s="40">
        <v>54</v>
      </c>
      <c r="D513" s="42" t="s">
        <v>1391</v>
      </c>
      <c r="E513" s="147">
        <v>45840</v>
      </c>
      <c r="F513" s="41">
        <v>22430</v>
      </c>
      <c r="G513" s="41">
        <v>6740</v>
      </c>
      <c r="H513" s="69">
        <v>15690</v>
      </c>
      <c r="I513" s="41">
        <v>6032.3</v>
      </c>
      <c r="J513" s="40" t="s">
        <v>1167</v>
      </c>
      <c r="K513" s="40" t="s">
        <v>909</v>
      </c>
      <c r="L513" s="40" t="s">
        <v>1168</v>
      </c>
      <c r="M513" s="35" t="s">
        <v>1376</v>
      </c>
      <c r="N513" s="40"/>
      <c r="O513" s="40"/>
      <c r="P513" s="40"/>
      <c r="Q513" s="40"/>
      <c r="R513" s="40" t="s">
        <v>1377</v>
      </c>
      <c r="S513" s="40"/>
      <c r="T513" s="40" t="s">
        <v>1168</v>
      </c>
      <c r="U513" s="40" t="str">
        <f>Таблица310[[#This Row],[Регистратор.Номенклатура]]</f>
        <v>Тристар</v>
      </c>
      <c r="V513" s="45">
        <f>27*Таблица310[[#This Row],[Регистратор.Вес нетто]]/176530</f>
        <v>1.0308729394437206</v>
      </c>
      <c r="W513" s="40" t="s">
        <v>53</v>
      </c>
      <c r="X513" s="40" t="s">
        <v>178</v>
      </c>
      <c r="Y513" s="40">
        <v>9</v>
      </c>
      <c r="Z513" s="103">
        <v>45839</v>
      </c>
      <c r="AA513" s="40"/>
      <c r="AB513" s="40"/>
      <c r="AC513" s="40" t="s">
        <v>724</v>
      </c>
      <c r="AD513" s="40" t="s">
        <v>511</v>
      </c>
      <c r="AE513" s="40" t="s">
        <v>1391</v>
      </c>
      <c r="AF513" s="103">
        <v>45840</v>
      </c>
      <c r="AG513" s="40">
        <v>67</v>
      </c>
      <c r="AH513" s="40">
        <f>VLOOKUP(Таблица310[[#This Row],[№ акта]],'Степень зрелости 2025'!$H$13:$I$583,2,FALSE)</f>
        <v>54</v>
      </c>
      <c r="AI513" s="40" t="str">
        <f>VLOOKUP(Таблица310[[#This Row],[№ акта]],$AQ$1:$AT$594,2,FALSE)</f>
        <v>4.1</v>
      </c>
      <c r="AJ513" s="40" t="str">
        <f>Таблица310[[#This Row],[Регистратор.Номенклатура]]</f>
        <v>Тристар</v>
      </c>
      <c r="AK513" s="40" t="str">
        <f>VLOOKUP(Таблица310[[#This Row],[№ акта]],$AQ$1:$AT$594,4,FALSE)</f>
        <v>Колос (полив)</v>
      </c>
      <c r="AL513" s="45">
        <f>VLOOKUP(Таблица310[[#This Row],[№ акта]],$AQ$1:$AT$594,3,FALSE)</f>
        <v>1.0308729394437206</v>
      </c>
      <c r="AM513" s="40" t="str">
        <f>IF(Таблица310[[#This Row],[Площадь уборки, га]]=Таблица310[[#This Row],[Площадь уборки до корр]],"нет","да")</f>
        <v>нет</v>
      </c>
      <c r="AN513" s="45">
        <f>Таблица310[[#This Row],[Площадь уборки до корр]]-Таблица310[[#This Row],[Площадь уборки, га]]</f>
        <v>0</v>
      </c>
      <c r="AQ513" t="s">
        <v>1391</v>
      </c>
      <c r="AR513" t="s">
        <v>1168</v>
      </c>
      <c r="AS513">
        <v>1.0308729394437206</v>
      </c>
      <c r="AT513" t="s">
        <v>53</v>
      </c>
    </row>
    <row r="514" spans="1:46 16384:16384" ht="22.5" hidden="1" x14ac:dyDescent="0.25">
      <c r="A514" s="40"/>
      <c r="B514" s="41"/>
      <c r="C514" s="40">
        <v>52</v>
      </c>
      <c r="D514" s="42" t="s">
        <v>1392</v>
      </c>
      <c r="E514" s="147">
        <v>45840</v>
      </c>
      <c r="F514" s="41">
        <v>28880</v>
      </c>
      <c r="G514" s="41">
        <v>13140</v>
      </c>
      <c r="H514" s="69">
        <v>15740</v>
      </c>
      <c r="I514" s="41">
        <v>11103.3</v>
      </c>
      <c r="J514" s="40" t="s">
        <v>1167</v>
      </c>
      <c r="K514" s="40" t="s">
        <v>1318</v>
      </c>
      <c r="L514" s="40" t="s">
        <v>1168</v>
      </c>
      <c r="M514" s="35" t="s">
        <v>347</v>
      </c>
      <c r="N514" s="40"/>
      <c r="O514" s="40"/>
      <c r="P514" s="40"/>
      <c r="Q514" s="40"/>
      <c r="R514" s="40" t="s">
        <v>351</v>
      </c>
      <c r="S514" s="40"/>
      <c r="T514" s="40" t="s">
        <v>1168</v>
      </c>
      <c r="U514" s="40" t="str">
        <f>Таблица310[[#This Row],[Регистратор.Номенклатура]]</f>
        <v>Парус</v>
      </c>
      <c r="V514" s="45">
        <f>27*Таблица310[[#This Row],[Регистратор.Вес нетто]]/176530</f>
        <v>2.0097433863932475</v>
      </c>
      <c r="W514" s="40" t="s">
        <v>53</v>
      </c>
      <c r="X514" s="40" t="s">
        <v>178</v>
      </c>
      <c r="Y514" s="40">
        <v>9</v>
      </c>
      <c r="Z514" s="103">
        <v>45839</v>
      </c>
      <c r="AA514" s="40"/>
      <c r="AB514" s="40"/>
      <c r="AC514" s="40" t="s">
        <v>419</v>
      </c>
      <c r="AD514" s="40" t="s">
        <v>511</v>
      </c>
      <c r="AE514" s="40" t="s">
        <v>1392</v>
      </c>
      <c r="AF514" s="103">
        <v>45840</v>
      </c>
      <c r="AG514" s="40">
        <v>68</v>
      </c>
      <c r="AH514" s="40">
        <f>VLOOKUP(Таблица310[[#This Row],[№ акта]],'Степень зрелости 2025'!$H$13:$I$583,2,FALSE)</f>
        <v>52</v>
      </c>
      <c r="AI514" s="40" t="str">
        <f>VLOOKUP(Таблица310[[#This Row],[№ акта]],$AQ$1:$AT$594,2,FALSE)</f>
        <v>4.1</v>
      </c>
      <c r="AJ514" s="40" t="str">
        <f>Таблица310[[#This Row],[Регистратор.Номенклатура]]</f>
        <v>Парус</v>
      </c>
      <c r="AK514" s="40" t="str">
        <f>VLOOKUP(Таблица310[[#This Row],[№ акта]],$AQ$1:$AT$594,4,FALSE)</f>
        <v>Колос (полив)</v>
      </c>
      <c r="AL514" s="45">
        <f>VLOOKUP(Таблица310[[#This Row],[№ акта]],$AQ$1:$AT$594,3,FALSE)</f>
        <v>2.0097433863932475</v>
      </c>
      <c r="AM514" s="40" t="str">
        <f>IF(Таблица310[[#This Row],[Площадь уборки, га]]=Таблица310[[#This Row],[Площадь уборки до корр]],"нет","да")</f>
        <v>нет</v>
      </c>
      <c r="AN514" s="45">
        <f>Таблица310[[#This Row],[Площадь уборки до корр]]-Таблица310[[#This Row],[Площадь уборки, га]]</f>
        <v>0</v>
      </c>
      <c r="AQ514" t="s">
        <v>1392</v>
      </c>
      <c r="AR514" t="s">
        <v>1168</v>
      </c>
      <c r="AS514">
        <v>2.0097433863932475</v>
      </c>
      <c r="AT514" t="s">
        <v>53</v>
      </c>
    </row>
    <row r="515" spans="1:46 16384:16384" ht="22.5" hidden="1" x14ac:dyDescent="0.25">
      <c r="A515" s="40"/>
      <c r="B515" s="41"/>
      <c r="C515" s="40">
        <v>55</v>
      </c>
      <c r="D515" s="42" t="s">
        <v>1395</v>
      </c>
      <c r="E515" s="147">
        <v>45840</v>
      </c>
      <c r="F515" s="41">
        <v>27090</v>
      </c>
      <c r="G515" s="41">
        <v>13260</v>
      </c>
      <c r="H515" s="69">
        <v>13830</v>
      </c>
      <c r="I515" s="41">
        <v>11602.5</v>
      </c>
      <c r="J515" s="40" t="s">
        <v>1167</v>
      </c>
      <c r="K515" s="40" t="s">
        <v>1318</v>
      </c>
      <c r="L515" s="40" t="s">
        <v>1168</v>
      </c>
      <c r="M515" s="35" t="s">
        <v>212</v>
      </c>
      <c r="N515" s="40"/>
      <c r="O515" s="40"/>
      <c r="P515" s="40"/>
      <c r="Q515" s="40"/>
      <c r="R515" s="40" t="s">
        <v>216</v>
      </c>
      <c r="S515" s="40"/>
      <c r="T515" s="40" t="s">
        <v>1168</v>
      </c>
      <c r="U515" s="40" t="str">
        <f>Таблица310[[#This Row],[Регистратор.Номенклатура]]</f>
        <v>Парус</v>
      </c>
      <c r="V515" s="45">
        <f>27*Таблица310[[#This Row],[Регистратор.Вес нетто]]/176530</f>
        <v>2.028097207273551</v>
      </c>
      <c r="W515" s="40" t="s">
        <v>53</v>
      </c>
      <c r="X515" s="40" t="s">
        <v>178</v>
      </c>
      <c r="Y515" s="40">
        <v>9</v>
      </c>
      <c r="Z515" s="103">
        <v>45839</v>
      </c>
      <c r="AA515" s="40"/>
      <c r="AB515" s="40"/>
      <c r="AC515" s="40" t="s">
        <v>724</v>
      </c>
      <c r="AD515" s="40" t="s">
        <v>511</v>
      </c>
      <c r="AE515" s="40" t="s">
        <v>1395</v>
      </c>
      <c r="AF515" s="103">
        <v>45840</v>
      </c>
      <c r="AG515" s="40">
        <v>69</v>
      </c>
      <c r="AH515" s="40">
        <f>VLOOKUP(Таблица310[[#This Row],[№ акта]],'Степень зрелости 2025'!$H$13:$I$583,2,FALSE)</f>
        <v>55</v>
      </c>
      <c r="AI515" s="40" t="str">
        <f>VLOOKUP(Таблица310[[#This Row],[№ акта]],$AQ$1:$AT$594,2,FALSE)</f>
        <v>4.1</v>
      </c>
      <c r="AJ515" s="40" t="str">
        <f>Таблица310[[#This Row],[Регистратор.Номенклатура]]</f>
        <v>Парус</v>
      </c>
      <c r="AK515" s="40" t="str">
        <f>VLOOKUP(Таблица310[[#This Row],[№ акта]],$AQ$1:$AT$594,4,FALSE)</f>
        <v>Колос (полив)</v>
      </c>
      <c r="AL515" s="45">
        <f>VLOOKUP(Таблица310[[#This Row],[№ акта]],$AQ$1:$AT$594,3,FALSE)</f>
        <v>2.028097207273551</v>
      </c>
      <c r="AM515" s="40" t="str">
        <f>IF(Таблица310[[#This Row],[Площадь уборки, га]]=Таблица310[[#This Row],[Площадь уборки до корр]],"нет","да")</f>
        <v>нет</v>
      </c>
      <c r="AN515" s="45">
        <f>Таблица310[[#This Row],[Площадь уборки до корр]]-Таблица310[[#This Row],[Площадь уборки, га]]</f>
        <v>0</v>
      </c>
      <c r="AQ515" t="s">
        <v>1395</v>
      </c>
      <c r="AR515" t="s">
        <v>1168</v>
      </c>
      <c r="AS515">
        <v>2.028097207273551</v>
      </c>
      <c r="AT515" t="s">
        <v>53</v>
      </c>
    </row>
    <row r="516" spans="1:46 16384:16384" ht="22.5" hidden="1" x14ac:dyDescent="0.25">
      <c r="A516" s="40"/>
      <c r="B516" s="42"/>
      <c r="C516" s="40">
        <f>VLOOKUP(Таблица310[[#This Row],[№ акта]],'Степень зрелости 2025'!$H$13:$I$518,2,FALSE)</f>
        <v>55</v>
      </c>
      <c r="D516" s="41" t="s">
        <v>1396</v>
      </c>
      <c r="E516" s="148">
        <v>45840</v>
      </c>
      <c r="F516" s="69">
        <v>38010</v>
      </c>
      <c r="G516" s="41">
        <v>13900</v>
      </c>
      <c r="H516" s="40">
        <v>24110</v>
      </c>
      <c r="I516" s="40">
        <v>11815</v>
      </c>
      <c r="J516" s="40" t="s">
        <v>1167</v>
      </c>
      <c r="K516" s="35" t="s">
        <v>1318</v>
      </c>
      <c r="L516" s="40" t="s">
        <v>1168</v>
      </c>
      <c r="M516" s="40" t="s">
        <v>160</v>
      </c>
      <c r="N516" s="40"/>
      <c r="O516" s="40"/>
      <c r="P516" s="40"/>
      <c r="Q516" s="40"/>
      <c r="R516" s="40" t="s">
        <v>164</v>
      </c>
      <c r="S516" s="45"/>
      <c r="T516" s="40" t="s">
        <v>1168</v>
      </c>
      <c r="U516" s="40" t="str">
        <f>Таблица310[[#This Row],[Регистратор.Номенклатура]]</f>
        <v>Парус</v>
      </c>
      <c r="V516" s="45">
        <f>4*Таблица310[[#This Row],[Регистратор.Вес нетто]]/27850</f>
        <v>1.9964093357271095</v>
      </c>
      <c r="W516" s="40" t="s">
        <v>53</v>
      </c>
      <c r="X516" s="40" t="s">
        <v>178</v>
      </c>
      <c r="Y516" s="40">
        <v>10</v>
      </c>
      <c r="Z516" s="103">
        <v>45840</v>
      </c>
      <c r="AA516" s="40"/>
      <c r="AB516" s="40"/>
      <c r="AC516" s="40" t="s">
        <v>724</v>
      </c>
      <c r="AD516" s="40" t="s">
        <v>511</v>
      </c>
      <c r="AE516" s="40" t="s">
        <v>1396</v>
      </c>
      <c r="AF516" s="103">
        <v>45840</v>
      </c>
      <c r="AG516" s="40">
        <v>70</v>
      </c>
      <c r="AH516" s="40">
        <f>VLOOKUP(Таблица310[[#This Row],[№ акта]],'Степень зрелости 2025'!$H$13:$I$583,2,FALSE)</f>
        <v>55</v>
      </c>
      <c r="AI516" s="40" t="str">
        <f>VLOOKUP(Таблица310[[#This Row],[№ акта]],$AQ$1:$AT$594,2,FALSE)</f>
        <v>4.1</v>
      </c>
      <c r="AJ516" s="40" t="str">
        <f>Таблица310[[#This Row],[Регистратор.Номенклатура]]</f>
        <v>Парус</v>
      </c>
      <c r="AK516" s="40" t="str">
        <f>VLOOKUP(Таблица310[[#This Row],[№ акта]],$AQ$1:$AT$594,4,FALSE)</f>
        <v>Колос (полив)</v>
      </c>
      <c r="AL516" s="45">
        <f>VLOOKUP(Таблица310[[#This Row],[№ акта]],$AQ$1:$AT$594,3,FALSE)</f>
        <v>1.9964093357271095</v>
      </c>
      <c r="AM516" s="40" t="str">
        <f>IF(Таблица310[[#This Row],[Площадь уборки, га]]=Таблица310[[#This Row],[Площадь уборки до корр]],"нет","да")</f>
        <v>нет</v>
      </c>
      <c r="AN516" s="45">
        <f>Таблица310[[#This Row],[Площадь уборки до корр]]-Таблица310[[#This Row],[Площадь уборки, га]]</f>
        <v>0</v>
      </c>
      <c r="AQ516" t="s">
        <v>1396</v>
      </c>
      <c r="AR516" t="s">
        <v>1168</v>
      </c>
      <c r="AS516">
        <v>1.9964093357271095</v>
      </c>
      <c r="AT516" t="s">
        <v>53</v>
      </c>
      <c r="XFD516" s="40"/>
    </row>
    <row r="517" spans="1:46 16384:16384" ht="33.75" hidden="1" x14ac:dyDescent="0.25">
      <c r="A517" s="40"/>
      <c r="B517" s="42"/>
      <c r="C517" s="40">
        <f>VLOOKUP(Таблица310[[#This Row],[№ акта]],'Степень зрелости 2025'!$H$13:$I$518,2,FALSE)</f>
        <v>55</v>
      </c>
      <c r="D517" s="41" t="s">
        <v>1411</v>
      </c>
      <c r="E517" s="148">
        <v>45840</v>
      </c>
      <c r="F517" s="69">
        <v>28780</v>
      </c>
      <c r="G517" s="41">
        <v>13950</v>
      </c>
      <c r="H517" s="40">
        <v>14830</v>
      </c>
      <c r="I517" s="40">
        <v>12345.7</v>
      </c>
      <c r="J517" s="40" t="s">
        <v>1167</v>
      </c>
      <c r="K517" s="35" t="s">
        <v>1318</v>
      </c>
      <c r="L517" s="40" t="s">
        <v>1168</v>
      </c>
      <c r="M517" s="40" t="s">
        <v>1253</v>
      </c>
      <c r="N517" s="40"/>
      <c r="O517" s="40"/>
      <c r="P517" s="40"/>
      <c r="Q517" s="40"/>
      <c r="R517" s="40" t="s">
        <v>270</v>
      </c>
      <c r="S517" s="45"/>
      <c r="T517" s="40" t="s">
        <v>1168</v>
      </c>
      <c r="U517" s="40" t="str">
        <f>Таблица310[[#This Row],[Регистратор.Номенклатура]]</f>
        <v>Парус</v>
      </c>
      <c r="V517" s="45">
        <f>4*Таблица310[[#This Row],[Регистратор.Вес нетто]]/27850</f>
        <v>2.0035906642728905</v>
      </c>
      <c r="W517" s="40" t="s">
        <v>53</v>
      </c>
      <c r="X517" s="40" t="s">
        <v>178</v>
      </c>
      <c r="Y517" s="40">
        <v>10</v>
      </c>
      <c r="Z517" s="103">
        <v>45840</v>
      </c>
      <c r="AA517" s="40"/>
      <c r="AB517" s="40"/>
      <c r="AC517" s="40" t="s">
        <v>724</v>
      </c>
      <c r="AD517" s="40" t="s">
        <v>511</v>
      </c>
      <c r="AE517" s="40" t="s">
        <v>1411</v>
      </c>
      <c r="AF517" s="103">
        <v>45840</v>
      </c>
      <c r="AG517" s="40">
        <v>71</v>
      </c>
      <c r="AH517" s="40">
        <f>VLOOKUP(Таблица310[[#This Row],[№ акта]],'Степень зрелости 2025'!$H$13:$I$583,2,FALSE)</f>
        <v>55</v>
      </c>
      <c r="AI517" s="40" t="str">
        <f>VLOOKUP(Таблица310[[#This Row],[№ акта]],$AQ$1:$AT$594,2,FALSE)</f>
        <v>4.1</v>
      </c>
      <c r="AJ517" s="40" t="str">
        <f>Таблица310[[#This Row],[Регистратор.Номенклатура]]</f>
        <v>Парус</v>
      </c>
      <c r="AK517" s="40" t="str">
        <f>VLOOKUP(Таблица310[[#This Row],[№ акта]],$AQ$1:$AT$594,4,FALSE)</f>
        <v>Колос (полив)</v>
      </c>
      <c r="AL517" s="45">
        <f>VLOOKUP(Таблица310[[#This Row],[№ акта]],$AQ$1:$AT$594,3,FALSE)</f>
        <v>2.0035906642728905</v>
      </c>
      <c r="AM517" s="40" t="str">
        <f>IF(Таблица310[[#This Row],[Площадь уборки, га]]=Таблица310[[#This Row],[Площадь уборки до корр]],"нет","да")</f>
        <v>нет</v>
      </c>
      <c r="AN517" s="45">
        <f>Таблица310[[#This Row],[Площадь уборки до корр]]-Таблица310[[#This Row],[Площадь уборки, га]]</f>
        <v>0</v>
      </c>
      <c r="AQ517" t="s">
        <v>1411</v>
      </c>
      <c r="AR517" t="s">
        <v>1168</v>
      </c>
      <c r="AS517">
        <v>2.0035906642728905</v>
      </c>
      <c r="AT517" t="s">
        <v>53</v>
      </c>
      <c r="XFD517" s="40"/>
    </row>
    <row r="518" spans="1:46 16384:16384" ht="22.5" hidden="1" x14ac:dyDescent="0.25">
      <c r="A518" s="40"/>
      <c r="B518" s="42"/>
      <c r="C518" s="40">
        <f>VLOOKUP(Таблица310[[#This Row],[№ акта]],'Степень зрелости 2025'!$H$13:$I$518,2,FALSE)</f>
        <v>55</v>
      </c>
      <c r="D518" s="41" t="s">
        <v>1412</v>
      </c>
      <c r="E518" s="148">
        <v>45840</v>
      </c>
      <c r="F518" s="69">
        <v>29430</v>
      </c>
      <c r="G518" s="41">
        <v>13850</v>
      </c>
      <c r="H518" s="40">
        <v>15580</v>
      </c>
      <c r="I518" s="40">
        <v>11911</v>
      </c>
      <c r="J518" s="40" t="s">
        <v>1167</v>
      </c>
      <c r="K518" s="35" t="s">
        <v>909</v>
      </c>
      <c r="L518" s="40" t="s">
        <v>1321</v>
      </c>
      <c r="M518" s="40" t="s">
        <v>1151</v>
      </c>
      <c r="N518" s="40"/>
      <c r="O518" s="40"/>
      <c r="P518" s="40"/>
      <c r="Q518" s="40"/>
      <c r="R518" s="40" t="s">
        <v>145</v>
      </c>
      <c r="S518" s="45"/>
      <c r="T518" s="40" t="s">
        <v>1321</v>
      </c>
      <c r="U518" s="40" t="str">
        <f>Таблица310[[#This Row],[Регистратор.Номенклатура]]</f>
        <v>Тристар</v>
      </c>
      <c r="V518" s="45">
        <f>30*Таблица310[[#This Row],[Регистратор.Вес нетто]]/164930</f>
        <v>2.5192505911598859</v>
      </c>
      <c r="W518" s="40" t="s">
        <v>53</v>
      </c>
      <c r="X518" s="40" t="s">
        <v>178</v>
      </c>
      <c r="Y518" s="40">
        <v>10</v>
      </c>
      <c r="Z518" s="103">
        <v>45840</v>
      </c>
      <c r="AA518" s="40"/>
      <c r="AB518" s="40"/>
      <c r="AC518" s="40" t="s">
        <v>724</v>
      </c>
      <c r="AD518" s="40" t="s">
        <v>511</v>
      </c>
      <c r="AE518" s="40" t="s">
        <v>1412</v>
      </c>
      <c r="AF518" s="103">
        <v>45840</v>
      </c>
      <c r="AG518" s="40">
        <v>72</v>
      </c>
      <c r="AH518" s="40">
        <f>VLOOKUP(Таблица310[[#This Row],[№ акта]],'Степень зрелости 2025'!$H$13:$I$583,2,FALSE)</f>
        <v>55</v>
      </c>
      <c r="AI518" s="40" t="str">
        <f>VLOOKUP(Таблица310[[#This Row],[№ акта]],$AQ$1:$AT$594,2,FALSE)</f>
        <v>4.2</v>
      </c>
      <c r="AJ518" s="40" t="str">
        <f>Таблица310[[#This Row],[Регистратор.Номенклатура]]</f>
        <v>Тристар</v>
      </c>
      <c r="AK518" s="40" t="str">
        <f>VLOOKUP(Таблица310[[#This Row],[№ акта]],$AQ$1:$AT$594,4,FALSE)</f>
        <v>Колос (полив)</v>
      </c>
      <c r="AL518" s="45">
        <f>VLOOKUP(Таблица310[[#This Row],[№ акта]],$AQ$1:$AT$594,3,FALSE)</f>
        <v>2.5192505911598859</v>
      </c>
      <c r="AM518" s="40" t="str">
        <f>IF(Таблица310[[#This Row],[Площадь уборки, га]]=Таблица310[[#This Row],[Площадь уборки до корр]],"нет","да")</f>
        <v>нет</v>
      </c>
      <c r="AN518" s="45">
        <f>Таблица310[[#This Row],[Площадь уборки до корр]]-Таблица310[[#This Row],[Площадь уборки, га]]</f>
        <v>0</v>
      </c>
      <c r="AQ518" t="s">
        <v>1412</v>
      </c>
      <c r="AR518" t="s">
        <v>1321</v>
      </c>
      <c r="AS518">
        <v>2.5192505911598859</v>
      </c>
      <c r="AT518" t="s">
        <v>53</v>
      </c>
      <c r="XFD518" s="40"/>
    </row>
    <row r="519" spans="1:46 16384:16384" ht="22.5" hidden="1" x14ac:dyDescent="0.25">
      <c r="A519" s="40"/>
      <c r="B519" s="42"/>
      <c r="C519" s="40">
        <f>VLOOKUP(Таблица310[[#This Row],[№ акта]],'Степень зрелости 2025'!$H$13:$I$518,2,FALSE)</f>
        <v>53</v>
      </c>
      <c r="D519" s="41" t="s">
        <v>1413</v>
      </c>
      <c r="E519" s="148">
        <v>45840</v>
      </c>
      <c r="F519" s="69">
        <v>28620</v>
      </c>
      <c r="G519" s="41">
        <v>13950</v>
      </c>
      <c r="H519" s="40">
        <v>14670</v>
      </c>
      <c r="I519" s="40">
        <v>11508.7</v>
      </c>
      <c r="J519" s="40" t="s">
        <v>1167</v>
      </c>
      <c r="K519" s="35" t="s">
        <v>909</v>
      </c>
      <c r="L519" s="40" t="s">
        <v>1321</v>
      </c>
      <c r="M519" s="40" t="s">
        <v>272</v>
      </c>
      <c r="N519" s="40"/>
      <c r="O519" s="40"/>
      <c r="P519" s="40"/>
      <c r="Q519" s="40"/>
      <c r="R519" s="40" t="s">
        <v>276</v>
      </c>
      <c r="S519" s="45"/>
      <c r="T519" s="40" t="s">
        <v>1321</v>
      </c>
      <c r="U519" s="40" t="str">
        <f>Таблица310[[#This Row],[Регистратор.Номенклатура]]</f>
        <v>Тристар</v>
      </c>
      <c r="V519" s="45">
        <f>30*Таблица310[[#This Row],[Регистратор.Вес нетто]]/164930</f>
        <v>2.5374401261141091</v>
      </c>
      <c r="W519" s="40" t="s">
        <v>53</v>
      </c>
      <c r="X519" s="40" t="s">
        <v>178</v>
      </c>
      <c r="Y519" s="40">
        <v>10</v>
      </c>
      <c r="Z519" s="103">
        <v>45840</v>
      </c>
      <c r="AA519" s="40"/>
      <c r="AB519" s="40"/>
      <c r="AC519" s="40" t="s">
        <v>724</v>
      </c>
      <c r="AD519" s="40" t="s">
        <v>511</v>
      </c>
      <c r="AE519" s="40" t="s">
        <v>1413</v>
      </c>
      <c r="AF519" s="103">
        <v>45840</v>
      </c>
      <c r="AG519" s="40">
        <v>73</v>
      </c>
      <c r="AH519" s="40">
        <f>VLOOKUP(Таблица310[[#This Row],[№ акта]],'Степень зрелости 2025'!$H$13:$I$583,2,FALSE)</f>
        <v>53</v>
      </c>
      <c r="AI519" s="40" t="str">
        <f>VLOOKUP(Таблица310[[#This Row],[№ акта]],$AQ$1:$AT$594,2,FALSE)</f>
        <v>4.2</v>
      </c>
      <c r="AJ519" s="40" t="str">
        <f>Таблица310[[#This Row],[Регистратор.Номенклатура]]</f>
        <v>Тристар</v>
      </c>
      <c r="AK519" s="40" t="str">
        <f>VLOOKUP(Таблица310[[#This Row],[№ акта]],$AQ$1:$AT$594,4,FALSE)</f>
        <v>Колос (полив)</v>
      </c>
      <c r="AL519" s="45">
        <f>VLOOKUP(Таблица310[[#This Row],[№ акта]],$AQ$1:$AT$594,3,FALSE)</f>
        <v>2.5374401261141091</v>
      </c>
      <c r="AM519" s="40" t="str">
        <f>IF(Таблица310[[#This Row],[Площадь уборки, га]]=Таблица310[[#This Row],[Площадь уборки до корр]],"нет","да")</f>
        <v>нет</v>
      </c>
      <c r="AN519" s="45">
        <f>Таблица310[[#This Row],[Площадь уборки до корр]]-Таблица310[[#This Row],[Площадь уборки, га]]</f>
        <v>0</v>
      </c>
      <c r="AQ519" t="s">
        <v>1413</v>
      </c>
      <c r="AR519" t="s">
        <v>1321</v>
      </c>
      <c r="AS519">
        <v>2.5374401261141091</v>
      </c>
      <c r="AT519" t="s">
        <v>53</v>
      </c>
      <c r="XFD519" s="40"/>
    </row>
    <row r="520" spans="1:46 16384:16384" ht="33.75" hidden="1" x14ac:dyDescent="0.25">
      <c r="A520" s="40"/>
      <c r="B520" s="42"/>
      <c r="C520" s="40">
        <f>VLOOKUP(Таблица310[[#This Row],[№ акта]],'Степень зрелости 2025'!$H$13:$I$518,2,FALSE)</f>
        <v>52</v>
      </c>
      <c r="D520" s="41" t="s">
        <v>1414</v>
      </c>
      <c r="E520" s="148">
        <v>45840</v>
      </c>
      <c r="F520" s="69">
        <v>28960</v>
      </c>
      <c r="G520" s="41">
        <v>14110</v>
      </c>
      <c r="H520" s="40">
        <v>14850</v>
      </c>
      <c r="I520" s="40">
        <v>11852.4</v>
      </c>
      <c r="J520" s="40" t="s">
        <v>1167</v>
      </c>
      <c r="K520" s="35" t="s">
        <v>909</v>
      </c>
      <c r="L520" s="40" t="s">
        <v>1321</v>
      </c>
      <c r="M520" s="40" t="s">
        <v>1367</v>
      </c>
      <c r="N520" s="40"/>
      <c r="O520" s="40"/>
      <c r="P520" s="40"/>
      <c r="Q520" s="40"/>
      <c r="R520" s="40" t="s">
        <v>1368</v>
      </c>
      <c r="S520" s="45"/>
      <c r="T520" s="40" t="s">
        <v>1321</v>
      </c>
      <c r="U520" s="40" t="str">
        <f>Таблица310[[#This Row],[Регистратор.Номенклатура]]</f>
        <v>Тристар</v>
      </c>
      <c r="V520" s="45">
        <f>30*Таблица310[[#This Row],[Регистратор.Вес нетто]]/164930</f>
        <v>2.5665433820408659</v>
      </c>
      <c r="W520" s="40" t="s">
        <v>53</v>
      </c>
      <c r="X520" s="40" t="s">
        <v>178</v>
      </c>
      <c r="Y520" s="40">
        <v>10</v>
      </c>
      <c r="Z520" s="103">
        <v>45840</v>
      </c>
      <c r="AA520" s="40"/>
      <c r="AB520" s="40"/>
      <c r="AC520" s="40" t="s">
        <v>419</v>
      </c>
      <c r="AD520" s="40" t="s">
        <v>511</v>
      </c>
      <c r="AE520" s="40" t="s">
        <v>1414</v>
      </c>
      <c r="AF520" s="103">
        <v>45840</v>
      </c>
      <c r="AG520" s="40">
        <v>75</v>
      </c>
      <c r="AH520" s="40">
        <f>VLOOKUP(Таблица310[[#This Row],[№ акта]],'Степень зрелости 2025'!$H$13:$I$583,2,FALSE)</f>
        <v>52</v>
      </c>
      <c r="AI520" s="40" t="str">
        <f>VLOOKUP(Таблица310[[#This Row],[№ акта]],$AQ$1:$AT$594,2,FALSE)</f>
        <v>4.2</v>
      </c>
      <c r="AJ520" s="40" t="str">
        <f>Таблица310[[#This Row],[Регистратор.Номенклатура]]</f>
        <v>Тристар</v>
      </c>
      <c r="AK520" s="40" t="str">
        <f>VLOOKUP(Таблица310[[#This Row],[№ акта]],$AQ$1:$AT$594,4,FALSE)</f>
        <v>Колос (полив)</v>
      </c>
      <c r="AL520" s="45">
        <f>VLOOKUP(Таблица310[[#This Row],[№ акта]],$AQ$1:$AT$594,3,FALSE)</f>
        <v>2.5665433820408659</v>
      </c>
      <c r="AM520" s="40" t="str">
        <f>IF(Таблица310[[#This Row],[Площадь уборки, га]]=Таблица310[[#This Row],[Площадь уборки до корр]],"нет","да")</f>
        <v>нет</v>
      </c>
      <c r="AN520" s="45">
        <f>Таблица310[[#This Row],[Площадь уборки до корр]]-Таблица310[[#This Row],[Площадь уборки, га]]</f>
        <v>0</v>
      </c>
      <c r="AQ520" t="s">
        <v>1414</v>
      </c>
      <c r="AR520" t="s">
        <v>1321</v>
      </c>
      <c r="AS520">
        <v>2.5665433820408659</v>
      </c>
      <c r="AT520" t="s">
        <v>53</v>
      </c>
      <c r="XFD520" s="40"/>
    </row>
    <row r="521" spans="1:46 16384:16384" ht="22.5" hidden="1" x14ac:dyDescent="0.25">
      <c r="A521" s="40"/>
      <c r="B521" s="42"/>
      <c r="C521" s="40">
        <f>VLOOKUP(Таблица310[[#This Row],[№ акта]],'Степень зрелости 2025'!$H$13:$I$518,2,FALSE)</f>
        <v>49</v>
      </c>
      <c r="D521" s="41" t="s">
        <v>1415</v>
      </c>
      <c r="E521" s="148">
        <v>45840</v>
      </c>
      <c r="F521" s="69">
        <v>28980</v>
      </c>
      <c r="G521" s="41">
        <v>14010</v>
      </c>
      <c r="H521" s="40">
        <v>14970</v>
      </c>
      <c r="I521" s="40">
        <v>11698.3</v>
      </c>
      <c r="J521" s="40" t="s">
        <v>1167</v>
      </c>
      <c r="K521" s="35" t="s">
        <v>909</v>
      </c>
      <c r="L521" s="40" t="s">
        <v>1321</v>
      </c>
      <c r="M521" s="40" t="s">
        <v>1461</v>
      </c>
      <c r="N521" s="40"/>
      <c r="O521" s="40"/>
      <c r="P521" s="40"/>
      <c r="Q521" s="40"/>
      <c r="R521" s="40" t="s">
        <v>149</v>
      </c>
      <c r="S521" s="45"/>
      <c r="T521" s="40" t="s">
        <v>1321</v>
      </c>
      <c r="U521" s="40" t="str">
        <f>Таблица310[[#This Row],[Регистратор.Номенклатура]]</f>
        <v>Тристар</v>
      </c>
      <c r="V521" s="45">
        <f>30*Таблица310[[#This Row],[Регистратор.Вес нетто]]/164930</f>
        <v>2.5483538470866427</v>
      </c>
      <c r="W521" s="40" t="s">
        <v>53</v>
      </c>
      <c r="X521" s="40" t="s">
        <v>178</v>
      </c>
      <c r="Y521" s="40">
        <v>10</v>
      </c>
      <c r="Z521" s="103">
        <v>45840</v>
      </c>
      <c r="AA521" s="40"/>
      <c r="AB521" s="40"/>
      <c r="AC521" s="40" t="s">
        <v>419</v>
      </c>
      <c r="AD521" s="40" t="s">
        <v>511</v>
      </c>
      <c r="AE521" s="40" t="s">
        <v>1415</v>
      </c>
      <c r="AF521" s="103">
        <v>45840</v>
      </c>
      <c r="AG521" s="40">
        <v>74</v>
      </c>
      <c r="AH521" s="40">
        <f>VLOOKUP(Таблица310[[#This Row],[№ акта]],'Степень зрелости 2025'!$H$13:$I$583,2,FALSE)</f>
        <v>49</v>
      </c>
      <c r="AI521" s="40" t="str">
        <f>VLOOKUP(Таблица310[[#This Row],[№ акта]],$AQ$1:$AT$594,2,FALSE)</f>
        <v>4.2</v>
      </c>
      <c r="AJ521" s="40" t="str">
        <f>Таблица310[[#This Row],[Регистратор.Номенклатура]]</f>
        <v>Тристар</v>
      </c>
      <c r="AK521" s="40" t="str">
        <f>VLOOKUP(Таблица310[[#This Row],[№ акта]],$AQ$1:$AT$594,4,FALSE)</f>
        <v>Колос (полив)</v>
      </c>
      <c r="AL521" s="45">
        <f>VLOOKUP(Таблица310[[#This Row],[№ акта]],$AQ$1:$AT$594,3,FALSE)</f>
        <v>2.5483538470866427</v>
      </c>
      <c r="AM521" s="40" t="str">
        <f>IF(Таблица310[[#This Row],[Площадь уборки, га]]=Таблица310[[#This Row],[Площадь уборки до корр]],"нет","да")</f>
        <v>нет</v>
      </c>
      <c r="AN521" s="45">
        <f>Таблица310[[#This Row],[Площадь уборки до корр]]-Таблица310[[#This Row],[Площадь уборки, га]]</f>
        <v>0</v>
      </c>
      <c r="AQ521" t="s">
        <v>1415</v>
      </c>
      <c r="AR521" t="s">
        <v>1321</v>
      </c>
      <c r="AS521">
        <v>2.5483538470866427</v>
      </c>
      <c r="AT521" t="s">
        <v>53</v>
      </c>
      <c r="XFD521" s="40"/>
    </row>
    <row r="522" spans="1:46 16384:16384" ht="22.5" hidden="1" x14ac:dyDescent="0.25">
      <c r="A522" s="40"/>
      <c r="B522" s="42"/>
      <c r="C522" s="40">
        <f>VLOOKUP(Таблица310[[#This Row],[№ акта]],'Степень зрелости 2025'!$H$13:$I$518,2,FALSE)</f>
        <v>51</v>
      </c>
      <c r="D522" s="41" t="s">
        <v>1416</v>
      </c>
      <c r="E522" s="148">
        <v>45840</v>
      </c>
      <c r="F522" s="69">
        <v>28700</v>
      </c>
      <c r="G522" s="41">
        <v>13970</v>
      </c>
      <c r="H522" s="40">
        <v>14730</v>
      </c>
      <c r="I522" s="40">
        <v>11804.6</v>
      </c>
      <c r="J522" s="40" t="s">
        <v>1167</v>
      </c>
      <c r="K522" s="35" t="s">
        <v>909</v>
      </c>
      <c r="L522" s="40" t="s">
        <v>1321</v>
      </c>
      <c r="M522" s="40" t="s">
        <v>335</v>
      </c>
      <c r="N522" s="40"/>
      <c r="O522" s="40"/>
      <c r="P522" s="40"/>
      <c r="Q522" s="40"/>
      <c r="R522" s="40" t="s">
        <v>339</v>
      </c>
      <c r="S522" s="45"/>
      <c r="T522" s="40" t="s">
        <v>1321</v>
      </c>
      <c r="U522" s="40" t="str">
        <f>Таблица310[[#This Row],[Регистратор.Номенклатура]]</f>
        <v>Тристар</v>
      </c>
      <c r="V522" s="45">
        <f>30*Таблица310[[#This Row],[Регистратор.Вес нетто]]/164930</f>
        <v>2.5410780331049536</v>
      </c>
      <c r="W522" s="40" t="s">
        <v>53</v>
      </c>
      <c r="X522" s="40" t="s">
        <v>178</v>
      </c>
      <c r="Y522" s="40">
        <v>10</v>
      </c>
      <c r="Z522" s="103">
        <v>45840</v>
      </c>
      <c r="AA522" s="40"/>
      <c r="AB522" s="40"/>
      <c r="AC522" s="40" t="s">
        <v>419</v>
      </c>
      <c r="AD522" s="40" t="s">
        <v>511</v>
      </c>
      <c r="AE522" s="40" t="s">
        <v>1416</v>
      </c>
      <c r="AF522" s="103">
        <v>45840</v>
      </c>
      <c r="AG522" s="40">
        <v>76</v>
      </c>
      <c r="AH522" s="40">
        <f>VLOOKUP(Таблица310[[#This Row],[№ акта]],'Степень зрелости 2025'!$H$13:$I$583,2,FALSE)</f>
        <v>51</v>
      </c>
      <c r="AI522" s="40" t="str">
        <f>VLOOKUP(Таблица310[[#This Row],[№ акта]],$AQ$1:$AT$594,2,FALSE)</f>
        <v>4.2</v>
      </c>
      <c r="AJ522" s="40" t="str">
        <f>Таблица310[[#This Row],[Регистратор.Номенклатура]]</f>
        <v>Тристар</v>
      </c>
      <c r="AK522" s="40" t="str">
        <f>VLOOKUP(Таблица310[[#This Row],[№ акта]],$AQ$1:$AT$594,4,FALSE)</f>
        <v>Колос (полив)</v>
      </c>
      <c r="AL522" s="45">
        <f>VLOOKUP(Таблица310[[#This Row],[№ акта]],$AQ$1:$AT$594,3,FALSE)</f>
        <v>2.5410780331049536</v>
      </c>
      <c r="AM522" s="40" t="str">
        <f>IF(Таблица310[[#This Row],[Площадь уборки, га]]=Таблица310[[#This Row],[Площадь уборки до корр]],"нет","да")</f>
        <v>нет</v>
      </c>
      <c r="AN522" s="45">
        <f>Таблица310[[#This Row],[Площадь уборки до корр]]-Таблица310[[#This Row],[Площадь уборки, га]]</f>
        <v>0</v>
      </c>
      <c r="AQ522" t="s">
        <v>1416</v>
      </c>
      <c r="AR522" t="s">
        <v>1321</v>
      </c>
      <c r="AS522">
        <v>2.5410780331049536</v>
      </c>
      <c r="AT522" t="s">
        <v>53</v>
      </c>
      <c r="XFD522" s="40"/>
    </row>
    <row r="523" spans="1:46 16384:16384" ht="22.5" hidden="1" x14ac:dyDescent="0.25">
      <c r="A523" s="40"/>
      <c r="B523" s="42"/>
      <c r="C523" s="40">
        <f>VLOOKUP(Таблица310[[#This Row],[№ акта]],'Степень зрелости 2025'!$H$13:$I$518,2,FALSE)</f>
        <v>53</v>
      </c>
      <c r="D523" s="41" t="s">
        <v>1417</v>
      </c>
      <c r="E523" s="148">
        <v>45840</v>
      </c>
      <c r="F523" s="69">
        <v>38160</v>
      </c>
      <c r="G523" s="41">
        <v>13840</v>
      </c>
      <c r="H523" s="40">
        <v>24320</v>
      </c>
      <c r="I523" s="40">
        <v>11764</v>
      </c>
      <c r="J523" s="40" t="s">
        <v>1167</v>
      </c>
      <c r="K523" s="35" t="s">
        <v>909</v>
      </c>
      <c r="L523" s="40" t="s">
        <v>1321</v>
      </c>
      <c r="M523" s="40" t="s">
        <v>1373</v>
      </c>
      <c r="N523" s="40"/>
      <c r="O523" s="40"/>
      <c r="P523" s="40"/>
      <c r="Q523" s="40"/>
      <c r="R523" s="40" t="s">
        <v>1374</v>
      </c>
      <c r="S523" s="45"/>
      <c r="T523" s="40" t="s">
        <v>1321</v>
      </c>
      <c r="U523" s="40" t="str">
        <f>Таблица310[[#This Row],[Регистратор.Номенклатура]]</f>
        <v>Тристар</v>
      </c>
      <c r="V523" s="45">
        <f>30*Таблица310[[#This Row],[Регистратор.Вес нетто]]/164930</f>
        <v>2.5174316376644637</v>
      </c>
      <c r="W523" s="40" t="s">
        <v>53</v>
      </c>
      <c r="X523" s="40" t="s">
        <v>178</v>
      </c>
      <c r="Y523" s="40">
        <v>10</v>
      </c>
      <c r="Z523" s="103">
        <v>45840</v>
      </c>
      <c r="AA523" s="40"/>
      <c r="AB523" s="40"/>
      <c r="AC523" s="40" t="s">
        <v>724</v>
      </c>
      <c r="AD523" s="40" t="s">
        <v>511</v>
      </c>
      <c r="AE523" s="40" t="s">
        <v>1417</v>
      </c>
      <c r="AF523" s="103">
        <v>45840</v>
      </c>
      <c r="AG523" s="40">
        <v>77</v>
      </c>
      <c r="AH523" s="40">
        <f>VLOOKUP(Таблица310[[#This Row],[№ акта]],'Степень зрелости 2025'!$H$13:$I$583,2,FALSE)</f>
        <v>53</v>
      </c>
      <c r="AI523" s="40" t="str">
        <f>VLOOKUP(Таблица310[[#This Row],[№ акта]],$AQ$1:$AT$594,2,FALSE)</f>
        <v>4.2</v>
      </c>
      <c r="AJ523" s="40" t="str">
        <f>Таблица310[[#This Row],[Регистратор.Номенклатура]]</f>
        <v>Тристар</v>
      </c>
      <c r="AK523" s="40" t="str">
        <f>VLOOKUP(Таблица310[[#This Row],[№ акта]],$AQ$1:$AT$594,4,FALSE)</f>
        <v>Колос (полив)</v>
      </c>
      <c r="AL523" s="45">
        <f>VLOOKUP(Таблица310[[#This Row],[№ акта]],$AQ$1:$AT$594,3,FALSE)</f>
        <v>2.5174316376644637</v>
      </c>
      <c r="AM523" s="40" t="str">
        <f>IF(Таблица310[[#This Row],[Площадь уборки, га]]=Таблица310[[#This Row],[Площадь уборки до корр]],"нет","да")</f>
        <v>нет</v>
      </c>
      <c r="AN523" s="45">
        <f>Таблица310[[#This Row],[Площадь уборки до корр]]-Таблица310[[#This Row],[Площадь уборки, га]]</f>
        <v>0</v>
      </c>
      <c r="AQ523" t="s">
        <v>1417</v>
      </c>
      <c r="AR523" t="s">
        <v>1321</v>
      </c>
      <c r="AS523">
        <v>2.5174316376644637</v>
      </c>
      <c r="AT523" t="s">
        <v>53</v>
      </c>
      <c r="XFD523" s="40"/>
    </row>
    <row r="524" spans="1:46 16384:16384" ht="22.5" hidden="1" x14ac:dyDescent="0.25">
      <c r="A524" s="40"/>
      <c r="B524" s="42"/>
      <c r="C524" s="40">
        <f>VLOOKUP(Таблица310[[#This Row],[№ акта]],'Степень зрелости 2025'!$H$13:$I$518,2,FALSE)</f>
        <v>54</v>
      </c>
      <c r="D524" s="41" t="s">
        <v>1418</v>
      </c>
      <c r="E524" s="148">
        <v>45841</v>
      </c>
      <c r="F524" s="69">
        <v>29310</v>
      </c>
      <c r="G524" s="41">
        <v>13720</v>
      </c>
      <c r="H524" s="40">
        <v>15590</v>
      </c>
      <c r="I524" s="40">
        <v>11593.4</v>
      </c>
      <c r="J524" s="40" t="s">
        <v>1167</v>
      </c>
      <c r="K524" s="35" t="s">
        <v>909</v>
      </c>
      <c r="L524" s="40" t="s">
        <v>1321</v>
      </c>
      <c r="M524" s="40" t="s">
        <v>1376</v>
      </c>
      <c r="N524" s="40"/>
      <c r="O524" s="40"/>
      <c r="P524" s="40"/>
      <c r="Q524" s="40"/>
      <c r="R524" s="40" t="s">
        <v>1377</v>
      </c>
      <c r="S524" s="45"/>
      <c r="T524" s="40" t="s">
        <v>1321</v>
      </c>
      <c r="U524" s="40" t="str">
        <f>Таблица310[[#This Row],[Регистратор.Номенклатура]]</f>
        <v>Тристар</v>
      </c>
      <c r="V524" s="45">
        <f>30*Таблица310[[#This Row],[Регистратор.Вес нетто]]/164930</f>
        <v>2.495604195719396</v>
      </c>
      <c r="W524" s="40" t="s">
        <v>53</v>
      </c>
      <c r="X524" s="40" t="s">
        <v>178</v>
      </c>
      <c r="Y524" s="40">
        <v>10</v>
      </c>
      <c r="Z524" s="103">
        <v>45840</v>
      </c>
      <c r="AA524" s="40"/>
      <c r="AB524" s="40"/>
      <c r="AC524" s="40" t="s">
        <v>724</v>
      </c>
      <c r="AD524" s="40" t="s">
        <v>511</v>
      </c>
      <c r="AE524" s="40" t="s">
        <v>1418</v>
      </c>
      <c r="AF524" s="103">
        <v>45841</v>
      </c>
      <c r="AG524" s="40">
        <v>78</v>
      </c>
      <c r="AH524" s="40">
        <f>VLOOKUP(Таблица310[[#This Row],[№ акта]],'Степень зрелости 2025'!$H$13:$I$583,2,FALSE)</f>
        <v>54</v>
      </c>
      <c r="AI524" s="40" t="str">
        <f>VLOOKUP(Таблица310[[#This Row],[№ акта]],$AQ$1:$AT$594,2,FALSE)</f>
        <v>4.2</v>
      </c>
      <c r="AJ524" s="40" t="str">
        <f>Таблица310[[#This Row],[Регистратор.Номенклатура]]</f>
        <v>Тристар</v>
      </c>
      <c r="AK524" s="40" t="str">
        <f>VLOOKUP(Таблица310[[#This Row],[№ акта]],$AQ$1:$AT$594,4,FALSE)</f>
        <v>Колос (полив)</v>
      </c>
      <c r="AL524" s="45">
        <f>VLOOKUP(Таблица310[[#This Row],[№ акта]],$AQ$1:$AT$594,3,FALSE)</f>
        <v>2.495604195719396</v>
      </c>
      <c r="AM524" s="40" t="str">
        <f>IF(Таблица310[[#This Row],[Площадь уборки, га]]=Таблица310[[#This Row],[Площадь уборки до корр]],"нет","да")</f>
        <v>нет</v>
      </c>
      <c r="AN524" s="45">
        <f>Таблица310[[#This Row],[Площадь уборки до корр]]-Таблица310[[#This Row],[Площадь уборки, га]]</f>
        <v>0</v>
      </c>
      <c r="AQ524" t="s">
        <v>1418</v>
      </c>
      <c r="AR524" t="s">
        <v>1321</v>
      </c>
      <c r="AS524">
        <v>2.495604195719396</v>
      </c>
      <c r="AT524" t="s">
        <v>53</v>
      </c>
      <c r="XFD524" s="40"/>
    </row>
    <row r="525" spans="1:46 16384:16384" ht="22.5" hidden="1" x14ac:dyDescent="0.25">
      <c r="A525" s="40"/>
      <c r="B525" s="42"/>
      <c r="C525" s="40">
        <v>54</v>
      </c>
      <c r="D525" s="41" t="s">
        <v>1419</v>
      </c>
      <c r="E525" s="148">
        <v>45841</v>
      </c>
      <c r="F525" s="69">
        <v>29240</v>
      </c>
      <c r="G525" s="41">
        <v>13430</v>
      </c>
      <c r="H525" s="40">
        <v>15810</v>
      </c>
      <c r="I525" s="40">
        <v>12019.8</v>
      </c>
      <c r="J525" s="40" t="s">
        <v>1167</v>
      </c>
      <c r="K525" s="35" t="s">
        <v>909</v>
      </c>
      <c r="L525" s="40" t="s">
        <v>1321</v>
      </c>
      <c r="M525" s="40" t="s">
        <v>347</v>
      </c>
      <c r="N525" s="40"/>
      <c r="O525" s="40"/>
      <c r="P525" s="40"/>
      <c r="Q525" s="40"/>
      <c r="R525" s="40" t="s">
        <v>351</v>
      </c>
      <c r="S525" s="45"/>
      <c r="T525" s="40" t="s">
        <v>1321</v>
      </c>
      <c r="U525" s="40" t="str">
        <f>Таблица310[[#This Row],[Регистратор.Номенклатура]]</f>
        <v>Тристар</v>
      </c>
      <c r="V525" s="45">
        <f>30*Таблица310[[#This Row],[Регистратор.Вес нетто]]/164930</f>
        <v>2.4428545443521492</v>
      </c>
      <c r="W525" s="40" t="s">
        <v>53</v>
      </c>
      <c r="X525" s="40" t="s">
        <v>178</v>
      </c>
      <c r="Y525" s="40">
        <v>10</v>
      </c>
      <c r="Z525" s="103">
        <v>45840</v>
      </c>
      <c r="AA525" s="40"/>
      <c r="AB525" s="40"/>
      <c r="AC525" s="40" t="s">
        <v>724</v>
      </c>
      <c r="AD525" s="40" t="s">
        <v>511</v>
      </c>
      <c r="AE525" s="40" t="s">
        <v>1419</v>
      </c>
      <c r="AF525" s="103">
        <v>45841</v>
      </c>
      <c r="AG525" s="40">
        <v>79</v>
      </c>
      <c r="AH525" s="40" t="e">
        <f>VLOOKUP(Таблица310[[#This Row],[№ акта]],'Степень зрелости 2025'!$H$13:$I$583,2,FALSE)</f>
        <v>#N/A</v>
      </c>
      <c r="AI525" s="40" t="str">
        <f>VLOOKUP(Таблица310[[#This Row],[№ акта]],$AQ$1:$AT$594,2,FALSE)</f>
        <v>4.2</v>
      </c>
      <c r="AJ525" s="40" t="str">
        <f>Таблица310[[#This Row],[Регистратор.Номенклатура]]</f>
        <v>Тристар</v>
      </c>
      <c r="AK525" s="40" t="str">
        <f>VLOOKUP(Таблица310[[#This Row],[№ акта]],$AQ$1:$AT$594,4,FALSE)</f>
        <v>Колос (полив)</v>
      </c>
      <c r="AL525" s="45">
        <f>VLOOKUP(Таблица310[[#This Row],[№ акта]],$AQ$1:$AT$594,3,FALSE)</f>
        <v>2.4428545443521492</v>
      </c>
      <c r="AM525" s="40" t="str">
        <f>IF(Таблица310[[#This Row],[Площадь уборки, га]]=Таблица310[[#This Row],[Площадь уборки до корр]],"нет","да")</f>
        <v>нет</v>
      </c>
      <c r="AN525" s="45">
        <f>Таблица310[[#This Row],[Площадь уборки до корр]]-Таблица310[[#This Row],[Площадь уборки, га]]</f>
        <v>0</v>
      </c>
      <c r="AQ525" t="s">
        <v>1419</v>
      </c>
      <c r="AR525" t="s">
        <v>1321</v>
      </c>
      <c r="AS525">
        <v>2.4428545443521492</v>
      </c>
      <c r="AT525" t="s">
        <v>53</v>
      </c>
      <c r="XFD525" s="40"/>
    </row>
    <row r="526" spans="1:46 16384:16384" ht="22.5" hidden="1" x14ac:dyDescent="0.25">
      <c r="A526" s="40"/>
      <c r="B526" s="42"/>
      <c r="C526" s="40">
        <f>VLOOKUP(Таблица310[[#This Row],[№ акта]],'Степень зрелости 2025'!$H$13:$I$518,2,FALSE)</f>
        <v>53</v>
      </c>
      <c r="D526" s="41" t="s">
        <v>1420</v>
      </c>
      <c r="E526" s="148">
        <v>45841</v>
      </c>
      <c r="F526" s="69">
        <v>28100</v>
      </c>
      <c r="G526" s="41">
        <v>13640</v>
      </c>
      <c r="H526" s="40">
        <v>14460</v>
      </c>
      <c r="I526" s="40">
        <v>11594</v>
      </c>
      <c r="J526" s="40" t="s">
        <v>1167</v>
      </c>
      <c r="K526" s="35" t="s">
        <v>909</v>
      </c>
      <c r="L526" s="40" t="s">
        <v>1321</v>
      </c>
      <c r="M526" s="40" t="s">
        <v>1312</v>
      </c>
      <c r="N526" s="40"/>
      <c r="O526" s="40"/>
      <c r="P526" s="40"/>
      <c r="Q526" s="40"/>
      <c r="R526" s="40" t="s">
        <v>320</v>
      </c>
      <c r="S526" s="45"/>
      <c r="T526" s="40" t="s">
        <v>1321</v>
      </c>
      <c r="U526" s="40" t="str">
        <f>Таблица310[[#This Row],[Регистратор.Номенклатура]]</f>
        <v>Тристар</v>
      </c>
      <c r="V526" s="45">
        <f>30*Таблица310[[#This Row],[Регистратор.Вес нетто]]/164930</f>
        <v>2.4810525677560178</v>
      </c>
      <c r="W526" s="40" t="s">
        <v>53</v>
      </c>
      <c r="X526" s="40" t="s">
        <v>178</v>
      </c>
      <c r="Y526" s="40">
        <v>10</v>
      </c>
      <c r="Z526" s="103">
        <v>45840</v>
      </c>
      <c r="AA526" s="40"/>
      <c r="AB526" s="40"/>
      <c r="AC526" s="40" t="s">
        <v>724</v>
      </c>
      <c r="AD526" s="40" t="s">
        <v>511</v>
      </c>
      <c r="AE526" s="40" t="s">
        <v>1420</v>
      </c>
      <c r="AF526" s="103">
        <v>45841</v>
      </c>
      <c r="AG526" s="40">
        <v>81</v>
      </c>
      <c r="AH526" s="40">
        <f>VLOOKUP(Таблица310[[#This Row],[№ акта]],'Степень зрелости 2025'!$H$13:$I$583,2,FALSE)</f>
        <v>53</v>
      </c>
      <c r="AI526" s="40" t="str">
        <f>VLOOKUP(Таблица310[[#This Row],[№ акта]],$AQ$1:$AT$594,2,FALSE)</f>
        <v>4.2</v>
      </c>
      <c r="AJ526" s="40" t="str">
        <f>Таблица310[[#This Row],[Регистратор.Номенклатура]]</f>
        <v>Тристар</v>
      </c>
      <c r="AK526" s="40" t="str">
        <f>VLOOKUP(Таблица310[[#This Row],[№ акта]],$AQ$1:$AT$594,4,FALSE)</f>
        <v>Колос (полив)</v>
      </c>
      <c r="AL526" s="45">
        <f>VLOOKUP(Таблица310[[#This Row],[№ акта]],$AQ$1:$AT$594,3,FALSE)</f>
        <v>2.4810525677560178</v>
      </c>
      <c r="AM526" s="40" t="str">
        <f>IF(Таблица310[[#This Row],[Площадь уборки, га]]=Таблица310[[#This Row],[Площадь уборки до корр]],"нет","да")</f>
        <v>нет</v>
      </c>
      <c r="AN526" s="45">
        <f>Таблица310[[#This Row],[Площадь уборки до корр]]-Таблица310[[#This Row],[Площадь уборки, га]]</f>
        <v>0</v>
      </c>
      <c r="AQ526" t="s">
        <v>1420</v>
      </c>
      <c r="AR526" t="s">
        <v>1321</v>
      </c>
      <c r="AS526">
        <v>2.4810525677560178</v>
      </c>
      <c r="AT526" t="s">
        <v>53</v>
      </c>
      <c r="XFD526" s="40"/>
    </row>
    <row r="527" spans="1:46 16384:16384" ht="22.5" hidden="1" x14ac:dyDescent="0.25">
      <c r="A527" s="40"/>
      <c r="B527" s="42"/>
      <c r="C527" s="40">
        <f>VLOOKUP(Таблица310[[#This Row],[№ акта]],'Степень зрелости 2025'!$H$13:$I$518,2,FALSE)</f>
        <v>46</v>
      </c>
      <c r="D527" s="41" t="s">
        <v>1421</v>
      </c>
      <c r="E527" s="148">
        <v>45841</v>
      </c>
      <c r="F527" s="69">
        <v>29070</v>
      </c>
      <c r="G527" s="41">
        <v>13310</v>
      </c>
      <c r="H527" s="40">
        <v>15760</v>
      </c>
      <c r="I527" s="40">
        <v>11313.5</v>
      </c>
      <c r="J527" s="40" t="s">
        <v>1167</v>
      </c>
      <c r="K527" s="35" t="s">
        <v>909</v>
      </c>
      <c r="L527" s="40" t="s">
        <v>1321</v>
      </c>
      <c r="M527" s="40" t="s">
        <v>1408</v>
      </c>
      <c r="N527" s="40"/>
      <c r="O527" s="40"/>
      <c r="P527" s="40"/>
      <c r="Q527" s="40"/>
      <c r="R527" s="40" t="s">
        <v>1409</v>
      </c>
      <c r="S527" s="45"/>
      <c r="T527" s="40" t="s">
        <v>1321</v>
      </c>
      <c r="U527" s="40" t="str">
        <f>Таблица310[[#This Row],[Регистратор.Номенклатура]]</f>
        <v>Тристар</v>
      </c>
      <c r="V527" s="45">
        <f>30*Таблица310[[#This Row],[Регистратор.Вес нетто]]/164930</f>
        <v>2.421027102407082</v>
      </c>
      <c r="W527" s="40" t="s">
        <v>53</v>
      </c>
      <c r="X527" s="40" t="s">
        <v>178</v>
      </c>
      <c r="Y527" s="40">
        <v>10</v>
      </c>
      <c r="Z527" s="103">
        <v>45840</v>
      </c>
      <c r="AA527" s="40"/>
      <c r="AB527" s="40"/>
      <c r="AC527" s="40" t="s">
        <v>419</v>
      </c>
      <c r="AD527" s="40" t="s">
        <v>511</v>
      </c>
      <c r="AE527" s="40" t="s">
        <v>1421</v>
      </c>
      <c r="AF527" s="103">
        <v>45841</v>
      </c>
      <c r="AG527" s="40">
        <v>80</v>
      </c>
      <c r="AH527" s="40">
        <f>VLOOKUP(Таблица310[[#This Row],[№ акта]],'Степень зрелости 2025'!$H$13:$I$583,2,FALSE)</f>
        <v>46</v>
      </c>
      <c r="AI527" s="40" t="str">
        <f>VLOOKUP(Таблица310[[#This Row],[№ акта]],$AQ$1:$AT$594,2,FALSE)</f>
        <v>4.2</v>
      </c>
      <c r="AJ527" s="40" t="str">
        <f>Таблица310[[#This Row],[Регистратор.Номенклатура]]</f>
        <v>Тристар</v>
      </c>
      <c r="AK527" s="40" t="str">
        <f>VLOOKUP(Таблица310[[#This Row],[№ акта]],$AQ$1:$AT$594,4,FALSE)</f>
        <v>Колос (полив)</v>
      </c>
      <c r="AL527" s="45">
        <f>VLOOKUP(Таблица310[[#This Row],[№ акта]],$AQ$1:$AT$594,3,FALSE)</f>
        <v>2.421027102407082</v>
      </c>
      <c r="AM527" s="40" t="str">
        <f>IF(Таблица310[[#This Row],[Площадь уборки, га]]=Таблица310[[#This Row],[Площадь уборки до корр]],"нет","да")</f>
        <v>нет</v>
      </c>
      <c r="AN527" s="45">
        <f>Таблица310[[#This Row],[Площадь уборки до корр]]-Таблица310[[#This Row],[Площадь уборки, га]]</f>
        <v>0</v>
      </c>
      <c r="AQ527" t="s">
        <v>1421</v>
      </c>
      <c r="AR527" t="s">
        <v>1321</v>
      </c>
      <c r="AS527">
        <v>2.421027102407082</v>
      </c>
      <c r="AT527" t="s">
        <v>53</v>
      </c>
      <c r="XFD527" s="40"/>
    </row>
    <row r="528" spans="1:46 16384:16384" ht="22.5" hidden="1" x14ac:dyDescent="0.25">
      <c r="A528" s="40"/>
      <c r="B528" s="42"/>
      <c r="C528" s="40">
        <f>VLOOKUP(Таблица310[[#This Row],[№ акта]],'Степень зрелости 2025'!$H$13:$I$518,2,FALSE)</f>
        <v>53</v>
      </c>
      <c r="D528" s="41" t="s">
        <v>1422</v>
      </c>
      <c r="E528" s="148">
        <v>45841</v>
      </c>
      <c r="F528" s="69">
        <v>28500</v>
      </c>
      <c r="G528" s="41">
        <v>13630</v>
      </c>
      <c r="H528" s="40">
        <v>14870</v>
      </c>
      <c r="I528" s="40">
        <v>10631.4</v>
      </c>
      <c r="J528" s="40" t="s">
        <v>1167</v>
      </c>
      <c r="K528" s="35" t="s">
        <v>909</v>
      </c>
      <c r="L528" s="40" t="s">
        <v>1321</v>
      </c>
      <c r="M528" s="40" t="s">
        <v>894</v>
      </c>
      <c r="N528" s="40"/>
      <c r="O528" s="40"/>
      <c r="P528" s="40"/>
      <c r="Q528" s="40"/>
      <c r="R528" s="40" t="s">
        <v>895</v>
      </c>
      <c r="S528" s="45"/>
      <c r="T528" s="40" t="s">
        <v>1321</v>
      </c>
      <c r="U528" s="40" t="str">
        <f>Таблица310[[#This Row],[Регистратор.Номенклатура]]</f>
        <v>Тристар</v>
      </c>
      <c r="V528" s="45">
        <f>30*Таблица310[[#This Row],[Регистратор.Вес нетто]]/164930</f>
        <v>2.4792336142605955</v>
      </c>
      <c r="W528" s="40" t="s">
        <v>53</v>
      </c>
      <c r="X528" s="40" t="s">
        <v>178</v>
      </c>
      <c r="Y528" s="40">
        <v>10</v>
      </c>
      <c r="Z528" s="103">
        <v>45840</v>
      </c>
      <c r="AA528" s="40"/>
      <c r="AB528" s="40"/>
      <c r="AC528" s="40" t="s">
        <v>724</v>
      </c>
      <c r="AD528" s="40" t="s">
        <v>511</v>
      </c>
      <c r="AE528" s="40" t="s">
        <v>1422</v>
      </c>
      <c r="AF528" s="103">
        <v>45841</v>
      </c>
      <c r="AG528" s="40">
        <v>82</v>
      </c>
      <c r="AH528" s="40">
        <f>VLOOKUP(Таблица310[[#This Row],[№ акта]],'Степень зрелости 2025'!$H$13:$I$583,2,FALSE)</f>
        <v>53</v>
      </c>
      <c r="AI528" s="40" t="str">
        <f>VLOOKUP(Таблица310[[#This Row],[№ акта]],$AQ$1:$AT$594,2,FALSE)</f>
        <v>4.2</v>
      </c>
      <c r="AJ528" s="40" t="str">
        <f>Таблица310[[#This Row],[Регистратор.Номенклатура]]</f>
        <v>Тристар</v>
      </c>
      <c r="AK528" s="40" t="str">
        <f>VLOOKUP(Таблица310[[#This Row],[№ акта]],$AQ$1:$AT$594,4,FALSE)</f>
        <v>Колос (полив)</v>
      </c>
      <c r="AL528" s="45">
        <f>VLOOKUP(Таблица310[[#This Row],[№ акта]],$AQ$1:$AT$594,3,FALSE)</f>
        <v>2.4792336142605955</v>
      </c>
      <c r="AM528" s="40" t="str">
        <f>IF(Таблица310[[#This Row],[Площадь уборки, га]]=Таблица310[[#This Row],[Площадь уборки до корр]],"нет","да")</f>
        <v>нет</v>
      </c>
      <c r="AN528" s="45">
        <f>Таблица310[[#This Row],[Площадь уборки до корр]]-Таблица310[[#This Row],[Площадь уборки, га]]</f>
        <v>0</v>
      </c>
      <c r="AQ528" t="s">
        <v>1422</v>
      </c>
      <c r="AR528" t="s">
        <v>1321</v>
      </c>
      <c r="AS528">
        <v>2.4792336142605955</v>
      </c>
      <c r="AT528" t="s">
        <v>53</v>
      </c>
      <c r="XFD528" s="40"/>
    </row>
    <row r="529" spans="1:46 16384:16384" ht="22.5" hidden="1" x14ac:dyDescent="0.25">
      <c r="A529" s="40"/>
      <c r="B529" s="42"/>
      <c r="C529" s="40">
        <f>VLOOKUP(Таблица310[[#This Row],[№ акта]],'Степень зрелости 2025'!$H$13:$I$518,2,FALSE)</f>
        <v>50</v>
      </c>
      <c r="D529" s="41" t="s">
        <v>1424</v>
      </c>
      <c r="E529" s="148">
        <v>45841</v>
      </c>
      <c r="F529" s="69">
        <v>27310</v>
      </c>
      <c r="G529" s="41">
        <v>13470</v>
      </c>
      <c r="H529" s="40">
        <v>13840</v>
      </c>
      <c r="I529" s="40">
        <v>10506.6</v>
      </c>
      <c r="J529" s="40" t="s">
        <v>1167</v>
      </c>
      <c r="K529" s="35" t="s">
        <v>909</v>
      </c>
      <c r="L529" s="40" t="s">
        <v>1321</v>
      </c>
      <c r="M529" s="40" t="s">
        <v>212</v>
      </c>
      <c r="N529" s="40"/>
      <c r="O529" s="40"/>
      <c r="P529" s="40"/>
      <c r="Q529" s="40"/>
      <c r="R529" s="40" t="s">
        <v>216</v>
      </c>
      <c r="S529" s="45"/>
      <c r="T529" s="40" t="s">
        <v>1321</v>
      </c>
      <c r="U529" s="40" t="str">
        <f>Таблица310[[#This Row],[Регистратор.Номенклатура]]</f>
        <v>Тристар</v>
      </c>
      <c r="V529" s="45">
        <f>30*Таблица310[[#This Row],[Регистратор.Вес нетто]]/164930</f>
        <v>2.4501303583338387</v>
      </c>
      <c r="W529" s="40" t="s">
        <v>53</v>
      </c>
      <c r="X529" s="40" t="s">
        <v>178</v>
      </c>
      <c r="Y529" s="40">
        <v>10</v>
      </c>
      <c r="Z529" s="103">
        <v>45840</v>
      </c>
      <c r="AA529" s="40"/>
      <c r="AB529" s="40"/>
      <c r="AC529" s="40" t="s">
        <v>419</v>
      </c>
      <c r="AD529" s="40" t="s">
        <v>511</v>
      </c>
      <c r="AE529" s="40" t="s">
        <v>1424</v>
      </c>
      <c r="AF529" s="103">
        <v>45841</v>
      </c>
      <c r="AG529" s="40">
        <v>83</v>
      </c>
      <c r="AH529" s="40">
        <f>VLOOKUP(Таблица310[[#This Row],[№ акта]],'Степень зрелости 2025'!$H$13:$I$583,2,FALSE)</f>
        <v>50</v>
      </c>
      <c r="AI529" s="40" t="str">
        <f>VLOOKUP(Таблица310[[#This Row],[№ акта]],$AQ$1:$AT$594,2,FALSE)</f>
        <v>4.2</v>
      </c>
      <c r="AJ529" s="40" t="str">
        <f>Таблица310[[#This Row],[Регистратор.Номенклатура]]</f>
        <v>Тристар</v>
      </c>
      <c r="AK529" s="40" t="str">
        <f>VLOOKUP(Таблица310[[#This Row],[№ акта]],$AQ$1:$AT$594,4,FALSE)</f>
        <v>Колос (полив)</v>
      </c>
      <c r="AL529" s="45">
        <f>VLOOKUP(Таблица310[[#This Row],[№ акта]],$AQ$1:$AT$594,3,FALSE)</f>
        <v>2.4501303583338387</v>
      </c>
      <c r="AM529" s="40" t="str">
        <f>IF(Таблица310[[#This Row],[Площадь уборки, га]]=Таблица310[[#This Row],[Площадь уборки до корр]],"нет","да")</f>
        <v>нет</v>
      </c>
      <c r="AN529" s="45">
        <f>Таблица310[[#This Row],[Площадь уборки до корр]]-Таблица310[[#This Row],[Площадь уборки, га]]</f>
        <v>0</v>
      </c>
      <c r="AQ529" t="s">
        <v>1424</v>
      </c>
      <c r="AR529" t="s">
        <v>1321</v>
      </c>
      <c r="AS529">
        <v>2.4501303583338387</v>
      </c>
      <c r="AT529" t="s">
        <v>53</v>
      </c>
      <c r="XFD529" s="40"/>
    </row>
    <row r="530" spans="1:46 16384:16384" ht="33.75" hidden="1" x14ac:dyDescent="0.25">
      <c r="A530" s="40"/>
      <c r="B530" s="42"/>
      <c r="C530" s="40">
        <v>49</v>
      </c>
      <c r="D530" s="41" t="s">
        <v>1443</v>
      </c>
      <c r="E530" s="148">
        <v>45841</v>
      </c>
      <c r="F530" s="69">
        <v>28560</v>
      </c>
      <c r="G530" s="41">
        <v>13770</v>
      </c>
      <c r="H530" s="40">
        <v>14790</v>
      </c>
      <c r="I530" s="40">
        <v>11429.1</v>
      </c>
      <c r="J530" s="40" t="s">
        <v>1167</v>
      </c>
      <c r="K530" s="35" t="s">
        <v>909</v>
      </c>
      <c r="L530" s="40" t="s">
        <v>1321</v>
      </c>
      <c r="M530" s="40" t="s">
        <v>1253</v>
      </c>
      <c r="N530" s="40"/>
      <c r="O530" s="40"/>
      <c r="P530" s="40"/>
      <c r="Q530" s="40"/>
      <c r="R530" s="40" t="s">
        <v>270</v>
      </c>
      <c r="S530" s="45"/>
      <c r="T530" s="40" t="s">
        <v>1321</v>
      </c>
      <c r="U530" s="40" t="str">
        <f>Таблица310[[#This Row],[Регистратор.Номенклатура]]</f>
        <v>Тристар</v>
      </c>
      <c r="V530" s="45">
        <f>22*Таблица310[[#This Row],[Регистратор.Вес нетто]]/116850</f>
        <v>2.5925545571245188</v>
      </c>
      <c r="W530" s="40" t="s">
        <v>53</v>
      </c>
      <c r="X530" s="40" t="s">
        <v>178</v>
      </c>
      <c r="Y530" s="40">
        <v>11</v>
      </c>
      <c r="Z530" s="103">
        <v>45841</v>
      </c>
      <c r="AA530" s="40"/>
      <c r="AB530" s="40"/>
      <c r="AC530" s="40" t="s">
        <v>419</v>
      </c>
      <c r="AD530" s="40" t="s">
        <v>511</v>
      </c>
      <c r="AE530" s="40" t="s">
        <v>1443</v>
      </c>
      <c r="AF530" s="103">
        <v>45841</v>
      </c>
      <c r="AG530" s="40">
        <v>84</v>
      </c>
      <c r="AH530" s="40">
        <f>VLOOKUP(Таблица310[[#This Row],[№ акта]],'Степень зрелости 2025'!$H$13:$I$583,2,FALSE)</f>
        <v>49</v>
      </c>
      <c r="AI530" s="40" t="str">
        <f>VLOOKUP(Таблица310[[#This Row],[№ акта]],$AQ$1:$AT$594,2,FALSE)</f>
        <v>4.2</v>
      </c>
      <c r="AJ530" s="40" t="str">
        <f>Таблица310[[#This Row],[Регистратор.Номенклатура]]</f>
        <v>Тристар</v>
      </c>
      <c r="AK530" s="40" t="str">
        <f>VLOOKUP(Таблица310[[#This Row],[№ акта]],$AQ$1:$AT$594,4,FALSE)</f>
        <v>Колос (полив)</v>
      </c>
      <c r="AL530" s="45">
        <f>VLOOKUP(Таблица310[[#This Row],[№ акта]],$AQ$1:$AT$594,3,FALSE)</f>
        <v>2.5925545571245188</v>
      </c>
      <c r="AM530" s="40" t="str">
        <f>IF(Таблица310[[#This Row],[Площадь уборки, га]]=Таблица310[[#This Row],[Площадь уборки до корр]],"нет","да")</f>
        <v>нет</v>
      </c>
      <c r="AN530" s="45">
        <f>Таблица310[[#This Row],[Площадь уборки до корр]]-Таблица310[[#This Row],[Площадь уборки, га]]</f>
        <v>0</v>
      </c>
      <c r="AQ530" t="s">
        <v>1443</v>
      </c>
      <c r="AR530" t="s">
        <v>1321</v>
      </c>
      <c r="AS530">
        <v>2.5925545571245188</v>
      </c>
      <c r="AT530" t="s">
        <v>53</v>
      </c>
      <c r="XFD530" s="40"/>
    </row>
    <row r="531" spans="1:46 16384:16384" ht="22.5" hidden="1" x14ac:dyDescent="0.25">
      <c r="A531" s="40"/>
      <c r="B531" s="42"/>
      <c r="C531" s="40">
        <v>53</v>
      </c>
      <c r="D531" s="41" t="s">
        <v>1444</v>
      </c>
      <c r="E531" s="148">
        <v>45841</v>
      </c>
      <c r="F531" s="69">
        <v>29560</v>
      </c>
      <c r="G531" s="41">
        <v>13830</v>
      </c>
      <c r="H531" s="40">
        <v>15730</v>
      </c>
      <c r="I531" s="40">
        <v>11202.3</v>
      </c>
      <c r="J531" s="40" t="s">
        <v>1167</v>
      </c>
      <c r="K531" s="35" t="s">
        <v>909</v>
      </c>
      <c r="L531" s="40" t="s">
        <v>1321</v>
      </c>
      <c r="M531" s="40" t="s">
        <v>1151</v>
      </c>
      <c r="N531" s="40"/>
      <c r="O531" s="40"/>
      <c r="P531" s="40"/>
      <c r="Q531" s="40"/>
      <c r="R531" s="40" t="s">
        <v>145</v>
      </c>
      <c r="S531" s="45"/>
      <c r="T531" s="40" t="s">
        <v>1321</v>
      </c>
      <c r="U531" s="40" t="str">
        <f>Таблица310[[#This Row],[Регистратор.Номенклатура]]</f>
        <v>Тристар</v>
      </c>
      <c r="V531" s="45">
        <f>22*Таблица310[[#This Row],[Регистратор.Вес нетто]]/116850</f>
        <v>2.6038510911424906</v>
      </c>
      <c r="W531" s="40" t="s">
        <v>53</v>
      </c>
      <c r="X531" s="40" t="s">
        <v>178</v>
      </c>
      <c r="Y531" s="40">
        <v>11</v>
      </c>
      <c r="Z531" s="103">
        <v>45841</v>
      </c>
      <c r="AA531" s="40"/>
      <c r="AB531" s="40"/>
      <c r="AC531" s="40" t="s">
        <v>724</v>
      </c>
      <c r="AD531" s="40" t="s">
        <v>511</v>
      </c>
      <c r="AE531" s="40" t="s">
        <v>1444</v>
      </c>
      <c r="AF531" s="103">
        <v>45841</v>
      </c>
      <c r="AG531" s="40">
        <v>85</v>
      </c>
      <c r="AH531" s="40">
        <f>VLOOKUP(Таблица310[[#This Row],[№ акта]],'Степень зрелости 2025'!$H$13:$I$583,2,FALSE)</f>
        <v>53</v>
      </c>
      <c r="AI531" s="40" t="str">
        <f>VLOOKUP(Таблица310[[#This Row],[№ акта]],$AQ$1:$AT$594,2,FALSE)</f>
        <v>4.2</v>
      </c>
      <c r="AJ531" s="40" t="str">
        <f>Таблица310[[#This Row],[Регистратор.Номенклатура]]</f>
        <v>Тристар</v>
      </c>
      <c r="AK531" s="40" t="str">
        <f>VLOOKUP(Таблица310[[#This Row],[№ акта]],$AQ$1:$AT$594,4,FALSE)</f>
        <v>Колос (полив)</v>
      </c>
      <c r="AL531" s="45">
        <f>VLOOKUP(Таблица310[[#This Row],[№ акта]],$AQ$1:$AT$594,3,FALSE)</f>
        <v>2.6038510911424906</v>
      </c>
      <c r="AM531" s="40" t="str">
        <f>IF(Таблица310[[#This Row],[Площадь уборки, га]]=Таблица310[[#This Row],[Площадь уборки до корр]],"нет","да")</f>
        <v>нет</v>
      </c>
      <c r="AN531" s="45">
        <f>Таблица310[[#This Row],[Площадь уборки до корр]]-Таблица310[[#This Row],[Площадь уборки, га]]</f>
        <v>0</v>
      </c>
      <c r="AQ531" t="s">
        <v>1444</v>
      </c>
      <c r="AR531" t="s">
        <v>1321</v>
      </c>
      <c r="AS531">
        <v>2.6038510911424906</v>
      </c>
      <c r="AT531" t="s">
        <v>53</v>
      </c>
      <c r="XFD531" s="40"/>
    </row>
    <row r="532" spans="1:46 16384:16384" ht="22.5" hidden="1" x14ac:dyDescent="0.25">
      <c r="A532" s="40"/>
      <c r="B532" s="42"/>
      <c r="C532" s="40">
        <v>52</v>
      </c>
      <c r="D532" s="41" t="s">
        <v>1445</v>
      </c>
      <c r="E532" s="148">
        <v>45841</v>
      </c>
      <c r="F532" s="69">
        <v>28510</v>
      </c>
      <c r="G532" s="41">
        <v>13730</v>
      </c>
      <c r="H532" s="40">
        <v>14780</v>
      </c>
      <c r="I532" s="40">
        <v>12082.4</v>
      </c>
      <c r="J532" s="40" t="s">
        <v>1167</v>
      </c>
      <c r="K532" s="35" t="s">
        <v>909</v>
      </c>
      <c r="L532" s="40" t="s">
        <v>1321</v>
      </c>
      <c r="M532" s="40" t="s">
        <v>272</v>
      </c>
      <c r="N532" s="40"/>
      <c r="O532" s="40"/>
      <c r="P532" s="40"/>
      <c r="Q532" s="40"/>
      <c r="R532" s="40" t="s">
        <v>276</v>
      </c>
      <c r="S532" s="45"/>
      <c r="T532" s="40" t="s">
        <v>1321</v>
      </c>
      <c r="U532" s="40" t="str">
        <f>Таблица310[[#This Row],[Регистратор.Номенклатура]]</f>
        <v>Тристар</v>
      </c>
      <c r="V532" s="45">
        <f>22*Таблица310[[#This Row],[Регистратор.Вес нетто]]/116850</f>
        <v>2.5850235344458707</v>
      </c>
      <c r="W532" s="40" t="s">
        <v>53</v>
      </c>
      <c r="X532" s="40" t="s">
        <v>178</v>
      </c>
      <c r="Y532" s="40">
        <v>11</v>
      </c>
      <c r="Z532" s="103">
        <v>45841</v>
      </c>
      <c r="AA532" s="40"/>
      <c r="AB532" s="40"/>
      <c r="AC532" s="40" t="s">
        <v>419</v>
      </c>
      <c r="AD532" s="40" t="s">
        <v>511</v>
      </c>
      <c r="AE532" s="40" t="s">
        <v>1445</v>
      </c>
      <c r="AF532" s="103">
        <v>45841</v>
      </c>
      <c r="AG532" s="40">
        <v>86</v>
      </c>
      <c r="AH532" s="40">
        <f>VLOOKUP(Таблица310[[#This Row],[№ акта]],'Степень зрелости 2025'!$H$13:$I$583,2,FALSE)</f>
        <v>52</v>
      </c>
      <c r="AI532" s="40" t="str">
        <f>VLOOKUP(Таблица310[[#This Row],[№ акта]],$AQ$1:$AT$594,2,FALSE)</f>
        <v>4.2</v>
      </c>
      <c r="AJ532" s="40" t="str">
        <f>Таблица310[[#This Row],[Регистратор.Номенклатура]]</f>
        <v>Тристар</v>
      </c>
      <c r="AK532" s="40" t="str">
        <f>VLOOKUP(Таблица310[[#This Row],[№ акта]],$AQ$1:$AT$594,4,FALSE)</f>
        <v>Колос (полив)</v>
      </c>
      <c r="AL532" s="45">
        <f>VLOOKUP(Таблица310[[#This Row],[№ акта]],$AQ$1:$AT$594,3,FALSE)</f>
        <v>2.5850235344458707</v>
      </c>
      <c r="AM532" s="40" t="str">
        <f>IF(Таблица310[[#This Row],[Площадь уборки, га]]=Таблица310[[#This Row],[Площадь уборки до корр]],"нет","да")</f>
        <v>нет</v>
      </c>
      <c r="AN532" s="45">
        <f>Таблица310[[#This Row],[Площадь уборки до корр]]-Таблица310[[#This Row],[Площадь уборки, га]]</f>
        <v>0</v>
      </c>
      <c r="AQ532" t="s">
        <v>1445</v>
      </c>
      <c r="AR532" t="s">
        <v>1321</v>
      </c>
      <c r="AS532">
        <v>2.5850235344458707</v>
      </c>
      <c r="AT532" t="s">
        <v>53</v>
      </c>
      <c r="XFD532" s="40"/>
    </row>
    <row r="533" spans="1:46 16384:16384" ht="33.75" hidden="1" x14ac:dyDescent="0.25">
      <c r="A533" s="40"/>
      <c r="B533" s="42"/>
      <c r="C533" s="40">
        <v>48</v>
      </c>
      <c r="D533" s="41" t="s">
        <v>1446</v>
      </c>
      <c r="E533" s="148">
        <v>45841</v>
      </c>
      <c r="F533" s="69">
        <v>28700</v>
      </c>
      <c r="G533" s="41">
        <v>13920</v>
      </c>
      <c r="H533" s="40">
        <v>14780</v>
      </c>
      <c r="I533" s="40">
        <v>11553.6</v>
      </c>
      <c r="J533" s="40" t="s">
        <v>1167</v>
      </c>
      <c r="K533" s="35" t="s">
        <v>909</v>
      </c>
      <c r="L533" s="40" t="s">
        <v>1321</v>
      </c>
      <c r="M533" s="40" t="s">
        <v>1367</v>
      </c>
      <c r="N533" s="40"/>
      <c r="O533" s="40"/>
      <c r="P533" s="40"/>
      <c r="Q533" s="40"/>
      <c r="R533" s="40" t="s">
        <v>1368</v>
      </c>
      <c r="S533" s="45"/>
      <c r="T533" s="40" t="s">
        <v>1321</v>
      </c>
      <c r="U533" s="40" t="str">
        <f>Таблица310[[#This Row],[Регистратор.Номенклатура]]</f>
        <v>Тристар</v>
      </c>
      <c r="V533" s="45">
        <f>22*Таблица310[[#This Row],[Регистратор.Вес нетто]]/116850</f>
        <v>2.6207958921694479</v>
      </c>
      <c r="W533" s="40" t="s">
        <v>53</v>
      </c>
      <c r="X533" s="40" t="s">
        <v>178</v>
      </c>
      <c r="Y533" s="40">
        <v>11</v>
      </c>
      <c r="Z533" s="103">
        <v>45841</v>
      </c>
      <c r="AA533" s="40"/>
      <c r="AB533" s="40"/>
      <c r="AC533" s="40" t="s">
        <v>419</v>
      </c>
      <c r="AD533" s="40" t="s">
        <v>511</v>
      </c>
      <c r="AE533" s="40" t="s">
        <v>1446</v>
      </c>
      <c r="AF533" s="103">
        <v>45841</v>
      </c>
      <c r="AG533" s="40">
        <v>87</v>
      </c>
      <c r="AH533" s="40">
        <f>VLOOKUP(Таблица310[[#This Row],[№ акта]],'Степень зрелости 2025'!$H$13:$I$583,2,FALSE)</f>
        <v>48</v>
      </c>
      <c r="AI533" s="40" t="str">
        <f>VLOOKUP(Таблица310[[#This Row],[№ акта]],$AQ$1:$AT$594,2,FALSE)</f>
        <v>4.2</v>
      </c>
      <c r="AJ533" s="40" t="str">
        <f>Таблица310[[#This Row],[Регистратор.Номенклатура]]</f>
        <v>Тристар</v>
      </c>
      <c r="AK533" s="40" t="str">
        <f>VLOOKUP(Таблица310[[#This Row],[№ акта]],$AQ$1:$AT$594,4,FALSE)</f>
        <v>Колос (полив)</v>
      </c>
      <c r="AL533" s="45">
        <f>VLOOKUP(Таблица310[[#This Row],[№ акта]],$AQ$1:$AT$594,3,FALSE)</f>
        <v>2.6207958921694479</v>
      </c>
      <c r="AM533" s="40" t="str">
        <f>IF(Таблица310[[#This Row],[Площадь уборки, га]]=Таблица310[[#This Row],[Площадь уборки до корр]],"нет","да")</f>
        <v>нет</v>
      </c>
      <c r="AN533" s="45">
        <f>Таблица310[[#This Row],[Площадь уборки до корр]]-Таблица310[[#This Row],[Площадь уборки, га]]</f>
        <v>0</v>
      </c>
      <c r="AQ533" t="s">
        <v>1446</v>
      </c>
      <c r="AR533" t="s">
        <v>1321</v>
      </c>
      <c r="AS533">
        <v>2.6207958921694479</v>
      </c>
      <c r="AT533" t="s">
        <v>53</v>
      </c>
      <c r="XFD533" s="40"/>
    </row>
    <row r="534" spans="1:46 16384:16384" ht="22.5" hidden="1" x14ac:dyDescent="0.25">
      <c r="A534" s="40"/>
      <c r="B534" s="42"/>
      <c r="C534" s="40">
        <v>54</v>
      </c>
      <c r="D534" s="41" t="s">
        <v>1447</v>
      </c>
      <c r="E534" s="148">
        <v>45841</v>
      </c>
      <c r="F534" s="69">
        <v>37980</v>
      </c>
      <c r="G534" s="41">
        <v>13960</v>
      </c>
      <c r="H534" s="40">
        <v>24020</v>
      </c>
      <c r="I534" s="40">
        <v>12005.6</v>
      </c>
      <c r="J534" s="40" t="s">
        <v>1167</v>
      </c>
      <c r="K534" s="35" t="s">
        <v>909</v>
      </c>
      <c r="L534" s="40" t="s">
        <v>1321</v>
      </c>
      <c r="M534" s="40" t="s">
        <v>160</v>
      </c>
      <c r="N534" s="40"/>
      <c r="O534" s="40"/>
      <c r="P534" s="40"/>
      <c r="Q534" s="40"/>
      <c r="R534" s="40" t="s">
        <v>164</v>
      </c>
      <c r="S534" s="45"/>
      <c r="T534" s="40" t="s">
        <v>1321</v>
      </c>
      <c r="U534" s="40" t="str">
        <f>Таблица310[[#This Row],[Регистратор.Номенклатура]]</f>
        <v>Тристар</v>
      </c>
      <c r="V534" s="45">
        <f>22*Таблица310[[#This Row],[Регистратор.Вес нетто]]/116850</f>
        <v>2.6283269148480959</v>
      </c>
      <c r="W534" s="40" t="s">
        <v>53</v>
      </c>
      <c r="X534" s="40" t="s">
        <v>178</v>
      </c>
      <c r="Y534" s="40">
        <v>11</v>
      </c>
      <c r="Z534" s="103">
        <v>45841</v>
      </c>
      <c r="AA534" s="40"/>
      <c r="AB534" s="40"/>
      <c r="AC534" s="40" t="s">
        <v>724</v>
      </c>
      <c r="AD534" s="40" t="s">
        <v>511</v>
      </c>
      <c r="AE534" s="40" t="s">
        <v>1447</v>
      </c>
      <c r="AF534" s="103">
        <v>45841</v>
      </c>
      <c r="AG534" s="40">
        <v>88</v>
      </c>
      <c r="AH534" s="40">
        <f>VLOOKUP(Таблица310[[#This Row],[№ акта]],'Степень зрелости 2025'!$H$13:$I$583,2,FALSE)</f>
        <v>54</v>
      </c>
      <c r="AI534" s="40" t="str">
        <f>VLOOKUP(Таблица310[[#This Row],[№ акта]],$AQ$1:$AT$594,2,FALSE)</f>
        <v>4.2</v>
      </c>
      <c r="AJ534" s="40" t="str">
        <f>Таблица310[[#This Row],[Регистратор.Номенклатура]]</f>
        <v>Тристар</v>
      </c>
      <c r="AK534" s="40" t="str">
        <f>VLOOKUP(Таблица310[[#This Row],[№ акта]],$AQ$1:$AT$594,4,FALSE)</f>
        <v>Колос (полив)</v>
      </c>
      <c r="AL534" s="45">
        <f>VLOOKUP(Таблица310[[#This Row],[№ акта]],$AQ$1:$AT$594,3,FALSE)</f>
        <v>2.6283269148480959</v>
      </c>
      <c r="AM534" s="40" t="str">
        <f>IF(Таблица310[[#This Row],[Площадь уборки, га]]=Таблица310[[#This Row],[Площадь уборки до корр]],"нет","да")</f>
        <v>нет</v>
      </c>
      <c r="AN534" s="45">
        <f>Таблица310[[#This Row],[Площадь уборки до корр]]-Таблица310[[#This Row],[Площадь уборки, га]]</f>
        <v>0</v>
      </c>
      <c r="AQ534" t="s">
        <v>1447</v>
      </c>
      <c r="AR534" t="s">
        <v>1321</v>
      </c>
      <c r="AS534">
        <v>2.6283269148480959</v>
      </c>
      <c r="AT534" t="s">
        <v>53</v>
      </c>
      <c r="XFD534" s="40"/>
    </row>
    <row r="535" spans="1:46 16384:16384" ht="22.5" hidden="1" x14ac:dyDescent="0.25">
      <c r="A535" s="40"/>
      <c r="B535" s="42"/>
      <c r="C535" s="40">
        <v>52</v>
      </c>
      <c r="D535" s="41" t="s">
        <v>1448</v>
      </c>
      <c r="E535" s="148">
        <v>45841</v>
      </c>
      <c r="F535" s="69">
        <v>28940</v>
      </c>
      <c r="G535" s="41">
        <v>14070</v>
      </c>
      <c r="H535" s="40">
        <v>14870</v>
      </c>
      <c r="I535" s="40">
        <v>12311.2</v>
      </c>
      <c r="J535" s="40" t="s">
        <v>1167</v>
      </c>
      <c r="K535" s="35" t="s">
        <v>909</v>
      </c>
      <c r="L535" s="40" t="s">
        <v>1321</v>
      </c>
      <c r="M535" s="40" t="s">
        <v>1461</v>
      </c>
      <c r="N535" s="40"/>
      <c r="O535" s="40"/>
      <c r="P535" s="40"/>
      <c r="Q535" s="40"/>
      <c r="R535" s="40" t="s">
        <v>149</v>
      </c>
      <c r="S535" s="45"/>
      <c r="T535" s="40" t="s">
        <v>1321</v>
      </c>
      <c r="U535" s="40" t="str">
        <f>Таблица310[[#This Row],[Регистратор.Номенклатура]]</f>
        <v>Тристар</v>
      </c>
      <c r="V535" s="45">
        <f>22*Таблица310[[#This Row],[Регистратор.Вес нетто]]/116850</f>
        <v>2.6490372272143774</v>
      </c>
      <c r="W535" s="40" t="s">
        <v>53</v>
      </c>
      <c r="X535" s="40" t="s">
        <v>178</v>
      </c>
      <c r="Y535" s="40">
        <v>11</v>
      </c>
      <c r="Z535" s="103">
        <v>45841</v>
      </c>
      <c r="AA535" s="40"/>
      <c r="AB535" s="40"/>
      <c r="AC535" s="40" t="s">
        <v>419</v>
      </c>
      <c r="AD535" s="40" t="s">
        <v>511</v>
      </c>
      <c r="AE535" s="40" t="s">
        <v>1448</v>
      </c>
      <c r="AF535" s="103">
        <v>45841</v>
      </c>
      <c r="AG535" s="40">
        <v>89</v>
      </c>
      <c r="AH535" s="40">
        <f>VLOOKUP(Таблица310[[#This Row],[№ акта]],'Степень зрелости 2025'!$H$13:$I$583,2,FALSE)</f>
        <v>52</v>
      </c>
      <c r="AI535" s="40" t="str">
        <f>VLOOKUP(Таблица310[[#This Row],[№ акта]],$AQ$1:$AT$594,2,FALSE)</f>
        <v>4.2</v>
      </c>
      <c r="AJ535" s="40" t="str">
        <f>Таблица310[[#This Row],[Регистратор.Номенклатура]]</f>
        <v>Тристар</v>
      </c>
      <c r="AK535" s="40" t="str">
        <f>VLOOKUP(Таблица310[[#This Row],[№ акта]],$AQ$1:$AT$594,4,FALSE)</f>
        <v>Колос (полив)</v>
      </c>
      <c r="AL535" s="45">
        <f>VLOOKUP(Таблица310[[#This Row],[№ акта]],$AQ$1:$AT$594,3,FALSE)</f>
        <v>2.6490372272143774</v>
      </c>
      <c r="AM535" s="40" t="str">
        <f>IF(Таблица310[[#This Row],[Площадь уборки, га]]=Таблица310[[#This Row],[Площадь уборки до корр]],"нет","да")</f>
        <v>нет</v>
      </c>
      <c r="AN535" s="45">
        <f>Таблица310[[#This Row],[Площадь уборки до корр]]-Таблица310[[#This Row],[Площадь уборки, га]]</f>
        <v>0</v>
      </c>
      <c r="AQ535" t="s">
        <v>1448</v>
      </c>
      <c r="AR535" t="s">
        <v>1321</v>
      </c>
      <c r="AS535">
        <v>2.6490372272143774</v>
      </c>
      <c r="AT535" t="s">
        <v>53</v>
      </c>
      <c r="XFD535" s="40"/>
    </row>
    <row r="536" spans="1:46 16384:16384" ht="22.5" hidden="1" x14ac:dyDescent="0.25">
      <c r="A536" s="40"/>
      <c r="B536" s="42"/>
      <c r="C536" s="40">
        <v>53</v>
      </c>
      <c r="D536" s="41" t="s">
        <v>1449</v>
      </c>
      <c r="E536" s="148">
        <v>45841</v>
      </c>
      <c r="F536" s="69">
        <v>28690</v>
      </c>
      <c r="G536" s="41">
        <v>14000</v>
      </c>
      <c r="H536" s="40">
        <v>14690</v>
      </c>
      <c r="I536" s="40">
        <v>11830</v>
      </c>
      <c r="J536" s="40" t="s">
        <v>1167</v>
      </c>
      <c r="K536" s="35" t="s">
        <v>909</v>
      </c>
      <c r="L536" s="40" t="s">
        <v>1321</v>
      </c>
      <c r="M536" s="40" t="s">
        <v>335</v>
      </c>
      <c r="N536" s="40"/>
      <c r="O536" s="40"/>
      <c r="P536" s="40"/>
      <c r="Q536" s="40"/>
      <c r="R536" s="40" t="s">
        <v>339</v>
      </c>
      <c r="S536" s="45"/>
      <c r="T536" s="40" t="s">
        <v>1321</v>
      </c>
      <c r="U536" s="40" t="str">
        <f>Таблица310[[#This Row],[Регистратор.Номенклатура]]</f>
        <v>Тристар</v>
      </c>
      <c r="V536" s="45">
        <f>22*Таблица310[[#This Row],[Регистратор.Вес нетто]]/116850</f>
        <v>2.6358579375267439</v>
      </c>
      <c r="W536" s="40" t="s">
        <v>53</v>
      </c>
      <c r="X536" s="40" t="s">
        <v>178</v>
      </c>
      <c r="Y536" s="40">
        <v>11</v>
      </c>
      <c r="Z536" s="103">
        <v>45841</v>
      </c>
      <c r="AA536" s="40"/>
      <c r="AB536" s="40"/>
      <c r="AC536" s="40" t="s">
        <v>724</v>
      </c>
      <c r="AD536" s="40" t="s">
        <v>511</v>
      </c>
      <c r="AE536" s="40" t="s">
        <v>1449</v>
      </c>
      <c r="AF536" s="103">
        <v>45841</v>
      </c>
      <c r="AG536" s="40">
        <v>90</v>
      </c>
      <c r="AH536" s="40">
        <f>VLOOKUP(Таблица310[[#This Row],[№ акта]],'Степень зрелости 2025'!$H$13:$I$583,2,FALSE)</f>
        <v>53</v>
      </c>
      <c r="AI536" s="40" t="str">
        <f>VLOOKUP(Таблица310[[#This Row],[№ акта]],$AQ$1:$AT$594,2,FALSE)</f>
        <v>4.2</v>
      </c>
      <c r="AJ536" s="40" t="str">
        <f>Таблица310[[#This Row],[Регистратор.Номенклатура]]</f>
        <v>Тристар</v>
      </c>
      <c r="AK536" s="40" t="str">
        <f>VLOOKUP(Таблица310[[#This Row],[№ акта]],$AQ$1:$AT$594,4,FALSE)</f>
        <v>Колос (полив)</v>
      </c>
      <c r="AL536" s="45">
        <f>VLOOKUP(Таблица310[[#This Row],[№ акта]],$AQ$1:$AT$594,3,FALSE)</f>
        <v>2.6358579375267439</v>
      </c>
      <c r="AM536" s="40" t="str">
        <f>IF(Таблица310[[#This Row],[Площадь уборки, га]]=Таблица310[[#This Row],[Площадь уборки до корр]],"нет","да")</f>
        <v>нет</v>
      </c>
      <c r="AN536" s="45">
        <f>Таблица310[[#This Row],[Площадь уборки до корр]]-Таблица310[[#This Row],[Площадь уборки, га]]</f>
        <v>0</v>
      </c>
      <c r="AQ536" t="s">
        <v>1449</v>
      </c>
      <c r="AR536" t="s">
        <v>1321</v>
      </c>
      <c r="AS536">
        <v>2.6358579375267439</v>
      </c>
      <c r="AT536" t="s">
        <v>53</v>
      </c>
      <c r="XFD536" s="40"/>
    </row>
    <row r="537" spans="1:46 16384:16384" ht="22.5" hidden="1" x14ac:dyDescent="0.25">
      <c r="A537" s="40"/>
      <c r="B537" s="42"/>
      <c r="C537" s="40">
        <v>53</v>
      </c>
      <c r="D537" s="41" t="s">
        <v>1450</v>
      </c>
      <c r="E537" s="148">
        <v>45841</v>
      </c>
      <c r="F537" s="69">
        <v>38090</v>
      </c>
      <c r="G537" s="41">
        <v>13890</v>
      </c>
      <c r="H537" s="40">
        <v>24200</v>
      </c>
      <c r="I537" s="40">
        <v>11667.6</v>
      </c>
      <c r="J537" s="40" t="s">
        <v>1167</v>
      </c>
      <c r="K537" s="35" t="s">
        <v>909</v>
      </c>
      <c r="L537" s="40" t="s">
        <v>1321</v>
      </c>
      <c r="M537" s="40" t="s">
        <v>1373</v>
      </c>
      <c r="N537" s="40"/>
      <c r="O537" s="40"/>
      <c r="P537" s="40"/>
      <c r="Q537" s="40"/>
      <c r="R537" s="40" t="s">
        <v>1374</v>
      </c>
      <c r="S537" s="45"/>
      <c r="T537" s="40" t="s">
        <v>1321</v>
      </c>
      <c r="U537" s="40" t="str">
        <f>Таблица310[[#This Row],[Регистратор.Номенклатура]]</f>
        <v>Тристар</v>
      </c>
      <c r="V537" s="45">
        <f>22*Таблица310[[#This Row],[Регистратор.Вес нетто]]/116850</f>
        <v>2.615147625160462</v>
      </c>
      <c r="W537" s="40" t="s">
        <v>53</v>
      </c>
      <c r="X537" s="40" t="s">
        <v>178</v>
      </c>
      <c r="Y537" s="40">
        <v>11</v>
      </c>
      <c r="Z537" s="103">
        <v>45841</v>
      </c>
      <c r="AA537" s="40"/>
      <c r="AB537" s="40"/>
      <c r="AC537" s="40" t="s">
        <v>724</v>
      </c>
      <c r="AD537" s="40" t="s">
        <v>511</v>
      </c>
      <c r="AE537" s="40" t="s">
        <v>1450</v>
      </c>
      <c r="AF537" s="103">
        <v>45841</v>
      </c>
      <c r="AG537" s="40">
        <v>91</v>
      </c>
      <c r="AH537" s="40">
        <f>VLOOKUP(Таблица310[[#This Row],[№ акта]],'Степень зрелости 2025'!$H$13:$I$583,2,FALSE)</f>
        <v>53</v>
      </c>
      <c r="AI537" s="40" t="str">
        <f>VLOOKUP(Таблица310[[#This Row],[№ акта]],$AQ$1:$AT$594,2,FALSE)</f>
        <v>4.2</v>
      </c>
      <c r="AJ537" s="40" t="str">
        <f>Таблица310[[#This Row],[Регистратор.Номенклатура]]</f>
        <v>Тристар</v>
      </c>
      <c r="AK537" s="40" t="str">
        <f>VLOOKUP(Таблица310[[#This Row],[№ акта]],$AQ$1:$AT$594,4,FALSE)</f>
        <v>Колос (полив)</v>
      </c>
      <c r="AL537" s="45">
        <f>VLOOKUP(Таблица310[[#This Row],[№ акта]],$AQ$1:$AT$594,3,FALSE)</f>
        <v>2.615147625160462</v>
      </c>
      <c r="AM537" s="40" t="str">
        <f>IF(Таблица310[[#This Row],[Площадь уборки, га]]=Таблица310[[#This Row],[Площадь уборки до корр]],"нет","да")</f>
        <v>нет</v>
      </c>
      <c r="AN537" s="45">
        <f>Таблица310[[#This Row],[Площадь уборки до корр]]-Таблица310[[#This Row],[Площадь уборки, га]]</f>
        <v>0</v>
      </c>
      <c r="AQ537" t="s">
        <v>1450</v>
      </c>
      <c r="AR537" t="s">
        <v>1321</v>
      </c>
      <c r="AS537">
        <v>2.615147625160462</v>
      </c>
      <c r="AT537" t="s">
        <v>53</v>
      </c>
      <c r="XFD537" s="40"/>
    </row>
    <row r="538" spans="1:46 16384:16384" ht="22.5" hidden="1" x14ac:dyDescent="0.25">
      <c r="A538" s="40"/>
      <c r="B538" s="42"/>
      <c r="C538" s="40">
        <v>58</v>
      </c>
      <c r="D538" s="41" t="s">
        <v>1451</v>
      </c>
      <c r="E538" s="148">
        <v>45842</v>
      </c>
      <c r="F538" s="69">
        <v>29440</v>
      </c>
      <c r="G538" s="41">
        <v>8070</v>
      </c>
      <c r="H538" s="40">
        <v>21370</v>
      </c>
      <c r="I538" s="40">
        <v>7141.9</v>
      </c>
      <c r="J538" s="40" t="s">
        <v>1167</v>
      </c>
      <c r="K538" s="35" t="s">
        <v>1318</v>
      </c>
      <c r="L538" s="40" t="s">
        <v>1168</v>
      </c>
      <c r="M538" s="40" t="s">
        <v>1376</v>
      </c>
      <c r="N538" s="40"/>
      <c r="O538" s="40"/>
      <c r="P538" s="40"/>
      <c r="Q538" s="40"/>
      <c r="R538" s="40" t="s">
        <v>1377</v>
      </c>
      <c r="S538" s="45"/>
      <c r="T538" s="40" t="s">
        <v>1168</v>
      </c>
      <c r="U538" s="40" t="str">
        <f>Таблица310[[#This Row],[Регистратор.Номенклатура]]</f>
        <v>Парус</v>
      </c>
      <c r="V538" s="45">
        <f>14*Таблица310[[#This Row],[Регистратор.Вес нетто]]/87230</f>
        <v>1.2951966066720164</v>
      </c>
      <c r="W538" s="40" t="s">
        <v>53</v>
      </c>
      <c r="X538" s="40" t="s">
        <v>178</v>
      </c>
      <c r="Y538" s="40">
        <v>11</v>
      </c>
      <c r="Z538" s="103">
        <v>45841</v>
      </c>
      <c r="AA538" s="40"/>
      <c r="AB538" s="40"/>
      <c r="AC538" s="40" t="s">
        <v>724</v>
      </c>
      <c r="AD538" s="40" t="s">
        <v>511</v>
      </c>
      <c r="AE538" s="40" t="s">
        <v>1451</v>
      </c>
      <c r="AF538" s="103">
        <v>45842</v>
      </c>
      <c r="AG538" s="40">
        <v>95</v>
      </c>
      <c r="AH538" s="40">
        <f>VLOOKUP(Таблица310[[#This Row],[№ акта]],'Степень зрелости 2025'!$H$13:$I$583,2,FALSE)</f>
        <v>58</v>
      </c>
      <c r="AI538" s="40" t="str">
        <f>VLOOKUP(Таблица310[[#This Row],[№ акта]],$AQ$1:$AT$594,2,FALSE)</f>
        <v>4.1</v>
      </c>
      <c r="AJ538" s="40" t="str">
        <f>Таблица310[[#This Row],[Регистратор.Номенклатура]]</f>
        <v>Парус</v>
      </c>
      <c r="AK538" s="40" t="str">
        <f>VLOOKUP(Таблица310[[#This Row],[№ акта]],$AQ$1:$AT$594,4,FALSE)</f>
        <v>Колос (полив)</v>
      </c>
      <c r="AL538" s="45">
        <f>VLOOKUP(Таблица310[[#This Row],[№ акта]],$AQ$1:$AT$594,3,FALSE)</f>
        <v>1.2951966066720164</v>
      </c>
      <c r="AM538" s="40" t="str">
        <f>IF(Таблица310[[#This Row],[Площадь уборки, га]]=Таблица310[[#This Row],[Площадь уборки до корр]],"нет","да")</f>
        <v>нет</v>
      </c>
      <c r="AN538" s="45">
        <f>Таблица310[[#This Row],[Площадь уборки до корр]]-Таблица310[[#This Row],[Площадь уборки, га]]</f>
        <v>0</v>
      </c>
      <c r="AQ538" t="s">
        <v>1451</v>
      </c>
      <c r="AR538" t="s">
        <v>1168</v>
      </c>
      <c r="AS538">
        <v>1.2951966066720164</v>
      </c>
      <c r="AT538" t="s">
        <v>53</v>
      </c>
      <c r="XFD538" s="40"/>
    </row>
    <row r="539" spans="1:46 16384:16384" ht="22.5" hidden="1" x14ac:dyDescent="0.25">
      <c r="A539" s="40"/>
      <c r="B539" s="42"/>
      <c r="C539" s="40">
        <v>54</v>
      </c>
      <c r="D539" s="41" t="s">
        <v>1452</v>
      </c>
      <c r="E539" s="148">
        <v>45842</v>
      </c>
      <c r="F539" s="69">
        <v>21370</v>
      </c>
      <c r="G539" s="41">
        <v>5680</v>
      </c>
      <c r="H539" s="40">
        <v>15690</v>
      </c>
      <c r="I539" s="40">
        <v>4799.6000000000004</v>
      </c>
      <c r="J539" s="40" t="s">
        <v>1167</v>
      </c>
      <c r="K539" s="35" t="s">
        <v>909</v>
      </c>
      <c r="L539" s="40" t="s">
        <v>1321</v>
      </c>
      <c r="M539" s="40" t="s">
        <v>1376</v>
      </c>
      <c r="N539" s="40"/>
      <c r="O539" s="40"/>
      <c r="P539" s="40"/>
      <c r="Q539" s="40"/>
      <c r="R539" s="40" t="s">
        <v>1377</v>
      </c>
      <c r="S539" s="45"/>
      <c r="T539" s="40" t="s">
        <v>1321</v>
      </c>
      <c r="U539" s="40" t="str">
        <f>Таблица310[[#This Row],[Регистратор.Номенклатура]]</f>
        <v>Тристар</v>
      </c>
      <c r="V539" s="45">
        <f>11.7*Таблица310[[#This Row],[Регистратор.Вес нетто]]/112950</f>
        <v>0.58836653386454185</v>
      </c>
      <c r="W539" s="40" t="s">
        <v>53</v>
      </c>
      <c r="X539" s="40" t="s">
        <v>178</v>
      </c>
      <c r="Y539" s="40">
        <v>11</v>
      </c>
      <c r="Z539" s="103">
        <v>45841</v>
      </c>
      <c r="AA539" s="40"/>
      <c r="AB539" s="40" t="s">
        <v>1628</v>
      </c>
      <c r="AC539" s="40" t="s">
        <v>724</v>
      </c>
      <c r="AD539" s="40" t="s">
        <v>511</v>
      </c>
      <c r="AE539" s="40" t="s">
        <v>1452</v>
      </c>
      <c r="AF539" s="103">
        <v>45842</v>
      </c>
      <c r="AG539" s="40">
        <v>95</v>
      </c>
      <c r="AH539" s="40">
        <f>VLOOKUP(Таблица310[[#This Row],[№ акта]],'Степень зрелости 2025'!$H$13:$I$583,2,FALSE)</f>
        <v>54</v>
      </c>
      <c r="AI539" s="40" t="str">
        <f>VLOOKUP(Таблица310[[#This Row],[№ акта]],$AQ$1:$AT$594,2,FALSE)</f>
        <v>4.2</v>
      </c>
      <c r="AJ539" s="40" t="str">
        <f>Таблица310[[#This Row],[Регистратор.Номенклатура]]</f>
        <v>Тристар</v>
      </c>
      <c r="AK539" s="40" t="str">
        <f>VLOOKUP(Таблица310[[#This Row],[№ акта]],$AQ$1:$AT$594,4,FALSE)</f>
        <v>Колос (полив)</v>
      </c>
      <c r="AL539" s="45">
        <f>VLOOKUP(Таблица310[[#This Row],[№ акта]],$AQ$1:$AT$594,3,FALSE)</f>
        <v>1.0694052203679931</v>
      </c>
      <c r="AM539" s="40" t="str">
        <f>IF(Таблица310[[#This Row],[Площадь уборки, га]]=Таблица310[[#This Row],[Площадь уборки до корр]],"нет","да")</f>
        <v>да</v>
      </c>
      <c r="AN539" s="45">
        <f>Таблица310[[#This Row],[Площадь уборки до корр]]-Таблица310[[#This Row],[Площадь уборки, га]]</f>
        <v>0.48103868650345127</v>
      </c>
      <c r="AQ539" t="s">
        <v>1452</v>
      </c>
      <c r="AR539" t="s">
        <v>1321</v>
      </c>
      <c r="AS539">
        <v>1.0694052203679931</v>
      </c>
      <c r="AT539" t="s">
        <v>53</v>
      </c>
      <c r="XFD539" s="40"/>
    </row>
    <row r="540" spans="1:46 16384:16384" ht="22.5" hidden="1" x14ac:dyDescent="0.25">
      <c r="A540" s="40"/>
      <c r="B540" s="42"/>
      <c r="C540" s="40">
        <v>59</v>
      </c>
      <c r="D540" s="41" t="s">
        <v>1453</v>
      </c>
      <c r="E540" s="148">
        <v>45842</v>
      </c>
      <c r="F540" s="69">
        <v>28830</v>
      </c>
      <c r="G540" s="41">
        <v>13210</v>
      </c>
      <c r="H540" s="40">
        <v>15620</v>
      </c>
      <c r="I540" s="40">
        <v>11955</v>
      </c>
      <c r="J540" s="40" t="s">
        <v>1167</v>
      </c>
      <c r="K540" s="35" t="s">
        <v>1318</v>
      </c>
      <c r="L540" s="40" t="s">
        <v>1168</v>
      </c>
      <c r="M540" s="40" t="s">
        <v>1408</v>
      </c>
      <c r="N540" s="40"/>
      <c r="O540" s="40"/>
      <c r="P540" s="40"/>
      <c r="Q540" s="40"/>
      <c r="R540" s="40" t="s">
        <v>1409</v>
      </c>
      <c r="S540" s="45"/>
      <c r="T540" s="40" t="s">
        <v>1168</v>
      </c>
      <c r="U540" s="40" t="str">
        <f>Таблица310[[#This Row],[Регистратор.Номенклатура]]</f>
        <v>Парус</v>
      </c>
      <c r="V540" s="45">
        <f>14*Таблица310[[#This Row],[Регистратор.Вес нетто]]/87230</f>
        <v>2.1201421529290383</v>
      </c>
      <c r="W540" s="40" t="s">
        <v>53</v>
      </c>
      <c r="X540" s="40" t="s">
        <v>178</v>
      </c>
      <c r="Y540" s="40">
        <v>11</v>
      </c>
      <c r="Z540" s="103">
        <v>45841</v>
      </c>
      <c r="AA540" s="40"/>
      <c r="AB540" s="40"/>
      <c r="AC540" s="40" t="s">
        <v>724</v>
      </c>
      <c r="AD540" s="40" t="s">
        <v>511</v>
      </c>
      <c r="AE540" s="40" t="s">
        <v>1453</v>
      </c>
      <c r="AF540" s="103">
        <v>45842</v>
      </c>
      <c r="AG540" s="40">
        <v>92</v>
      </c>
      <c r="AH540" s="40">
        <f>VLOOKUP(Таблица310[[#This Row],[№ акта]],'Степень зрелости 2025'!$H$13:$I$583,2,FALSE)</f>
        <v>59</v>
      </c>
      <c r="AI540" s="40" t="str">
        <f>VLOOKUP(Таблица310[[#This Row],[№ акта]],$AQ$1:$AT$594,2,FALSE)</f>
        <v>4.1</v>
      </c>
      <c r="AJ540" s="40" t="str">
        <f>Таблица310[[#This Row],[Регистратор.Номенклатура]]</f>
        <v>Парус</v>
      </c>
      <c r="AK540" s="40" t="str">
        <f>VLOOKUP(Таблица310[[#This Row],[№ акта]],$AQ$1:$AT$594,4,FALSE)</f>
        <v>Колос (полив)</v>
      </c>
      <c r="AL540" s="45">
        <f>VLOOKUP(Таблица310[[#This Row],[№ акта]],$AQ$1:$AT$594,3,FALSE)</f>
        <v>2.1201421529290383</v>
      </c>
      <c r="AM540" s="40" t="str">
        <f>IF(Таблица310[[#This Row],[Площадь уборки, га]]=Таблица310[[#This Row],[Площадь уборки до корр]],"нет","да")</f>
        <v>нет</v>
      </c>
      <c r="AN540" s="45">
        <f>Таблица310[[#This Row],[Площадь уборки до корр]]-Таблица310[[#This Row],[Площадь уборки, га]]</f>
        <v>0</v>
      </c>
      <c r="AQ540" t="s">
        <v>1453</v>
      </c>
      <c r="AR540" t="s">
        <v>1168</v>
      </c>
      <c r="AS540">
        <v>2.1201421529290383</v>
      </c>
      <c r="AT540" t="s">
        <v>53</v>
      </c>
      <c r="XFD540" s="40"/>
    </row>
    <row r="541" spans="1:46 16384:16384" ht="22.5" hidden="1" x14ac:dyDescent="0.25">
      <c r="A541" s="40"/>
      <c r="B541" s="42"/>
      <c r="C541" s="40">
        <v>61</v>
      </c>
      <c r="D541" s="41" t="s">
        <v>1454</v>
      </c>
      <c r="E541" s="148">
        <v>45842</v>
      </c>
      <c r="F541" s="69">
        <v>27020</v>
      </c>
      <c r="G541" s="41">
        <v>13170</v>
      </c>
      <c r="H541" s="40">
        <v>13850</v>
      </c>
      <c r="I541" s="40">
        <v>12050.5</v>
      </c>
      <c r="J541" s="40" t="s">
        <v>1167</v>
      </c>
      <c r="K541" s="35" t="s">
        <v>1318</v>
      </c>
      <c r="L541" s="40" t="s">
        <v>1168</v>
      </c>
      <c r="M541" s="40" t="s">
        <v>212</v>
      </c>
      <c r="N541" s="40"/>
      <c r="O541" s="40"/>
      <c r="P541" s="40"/>
      <c r="Q541" s="40"/>
      <c r="R541" s="40" t="s">
        <v>216</v>
      </c>
      <c r="S541" s="45"/>
      <c r="T541" s="40" t="s">
        <v>1168</v>
      </c>
      <c r="U541" s="40" t="str">
        <f>Таблица310[[#This Row],[Регистратор.Номенклатура]]</f>
        <v>Парус</v>
      </c>
      <c r="V541" s="45">
        <f>14*Таблица310[[#This Row],[Регистратор.Вес нетто]]/87230</f>
        <v>2.1137223432305401</v>
      </c>
      <c r="W541" s="40" t="s">
        <v>53</v>
      </c>
      <c r="X541" s="40" t="s">
        <v>178</v>
      </c>
      <c r="Y541" s="40">
        <v>11</v>
      </c>
      <c r="Z541" s="103">
        <v>45841</v>
      </c>
      <c r="AA541" s="40"/>
      <c r="AB541" s="40"/>
      <c r="AC541" s="40" t="s">
        <v>724</v>
      </c>
      <c r="AD541" s="40" t="s">
        <v>511</v>
      </c>
      <c r="AE541" s="40" t="s">
        <v>1454</v>
      </c>
      <c r="AF541" s="103">
        <v>45842</v>
      </c>
      <c r="AG541" s="40">
        <v>93</v>
      </c>
      <c r="AH541" s="40">
        <f>VLOOKUP(Таблица310[[#This Row],[№ акта]],'Степень зрелости 2025'!$H$13:$I$583,2,FALSE)</f>
        <v>61</v>
      </c>
      <c r="AI541" s="40" t="str">
        <f>VLOOKUP(Таблица310[[#This Row],[№ акта]],$AQ$1:$AT$594,2,FALSE)</f>
        <v>4.1</v>
      </c>
      <c r="AJ541" s="40" t="str">
        <f>Таблица310[[#This Row],[Регистратор.Номенклатура]]</f>
        <v>Парус</v>
      </c>
      <c r="AK541" s="40" t="str">
        <f>VLOOKUP(Таблица310[[#This Row],[№ акта]],$AQ$1:$AT$594,4,FALSE)</f>
        <v>Колос (полив)</v>
      </c>
      <c r="AL541" s="45">
        <f>VLOOKUP(Таблица310[[#This Row],[№ акта]],$AQ$1:$AT$594,3,FALSE)</f>
        <v>2.1137223432305401</v>
      </c>
      <c r="AM541" s="40" t="str">
        <f>IF(Таблица310[[#This Row],[Площадь уборки, га]]=Таблица310[[#This Row],[Площадь уборки до корр]],"нет","да")</f>
        <v>нет</v>
      </c>
      <c r="AN541" s="45">
        <f>Таблица310[[#This Row],[Площадь уборки до корр]]-Таблица310[[#This Row],[Площадь уборки, га]]</f>
        <v>0</v>
      </c>
      <c r="AQ541" t="s">
        <v>1454</v>
      </c>
      <c r="AR541" t="s">
        <v>1168</v>
      </c>
      <c r="AS541">
        <v>2.1137223432305401</v>
      </c>
      <c r="AT541" t="s">
        <v>53</v>
      </c>
      <c r="XFD541" s="40"/>
    </row>
    <row r="542" spans="1:46 16384:16384" ht="33.75" hidden="1" x14ac:dyDescent="0.25">
      <c r="A542" s="40"/>
      <c r="B542" s="42"/>
      <c r="C542" s="40">
        <v>60</v>
      </c>
      <c r="D542" s="41" t="s">
        <v>1455</v>
      </c>
      <c r="E542" s="148">
        <v>45842</v>
      </c>
      <c r="F542" s="69">
        <v>28770</v>
      </c>
      <c r="G542" s="41">
        <v>13230</v>
      </c>
      <c r="H542" s="40">
        <v>15540</v>
      </c>
      <c r="I542" s="40">
        <v>11708.5</v>
      </c>
      <c r="J542" s="40" t="s">
        <v>1167</v>
      </c>
      <c r="K542" s="35" t="s">
        <v>1318</v>
      </c>
      <c r="L542" s="40" t="s">
        <v>1168</v>
      </c>
      <c r="M542" s="40" t="s">
        <v>111</v>
      </c>
      <c r="N542" s="40"/>
      <c r="O542" s="40"/>
      <c r="P542" s="40"/>
      <c r="Q542" s="40"/>
      <c r="R542" s="40" t="s">
        <v>114</v>
      </c>
      <c r="S542" s="45"/>
      <c r="T542" s="40" t="s">
        <v>1168</v>
      </c>
      <c r="U542" s="40" t="str">
        <f>Таблица310[[#This Row],[Регистратор.Номенклатура]]</f>
        <v>Парус</v>
      </c>
      <c r="V542" s="45">
        <f>14*Таблица310[[#This Row],[Регистратор.Вес нетто]]/87230</f>
        <v>2.1233520577782872</v>
      </c>
      <c r="W542" s="40" t="s">
        <v>53</v>
      </c>
      <c r="X542" s="40" t="s">
        <v>178</v>
      </c>
      <c r="Y542" s="40">
        <v>11</v>
      </c>
      <c r="Z542" s="103">
        <v>45841</v>
      </c>
      <c r="AA542" s="40"/>
      <c r="AB542" s="40"/>
      <c r="AC542" s="40" t="s">
        <v>724</v>
      </c>
      <c r="AD542" s="40" t="s">
        <v>511</v>
      </c>
      <c r="AE542" s="40" t="s">
        <v>1455</v>
      </c>
      <c r="AF542" s="103">
        <v>45842</v>
      </c>
      <c r="AG542" s="40">
        <v>94</v>
      </c>
      <c r="AH542" s="40">
        <f>VLOOKUP(Таблица310[[#This Row],[№ акта]],'Степень зрелости 2025'!$H$13:$I$583,2,FALSE)</f>
        <v>60</v>
      </c>
      <c r="AI542" s="40" t="str">
        <f>VLOOKUP(Таблица310[[#This Row],[№ акта]],$AQ$1:$AT$594,2,FALSE)</f>
        <v>4.1</v>
      </c>
      <c r="AJ542" s="40" t="str">
        <f>Таблица310[[#This Row],[Регистратор.Номенклатура]]</f>
        <v>Парус</v>
      </c>
      <c r="AK542" s="40" t="str">
        <f>VLOOKUP(Таблица310[[#This Row],[№ акта]],$AQ$1:$AT$594,4,FALSE)</f>
        <v>Колос (полив)</v>
      </c>
      <c r="AL542" s="45">
        <f>VLOOKUP(Таблица310[[#This Row],[№ акта]],$AQ$1:$AT$594,3,FALSE)</f>
        <v>2.1233520577782872</v>
      </c>
      <c r="AM542" s="40" t="str">
        <f>IF(Таблица310[[#This Row],[Площадь уборки, га]]=Таблица310[[#This Row],[Площадь уборки до корр]],"нет","да")</f>
        <v>нет</v>
      </c>
      <c r="AN542" s="45">
        <f>Таблица310[[#This Row],[Площадь уборки до корр]]-Таблица310[[#This Row],[Площадь уборки, га]]</f>
        <v>0</v>
      </c>
      <c r="AQ542" t="s">
        <v>1455</v>
      </c>
      <c r="AR542" t="s">
        <v>1168</v>
      </c>
      <c r="AS542">
        <v>2.1233520577782872</v>
      </c>
      <c r="AT542" t="s">
        <v>53</v>
      </c>
      <c r="XFD542" s="40"/>
    </row>
    <row r="543" spans="1:46 16384:16384" ht="22.5" hidden="1" x14ac:dyDescent="0.25">
      <c r="A543" s="40"/>
      <c r="B543" s="42"/>
      <c r="C543" s="40">
        <v>61</v>
      </c>
      <c r="D543" s="41" t="s">
        <v>1456</v>
      </c>
      <c r="E543" s="148">
        <v>45842</v>
      </c>
      <c r="F543" s="69">
        <v>28900</v>
      </c>
      <c r="G543" s="41">
        <v>13300</v>
      </c>
      <c r="H543" s="40">
        <v>15600</v>
      </c>
      <c r="I543" s="40">
        <v>11970</v>
      </c>
      <c r="J543" s="40" t="s">
        <v>1167</v>
      </c>
      <c r="K543" s="35" t="s">
        <v>1318</v>
      </c>
      <c r="L543" s="40" t="s">
        <v>1168</v>
      </c>
      <c r="M543" s="40" t="s">
        <v>1151</v>
      </c>
      <c r="N543" s="40"/>
      <c r="O543" s="40"/>
      <c r="P543" s="40"/>
      <c r="Q543" s="40"/>
      <c r="R543" s="40" t="s">
        <v>145</v>
      </c>
      <c r="S543" s="45"/>
      <c r="T543" s="40" t="s">
        <v>1168</v>
      </c>
      <c r="U543" s="40" t="str">
        <f>Таблица310[[#This Row],[Регистратор.Номенклатура]]</f>
        <v>Парус</v>
      </c>
      <c r="V543" s="45">
        <f>14*Таблица310[[#This Row],[Регистратор.Вес нетто]]/87230</f>
        <v>2.1345867247506591</v>
      </c>
      <c r="W543" s="40" t="s">
        <v>53</v>
      </c>
      <c r="X543" s="40" t="s">
        <v>178</v>
      </c>
      <c r="Y543" s="40">
        <v>11</v>
      </c>
      <c r="Z543" s="103">
        <v>45841</v>
      </c>
      <c r="AA543" s="40"/>
      <c r="AB543" s="40"/>
      <c r="AC543" s="40" t="s">
        <v>724</v>
      </c>
      <c r="AD543" s="40" t="s">
        <v>511</v>
      </c>
      <c r="AE543" s="40" t="s">
        <v>1456</v>
      </c>
      <c r="AF543" s="103">
        <v>45842</v>
      </c>
      <c r="AG543" s="40">
        <v>97</v>
      </c>
      <c r="AH543" s="40">
        <f>VLOOKUP(Таблица310[[#This Row],[№ акта]],'Степень зрелости 2025'!$H$13:$I$583,2,FALSE)</f>
        <v>61</v>
      </c>
      <c r="AI543" s="40" t="str">
        <f>VLOOKUP(Таблица310[[#This Row],[№ акта]],$AQ$1:$AT$594,2,FALSE)</f>
        <v>4.1</v>
      </c>
      <c r="AJ543" s="40" t="str">
        <f>Таблица310[[#This Row],[Регистратор.Номенклатура]]</f>
        <v>Парус</v>
      </c>
      <c r="AK543" s="40" t="str">
        <f>VLOOKUP(Таблица310[[#This Row],[№ акта]],$AQ$1:$AT$594,4,FALSE)</f>
        <v>Колос (полив)</v>
      </c>
      <c r="AL543" s="45">
        <f>VLOOKUP(Таблица310[[#This Row],[№ акта]],$AQ$1:$AT$594,3,FALSE)</f>
        <v>2.1345867247506591</v>
      </c>
      <c r="AM543" s="40" t="str">
        <f>IF(Таблица310[[#This Row],[Площадь уборки, га]]=Таблица310[[#This Row],[Площадь уборки до корр]],"нет","да")</f>
        <v>нет</v>
      </c>
      <c r="AN543" s="45">
        <f>Таблица310[[#This Row],[Площадь уборки до корр]]-Таблица310[[#This Row],[Площадь уборки, га]]</f>
        <v>0</v>
      </c>
      <c r="AQ543" t="s">
        <v>1456</v>
      </c>
      <c r="AR543" t="s">
        <v>1168</v>
      </c>
      <c r="AS543">
        <v>2.1345867247506591</v>
      </c>
      <c r="AT543" t="s">
        <v>53</v>
      </c>
      <c r="XFD543" s="40"/>
    </row>
    <row r="544" spans="1:46 16384:16384" ht="33.75" hidden="1" x14ac:dyDescent="0.25">
      <c r="A544" s="40"/>
      <c r="B544" s="42"/>
      <c r="C544" s="40">
        <v>63</v>
      </c>
      <c r="D544" s="41" t="s">
        <v>1457</v>
      </c>
      <c r="E544" s="148">
        <v>45842</v>
      </c>
      <c r="F544" s="69">
        <v>28050</v>
      </c>
      <c r="G544" s="41">
        <v>13150</v>
      </c>
      <c r="H544" s="40">
        <v>14900</v>
      </c>
      <c r="I544" s="40">
        <v>11637.7</v>
      </c>
      <c r="J544" s="40" t="s">
        <v>1167</v>
      </c>
      <c r="K544" s="35" t="s">
        <v>1318</v>
      </c>
      <c r="L544" s="40" t="s">
        <v>1168</v>
      </c>
      <c r="M544" s="40" t="s">
        <v>1253</v>
      </c>
      <c r="N544" s="40"/>
      <c r="O544" s="40"/>
      <c r="P544" s="40"/>
      <c r="Q544" s="40"/>
      <c r="R544" s="40" t="s">
        <v>270</v>
      </c>
      <c r="S544" s="45"/>
      <c r="T544" s="40" t="s">
        <v>1168</v>
      </c>
      <c r="U544" s="40" t="str">
        <f>Таблица310[[#This Row],[Регистратор.Номенклатура]]</f>
        <v>Парус</v>
      </c>
      <c r="V544" s="45">
        <f>14*Таблица310[[#This Row],[Регистратор.Вес нетто]]/87230</f>
        <v>2.1105124383812908</v>
      </c>
      <c r="W544" s="40" t="s">
        <v>53</v>
      </c>
      <c r="X544" s="40" t="s">
        <v>178</v>
      </c>
      <c r="Y544" s="40">
        <v>11</v>
      </c>
      <c r="Z544" s="103">
        <v>45841</v>
      </c>
      <c r="AA544" s="40"/>
      <c r="AB544" s="40"/>
      <c r="AC544" s="40" t="s">
        <v>724</v>
      </c>
      <c r="AD544" s="40" t="s">
        <v>511</v>
      </c>
      <c r="AE544" s="40" t="s">
        <v>1457</v>
      </c>
      <c r="AF544" s="103">
        <v>45842</v>
      </c>
      <c r="AG544" s="40">
        <v>96</v>
      </c>
      <c r="AH544" s="40">
        <f>VLOOKUP(Таблица310[[#This Row],[№ акта]],'Степень зрелости 2025'!$H$13:$I$583,2,FALSE)</f>
        <v>63</v>
      </c>
      <c r="AI544" s="40" t="str">
        <f>VLOOKUP(Таблица310[[#This Row],[№ акта]],$AQ$1:$AT$594,2,FALSE)</f>
        <v>4.1</v>
      </c>
      <c r="AJ544" s="40" t="str">
        <f>Таблица310[[#This Row],[Регистратор.Номенклатура]]</f>
        <v>Парус</v>
      </c>
      <c r="AK544" s="40" t="str">
        <f>VLOOKUP(Таблица310[[#This Row],[№ акта]],$AQ$1:$AT$594,4,FALSE)</f>
        <v>Колос (полив)</v>
      </c>
      <c r="AL544" s="45">
        <f>VLOOKUP(Таблица310[[#This Row],[№ акта]],$AQ$1:$AT$594,3,FALSE)</f>
        <v>2.1105124383812908</v>
      </c>
      <c r="AM544" s="40" t="str">
        <f>IF(Таблица310[[#This Row],[Площадь уборки, га]]=Таблица310[[#This Row],[Площадь уборки до корр]],"нет","да")</f>
        <v>нет</v>
      </c>
      <c r="AN544" s="45">
        <f>Таблица310[[#This Row],[Площадь уборки до корр]]-Таблица310[[#This Row],[Площадь уборки, га]]</f>
        <v>0</v>
      </c>
      <c r="AQ544" t="s">
        <v>1457</v>
      </c>
      <c r="AR544" t="s">
        <v>1168</v>
      </c>
      <c r="AS544">
        <v>2.1105124383812908</v>
      </c>
      <c r="AT544" t="s">
        <v>53</v>
      </c>
      <c r="XFD544" s="40"/>
    </row>
    <row r="545" spans="1:46 16384:16384" ht="33.75" hidden="1" x14ac:dyDescent="0.25">
      <c r="A545" s="40"/>
      <c r="B545" s="42"/>
      <c r="C545" s="40">
        <v>61</v>
      </c>
      <c r="D545" s="41" t="s">
        <v>1458</v>
      </c>
      <c r="E545" s="148">
        <v>45842</v>
      </c>
      <c r="F545" s="69">
        <v>28060</v>
      </c>
      <c r="G545" s="41">
        <v>13100</v>
      </c>
      <c r="H545" s="40">
        <v>14960</v>
      </c>
      <c r="I545" s="40">
        <v>12117.5</v>
      </c>
      <c r="J545" s="40" t="s">
        <v>1167</v>
      </c>
      <c r="K545" s="35" t="s">
        <v>1318</v>
      </c>
      <c r="L545" s="40" t="s">
        <v>1168</v>
      </c>
      <c r="M545" s="40" t="s">
        <v>1367</v>
      </c>
      <c r="N545" s="40"/>
      <c r="O545" s="40"/>
      <c r="P545" s="40"/>
      <c r="Q545" s="40"/>
      <c r="R545" s="40" t="s">
        <v>1368</v>
      </c>
      <c r="S545" s="45"/>
      <c r="T545" s="40" t="s">
        <v>1168</v>
      </c>
      <c r="U545" s="40" t="str">
        <f>Таблица310[[#This Row],[Регистратор.Номенклатура]]</f>
        <v>Парус</v>
      </c>
      <c r="V545" s="45">
        <f>14*Таблица310[[#This Row],[Регистратор.Вес нетто]]/87230</f>
        <v>2.1024876762581681</v>
      </c>
      <c r="W545" s="40" t="s">
        <v>53</v>
      </c>
      <c r="X545" s="40" t="s">
        <v>178</v>
      </c>
      <c r="Y545" s="40">
        <v>11</v>
      </c>
      <c r="Z545" s="103">
        <v>45841</v>
      </c>
      <c r="AA545" s="40"/>
      <c r="AB545" s="40"/>
      <c r="AC545" s="40" t="s">
        <v>724</v>
      </c>
      <c r="AD545" s="40" t="s">
        <v>511</v>
      </c>
      <c r="AE545" s="40" t="s">
        <v>1458</v>
      </c>
      <c r="AF545" s="103">
        <v>45842</v>
      </c>
      <c r="AG545" s="40">
        <v>99</v>
      </c>
      <c r="AH545" s="40">
        <f>VLOOKUP(Таблица310[[#This Row],[№ акта]],'Степень зрелости 2025'!$H$13:$I$583,2,FALSE)</f>
        <v>61</v>
      </c>
      <c r="AI545" s="40" t="str">
        <f>VLOOKUP(Таблица310[[#This Row],[№ акта]],$AQ$1:$AT$594,2,FALSE)</f>
        <v>4.1</v>
      </c>
      <c r="AJ545" s="40" t="str">
        <f>Таблица310[[#This Row],[Регистратор.Номенклатура]]</f>
        <v>Парус</v>
      </c>
      <c r="AK545" s="40" t="str">
        <f>VLOOKUP(Таблица310[[#This Row],[№ акта]],$AQ$1:$AT$594,4,FALSE)</f>
        <v>Колос (полив)</v>
      </c>
      <c r="AL545" s="45">
        <f>VLOOKUP(Таблица310[[#This Row],[№ акта]],$AQ$1:$AT$594,3,FALSE)</f>
        <v>2.1024876762581681</v>
      </c>
      <c r="AM545" s="40" t="str">
        <f>IF(Таблица310[[#This Row],[Площадь уборки, га]]=Таблица310[[#This Row],[Площадь уборки до корр]],"нет","да")</f>
        <v>нет</v>
      </c>
      <c r="AN545" s="45">
        <f>Таблица310[[#This Row],[Площадь уборки до корр]]-Таблица310[[#This Row],[Площадь уборки, га]]</f>
        <v>0</v>
      </c>
      <c r="AQ545" t="s">
        <v>1458</v>
      </c>
      <c r="AR545" t="s">
        <v>1168</v>
      </c>
      <c r="AS545">
        <v>2.1024876762581681</v>
      </c>
      <c r="AT545" t="s">
        <v>53</v>
      </c>
      <c r="XFD545" s="40"/>
    </row>
    <row r="546" spans="1:46 16384:16384" ht="22.5" hidden="1" x14ac:dyDescent="0.25">
      <c r="A546" s="40"/>
      <c r="B546" s="42"/>
      <c r="C546" s="40">
        <v>59</v>
      </c>
      <c r="D546" s="41" t="s">
        <v>1459</v>
      </c>
      <c r="E546" s="148">
        <v>45842</v>
      </c>
      <c r="F546" s="69">
        <v>28210</v>
      </c>
      <c r="G546" s="41">
        <v>13550</v>
      </c>
      <c r="H546" s="40">
        <v>14660</v>
      </c>
      <c r="I546" s="40">
        <v>12330.5</v>
      </c>
      <c r="J546" s="40" t="s">
        <v>1167</v>
      </c>
      <c r="K546" s="35" t="s">
        <v>1318</v>
      </c>
      <c r="L546" s="40" t="s">
        <v>1168</v>
      </c>
      <c r="M546" s="40" t="s">
        <v>272</v>
      </c>
      <c r="N546" s="40"/>
      <c r="O546" s="40"/>
      <c r="P546" s="40"/>
      <c r="Q546" s="40"/>
      <c r="R546" s="40" t="s">
        <v>276</v>
      </c>
      <c r="S546" s="45"/>
      <c r="T546" s="40" t="s">
        <v>1168</v>
      </c>
      <c r="U546" s="40" t="str">
        <f>Таблица310[[#This Row],[Регистратор.Номенклатура]]</f>
        <v>Парус</v>
      </c>
      <c r="V546" s="45">
        <v>2</v>
      </c>
      <c r="W546" s="40" t="s">
        <v>53</v>
      </c>
      <c r="X546" s="40" t="s">
        <v>178</v>
      </c>
      <c r="Y546" s="40">
        <v>12</v>
      </c>
      <c r="Z546" s="103">
        <v>45842</v>
      </c>
      <c r="AA546" s="40"/>
      <c r="AB546" s="40"/>
      <c r="AC546" s="40" t="s">
        <v>724</v>
      </c>
      <c r="AD546" s="40" t="s">
        <v>511</v>
      </c>
      <c r="AE546" s="40" t="s">
        <v>1459</v>
      </c>
      <c r="AF546" s="103">
        <v>45842</v>
      </c>
      <c r="AG546" s="40">
        <v>98</v>
      </c>
      <c r="AH546" s="40">
        <f>VLOOKUP(Таблица310[[#This Row],[№ акта]],'Степень зрелости 2025'!$H$13:$I$583,2,FALSE)</f>
        <v>59</v>
      </c>
      <c r="AI546" s="40" t="str">
        <f>VLOOKUP(Таблица310[[#This Row],[№ акта]],$AQ$1:$AT$594,2,FALSE)</f>
        <v>4.1</v>
      </c>
      <c r="AJ546" s="40" t="str">
        <f>Таблица310[[#This Row],[Регистратор.Номенклатура]]</f>
        <v>Парус</v>
      </c>
      <c r="AK546" s="40" t="str">
        <f>VLOOKUP(Таблица310[[#This Row],[№ акта]],$AQ$1:$AT$594,4,FALSE)</f>
        <v>Колос (полив)</v>
      </c>
      <c r="AL546" s="45">
        <f>VLOOKUP(Таблица310[[#This Row],[№ акта]],$AQ$1:$AT$594,3,FALSE)</f>
        <v>2</v>
      </c>
      <c r="AM546" s="40" t="str">
        <f>IF(Таблица310[[#This Row],[Площадь уборки, га]]=Таблица310[[#This Row],[Площадь уборки до корр]],"нет","да")</f>
        <v>нет</v>
      </c>
      <c r="AN546" s="45">
        <f>Таблица310[[#This Row],[Площадь уборки до корр]]-Таблица310[[#This Row],[Площадь уборки, га]]</f>
        <v>0</v>
      </c>
      <c r="AQ546" t="s">
        <v>1459</v>
      </c>
      <c r="AR546" t="s">
        <v>1168</v>
      </c>
      <c r="AS546">
        <v>2</v>
      </c>
      <c r="AT546" t="s">
        <v>53</v>
      </c>
      <c r="XFD546" s="40"/>
    </row>
    <row r="547" spans="1:46 16384:16384" ht="22.5" hidden="1" x14ac:dyDescent="0.25">
      <c r="A547" s="40"/>
      <c r="B547" s="42"/>
      <c r="C547" s="40">
        <v>55</v>
      </c>
      <c r="D547" s="41" t="s">
        <v>1460</v>
      </c>
      <c r="E547" s="148">
        <v>45842</v>
      </c>
      <c r="F547" s="69">
        <v>28990</v>
      </c>
      <c r="G547" s="41">
        <v>13910</v>
      </c>
      <c r="H547" s="40">
        <v>15080</v>
      </c>
      <c r="I547" s="40">
        <v>11475.7</v>
      </c>
      <c r="J547" s="40" t="s">
        <v>1167</v>
      </c>
      <c r="K547" s="35" t="s">
        <v>909</v>
      </c>
      <c r="L547" s="40" t="s">
        <v>1321</v>
      </c>
      <c r="M547" s="40" t="s">
        <v>1461</v>
      </c>
      <c r="N547" s="40"/>
      <c r="O547" s="40"/>
      <c r="P547" s="40"/>
      <c r="Q547" s="40"/>
      <c r="R547" s="40" t="s">
        <v>149</v>
      </c>
      <c r="S547" s="45"/>
      <c r="T547" s="40" t="s">
        <v>1321</v>
      </c>
      <c r="U547" s="40" t="str">
        <f>Таблица310[[#This Row],[Регистратор.Номенклатура]]</f>
        <v>Тристар</v>
      </c>
      <c r="V547" s="45">
        <f>11.7*Таблица310[[#This Row],[Регистратор.Вес нетто]]/112950</f>
        <v>1.4408764940239043</v>
      </c>
      <c r="W547" s="40" t="s">
        <v>53</v>
      </c>
      <c r="X547" s="40" t="s">
        <v>178</v>
      </c>
      <c r="Y547" s="40">
        <v>12</v>
      </c>
      <c r="Z547" s="103">
        <v>45842</v>
      </c>
      <c r="AA547" s="40"/>
      <c r="AB547" s="40" t="s">
        <v>1628</v>
      </c>
      <c r="AC547" s="40" t="s">
        <v>724</v>
      </c>
      <c r="AD547" s="40" t="s">
        <v>511</v>
      </c>
      <c r="AE547" s="40" t="s">
        <v>1460</v>
      </c>
      <c r="AF547" s="103">
        <v>45842</v>
      </c>
      <c r="AG547" s="40">
        <v>100</v>
      </c>
      <c r="AH547" s="40">
        <f>VLOOKUP(Таблица310[[#This Row],[№ акта]],'Степень зрелости 2025'!$H$13:$I$583,2,FALSE)</f>
        <v>55</v>
      </c>
      <c r="AI547" s="40" t="str">
        <f>VLOOKUP(Таблица310[[#This Row],[№ акта]],$AQ$1:$AT$594,2,FALSE)</f>
        <v>4.2</v>
      </c>
      <c r="AJ547" s="40" t="str">
        <f>Таблица310[[#This Row],[Регистратор.Номенклатура]]</f>
        <v>Тристар</v>
      </c>
      <c r="AK547" s="40" t="str">
        <f>VLOOKUP(Таблица310[[#This Row],[№ акта]],$AQ$1:$AT$594,4,FALSE)</f>
        <v>Колос (полив)</v>
      </c>
      <c r="AL547" s="45">
        <f>VLOOKUP(Таблица310[[#This Row],[№ акта]],$AQ$1:$AT$594,3,FALSE)</f>
        <v>1.9191572667101706</v>
      </c>
      <c r="AM547" s="40" t="str">
        <f>IF(Таблица310[[#This Row],[Площадь уборки, га]]=Таблица310[[#This Row],[Площадь уборки до корр]],"нет","да")</f>
        <v>да</v>
      </c>
      <c r="AN547" s="45">
        <f>Таблица310[[#This Row],[Площадь уборки до корр]]-Таблица310[[#This Row],[Площадь уборки, га]]</f>
        <v>0.47828077268626634</v>
      </c>
      <c r="AQ547" t="s">
        <v>1460</v>
      </c>
      <c r="AR547" t="s">
        <v>1321</v>
      </c>
      <c r="AS547">
        <v>1.9191572667101706</v>
      </c>
      <c r="AT547" t="s">
        <v>53</v>
      </c>
      <c r="XFD547" s="40"/>
    </row>
    <row r="548" spans="1:46 16384:16384" ht="22.5" hidden="1" x14ac:dyDescent="0.25">
      <c r="A548" s="40"/>
      <c r="B548" s="42"/>
      <c r="C548" s="40">
        <v>62</v>
      </c>
      <c r="D548" s="41" t="s">
        <v>1508</v>
      </c>
      <c r="E548" s="148">
        <v>45842</v>
      </c>
      <c r="F548" s="69">
        <v>37840</v>
      </c>
      <c r="G548" s="41">
        <v>13770</v>
      </c>
      <c r="H548" s="40">
        <v>24070</v>
      </c>
      <c r="I548" s="40">
        <v>12048.7</v>
      </c>
      <c r="J548" s="40" t="s">
        <v>1167</v>
      </c>
      <c r="K548" s="35" t="s">
        <v>909</v>
      </c>
      <c r="L548" s="40" t="s">
        <v>1321</v>
      </c>
      <c r="M548" s="40" t="s">
        <v>1373</v>
      </c>
      <c r="N548" s="40"/>
      <c r="O548" s="40"/>
      <c r="P548" s="40"/>
      <c r="Q548" s="40"/>
      <c r="R548" s="40" t="s">
        <v>1374</v>
      </c>
      <c r="S548" s="45"/>
      <c r="T548" s="40" t="s">
        <v>1321</v>
      </c>
      <c r="U548" s="40" t="str">
        <f>Таблица310[[#This Row],[Регистратор.Номенклатура]]</f>
        <v>Тристар</v>
      </c>
      <c r="V548" s="45">
        <f>11.7*Таблица310[[#This Row],[Регистратор.Вес нетто]]/112950</f>
        <v>1.426374501992032</v>
      </c>
      <c r="W548" s="40" t="s">
        <v>53</v>
      </c>
      <c r="X548" s="40" t="s">
        <v>178</v>
      </c>
      <c r="Y548" s="40">
        <v>12</v>
      </c>
      <c r="Z548" s="103">
        <v>45842</v>
      </c>
      <c r="AA548" s="40"/>
      <c r="AB548" s="40" t="s">
        <v>1628</v>
      </c>
      <c r="AC548" s="40" t="s">
        <v>724</v>
      </c>
      <c r="AD548" s="40" t="s">
        <v>511</v>
      </c>
      <c r="AE548" s="40" t="s">
        <v>1508</v>
      </c>
      <c r="AF548" s="103">
        <v>45842</v>
      </c>
      <c r="AG548" s="40">
        <v>101</v>
      </c>
      <c r="AH548" s="40">
        <f>VLOOKUP(Таблица310[[#This Row],[№ акта]],'Степень зрелости 2025'!$H$13:$I$583,2,FALSE)</f>
        <v>62</v>
      </c>
      <c r="AI548" s="40" t="str">
        <f>VLOOKUP(Таблица310[[#This Row],[№ акта]],$AQ$1:$AT$594,2,FALSE)</f>
        <v>4.2</v>
      </c>
      <c r="AJ548" s="40" t="str">
        <f>Таблица310[[#This Row],[Регистратор.Номенклатура]]</f>
        <v>Тристар</v>
      </c>
      <c r="AK548" s="40" t="str">
        <f>VLOOKUP(Таблица310[[#This Row],[№ акта]],$AQ$1:$AT$594,4,FALSE)</f>
        <v>Колос (полив)</v>
      </c>
      <c r="AL548" s="45">
        <f>VLOOKUP(Таблица310[[#This Row],[№ акта]],$AQ$1:$AT$594,3,FALSE)</f>
        <v>1.8998415213946118</v>
      </c>
      <c r="AM548" s="40" t="str">
        <f>IF(Таблица310[[#This Row],[Площадь уборки, га]]=Таблица310[[#This Row],[Площадь уборки до корр]],"нет","да")</f>
        <v>да</v>
      </c>
      <c r="AN548" s="45">
        <f>Таблица310[[#This Row],[Площадь уборки до корр]]-Таблица310[[#This Row],[Площадь уборки, га]]</f>
        <v>0.47346701940257985</v>
      </c>
      <c r="AQ548" t="s">
        <v>1508</v>
      </c>
      <c r="AR548" t="s">
        <v>1321</v>
      </c>
      <c r="AS548">
        <v>1.8998415213946118</v>
      </c>
      <c r="AT548" t="s">
        <v>53</v>
      </c>
      <c r="XFD548" s="40"/>
    </row>
    <row r="549" spans="1:46 16384:16384" ht="22.5" hidden="1" x14ac:dyDescent="0.25">
      <c r="A549" s="40"/>
      <c r="B549" s="42"/>
      <c r="C549" s="40">
        <v>61</v>
      </c>
      <c r="D549" s="41" t="s">
        <v>1509</v>
      </c>
      <c r="E549" s="148">
        <v>45842</v>
      </c>
      <c r="F549" s="69">
        <v>29440</v>
      </c>
      <c r="G549" s="41">
        <v>13870</v>
      </c>
      <c r="H549" s="40">
        <v>15570</v>
      </c>
      <c r="I549" s="40">
        <v>12274.9</v>
      </c>
      <c r="J549" s="40" t="s">
        <v>1167</v>
      </c>
      <c r="K549" s="35" t="s">
        <v>909</v>
      </c>
      <c r="L549" s="40" t="s">
        <v>1321</v>
      </c>
      <c r="M549" s="40" t="s">
        <v>1376</v>
      </c>
      <c r="N549" s="40"/>
      <c r="O549" s="40"/>
      <c r="P549" s="40"/>
      <c r="Q549" s="40"/>
      <c r="R549" s="40" t="s">
        <v>1377</v>
      </c>
      <c r="S549" s="45"/>
      <c r="T549" s="40" t="s">
        <v>1321</v>
      </c>
      <c r="U549" s="40" t="str">
        <f>Таблица310[[#This Row],[Регистратор.Номенклатура]]</f>
        <v>Тристар</v>
      </c>
      <c r="V549" s="45">
        <f>11.7*Таблица310[[#This Row],[Регистратор.Вес нетто]]/112950</f>
        <v>1.4367330677290837</v>
      </c>
      <c r="W549" s="40" t="s">
        <v>53</v>
      </c>
      <c r="X549" s="40" t="s">
        <v>178</v>
      </c>
      <c r="Y549" s="40">
        <v>12</v>
      </c>
      <c r="Z549" s="103">
        <v>45842</v>
      </c>
      <c r="AA549" s="40"/>
      <c r="AB549" s="40" t="s">
        <v>1628</v>
      </c>
      <c r="AC549" s="40" t="s">
        <v>724</v>
      </c>
      <c r="AD549" s="40" t="s">
        <v>511</v>
      </c>
      <c r="AE549" s="40" t="s">
        <v>1509</v>
      </c>
      <c r="AF549" s="103">
        <v>45842</v>
      </c>
      <c r="AG549" s="40">
        <v>102</v>
      </c>
      <c r="AH549" s="40">
        <f>VLOOKUP(Таблица310[[#This Row],[№ акта]],'Степень зрелости 2025'!$H$13:$I$583,2,FALSE)</f>
        <v>61</v>
      </c>
      <c r="AI549" s="40" t="str">
        <f>VLOOKUP(Таблица310[[#This Row],[№ акта]],$AQ$1:$AT$594,2,FALSE)</f>
        <v>4.2</v>
      </c>
      <c r="AJ549" s="40" t="str">
        <f>Таблица310[[#This Row],[Регистратор.Номенклатура]]</f>
        <v>Тристар</v>
      </c>
      <c r="AK549" s="40" t="str">
        <f>VLOOKUP(Таблица310[[#This Row],[№ акта]],$AQ$1:$AT$594,4,FALSE)</f>
        <v>Колос (полив)</v>
      </c>
      <c r="AL549" s="45">
        <f>VLOOKUP(Таблица310[[#This Row],[№ акта]],$AQ$1:$AT$594,3,FALSE)</f>
        <v>1.9136384823342967</v>
      </c>
      <c r="AM549" s="40" t="str">
        <f>IF(Таблица310[[#This Row],[Площадь уборки, га]]=Таблица310[[#This Row],[Площадь уборки до корр]],"нет","да")</f>
        <v>да</v>
      </c>
      <c r="AN549" s="45">
        <f>Таблица310[[#This Row],[Площадь уборки до корр]]-Таблица310[[#This Row],[Площадь уборки, га]]</f>
        <v>0.47690541460521296</v>
      </c>
      <c r="AQ549" t="s">
        <v>1509</v>
      </c>
      <c r="AR549" t="s">
        <v>1321</v>
      </c>
      <c r="AS549">
        <v>1.9136384823342967</v>
      </c>
      <c r="AT549" t="s">
        <v>53</v>
      </c>
      <c r="XFD549" s="40"/>
    </row>
    <row r="550" spans="1:46 16384:16384" ht="22.5" hidden="1" x14ac:dyDescent="0.25">
      <c r="A550" s="40"/>
      <c r="B550" s="42"/>
      <c r="C550" s="40">
        <v>59</v>
      </c>
      <c r="D550" s="41" t="s">
        <v>1510</v>
      </c>
      <c r="E550" s="148">
        <v>45842</v>
      </c>
      <c r="F550" s="69">
        <v>29280</v>
      </c>
      <c r="G550" s="41">
        <v>13780</v>
      </c>
      <c r="H550" s="40">
        <v>15500</v>
      </c>
      <c r="I550" s="40">
        <v>12126.4</v>
      </c>
      <c r="J550" s="40" t="s">
        <v>1167</v>
      </c>
      <c r="K550" s="35" t="s">
        <v>909</v>
      </c>
      <c r="L550" s="40" t="s">
        <v>1321</v>
      </c>
      <c r="M550" s="40" t="s">
        <v>1408</v>
      </c>
      <c r="N550" s="40"/>
      <c r="O550" s="40"/>
      <c r="P550" s="40"/>
      <c r="Q550" s="40"/>
      <c r="R550" s="40" t="s">
        <v>1409</v>
      </c>
      <c r="S550" s="45"/>
      <c r="T550" s="40" t="s">
        <v>1321</v>
      </c>
      <c r="U550" s="40" t="str">
        <f>Таблица310[[#This Row],[Регистратор.Номенклатура]]</f>
        <v>Тристар</v>
      </c>
      <c r="V550" s="45">
        <f>11.7*Таблица310[[#This Row],[Регистратор.Вес нетто]]/112950</f>
        <v>1.4274103585657369</v>
      </c>
      <c r="W550" s="40" t="s">
        <v>53</v>
      </c>
      <c r="X550" s="40" t="s">
        <v>178</v>
      </c>
      <c r="Y550" s="40">
        <v>12</v>
      </c>
      <c r="Z550" s="103">
        <v>45842</v>
      </c>
      <c r="AA550" s="40"/>
      <c r="AB550" s="40" t="s">
        <v>1628</v>
      </c>
      <c r="AC550" s="40" t="s">
        <v>724</v>
      </c>
      <c r="AD550" s="40" t="s">
        <v>511</v>
      </c>
      <c r="AE550" s="40" t="s">
        <v>1510</v>
      </c>
      <c r="AF550" s="103">
        <v>45842</v>
      </c>
      <c r="AG550" s="40">
        <v>103</v>
      </c>
      <c r="AH550" s="40">
        <f>VLOOKUP(Таблица310[[#This Row],[№ акта]],'Степень зрелости 2025'!$H$13:$I$583,2,FALSE)</f>
        <v>59</v>
      </c>
      <c r="AI550" s="40" t="str">
        <f>VLOOKUP(Таблица310[[#This Row],[№ акта]],$AQ$1:$AT$594,2,FALSE)</f>
        <v>4.2</v>
      </c>
      <c r="AJ550" s="40" t="str">
        <f>Таблица310[[#This Row],[Регистратор.Номенклатура]]</f>
        <v>Тристар</v>
      </c>
      <c r="AK550" s="40" t="str">
        <f>VLOOKUP(Таблица310[[#This Row],[№ акта]],$AQ$1:$AT$594,4,FALSE)</f>
        <v>Колос (полив)</v>
      </c>
      <c r="AL550" s="45">
        <f>VLOOKUP(Таблица310[[#This Row],[№ акта]],$AQ$1:$AT$594,3,FALSE)</f>
        <v>1.9012212174885803</v>
      </c>
      <c r="AM550" s="40" t="str">
        <f>IF(Таблица310[[#This Row],[Площадь уборки, га]]=Таблица310[[#This Row],[Площадь уборки до корр]],"нет","да")</f>
        <v>да</v>
      </c>
      <c r="AN550" s="45">
        <f>Таблица310[[#This Row],[Площадь уборки до корр]]-Таблица310[[#This Row],[Площадь уборки, га]]</f>
        <v>0.47381085892284336</v>
      </c>
      <c r="AQ550" t="s">
        <v>1510</v>
      </c>
      <c r="AR550" t="s">
        <v>1321</v>
      </c>
      <c r="AS550">
        <v>1.9012212174885803</v>
      </c>
      <c r="AT550" t="s">
        <v>53</v>
      </c>
      <c r="XFD550" s="40"/>
    </row>
    <row r="551" spans="1:46 16384:16384" ht="33.75" hidden="1" x14ac:dyDescent="0.25">
      <c r="A551" s="40"/>
      <c r="B551" s="42"/>
      <c r="C551" s="40">
        <v>54</v>
      </c>
      <c r="D551" s="41" t="s">
        <v>1511</v>
      </c>
      <c r="E551" s="148">
        <v>45842</v>
      </c>
      <c r="F551" s="69">
        <v>28410</v>
      </c>
      <c r="G551" s="41">
        <v>13790</v>
      </c>
      <c r="H551" s="40">
        <v>14620</v>
      </c>
      <c r="I551" s="40">
        <v>12411</v>
      </c>
      <c r="J551" s="40" t="s">
        <v>1167</v>
      </c>
      <c r="K551" s="35" t="s">
        <v>909</v>
      </c>
      <c r="L551" s="40" t="s">
        <v>1321</v>
      </c>
      <c r="M551" s="40" t="s">
        <v>239</v>
      </c>
      <c r="N551" s="40"/>
      <c r="O551" s="40"/>
      <c r="P551" s="40"/>
      <c r="Q551" s="40"/>
      <c r="R551" s="40" t="s">
        <v>243</v>
      </c>
      <c r="S551" s="45"/>
      <c r="T551" s="40" t="s">
        <v>1321</v>
      </c>
      <c r="U551" s="40" t="str">
        <f>Таблица310[[#This Row],[Регистратор.Номенклатура]]</f>
        <v>Тристар</v>
      </c>
      <c r="V551" s="45">
        <f>11.7*Таблица310[[#This Row],[Регистратор.Вес нетто]]/112950</f>
        <v>1.4284462151394421</v>
      </c>
      <c r="W551" s="40" t="s">
        <v>53</v>
      </c>
      <c r="X551" s="40" t="s">
        <v>178</v>
      </c>
      <c r="Y551" s="40">
        <v>12</v>
      </c>
      <c r="Z551" s="103">
        <v>45842</v>
      </c>
      <c r="AA551" s="40"/>
      <c r="AB551" s="40" t="s">
        <v>1628</v>
      </c>
      <c r="AC551" s="40" t="s">
        <v>724</v>
      </c>
      <c r="AD551" s="40" t="s">
        <v>511</v>
      </c>
      <c r="AE551" s="40" t="s">
        <v>1511</v>
      </c>
      <c r="AF551" s="103">
        <v>45842</v>
      </c>
      <c r="AG551" s="40">
        <v>104</v>
      </c>
      <c r="AH551" s="40">
        <f>VLOOKUP(Таблица310[[#This Row],[№ акта]],'Степень зрелости 2025'!$H$13:$I$583,2,FALSE)</f>
        <v>54</v>
      </c>
      <c r="AI551" s="40" t="str">
        <f>VLOOKUP(Таблица310[[#This Row],[№ акта]],$AQ$1:$AT$594,2,FALSE)</f>
        <v>4.2</v>
      </c>
      <c r="AJ551" s="40" t="str">
        <f>Таблица310[[#This Row],[Регистратор.Номенклатура]]</f>
        <v>Тристар</v>
      </c>
      <c r="AK551" s="40" t="str">
        <f>VLOOKUP(Таблица310[[#This Row],[№ акта]],$AQ$1:$AT$594,4,FALSE)</f>
        <v>Колос (полив)</v>
      </c>
      <c r="AL551" s="45">
        <f>VLOOKUP(Таблица310[[#This Row],[№ акта]],$AQ$1:$AT$594,3,FALSE)</f>
        <v>1.9026009135825488</v>
      </c>
      <c r="AM551" s="40" t="str">
        <f>IF(Таблица310[[#This Row],[Площадь уборки, га]]=Таблица310[[#This Row],[Площадь уборки до корр]],"нет","да")</f>
        <v>да</v>
      </c>
      <c r="AN551" s="45">
        <f>Таблица310[[#This Row],[Площадь уборки до корр]]-Таблица310[[#This Row],[Площадь уборки, га]]</f>
        <v>0.47415469844310665</v>
      </c>
      <c r="AQ551" t="s">
        <v>1511</v>
      </c>
      <c r="AR551" t="s">
        <v>1321</v>
      </c>
      <c r="AS551">
        <v>1.9026009135825488</v>
      </c>
      <c r="AT551" t="s">
        <v>53</v>
      </c>
      <c r="XFD551" s="40"/>
    </row>
    <row r="552" spans="1:46 16384:16384" ht="22.5" hidden="1" x14ac:dyDescent="0.25">
      <c r="A552" s="40"/>
      <c r="B552" s="42"/>
      <c r="C552" s="40">
        <v>55</v>
      </c>
      <c r="D552" s="41" t="s">
        <v>1512</v>
      </c>
      <c r="E552" s="148">
        <v>45842</v>
      </c>
      <c r="F552" s="69">
        <v>29090</v>
      </c>
      <c r="G552" s="41">
        <v>14180</v>
      </c>
      <c r="H552" s="40">
        <v>14910</v>
      </c>
      <c r="I552" s="40">
        <v>12053</v>
      </c>
      <c r="J552" s="40" t="s">
        <v>1167</v>
      </c>
      <c r="K552" s="35" t="s">
        <v>909</v>
      </c>
      <c r="L552" s="40" t="s">
        <v>1321</v>
      </c>
      <c r="M552" s="40" t="s">
        <v>335</v>
      </c>
      <c r="N552" s="40"/>
      <c r="O552" s="40"/>
      <c r="P552" s="40"/>
      <c r="Q552" s="40"/>
      <c r="R552" s="40" t="s">
        <v>339</v>
      </c>
      <c r="S552" s="45"/>
      <c r="T552" s="40" t="s">
        <v>1321</v>
      </c>
      <c r="U552" s="40" t="str">
        <f>Таблица310[[#This Row],[Регистратор.Номенклатура]]</f>
        <v>Тристар</v>
      </c>
      <c r="V552" s="45">
        <f>11.7*Таблица310[[#This Row],[Регистратор.Вес нетто]]/112950</f>
        <v>1.4688446215139441</v>
      </c>
      <c r="W552" s="40" t="s">
        <v>53</v>
      </c>
      <c r="X552" s="40" t="s">
        <v>178</v>
      </c>
      <c r="Y552" s="40">
        <v>12</v>
      </c>
      <c r="Z552" s="103">
        <v>45842</v>
      </c>
      <c r="AA552" s="40"/>
      <c r="AB552" s="40" t="s">
        <v>1628</v>
      </c>
      <c r="AC552" s="40" t="s">
        <v>724</v>
      </c>
      <c r="AD552" s="40" t="s">
        <v>511</v>
      </c>
      <c r="AE552" s="40" t="s">
        <v>1512</v>
      </c>
      <c r="AF552" s="103">
        <v>45842</v>
      </c>
      <c r="AG552" s="40">
        <v>105</v>
      </c>
      <c r="AH552" s="40">
        <f>VLOOKUP(Таблица310[[#This Row],[№ акта]],'Степень зрелости 2025'!$H$13:$I$583,2,FALSE)</f>
        <v>55</v>
      </c>
      <c r="AI552" s="40" t="str">
        <f>VLOOKUP(Таблица310[[#This Row],[№ акта]],$AQ$1:$AT$594,2,FALSE)</f>
        <v>4.2</v>
      </c>
      <c r="AJ552" s="40" t="str">
        <f>Таблица310[[#This Row],[Регистратор.Номенклатура]]</f>
        <v>Тристар</v>
      </c>
      <c r="AK552" s="40" t="str">
        <f>VLOOKUP(Таблица310[[#This Row],[№ акта]],$AQ$1:$AT$594,4,FALSE)</f>
        <v>Колос (полив)</v>
      </c>
      <c r="AL552" s="45">
        <f>VLOOKUP(Таблица310[[#This Row],[№ акта]],$AQ$1:$AT$594,3,FALSE)</f>
        <v>1.9564090612473199</v>
      </c>
      <c r="AM552" s="40" t="str">
        <f>IF(Таблица310[[#This Row],[Площадь уборки, га]]=Таблица310[[#This Row],[Площадь уборки до корр]],"нет","да")</f>
        <v>да</v>
      </c>
      <c r="AN552" s="45">
        <f>Таблица310[[#This Row],[Площадь уборки до корр]]-Таблица310[[#This Row],[Площадь уборки, га]]</f>
        <v>0.48756443973337582</v>
      </c>
      <c r="AQ552" t="s">
        <v>1512</v>
      </c>
      <c r="AR552" t="s">
        <v>1321</v>
      </c>
      <c r="AS552">
        <v>1.9564090612473199</v>
      </c>
      <c r="AT552" t="s">
        <v>53</v>
      </c>
      <c r="XFD552" s="40"/>
    </row>
    <row r="553" spans="1:46 16384:16384" ht="22.5" hidden="1" x14ac:dyDescent="0.25">
      <c r="A553" s="40"/>
      <c r="B553" s="42"/>
      <c r="C553" s="40">
        <v>79</v>
      </c>
      <c r="D553" s="41" t="s">
        <v>1513</v>
      </c>
      <c r="E553" s="148">
        <v>45842</v>
      </c>
      <c r="F553" s="69">
        <v>28430</v>
      </c>
      <c r="G553" s="41">
        <v>13560</v>
      </c>
      <c r="H553" s="40">
        <v>14870</v>
      </c>
      <c r="I553" s="40">
        <v>12678.6</v>
      </c>
      <c r="J553" s="40" t="s">
        <v>1167</v>
      </c>
      <c r="K553" s="35" t="s">
        <v>909</v>
      </c>
      <c r="L553" s="40" t="s">
        <v>1321</v>
      </c>
      <c r="M553" s="40" t="s">
        <v>894</v>
      </c>
      <c r="N553" s="40"/>
      <c r="O553" s="40"/>
      <c r="P553" s="40"/>
      <c r="Q553" s="40"/>
      <c r="R553" s="40" t="s">
        <v>895</v>
      </c>
      <c r="S553" s="45"/>
      <c r="T553" s="40" t="s">
        <v>1321</v>
      </c>
      <c r="U553" s="40" t="str">
        <f>Таблица310[[#This Row],[Регистратор.Номенклатура]]</f>
        <v>Тристар</v>
      </c>
      <c r="V553" s="45">
        <f>11.7*Таблица310[[#This Row],[Регистратор.Вес нетто]]/112950</f>
        <v>1.4046215139442231</v>
      </c>
      <c r="W553" s="40" t="s">
        <v>53</v>
      </c>
      <c r="X553" s="40" t="s">
        <v>178</v>
      </c>
      <c r="Y553" s="40">
        <v>12</v>
      </c>
      <c r="Z553" s="103">
        <v>45842</v>
      </c>
      <c r="AA553" s="40"/>
      <c r="AB553" s="40" t="s">
        <v>1628</v>
      </c>
      <c r="AC553" s="40" t="s">
        <v>420</v>
      </c>
      <c r="AD553" s="40" t="s">
        <v>833</v>
      </c>
      <c r="AE553" s="40" t="s">
        <v>1513</v>
      </c>
      <c r="AF553" s="103">
        <v>45842</v>
      </c>
      <c r="AG553" s="40">
        <v>106</v>
      </c>
      <c r="AH553" s="40">
        <f>VLOOKUP(Таблица310[[#This Row],[№ акта]],'Степень зрелости 2025'!$H$13:$I$583,2,FALSE)</f>
        <v>79</v>
      </c>
      <c r="AI553" s="40" t="str">
        <f>VLOOKUP(Таблица310[[#This Row],[№ акта]],$AQ$1:$AT$594,2,FALSE)</f>
        <v>4.2</v>
      </c>
      <c r="AJ553" s="40" t="str">
        <f>Таблица310[[#This Row],[Регистратор.Номенклатура]]</f>
        <v>Тристар</v>
      </c>
      <c r="AK553" s="40" t="str">
        <f>VLOOKUP(Таблица310[[#This Row],[№ акта]],$AQ$1:$AT$594,4,FALSE)</f>
        <v>Колос (полив)</v>
      </c>
      <c r="AL553" s="45">
        <f>VLOOKUP(Таблица310[[#This Row],[№ акта]],$AQ$1:$AT$594,3,FALSE)</f>
        <v>1.8708679034212734</v>
      </c>
      <c r="AM553" s="40" t="str">
        <f>IF(Таблица310[[#This Row],[Площадь уборки, га]]=Таблица310[[#This Row],[Площадь уборки до корр]],"нет","да")</f>
        <v>да</v>
      </c>
      <c r="AN553" s="45">
        <f>Таблица310[[#This Row],[Площадь уборки до корр]]-Таблица310[[#This Row],[Площадь уборки, га]]</f>
        <v>0.46624638947705033</v>
      </c>
      <c r="AQ553" t="s">
        <v>1513</v>
      </c>
      <c r="AR553" t="s">
        <v>1321</v>
      </c>
      <c r="AS553">
        <v>1.8708679034212734</v>
      </c>
      <c r="AT553" t="s">
        <v>53</v>
      </c>
      <c r="XFD553" s="40"/>
    </row>
    <row r="554" spans="1:46 16384:16384" ht="22.5" hidden="1" x14ac:dyDescent="0.25">
      <c r="A554" s="40"/>
      <c r="B554" s="42"/>
      <c r="C554" s="40">
        <v>73</v>
      </c>
      <c r="D554" s="41" t="s">
        <v>1514</v>
      </c>
      <c r="E554" s="148">
        <v>45842</v>
      </c>
      <c r="F554" s="69">
        <v>26200</v>
      </c>
      <c r="G554" s="41">
        <v>10410</v>
      </c>
      <c r="H554" s="40">
        <v>15790</v>
      </c>
      <c r="I554" s="40">
        <v>9369</v>
      </c>
      <c r="J554" s="40" t="s">
        <v>1167</v>
      </c>
      <c r="K554" s="35" t="s">
        <v>909</v>
      </c>
      <c r="L554" s="40" t="s">
        <v>1321</v>
      </c>
      <c r="M554" s="40" t="s">
        <v>347</v>
      </c>
      <c r="N554" s="40"/>
      <c r="O554" s="40"/>
      <c r="P554" s="40"/>
      <c r="Q554" s="40"/>
      <c r="R554" s="40" t="s">
        <v>351</v>
      </c>
      <c r="S554" s="45"/>
      <c r="T554" s="40" t="s">
        <v>1321</v>
      </c>
      <c r="U554" s="40" t="str">
        <f>Таблица310[[#This Row],[Регистратор.Номенклатура]]</f>
        <v>Тристар</v>
      </c>
      <c r="V554" s="45">
        <f>11.7*Таблица310[[#This Row],[Регистратор.Вес нетто]]/112950</f>
        <v>1.0783266932270914</v>
      </c>
      <c r="W554" s="40" t="s">
        <v>53</v>
      </c>
      <c r="X554" s="40" t="s">
        <v>178</v>
      </c>
      <c r="Y554" s="40">
        <v>12</v>
      </c>
      <c r="Z554" s="103">
        <v>45842</v>
      </c>
      <c r="AA554" s="40"/>
      <c r="AB554" s="40" t="s">
        <v>1628</v>
      </c>
      <c r="AC554" s="40" t="s">
        <v>420</v>
      </c>
      <c r="AD554" s="40" t="s">
        <v>833</v>
      </c>
      <c r="AE554" s="40" t="s">
        <v>1514</v>
      </c>
      <c r="AF554" s="103">
        <v>45842</v>
      </c>
      <c r="AG554" s="40">
        <v>107</v>
      </c>
      <c r="AH554" s="40">
        <f>VLOOKUP(Таблица310[[#This Row],[№ акта]],'Степень зрелости 2025'!$H$13:$I$583,2,FALSE)</f>
        <v>73</v>
      </c>
      <c r="AI554" s="40" t="str">
        <f>VLOOKUP(Таблица310[[#This Row],[№ акта]],$AQ$1:$AT$594,2,FALSE)</f>
        <v>4.2</v>
      </c>
      <c r="AJ554" s="40" t="str">
        <f>Таблица310[[#This Row],[Регистратор.Номенклатура]]</f>
        <v>Тристар</v>
      </c>
      <c r="AK554" s="40" t="str">
        <f>VLOOKUP(Таблица310[[#This Row],[№ акта]],$AQ$1:$AT$594,4,FALSE)</f>
        <v>Колос (полив)</v>
      </c>
      <c r="AL554" s="45">
        <f>VLOOKUP(Таблица310[[#This Row],[№ акта]],$AQ$1:$AT$594,3,FALSE)</f>
        <v>1.4362636338211989</v>
      </c>
      <c r="AM554" s="40" t="str">
        <f>IF(Таблица310[[#This Row],[Площадь уборки, га]]=Таблица310[[#This Row],[Площадь уборки до корр]],"нет","да")</f>
        <v>да</v>
      </c>
      <c r="AN554" s="45">
        <f>Таблица310[[#This Row],[Площадь уборки до корр]]-Таблица310[[#This Row],[Площадь уборки, га]]</f>
        <v>0.35793694059410752</v>
      </c>
      <c r="AQ554" t="s">
        <v>1514</v>
      </c>
      <c r="AR554" t="s">
        <v>1321</v>
      </c>
      <c r="AS554">
        <v>1.4362636338211989</v>
      </c>
      <c r="AT554" t="s">
        <v>53</v>
      </c>
      <c r="XFD554" s="40"/>
    </row>
    <row r="555" spans="1:46 16384:16384" ht="33.75" hidden="1" x14ac:dyDescent="0.25">
      <c r="A555" s="40"/>
      <c r="B555" s="42"/>
      <c r="C555" s="40">
        <v>65</v>
      </c>
      <c r="D555" s="41" t="s">
        <v>1515</v>
      </c>
      <c r="E555" s="148">
        <v>45843</v>
      </c>
      <c r="F555" s="69">
        <v>28780</v>
      </c>
      <c r="G555" s="41">
        <v>13260</v>
      </c>
      <c r="H555" s="40">
        <v>15520</v>
      </c>
      <c r="I555" s="40">
        <v>10873.2</v>
      </c>
      <c r="J555" s="40" t="s">
        <v>1167</v>
      </c>
      <c r="K555" s="35" t="s">
        <v>909</v>
      </c>
      <c r="L555" s="40" t="s">
        <v>1485</v>
      </c>
      <c r="M555" s="40" t="s">
        <v>111</v>
      </c>
      <c r="N555" s="40"/>
      <c r="O555" s="40"/>
      <c r="P555" s="40"/>
      <c r="Q555" s="40"/>
      <c r="R555" s="40" t="s">
        <v>114</v>
      </c>
      <c r="S555" s="45"/>
      <c r="T555" s="40" t="s">
        <v>1485</v>
      </c>
      <c r="U555" s="40" t="str">
        <f>Таблица310[[#This Row],[Регистратор.Номенклатура]]</f>
        <v>Тристар</v>
      </c>
      <c r="V555" s="45">
        <f>10*Таблица310[[#This Row],[Регистратор.Вес нетто]]/26690</f>
        <v>4.968152866242038</v>
      </c>
      <c r="W555" s="40" t="s">
        <v>53</v>
      </c>
      <c r="X555" s="40" t="s">
        <v>178</v>
      </c>
      <c r="Y555" s="40">
        <v>12</v>
      </c>
      <c r="Z555" s="103">
        <v>45842</v>
      </c>
      <c r="AA555" s="40"/>
      <c r="AB555" s="40"/>
      <c r="AC555" s="40" t="s">
        <v>725</v>
      </c>
      <c r="AD555" s="40" t="s">
        <v>550</v>
      </c>
      <c r="AE555" s="40" t="s">
        <v>1515</v>
      </c>
      <c r="AF555" s="103">
        <v>45843</v>
      </c>
      <c r="AG555" s="40">
        <v>108</v>
      </c>
      <c r="AH555" s="40">
        <f>VLOOKUP(Таблица310[[#This Row],[№ акта]],'Степень зрелости 2025'!$H$13:$I$583,2,FALSE)</f>
        <v>65</v>
      </c>
      <c r="AI555" s="40" t="str">
        <f>VLOOKUP(Таблица310[[#This Row],[№ акта]],$AQ$1:$AT$594,2,FALSE)</f>
        <v>2.3</v>
      </c>
      <c r="AJ555" s="40" t="str">
        <f>Таблица310[[#This Row],[Регистратор.Номенклатура]]</f>
        <v>Тристар</v>
      </c>
      <c r="AK555" s="40" t="str">
        <f>VLOOKUP(Таблица310[[#This Row],[№ акта]],$AQ$1:$AT$594,4,FALSE)</f>
        <v>Колос (полив)</v>
      </c>
      <c r="AL555" s="45">
        <f>VLOOKUP(Таблица310[[#This Row],[№ акта]],$AQ$1:$AT$594,3,FALSE)</f>
        <v>4.968152866242038</v>
      </c>
      <c r="AM555" s="40" t="str">
        <f>IF(Таблица310[[#This Row],[Площадь уборки, га]]=Таблица310[[#This Row],[Площадь уборки до корр]],"нет","да")</f>
        <v>нет</v>
      </c>
      <c r="AN555" s="45">
        <f>Таблица310[[#This Row],[Площадь уборки до корр]]-Таблица310[[#This Row],[Площадь уборки, га]]</f>
        <v>0</v>
      </c>
      <c r="AQ555" t="s">
        <v>1515</v>
      </c>
      <c r="AR555" t="s">
        <v>1485</v>
      </c>
      <c r="AS555">
        <v>4.968152866242038</v>
      </c>
      <c r="AT555" t="s">
        <v>53</v>
      </c>
      <c r="XFD555" s="40"/>
    </row>
    <row r="556" spans="1:46 16384:16384" ht="33.75" hidden="1" x14ac:dyDescent="0.25">
      <c r="A556" s="40"/>
      <c r="B556" s="42"/>
      <c r="C556" s="40">
        <v>53</v>
      </c>
      <c r="D556" s="41" t="s">
        <v>1516</v>
      </c>
      <c r="E556" s="148">
        <v>45843</v>
      </c>
      <c r="F556" s="69">
        <v>28230</v>
      </c>
      <c r="G556" s="41">
        <v>13430</v>
      </c>
      <c r="H556" s="40">
        <v>14800</v>
      </c>
      <c r="I556" s="40">
        <v>11549.8</v>
      </c>
      <c r="J556" s="40" t="s">
        <v>1167</v>
      </c>
      <c r="K556" s="35" t="s">
        <v>909</v>
      </c>
      <c r="L556" s="40" t="s">
        <v>1485</v>
      </c>
      <c r="M556" s="40" t="s">
        <v>1253</v>
      </c>
      <c r="N556" s="40"/>
      <c r="O556" s="40"/>
      <c r="P556" s="40"/>
      <c r="Q556" s="40"/>
      <c r="R556" s="40" t="s">
        <v>270</v>
      </c>
      <c r="S556" s="45"/>
      <c r="T556" s="40" t="s">
        <v>1485</v>
      </c>
      <c r="U556" s="40" t="str">
        <f>Таблица310[[#This Row],[Регистратор.Номенклатура]]</f>
        <v>Тристар</v>
      </c>
      <c r="V556" s="45">
        <f>10*Таблица310[[#This Row],[Регистратор.Вес нетто]]/26690</f>
        <v>5.031847133757962</v>
      </c>
      <c r="W556" s="40" t="s">
        <v>53</v>
      </c>
      <c r="X556" s="40" t="s">
        <v>178</v>
      </c>
      <c r="Y556" s="40">
        <v>12</v>
      </c>
      <c r="Z556" s="103">
        <v>45842</v>
      </c>
      <c r="AA556" s="40"/>
      <c r="AB556" s="40"/>
      <c r="AC556" s="40" t="s">
        <v>724</v>
      </c>
      <c r="AD556" s="40" t="s">
        <v>511</v>
      </c>
      <c r="AE556" s="40" t="s">
        <v>1516</v>
      </c>
      <c r="AF556" s="103">
        <v>45843</v>
      </c>
      <c r="AG556" s="40">
        <v>109</v>
      </c>
      <c r="AH556" s="40">
        <f>VLOOKUP(Таблица310[[#This Row],[№ акта]],'Степень зрелости 2025'!$H$13:$I$583,2,FALSE)</f>
        <v>53</v>
      </c>
      <c r="AI556" s="40" t="str">
        <f>VLOOKUP(Таблица310[[#This Row],[№ акта]],$AQ$1:$AT$594,2,FALSE)</f>
        <v>2.3</v>
      </c>
      <c r="AJ556" s="40" t="str">
        <f>Таблица310[[#This Row],[Регистратор.Номенклатура]]</f>
        <v>Тристар</v>
      </c>
      <c r="AK556" s="40" t="str">
        <f>VLOOKUP(Таблица310[[#This Row],[№ акта]],$AQ$1:$AT$594,4,FALSE)</f>
        <v>Колос (полив)</v>
      </c>
      <c r="AL556" s="45">
        <f>VLOOKUP(Таблица310[[#This Row],[№ акта]],$AQ$1:$AT$594,3,FALSE)</f>
        <v>5.031847133757962</v>
      </c>
      <c r="AM556" s="40" t="str">
        <f>IF(Таблица310[[#This Row],[Площадь уборки, га]]=Таблица310[[#This Row],[Площадь уборки до корр]],"нет","да")</f>
        <v>нет</v>
      </c>
      <c r="AN556" s="45">
        <f>Таблица310[[#This Row],[Площадь уборки до корр]]-Таблица310[[#This Row],[Площадь уборки, га]]</f>
        <v>0</v>
      </c>
      <c r="AQ556" t="s">
        <v>1516</v>
      </c>
      <c r="AR556" t="s">
        <v>1485</v>
      </c>
      <c r="AS556">
        <v>5.031847133757962</v>
      </c>
      <c r="AT556" t="s">
        <v>53</v>
      </c>
      <c r="XFD556" s="40"/>
    </row>
    <row r="557" spans="1:46 16384:16384" ht="22.5" hidden="1" x14ac:dyDescent="0.25">
      <c r="A557" s="40"/>
      <c r="B557" s="42"/>
      <c r="C557" s="40">
        <v>59</v>
      </c>
      <c r="D557" s="41" t="s">
        <v>1517</v>
      </c>
      <c r="E557" s="148">
        <v>45843</v>
      </c>
      <c r="F557" s="69">
        <v>29290</v>
      </c>
      <c r="G557" s="41">
        <v>13800</v>
      </c>
      <c r="H557" s="40">
        <v>15490</v>
      </c>
      <c r="I557" s="40">
        <v>12144</v>
      </c>
      <c r="J557" s="40" t="s">
        <v>1167</v>
      </c>
      <c r="K557" s="35" t="s">
        <v>909</v>
      </c>
      <c r="L557" s="40" t="s">
        <v>1485</v>
      </c>
      <c r="M557" s="40" t="s">
        <v>1151</v>
      </c>
      <c r="N557" s="40"/>
      <c r="O557" s="40"/>
      <c r="P557" s="40"/>
      <c r="Q557" s="40"/>
      <c r="R557" s="40" t="s">
        <v>145</v>
      </c>
      <c r="S557" s="45"/>
      <c r="T557" s="40" t="s">
        <v>1485</v>
      </c>
      <c r="U557" s="40" t="str">
        <f>Таблица310[[#This Row],[Регистратор.Номенклатура]]</f>
        <v>Тристар</v>
      </c>
      <c r="V557" s="45">
        <f>20*Таблица310[[#This Row],[Регистратор.Вес нетто]]/44700</f>
        <v>6.174496644295302</v>
      </c>
      <c r="W557" s="40" t="s">
        <v>53</v>
      </c>
      <c r="X557" s="40" t="s">
        <v>178</v>
      </c>
      <c r="Y557" s="40">
        <v>13</v>
      </c>
      <c r="Z557" s="103">
        <v>45843</v>
      </c>
      <c r="AA557" s="40"/>
      <c r="AB557" s="40"/>
      <c r="AC557" s="40" t="s">
        <v>724</v>
      </c>
      <c r="AD557" s="40" t="s">
        <v>511</v>
      </c>
      <c r="AE557" s="40" t="s">
        <v>1517</v>
      </c>
      <c r="AF557" s="103">
        <v>45843</v>
      </c>
      <c r="AG557" s="40">
        <v>110</v>
      </c>
      <c r="AH557" s="40">
        <f>VLOOKUP(Таблица310[[#This Row],[№ акта]],'Степень зрелости 2025'!$H$13:$I$583,2,FALSE)</f>
        <v>59</v>
      </c>
      <c r="AI557" s="40" t="str">
        <f>VLOOKUP(Таблица310[[#This Row],[№ акта]],$AQ$1:$AT$594,2,FALSE)</f>
        <v>2.3</v>
      </c>
      <c r="AJ557" s="40" t="str">
        <f>Таблица310[[#This Row],[Регистратор.Номенклатура]]</f>
        <v>Тристар</v>
      </c>
      <c r="AK557" s="40" t="str">
        <f>VLOOKUP(Таблица310[[#This Row],[№ акта]],$AQ$1:$AT$594,4,FALSE)</f>
        <v>Колос (полив)</v>
      </c>
      <c r="AL557" s="45">
        <f>VLOOKUP(Таблица310[[#This Row],[№ акта]],$AQ$1:$AT$594,3,FALSE)</f>
        <v>6.174496644295302</v>
      </c>
      <c r="AM557" s="40" t="str">
        <f>IF(Таблица310[[#This Row],[Площадь уборки, га]]=Таблица310[[#This Row],[Площадь уборки до корр]],"нет","да")</f>
        <v>нет</v>
      </c>
      <c r="AN557" s="45">
        <f>Таблица310[[#This Row],[Площадь уборки до корр]]-Таблица310[[#This Row],[Площадь уборки, га]]</f>
        <v>0</v>
      </c>
      <c r="AQ557" t="s">
        <v>1517</v>
      </c>
      <c r="AR557" t="s">
        <v>1485</v>
      </c>
      <c r="AS557">
        <v>6.174496644295302</v>
      </c>
      <c r="AT557" t="s">
        <v>53</v>
      </c>
      <c r="XFD557" s="40"/>
    </row>
    <row r="558" spans="1:46 16384:16384" ht="33.75" hidden="1" x14ac:dyDescent="0.25">
      <c r="A558" s="40"/>
      <c r="B558" s="42"/>
      <c r="C558" s="40">
        <v>54</v>
      </c>
      <c r="D558" s="41" t="s">
        <v>1518</v>
      </c>
      <c r="E558" s="148">
        <v>45843</v>
      </c>
      <c r="F558" s="69">
        <v>28420</v>
      </c>
      <c r="G558" s="41">
        <v>13570</v>
      </c>
      <c r="H558" s="40">
        <v>14850</v>
      </c>
      <c r="I558" s="40">
        <v>11263.1</v>
      </c>
      <c r="J558" s="40" t="s">
        <v>1167</v>
      </c>
      <c r="K558" s="35" t="s">
        <v>909</v>
      </c>
      <c r="L558" s="40" t="s">
        <v>1485</v>
      </c>
      <c r="M558" s="40" t="s">
        <v>1367</v>
      </c>
      <c r="N558" s="40"/>
      <c r="O558" s="40"/>
      <c r="P558" s="40"/>
      <c r="Q558" s="40"/>
      <c r="R558" s="40" t="s">
        <v>1368</v>
      </c>
      <c r="S558" s="45"/>
      <c r="T558" s="40" t="s">
        <v>1485</v>
      </c>
      <c r="U558" s="40" t="str">
        <f>Таблица310[[#This Row],[Регистратор.Номенклатура]]</f>
        <v>Тристар</v>
      </c>
      <c r="V558" s="45">
        <f>20*Таблица310[[#This Row],[Регистратор.Вес нетто]]/44700</f>
        <v>6.0715883668903805</v>
      </c>
      <c r="W558" s="40" t="s">
        <v>53</v>
      </c>
      <c r="X558" s="40" t="s">
        <v>178</v>
      </c>
      <c r="Y558" s="40">
        <v>13</v>
      </c>
      <c r="Z558" s="103">
        <v>45843</v>
      </c>
      <c r="AA558" s="40"/>
      <c r="AB558" s="40"/>
      <c r="AC558" s="40" t="s">
        <v>724</v>
      </c>
      <c r="AD558" s="40" t="s">
        <v>511</v>
      </c>
      <c r="AE558" s="40" t="s">
        <v>1518</v>
      </c>
      <c r="AF558" s="103">
        <v>45843</v>
      </c>
      <c r="AG558" s="40">
        <v>111</v>
      </c>
      <c r="AH558" s="40">
        <f>VLOOKUP(Таблица310[[#This Row],[№ акта]],'Степень зрелости 2025'!$H$13:$I$583,2,FALSE)</f>
        <v>54</v>
      </c>
      <c r="AI558" s="40" t="str">
        <f>VLOOKUP(Таблица310[[#This Row],[№ акта]],$AQ$1:$AT$594,2,FALSE)</f>
        <v>2.3</v>
      </c>
      <c r="AJ558" s="40" t="str">
        <f>Таблица310[[#This Row],[Регистратор.Номенклатура]]</f>
        <v>Тристар</v>
      </c>
      <c r="AK558" s="40" t="str">
        <f>VLOOKUP(Таблица310[[#This Row],[№ акта]],$AQ$1:$AT$594,4,FALSE)</f>
        <v>Колос (полив)</v>
      </c>
      <c r="AL558" s="45">
        <f>VLOOKUP(Таблица310[[#This Row],[№ акта]],$AQ$1:$AT$594,3,FALSE)</f>
        <v>6.0715883668903805</v>
      </c>
      <c r="AM558" s="40" t="str">
        <f>IF(Таблица310[[#This Row],[Площадь уборки, га]]=Таблица310[[#This Row],[Площадь уборки до корр]],"нет","да")</f>
        <v>нет</v>
      </c>
      <c r="AN558" s="45">
        <f>Таблица310[[#This Row],[Площадь уборки до корр]]-Таблица310[[#This Row],[Площадь уборки, га]]</f>
        <v>0</v>
      </c>
      <c r="AQ558" t="s">
        <v>1518</v>
      </c>
      <c r="AR558" t="s">
        <v>1485</v>
      </c>
      <c r="AS558">
        <v>6.0715883668903805</v>
      </c>
      <c r="AT558" t="s">
        <v>53</v>
      </c>
      <c r="XFD558" s="40"/>
    </row>
    <row r="559" spans="1:46 16384:16384" ht="22.5" hidden="1" x14ac:dyDescent="0.25">
      <c r="A559" s="40"/>
      <c r="B559" s="42"/>
      <c r="C559" s="40">
        <v>60</v>
      </c>
      <c r="D559" s="41" t="s">
        <v>1519</v>
      </c>
      <c r="E559" s="148">
        <v>45843</v>
      </c>
      <c r="F559" s="69">
        <v>32110</v>
      </c>
      <c r="G559" s="41">
        <v>17330</v>
      </c>
      <c r="H559" s="40">
        <v>14780</v>
      </c>
      <c r="I559" s="40">
        <v>15337</v>
      </c>
      <c r="J559" s="40" t="s">
        <v>1167</v>
      </c>
      <c r="K559" s="35" t="s">
        <v>909</v>
      </c>
      <c r="L559" s="40" t="s">
        <v>1485</v>
      </c>
      <c r="M559" s="40" t="s">
        <v>272</v>
      </c>
      <c r="N559" s="40"/>
      <c r="O559" s="40"/>
      <c r="P559" s="40"/>
      <c r="Q559" s="40"/>
      <c r="R559" s="40" t="s">
        <v>276</v>
      </c>
      <c r="S559" s="45"/>
      <c r="T559" s="40" t="s">
        <v>1485</v>
      </c>
      <c r="U559" s="40" t="str">
        <f>Таблица310[[#This Row],[Регистратор.Номенклатура]]</f>
        <v>Тристар</v>
      </c>
      <c r="V559" s="45">
        <f>20*Таблица310[[#This Row],[Регистратор.Вес нетто]]/44700</f>
        <v>7.7539149888143175</v>
      </c>
      <c r="W559" s="40" t="s">
        <v>53</v>
      </c>
      <c r="X559" s="40" t="s">
        <v>178</v>
      </c>
      <c r="Y559" s="40">
        <v>13</v>
      </c>
      <c r="Z559" s="103">
        <v>45843</v>
      </c>
      <c r="AA559" s="40"/>
      <c r="AB559" s="40"/>
      <c r="AC559" s="40" t="s">
        <v>724</v>
      </c>
      <c r="AD559" s="40" t="s">
        <v>511</v>
      </c>
      <c r="AE559" s="40" t="s">
        <v>1519</v>
      </c>
      <c r="AF559" s="103">
        <v>45843</v>
      </c>
      <c r="AG559" s="40">
        <v>112</v>
      </c>
      <c r="AH559" s="40">
        <f>VLOOKUP(Таблица310[[#This Row],[№ акта]],'Степень зрелости 2025'!$H$13:$I$583,2,FALSE)</f>
        <v>60</v>
      </c>
      <c r="AI559" s="40" t="str">
        <f>VLOOKUP(Таблица310[[#This Row],[№ акта]],$AQ$1:$AT$594,2,FALSE)</f>
        <v>2.3</v>
      </c>
      <c r="AJ559" s="40" t="str">
        <f>Таблица310[[#This Row],[Регистратор.Номенклатура]]</f>
        <v>Тристар</v>
      </c>
      <c r="AK559" s="40" t="str">
        <f>VLOOKUP(Таблица310[[#This Row],[№ акта]],$AQ$1:$AT$594,4,FALSE)</f>
        <v>Колос (полив)</v>
      </c>
      <c r="AL559" s="45">
        <f>VLOOKUP(Таблица310[[#This Row],[№ акта]],$AQ$1:$AT$594,3,FALSE)</f>
        <v>7.7539149888143175</v>
      </c>
      <c r="AM559" s="40" t="str">
        <f>IF(Таблица310[[#This Row],[Площадь уборки, га]]=Таблица310[[#This Row],[Площадь уборки до корр]],"нет","да")</f>
        <v>нет</v>
      </c>
      <c r="AN559" s="45">
        <f>Таблица310[[#This Row],[Площадь уборки до корр]]-Таблица310[[#This Row],[Площадь уборки, га]]</f>
        <v>0</v>
      </c>
      <c r="AQ559" t="s">
        <v>1519</v>
      </c>
      <c r="AR559" t="s">
        <v>1485</v>
      </c>
      <c r="AS559">
        <v>7.7539149888143175</v>
      </c>
      <c r="AT559" t="s">
        <v>53</v>
      </c>
      <c r="XFD559" s="40"/>
    </row>
    <row r="560" spans="1:46 16384:16384" ht="22.5" hidden="1" x14ac:dyDescent="0.25">
      <c r="A560" s="40"/>
      <c r="B560" s="42"/>
      <c r="C560" s="40">
        <v>68</v>
      </c>
      <c r="D560" s="41" t="s">
        <v>1520</v>
      </c>
      <c r="E560" s="148">
        <v>45843</v>
      </c>
      <c r="F560" s="69">
        <v>28250</v>
      </c>
      <c r="G560" s="41">
        <v>13290</v>
      </c>
      <c r="H560" s="40">
        <v>14960</v>
      </c>
      <c r="I560" s="40">
        <v>12293.2</v>
      </c>
      <c r="J560" s="40" t="s">
        <v>1167</v>
      </c>
      <c r="K560" s="35" t="s">
        <v>1316</v>
      </c>
      <c r="L560" s="40" t="s">
        <v>1168</v>
      </c>
      <c r="M560" s="40" t="s">
        <v>1461</v>
      </c>
      <c r="N560" s="40"/>
      <c r="O560" s="40"/>
      <c r="P560" s="40"/>
      <c r="Q560" s="40"/>
      <c r="R560" s="40" t="s">
        <v>149</v>
      </c>
      <c r="S560" s="45"/>
      <c r="T560" s="40" t="s">
        <v>1168</v>
      </c>
      <c r="U560" s="40" t="str">
        <f>Таблица310[[#This Row],[Регистратор.Номенклатура]]</f>
        <v>Исток</v>
      </c>
      <c r="V560" s="45">
        <f>20*Таблица310[[#This Row],[Регистратор.Вес нетто]]/118470</f>
        <v>2.2436059761965055</v>
      </c>
      <c r="W560" s="40" t="s">
        <v>53</v>
      </c>
      <c r="X560" s="40" t="s">
        <v>178</v>
      </c>
      <c r="Y560" s="40">
        <v>13</v>
      </c>
      <c r="Z560" s="103">
        <v>45843</v>
      </c>
      <c r="AA560" s="40"/>
      <c r="AB560" s="40"/>
      <c r="AC560" s="40" t="s">
        <v>420</v>
      </c>
      <c r="AD560" s="40" t="s">
        <v>550</v>
      </c>
      <c r="AE560" s="40" t="s">
        <v>1520</v>
      </c>
      <c r="AF560" s="103">
        <v>45843</v>
      </c>
      <c r="AG560" s="40">
        <v>113</v>
      </c>
      <c r="AH560" s="40">
        <f>VLOOKUP(Таблица310[[#This Row],[№ акта]],'Степень зрелости 2025'!$H$13:$I$583,2,FALSE)</f>
        <v>68</v>
      </c>
      <c r="AI560" s="40" t="str">
        <f>VLOOKUP(Таблица310[[#This Row],[№ акта]],$AQ$1:$AT$594,2,FALSE)</f>
        <v>4.1</v>
      </c>
      <c r="AJ560" s="40" t="str">
        <f>Таблица310[[#This Row],[Регистратор.Номенклатура]]</f>
        <v>Исток</v>
      </c>
      <c r="AK560" s="40" t="str">
        <f>VLOOKUP(Таблица310[[#This Row],[№ акта]],$AQ$1:$AT$594,4,FALSE)</f>
        <v>Колос (полив)</v>
      </c>
      <c r="AL560" s="45">
        <f>VLOOKUP(Таблица310[[#This Row],[№ акта]],$AQ$1:$AT$594,3,FALSE)</f>
        <v>2.2436059761965055</v>
      </c>
      <c r="AM560" s="40" t="str">
        <f>IF(Таблица310[[#This Row],[Площадь уборки, га]]=Таблица310[[#This Row],[Площадь уборки до корр]],"нет","да")</f>
        <v>нет</v>
      </c>
      <c r="AN560" s="45">
        <f>Таблица310[[#This Row],[Площадь уборки до корр]]-Таблица310[[#This Row],[Площадь уборки, га]]</f>
        <v>0</v>
      </c>
      <c r="AQ560" t="s">
        <v>1520</v>
      </c>
      <c r="AR560" t="s">
        <v>1168</v>
      </c>
      <c r="AS560">
        <v>2.2436059761965055</v>
      </c>
      <c r="AT560" t="s">
        <v>53</v>
      </c>
      <c r="XFD560" s="40"/>
    </row>
    <row r="561" spans="1:46 16384:16384" ht="22.5" hidden="1" x14ac:dyDescent="0.25">
      <c r="A561" s="40"/>
      <c r="B561" s="42"/>
      <c r="C561" s="40">
        <v>72</v>
      </c>
      <c r="D561" s="41" t="s">
        <v>1521</v>
      </c>
      <c r="E561" s="148">
        <v>45844</v>
      </c>
      <c r="F561" s="69">
        <v>37540</v>
      </c>
      <c r="G561" s="41">
        <v>13170</v>
      </c>
      <c r="H561" s="40">
        <v>24370</v>
      </c>
      <c r="I561" s="40">
        <v>12445.6</v>
      </c>
      <c r="J561" s="40" t="s">
        <v>1167</v>
      </c>
      <c r="K561" s="35" t="s">
        <v>1316</v>
      </c>
      <c r="L561" s="40" t="s">
        <v>1168</v>
      </c>
      <c r="M561" s="40" t="s">
        <v>1373</v>
      </c>
      <c r="N561" s="40"/>
      <c r="O561" s="40"/>
      <c r="P561" s="40"/>
      <c r="Q561" s="40"/>
      <c r="R561" s="40" t="s">
        <v>1374</v>
      </c>
      <c r="S561" s="45"/>
      <c r="T561" s="40" t="s">
        <v>1168</v>
      </c>
      <c r="U561" s="40" t="str">
        <f>Таблица310[[#This Row],[Регистратор.Номенклатура]]</f>
        <v>Исток</v>
      </c>
      <c r="V561" s="45">
        <f>20*Таблица310[[#This Row],[Регистратор.Вес нетто]]/118470</f>
        <v>2.2233476829577108</v>
      </c>
      <c r="W561" s="40" t="s">
        <v>53</v>
      </c>
      <c r="X561" s="40" t="s">
        <v>178</v>
      </c>
      <c r="Y561" s="40">
        <v>13</v>
      </c>
      <c r="Z561" s="103">
        <v>45843</v>
      </c>
      <c r="AA561" s="40"/>
      <c r="AB561" s="40"/>
      <c r="AC561" s="40" t="s">
        <v>420</v>
      </c>
      <c r="AD561" s="40" t="s">
        <v>833</v>
      </c>
      <c r="AE561" s="40" t="s">
        <v>1521</v>
      </c>
      <c r="AF561" s="103">
        <v>45844</v>
      </c>
      <c r="AG561" s="40">
        <v>114</v>
      </c>
      <c r="AH561" s="40">
        <f>VLOOKUP(Таблица310[[#This Row],[№ акта]],'Степень зрелости 2025'!$H$13:$I$583,2,FALSE)</f>
        <v>72</v>
      </c>
      <c r="AI561" s="40" t="str">
        <f>VLOOKUP(Таблица310[[#This Row],[№ акта]],$AQ$1:$AT$594,2,FALSE)</f>
        <v>4.1</v>
      </c>
      <c r="AJ561" s="40" t="str">
        <f>Таблица310[[#This Row],[Регистратор.Номенклатура]]</f>
        <v>Исток</v>
      </c>
      <c r="AK561" s="40" t="str">
        <f>VLOOKUP(Таблица310[[#This Row],[№ акта]],$AQ$1:$AT$594,4,FALSE)</f>
        <v>Колос (полив)</v>
      </c>
      <c r="AL561" s="45">
        <f>VLOOKUP(Таблица310[[#This Row],[№ акта]],$AQ$1:$AT$594,3,FALSE)</f>
        <v>2.2233476829577108</v>
      </c>
      <c r="AM561" s="40" t="str">
        <f>IF(Таблица310[[#This Row],[Площадь уборки, га]]=Таблица310[[#This Row],[Площадь уборки до корр]],"нет","да")</f>
        <v>нет</v>
      </c>
      <c r="AN561" s="45">
        <f>Таблица310[[#This Row],[Площадь уборки до корр]]-Таблица310[[#This Row],[Площадь уборки, га]]</f>
        <v>0</v>
      </c>
      <c r="AQ561" t="s">
        <v>1521</v>
      </c>
      <c r="AR561" t="s">
        <v>1168</v>
      </c>
      <c r="AS561">
        <v>2.2233476829577108</v>
      </c>
      <c r="AT561" t="s">
        <v>53</v>
      </c>
      <c r="XFD561" s="40"/>
    </row>
    <row r="562" spans="1:46 16384:16384" ht="22.5" hidden="1" x14ac:dyDescent="0.25">
      <c r="A562" s="40"/>
      <c r="B562" s="42"/>
      <c r="C562" s="40">
        <v>71</v>
      </c>
      <c r="D562" s="41" t="s">
        <v>1493</v>
      </c>
      <c r="E562" s="148">
        <v>45844</v>
      </c>
      <c r="F562" s="69">
        <v>27570</v>
      </c>
      <c r="G562" s="41">
        <v>13120</v>
      </c>
      <c r="H562" s="40">
        <v>14450</v>
      </c>
      <c r="I562" s="40">
        <v>12136</v>
      </c>
      <c r="J562" s="40" t="s">
        <v>1167</v>
      </c>
      <c r="K562" s="35" t="s">
        <v>1316</v>
      </c>
      <c r="L562" s="40" t="s">
        <v>1168</v>
      </c>
      <c r="M562" s="40" t="s">
        <v>1312</v>
      </c>
      <c r="N562" s="40"/>
      <c r="O562" s="40"/>
      <c r="P562" s="40"/>
      <c r="Q562" s="40"/>
      <c r="R562" s="40" t="s">
        <v>320</v>
      </c>
      <c r="S562" s="45"/>
      <c r="T562" s="40" t="s">
        <v>1168</v>
      </c>
      <c r="U562" s="40" t="str">
        <f>Таблица310[[#This Row],[Регистратор.Номенклатура]]</f>
        <v>Исток</v>
      </c>
      <c r="V562" s="45">
        <f>20*Таблица310[[#This Row],[Регистратор.Вес нетто]]/118470</f>
        <v>2.2149067274415466</v>
      </c>
      <c r="W562" s="40" t="s">
        <v>53</v>
      </c>
      <c r="X562" s="40" t="s">
        <v>178</v>
      </c>
      <c r="Y562" s="40">
        <v>13</v>
      </c>
      <c r="Z562" s="103">
        <v>45843</v>
      </c>
      <c r="AA562" s="40"/>
      <c r="AB562" s="40"/>
      <c r="AC562" s="40" t="s">
        <v>420</v>
      </c>
      <c r="AD562" s="40" t="s">
        <v>833</v>
      </c>
      <c r="AE562" s="40" t="s">
        <v>1493</v>
      </c>
      <c r="AF562" s="103">
        <v>45844</v>
      </c>
      <c r="AG562" s="40">
        <v>115</v>
      </c>
      <c r="AH562" s="40">
        <f>VLOOKUP(Таблица310[[#This Row],[№ акта]],'Степень зрелости 2025'!$H$13:$I$583,2,FALSE)</f>
        <v>71</v>
      </c>
      <c r="AI562" s="40" t="str">
        <f>VLOOKUP(Таблица310[[#This Row],[№ акта]],$AQ$1:$AT$594,2,FALSE)</f>
        <v>4.1</v>
      </c>
      <c r="AJ562" s="40" t="str">
        <f>Таблица310[[#This Row],[Регистратор.Номенклатура]]</f>
        <v>Исток</v>
      </c>
      <c r="AK562" s="40" t="str">
        <f>VLOOKUP(Таблица310[[#This Row],[№ акта]],$AQ$1:$AT$594,4,FALSE)</f>
        <v>Колос (полив)</v>
      </c>
      <c r="AL562" s="45">
        <f>VLOOKUP(Таблица310[[#This Row],[№ акта]],$AQ$1:$AT$594,3,FALSE)</f>
        <v>2.2149067274415466</v>
      </c>
      <c r="AM562" s="40" t="str">
        <f>IF(Таблица310[[#This Row],[Площадь уборки, га]]=Таблица310[[#This Row],[Площадь уборки до корр]],"нет","да")</f>
        <v>нет</v>
      </c>
      <c r="AN562" s="45">
        <f>Таблица310[[#This Row],[Площадь уборки до корр]]-Таблица310[[#This Row],[Площадь уборки, га]]</f>
        <v>0</v>
      </c>
      <c r="AQ562" t="s">
        <v>1493</v>
      </c>
      <c r="AR562" t="s">
        <v>1168</v>
      </c>
      <c r="AS562">
        <v>2.2149067274415466</v>
      </c>
      <c r="AT562" t="s">
        <v>53</v>
      </c>
      <c r="XFD562" s="40"/>
    </row>
    <row r="563" spans="1:46 16384:16384" ht="22.5" hidden="1" x14ac:dyDescent="0.25">
      <c r="A563" s="40"/>
      <c r="B563" s="42"/>
      <c r="C563" s="40">
        <v>68</v>
      </c>
      <c r="D563" s="41" t="s">
        <v>1494</v>
      </c>
      <c r="E563" s="148">
        <v>45844</v>
      </c>
      <c r="F563" s="69">
        <v>27020</v>
      </c>
      <c r="G563" s="41">
        <v>13210</v>
      </c>
      <c r="H563" s="40">
        <v>13810</v>
      </c>
      <c r="I563" s="40">
        <v>12087.1</v>
      </c>
      <c r="J563" s="40" t="s">
        <v>1167</v>
      </c>
      <c r="K563" s="35" t="s">
        <v>1316</v>
      </c>
      <c r="L563" s="40" t="s">
        <v>1168</v>
      </c>
      <c r="M563" s="40" t="s">
        <v>212</v>
      </c>
      <c r="N563" s="40"/>
      <c r="O563" s="40"/>
      <c r="P563" s="40"/>
      <c r="Q563" s="40"/>
      <c r="R563" s="40" t="s">
        <v>216</v>
      </c>
      <c r="S563" s="45"/>
      <c r="T563" s="40" t="s">
        <v>1168</v>
      </c>
      <c r="U563" s="40" t="str">
        <f>Таблица310[[#This Row],[Регистратор.Номенклатура]]</f>
        <v>Исток</v>
      </c>
      <c r="V563" s="45">
        <f>20*Таблица310[[#This Row],[Регистратор.Вес нетто]]/118470</f>
        <v>2.2301004473706425</v>
      </c>
      <c r="W563" s="40" t="s">
        <v>53</v>
      </c>
      <c r="X563" s="40" t="s">
        <v>178</v>
      </c>
      <c r="Y563" s="40">
        <v>13</v>
      </c>
      <c r="Z563" s="103">
        <v>45843</v>
      </c>
      <c r="AA563" s="40"/>
      <c r="AB563" s="40"/>
      <c r="AC563" s="40" t="s">
        <v>420</v>
      </c>
      <c r="AD563" s="40" t="s">
        <v>550</v>
      </c>
      <c r="AE563" s="40" t="s">
        <v>1494</v>
      </c>
      <c r="AF563" s="103">
        <v>45844</v>
      </c>
      <c r="AG563" s="40">
        <v>116</v>
      </c>
      <c r="AH563" s="40">
        <f>VLOOKUP(Таблица310[[#This Row],[№ акта]],'Степень зрелости 2025'!$H$13:$I$583,2,FALSE)</f>
        <v>68</v>
      </c>
      <c r="AI563" s="40" t="str">
        <f>VLOOKUP(Таблица310[[#This Row],[№ акта]],$AQ$1:$AT$594,2,FALSE)</f>
        <v>4.1</v>
      </c>
      <c r="AJ563" s="40" t="str">
        <f>Таблица310[[#This Row],[Регистратор.Номенклатура]]</f>
        <v>Исток</v>
      </c>
      <c r="AK563" s="40" t="str">
        <f>VLOOKUP(Таблица310[[#This Row],[№ акта]],$AQ$1:$AT$594,4,FALSE)</f>
        <v>Колос (полив)</v>
      </c>
      <c r="AL563" s="45">
        <f>VLOOKUP(Таблица310[[#This Row],[№ акта]],$AQ$1:$AT$594,3,FALSE)</f>
        <v>2.2301004473706425</v>
      </c>
      <c r="AM563" s="40" t="str">
        <f>IF(Таблица310[[#This Row],[Площадь уборки, га]]=Таблица310[[#This Row],[Площадь уборки до корр]],"нет","да")</f>
        <v>нет</v>
      </c>
      <c r="AN563" s="45">
        <f>Таблица310[[#This Row],[Площадь уборки до корр]]-Таблица310[[#This Row],[Площадь уборки, га]]</f>
        <v>0</v>
      </c>
      <c r="AQ563" t="s">
        <v>1494</v>
      </c>
      <c r="AR563" t="s">
        <v>1168</v>
      </c>
      <c r="AS563">
        <v>2.2301004473706425</v>
      </c>
      <c r="AT563" t="s">
        <v>53</v>
      </c>
      <c r="XFD563" s="40"/>
    </row>
    <row r="564" spans="1:46 16384:16384" ht="22.5" hidden="1" x14ac:dyDescent="0.25">
      <c r="A564" s="40"/>
      <c r="B564" s="42"/>
      <c r="C564" s="40">
        <v>68</v>
      </c>
      <c r="D564" s="41" t="s">
        <v>1495</v>
      </c>
      <c r="E564" s="148">
        <v>45844</v>
      </c>
      <c r="F564" s="69">
        <v>28630</v>
      </c>
      <c r="G564" s="41">
        <v>13160</v>
      </c>
      <c r="H564" s="40">
        <v>15470</v>
      </c>
      <c r="I564" s="40">
        <v>12173</v>
      </c>
      <c r="J564" s="40" t="s">
        <v>1167</v>
      </c>
      <c r="K564" s="35" t="s">
        <v>1316</v>
      </c>
      <c r="L564" s="40" t="s">
        <v>1168</v>
      </c>
      <c r="M564" s="40" t="s">
        <v>1376</v>
      </c>
      <c r="N564" s="40"/>
      <c r="O564" s="40"/>
      <c r="P564" s="40"/>
      <c r="Q564" s="40"/>
      <c r="R564" s="40" t="s">
        <v>1377</v>
      </c>
      <c r="S564" s="45"/>
      <c r="T564" s="40" t="s">
        <v>1168</v>
      </c>
      <c r="U564" s="40" t="str">
        <f>Таблица310[[#This Row],[Регистратор.Номенклатура]]</f>
        <v>Исток</v>
      </c>
      <c r="V564" s="45">
        <f>20*Таблица310[[#This Row],[Регистратор.Вес нетто]]/118470</f>
        <v>2.2216594918544779</v>
      </c>
      <c r="W564" s="40" t="s">
        <v>53</v>
      </c>
      <c r="X564" s="40" t="s">
        <v>178</v>
      </c>
      <c r="Y564" s="40">
        <v>13</v>
      </c>
      <c r="Z564" s="103">
        <v>45843</v>
      </c>
      <c r="AA564" s="40"/>
      <c r="AB564" s="40"/>
      <c r="AC564" s="40" t="s">
        <v>420</v>
      </c>
      <c r="AD564" s="40" t="s">
        <v>550</v>
      </c>
      <c r="AE564" s="40" t="s">
        <v>1495</v>
      </c>
      <c r="AF564" s="103">
        <v>45844</v>
      </c>
      <c r="AG564" s="40">
        <v>117</v>
      </c>
      <c r="AH564" s="40">
        <f>VLOOKUP(Таблица310[[#This Row],[№ акта]],'Степень зрелости 2025'!$H$13:$I$583,2,FALSE)</f>
        <v>68</v>
      </c>
      <c r="AI564" s="40" t="str">
        <f>VLOOKUP(Таблица310[[#This Row],[№ акта]],$AQ$1:$AT$594,2,FALSE)</f>
        <v>4.1</v>
      </c>
      <c r="AJ564" s="40" t="str">
        <f>Таблица310[[#This Row],[Регистратор.Номенклатура]]</f>
        <v>Исток</v>
      </c>
      <c r="AK564" s="40" t="str">
        <f>VLOOKUP(Таблица310[[#This Row],[№ акта]],$AQ$1:$AT$594,4,FALSE)</f>
        <v>Колос (полив)</v>
      </c>
      <c r="AL564" s="45">
        <f>VLOOKUP(Таблица310[[#This Row],[№ акта]],$AQ$1:$AT$594,3,FALSE)</f>
        <v>2.2216594918544779</v>
      </c>
      <c r="AM564" s="40" t="str">
        <f>IF(Таблица310[[#This Row],[Площадь уборки, га]]=Таблица310[[#This Row],[Площадь уборки до корр]],"нет","да")</f>
        <v>нет</v>
      </c>
      <c r="AN564" s="45">
        <f>Таблица310[[#This Row],[Площадь уборки до корр]]-Таблица310[[#This Row],[Площадь уборки, га]]</f>
        <v>0</v>
      </c>
      <c r="AQ564" t="s">
        <v>1495</v>
      </c>
      <c r="AR564" t="s">
        <v>1168</v>
      </c>
      <c r="AS564">
        <v>2.2216594918544779</v>
      </c>
      <c r="AT564" t="s">
        <v>53</v>
      </c>
      <c r="XFD564" s="40"/>
    </row>
    <row r="565" spans="1:46 16384:16384" ht="22.5" hidden="1" x14ac:dyDescent="0.25">
      <c r="A565" s="40"/>
      <c r="B565" s="42"/>
      <c r="C565" s="40">
        <v>62</v>
      </c>
      <c r="D565" s="41" t="s">
        <v>1496</v>
      </c>
      <c r="E565" s="148">
        <v>45844</v>
      </c>
      <c r="F565" s="69">
        <v>28720</v>
      </c>
      <c r="G565" s="41">
        <v>12960</v>
      </c>
      <c r="H565" s="40">
        <v>15760</v>
      </c>
      <c r="I565" s="40">
        <v>11858.4</v>
      </c>
      <c r="J565" s="40" t="s">
        <v>1167</v>
      </c>
      <c r="K565" s="35" t="s">
        <v>1316</v>
      </c>
      <c r="L565" s="40" t="s">
        <v>1168</v>
      </c>
      <c r="M565" s="40" t="s">
        <v>1408</v>
      </c>
      <c r="N565" s="40"/>
      <c r="O565" s="40"/>
      <c r="P565" s="40"/>
      <c r="Q565" s="40"/>
      <c r="R565" s="40" t="s">
        <v>1409</v>
      </c>
      <c r="S565" s="45"/>
      <c r="T565" s="40" t="s">
        <v>1168</v>
      </c>
      <c r="U565" s="40" t="str">
        <f>Таблица310[[#This Row],[Регистратор.Номенклатура]]</f>
        <v>Исток</v>
      </c>
      <c r="V565" s="45">
        <f>20*Таблица310[[#This Row],[Регистратор.Вес нетто]]/118470</f>
        <v>2.1878956697898202</v>
      </c>
      <c r="W565" s="40" t="s">
        <v>53</v>
      </c>
      <c r="X565" s="40" t="s">
        <v>178</v>
      </c>
      <c r="Y565" s="40">
        <v>13</v>
      </c>
      <c r="Z565" s="103">
        <v>45843</v>
      </c>
      <c r="AA565" s="40"/>
      <c r="AB565" s="40"/>
      <c r="AC565" s="40" t="s">
        <v>724</v>
      </c>
      <c r="AD565" s="40" t="s">
        <v>511</v>
      </c>
      <c r="AE565" s="40" t="s">
        <v>1496</v>
      </c>
      <c r="AF565" s="103">
        <v>45844</v>
      </c>
      <c r="AG565" s="40">
        <v>118</v>
      </c>
      <c r="AH565" s="40">
        <f>VLOOKUP(Таблица310[[#This Row],[№ акта]],'Степень зрелости 2025'!$H$13:$I$583,2,FALSE)</f>
        <v>62</v>
      </c>
      <c r="AI565" s="40" t="str">
        <f>VLOOKUP(Таблица310[[#This Row],[№ акта]],$AQ$1:$AT$594,2,FALSE)</f>
        <v>4.1</v>
      </c>
      <c r="AJ565" s="40" t="str">
        <f>Таблица310[[#This Row],[Регистратор.Номенклатура]]</f>
        <v>Исток</v>
      </c>
      <c r="AK565" s="40" t="str">
        <f>VLOOKUP(Таблица310[[#This Row],[№ акта]],$AQ$1:$AT$594,4,FALSE)</f>
        <v>Колос (полив)</v>
      </c>
      <c r="AL565" s="45">
        <f>VLOOKUP(Таблица310[[#This Row],[№ акта]],$AQ$1:$AT$594,3,FALSE)</f>
        <v>2.1878956697898202</v>
      </c>
      <c r="AM565" s="40" t="str">
        <f>IF(Таблица310[[#This Row],[Площадь уборки, га]]=Таблица310[[#This Row],[Площадь уборки до корр]],"нет","да")</f>
        <v>нет</v>
      </c>
      <c r="AN565" s="45">
        <f>Таблица310[[#This Row],[Площадь уборки до корр]]-Таблица310[[#This Row],[Площадь уборки, га]]</f>
        <v>0</v>
      </c>
      <c r="AQ565" t="s">
        <v>1496</v>
      </c>
      <c r="AR565" t="s">
        <v>1168</v>
      </c>
      <c r="AS565">
        <v>2.1878956697898202</v>
      </c>
      <c r="AT565" t="s">
        <v>53</v>
      </c>
      <c r="XFD565" s="40"/>
    </row>
    <row r="566" spans="1:46 16384:16384" ht="33.75" hidden="1" x14ac:dyDescent="0.25">
      <c r="A566" s="40"/>
      <c r="B566" s="42"/>
      <c r="C566" s="40">
        <v>51</v>
      </c>
      <c r="D566" s="41" t="s">
        <v>1497</v>
      </c>
      <c r="E566" s="148">
        <v>45844</v>
      </c>
      <c r="F566" s="69">
        <v>27710</v>
      </c>
      <c r="G566" s="41">
        <v>13190</v>
      </c>
      <c r="H566" s="40">
        <v>14520</v>
      </c>
      <c r="I566" s="40">
        <v>11541.2</v>
      </c>
      <c r="J566" s="40" t="s">
        <v>1167</v>
      </c>
      <c r="K566" s="35" t="s">
        <v>1316</v>
      </c>
      <c r="L566" s="40" t="s">
        <v>1168</v>
      </c>
      <c r="M566" s="40" t="s">
        <v>239</v>
      </c>
      <c r="N566" s="40"/>
      <c r="O566" s="40"/>
      <c r="P566" s="40"/>
      <c r="Q566" s="40"/>
      <c r="R566" s="40" t="s">
        <v>243</v>
      </c>
      <c r="S566" s="45"/>
      <c r="T566" s="40" t="s">
        <v>1168</v>
      </c>
      <c r="U566" s="40" t="str">
        <f>Таблица310[[#This Row],[Регистратор.Номенклатура]]</f>
        <v>Исток</v>
      </c>
      <c r="V566" s="45">
        <f>20*Таблица310[[#This Row],[Регистратор.Вес нетто]]/118470</f>
        <v>2.2267240651641766</v>
      </c>
      <c r="W566" s="40" t="s">
        <v>53</v>
      </c>
      <c r="X566" s="40" t="s">
        <v>178</v>
      </c>
      <c r="Y566" s="40">
        <v>13</v>
      </c>
      <c r="Z566" s="103">
        <v>45843</v>
      </c>
      <c r="AA566" s="40"/>
      <c r="AB566" s="40"/>
      <c r="AC566" s="40" t="s">
        <v>419</v>
      </c>
      <c r="AD566" s="40" t="s">
        <v>511</v>
      </c>
      <c r="AE566" s="40" t="s">
        <v>1497</v>
      </c>
      <c r="AF566" s="103">
        <v>45844</v>
      </c>
      <c r="AG566" s="40">
        <v>119</v>
      </c>
      <c r="AH566" s="40">
        <f>VLOOKUP(Таблица310[[#This Row],[№ акта]],'Степень зрелости 2025'!$H$13:$I$583,2,FALSE)</f>
        <v>51</v>
      </c>
      <c r="AI566" s="40" t="str">
        <f>VLOOKUP(Таблица310[[#This Row],[№ акта]],$AQ$1:$AT$594,2,FALSE)</f>
        <v>4.1</v>
      </c>
      <c r="AJ566" s="40" t="str">
        <f>Таблица310[[#This Row],[Регистратор.Номенклатура]]</f>
        <v>Исток</v>
      </c>
      <c r="AK566" s="40" t="str">
        <f>VLOOKUP(Таблица310[[#This Row],[№ акта]],$AQ$1:$AT$594,4,FALSE)</f>
        <v>Колос (полив)</v>
      </c>
      <c r="AL566" s="45">
        <f>VLOOKUP(Таблица310[[#This Row],[№ акта]],$AQ$1:$AT$594,3,FALSE)</f>
        <v>2.2267240651641766</v>
      </c>
      <c r="AM566" s="40" t="str">
        <f>IF(Таблица310[[#This Row],[Площадь уборки, га]]=Таблица310[[#This Row],[Площадь уборки до корр]],"нет","да")</f>
        <v>нет</v>
      </c>
      <c r="AN566" s="45">
        <f>Таблица310[[#This Row],[Площадь уборки до корр]]-Таблица310[[#This Row],[Площадь уборки, га]]</f>
        <v>0</v>
      </c>
      <c r="AQ566" t="s">
        <v>1497</v>
      </c>
      <c r="AR566" t="s">
        <v>1168</v>
      </c>
      <c r="AS566">
        <v>2.2267240651641766</v>
      </c>
      <c r="AT566" t="s">
        <v>53</v>
      </c>
      <c r="XFD566" s="40"/>
    </row>
    <row r="567" spans="1:46 16384:16384" ht="33.75" hidden="1" x14ac:dyDescent="0.25">
      <c r="A567" s="40"/>
      <c r="B567" s="42"/>
      <c r="C567" s="40">
        <v>51</v>
      </c>
      <c r="D567" s="41" t="s">
        <v>1498</v>
      </c>
      <c r="E567" s="148">
        <v>45844</v>
      </c>
      <c r="F567" s="69">
        <v>28080</v>
      </c>
      <c r="G567" s="41">
        <v>13100</v>
      </c>
      <c r="H567" s="40">
        <v>14980</v>
      </c>
      <c r="I567" s="40">
        <v>11986.5</v>
      </c>
      <c r="J567" s="40" t="s">
        <v>1167</v>
      </c>
      <c r="K567" s="35" t="s">
        <v>1316</v>
      </c>
      <c r="L567" s="40" t="s">
        <v>1168</v>
      </c>
      <c r="M567" s="40" t="s">
        <v>1253</v>
      </c>
      <c r="N567" s="40"/>
      <c r="O567" s="40"/>
      <c r="P567" s="40"/>
      <c r="Q567" s="40"/>
      <c r="R567" s="40" t="s">
        <v>270</v>
      </c>
      <c r="S567" s="45"/>
      <c r="T567" s="40" t="s">
        <v>1168</v>
      </c>
      <c r="U567" s="40" t="str">
        <f>Таблица310[[#This Row],[Регистратор.Номенклатура]]</f>
        <v>Исток</v>
      </c>
      <c r="V567" s="45">
        <f>20*Таблица310[[#This Row],[Регистратор.Вес нетто]]/118470</f>
        <v>2.2115303452350807</v>
      </c>
      <c r="W567" s="40" t="s">
        <v>53</v>
      </c>
      <c r="X567" s="40" t="s">
        <v>178</v>
      </c>
      <c r="Y567" s="40">
        <v>13</v>
      </c>
      <c r="Z567" s="103">
        <v>45843</v>
      </c>
      <c r="AA567" s="40"/>
      <c r="AB567" s="40"/>
      <c r="AC567" s="40" t="s">
        <v>419</v>
      </c>
      <c r="AD567" s="40" t="s">
        <v>511</v>
      </c>
      <c r="AE567" s="40" t="s">
        <v>1498</v>
      </c>
      <c r="AF567" s="103">
        <v>45844</v>
      </c>
      <c r="AG567" s="40">
        <v>120</v>
      </c>
      <c r="AH567" s="40">
        <f>VLOOKUP(Таблица310[[#This Row],[№ акта]],'Степень зрелости 2025'!$H$13:$I$583,2,FALSE)</f>
        <v>51</v>
      </c>
      <c r="AI567" s="40" t="str">
        <f>VLOOKUP(Таблица310[[#This Row],[№ акта]],$AQ$1:$AT$594,2,FALSE)</f>
        <v>4.1</v>
      </c>
      <c r="AJ567" s="40" t="str">
        <f>Таблица310[[#This Row],[Регистратор.Номенклатура]]</f>
        <v>Исток</v>
      </c>
      <c r="AK567" s="40" t="str">
        <f>VLOOKUP(Таблица310[[#This Row],[№ акта]],$AQ$1:$AT$594,4,FALSE)</f>
        <v>Колос (полив)</v>
      </c>
      <c r="AL567" s="45">
        <f>VLOOKUP(Таблица310[[#This Row],[№ акта]],$AQ$1:$AT$594,3,FALSE)</f>
        <v>2.2115303452350807</v>
      </c>
      <c r="AM567" s="40" t="str">
        <f>IF(Таблица310[[#This Row],[Площадь уборки, га]]=Таблица310[[#This Row],[Площадь уборки до корр]],"нет","да")</f>
        <v>нет</v>
      </c>
      <c r="AN567" s="45">
        <f>Таблица310[[#This Row],[Площадь уборки до корр]]-Таблица310[[#This Row],[Площадь уборки, га]]</f>
        <v>0</v>
      </c>
      <c r="AQ567" t="s">
        <v>1498</v>
      </c>
      <c r="AR567" t="s">
        <v>1168</v>
      </c>
      <c r="AS567">
        <v>2.2115303452350807</v>
      </c>
      <c r="AT567" t="s">
        <v>53</v>
      </c>
      <c r="XFD567" s="40"/>
    </row>
    <row r="568" spans="1:46 16384:16384" ht="22.5" hidden="1" x14ac:dyDescent="0.25">
      <c r="A568" s="40"/>
      <c r="B568" s="42"/>
      <c r="C568" s="40">
        <v>51</v>
      </c>
      <c r="D568" s="41" t="s">
        <v>1499</v>
      </c>
      <c r="E568" s="148">
        <v>45844</v>
      </c>
      <c r="F568" s="69">
        <v>29000</v>
      </c>
      <c r="G568" s="41">
        <v>13270</v>
      </c>
      <c r="H568" s="40">
        <v>15730</v>
      </c>
      <c r="I568" s="40">
        <v>11611.2</v>
      </c>
      <c r="J568" s="40" t="s">
        <v>1167</v>
      </c>
      <c r="K568" s="35" t="s">
        <v>1316</v>
      </c>
      <c r="L568" s="40" t="s">
        <v>1168</v>
      </c>
      <c r="M568" s="40" t="s">
        <v>1151</v>
      </c>
      <c r="N568" s="40"/>
      <c r="O568" s="40"/>
      <c r="P568" s="40"/>
      <c r="Q568" s="40"/>
      <c r="R568" s="40" t="s">
        <v>145</v>
      </c>
      <c r="S568" s="45"/>
      <c r="T568" s="40" t="s">
        <v>1168</v>
      </c>
      <c r="U568" s="40" t="str">
        <f>Таблица310[[#This Row],[Регистратор.Номенклатура]]</f>
        <v>Исток</v>
      </c>
      <c r="V568" s="45">
        <f>20*Таблица310[[#This Row],[Регистратор.Вес нетто]]/118470</f>
        <v>2.2402295939900396</v>
      </c>
      <c r="W568" s="40" t="s">
        <v>53</v>
      </c>
      <c r="X568" s="40" t="s">
        <v>178</v>
      </c>
      <c r="Y568" s="40">
        <v>13</v>
      </c>
      <c r="Z568" s="103">
        <v>45843</v>
      </c>
      <c r="AA568" s="40"/>
      <c r="AB568" s="40"/>
      <c r="AC568" s="40" t="s">
        <v>419</v>
      </c>
      <c r="AD568" s="40" t="s">
        <v>511</v>
      </c>
      <c r="AE568" s="40" t="s">
        <v>1499</v>
      </c>
      <c r="AF568" s="103">
        <v>45844</v>
      </c>
      <c r="AG568" s="40">
        <v>121</v>
      </c>
      <c r="AH568" s="40">
        <f>VLOOKUP(Таблица310[[#This Row],[№ акта]],'Степень зрелости 2025'!$H$13:$I$583,2,FALSE)</f>
        <v>51</v>
      </c>
      <c r="AI568" s="40" t="str">
        <f>VLOOKUP(Таблица310[[#This Row],[№ акта]],$AQ$1:$AT$594,2,FALSE)</f>
        <v>4.1</v>
      </c>
      <c r="AJ568" s="40" t="str">
        <f>Таблица310[[#This Row],[Регистратор.Номенклатура]]</f>
        <v>Исток</v>
      </c>
      <c r="AK568" s="40" t="str">
        <f>VLOOKUP(Таблица310[[#This Row],[№ акта]],$AQ$1:$AT$594,4,FALSE)</f>
        <v>Колос (полив)</v>
      </c>
      <c r="AL568" s="45">
        <f>VLOOKUP(Таблица310[[#This Row],[№ акта]],$AQ$1:$AT$594,3,FALSE)</f>
        <v>2.2402295939900396</v>
      </c>
      <c r="AM568" s="40" t="str">
        <f>IF(Таблица310[[#This Row],[Площадь уборки, га]]=Таблица310[[#This Row],[Площадь уборки до корр]],"нет","да")</f>
        <v>нет</v>
      </c>
      <c r="AN568" s="45">
        <f>Таблица310[[#This Row],[Площадь уборки до корр]]-Таблица310[[#This Row],[Площадь уборки, га]]</f>
        <v>0</v>
      </c>
      <c r="AQ568" t="s">
        <v>1499</v>
      </c>
      <c r="AR568" t="s">
        <v>1168</v>
      </c>
      <c r="AS568">
        <v>2.2402295939900396</v>
      </c>
      <c r="AT568" t="s">
        <v>53</v>
      </c>
      <c r="XFD568" s="40"/>
    </row>
    <row r="569" spans="1:46 16384:16384" ht="33.75" hidden="1" x14ac:dyDescent="0.25">
      <c r="A569" s="40"/>
      <c r="B569" s="42"/>
      <c r="C569" s="40">
        <v>51</v>
      </c>
      <c r="D569" s="41" t="s">
        <v>1500</v>
      </c>
      <c r="E569" s="148">
        <v>45844</v>
      </c>
      <c r="F569" s="69">
        <v>28530</v>
      </c>
      <c r="G569" s="41">
        <v>13510</v>
      </c>
      <c r="H569" s="40">
        <v>15020</v>
      </c>
      <c r="I569" s="40">
        <v>12226.5</v>
      </c>
      <c r="J569" s="40" t="s">
        <v>1167</v>
      </c>
      <c r="K569" s="35" t="s">
        <v>1316</v>
      </c>
      <c r="L569" s="40" t="s">
        <v>1168</v>
      </c>
      <c r="M569" s="40" t="s">
        <v>1367</v>
      </c>
      <c r="N569" s="40"/>
      <c r="O569" s="40"/>
      <c r="P569" s="40"/>
      <c r="Q569" s="40"/>
      <c r="R569" s="40" t="s">
        <v>1368</v>
      </c>
      <c r="S569" s="45"/>
      <c r="T569" s="40" t="s">
        <v>1168</v>
      </c>
      <c r="U569" s="40" t="str">
        <f>Таблица310[[#This Row],[Регистратор.Номенклатура]]</f>
        <v>Исток</v>
      </c>
      <c r="V569" s="45">
        <f>16*Таблица310[[#This Row],[Регистратор.Вес нетто]]/120940</f>
        <v>1.7873325616007938</v>
      </c>
      <c r="W569" s="40" t="s">
        <v>53</v>
      </c>
      <c r="X569" s="40" t="s">
        <v>178</v>
      </c>
      <c r="Y569" s="40">
        <v>14</v>
      </c>
      <c r="Z569" s="103">
        <v>45844</v>
      </c>
      <c r="AA569" s="40"/>
      <c r="AB569" s="40"/>
      <c r="AC569" s="40" t="s">
        <v>419</v>
      </c>
      <c r="AD569" s="40" t="s">
        <v>511</v>
      </c>
      <c r="AE569" s="40" t="s">
        <v>1500</v>
      </c>
      <c r="AF569" s="103">
        <v>45844</v>
      </c>
      <c r="AG569" s="40">
        <v>122</v>
      </c>
      <c r="AH569" s="40">
        <f>VLOOKUP(Таблица310[[#This Row],[№ акта]],'Степень зрелости 2025'!$H$13:$I$583,2,FALSE)</f>
        <v>51</v>
      </c>
      <c r="AI569" s="40" t="str">
        <f>VLOOKUP(Таблица310[[#This Row],[№ акта]],$AQ$1:$AT$594,2,FALSE)</f>
        <v>4.1</v>
      </c>
      <c r="AJ569" s="40" t="str">
        <f>Таблица310[[#This Row],[Регистратор.Номенклатура]]</f>
        <v>Исток</v>
      </c>
      <c r="AK569" s="40" t="str">
        <f>VLOOKUP(Таблица310[[#This Row],[№ акта]],$AQ$1:$AT$594,4,FALSE)</f>
        <v>Колос (полив)</v>
      </c>
      <c r="AL569" s="45">
        <f>VLOOKUP(Таблица310[[#This Row],[№ акта]],$AQ$1:$AT$594,3,FALSE)</f>
        <v>1.7873325616007938</v>
      </c>
      <c r="AM569" s="40" t="str">
        <f>IF(Таблица310[[#This Row],[Площадь уборки, га]]=Таблица310[[#This Row],[Площадь уборки до корр]],"нет","да")</f>
        <v>нет</v>
      </c>
      <c r="AN569" s="45">
        <f>Таблица310[[#This Row],[Площадь уборки до корр]]-Таблица310[[#This Row],[Площадь уборки, га]]</f>
        <v>0</v>
      </c>
      <c r="AQ569" t="s">
        <v>1500</v>
      </c>
      <c r="AR569" t="s">
        <v>1168</v>
      </c>
      <c r="AS569">
        <v>1.7873325616007938</v>
      </c>
      <c r="AT569" t="s">
        <v>53</v>
      </c>
      <c r="XFD569" s="40"/>
    </row>
    <row r="570" spans="1:46 16384:16384" ht="22.5" hidden="1" x14ac:dyDescent="0.25">
      <c r="A570" s="40"/>
      <c r="B570" s="42"/>
      <c r="C570" s="40">
        <v>51</v>
      </c>
      <c r="D570" s="41" t="s">
        <v>1501</v>
      </c>
      <c r="E570" s="148">
        <v>45844</v>
      </c>
      <c r="F570" s="69">
        <v>28120</v>
      </c>
      <c r="G570" s="41">
        <v>13440</v>
      </c>
      <c r="H570" s="40">
        <v>14680</v>
      </c>
      <c r="I570" s="40">
        <v>12163.2</v>
      </c>
      <c r="J570" s="40" t="s">
        <v>1167</v>
      </c>
      <c r="K570" s="35" t="s">
        <v>1316</v>
      </c>
      <c r="L570" s="40" t="s">
        <v>1168</v>
      </c>
      <c r="M570" s="40" t="s">
        <v>272</v>
      </c>
      <c r="N570" s="40"/>
      <c r="O570" s="40"/>
      <c r="P570" s="40"/>
      <c r="Q570" s="40"/>
      <c r="R570" s="40" t="s">
        <v>276</v>
      </c>
      <c r="S570" s="45"/>
      <c r="T570" s="40" t="s">
        <v>1168</v>
      </c>
      <c r="U570" s="40" t="str">
        <f>Таблица310[[#This Row],[Регистратор.Номенклатура]]</f>
        <v>Исток</v>
      </c>
      <c r="V570" s="45">
        <f>16*Таблица310[[#This Row],[Регистратор.Вес нетто]]/120940</f>
        <v>1.7780717711261782</v>
      </c>
      <c r="W570" s="40" t="s">
        <v>53</v>
      </c>
      <c r="X570" s="40" t="s">
        <v>178</v>
      </c>
      <c r="Y570" s="40">
        <v>14</v>
      </c>
      <c r="Z570" s="103">
        <v>45844</v>
      </c>
      <c r="AA570" s="40"/>
      <c r="AB570" s="40"/>
      <c r="AC570" s="40" t="s">
        <v>419</v>
      </c>
      <c r="AD570" s="40" t="s">
        <v>511</v>
      </c>
      <c r="AE570" s="40" t="s">
        <v>1501</v>
      </c>
      <c r="AF570" s="103">
        <v>45844</v>
      </c>
      <c r="AG570" s="40">
        <v>123</v>
      </c>
      <c r="AH570" s="40">
        <f>VLOOKUP(Таблица310[[#This Row],[№ акта]],'Степень зрелости 2025'!$H$13:$I$583,2,FALSE)</f>
        <v>51</v>
      </c>
      <c r="AI570" s="40" t="str">
        <f>VLOOKUP(Таблица310[[#This Row],[№ акта]],$AQ$1:$AT$594,2,FALSE)</f>
        <v>4.1</v>
      </c>
      <c r="AJ570" s="40" t="str">
        <f>Таблица310[[#This Row],[Регистратор.Номенклатура]]</f>
        <v>Исток</v>
      </c>
      <c r="AK570" s="40" t="str">
        <f>VLOOKUP(Таблица310[[#This Row],[№ акта]],$AQ$1:$AT$594,4,FALSE)</f>
        <v>Колос (полив)</v>
      </c>
      <c r="AL570" s="45">
        <f>VLOOKUP(Таблица310[[#This Row],[№ акта]],$AQ$1:$AT$594,3,FALSE)</f>
        <v>1.7780717711261782</v>
      </c>
      <c r="AM570" s="40" t="str">
        <f>IF(Таблица310[[#This Row],[Площадь уборки, га]]=Таблица310[[#This Row],[Площадь уборки до корр]],"нет","да")</f>
        <v>нет</v>
      </c>
      <c r="AN570" s="45">
        <f>Таблица310[[#This Row],[Площадь уборки до корр]]-Таблица310[[#This Row],[Площадь уборки, га]]</f>
        <v>0</v>
      </c>
      <c r="AQ570" t="s">
        <v>1501</v>
      </c>
      <c r="AR570" t="s">
        <v>1168</v>
      </c>
      <c r="AS570">
        <v>1.7780717711261782</v>
      </c>
      <c r="AT570" t="s">
        <v>53</v>
      </c>
      <c r="XFD570" s="40"/>
    </row>
    <row r="571" spans="1:46 16384:16384" ht="22.5" hidden="1" x14ac:dyDescent="0.25">
      <c r="A571" s="40"/>
      <c r="B571" s="42"/>
      <c r="C571" s="40">
        <v>56</v>
      </c>
      <c r="D571" s="41" t="s">
        <v>1502</v>
      </c>
      <c r="E571" s="148">
        <v>45844</v>
      </c>
      <c r="F571" s="69">
        <v>28360</v>
      </c>
      <c r="G571" s="41">
        <v>13500</v>
      </c>
      <c r="H571" s="40">
        <v>14860</v>
      </c>
      <c r="I571" s="40">
        <v>12082.5</v>
      </c>
      <c r="J571" s="40" t="s">
        <v>1167</v>
      </c>
      <c r="K571" s="35" t="s">
        <v>1316</v>
      </c>
      <c r="L571" s="40" t="s">
        <v>1168</v>
      </c>
      <c r="M571" s="40" t="s">
        <v>1461</v>
      </c>
      <c r="N571" s="40"/>
      <c r="O571" s="40"/>
      <c r="P571" s="40"/>
      <c r="Q571" s="40"/>
      <c r="R571" s="40" t="s">
        <v>149</v>
      </c>
      <c r="S571" s="45"/>
      <c r="T571" s="40" t="s">
        <v>1168</v>
      </c>
      <c r="U571" s="40" t="str">
        <f>Таблица310[[#This Row],[Регистратор.Номенклатура]]</f>
        <v>Исток</v>
      </c>
      <c r="V571" s="45">
        <f>16*Таблица310[[#This Row],[Регистратор.Вес нетто]]/120940</f>
        <v>1.7860095915329917</v>
      </c>
      <c r="W571" s="40" t="s">
        <v>53</v>
      </c>
      <c r="X571" s="40" t="s">
        <v>178</v>
      </c>
      <c r="Y571" s="40">
        <v>14</v>
      </c>
      <c r="Z571" s="103">
        <v>45844</v>
      </c>
      <c r="AA571" s="40"/>
      <c r="AB571" s="40"/>
      <c r="AC571" s="40" t="s">
        <v>724</v>
      </c>
      <c r="AD571" s="40" t="s">
        <v>511</v>
      </c>
      <c r="AE571" s="40" t="s">
        <v>1502</v>
      </c>
      <c r="AF571" s="103">
        <v>45844</v>
      </c>
      <c r="AG571" s="40">
        <v>124</v>
      </c>
      <c r="AH571" s="40">
        <f>VLOOKUP(Таблица310[[#This Row],[№ акта]],'Степень зрелости 2025'!$H$13:$I$583,2,FALSE)</f>
        <v>56</v>
      </c>
      <c r="AI571" s="40" t="str">
        <f>VLOOKUP(Таблица310[[#This Row],[№ акта]],$AQ$1:$AT$594,2,FALSE)</f>
        <v>4.1</v>
      </c>
      <c r="AJ571" s="40" t="str">
        <f>Таблица310[[#This Row],[Регистратор.Номенклатура]]</f>
        <v>Исток</v>
      </c>
      <c r="AK571" s="40" t="str">
        <f>VLOOKUP(Таблица310[[#This Row],[№ акта]],$AQ$1:$AT$594,4,FALSE)</f>
        <v>Колос (полив)</v>
      </c>
      <c r="AL571" s="45">
        <f>VLOOKUP(Таблица310[[#This Row],[№ акта]],$AQ$1:$AT$594,3,FALSE)</f>
        <v>1.7860095915329917</v>
      </c>
      <c r="AM571" s="40" t="str">
        <f>IF(Таблица310[[#This Row],[Площадь уборки, га]]=Таблица310[[#This Row],[Площадь уборки до корр]],"нет","да")</f>
        <v>нет</v>
      </c>
      <c r="AN571" s="45">
        <f>Таблица310[[#This Row],[Площадь уборки до корр]]-Таблица310[[#This Row],[Площадь уборки, га]]</f>
        <v>0</v>
      </c>
      <c r="AQ571" t="s">
        <v>1502</v>
      </c>
      <c r="AR571" t="s">
        <v>1168</v>
      </c>
      <c r="AS571">
        <v>1.7860095915329917</v>
      </c>
      <c r="AT571" t="s">
        <v>53</v>
      </c>
      <c r="XFD571" s="40"/>
    </row>
    <row r="572" spans="1:46 16384:16384" ht="22.5" hidden="1" x14ac:dyDescent="0.25">
      <c r="A572" s="40"/>
      <c r="B572" s="42"/>
      <c r="C572" s="40">
        <v>56</v>
      </c>
      <c r="D572" s="41" t="s">
        <v>1503</v>
      </c>
      <c r="E572" s="148">
        <v>45844</v>
      </c>
      <c r="F572" s="69">
        <v>37730</v>
      </c>
      <c r="G572" s="41">
        <v>13490</v>
      </c>
      <c r="H572" s="40">
        <v>24240</v>
      </c>
      <c r="I572" s="40">
        <v>12343.3</v>
      </c>
      <c r="J572" s="40" t="s">
        <v>1167</v>
      </c>
      <c r="K572" s="35" t="s">
        <v>1316</v>
      </c>
      <c r="L572" s="40" t="s">
        <v>1168</v>
      </c>
      <c r="M572" s="40" t="s">
        <v>1373</v>
      </c>
      <c r="N572" s="40"/>
      <c r="O572" s="40"/>
      <c r="P572" s="40"/>
      <c r="Q572" s="40"/>
      <c r="R572" s="40" t="s">
        <v>1374</v>
      </c>
      <c r="S572" s="45"/>
      <c r="T572" s="40" t="s">
        <v>1168</v>
      </c>
      <c r="U572" s="40" t="str">
        <f>Таблица310[[#This Row],[Регистратор.Номенклатура]]</f>
        <v>Исток</v>
      </c>
      <c r="V572" s="45">
        <f>16*Таблица310[[#This Row],[Регистратор.Вес нетто]]/120940</f>
        <v>1.7846866214651893</v>
      </c>
      <c r="W572" s="40" t="s">
        <v>53</v>
      </c>
      <c r="X572" s="40" t="s">
        <v>178</v>
      </c>
      <c r="Y572" s="40">
        <v>14</v>
      </c>
      <c r="Z572" s="103">
        <v>45844</v>
      </c>
      <c r="AA572" s="40"/>
      <c r="AB572" s="40"/>
      <c r="AC572" s="40" t="s">
        <v>724</v>
      </c>
      <c r="AD572" s="40" t="s">
        <v>511</v>
      </c>
      <c r="AE572" s="40" t="s">
        <v>1503</v>
      </c>
      <c r="AF572" s="103">
        <v>45844</v>
      </c>
      <c r="AG572" s="40">
        <v>125</v>
      </c>
      <c r="AH572" s="40">
        <f>VLOOKUP(Таблица310[[#This Row],[№ акта]],'Степень зрелости 2025'!$H$13:$I$583,2,FALSE)</f>
        <v>56</v>
      </c>
      <c r="AI572" s="40" t="str">
        <f>VLOOKUP(Таблица310[[#This Row],[№ акта]],$AQ$1:$AT$594,2,FALSE)</f>
        <v>4.1</v>
      </c>
      <c r="AJ572" s="40" t="str">
        <f>Таблица310[[#This Row],[Регистратор.Номенклатура]]</f>
        <v>Исток</v>
      </c>
      <c r="AK572" s="40" t="str">
        <f>VLOOKUP(Таблица310[[#This Row],[№ акта]],$AQ$1:$AT$594,4,FALSE)</f>
        <v>Колос (полив)</v>
      </c>
      <c r="AL572" s="45">
        <f>VLOOKUP(Таблица310[[#This Row],[№ акта]],$AQ$1:$AT$594,3,FALSE)</f>
        <v>1.7846866214651893</v>
      </c>
      <c r="AM572" s="40" t="str">
        <f>IF(Таблица310[[#This Row],[Площадь уборки, га]]=Таблица310[[#This Row],[Площадь уборки до корр]],"нет","да")</f>
        <v>нет</v>
      </c>
      <c r="AN572" s="45">
        <f>Таблица310[[#This Row],[Площадь уборки до корр]]-Таблица310[[#This Row],[Площадь уборки, га]]</f>
        <v>0</v>
      </c>
      <c r="AQ572" t="s">
        <v>1503</v>
      </c>
      <c r="AR572" t="s">
        <v>1168</v>
      </c>
      <c r="AS572">
        <v>1.7846866214651893</v>
      </c>
      <c r="AT572" t="s">
        <v>53</v>
      </c>
      <c r="XFD572" s="40"/>
    </row>
    <row r="573" spans="1:46 16384:16384" ht="22.5" hidden="1" x14ac:dyDescent="0.25">
      <c r="A573" s="40"/>
      <c r="B573" s="42"/>
      <c r="C573" s="40">
        <v>54</v>
      </c>
      <c r="D573" s="41" t="s">
        <v>1504</v>
      </c>
      <c r="E573" s="148">
        <v>45844</v>
      </c>
      <c r="F573" s="69">
        <v>29180</v>
      </c>
      <c r="G573" s="41">
        <v>13460</v>
      </c>
      <c r="H573" s="40">
        <v>15720</v>
      </c>
      <c r="I573" s="40">
        <v>11912.1</v>
      </c>
      <c r="J573" s="40" t="s">
        <v>1167</v>
      </c>
      <c r="K573" s="35" t="s">
        <v>1316</v>
      </c>
      <c r="L573" s="40" t="s">
        <v>1168</v>
      </c>
      <c r="M573" s="40" t="s">
        <v>1376</v>
      </c>
      <c r="N573" s="40"/>
      <c r="O573" s="40"/>
      <c r="P573" s="40"/>
      <c r="Q573" s="40"/>
      <c r="R573" s="40" t="s">
        <v>1377</v>
      </c>
      <c r="S573" s="45"/>
      <c r="T573" s="40" t="s">
        <v>1168</v>
      </c>
      <c r="U573" s="40" t="str">
        <f>Таблица310[[#This Row],[Регистратор.Номенклатура]]</f>
        <v>Исток</v>
      </c>
      <c r="V573" s="45">
        <f>16*Таблица310[[#This Row],[Регистратор.Вес нетто]]/120940</f>
        <v>1.7807177112617827</v>
      </c>
      <c r="W573" s="40" t="s">
        <v>53</v>
      </c>
      <c r="X573" s="40" t="s">
        <v>178</v>
      </c>
      <c r="Y573" s="40">
        <v>14</v>
      </c>
      <c r="Z573" s="103">
        <v>45844</v>
      </c>
      <c r="AA573" s="40"/>
      <c r="AB573" s="40"/>
      <c r="AC573" s="40" t="s">
        <v>724</v>
      </c>
      <c r="AD573" s="40" t="s">
        <v>511</v>
      </c>
      <c r="AE573" s="40" t="s">
        <v>1504</v>
      </c>
      <c r="AF573" s="103">
        <v>45844</v>
      </c>
      <c r="AG573" s="40">
        <v>126</v>
      </c>
      <c r="AH573" s="40">
        <f>VLOOKUP(Таблица310[[#This Row],[№ акта]],'Степень зрелости 2025'!$H$13:$I$583,2,FALSE)</f>
        <v>54</v>
      </c>
      <c r="AI573" s="40" t="str">
        <f>VLOOKUP(Таблица310[[#This Row],[№ акта]],$AQ$1:$AT$594,2,FALSE)</f>
        <v>4.1</v>
      </c>
      <c r="AJ573" s="40" t="str">
        <f>Таблица310[[#This Row],[Регистратор.Номенклатура]]</f>
        <v>Исток</v>
      </c>
      <c r="AK573" s="40" t="str">
        <f>VLOOKUP(Таблица310[[#This Row],[№ акта]],$AQ$1:$AT$594,4,FALSE)</f>
        <v>Колос (полив)</v>
      </c>
      <c r="AL573" s="45">
        <f>VLOOKUP(Таблица310[[#This Row],[№ акта]],$AQ$1:$AT$594,3,FALSE)</f>
        <v>1.7807177112617827</v>
      </c>
      <c r="AM573" s="40" t="str">
        <f>IF(Таблица310[[#This Row],[Площадь уборки, га]]=Таблица310[[#This Row],[Площадь уборки до корр]],"нет","да")</f>
        <v>нет</v>
      </c>
      <c r="AN573" s="45">
        <f>Таблица310[[#This Row],[Площадь уборки до корр]]-Таблица310[[#This Row],[Площадь уборки, га]]</f>
        <v>0</v>
      </c>
      <c r="AQ573" t="s">
        <v>1504</v>
      </c>
      <c r="AR573" t="s">
        <v>1168</v>
      </c>
      <c r="AS573">
        <v>1.7807177112617827</v>
      </c>
      <c r="AT573" t="s">
        <v>53</v>
      </c>
      <c r="XFD573" s="40"/>
    </row>
    <row r="574" spans="1:46 16384:16384" ht="22.5" hidden="1" x14ac:dyDescent="0.25">
      <c r="A574" s="40"/>
      <c r="B574" s="42"/>
      <c r="C574" s="40">
        <v>50</v>
      </c>
      <c r="D574" s="41" t="s">
        <v>1505</v>
      </c>
      <c r="E574" s="148">
        <v>45844</v>
      </c>
      <c r="F574" s="69">
        <v>29370</v>
      </c>
      <c r="G574" s="41">
        <v>13670</v>
      </c>
      <c r="H574" s="40">
        <v>15700</v>
      </c>
      <c r="I574" s="40">
        <v>11961.2</v>
      </c>
      <c r="J574" s="40" t="s">
        <v>1167</v>
      </c>
      <c r="K574" s="35" t="s">
        <v>1316</v>
      </c>
      <c r="L574" s="40" t="s">
        <v>1168</v>
      </c>
      <c r="M574" s="40" t="s">
        <v>347</v>
      </c>
      <c r="N574" s="40"/>
      <c r="O574" s="40"/>
      <c r="P574" s="40"/>
      <c r="Q574" s="40"/>
      <c r="R574" s="40" t="s">
        <v>351</v>
      </c>
      <c r="S574" s="45"/>
      <c r="T574" s="40" t="s">
        <v>1168</v>
      </c>
      <c r="U574" s="40" t="str">
        <f>Таблица310[[#This Row],[Регистратор.Номенклатура]]</f>
        <v>Исток</v>
      </c>
      <c r="V574" s="45">
        <f>16*Таблица310[[#This Row],[Регистратор.Вес нетто]]/120940</f>
        <v>1.8085000826856292</v>
      </c>
      <c r="W574" s="40" t="s">
        <v>53</v>
      </c>
      <c r="X574" s="40" t="s">
        <v>178</v>
      </c>
      <c r="Y574" s="40">
        <v>14</v>
      </c>
      <c r="Z574" s="103">
        <v>45844</v>
      </c>
      <c r="AA574" s="40"/>
      <c r="AB574" s="40"/>
      <c r="AC574" s="40" t="s">
        <v>419</v>
      </c>
      <c r="AD574" s="40" t="s">
        <v>511</v>
      </c>
      <c r="AE574" s="40" t="s">
        <v>1505</v>
      </c>
      <c r="AF574" s="103">
        <v>45844</v>
      </c>
      <c r="AG574" s="40">
        <v>127</v>
      </c>
      <c r="AH574" s="40">
        <f>VLOOKUP(Таблица310[[#This Row],[№ акта]],'Степень зрелости 2025'!$H$13:$I$583,2,FALSE)</f>
        <v>50</v>
      </c>
      <c r="AI574" s="40" t="str">
        <f>VLOOKUP(Таблица310[[#This Row],[№ акта]],$AQ$1:$AT$594,2,FALSE)</f>
        <v>4.1</v>
      </c>
      <c r="AJ574" s="40" t="str">
        <f>Таблица310[[#This Row],[Регистратор.Номенклатура]]</f>
        <v>Исток</v>
      </c>
      <c r="AK574" s="40" t="str">
        <f>VLOOKUP(Таблица310[[#This Row],[№ акта]],$AQ$1:$AT$594,4,FALSE)</f>
        <v>Колос (полив)</v>
      </c>
      <c r="AL574" s="45">
        <f>VLOOKUP(Таблица310[[#This Row],[№ акта]],$AQ$1:$AT$594,3,FALSE)</f>
        <v>1.8085000826856292</v>
      </c>
      <c r="AM574" s="40" t="str">
        <f>IF(Таблица310[[#This Row],[Площадь уборки, га]]=Таблица310[[#This Row],[Площадь уборки до корр]],"нет","да")</f>
        <v>нет</v>
      </c>
      <c r="AN574" s="45">
        <f>Таблица310[[#This Row],[Площадь уборки до корр]]-Таблица310[[#This Row],[Площадь уборки, га]]</f>
        <v>0</v>
      </c>
      <c r="AQ574" t="s">
        <v>1505</v>
      </c>
      <c r="AR574" t="s">
        <v>1168</v>
      </c>
      <c r="AS574">
        <v>1.8085000826856292</v>
      </c>
      <c r="AT574" t="s">
        <v>53</v>
      </c>
      <c r="XFD574" s="40"/>
    </row>
    <row r="575" spans="1:46 16384:16384" ht="22.5" hidden="1" x14ac:dyDescent="0.25">
      <c r="A575" s="40"/>
      <c r="B575" s="42"/>
      <c r="C575" s="40">
        <v>51</v>
      </c>
      <c r="D575" s="41" t="s">
        <v>1506</v>
      </c>
      <c r="E575" s="148">
        <v>45844</v>
      </c>
      <c r="F575" s="69">
        <v>29300</v>
      </c>
      <c r="G575" s="41">
        <v>13660</v>
      </c>
      <c r="H575" s="40">
        <v>15640</v>
      </c>
      <c r="I575" s="40">
        <v>11611</v>
      </c>
      <c r="J575" s="40" t="s">
        <v>1167</v>
      </c>
      <c r="K575" s="35" t="s">
        <v>1316</v>
      </c>
      <c r="L575" s="40" t="s">
        <v>1168</v>
      </c>
      <c r="M575" s="40" t="s">
        <v>1408</v>
      </c>
      <c r="N575" s="40"/>
      <c r="O575" s="40"/>
      <c r="P575" s="40"/>
      <c r="Q575" s="40"/>
      <c r="R575" s="40" t="s">
        <v>1409</v>
      </c>
      <c r="S575" s="45"/>
      <c r="T575" s="40" t="s">
        <v>1168</v>
      </c>
      <c r="U575" s="40" t="str">
        <f>Таблица310[[#This Row],[Регистратор.Номенклатура]]</f>
        <v>Исток</v>
      </c>
      <c r="V575" s="45">
        <f>16*Таблица310[[#This Row],[Регистратор.Вес нетто]]/120940</f>
        <v>1.8071771126178271</v>
      </c>
      <c r="W575" s="40" t="s">
        <v>53</v>
      </c>
      <c r="X575" s="40" t="s">
        <v>178</v>
      </c>
      <c r="Y575" s="40">
        <v>14</v>
      </c>
      <c r="Z575" s="103">
        <v>45844</v>
      </c>
      <c r="AA575" s="40"/>
      <c r="AB575" s="40"/>
      <c r="AC575" s="40" t="s">
        <v>419</v>
      </c>
      <c r="AD575" s="40" t="s">
        <v>511</v>
      </c>
      <c r="AE575" s="40" t="s">
        <v>1506</v>
      </c>
      <c r="AF575" s="103">
        <v>45844</v>
      </c>
      <c r="AG575" s="40">
        <v>128</v>
      </c>
      <c r="AH575" s="40">
        <f>VLOOKUP(Таблица310[[#This Row],[№ акта]],'Степень зрелости 2025'!$H$13:$I$583,2,FALSE)</f>
        <v>51</v>
      </c>
      <c r="AI575" s="40" t="str">
        <f>VLOOKUP(Таблица310[[#This Row],[№ акта]],$AQ$1:$AT$594,2,FALSE)</f>
        <v>4.1</v>
      </c>
      <c r="AJ575" s="40" t="str">
        <f>Таблица310[[#This Row],[Регистратор.Номенклатура]]</f>
        <v>Исток</v>
      </c>
      <c r="AK575" s="40" t="str">
        <f>VLOOKUP(Таблица310[[#This Row],[№ акта]],$AQ$1:$AT$594,4,FALSE)</f>
        <v>Колос (полив)</v>
      </c>
      <c r="AL575" s="45">
        <f>VLOOKUP(Таблица310[[#This Row],[№ акта]],$AQ$1:$AT$594,3,FALSE)</f>
        <v>1.8071771126178271</v>
      </c>
      <c r="AM575" s="40" t="str">
        <f>IF(Таблица310[[#This Row],[Площадь уборки, га]]=Таблица310[[#This Row],[Площадь уборки до корр]],"нет","да")</f>
        <v>нет</v>
      </c>
      <c r="AN575" s="45">
        <f>Таблица310[[#This Row],[Площадь уборки до корр]]-Таблица310[[#This Row],[Площадь уборки, га]]</f>
        <v>0</v>
      </c>
      <c r="AQ575" t="s">
        <v>1506</v>
      </c>
      <c r="AR575" t="s">
        <v>1168</v>
      </c>
      <c r="AS575">
        <v>1.8071771126178271</v>
      </c>
      <c r="AT575" t="s">
        <v>53</v>
      </c>
      <c r="XFD575" s="40"/>
    </row>
    <row r="576" spans="1:46 16384:16384" ht="22.5" hidden="1" x14ac:dyDescent="0.25">
      <c r="A576" s="40"/>
      <c r="B576" s="42"/>
      <c r="C576" s="40">
        <v>55</v>
      </c>
      <c r="D576" s="41" t="s">
        <v>1507</v>
      </c>
      <c r="E576" s="148">
        <v>45844</v>
      </c>
      <c r="F576" s="69">
        <v>39780</v>
      </c>
      <c r="G576" s="41">
        <v>15700</v>
      </c>
      <c r="H576" s="40">
        <v>24080</v>
      </c>
      <c r="I576" s="40">
        <v>14051.5</v>
      </c>
      <c r="J576" s="40" t="s">
        <v>1167</v>
      </c>
      <c r="K576" s="35" t="s">
        <v>1316</v>
      </c>
      <c r="L576" s="40" t="s">
        <v>1168</v>
      </c>
      <c r="M576" s="40" t="s">
        <v>160</v>
      </c>
      <c r="N576" s="40"/>
      <c r="O576" s="40"/>
      <c r="P576" s="40"/>
      <c r="Q576" s="40"/>
      <c r="R576" s="40" t="s">
        <v>164</v>
      </c>
      <c r="S576" s="45"/>
      <c r="T576" s="40" t="s">
        <v>1168</v>
      </c>
      <c r="U576" s="40" t="str">
        <f>Таблица310[[#This Row],[Регистратор.Номенклатура]]</f>
        <v>Исток</v>
      </c>
      <c r="V576" s="45">
        <f>16*Таблица310[[#This Row],[Регистратор.Вес нетто]]/120940</f>
        <v>2.0770630064494791</v>
      </c>
      <c r="W576" s="40" t="s">
        <v>53</v>
      </c>
      <c r="X576" s="40" t="s">
        <v>178</v>
      </c>
      <c r="Y576" s="40">
        <v>14</v>
      </c>
      <c r="Z576" s="103">
        <v>45844</v>
      </c>
      <c r="AA576" s="40"/>
      <c r="AB576" s="40"/>
      <c r="AC576" s="40" t="s">
        <v>724</v>
      </c>
      <c r="AD576" s="40" t="s">
        <v>511</v>
      </c>
      <c r="AE576" s="40" t="s">
        <v>1507</v>
      </c>
      <c r="AF576" s="103">
        <v>45844</v>
      </c>
      <c r="AG576" s="40">
        <v>129</v>
      </c>
      <c r="AH576" s="40">
        <f>VLOOKUP(Таблица310[[#This Row],[№ акта]],'Степень зрелости 2025'!$H$13:$I$583,2,FALSE)</f>
        <v>55</v>
      </c>
      <c r="AI576" s="40" t="str">
        <f>VLOOKUP(Таблица310[[#This Row],[№ акта]],$AQ$1:$AT$594,2,FALSE)</f>
        <v>4.1</v>
      </c>
      <c r="AJ576" s="40" t="str">
        <f>Таблица310[[#This Row],[Регистратор.Номенклатура]]</f>
        <v>Исток</v>
      </c>
      <c r="AK576" s="40" t="str">
        <f>VLOOKUP(Таблица310[[#This Row],[№ акта]],$AQ$1:$AT$594,4,FALSE)</f>
        <v>Колос (полив)</v>
      </c>
      <c r="AL576" s="45">
        <f>VLOOKUP(Таблица310[[#This Row],[№ акта]],$AQ$1:$AT$594,3,FALSE)</f>
        <v>2.0770630064494791</v>
      </c>
      <c r="AM576" s="40" t="str">
        <f>IF(Таблица310[[#This Row],[Площадь уборки, га]]=Таблица310[[#This Row],[Площадь уборки до корр]],"нет","да")</f>
        <v>нет</v>
      </c>
      <c r="AN576" s="45">
        <f>Таблица310[[#This Row],[Площадь уборки до корр]]-Таблица310[[#This Row],[Площадь уборки, га]]</f>
        <v>0</v>
      </c>
      <c r="AQ576" t="s">
        <v>1507</v>
      </c>
      <c r="AR576" t="s">
        <v>1168</v>
      </c>
      <c r="AS576">
        <v>2.0770630064494791</v>
      </c>
      <c r="AT576" t="s">
        <v>53</v>
      </c>
      <c r="XFD576" s="40"/>
    </row>
    <row r="577" spans="1:46 16384:16384" ht="33.75" hidden="1" x14ac:dyDescent="0.25">
      <c r="A577" s="40"/>
      <c r="B577" s="42"/>
      <c r="C577" s="40">
        <v>55</v>
      </c>
      <c r="D577" s="41" t="s">
        <v>1522</v>
      </c>
      <c r="E577" s="148">
        <v>45844</v>
      </c>
      <c r="F577" s="69">
        <v>25390</v>
      </c>
      <c r="G577" s="41">
        <v>10510</v>
      </c>
      <c r="H577" s="40">
        <v>14880</v>
      </c>
      <c r="I577" s="40">
        <v>9248.7999999999993</v>
      </c>
      <c r="J577" s="40" t="s">
        <v>1167</v>
      </c>
      <c r="K577" s="35" t="s">
        <v>1316</v>
      </c>
      <c r="L577" s="40" t="s">
        <v>1168</v>
      </c>
      <c r="M577" s="40" t="s">
        <v>1253</v>
      </c>
      <c r="N577" s="40"/>
      <c r="O577" s="40"/>
      <c r="P577" s="40"/>
      <c r="Q577" s="40"/>
      <c r="R577" s="40" t="s">
        <v>270</v>
      </c>
      <c r="S577" s="45"/>
      <c r="T577" s="40" t="s">
        <v>1168</v>
      </c>
      <c r="U577" s="40" t="str">
        <f>Таблица310[[#This Row],[Регистратор.Номенклатура]]</f>
        <v>Исток</v>
      </c>
      <c r="V577" s="45">
        <f>16*Таблица310[[#This Row],[Регистратор.Вес нетто]]/120940</f>
        <v>1.390441541260129</v>
      </c>
      <c r="W577" s="40" t="s">
        <v>53</v>
      </c>
      <c r="X577" s="40" t="s">
        <v>178</v>
      </c>
      <c r="Y577" s="40">
        <v>14</v>
      </c>
      <c r="Z577" s="103">
        <v>45844</v>
      </c>
      <c r="AA577" s="40"/>
      <c r="AB577" s="40"/>
      <c r="AC577" s="40" t="s">
        <v>724</v>
      </c>
      <c r="AD577" s="40" t="s">
        <v>511</v>
      </c>
      <c r="AE577" s="40" t="s">
        <v>1522</v>
      </c>
      <c r="AF577" s="103">
        <v>45844</v>
      </c>
      <c r="AG577" s="40">
        <v>130</v>
      </c>
      <c r="AH577" s="40">
        <f>VLOOKUP(Таблица310[[#This Row],[№ акта]],'Степень зрелости 2025'!$H$13:$I$583,2,FALSE)</f>
        <v>55</v>
      </c>
      <c r="AI577" s="40" t="str">
        <f>VLOOKUP(Таблица310[[#This Row],[№ акта]],$AQ$1:$AT$594,2,FALSE)</f>
        <v>4.1</v>
      </c>
      <c r="AJ577" s="40" t="str">
        <f>Таблица310[[#This Row],[Регистратор.Номенклатура]]</f>
        <v>Исток</v>
      </c>
      <c r="AK577" s="40" t="str">
        <f>VLOOKUP(Таблица310[[#This Row],[№ акта]],$AQ$1:$AT$594,4,FALSE)</f>
        <v>Колос (полив)</v>
      </c>
      <c r="AL577" s="45">
        <f>VLOOKUP(Таблица310[[#This Row],[№ акта]],$AQ$1:$AT$594,3,FALSE)</f>
        <v>1.390441541260129</v>
      </c>
      <c r="AM577" s="40" t="str">
        <f>IF(Таблица310[[#This Row],[Площадь уборки, га]]=Таблица310[[#This Row],[Площадь уборки до корр]],"нет","да")</f>
        <v>нет</v>
      </c>
      <c r="AN577" s="45">
        <f>Таблица310[[#This Row],[Площадь уборки до корр]]-Таблица310[[#This Row],[Площадь уборки, га]]</f>
        <v>0</v>
      </c>
      <c r="AQ577" t="s">
        <v>1522</v>
      </c>
      <c r="AR577" t="s">
        <v>1168</v>
      </c>
      <c r="AS577">
        <v>1.390441541260129</v>
      </c>
      <c r="AT577" t="s">
        <v>53</v>
      </c>
      <c r="XFD577" s="40"/>
    </row>
    <row r="578" spans="1:46 16384:16384" s="178" customFormat="1" ht="22.5" hidden="1" x14ac:dyDescent="0.25">
      <c r="A578" s="40"/>
      <c r="B578" s="42"/>
      <c r="C578" s="172">
        <v>66</v>
      </c>
      <c r="D578" s="173" t="s">
        <v>1533</v>
      </c>
      <c r="E578" s="174">
        <v>45846</v>
      </c>
      <c r="F578" s="69">
        <v>29340</v>
      </c>
      <c r="G578" s="173">
        <v>13730</v>
      </c>
      <c r="H578" s="40">
        <v>15610</v>
      </c>
      <c r="I578" s="172">
        <v>12768.9</v>
      </c>
      <c r="J578" s="172" t="s">
        <v>1167</v>
      </c>
      <c r="K578" s="175" t="s">
        <v>909</v>
      </c>
      <c r="L578" s="172" t="s">
        <v>1485</v>
      </c>
      <c r="M578" s="172" t="s">
        <v>1151</v>
      </c>
      <c r="N578" s="40"/>
      <c r="O578" s="40"/>
      <c r="P578" s="40"/>
      <c r="Q578" s="40"/>
      <c r="R578" s="172" t="s">
        <v>145</v>
      </c>
      <c r="S578" s="45"/>
      <c r="T578" s="172" t="s">
        <v>1321</v>
      </c>
      <c r="U578" s="40" t="str">
        <f>Таблица310[[#This Row],[Регистратор.Номенклатура]]</f>
        <v>Тристар</v>
      </c>
      <c r="V578" s="176">
        <f>4.2*Таблица310[[#This Row],[Регистратор.Вес нетто]]/40510</f>
        <v>1.4235003702789435</v>
      </c>
      <c r="W578" s="172" t="s">
        <v>53</v>
      </c>
      <c r="X578" s="172" t="s">
        <v>178</v>
      </c>
      <c r="Y578" s="172">
        <v>15</v>
      </c>
      <c r="Z578" s="177">
        <v>45846</v>
      </c>
      <c r="AA578" s="172"/>
      <c r="AB578" s="172" t="s">
        <v>1629</v>
      </c>
      <c r="AC578" s="172" t="s">
        <v>725</v>
      </c>
      <c r="AD578" s="172" t="s">
        <v>550</v>
      </c>
      <c r="AE578" s="172" t="s">
        <v>1533</v>
      </c>
      <c r="AF578" s="177">
        <v>45846</v>
      </c>
      <c r="AG578" s="172">
        <v>131</v>
      </c>
      <c r="AH578" s="172">
        <f>VLOOKUP(Таблица310[[#This Row],[№ акта]],'Степень зрелости 2025'!$H$13:$I$583,2,FALSE)</f>
        <v>66</v>
      </c>
      <c r="AI578" s="172" t="str">
        <f>VLOOKUP(Таблица310[[#This Row],[№ акта]],$AQ$1:$AT$594,2,FALSE)</f>
        <v>2.3</v>
      </c>
      <c r="AJ578" s="172" t="str">
        <f>Таблица310[[#This Row],[Регистратор.Номенклатура]]</f>
        <v>Тристар</v>
      </c>
      <c r="AK578" s="172" t="str">
        <f>VLOOKUP(Таблица310[[#This Row],[№ акта]],$AQ$1:$AT$594,4,FALSE)</f>
        <v>Колос (полив)</v>
      </c>
      <c r="AL578" s="176">
        <f>VLOOKUP(Таблица310[[#This Row],[№ акта]],$AQ$1:$AT$594,3,FALSE)</f>
        <v>3.444123918224006</v>
      </c>
      <c r="AM578" s="172" t="str">
        <f>IF(Таблица310[[#This Row],[Площадь уборки, га]]=Таблица310[[#This Row],[Площадь уборки до корр]],"нет","да")</f>
        <v>да</v>
      </c>
      <c r="AN578" s="176">
        <f>Таблица310[[#This Row],[Площадь уборки до корр]]-Таблица310[[#This Row],[Площадь уборки, га]]</f>
        <v>2.0206235479450623</v>
      </c>
      <c r="AQ578" s="178" t="s">
        <v>1533</v>
      </c>
      <c r="AR578" s="178" t="s">
        <v>1485</v>
      </c>
      <c r="AS578" s="178">
        <v>3.444123918224006</v>
      </c>
      <c r="AT578" s="178" t="s">
        <v>53</v>
      </c>
      <c r="XFD578" s="172"/>
    </row>
    <row r="579" spans="1:46 16384:16384" s="178" customFormat="1" ht="33.75" hidden="1" x14ac:dyDescent="0.25">
      <c r="A579" s="40"/>
      <c r="B579" s="42"/>
      <c r="C579" s="172">
        <v>61</v>
      </c>
      <c r="D579" s="173" t="s">
        <v>1534</v>
      </c>
      <c r="E579" s="174">
        <v>45846</v>
      </c>
      <c r="F579" s="69">
        <v>28240</v>
      </c>
      <c r="G579" s="173">
        <v>13330</v>
      </c>
      <c r="H579" s="40">
        <v>14910</v>
      </c>
      <c r="I579" s="172">
        <v>11663.7</v>
      </c>
      <c r="J579" s="172" t="s">
        <v>1167</v>
      </c>
      <c r="K579" s="175" t="s">
        <v>909</v>
      </c>
      <c r="L579" s="172" t="s">
        <v>1485</v>
      </c>
      <c r="M579" s="172" t="s">
        <v>1367</v>
      </c>
      <c r="N579" s="40"/>
      <c r="O579" s="40"/>
      <c r="P579" s="40"/>
      <c r="Q579" s="40"/>
      <c r="R579" s="172" t="s">
        <v>1368</v>
      </c>
      <c r="S579" s="45"/>
      <c r="T579" s="172" t="s">
        <v>1321</v>
      </c>
      <c r="U579" s="40" t="str">
        <f>Таблица310[[#This Row],[Регистратор.Номенклатура]]</f>
        <v>Тристар</v>
      </c>
      <c r="V579" s="176">
        <f>4.2*Таблица310[[#This Row],[Регистратор.Вес нетто]]/40510</f>
        <v>1.3820291286102198</v>
      </c>
      <c r="W579" s="172" t="s">
        <v>53</v>
      </c>
      <c r="X579" s="172" t="s">
        <v>178</v>
      </c>
      <c r="Y579" s="172">
        <v>15</v>
      </c>
      <c r="Z579" s="177">
        <v>45846</v>
      </c>
      <c r="AA579" s="172"/>
      <c r="AB579" s="172" t="s">
        <v>1629</v>
      </c>
      <c r="AC579" s="172" t="s">
        <v>724</v>
      </c>
      <c r="AD579" s="172" t="s">
        <v>511</v>
      </c>
      <c r="AE579" s="172" t="s">
        <v>1534</v>
      </c>
      <c r="AF579" s="177">
        <v>45846</v>
      </c>
      <c r="AG579" s="172">
        <v>132</v>
      </c>
      <c r="AH579" s="172">
        <f>VLOOKUP(Таблица310[[#This Row],[№ акта]],'Степень зрелости 2025'!$H$13:$I$583,2,FALSE)</f>
        <v>61</v>
      </c>
      <c r="AI579" s="172" t="str">
        <f>VLOOKUP(Таблица310[[#This Row],[№ акта]],$AQ$1:$AT$594,2,FALSE)</f>
        <v>2.3</v>
      </c>
      <c r="AJ579" s="172" t="str">
        <f>Таблица310[[#This Row],[Регистратор.Номенклатура]]</f>
        <v>Тристар</v>
      </c>
      <c r="AK579" s="172" t="str">
        <f>VLOOKUP(Таблица310[[#This Row],[№ акта]],$AQ$1:$AT$594,4,FALSE)</f>
        <v>Колос (полив)</v>
      </c>
      <c r="AL579" s="176">
        <f>VLOOKUP(Таблица310[[#This Row],[№ акта]],$AQ$1:$AT$594,3,FALSE)</f>
        <v>3.3437852753041515</v>
      </c>
      <c r="AM579" s="172" t="str">
        <f>IF(Таблица310[[#This Row],[Площадь уборки, га]]=Таблица310[[#This Row],[Площадь уборки до корр]],"нет","да")</f>
        <v>да</v>
      </c>
      <c r="AN579" s="176">
        <f>Таблица310[[#This Row],[Площадь уборки до корр]]-Таблица310[[#This Row],[Площадь уборки, га]]</f>
        <v>1.9617561466939317</v>
      </c>
      <c r="AQ579" s="178" t="s">
        <v>1534</v>
      </c>
      <c r="AR579" s="178" t="s">
        <v>1485</v>
      </c>
      <c r="AS579" s="178">
        <v>3.3437852753041515</v>
      </c>
      <c r="AT579" s="178" t="s">
        <v>53</v>
      </c>
      <c r="XFD579" s="172"/>
    </row>
    <row r="580" spans="1:46 16384:16384" s="178" customFormat="1" ht="22.5" hidden="1" x14ac:dyDescent="0.25">
      <c r="A580" s="40"/>
      <c r="B580" s="42"/>
      <c r="C580" s="172">
        <v>62</v>
      </c>
      <c r="D580" s="173" t="s">
        <v>1535</v>
      </c>
      <c r="E580" s="174">
        <v>45846</v>
      </c>
      <c r="F580" s="69">
        <v>28220</v>
      </c>
      <c r="G580" s="173">
        <v>13450</v>
      </c>
      <c r="H580" s="40">
        <v>14770</v>
      </c>
      <c r="I580" s="172">
        <v>12172.2</v>
      </c>
      <c r="J580" s="172" t="s">
        <v>1167</v>
      </c>
      <c r="K580" s="175" t="s">
        <v>909</v>
      </c>
      <c r="L580" s="172" t="s">
        <v>1485</v>
      </c>
      <c r="M580" s="172" t="s">
        <v>272</v>
      </c>
      <c r="N580" s="40"/>
      <c r="O580" s="40"/>
      <c r="P580" s="40"/>
      <c r="Q580" s="40"/>
      <c r="R580" s="172" t="s">
        <v>276</v>
      </c>
      <c r="S580" s="45"/>
      <c r="T580" s="172" t="s">
        <v>1321</v>
      </c>
      <c r="U580" s="40" t="str">
        <f>Таблица310[[#This Row],[Регистратор.Номенклатура]]</f>
        <v>Тристар</v>
      </c>
      <c r="V580" s="176">
        <f>4.2*Таблица310[[#This Row],[Регистратор.Вес нетто]]/40510</f>
        <v>1.3944705011108369</v>
      </c>
      <c r="W580" s="172" t="s">
        <v>53</v>
      </c>
      <c r="X580" s="172" t="s">
        <v>178</v>
      </c>
      <c r="Y580" s="172">
        <v>15</v>
      </c>
      <c r="Z580" s="177">
        <v>45846</v>
      </c>
      <c r="AA580" s="172"/>
      <c r="AB580" s="172" t="s">
        <v>1629</v>
      </c>
      <c r="AC580" s="172" t="s">
        <v>724</v>
      </c>
      <c r="AD580" s="172" t="s">
        <v>511</v>
      </c>
      <c r="AE580" s="172" t="s">
        <v>1535</v>
      </c>
      <c r="AF580" s="177">
        <v>45846</v>
      </c>
      <c r="AG580" s="172">
        <v>133</v>
      </c>
      <c r="AH580" s="172">
        <f>VLOOKUP(Таблица310[[#This Row],[№ акта]],'Степень зрелости 2025'!$H$13:$I$583,2,FALSE)</f>
        <v>62</v>
      </c>
      <c r="AI580" s="172" t="str">
        <f>VLOOKUP(Таблица310[[#This Row],[№ акта]],$AQ$1:$AT$594,2,FALSE)</f>
        <v>2.3</v>
      </c>
      <c r="AJ580" s="172" t="str">
        <f>Таблица310[[#This Row],[Регистратор.Номенклатура]]</f>
        <v>Тристар</v>
      </c>
      <c r="AK580" s="172" t="str">
        <f>VLOOKUP(Таблица310[[#This Row],[№ акта]],$AQ$1:$AT$594,4,FALSE)</f>
        <v>Колос (полив)</v>
      </c>
      <c r="AL580" s="176">
        <f>VLOOKUP(Таблица310[[#This Row],[№ акта]],$AQ$1:$AT$594,3,FALSE)</f>
        <v>3.373886868180108</v>
      </c>
      <c r="AM580" s="172" t="str">
        <f>IF(Таблица310[[#This Row],[Площадь уборки, га]]=Таблица310[[#This Row],[Площадь уборки до корр]],"нет","да")</f>
        <v>да</v>
      </c>
      <c r="AN580" s="176">
        <f>Таблица310[[#This Row],[Площадь уборки до корр]]-Таблица310[[#This Row],[Площадь уборки, га]]</f>
        <v>1.979416367069271</v>
      </c>
      <c r="AQ580" s="178" t="s">
        <v>1535</v>
      </c>
      <c r="AR580" s="178" t="s">
        <v>1485</v>
      </c>
      <c r="AS580" s="178">
        <v>3.373886868180108</v>
      </c>
      <c r="AT580" s="178" t="s">
        <v>53</v>
      </c>
      <c r="XFD580" s="172"/>
    </row>
    <row r="581" spans="1:46 16384:16384" ht="22.5" hidden="1" x14ac:dyDescent="0.25">
      <c r="A581" s="40"/>
      <c r="B581" s="42"/>
      <c r="C581" s="40">
        <v>62</v>
      </c>
      <c r="D581" s="41" t="s">
        <v>1536</v>
      </c>
      <c r="E581" s="148">
        <v>45847</v>
      </c>
      <c r="F581" s="69">
        <v>27930</v>
      </c>
      <c r="G581" s="41">
        <v>12930</v>
      </c>
      <c r="H581" s="40">
        <v>15000</v>
      </c>
      <c r="I581" s="40">
        <v>10925.8</v>
      </c>
      <c r="J581" s="40" t="s">
        <v>1167</v>
      </c>
      <c r="K581" s="35" t="s">
        <v>909</v>
      </c>
      <c r="L581" s="40" t="s">
        <v>1485</v>
      </c>
      <c r="M581" s="40" t="s">
        <v>1461</v>
      </c>
      <c r="N581" s="40"/>
      <c r="O581" s="40"/>
      <c r="P581" s="40"/>
      <c r="Q581" s="40"/>
      <c r="R581" s="40" t="s">
        <v>149</v>
      </c>
      <c r="S581" s="45"/>
      <c r="T581" s="40" t="s">
        <v>1485</v>
      </c>
      <c r="U581" s="40" t="str">
        <f>Таблица310[[#This Row],[Регистратор.Номенклатура]]</f>
        <v>Тристар</v>
      </c>
      <c r="V581" s="45">
        <f>60.3*Таблица310[[#This Row],[Регистратор.Вес нетто]]/143240</f>
        <v>5.443165316950572</v>
      </c>
      <c r="W581" s="40" t="s">
        <v>53</v>
      </c>
      <c r="X581" s="40" t="s">
        <v>178</v>
      </c>
      <c r="Y581" s="40">
        <v>15</v>
      </c>
      <c r="Z581" s="103">
        <v>45846</v>
      </c>
      <c r="AA581" s="40"/>
      <c r="AB581" s="40"/>
      <c r="AC581" s="40" t="s">
        <v>724</v>
      </c>
      <c r="AD581" s="40" t="s">
        <v>511</v>
      </c>
      <c r="AE581" s="40" t="s">
        <v>1536</v>
      </c>
      <c r="AF581" s="103">
        <v>45847</v>
      </c>
      <c r="AG581" s="40">
        <v>134</v>
      </c>
      <c r="AH581" s="40">
        <f>VLOOKUP(Таблица310[[#This Row],[№ акта]],'Степень зрелости 2025'!$H$13:$I$583,2,FALSE)</f>
        <v>62</v>
      </c>
      <c r="AI581" s="40" t="str">
        <f>VLOOKUP(Таблица310[[#This Row],[№ акта]],$AQ$1:$AT$594,2,FALSE)</f>
        <v>2.3</v>
      </c>
      <c r="AJ581" s="40" t="str">
        <f>Таблица310[[#This Row],[Регистратор.Номенклатура]]</f>
        <v>Тристар</v>
      </c>
      <c r="AK581" s="40" t="str">
        <f>VLOOKUP(Таблица310[[#This Row],[№ акта]],$AQ$1:$AT$594,4,FALSE)</f>
        <v>Колос (полив)</v>
      </c>
      <c r="AL581" s="45">
        <f>VLOOKUP(Таблица310[[#This Row],[№ акта]],$AQ$1:$AT$594,3,FALSE)</f>
        <v>3.243446632384297</v>
      </c>
      <c r="AM581" s="40" t="str">
        <f>IF(Таблица310[[#This Row],[Площадь уборки, га]]=Таблица310[[#This Row],[Площадь уборки до корр]],"нет","да")</f>
        <v>да</v>
      </c>
      <c r="AN581" s="45">
        <f>Таблица310[[#This Row],[Площадь уборки до корр]]-Таблица310[[#This Row],[Площадь уборки, га]]</f>
        <v>-2.1997186845662751</v>
      </c>
      <c r="AQ581" t="s">
        <v>1536</v>
      </c>
      <c r="AR581" t="s">
        <v>1485</v>
      </c>
      <c r="AS581">
        <v>3.243446632384297</v>
      </c>
      <c r="AT581" t="s">
        <v>53</v>
      </c>
      <c r="XFD581" s="40"/>
    </row>
    <row r="582" spans="1:46 16384:16384" ht="22.5" hidden="1" x14ac:dyDescent="0.25">
      <c r="A582" s="40"/>
      <c r="B582" s="42"/>
      <c r="C582" s="40">
        <v>67</v>
      </c>
      <c r="D582" s="41" t="s">
        <v>1537</v>
      </c>
      <c r="E582" s="148">
        <v>45847</v>
      </c>
      <c r="F582" s="69">
        <v>37350</v>
      </c>
      <c r="G582" s="41">
        <v>13160</v>
      </c>
      <c r="H582" s="40">
        <v>24190</v>
      </c>
      <c r="I582" s="40">
        <v>11251.8</v>
      </c>
      <c r="J582" s="40" t="s">
        <v>1167</v>
      </c>
      <c r="K582" s="35" t="s">
        <v>909</v>
      </c>
      <c r="L582" s="40" t="s">
        <v>1485</v>
      </c>
      <c r="M582" s="40" t="s">
        <v>1373</v>
      </c>
      <c r="N582" s="40"/>
      <c r="O582" s="40"/>
      <c r="P582" s="40"/>
      <c r="Q582" s="40"/>
      <c r="R582" s="40" t="s">
        <v>1374</v>
      </c>
      <c r="S582" s="45"/>
      <c r="T582" s="40" t="s">
        <v>1485</v>
      </c>
      <c r="U582" s="40" t="str">
        <f>Таблица310[[#This Row],[Регистратор.Номенклатура]]</f>
        <v>Тристар</v>
      </c>
      <c r="V582" s="45">
        <f>60.3*Таблица310[[#This Row],[Регистратор.Вес нетто]]/143240</f>
        <v>5.5399888299357718</v>
      </c>
      <c r="W582" s="40" t="s">
        <v>53</v>
      </c>
      <c r="X582" s="40" t="s">
        <v>178</v>
      </c>
      <c r="Y582" s="40">
        <v>15</v>
      </c>
      <c r="Z582" s="103">
        <v>45846</v>
      </c>
      <c r="AA582" s="40"/>
      <c r="AB582" s="40"/>
      <c r="AC582" s="40" t="s">
        <v>420</v>
      </c>
      <c r="AD582" s="40" t="s">
        <v>550</v>
      </c>
      <c r="AE582" s="40" t="s">
        <v>1537</v>
      </c>
      <c r="AF582" s="103">
        <v>45847</v>
      </c>
      <c r="AG582" s="40">
        <v>135</v>
      </c>
      <c r="AH582" s="40">
        <f>VLOOKUP(Таблица310[[#This Row],[№ акта]],'Степень зрелости 2025'!$H$13:$I$583,2,FALSE)</f>
        <v>67</v>
      </c>
      <c r="AI582" s="40" t="str">
        <f>VLOOKUP(Таблица310[[#This Row],[№ акта]],$AQ$1:$AT$594,2,FALSE)</f>
        <v>2.3</v>
      </c>
      <c r="AJ582" s="40" t="str">
        <f>Таблица310[[#This Row],[Регистратор.Номенклатура]]</f>
        <v>Тристар</v>
      </c>
      <c r="AK582" s="40" t="str">
        <f>VLOOKUP(Таблица310[[#This Row],[№ акта]],$AQ$1:$AT$594,4,FALSE)</f>
        <v>Колос (полив)</v>
      </c>
      <c r="AL582" s="45">
        <f>VLOOKUP(Таблица310[[#This Row],[№ акта]],$AQ$1:$AT$594,3,FALSE)</f>
        <v>3.3011413520632131</v>
      </c>
      <c r="AM582" s="40" t="str">
        <f>IF(Таблица310[[#This Row],[Площадь уборки, га]]=Таблица310[[#This Row],[Площадь уборки до корр]],"нет","да")</f>
        <v>да</v>
      </c>
      <c r="AN582" s="45">
        <f>Таблица310[[#This Row],[Площадь уборки до корр]]-Таблица310[[#This Row],[Площадь уборки, га]]</f>
        <v>-2.2388474778725587</v>
      </c>
      <c r="AQ582" t="s">
        <v>1537</v>
      </c>
      <c r="AR582" t="s">
        <v>1485</v>
      </c>
      <c r="AS582">
        <v>3.3011413520632131</v>
      </c>
      <c r="AT582" t="s">
        <v>53</v>
      </c>
      <c r="XFD582" s="40"/>
    </row>
    <row r="583" spans="1:46 16384:16384" ht="22.5" hidden="1" x14ac:dyDescent="0.25">
      <c r="A583" s="40"/>
      <c r="B583" s="42"/>
      <c r="C583" s="40">
        <v>66</v>
      </c>
      <c r="D583" s="41" t="s">
        <v>1538</v>
      </c>
      <c r="E583" s="148">
        <v>45847</v>
      </c>
      <c r="F583" s="69">
        <v>26940</v>
      </c>
      <c r="G583" s="41">
        <v>13130</v>
      </c>
      <c r="H583" s="40">
        <v>13810</v>
      </c>
      <c r="I583" s="40">
        <v>11094.8</v>
      </c>
      <c r="J583" s="40" t="s">
        <v>1167</v>
      </c>
      <c r="K583" s="35" t="s">
        <v>909</v>
      </c>
      <c r="L583" s="40" t="s">
        <v>1485</v>
      </c>
      <c r="M583" s="40" t="s">
        <v>212</v>
      </c>
      <c r="N583" s="40"/>
      <c r="O583" s="40"/>
      <c r="P583" s="40"/>
      <c r="Q583" s="40"/>
      <c r="R583" s="40" t="s">
        <v>216</v>
      </c>
      <c r="S583" s="45"/>
      <c r="T583" s="40" t="s">
        <v>1485</v>
      </c>
      <c r="U583" s="40" t="str">
        <f>Таблица310[[#This Row],[Регистратор.Номенклатура]]</f>
        <v>Тристар</v>
      </c>
      <c r="V583" s="45">
        <f>60.3*Таблица310[[#This Row],[Регистратор.Вес нетто]]/143240</f>
        <v>5.5273596760681372</v>
      </c>
      <c r="W583" s="40" t="s">
        <v>53</v>
      </c>
      <c r="X583" s="40" t="s">
        <v>178</v>
      </c>
      <c r="Y583" s="40">
        <v>15</v>
      </c>
      <c r="Z583" s="103">
        <v>45846</v>
      </c>
      <c r="AA583" s="40"/>
      <c r="AB583" s="40"/>
      <c r="AC583" s="40" t="s">
        <v>725</v>
      </c>
      <c r="AD583" s="40" t="s">
        <v>550</v>
      </c>
      <c r="AE583" s="40" t="s">
        <v>1538</v>
      </c>
      <c r="AF583" s="103">
        <v>45847</v>
      </c>
      <c r="AG583" s="40">
        <v>137</v>
      </c>
      <c r="AH583" s="40">
        <f>VLOOKUP(Таблица310[[#This Row],[№ акта]],'Степень зрелости 2025'!$H$13:$I$583,2,FALSE)</f>
        <v>66</v>
      </c>
      <c r="AI583" s="40" t="str">
        <f>VLOOKUP(Таблица310[[#This Row],[№ акта]],$AQ$1:$AT$594,2,FALSE)</f>
        <v>2.3</v>
      </c>
      <c r="AJ583" s="40" t="str">
        <f>Таблица310[[#This Row],[Регистратор.Номенклатура]]</f>
        <v>Тристар</v>
      </c>
      <c r="AK583" s="40" t="str">
        <f>VLOOKUP(Таблица310[[#This Row],[№ акта]],$AQ$1:$AT$594,4,FALSE)</f>
        <v>Колос (полив)</v>
      </c>
      <c r="AL583" s="45">
        <f>VLOOKUP(Таблица310[[#This Row],[№ акта]],$AQ$1:$AT$594,3,FALSE)</f>
        <v>3.2936159538442245</v>
      </c>
      <c r="AM583" s="40" t="str">
        <f>IF(Таблица310[[#This Row],[Площадь уборки, га]]=Таблица310[[#This Row],[Площадь уборки до корр]],"нет","да")</f>
        <v>да</v>
      </c>
      <c r="AN583" s="45">
        <f>Таблица310[[#This Row],[Площадь уборки до корр]]-Таблица310[[#This Row],[Площадь уборки, га]]</f>
        <v>-2.2337437222239127</v>
      </c>
      <c r="AQ583" t="s">
        <v>1538</v>
      </c>
      <c r="AR583" t="s">
        <v>1485</v>
      </c>
      <c r="AS583">
        <v>3.2936159538442245</v>
      </c>
      <c r="AT583" t="s">
        <v>53</v>
      </c>
      <c r="XFD583" s="40"/>
    </row>
    <row r="584" spans="1:46 16384:16384" ht="33.75" hidden="1" x14ac:dyDescent="0.25">
      <c r="A584" s="40"/>
      <c r="B584" s="42"/>
      <c r="C584" s="40">
        <v>68</v>
      </c>
      <c r="D584" s="41" t="s">
        <v>1539</v>
      </c>
      <c r="E584" s="148">
        <v>45847</v>
      </c>
      <c r="F584" s="69">
        <v>27500</v>
      </c>
      <c r="G584" s="41">
        <v>12940</v>
      </c>
      <c r="H584" s="40">
        <v>14560</v>
      </c>
      <c r="I584" s="40">
        <v>11581.3</v>
      </c>
      <c r="J584" s="40" t="s">
        <v>1167</v>
      </c>
      <c r="K584" s="35" t="s">
        <v>1530</v>
      </c>
      <c r="L584" s="40" t="s">
        <v>1485</v>
      </c>
      <c r="M584" s="40" t="s">
        <v>239</v>
      </c>
      <c r="N584" s="40"/>
      <c r="O584" s="40"/>
      <c r="P584" s="40"/>
      <c r="Q584" s="40"/>
      <c r="R584" s="40" t="s">
        <v>243</v>
      </c>
      <c r="S584" s="45"/>
      <c r="T584" s="40" t="s">
        <v>1485</v>
      </c>
      <c r="U584" s="40" t="str">
        <f>Таблица310[[#This Row],[Регистратор.Номенклатура]]</f>
        <v>Бутана</v>
      </c>
      <c r="V584" s="45">
        <f>60.3*Таблица310[[#This Row],[Регистратор.Вес нетто]]/143240</f>
        <v>5.4473750349064511</v>
      </c>
      <c r="W584" s="40" t="s">
        <v>53</v>
      </c>
      <c r="X584" s="40" t="s">
        <v>178</v>
      </c>
      <c r="Y584" s="40">
        <v>15</v>
      </c>
      <c r="Z584" s="103">
        <v>45846</v>
      </c>
      <c r="AA584" s="40"/>
      <c r="AB584" s="40"/>
      <c r="AC584" s="40" t="s">
        <v>420</v>
      </c>
      <c r="AD584" s="40" t="s">
        <v>550</v>
      </c>
      <c r="AE584" s="40" t="s">
        <v>1539</v>
      </c>
      <c r="AF584" s="103">
        <v>45847</v>
      </c>
      <c r="AG584" s="40">
        <v>136</v>
      </c>
      <c r="AH584" s="40">
        <f>VLOOKUP(Таблица310[[#This Row],[№ акта]],'Степень зрелости 2025'!$H$13:$I$583,2,FALSE)</f>
        <v>68</v>
      </c>
      <c r="AI584" s="40" t="str">
        <f>VLOOKUP(Таблица310[[#This Row],[№ акта]],$AQ$1:$AT$594,2,FALSE)</f>
        <v>2.3</v>
      </c>
      <c r="AJ584" s="40" t="str">
        <f>Таблица310[[#This Row],[Регистратор.Номенклатура]]</f>
        <v>Бутана</v>
      </c>
      <c r="AK584" s="40" t="str">
        <f>VLOOKUP(Таблица310[[#This Row],[№ акта]],$AQ$1:$AT$594,4,FALSE)</f>
        <v>Колос (полив)</v>
      </c>
      <c r="AL584" s="45">
        <f>VLOOKUP(Таблица310[[#This Row],[№ акта]],$AQ$1:$AT$594,3,FALSE)</f>
        <v>4.9664171943964694</v>
      </c>
      <c r="AM584" s="40" t="str">
        <f>IF(Таблица310[[#This Row],[Площадь уборки, га]]=Таблица310[[#This Row],[Площадь уборки до корр]],"нет","да")</f>
        <v>да</v>
      </c>
      <c r="AN584" s="45">
        <f>Таблица310[[#This Row],[Площадь уборки до корр]]-Таблица310[[#This Row],[Площадь уборки, га]]</f>
        <v>-0.48095784050998169</v>
      </c>
      <c r="AQ584" t="s">
        <v>1539</v>
      </c>
      <c r="AR584" t="s">
        <v>1485</v>
      </c>
      <c r="AS584">
        <v>4.9664171943964694</v>
      </c>
      <c r="AT584" t="s">
        <v>53</v>
      </c>
      <c r="XFD584" s="40"/>
    </row>
    <row r="585" spans="1:46 16384:16384" ht="22.5" hidden="1" x14ac:dyDescent="0.25">
      <c r="A585" s="40"/>
      <c r="B585" s="42"/>
      <c r="C585" s="40">
        <v>69</v>
      </c>
      <c r="D585" s="41" t="s">
        <v>1540</v>
      </c>
      <c r="E585" s="148">
        <v>45847</v>
      </c>
      <c r="F585" s="69">
        <v>28780</v>
      </c>
      <c r="G585" s="41">
        <v>13050</v>
      </c>
      <c r="H585" s="40">
        <v>15730</v>
      </c>
      <c r="I585" s="40">
        <v>12071.2</v>
      </c>
      <c r="J585" s="40" t="s">
        <v>1167</v>
      </c>
      <c r="K585" s="35" t="s">
        <v>1530</v>
      </c>
      <c r="L585" s="40" t="s">
        <v>1485</v>
      </c>
      <c r="M585" s="40" t="s">
        <v>347</v>
      </c>
      <c r="N585" s="40"/>
      <c r="O585" s="40"/>
      <c r="P585" s="40"/>
      <c r="Q585" s="40"/>
      <c r="R585" s="40" t="s">
        <v>351</v>
      </c>
      <c r="S585" s="45"/>
      <c r="T585" s="40" t="s">
        <v>1485</v>
      </c>
      <c r="U585" s="40" t="str">
        <f>Таблица310[[#This Row],[Регистратор.Номенклатура]]</f>
        <v>Бутана</v>
      </c>
      <c r="V585" s="45">
        <f>60.3*Таблица310[[#This Row],[Регистратор.Вес нетто]]/143240</f>
        <v>5.4936819324211115</v>
      </c>
      <c r="W585" s="40" t="s">
        <v>53</v>
      </c>
      <c r="X585" s="40" t="s">
        <v>178</v>
      </c>
      <c r="Y585" s="40">
        <v>15</v>
      </c>
      <c r="Z585" s="103">
        <v>45846</v>
      </c>
      <c r="AA585" s="40"/>
      <c r="AB585" s="40"/>
      <c r="AC585" s="40" t="s">
        <v>420</v>
      </c>
      <c r="AD585" s="40" t="s">
        <v>550</v>
      </c>
      <c r="AE585" s="40" t="s">
        <v>1540</v>
      </c>
      <c r="AF585" s="103">
        <v>45847</v>
      </c>
      <c r="AG585" s="40">
        <v>138</v>
      </c>
      <c r="AH585" s="40">
        <f>VLOOKUP(Таблица310[[#This Row],[№ акта]],'Степень зрелости 2025'!$H$13:$I$583,2,FALSE)</f>
        <v>69</v>
      </c>
      <c r="AI585" s="40" t="str">
        <f>VLOOKUP(Таблица310[[#This Row],[№ акта]],$AQ$1:$AT$594,2,FALSE)</f>
        <v>2.3</v>
      </c>
      <c r="AJ585" s="40" t="str">
        <f>Таблица310[[#This Row],[Регистратор.Номенклатура]]</f>
        <v>Бутана</v>
      </c>
      <c r="AK585" s="40" t="str">
        <f>VLOOKUP(Таблица310[[#This Row],[№ акта]],$AQ$1:$AT$594,4,FALSE)</f>
        <v>Колос (полив)</v>
      </c>
      <c r="AL585" s="45">
        <f>VLOOKUP(Таблица310[[#This Row],[№ акта]],$AQ$1:$AT$594,3,FALSE)</f>
        <v>5.0086355785837648</v>
      </c>
      <c r="AM585" s="40" t="str">
        <f>IF(Таблица310[[#This Row],[Площадь уборки, га]]=Таблица310[[#This Row],[Площадь уборки до корр]],"нет","да")</f>
        <v>да</v>
      </c>
      <c r="AN585" s="45">
        <f>Таблица310[[#This Row],[Площадь уборки до корр]]-Таблица310[[#This Row],[Площадь уборки, га]]</f>
        <v>-0.48504635383734662</v>
      </c>
      <c r="AQ585" t="s">
        <v>1540</v>
      </c>
      <c r="AR585" t="s">
        <v>1485</v>
      </c>
      <c r="AS585">
        <v>5.0086355785837648</v>
      </c>
      <c r="AT585" t="s">
        <v>53</v>
      </c>
      <c r="XFD585" s="40"/>
    </row>
    <row r="586" spans="1:46 16384:16384" ht="22.5" hidden="1" x14ac:dyDescent="0.25">
      <c r="A586" s="40"/>
      <c r="B586" s="42"/>
      <c r="C586" s="40">
        <v>78</v>
      </c>
      <c r="D586" s="41" t="s">
        <v>1541</v>
      </c>
      <c r="E586" s="148">
        <v>45847</v>
      </c>
      <c r="F586" s="69">
        <v>27400</v>
      </c>
      <c r="G586" s="41">
        <v>12980</v>
      </c>
      <c r="H586" s="40">
        <v>14420</v>
      </c>
      <c r="I586" s="40">
        <v>11357.5</v>
      </c>
      <c r="J586" s="40" t="s">
        <v>1167</v>
      </c>
      <c r="K586" s="35" t="s">
        <v>1530</v>
      </c>
      <c r="L586" s="40" t="s">
        <v>1485</v>
      </c>
      <c r="M586" s="40" t="s">
        <v>1312</v>
      </c>
      <c r="N586" s="40"/>
      <c r="O586" s="40"/>
      <c r="P586" s="40"/>
      <c r="Q586" s="40"/>
      <c r="R586" s="40" t="s">
        <v>320</v>
      </c>
      <c r="S586" s="45"/>
      <c r="T586" s="40" t="s">
        <v>1485</v>
      </c>
      <c r="U586" s="40" t="str">
        <f>Таблица310[[#This Row],[Регистратор.Номенклатура]]</f>
        <v>Бутана</v>
      </c>
      <c r="V586" s="45">
        <f>60.3*Таблица310[[#This Row],[Регистратор.Вес нетто]]/143240</f>
        <v>5.464213906729964</v>
      </c>
      <c r="W586" s="40" t="s">
        <v>53</v>
      </c>
      <c r="X586" s="40" t="s">
        <v>178</v>
      </c>
      <c r="Y586" s="40">
        <v>15</v>
      </c>
      <c r="Z586" s="103">
        <v>45846</v>
      </c>
      <c r="AA586" s="40"/>
      <c r="AB586" s="40"/>
      <c r="AC586" s="40" t="s">
        <v>420</v>
      </c>
      <c r="AD586" s="40" t="s">
        <v>833</v>
      </c>
      <c r="AE586" s="40" t="s">
        <v>1541</v>
      </c>
      <c r="AF586" s="103">
        <v>45847</v>
      </c>
      <c r="AG586" s="40">
        <v>139</v>
      </c>
      <c r="AH586" s="40">
        <f>VLOOKUP(Таблица310[[#This Row],[№ акта]],'Степень зрелости 2025'!$H$13:$I$583,2,FALSE)</f>
        <v>78</v>
      </c>
      <c r="AI586" s="40" t="str">
        <f>VLOOKUP(Таблица310[[#This Row],[№ акта]],$AQ$1:$AT$594,2,FALSE)</f>
        <v>2.3</v>
      </c>
      <c r="AJ586" s="40" t="str">
        <f>Таблица310[[#This Row],[Регистратор.Номенклатура]]</f>
        <v>Бутана</v>
      </c>
      <c r="AK586" s="40" t="str">
        <f>VLOOKUP(Таблица310[[#This Row],[№ акта]],$AQ$1:$AT$594,4,FALSE)</f>
        <v>Колос (полив)</v>
      </c>
      <c r="AL586" s="45">
        <f>VLOOKUP(Таблица310[[#This Row],[№ акта]],$AQ$1:$AT$594,3,FALSE)</f>
        <v>4.9817693341009406</v>
      </c>
      <c r="AM586" s="40" t="str">
        <f>IF(Таблица310[[#This Row],[Площадь уборки, га]]=Таблица310[[#This Row],[Площадь уборки до корр]],"нет","да")</f>
        <v>да</v>
      </c>
      <c r="AN586" s="45">
        <f>Таблица310[[#This Row],[Площадь уборки до корр]]-Таблица310[[#This Row],[Площадь уборки, га]]</f>
        <v>-0.4824445726290234</v>
      </c>
      <c r="AQ586" t="s">
        <v>1541</v>
      </c>
      <c r="AR586" t="s">
        <v>1485</v>
      </c>
      <c r="AS586">
        <v>4.9817693341009406</v>
      </c>
      <c r="AT586" t="s">
        <v>53</v>
      </c>
      <c r="XFD586" s="40"/>
    </row>
    <row r="587" spans="1:46 16384:16384" ht="22.5" hidden="1" x14ac:dyDescent="0.25">
      <c r="A587" s="40"/>
      <c r="B587" s="42"/>
      <c r="C587" s="40">
        <v>72</v>
      </c>
      <c r="D587" s="41" t="s">
        <v>1542</v>
      </c>
      <c r="E587" s="148">
        <v>45847</v>
      </c>
      <c r="F587" s="69">
        <v>28010</v>
      </c>
      <c r="G587" s="41">
        <v>13140</v>
      </c>
      <c r="H587" s="40">
        <v>14870</v>
      </c>
      <c r="I587" s="40">
        <v>12023.1</v>
      </c>
      <c r="J587" s="40" t="s">
        <v>1167</v>
      </c>
      <c r="K587" s="35" t="s">
        <v>1530</v>
      </c>
      <c r="L587" s="40" t="s">
        <v>1485</v>
      </c>
      <c r="M587" s="40" t="s">
        <v>894</v>
      </c>
      <c r="N587" s="40"/>
      <c r="O587" s="40"/>
      <c r="P587" s="40"/>
      <c r="Q587" s="40"/>
      <c r="R587" s="40" t="s">
        <v>895</v>
      </c>
      <c r="S587" s="45"/>
      <c r="T587" s="40" t="s">
        <v>1485</v>
      </c>
      <c r="U587" s="40" t="str">
        <f>Таблица310[[#This Row],[Регистратор.Номенклатура]]</f>
        <v>Бутана</v>
      </c>
      <c r="V587" s="45">
        <f>60.3*Таблица310[[#This Row],[Регистратор.Вес нетто]]/143240</f>
        <v>5.5315693940240154</v>
      </c>
      <c r="W587" s="40" t="s">
        <v>53</v>
      </c>
      <c r="X587" s="40" t="s">
        <v>178</v>
      </c>
      <c r="Y587" s="40">
        <v>15</v>
      </c>
      <c r="Z587" s="103">
        <v>45846</v>
      </c>
      <c r="AA587" s="40"/>
      <c r="AB587" s="40"/>
      <c r="AC587" s="40" t="s">
        <v>420</v>
      </c>
      <c r="AD587" s="40" t="s">
        <v>550</v>
      </c>
      <c r="AE587" s="40" t="s">
        <v>1542</v>
      </c>
      <c r="AF587" s="103">
        <v>45847</v>
      </c>
      <c r="AG587" s="40">
        <v>140</v>
      </c>
      <c r="AH587" s="40">
        <f>VLOOKUP(Таблица310[[#This Row],[№ акта]],'Степень зрелости 2025'!$H$13:$I$583,2,FALSE)</f>
        <v>72</v>
      </c>
      <c r="AI587" s="40" t="str">
        <f>VLOOKUP(Таблица310[[#This Row],[№ акта]],$AQ$1:$AT$594,2,FALSE)</f>
        <v>2.3</v>
      </c>
      <c r="AJ587" s="40" t="str">
        <f>Таблица310[[#This Row],[Регистратор.Номенклатура]]</f>
        <v>Бутана</v>
      </c>
      <c r="AK587" s="40" t="str">
        <f>VLOOKUP(Таблица310[[#This Row],[№ акта]],$AQ$1:$AT$594,4,FALSE)</f>
        <v>Колос (полив)</v>
      </c>
      <c r="AL587" s="45">
        <f>VLOOKUP(Таблица310[[#This Row],[№ акта]],$AQ$1:$AT$594,3,FALSE)</f>
        <v>5.0431778929188251</v>
      </c>
      <c r="AM587" s="40" t="str">
        <f>IF(Таблица310[[#This Row],[Площадь уборки, га]]=Таблица310[[#This Row],[Площадь уборки до корр]],"нет","да")</f>
        <v>да</v>
      </c>
      <c r="AN587" s="45">
        <f>Таблица310[[#This Row],[Площадь уборки до корр]]-Таблица310[[#This Row],[Площадь уборки, га]]</f>
        <v>-0.48839150110519025</v>
      </c>
      <c r="AQ587" t="s">
        <v>1542</v>
      </c>
      <c r="AR587" t="s">
        <v>1485</v>
      </c>
      <c r="AS587">
        <v>5.0431778929188251</v>
      </c>
      <c r="AT587" t="s">
        <v>53</v>
      </c>
      <c r="XFD587" s="40"/>
    </row>
    <row r="588" spans="1:46 16384:16384" ht="22.5" hidden="1" x14ac:dyDescent="0.25">
      <c r="A588" s="40"/>
      <c r="B588" s="42"/>
      <c r="C588" s="40">
        <v>74</v>
      </c>
      <c r="D588" s="41" t="s">
        <v>1545</v>
      </c>
      <c r="E588" s="148">
        <v>45847</v>
      </c>
      <c r="F588" s="69">
        <v>29040</v>
      </c>
      <c r="G588" s="41">
        <v>13530</v>
      </c>
      <c r="H588" s="40">
        <v>15510</v>
      </c>
      <c r="I588" s="40">
        <v>12515.2</v>
      </c>
      <c r="J588" s="40" t="s">
        <v>1167</v>
      </c>
      <c r="K588" s="35" t="s">
        <v>1530</v>
      </c>
      <c r="L588" s="40" t="s">
        <v>1485</v>
      </c>
      <c r="M588" s="40" t="s">
        <v>1151</v>
      </c>
      <c r="N588" s="40"/>
      <c r="O588" s="40"/>
      <c r="P588" s="40"/>
      <c r="Q588" s="40"/>
      <c r="R588" s="40" t="s">
        <v>145</v>
      </c>
      <c r="S588" s="45"/>
      <c r="T588" s="40" t="s">
        <v>1485</v>
      </c>
      <c r="U588" s="40" t="str">
        <f>Таблица310[[#This Row],[Регистратор.Номенклатура]]</f>
        <v>Бутана</v>
      </c>
      <c r="V588" s="45">
        <f>60.3*Таблица310[[#This Row],[Регистратор.Вес нетто]]/143240</f>
        <v>5.6957483943032674</v>
      </c>
      <c r="W588" s="40" t="s">
        <v>53</v>
      </c>
      <c r="X588" s="40" t="s">
        <v>178</v>
      </c>
      <c r="Y588" s="40">
        <v>16</v>
      </c>
      <c r="Z588" s="103">
        <v>45847</v>
      </c>
      <c r="AA588" s="40"/>
      <c r="AB588" s="40"/>
      <c r="AC588" s="40" t="s">
        <v>420</v>
      </c>
      <c r="AD588" s="40" t="s">
        <v>833</v>
      </c>
      <c r="AE588" s="40" t="s">
        <v>1545</v>
      </c>
      <c r="AF588" s="103">
        <v>45847</v>
      </c>
      <c r="AG588" s="40">
        <v>140</v>
      </c>
      <c r="AH588" s="40">
        <f>VLOOKUP(Таблица310[[#This Row],[№ акта]],'Степень зрелости 2025'!$H$13:$I$583,2,FALSE)</f>
        <v>74</v>
      </c>
      <c r="AI588" s="40" t="str">
        <f>VLOOKUP(Таблица310[[#This Row],[№ акта]],$AQ$1:$AT$594,2,FALSE)</f>
        <v>2.3</v>
      </c>
      <c r="AJ588" s="40" t="str">
        <f>Таблица310[[#This Row],[Регистратор.Номенклатура]]</f>
        <v>Бутана</v>
      </c>
      <c r="AK588" s="40" t="str">
        <f>VLOOKUP(Таблица310[[#This Row],[№ акта]],$AQ$1:$AT$594,4,FALSE)</f>
        <v>Колос (полив)</v>
      </c>
      <c r="AL588" s="45">
        <f>VLOOKUP(Таблица310[[#This Row],[№ акта]],$AQ$1:$AT$594,3,FALSE)</f>
        <v>5.3017241379310347</v>
      </c>
      <c r="AM588" s="40" t="str">
        <f>IF(Таблица310[[#This Row],[Площадь уборки, га]]=Таблица310[[#This Row],[Площадь уборки до корр]],"нет","да")</f>
        <v>да</v>
      </c>
      <c r="AN588" s="45">
        <f>Таблица310[[#This Row],[Площадь уборки до корр]]-Таблица310[[#This Row],[Площадь уборки, га]]</f>
        <v>-0.39402425637223271</v>
      </c>
      <c r="AQ588" t="s">
        <v>1545</v>
      </c>
      <c r="AR588" t="s">
        <v>1485</v>
      </c>
      <c r="AS588">
        <v>5.3017241379310347</v>
      </c>
      <c r="AT588" t="s">
        <v>53</v>
      </c>
      <c r="XFD588" s="40"/>
    </row>
    <row r="589" spans="1:46 16384:16384" ht="22.5" hidden="1" x14ac:dyDescent="0.25">
      <c r="A589" s="40"/>
      <c r="B589" s="42"/>
      <c r="C589" s="40">
        <v>76</v>
      </c>
      <c r="D589" s="41" t="s">
        <v>1553</v>
      </c>
      <c r="E589" s="148">
        <v>45847</v>
      </c>
      <c r="F589" s="69">
        <v>37250</v>
      </c>
      <c r="G589" s="41">
        <v>13190</v>
      </c>
      <c r="H589" s="40">
        <v>24060</v>
      </c>
      <c r="I589" s="40">
        <v>12200.7</v>
      </c>
      <c r="J589" s="40" t="s">
        <v>1167</v>
      </c>
      <c r="K589" s="35" t="s">
        <v>1530</v>
      </c>
      <c r="L589" s="40" t="s">
        <v>1485</v>
      </c>
      <c r="M589" s="40" t="s">
        <v>160</v>
      </c>
      <c r="N589" s="40"/>
      <c r="O589" s="40"/>
      <c r="P589" s="40"/>
      <c r="Q589" s="40"/>
      <c r="R589" s="40" t="s">
        <v>164</v>
      </c>
      <c r="S589" s="45"/>
      <c r="T589" s="40" t="s">
        <v>1485</v>
      </c>
      <c r="U589" s="40" t="str">
        <f>Таблица310[[#This Row],[Регистратор.Номенклатура]]</f>
        <v>Бутана</v>
      </c>
      <c r="V589" s="45">
        <f>60.3*Таблица310[[#This Row],[Регистратор.Вес нетто]]/143240</f>
        <v>5.5526179838034064</v>
      </c>
      <c r="W589" s="40" t="s">
        <v>53</v>
      </c>
      <c r="X589" s="40" t="s">
        <v>178</v>
      </c>
      <c r="Y589" s="40">
        <v>16</v>
      </c>
      <c r="Z589" s="103">
        <v>45847</v>
      </c>
      <c r="AA589" s="40"/>
      <c r="AB589" s="40"/>
      <c r="AC589" s="40" t="s">
        <v>420</v>
      </c>
      <c r="AD589" s="40" t="s">
        <v>833</v>
      </c>
      <c r="AE589" s="40" t="s">
        <v>1553</v>
      </c>
      <c r="AF589" s="103">
        <v>45847</v>
      </c>
      <c r="AG589" s="40">
        <v>143</v>
      </c>
      <c r="AH589" s="40">
        <f>VLOOKUP(Таблица310[[#This Row],[№ акта]],'Степень зрелости 2025'!$H$13:$I$583,2,FALSE)</f>
        <v>76</v>
      </c>
      <c r="AI589" s="40" t="str">
        <f>VLOOKUP(Таблица310[[#This Row],[№ акта]],$AQ$1:$AT$594,2,FALSE)</f>
        <v>2.3</v>
      </c>
      <c r="AJ589" s="40" t="str">
        <f>Таблица310[[#This Row],[Регистратор.Номенклатура]]</f>
        <v>Бутана</v>
      </c>
      <c r="AK589" s="40" t="str">
        <f>VLOOKUP(Таблица310[[#This Row],[№ акта]],$AQ$1:$AT$594,4,FALSE)</f>
        <v>Колос (полив)</v>
      </c>
      <c r="AL589" s="45">
        <f>VLOOKUP(Таблица310[[#This Row],[№ акта]],$AQ$1:$AT$594,3,FALSE)</f>
        <v>5.1684952978056424</v>
      </c>
      <c r="AM589" s="40" t="str">
        <f>IF(Таблица310[[#This Row],[Площадь уборки, га]]=Таблица310[[#This Row],[Площадь уборки до корр]],"нет","да")</f>
        <v>да</v>
      </c>
      <c r="AN589" s="45">
        <f>Таблица310[[#This Row],[Площадь уборки до корр]]-Таблица310[[#This Row],[Площадь уборки, га]]</f>
        <v>-0.384122685997764</v>
      </c>
      <c r="AQ589" t="s">
        <v>1553</v>
      </c>
      <c r="AR589" t="s">
        <v>1485</v>
      </c>
      <c r="AS589">
        <v>5.1684952978056424</v>
      </c>
      <c r="AT589" t="s">
        <v>53</v>
      </c>
      <c r="XFD589" s="40"/>
    </row>
    <row r="590" spans="1:46 16384:16384" ht="22.5" hidden="1" x14ac:dyDescent="0.25">
      <c r="A590" s="40"/>
      <c r="B590" s="42"/>
      <c r="C590" s="40">
        <v>75</v>
      </c>
      <c r="D590" s="41" t="s">
        <v>1554</v>
      </c>
      <c r="E590" s="148">
        <v>45847</v>
      </c>
      <c r="F590" s="69">
        <v>27910</v>
      </c>
      <c r="G590" s="41">
        <v>12890</v>
      </c>
      <c r="H590" s="40">
        <v>15020</v>
      </c>
      <c r="I590" s="40">
        <v>11665.4</v>
      </c>
      <c r="J590" s="40" t="s">
        <v>1167</v>
      </c>
      <c r="K590" s="35" t="s">
        <v>1530</v>
      </c>
      <c r="L590" s="40" t="s">
        <v>1485</v>
      </c>
      <c r="M590" s="40" t="s">
        <v>335</v>
      </c>
      <c r="N590" s="40"/>
      <c r="O590" s="40"/>
      <c r="P590" s="40"/>
      <c r="Q590" s="40"/>
      <c r="R590" s="40" t="s">
        <v>339</v>
      </c>
      <c r="S590" s="45"/>
      <c r="T590" s="40" t="s">
        <v>1485</v>
      </c>
      <c r="U590" s="40" t="str">
        <f>Таблица310[[#This Row],[Регистратор.Номенклатура]]</f>
        <v>Бутана</v>
      </c>
      <c r="V590" s="45">
        <f>60.3*Таблица310[[#This Row],[Регистратор.Вес нетто]]/143240</f>
        <v>5.4263264451270592</v>
      </c>
      <c r="W590" s="40" t="s">
        <v>53</v>
      </c>
      <c r="X590" s="40" t="s">
        <v>178</v>
      </c>
      <c r="Y590" s="40">
        <v>16</v>
      </c>
      <c r="Z590" s="103">
        <v>45847</v>
      </c>
      <c r="AA590" s="40"/>
      <c r="AB590" s="40"/>
      <c r="AC590" s="40" t="s">
        <v>420</v>
      </c>
      <c r="AD590" s="40" t="s">
        <v>833</v>
      </c>
      <c r="AE590" s="40" t="s">
        <v>1554</v>
      </c>
      <c r="AF590" s="103">
        <v>45847</v>
      </c>
      <c r="AG590" s="40">
        <v>144</v>
      </c>
      <c r="AH590" s="40">
        <f>VLOOKUP(Таблица310[[#This Row],[№ акта]],'Степень зрелости 2025'!$H$13:$I$583,2,FALSE)</f>
        <v>75</v>
      </c>
      <c r="AI590" s="40" t="str">
        <f>VLOOKUP(Таблица310[[#This Row],[№ акта]],$AQ$1:$AT$594,2,FALSE)</f>
        <v>2.3</v>
      </c>
      <c r="AJ590" s="40" t="str">
        <f>Таблица310[[#This Row],[Регистратор.Номенклатура]]</f>
        <v>Бутана</v>
      </c>
      <c r="AK590" s="40" t="str">
        <f>VLOOKUP(Таблица310[[#This Row],[№ акта]],$AQ$1:$AT$594,4,FALSE)</f>
        <v>Колос (полив)</v>
      </c>
      <c r="AL590" s="45">
        <f>VLOOKUP(Таблица310[[#This Row],[№ акта]],$AQ$1:$AT$594,3,FALSE)</f>
        <v>5.0509404388714731</v>
      </c>
      <c r="AM590" s="40" t="str">
        <f>IF(Таблица310[[#This Row],[Площадь уборки, га]]=Таблица310[[#This Row],[Площадь уборки до корр]],"нет","да")</f>
        <v>да</v>
      </c>
      <c r="AN590" s="45">
        <f>Таблица310[[#This Row],[Площадь уборки до корр]]-Таблица310[[#This Row],[Площадь уборки, га]]</f>
        <v>-0.37538600625558605</v>
      </c>
      <c r="AQ590" t="s">
        <v>1554</v>
      </c>
      <c r="AR590" t="s">
        <v>1485</v>
      </c>
      <c r="AS590">
        <v>5.0509404388714731</v>
      </c>
      <c r="AT590" t="s">
        <v>53</v>
      </c>
      <c r="XFD590" s="40"/>
    </row>
    <row r="591" spans="1:46 16384:16384" ht="33.75" hidden="1" x14ac:dyDescent="0.25">
      <c r="A591" s="40"/>
      <c r="B591" s="42"/>
      <c r="C591" s="40">
        <v>64</v>
      </c>
      <c r="D591" s="41" t="s">
        <v>1555</v>
      </c>
      <c r="E591" s="148">
        <v>45847</v>
      </c>
      <c r="F591" s="69">
        <v>27130</v>
      </c>
      <c r="G591" s="41">
        <v>12300</v>
      </c>
      <c r="H591" s="40">
        <v>14830</v>
      </c>
      <c r="I591" s="40">
        <v>9163.5</v>
      </c>
      <c r="J591" s="40" t="s">
        <v>1167</v>
      </c>
      <c r="K591" s="35" t="s">
        <v>1530</v>
      </c>
      <c r="L591" s="40" t="s">
        <v>1485</v>
      </c>
      <c r="M591" s="40" t="s">
        <v>1367</v>
      </c>
      <c r="N591" s="40"/>
      <c r="O591" s="40"/>
      <c r="P591" s="40"/>
      <c r="Q591" s="40"/>
      <c r="R591" s="40" t="s">
        <v>1368</v>
      </c>
      <c r="S591" s="45"/>
      <c r="T591" s="40" t="s">
        <v>1485</v>
      </c>
      <c r="U591" s="40" t="str">
        <f>Таблица310[[#This Row],[Регистратор.Номенклатура]]</f>
        <v>Бутана</v>
      </c>
      <c r="V591" s="45">
        <f>60.3*Таблица310[[#This Row],[Регистратор.Вес нетто]]/143240</f>
        <v>5.1779530857302429</v>
      </c>
      <c r="W591" s="40" t="s">
        <v>53</v>
      </c>
      <c r="X591" s="40" t="s">
        <v>178</v>
      </c>
      <c r="Y591" s="40">
        <v>16</v>
      </c>
      <c r="Z591" s="103">
        <v>45847</v>
      </c>
      <c r="AA591" s="40"/>
      <c r="AB591" s="40"/>
      <c r="AC591" s="40" t="s">
        <v>725</v>
      </c>
      <c r="AD591" s="40" t="s">
        <v>550</v>
      </c>
      <c r="AE591" s="40" t="s">
        <v>1555</v>
      </c>
      <c r="AF591" s="103">
        <v>45847</v>
      </c>
      <c r="AG591" s="40">
        <v>141</v>
      </c>
      <c r="AH591" s="40">
        <f>VLOOKUP(Таблица310[[#This Row],[№ акта]],'Степень зрелости 2025'!$H$13:$I$583,2,FALSE)</f>
        <v>64</v>
      </c>
      <c r="AI591" s="40" t="str">
        <f>VLOOKUP(Таблица310[[#This Row],[№ акта]],$AQ$1:$AT$594,2,FALSE)</f>
        <v>2.3</v>
      </c>
      <c r="AJ591" s="40" t="str">
        <f>Таблица310[[#This Row],[Регистратор.Номенклатура]]</f>
        <v>Бутана</v>
      </c>
      <c r="AK591" s="40" t="str">
        <f>VLOOKUP(Таблица310[[#This Row],[№ акта]],$AQ$1:$AT$594,4,FALSE)</f>
        <v>Колос (полив)</v>
      </c>
      <c r="AL591" s="45">
        <f>VLOOKUP(Таблица310[[#This Row],[№ акта]],$AQ$1:$AT$594,3,FALSE)</f>
        <v>4.8197492163009406</v>
      </c>
      <c r="AM591" s="40" t="str">
        <f>IF(Таблица310[[#This Row],[Площадь уборки, га]]=Таблица310[[#This Row],[Площадь уборки до корр]],"нет","да")</f>
        <v>да</v>
      </c>
      <c r="AN591" s="45">
        <f>Таблица310[[#This Row],[Площадь уборки до корр]]-Таблица310[[#This Row],[Площадь уборки, га]]</f>
        <v>-0.35820386942930238</v>
      </c>
      <c r="AQ591" t="s">
        <v>1555</v>
      </c>
      <c r="AR591" t="s">
        <v>1485</v>
      </c>
      <c r="AS591">
        <v>4.8197492163009406</v>
      </c>
      <c r="AT591" t="s">
        <v>53</v>
      </c>
      <c r="XFD591" s="40"/>
    </row>
    <row r="592" spans="1:46 16384:16384" ht="22.5" hidden="1" x14ac:dyDescent="0.25">
      <c r="A592" s="40"/>
      <c r="B592" s="42"/>
      <c r="C592" s="40">
        <v>68</v>
      </c>
      <c r="D592" s="41" t="s">
        <v>1556</v>
      </c>
      <c r="E592" s="148">
        <v>45848</v>
      </c>
      <c r="F592" s="69">
        <v>26390</v>
      </c>
      <c r="G592" s="41">
        <v>11890</v>
      </c>
      <c r="H592" s="40">
        <v>14500</v>
      </c>
      <c r="I592" s="40">
        <v>10522.6</v>
      </c>
      <c r="J592" s="40" t="s">
        <v>1167</v>
      </c>
      <c r="K592" s="35" t="s">
        <v>1530</v>
      </c>
      <c r="L592" s="40" t="s">
        <v>1485</v>
      </c>
      <c r="M592" s="40" t="s">
        <v>272</v>
      </c>
      <c r="N592" s="40"/>
      <c r="O592" s="40"/>
      <c r="P592" s="40"/>
      <c r="Q592" s="40"/>
      <c r="R592" s="40" t="s">
        <v>276</v>
      </c>
      <c r="S592" s="45"/>
      <c r="T592" s="40" t="s">
        <v>1485</v>
      </c>
      <c r="U592" s="40" t="str">
        <f>Таблица310[[#This Row],[Регистратор.Номенклатура]]</f>
        <v>Бутана</v>
      </c>
      <c r="V592" s="45">
        <f>25*Таблица310[[#This Row],[Регистратор.Вес нетто]]/63800</f>
        <v>4.6590909090909092</v>
      </c>
      <c r="W592" s="40" t="s">
        <v>53</v>
      </c>
      <c r="X592" s="40" t="s">
        <v>178</v>
      </c>
      <c r="Y592" s="40">
        <v>16</v>
      </c>
      <c r="Z592" s="103">
        <v>45847</v>
      </c>
      <c r="AA592" s="40"/>
      <c r="AB592" s="40"/>
      <c r="AC592" s="40" t="s">
        <v>420</v>
      </c>
      <c r="AD592" s="40" t="s">
        <v>550</v>
      </c>
      <c r="AE592" s="40" t="s">
        <v>1556</v>
      </c>
      <c r="AF592" s="103">
        <v>45848</v>
      </c>
      <c r="AG592" s="40">
        <v>147</v>
      </c>
      <c r="AH592" s="40">
        <f>VLOOKUP(Таблица310[[#This Row],[№ акта]],'Степень зрелости 2025'!$H$13:$I$583,2,FALSE)</f>
        <v>68</v>
      </c>
      <c r="AI592" s="40" t="str">
        <f>VLOOKUP(Таблица310[[#This Row],[№ акта]],$AQ$1:$AT$594,2,FALSE)</f>
        <v>2.3</v>
      </c>
      <c r="AJ592" s="40" t="str">
        <f>Таблица310[[#This Row],[Регистратор.Номенклатура]]</f>
        <v>Бутана</v>
      </c>
      <c r="AK592" s="40" t="str">
        <f>VLOOKUP(Таблица310[[#This Row],[№ акта]],$AQ$1:$AT$594,4,FALSE)</f>
        <v>Колос (полив)</v>
      </c>
      <c r="AL592" s="45">
        <f>VLOOKUP(Таблица310[[#This Row],[№ акта]],$AQ$1:$AT$594,3,FALSE)</f>
        <v>4.6590909090909092</v>
      </c>
      <c r="AM592" s="40" t="str">
        <f>IF(Таблица310[[#This Row],[Площадь уборки, га]]=Таблица310[[#This Row],[Площадь уборки до корр]],"нет","да")</f>
        <v>нет</v>
      </c>
      <c r="AN592" s="45">
        <f>Таблица310[[#This Row],[Площадь уборки до корр]]-Таблица310[[#This Row],[Площадь уборки, га]]</f>
        <v>0</v>
      </c>
      <c r="AQ592" t="s">
        <v>1556</v>
      </c>
      <c r="AR592" t="s">
        <v>1485</v>
      </c>
      <c r="AS592">
        <v>4.6590909090909092</v>
      </c>
      <c r="AT592" t="s">
        <v>53</v>
      </c>
      <c r="XFD592" s="40"/>
    </row>
    <row r="593" spans="1:46 16384:16384" ht="22.5" hidden="1" x14ac:dyDescent="0.25">
      <c r="A593" s="40"/>
      <c r="B593" s="42"/>
      <c r="C593" s="40">
        <v>77</v>
      </c>
      <c r="D593" s="41" t="s">
        <v>1557</v>
      </c>
      <c r="E593" s="148">
        <v>45848</v>
      </c>
      <c r="F593" s="69">
        <v>26950</v>
      </c>
      <c r="G593" s="41">
        <v>12060</v>
      </c>
      <c r="H593" s="40">
        <v>14890</v>
      </c>
      <c r="I593" s="40">
        <v>10070.1</v>
      </c>
      <c r="J593" s="40" t="s">
        <v>1167</v>
      </c>
      <c r="K593" s="35" t="s">
        <v>1530</v>
      </c>
      <c r="L593" s="40" t="s">
        <v>1485</v>
      </c>
      <c r="M593" s="40" t="s">
        <v>1461</v>
      </c>
      <c r="N593" s="40"/>
      <c r="O593" s="40"/>
      <c r="P593" s="40"/>
      <c r="Q593" s="40"/>
      <c r="R593" s="40" t="s">
        <v>149</v>
      </c>
      <c r="S593" s="45"/>
      <c r="T593" s="40" t="s">
        <v>1485</v>
      </c>
      <c r="U593" s="40" t="str">
        <f>Таблица310[[#This Row],[Регистратор.Номенклатура]]</f>
        <v>Бутана</v>
      </c>
      <c r="V593" s="45">
        <f>9.7*Таблица310[[#This Row],[Регистратор.Вес нетто]]/26580</f>
        <v>4.4011286681715571</v>
      </c>
      <c r="W593" s="40" t="s">
        <v>53</v>
      </c>
      <c r="X593" s="40" t="s">
        <v>178</v>
      </c>
      <c r="Y593" s="40">
        <v>17</v>
      </c>
      <c r="Z593" s="103">
        <v>45848</v>
      </c>
      <c r="AA593" s="40"/>
      <c r="AB593" s="40"/>
      <c r="AC593" s="40" t="s">
        <v>420</v>
      </c>
      <c r="AD593" s="40" t="s">
        <v>833</v>
      </c>
      <c r="AE593" s="40" t="s">
        <v>1557</v>
      </c>
      <c r="AF593" s="103">
        <v>45848</v>
      </c>
      <c r="AG593" s="40">
        <v>145</v>
      </c>
      <c r="AH593" s="40">
        <f>VLOOKUP(Таблица310[[#This Row],[№ акта]],'Степень зрелости 2025'!$H$13:$I$583,2,FALSE)</f>
        <v>77</v>
      </c>
      <c r="AI593" s="40" t="str">
        <f>VLOOKUP(Таблица310[[#This Row],[№ акта]],$AQ$1:$AT$594,2,FALSE)</f>
        <v>2.3</v>
      </c>
      <c r="AJ593" s="40" t="str">
        <f>Таблица310[[#This Row],[Регистратор.Номенклатура]]</f>
        <v>Бутана</v>
      </c>
      <c r="AK593" s="40" t="str">
        <f>VLOOKUP(Таблица310[[#This Row],[№ акта]],$AQ$1:$AT$594,4,FALSE)</f>
        <v>Колос (полив)</v>
      </c>
      <c r="AL593" s="45">
        <f>VLOOKUP(Таблица310[[#This Row],[№ акта]],$AQ$1:$AT$594,3,FALSE)</f>
        <v>4.4011286681715571</v>
      </c>
      <c r="AM593" s="40" t="str">
        <f>IF(Таблица310[[#This Row],[Площадь уборки, га]]=Таблица310[[#This Row],[Площадь уборки до корр]],"нет","да")</f>
        <v>нет</v>
      </c>
      <c r="AN593" s="45">
        <f>Таблица310[[#This Row],[Площадь уборки до корр]]-Таблица310[[#This Row],[Площадь уборки, га]]</f>
        <v>0</v>
      </c>
      <c r="AQ593" t="s">
        <v>1557</v>
      </c>
      <c r="AR593" t="s">
        <v>1485</v>
      </c>
      <c r="AS593">
        <v>4.4011286681715571</v>
      </c>
      <c r="AT593" t="s">
        <v>53</v>
      </c>
      <c r="XFD593" s="40"/>
    </row>
    <row r="594" spans="1:46 16384:16384" ht="22.5" hidden="1" x14ac:dyDescent="0.25">
      <c r="A594" s="40"/>
      <c r="B594" s="42"/>
      <c r="C594" s="40">
        <v>64</v>
      </c>
      <c r="D594" s="41" t="s">
        <v>1558</v>
      </c>
      <c r="E594" s="148">
        <v>45848</v>
      </c>
      <c r="F594" s="69">
        <v>38830</v>
      </c>
      <c r="G594" s="41">
        <v>14520</v>
      </c>
      <c r="H594" s="40">
        <v>24310</v>
      </c>
      <c r="I594" s="40">
        <v>10744.8</v>
      </c>
      <c r="J594" s="40" t="s">
        <v>1167</v>
      </c>
      <c r="K594" s="35" t="s">
        <v>1530</v>
      </c>
      <c r="L594" s="40" t="s">
        <v>1485</v>
      </c>
      <c r="M594" s="40" t="s">
        <v>1373</v>
      </c>
      <c r="N594" s="40"/>
      <c r="O594" s="40"/>
      <c r="P594" s="40"/>
      <c r="Q594" s="40"/>
      <c r="R594" s="40" t="s">
        <v>1374</v>
      </c>
      <c r="S594" s="45"/>
      <c r="T594" s="40" t="s">
        <v>1485</v>
      </c>
      <c r="U594" s="40" t="str">
        <f>Таблица310[[#This Row],[Регистратор.Номенклатура]]</f>
        <v>Бутана</v>
      </c>
      <c r="V594" s="45">
        <f>9.7*Таблица310[[#This Row],[Регистратор.Вес нетто]]/26580</f>
        <v>5.2988713318284422</v>
      </c>
      <c r="W594" s="40" t="s">
        <v>53</v>
      </c>
      <c r="X594" s="40" t="s">
        <v>178</v>
      </c>
      <c r="Y594" s="40">
        <v>17</v>
      </c>
      <c r="Z594" s="103">
        <v>45848</v>
      </c>
      <c r="AA594" s="40"/>
      <c r="AB594" s="40"/>
      <c r="AC594" s="40" t="s">
        <v>725</v>
      </c>
      <c r="AD594" s="40" t="s">
        <v>550</v>
      </c>
      <c r="AE594" s="40" t="s">
        <v>1558</v>
      </c>
      <c r="AF594" s="103">
        <v>45848</v>
      </c>
      <c r="AG594" s="40">
        <v>146</v>
      </c>
      <c r="AH594" s="40">
        <f>VLOOKUP(Таблица310[[#This Row],[№ акта]],'Степень зрелости 2025'!$H$13:$I$583,2,FALSE)</f>
        <v>64</v>
      </c>
      <c r="AI594" s="40" t="str">
        <f>VLOOKUP(Таблица310[[#This Row],[№ акта]],$AQ$1:$AT$594,2,FALSE)</f>
        <v>2.3</v>
      </c>
      <c r="AJ594" s="40" t="str">
        <f>Таблица310[[#This Row],[Регистратор.Номенклатура]]</f>
        <v>Бутана</v>
      </c>
      <c r="AK594" s="40" t="str">
        <f>VLOOKUP(Таблица310[[#This Row],[№ акта]],$AQ$1:$AT$594,4,FALSE)</f>
        <v>Колос (полив)</v>
      </c>
      <c r="AL594" s="45">
        <f>VLOOKUP(Таблица310[[#This Row],[№ акта]],$AQ$1:$AT$594,3,FALSE)</f>
        <v>5.2988713318284422</v>
      </c>
      <c r="AM594" s="40" t="str">
        <f>IF(Таблица310[[#This Row],[Площадь уборки, га]]=Таблица310[[#This Row],[Площадь уборки до корр]],"нет","да")</f>
        <v>нет</v>
      </c>
      <c r="AN594" s="45">
        <f>Таблица310[[#This Row],[Площадь уборки до корр]]-Таблица310[[#This Row],[Площадь уборки, га]]</f>
        <v>0</v>
      </c>
      <c r="AQ594" t="s">
        <v>1558</v>
      </c>
      <c r="AR594" t="s">
        <v>1485</v>
      </c>
      <c r="AS594">
        <v>5.2988713318284422</v>
      </c>
      <c r="AT594" t="s">
        <v>53</v>
      </c>
      <c r="XFD594" s="40"/>
    </row>
    <row r="595" spans="1:46 16384:16384" x14ac:dyDescent="0.25">
      <c r="A595" s="40"/>
      <c r="B595" s="41">
        <f>SUBTOTAL(109,Таблица310[Количество])</f>
        <v>92263.039999999994</v>
      </c>
      <c r="C595" s="123">
        <f>SUBTOTAL(101,Таблица310[Значение
финометра])</f>
        <v>56.375</v>
      </c>
      <c r="D595" s="42"/>
      <c r="E595" s="147"/>
      <c r="F595" s="41">
        <f>SUBTOTAL(109,Таблица310[Регистратор.Вес брутто])</f>
        <v>265480</v>
      </c>
      <c r="G595" s="41">
        <f>SUBTOTAL(109,Таблица310[Регистратор.Вес нетто])</f>
        <v>131620</v>
      </c>
      <c r="H595" s="41">
        <f>SUBTOTAL(109,Таблица310[Регистратор.Вес тары])</f>
        <v>133860</v>
      </c>
      <c r="I595" s="41">
        <f>SUBTOTAL(109,Таблица310[Регистратор.Вес чистый])</f>
        <v>113824.19999999998</v>
      </c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5">
        <f>SUBTOTAL(109,Таблица310[Площадь уборки, га])</f>
        <v>19.33662129913969</v>
      </c>
      <c r="W595" s="40"/>
      <c r="Y595" s="40"/>
      <c r="Z595" s="40"/>
      <c r="AA595" s="45">
        <f>SUBTOTAL(109,Таблица310[Продажа])</f>
        <v>131620</v>
      </c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5">
        <f>SUBTOTAL(109,Таблица310[Площадь уборки до корр])</f>
        <v>19.33662129913969</v>
      </c>
      <c r="AM595" s="40"/>
      <c r="AN595" s="45">
        <f>SUBTOTAL(109,Таблица310[Разница по площади])</f>
        <v>0</v>
      </c>
    </row>
  </sheetData>
  <dataConsolidate/>
  <dataValidations count="1">
    <dataValidation showInputMessage="1" showErrorMessage="1" sqref="X1:X594" xr:uid="{0CFE13D5-731F-496F-B1A5-EC309D2DEF9A}"/>
  </dataValidations>
  <pageMargins left="0.70866141732283472" right="0.70866141732283472" top="0.74803149606299213" bottom="0.74803149606299213" header="0.31496062992125984" footer="0.31496062992125984"/>
  <pageSetup paperSize="9" scale="27" fitToHeight="0" orientation="landscape" blackAndWhite="1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2D862E96-51DD-44CC-9A71-A45544ABE001}">
          <x14:formula1>
            <xm:f>'Данные 2025'!$D$4:$D$11</xm:f>
          </x14:formula1>
          <xm:sqref>W1:W594</xm:sqref>
        </x14:dataValidation>
        <x14:dataValidation type="list" allowBlank="1" showInputMessage="1" showErrorMessage="1" xr:uid="{230B99B8-9C1B-4F62-B992-77DFD797AEA2}">
          <x14:formula1>
            <xm:f>'Данные 2025'!$D$27:$D$32</xm:f>
          </x14:formula1>
          <xm:sqref>AC74:AC110 AC112:AC163 AC165:AC167 AC169:AC578 AC582:AC588 AC590:AC594</xm:sqref>
        </x14:dataValidation>
        <x14:dataValidation type="list" allowBlank="1" showInputMessage="1" showErrorMessage="1" xr:uid="{596C69F1-898B-4527-9F84-EDDFFA255FA6}">
          <x14:formula1>
            <xm:f>'Данные 2025'!$D$27:$D$31</xm:f>
          </x14:formula1>
          <xm:sqref>AC2:AC73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270B-726A-44EC-8880-5BDBF58AE493}">
  <sheetPr>
    <tabColor theme="1" tint="0.499984740745262"/>
  </sheetPr>
  <dimension ref="A1:CO20"/>
  <sheetViews>
    <sheetView showGridLines="0" zoomScale="90" zoomScaleNormal="90" workbookViewId="0">
      <selection activeCell="AF43" sqref="AF43"/>
    </sheetView>
  </sheetViews>
  <sheetFormatPr defaultColWidth="8.85546875" defaultRowHeight="12.75" outlineLevelRow="1" outlineLevelCol="3" x14ac:dyDescent="0.2"/>
  <cols>
    <col min="1" max="1" width="18.140625" style="191" customWidth="1"/>
    <col min="2" max="8" width="8.42578125" style="191" hidden="1" customWidth="1" outlineLevel="1"/>
    <col min="9" max="9" width="1.5703125" style="191" customWidth="1" collapsed="1"/>
    <col min="10" max="12" width="8.42578125" style="191" hidden="1" customWidth="1" outlineLevel="1"/>
    <col min="13" max="13" width="8.42578125" style="191" customWidth="1" collapsed="1"/>
    <col min="14" max="16" width="8.42578125" style="191" customWidth="1"/>
    <col min="17" max="17" width="1.7109375" style="191" customWidth="1"/>
    <col min="18" max="20" width="8.42578125" style="191" hidden="1" customWidth="1" outlineLevel="1"/>
    <col min="21" max="21" width="8.42578125" style="191" customWidth="1" collapsed="1"/>
    <col min="22" max="24" width="8.42578125" style="191" customWidth="1"/>
    <col min="25" max="25" width="1.7109375" style="191" customWidth="1"/>
    <col min="26" max="28" width="8.42578125" style="191" hidden="1" customWidth="1" outlineLevel="1"/>
    <col min="29" max="29" width="8.42578125" style="191" customWidth="1" collapsed="1"/>
    <col min="30" max="32" width="8.42578125" style="191" customWidth="1"/>
    <col min="33" max="33" width="2.28515625" style="191" customWidth="1"/>
    <col min="34" max="36" width="8.42578125" style="191" hidden="1" customWidth="1" outlineLevel="1"/>
    <col min="37" max="37" width="8.42578125" style="191" customWidth="1" collapsed="1"/>
    <col min="38" max="40" width="8.42578125" style="191" customWidth="1"/>
    <col min="41" max="41" width="8.42578125" style="191" hidden="1" customWidth="1" outlineLevel="1"/>
    <col min="42" max="42" width="8.42578125" style="191" hidden="1" customWidth="1" outlineLevel="2"/>
    <col min="43" max="49" width="8.42578125" style="191" hidden="1" customWidth="1" outlineLevel="3"/>
    <col min="50" max="50" width="8.85546875" style="191" hidden="1" customWidth="1" outlineLevel="2" collapsed="1"/>
    <col min="51" max="55" width="9" style="191" hidden="1" customWidth="1" outlineLevel="3"/>
    <col min="56" max="56" width="8.85546875" style="191" hidden="1" customWidth="1" outlineLevel="2" collapsed="1"/>
    <col min="57" max="63" width="9" style="191" hidden="1" customWidth="1" outlineLevel="3"/>
    <col min="64" max="64" width="5.85546875" style="191" hidden="1" customWidth="1" outlineLevel="2" collapsed="1"/>
    <col min="65" max="69" width="9" style="191" hidden="1" customWidth="1" outlineLevel="3"/>
    <col min="70" max="70" width="1.7109375" style="191" hidden="1" customWidth="1" outlineLevel="2" collapsed="1"/>
    <col min="71" max="75" width="9" style="191" hidden="1" customWidth="1" outlineLevel="3"/>
    <col min="76" max="76" width="9.28515625" style="191" hidden="1" customWidth="1" outlineLevel="3"/>
    <col min="77" max="77" width="9" style="191" hidden="1" customWidth="1" outlineLevel="3"/>
    <col min="78" max="78" width="8.85546875" style="191" hidden="1" customWidth="1" outlineLevel="2" collapsed="1"/>
    <col min="79" max="79" width="0" style="295" hidden="1" customWidth="1" outlineLevel="2" collapsed="1"/>
    <col min="80" max="81" width="0" style="295" hidden="1" customWidth="1" outlineLevel="2"/>
    <col min="82" max="82" width="0" style="295" hidden="1" customWidth="1" outlineLevel="1" collapsed="1"/>
    <col min="83" max="83" width="14.42578125" style="295" hidden="1" customWidth="1" outlineLevel="1"/>
    <col min="84" max="84" width="13.42578125" style="295" hidden="1" customWidth="1" outlineLevel="1"/>
    <col min="85" max="85" width="0" style="295" hidden="1" customWidth="1" outlineLevel="1"/>
    <col min="86" max="88" width="0" style="295" hidden="1" customWidth="1" outlineLevel="2"/>
    <col min="89" max="89" width="0" style="295" hidden="1" customWidth="1" outlineLevel="1" collapsed="1"/>
    <col min="90" max="90" width="11.42578125" style="295" hidden="1" customWidth="1" outlineLevel="1"/>
    <col min="91" max="91" width="12.85546875" style="295" hidden="1" customWidth="1" outlineLevel="1"/>
    <col min="92" max="92" width="0" style="191" hidden="1" customWidth="1" outlineLevel="1"/>
    <col min="93" max="93" width="8.85546875" style="191" collapsed="1"/>
    <col min="94" max="16384" width="8.85546875" style="191"/>
  </cols>
  <sheetData>
    <row r="1" spans="1:91" ht="13.5" thickBot="1" x14ac:dyDescent="0.25">
      <c r="A1" s="182" t="s">
        <v>1729</v>
      </c>
      <c r="B1" s="183"/>
      <c r="C1" s="183"/>
      <c r="D1" s="183"/>
      <c r="E1" s="183"/>
      <c r="F1" s="183"/>
      <c r="G1" s="184"/>
      <c r="H1" s="184"/>
      <c r="I1" s="184"/>
      <c r="J1" s="183"/>
      <c r="K1" s="183"/>
      <c r="L1" s="183"/>
      <c r="M1" s="183"/>
      <c r="N1" s="183"/>
      <c r="O1" s="184"/>
      <c r="P1" s="185"/>
      <c r="Q1" s="184"/>
      <c r="R1" s="183"/>
      <c r="S1" s="183"/>
      <c r="T1" s="183"/>
      <c r="U1" s="183"/>
      <c r="V1" s="185"/>
      <c r="W1" s="184"/>
      <c r="X1" s="185"/>
      <c r="Y1" s="184"/>
      <c r="Z1" s="183"/>
      <c r="AA1" s="183"/>
      <c r="AB1" s="183"/>
      <c r="AC1" s="183"/>
      <c r="AD1" s="185"/>
      <c r="AE1" s="184"/>
      <c r="AF1" s="185"/>
      <c r="AG1" s="184"/>
      <c r="AH1" s="183"/>
      <c r="AI1" s="183"/>
      <c r="AJ1" s="183"/>
      <c r="AK1" s="183"/>
      <c r="AL1" s="183"/>
      <c r="AM1" s="183"/>
      <c r="AN1" s="309"/>
      <c r="AO1" s="309"/>
      <c r="AP1" s="184"/>
      <c r="AQ1" s="183"/>
      <c r="AR1" s="183"/>
      <c r="AS1" s="183"/>
      <c r="AT1" s="183"/>
      <c r="AU1" s="183"/>
      <c r="AV1" s="183"/>
      <c r="AW1" s="309"/>
      <c r="AX1" s="184"/>
      <c r="AY1" s="186"/>
      <c r="AZ1" s="187"/>
      <c r="BA1" s="188"/>
      <c r="BB1" s="188"/>
      <c r="BC1" s="184"/>
      <c r="BD1" s="184"/>
      <c r="BE1" s="183"/>
      <c r="BF1" s="183"/>
      <c r="BG1" s="183"/>
      <c r="BH1" s="183"/>
      <c r="BI1" s="183"/>
      <c r="BJ1" s="183"/>
      <c r="BK1" s="309"/>
      <c r="BL1" s="184"/>
      <c r="BM1" s="189"/>
      <c r="BN1" s="190"/>
      <c r="BO1" s="183"/>
      <c r="BP1" s="183"/>
      <c r="BQ1" s="184"/>
      <c r="BR1" s="184"/>
      <c r="BS1" s="183"/>
      <c r="BT1" s="183"/>
      <c r="BU1" s="183"/>
      <c r="BV1" s="183"/>
      <c r="BW1" s="183"/>
      <c r="BX1" s="183"/>
      <c r="BY1" s="309"/>
      <c r="BZ1" s="184"/>
      <c r="CA1" s="288"/>
      <c r="CB1" s="288"/>
      <c r="CC1" s="288"/>
      <c r="CD1" s="288"/>
      <c r="CE1" s="288"/>
      <c r="CF1" s="289">
        <v>45694</v>
      </c>
      <c r="CG1" s="290"/>
      <c r="CH1" s="288"/>
      <c r="CI1" s="288"/>
      <c r="CJ1" s="288"/>
      <c r="CK1" s="288"/>
      <c r="CL1" s="288"/>
      <c r="CM1" s="289">
        <v>45694</v>
      </c>
    </row>
    <row r="2" spans="1:91" ht="13.5" thickTop="1" x14ac:dyDescent="0.2">
      <c r="A2" s="563"/>
      <c r="B2" s="192" t="s">
        <v>1639</v>
      </c>
      <c r="C2" s="193"/>
      <c r="D2" s="193"/>
      <c r="E2" s="193"/>
      <c r="F2" s="193"/>
      <c r="G2" s="193"/>
      <c r="H2" s="193"/>
      <c r="I2" s="184"/>
      <c r="J2" s="194" t="s">
        <v>84</v>
      </c>
      <c r="K2" s="193"/>
      <c r="L2" s="193"/>
      <c r="M2" s="193" t="str">
        <f>J2</f>
        <v>Площадь уборки, га</v>
      </c>
      <c r="N2" s="193"/>
      <c r="O2" s="193"/>
      <c r="P2" s="195"/>
      <c r="Q2" s="184"/>
      <c r="R2" s="194" t="s">
        <v>1640</v>
      </c>
      <c r="S2" s="193"/>
      <c r="T2" s="193"/>
      <c r="U2" s="193" t="str">
        <f>R2</f>
        <v>Вал сбор, тонн</v>
      </c>
      <c r="V2" s="195"/>
      <c r="W2" s="193"/>
      <c r="X2" s="195"/>
      <c r="Y2" s="184"/>
      <c r="Z2" s="194" t="s">
        <v>1641</v>
      </c>
      <c r="AA2" s="193"/>
      <c r="AB2" s="193"/>
      <c r="AC2" s="193" t="str">
        <f>Z2</f>
        <v>Зач.вес</v>
      </c>
      <c r="AD2" s="195"/>
      <c r="AE2" s="193"/>
      <c r="AF2" s="195"/>
      <c r="AG2" s="184"/>
      <c r="AH2" s="194" t="s">
        <v>1734</v>
      </c>
      <c r="AI2" s="193"/>
      <c r="AJ2" s="193"/>
      <c r="AK2" s="193" t="str">
        <f>AH2</f>
        <v>урожайность физ.вес., т/га</v>
      </c>
      <c r="AL2" s="193"/>
      <c r="AM2" s="193"/>
      <c r="AN2" s="195"/>
      <c r="AO2" s="310"/>
      <c r="AP2" s="184"/>
      <c r="AQ2" s="194" t="s">
        <v>1642</v>
      </c>
      <c r="AR2" s="193"/>
      <c r="AS2" s="193"/>
      <c r="AT2" s="193"/>
      <c r="AU2" s="193"/>
      <c r="AV2" s="193"/>
      <c r="AW2" s="195"/>
      <c r="AX2" s="184"/>
      <c r="AY2" s="193" t="s">
        <v>1643</v>
      </c>
      <c r="AZ2" s="196"/>
      <c r="BA2" s="196"/>
      <c r="BB2" s="196"/>
      <c r="BC2" s="196" t="s">
        <v>1643</v>
      </c>
      <c r="BD2" s="184"/>
      <c r="BE2" s="194" t="s">
        <v>1644</v>
      </c>
      <c r="BF2" s="193"/>
      <c r="BG2" s="193"/>
      <c r="BH2" s="193"/>
      <c r="BI2" s="193"/>
      <c r="BJ2" s="193"/>
      <c r="BK2" s="195"/>
      <c r="BL2" s="184"/>
      <c r="BM2" s="193" t="s">
        <v>1643</v>
      </c>
      <c r="BN2" s="193"/>
      <c r="BO2" s="193"/>
      <c r="BP2" s="193"/>
      <c r="BQ2" s="193" t="s">
        <v>1643</v>
      </c>
      <c r="BR2" s="184"/>
      <c r="BS2" s="194" t="s">
        <v>1645</v>
      </c>
      <c r="BT2" s="193"/>
      <c r="BU2" s="193"/>
      <c r="BV2" s="193"/>
      <c r="BW2" s="193"/>
      <c r="BX2" s="193"/>
      <c r="BY2" s="195"/>
      <c r="BZ2" s="197"/>
      <c r="CA2" s="291" t="s">
        <v>1646</v>
      </c>
      <c r="CB2" s="292"/>
      <c r="CC2" s="292"/>
      <c r="CD2" s="292" t="str">
        <f>CA2</f>
        <v>Сроки сева</v>
      </c>
      <c r="CE2" s="292"/>
      <c r="CF2" s="292"/>
      <c r="CG2" s="293"/>
      <c r="CH2" s="291" t="s">
        <v>1647</v>
      </c>
      <c r="CI2" s="292"/>
      <c r="CJ2" s="292"/>
      <c r="CK2" s="292" t="str">
        <f>CH2</f>
        <v>Сроки уборки</v>
      </c>
      <c r="CL2" s="292"/>
      <c r="CM2" s="292"/>
    </row>
    <row r="3" spans="1:91" s="308" customFormat="1" ht="18.75" thickBot="1" x14ac:dyDescent="0.2">
      <c r="A3" s="564"/>
      <c r="B3" s="302" t="s">
        <v>1648</v>
      </c>
      <c r="C3" s="302" t="s">
        <v>1649</v>
      </c>
      <c r="D3" s="302" t="s">
        <v>1650</v>
      </c>
      <c r="E3" s="302" t="s">
        <v>1651</v>
      </c>
      <c r="F3" s="302" t="s">
        <v>1652</v>
      </c>
      <c r="G3" s="305" t="s">
        <v>1653</v>
      </c>
      <c r="H3" s="302" t="s">
        <v>1735</v>
      </c>
      <c r="I3" s="303"/>
      <c r="J3" s="302" t="s">
        <v>1648</v>
      </c>
      <c r="K3" s="302" t="s">
        <v>1649</v>
      </c>
      <c r="L3" s="302" t="s">
        <v>1650</v>
      </c>
      <c r="M3" s="302" t="s">
        <v>1651</v>
      </c>
      <c r="N3" s="302" t="s">
        <v>1652</v>
      </c>
      <c r="O3" s="305" t="s">
        <v>1653</v>
      </c>
      <c r="P3" s="304" t="s">
        <v>1733</v>
      </c>
      <c r="Q3" s="303"/>
      <c r="R3" s="302" t="s">
        <v>1648</v>
      </c>
      <c r="S3" s="302" t="s">
        <v>1649</v>
      </c>
      <c r="T3" s="302" t="s">
        <v>1650</v>
      </c>
      <c r="U3" s="302" t="s">
        <v>1651</v>
      </c>
      <c r="V3" s="302" t="s">
        <v>1652</v>
      </c>
      <c r="W3" s="305" t="s">
        <v>1653</v>
      </c>
      <c r="X3" s="304" t="s">
        <v>1733</v>
      </c>
      <c r="Y3" s="303"/>
      <c r="Z3" s="302" t="s">
        <v>1648</v>
      </c>
      <c r="AA3" s="302" t="s">
        <v>1649</v>
      </c>
      <c r="AB3" s="302" t="s">
        <v>1650</v>
      </c>
      <c r="AC3" s="302" t="s">
        <v>1651</v>
      </c>
      <c r="AD3" s="302" t="s">
        <v>1652</v>
      </c>
      <c r="AE3" s="305" t="s">
        <v>1653</v>
      </c>
      <c r="AF3" s="304" t="s">
        <v>1733</v>
      </c>
      <c r="AG3" s="303"/>
      <c r="AH3" s="302" t="s">
        <v>1648</v>
      </c>
      <c r="AI3" s="302" t="s">
        <v>1649</v>
      </c>
      <c r="AJ3" s="302" t="s">
        <v>1650</v>
      </c>
      <c r="AK3" s="302" t="s">
        <v>1651</v>
      </c>
      <c r="AL3" s="302" t="s">
        <v>1652</v>
      </c>
      <c r="AM3" s="305" t="s">
        <v>1653</v>
      </c>
      <c r="AN3" s="304" t="s">
        <v>1733</v>
      </c>
      <c r="AO3" s="311"/>
      <c r="AP3" s="303"/>
      <c r="AQ3" s="302" t="s">
        <v>1648</v>
      </c>
      <c r="AR3" s="302" t="s">
        <v>1649</v>
      </c>
      <c r="AS3" s="302" t="s">
        <v>1650</v>
      </c>
      <c r="AT3" s="302" t="s">
        <v>1651</v>
      </c>
      <c r="AU3" s="302" t="s">
        <v>1652</v>
      </c>
      <c r="AV3" s="305" t="s">
        <v>1653</v>
      </c>
      <c r="AW3" s="304" t="s">
        <v>1733</v>
      </c>
      <c r="AX3" s="303"/>
      <c r="AY3" s="306" t="s">
        <v>1654</v>
      </c>
      <c r="AZ3" s="306" t="s">
        <v>1655</v>
      </c>
      <c r="BA3" s="306" t="s">
        <v>1656</v>
      </c>
      <c r="BB3" s="306" t="s">
        <v>1657</v>
      </c>
      <c r="BC3" s="306" t="s">
        <v>1658</v>
      </c>
      <c r="BD3" s="303"/>
      <c r="BE3" s="302" t="s">
        <v>1648</v>
      </c>
      <c r="BF3" s="302" t="s">
        <v>1649</v>
      </c>
      <c r="BG3" s="302" t="s">
        <v>1650</v>
      </c>
      <c r="BH3" s="302" t="s">
        <v>1651</v>
      </c>
      <c r="BI3" s="302" t="s">
        <v>1652</v>
      </c>
      <c r="BJ3" s="305" t="s">
        <v>1653</v>
      </c>
      <c r="BK3" s="304" t="s">
        <v>1733</v>
      </c>
      <c r="BL3" s="303"/>
      <c r="BM3" s="306" t="s">
        <v>1654</v>
      </c>
      <c r="BN3" s="306" t="s">
        <v>1655</v>
      </c>
      <c r="BO3" s="306" t="s">
        <v>1656</v>
      </c>
      <c r="BP3" s="306" t="s">
        <v>1657</v>
      </c>
      <c r="BQ3" s="306" t="s">
        <v>1658</v>
      </c>
      <c r="BR3" s="303"/>
      <c r="BS3" s="302" t="s">
        <v>1648</v>
      </c>
      <c r="BT3" s="302" t="s">
        <v>1649</v>
      </c>
      <c r="BU3" s="302" t="s">
        <v>1650</v>
      </c>
      <c r="BV3" s="302" t="s">
        <v>1651</v>
      </c>
      <c r="BW3" s="302" t="s">
        <v>1652</v>
      </c>
      <c r="BX3" s="305" t="s">
        <v>1653</v>
      </c>
      <c r="BY3" s="304" t="s">
        <v>1733</v>
      </c>
      <c r="BZ3" s="307"/>
      <c r="CA3" s="302" t="s">
        <v>1648</v>
      </c>
      <c r="CB3" s="302" t="s">
        <v>1649</v>
      </c>
      <c r="CC3" s="302" t="s">
        <v>1650</v>
      </c>
      <c r="CD3" s="302" t="s">
        <v>1651</v>
      </c>
      <c r="CE3" s="302" t="s">
        <v>1652</v>
      </c>
      <c r="CF3" s="302" t="s">
        <v>1653</v>
      </c>
      <c r="CG3" s="307"/>
      <c r="CH3" s="302" t="s">
        <v>1648</v>
      </c>
      <c r="CI3" s="302" t="s">
        <v>1649</v>
      </c>
      <c r="CJ3" s="302" t="s">
        <v>1650</v>
      </c>
      <c r="CK3" s="302" t="s">
        <v>1651</v>
      </c>
      <c r="CL3" s="302" t="s">
        <v>1652</v>
      </c>
      <c r="CM3" s="302" t="s">
        <v>1653</v>
      </c>
    </row>
    <row r="4" spans="1:91" ht="13.15" customHeight="1" thickTop="1" x14ac:dyDescent="0.2">
      <c r="A4" s="198" t="s">
        <v>1659</v>
      </c>
      <c r="B4" s="199">
        <v>170897.36932</v>
      </c>
      <c r="C4" s="199">
        <v>147072.60285999998</v>
      </c>
      <c r="D4" s="199">
        <v>156692.28609903529</v>
      </c>
      <c r="E4" s="199">
        <v>81263.407732232168</v>
      </c>
      <c r="F4" s="199">
        <v>104147.69853999998</v>
      </c>
      <c r="G4" s="281">
        <v>74879.139017269888</v>
      </c>
      <c r="H4" s="199">
        <v>0</v>
      </c>
      <c r="J4" s="226">
        <v>1942</v>
      </c>
      <c r="K4" s="226">
        <v>1075</v>
      </c>
      <c r="L4" s="226">
        <v>1463</v>
      </c>
      <c r="M4" s="226">
        <v>501</v>
      </c>
      <c r="N4" s="226">
        <v>613</v>
      </c>
      <c r="O4" s="202">
        <v>589</v>
      </c>
      <c r="P4" s="217">
        <f>P5+P6+P7</f>
        <v>461</v>
      </c>
      <c r="R4" s="199">
        <v>8872.59</v>
      </c>
      <c r="S4" s="199">
        <v>5554.8</v>
      </c>
      <c r="T4" s="199">
        <v>4171.84</v>
      </c>
      <c r="U4" s="199">
        <v>2629.21</v>
      </c>
      <c r="V4" s="226">
        <v>1640.7699999999998</v>
      </c>
      <c r="W4" s="202">
        <v>1945.5</v>
      </c>
      <c r="X4" s="217">
        <f>X5+X6+X7</f>
        <v>1364.7</v>
      </c>
      <c r="Z4" s="199">
        <v>8034</v>
      </c>
      <c r="AA4" s="199">
        <v>4839.1230000000005</v>
      </c>
      <c r="AB4" s="199">
        <v>3763.3159999999998</v>
      </c>
      <c r="AC4" s="199">
        <v>2294.7581</v>
      </c>
      <c r="AD4" s="226">
        <v>1295.1645000000001</v>
      </c>
      <c r="AE4" s="202">
        <v>1789.8600000000001</v>
      </c>
      <c r="AF4" s="217">
        <f>AF5+AF6+AF7</f>
        <v>1141.5115000000001</v>
      </c>
      <c r="AH4" s="204">
        <f t="shared" ref="AH4:AN4" si="0">IFERROR(R4/J4,)</f>
        <v>4.5687899073120493</v>
      </c>
      <c r="AI4" s="204">
        <f t="shared" si="0"/>
        <v>5.1672558139534885</v>
      </c>
      <c r="AJ4" s="204">
        <f t="shared" si="0"/>
        <v>2.8515652768284347</v>
      </c>
      <c r="AK4" s="204">
        <f t="shared" si="0"/>
        <v>5.2479241516966066</v>
      </c>
      <c r="AL4" s="204">
        <f t="shared" si="0"/>
        <v>2.6766231647634582</v>
      </c>
      <c r="AM4" s="205">
        <f t="shared" si="0"/>
        <v>3.3030560271646858</v>
      </c>
      <c r="AN4" s="206">
        <f t="shared" si="0"/>
        <v>2.9603036876355748</v>
      </c>
      <c r="AO4" s="312"/>
      <c r="AQ4" s="199">
        <f t="shared" ref="AQ4:AV4" si="1">IFERROR(B4/J4,)</f>
        <v>88.000705108135946</v>
      </c>
      <c r="AR4" s="199">
        <f t="shared" si="1"/>
        <v>136.81172359069765</v>
      </c>
      <c r="AS4" s="199">
        <f t="shared" si="1"/>
        <v>107.10340813331189</v>
      </c>
      <c r="AT4" s="199">
        <f t="shared" si="1"/>
        <v>162.20241064317798</v>
      </c>
      <c r="AU4" s="199">
        <f t="shared" si="1"/>
        <v>169.89836629690046</v>
      </c>
      <c r="AV4" s="200">
        <f t="shared" si="1"/>
        <v>127.12926828059403</v>
      </c>
      <c r="AW4" s="201">
        <f>IFERROR(I4/P4,)</f>
        <v>0</v>
      </c>
      <c r="AY4" s="207">
        <f>IFERROR(#REF!/AT4-1,)</f>
        <v>0</v>
      </c>
      <c r="AZ4" s="207">
        <f>IFERROR(#REF!/AS4-1,)</f>
        <v>0</v>
      </c>
      <c r="BA4" s="207">
        <f>IFERROR(#REF!/AR4-1,)</f>
        <v>0</v>
      </c>
      <c r="BB4" s="207">
        <f>IFERROR(AV4/AU4-1,)</f>
        <v>-0.25173342715707259</v>
      </c>
      <c r="BC4" s="207">
        <f>IFERROR(AU4/#REF!-1,)</f>
        <v>0</v>
      </c>
      <c r="BE4" s="204">
        <f t="shared" ref="BE4:BJ4" si="2">IFERROR(B4/R4,)</f>
        <v>19.261271998368006</v>
      </c>
      <c r="BF4" s="204">
        <f t="shared" si="2"/>
        <v>26.476669341830487</v>
      </c>
      <c r="BG4" s="204">
        <f t="shared" si="2"/>
        <v>37.559514770229754</v>
      </c>
      <c r="BH4" s="204">
        <f t="shared" si="2"/>
        <v>30.907918246253502</v>
      </c>
      <c r="BI4" s="204">
        <f t="shared" si="2"/>
        <v>63.474891995831221</v>
      </c>
      <c r="BJ4" s="208">
        <f t="shared" si="2"/>
        <v>38.488377803788175</v>
      </c>
      <c r="BK4" s="209">
        <f>IFERROR(I4/X4,)</f>
        <v>0</v>
      </c>
      <c r="BM4" s="207">
        <f>IFERROR(#REF!/BH4-1,)</f>
        <v>0</v>
      </c>
      <c r="BN4" s="207">
        <f>IFERROR(#REF!/BG4-1,)</f>
        <v>0</v>
      </c>
      <c r="BO4" s="207">
        <f>IFERROR(#REF!/BF4-1,)</f>
        <v>0</v>
      </c>
      <c r="BP4" s="207">
        <f>IFERROR(BJ4/BI4-1,)</f>
        <v>-0.3936440599801897</v>
      </c>
      <c r="BQ4" s="207">
        <f>IFERROR(BI4/#REF!-1,)</f>
        <v>0</v>
      </c>
      <c r="BS4" s="204">
        <f t="shared" ref="BS4:BY4" si="3">IFERROR(B4/Z4,)</f>
        <v>21.271766158824992</v>
      </c>
      <c r="BT4" s="204">
        <f t="shared" si="3"/>
        <v>30.39240847153502</v>
      </c>
      <c r="BU4" s="204">
        <f t="shared" si="3"/>
        <v>41.636760266487137</v>
      </c>
      <c r="BV4" s="204">
        <f t="shared" si="3"/>
        <v>35.412624856725493</v>
      </c>
      <c r="BW4" s="204">
        <f t="shared" si="3"/>
        <v>80.412718646936341</v>
      </c>
      <c r="BX4" s="210">
        <f t="shared" si="3"/>
        <v>41.83519326498714</v>
      </c>
      <c r="BY4" s="211">
        <f t="shared" si="3"/>
        <v>0</v>
      </c>
      <c r="CA4" s="294" t="s">
        <v>1660</v>
      </c>
      <c r="CB4" s="294" t="s">
        <v>1661</v>
      </c>
      <c r="CC4" s="294" t="s">
        <v>1662</v>
      </c>
      <c r="CD4" s="294" t="s">
        <v>1663</v>
      </c>
      <c r="CE4" s="297" t="s">
        <v>1664</v>
      </c>
      <c r="CF4" s="294" t="s">
        <v>1665</v>
      </c>
      <c r="CH4" s="294" t="s">
        <v>1666</v>
      </c>
      <c r="CI4" s="294" t="s">
        <v>1667</v>
      </c>
      <c r="CJ4" s="294" t="s">
        <v>1668</v>
      </c>
      <c r="CK4" s="294" t="s">
        <v>1669</v>
      </c>
      <c r="CL4" s="297" t="s">
        <v>1670</v>
      </c>
      <c r="CM4" s="294" t="s">
        <v>1671</v>
      </c>
    </row>
    <row r="5" spans="1:91" s="224" customFormat="1" ht="13.15" hidden="1" customHeight="1" outlineLevel="1" x14ac:dyDescent="0.2">
      <c r="A5" s="214" t="s">
        <v>1672</v>
      </c>
      <c r="B5" s="215"/>
      <c r="C5" s="215"/>
      <c r="D5" s="215"/>
      <c r="E5" s="215"/>
      <c r="F5" s="215"/>
      <c r="G5" s="282"/>
      <c r="H5" s="215"/>
      <c r="I5" s="191"/>
      <c r="J5" s="215">
        <v>467</v>
      </c>
      <c r="K5" s="215">
        <v>595</v>
      </c>
      <c r="L5" s="215">
        <v>455</v>
      </c>
      <c r="M5" s="215">
        <v>344</v>
      </c>
      <c r="N5" s="215"/>
      <c r="O5" s="202"/>
      <c r="P5" s="217"/>
      <c r="Q5" s="191"/>
      <c r="R5" s="215">
        <v>2250</v>
      </c>
      <c r="S5" s="215">
        <v>1891.31</v>
      </c>
      <c r="T5" s="215">
        <v>1413.86</v>
      </c>
      <c r="U5" s="215">
        <v>895.55</v>
      </c>
      <c r="V5" s="215"/>
      <c r="W5" s="202"/>
      <c r="X5" s="217"/>
      <c r="Y5" s="191"/>
      <c r="Z5" s="216">
        <v>1713.73</v>
      </c>
      <c r="AA5" s="216">
        <v>1639.731</v>
      </c>
      <c r="AB5" s="216">
        <v>1239.3860999999999</v>
      </c>
      <c r="AC5" s="216">
        <v>779.12850000000003</v>
      </c>
      <c r="AD5" s="215"/>
      <c r="AE5" s="202"/>
      <c r="AF5" s="217"/>
      <c r="AG5" s="191"/>
      <c r="AH5" s="218">
        <f t="shared" ref="AH5:AK6" si="4">+R5/J5</f>
        <v>4.8179871520342612</v>
      </c>
      <c r="AI5" s="218">
        <f t="shared" si="4"/>
        <v>3.178672268907563</v>
      </c>
      <c r="AJ5" s="218">
        <f t="shared" si="4"/>
        <v>3.107384615384615</v>
      </c>
      <c r="AK5" s="218">
        <f t="shared" si="4"/>
        <v>2.6033430232558139</v>
      </c>
      <c r="AL5" s="218">
        <f>IFERROR(V5/N5,)</f>
        <v>0</v>
      </c>
      <c r="AM5" s="219">
        <f>IFERROR(W5/O5,)</f>
        <v>0</v>
      </c>
      <c r="AN5" s="220">
        <f>IFERROR(X5/P5,)</f>
        <v>0</v>
      </c>
      <c r="AO5" s="312"/>
      <c r="AP5" s="191"/>
      <c r="AQ5" s="218"/>
      <c r="AR5" s="215"/>
      <c r="AS5" s="215"/>
      <c r="AT5" s="215"/>
      <c r="AU5" s="215">
        <f>IFERROR(F5/N5,)</f>
        <v>0</v>
      </c>
      <c r="AV5" s="202">
        <f>IFERROR(G5/O5,)</f>
        <v>0</v>
      </c>
      <c r="AW5" s="203">
        <f>IFERROR(I5/P5,)</f>
        <v>0</v>
      </c>
      <c r="AX5" s="191"/>
      <c r="AY5" s="221">
        <f>IFERROR(#REF!/AT5-1,)</f>
        <v>0</v>
      </c>
      <c r="AZ5" s="221">
        <f>IFERROR(#REF!/AS5-1,)</f>
        <v>0</v>
      </c>
      <c r="BA5" s="221">
        <f>IFERROR(#REF!/AR5-1,)</f>
        <v>0</v>
      </c>
      <c r="BB5" s="221">
        <f>IFERROR(AU5/#REF!-1,)</f>
        <v>0</v>
      </c>
      <c r="BC5" s="221">
        <f>IFERROR(AV5/AU5-1,)</f>
        <v>0</v>
      </c>
      <c r="BD5" s="191"/>
      <c r="BE5" s="218"/>
      <c r="BF5" s="218"/>
      <c r="BG5" s="218"/>
      <c r="BH5" s="218"/>
      <c r="BI5" s="218">
        <f>IFERROR(F5/V5,)</f>
        <v>0</v>
      </c>
      <c r="BJ5" s="222">
        <f>IFERROR(G5/W5,)</f>
        <v>0</v>
      </c>
      <c r="BK5" s="223">
        <f>IFERROR(I5/X5,)</f>
        <v>0</v>
      </c>
      <c r="BL5" s="191"/>
      <c r="BM5" s="221">
        <f>IFERROR(#REF!/BH5-1,)</f>
        <v>0</v>
      </c>
      <c r="BN5" s="221">
        <f>IFERROR(#REF!/BG5-1,)</f>
        <v>0</v>
      </c>
      <c r="BO5" s="221">
        <f>IFERROR(#REF!/BF5-1,)</f>
        <v>0</v>
      </c>
      <c r="BP5" s="221">
        <f>IFERROR(BI5/#REF!-1,)</f>
        <v>0</v>
      </c>
      <c r="BQ5" s="221">
        <f>IFERROR(BH5/#REF!-1,)</f>
        <v>0</v>
      </c>
      <c r="BR5" s="191"/>
      <c r="BS5" s="218"/>
      <c r="BT5" s="218"/>
      <c r="BU5" s="218"/>
      <c r="BV5" s="218"/>
      <c r="BW5" s="218">
        <f t="shared" ref="BW5:BY6" si="5">IFERROR(F5/AD5,)</f>
        <v>0</v>
      </c>
      <c r="BX5" s="213">
        <f t="shared" si="5"/>
        <v>0</v>
      </c>
      <c r="BY5" s="211">
        <f t="shared" si="5"/>
        <v>0</v>
      </c>
      <c r="CA5" s="294"/>
      <c r="CB5" s="294"/>
      <c r="CC5" s="294"/>
      <c r="CD5" s="294"/>
      <c r="CE5" s="297"/>
      <c r="CF5" s="294"/>
      <c r="CG5" s="296"/>
      <c r="CH5" s="294"/>
      <c r="CI5" s="294"/>
      <c r="CJ5" s="294"/>
      <c r="CK5" s="294" t="s">
        <v>1673</v>
      </c>
      <c r="CL5" s="297"/>
      <c r="CM5" s="294" t="s">
        <v>1674</v>
      </c>
    </row>
    <row r="6" spans="1:91" s="224" customFormat="1" ht="13.15" hidden="1" customHeight="1" outlineLevel="1" x14ac:dyDescent="0.2">
      <c r="A6" s="214" t="s">
        <v>1675</v>
      </c>
      <c r="B6" s="215"/>
      <c r="C6" s="215"/>
      <c r="D6" s="215"/>
      <c r="E6" s="215"/>
      <c r="F6" s="215"/>
      <c r="G6" s="282"/>
      <c r="H6" s="215"/>
      <c r="I6" s="191"/>
      <c r="J6" s="215">
        <v>1475</v>
      </c>
      <c r="K6" s="215">
        <v>866</v>
      </c>
      <c r="L6" s="215">
        <v>1199</v>
      </c>
      <c r="M6" s="215">
        <v>364</v>
      </c>
      <c r="N6" s="215">
        <v>613</v>
      </c>
      <c r="O6" s="202">
        <f>O4-O7</f>
        <v>549</v>
      </c>
      <c r="P6" s="217">
        <v>183.4</v>
      </c>
      <c r="Q6" s="191"/>
      <c r="R6" s="215">
        <v>6622.59</v>
      </c>
      <c r="S6" s="215">
        <v>3663.4899999999993</v>
      </c>
      <c r="T6" s="215">
        <v>2757.9800000000005</v>
      </c>
      <c r="U6" s="215">
        <v>1733.66</v>
      </c>
      <c r="V6" s="215">
        <v>1640.7699999999998</v>
      </c>
      <c r="W6" s="202">
        <v>899</v>
      </c>
      <c r="X6" s="217">
        <v>769.25</v>
      </c>
      <c r="Y6" s="191"/>
      <c r="Z6" s="216">
        <v>6320.268</v>
      </c>
      <c r="AA6" s="216">
        <v>3199.2910000000002</v>
      </c>
      <c r="AB6" s="216">
        <v>2523.9299000000001</v>
      </c>
      <c r="AC6" s="216">
        <v>1515.6296</v>
      </c>
      <c r="AD6" s="215">
        <v>1295.1645000000001</v>
      </c>
      <c r="AE6" s="202">
        <v>827.08</v>
      </c>
      <c r="AF6" s="217">
        <v>660.08789999999999</v>
      </c>
      <c r="AG6" s="191"/>
      <c r="AH6" s="218">
        <f t="shared" si="4"/>
        <v>4.4898915254237286</v>
      </c>
      <c r="AI6" s="218">
        <f t="shared" si="4"/>
        <v>4.2303579676674357</v>
      </c>
      <c r="AJ6" s="218">
        <f t="shared" si="4"/>
        <v>2.3002335279399504</v>
      </c>
      <c r="AK6" s="218">
        <f t="shared" si="4"/>
        <v>4.7628021978021984</v>
      </c>
      <c r="AL6" s="218">
        <f>IFERROR(V6/N6,)</f>
        <v>2.6766231647634582</v>
      </c>
      <c r="AM6" s="219">
        <f>IFERROR(W6/#REF!,)</f>
        <v>0</v>
      </c>
      <c r="AN6" s="220">
        <f>IFERROR(X6/#REF!,)</f>
        <v>0</v>
      </c>
      <c r="AO6" s="312"/>
      <c r="AP6" s="191"/>
      <c r="AQ6" s="218"/>
      <c r="AR6" s="215"/>
      <c r="AS6" s="215"/>
      <c r="AT6" s="215"/>
      <c r="AU6" s="215">
        <f>IFERROR(F6/N6,)</f>
        <v>0</v>
      </c>
      <c r="AV6" s="202">
        <f>IFERROR(G6/#REF!,)</f>
        <v>0</v>
      </c>
      <c r="AW6" s="203">
        <f>IFERROR(I6/#REF!,)</f>
        <v>0</v>
      </c>
      <c r="AX6" s="191"/>
      <c r="AY6" s="221">
        <f>IFERROR(#REF!/AT6-1,)</f>
        <v>0</v>
      </c>
      <c r="AZ6" s="221">
        <f>IFERROR(#REF!/AS6-1,)</f>
        <v>0</v>
      </c>
      <c r="BA6" s="221">
        <f>IFERROR(#REF!/AR6-1,)</f>
        <v>0</v>
      </c>
      <c r="BB6" s="221">
        <f>IFERROR(AU6/#REF!-1,)</f>
        <v>0</v>
      </c>
      <c r="BC6" s="221">
        <f>IFERROR(AV6/AU6-1,)</f>
        <v>0</v>
      </c>
      <c r="BD6" s="191"/>
      <c r="BE6" s="218"/>
      <c r="BF6" s="218"/>
      <c r="BG6" s="218"/>
      <c r="BH6" s="218"/>
      <c r="BI6" s="218">
        <f>IFERROR(F6/V6,)</f>
        <v>0</v>
      </c>
      <c r="BJ6" s="222">
        <f>IFERROR(G6/W6,)</f>
        <v>0</v>
      </c>
      <c r="BK6" s="223">
        <f>IFERROR(I6/X6,)</f>
        <v>0</v>
      </c>
      <c r="BL6" s="191"/>
      <c r="BM6" s="221">
        <f>IFERROR(#REF!/BH6-1,)</f>
        <v>0</v>
      </c>
      <c r="BN6" s="221">
        <f>IFERROR(#REF!/BG6-1,)</f>
        <v>0</v>
      </c>
      <c r="BO6" s="221">
        <f>IFERROR(#REF!/BF6-1,)</f>
        <v>0</v>
      </c>
      <c r="BP6" s="221">
        <f>IFERROR(BI6/#REF!-1,)</f>
        <v>0</v>
      </c>
      <c r="BQ6" s="221">
        <f>IFERROR(BH6/#REF!-1,)</f>
        <v>0</v>
      </c>
      <c r="BR6" s="191"/>
      <c r="BS6" s="218"/>
      <c r="BT6" s="218"/>
      <c r="BU6" s="218"/>
      <c r="BV6" s="218"/>
      <c r="BW6" s="218">
        <f t="shared" si="5"/>
        <v>0</v>
      </c>
      <c r="BX6" s="213">
        <f t="shared" si="5"/>
        <v>0</v>
      </c>
      <c r="BY6" s="211">
        <f t="shared" si="5"/>
        <v>0</v>
      </c>
      <c r="CA6" s="294"/>
      <c r="CB6" s="294"/>
      <c r="CC6" s="294"/>
      <c r="CD6" s="294"/>
      <c r="CE6" s="297" t="s">
        <v>1664</v>
      </c>
      <c r="CF6" s="294" t="s">
        <v>1676</v>
      </c>
      <c r="CG6" s="296"/>
      <c r="CH6" s="294"/>
      <c r="CI6" s="294"/>
      <c r="CJ6" s="294"/>
      <c r="CK6" s="294" t="s">
        <v>1677</v>
      </c>
      <c r="CL6" s="297" t="s">
        <v>1670</v>
      </c>
      <c r="CM6" s="294" t="s">
        <v>1678</v>
      </c>
    </row>
    <row r="7" spans="1:91" s="224" customFormat="1" ht="13.15" hidden="1" customHeight="1" outlineLevel="1" x14ac:dyDescent="0.2">
      <c r="A7" s="214" t="s">
        <v>1679</v>
      </c>
      <c r="B7" s="215"/>
      <c r="C7" s="215"/>
      <c r="D7" s="215"/>
      <c r="E7" s="215"/>
      <c r="F7" s="215"/>
      <c r="G7" s="282"/>
      <c r="H7" s="215"/>
      <c r="I7" s="191"/>
      <c r="J7" s="215"/>
      <c r="K7" s="215"/>
      <c r="L7" s="215"/>
      <c r="M7" s="215"/>
      <c r="N7" s="215"/>
      <c r="O7" s="202">
        <v>40</v>
      </c>
      <c r="P7" s="217">
        <v>277.60000000000002</v>
      </c>
      <c r="Q7" s="191"/>
      <c r="R7" s="215"/>
      <c r="S7" s="215"/>
      <c r="T7" s="215"/>
      <c r="U7" s="215"/>
      <c r="V7" s="215"/>
      <c r="W7" s="202">
        <f>W4-W6</f>
        <v>1046.5</v>
      </c>
      <c r="X7" s="217">
        <v>595.45000000000005</v>
      </c>
      <c r="Y7" s="191"/>
      <c r="Z7" s="216"/>
      <c r="AA7" s="216"/>
      <c r="AB7" s="216"/>
      <c r="AC7" s="216"/>
      <c r="AD7" s="215"/>
      <c r="AE7" s="202">
        <f>AE4-AE6</f>
        <v>962.78000000000009</v>
      </c>
      <c r="AF7" s="217">
        <v>481.42360000000002</v>
      </c>
      <c r="AG7" s="191"/>
      <c r="AH7" s="218"/>
      <c r="AI7" s="218"/>
      <c r="AJ7" s="218"/>
      <c r="AK7" s="218"/>
      <c r="AL7" s="218"/>
      <c r="AM7" s="219"/>
      <c r="AN7" s="220"/>
      <c r="AO7" s="312"/>
      <c r="AP7" s="191"/>
      <c r="AQ7" s="218"/>
      <c r="AR7" s="215"/>
      <c r="AS7" s="215"/>
      <c r="AT7" s="215"/>
      <c r="AU7" s="215"/>
      <c r="AV7" s="202"/>
      <c r="AW7" s="203"/>
      <c r="AX7" s="191"/>
      <c r="AY7" s="221"/>
      <c r="AZ7" s="221"/>
      <c r="BA7" s="221"/>
      <c r="BB7" s="221"/>
      <c r="BC7" s="221"/>
      <c r="BD7" s="191"/>
      <c r="BE7" s="218"/>
      <c r="BF7" s="218"/>
      <c r="BG7" s="218"/>
      <c r="BH7" s="218"/>
      <c r="BI7" s="218"/>
      <c r="BJ7" s="222"/>
      <c r="BK7" s="223"/>
      <c r="BL7" s="191"/>
      <c r="BM7" s="221"/>
      <c r="BN7" s="221"/>
      <c r="BO7" s="221"/>
      <c r="BP7" s="221"/>
      <c r="BQ7" s="221"/>
      <c r="BR7" s="191"/>
      <c r="BS7" s="218"/>
      <c r="BT7" s="218"/>
      <c r="BU7" s="218"/>
      <c r="BV7" s="218"/>
      <c r="BW7" s="218"/>
      <c r="BX7" s="213"/>
      <c r="BY7" s="211"/>
      <c r="CA7" s="294"/>
      <c r="CB7" s="294"/>
      <c r="CC7" s="294"/>
      <c r="CD7" s="294"/>
      <c r="CE7" s="297"/>
      <c r="CF7" s="294" t="s">
        <v>1680</v>
      </c>
      <c r="CG7" s="296"/>
      <c r="CH7" s="294"/>
      <c r="CI7" s="294"/>
      <c r="CJ7" s="294"/>
      <c r="CK7" s="294"/>
      <c r="CL7" s="297"/>
      <c r="CM7" s="294"/>
    </row>
    <row r="8" spans="1:91" ht="13.15" customHeight="1" collapsed="1" x14ac:dyDescent="0.2">
      <c r="A8" s="225" t="s">
        <v>1681</v>
      </c>
      <c r="B8" s="226">
        <v>48412.84120000001</v>
      </c>
      <c r="C8" s="226">
        <v>76389.987690000009</v>
      </c>
      <c r="D8" s="226">
        <v>52200.641330000006</v>
      </c>
      <c r="E8" s="226">
        <v>90839.868705113477</v>
      </c>
      <c r="F8" s="226">
        <v>81773.017179999981</v>
      </c>
      <c r="G8" s="282">
        <v>70151.430424644626</v>
      </c>
      <c r="H8" s="226">
        <v>0</v>
      </c>
      <c r="J8" s="226">
        <v>418</v>
      </c>
      <c r="K8" s="226">
        <v>613.20000000000005</v>
      </c>
      <c r="L8" s="226">
        <v>406.9</v>
      </c>
      <c r="M8" s="226">
        <v>522</v>
      </c>
      <c r="N8" s="226">
        <v>595.20000000000005</v>
      </c>
      <c r="O8" s="202">
        <f>O9+O10</f>
        <v>379.6</v>
      </c>
      <c r="P8" s="217">
        <f>P9+P10</f>
        <v>379.6</v>
      </c>
      <c r="R8" s="226">
        <v>2032</v>
      </c>
      <c r="S8" s="226">
        <v>3185</v>
      </c>
      <c r="T8" s="226">
        <v>1574.4</v>
      </c>
      <c r="U8" s="226">
        <v>2490.73</v>
      </c>
      <c r="V8" s="226">
        <v>1737.4800000002001</v>
      </c>
      <c r="W8" s="202">
        <f>W9+W10</f>
        <v>1784.1200000000001</v>
      </c>
      <c r="X8" s="217">
        <f>X9+X10</f>
        <v>1992.2</v>
      </c>
      <c r="Z8" s="226">
        <v>1797</v>
      </c>
      <c r="AA8" s="226">
        <v>2945.2274200000002</v>
      </c>
      <c r="AB8" s="226">
        <v>1450.7581</v>
      </c>
      <c r="AC8" s="226">
        <v>2273.0798999999997</v>
      </c>
      <c r="AD8" s="226">
        <v>1336.6045999999999</v>
      </c>
      <c r="AE8" s="202">
        <v>1659.2315999999998</v>
      </c>
      <c r="AF8" s="217">
        <f>AF10+AF9</f>
        <v>1707.2041999999999</v>
      </c>
      <c r="AH8" s="212">
        <f t="shared" ref="AH8:AN8" si="6">IFERROR(R8/J8,)</f>
        <v>4.8612440191387556</v>
      </c>
      <c r="AI8" s="212">
        <f t="shared" si="6"/>
        <v>5.1940639269406388</v>
      </c>
      <c r="AJ8" s="212">
        <f t="shared" si="6"/>
        <v>3.8692553452936842</v>
      </c>
      <c r="AK8" s="212">
        <f t="shared" si="6"/>
        <v>4.7715134099616856</v>
      </c>
      <c r="AL8" s="212">
        <f t="shared" si="6"/>
        <v>2.9191532258067876</v>
      </c>
      <c r="AM8" s="219">
        <f t="shared" si="6"/>
        <v>4.7</v>
      </c>
      <c r="AN8" s="220">
        <f t="shared" si="6"/>
        <v>5.2481559536354059</v>
      </c>
      <c r="AO8" s="312"/>
      <c r="AQ8" s="226">
        <f t="shared" ref="AQ8:AV8" si="7">IFERROR(B8/J8,)</f>
        <v>115.82019425837323</v>
      </c>
      <c r="AR8" s="226">
        <f t="shared" si="7"/>
        <v>124.57597470645793</v>
      </c>
      <c r="AS8" s="226">
        <f t="shared" si="7"/>
        <v>128.28862455148686</v>
      </c>
      <c r="AT8" s="226">
        <f t="shared" si="7"/>
        <v>174.022736982976</v>
      </c>
      <c r="AU8" s="226">
        <f t="shared" si="7"/>
        <v>137.38746165994618</v>
      </c>
      <c r="AV8" s="202">
        <f t="shared" si="7"/>
        <v>184.8035574937951</v>
      </c>
      <c r="AW8" s="203">
        <f t="shared" ref="AW8:AW15" si="8">IFERROR(I8/P8,)</f>
        <v>0</v>
      </c>
      <c r="AY8" s="221">
        <f>IFERROR(#REF!/AT8-1,)</f>
        <v>0</v>
      </c>
      <c r="AZ8" s="221">
        <f>IFERROR(#REF!/AS8-1,)</f>
        <v>0</v>
      </c>
      <c r="BA8" s="221">
        <f>IFERROR(#REF!/AR8-1,)</f>
        <v>0</v>
      </c>
      <c r="BB8" s="221">
        <f t="shared" ref="BB8:BB15" si="9">IFERROR(AV8/AU8-1,)</f>
        <v>0.34512680604879797</v>
      </c>
      <c r="BC8" s="221">
        <f>IFERROR(AU8/#REF!-1,)</f>
        <v>0</v>
      </c>
      <c r="BE8" s="212">
        <f t="shared" ref="BE8:BJ8" si="10">IFERROR(B8/R8,)</f>
        <v>23.825217125984256</v>
      </c>
      <c r="BF8" s="212">
        <f t="shared" si="10"/>
        <v>23.984297547880693</v>
      </c>
      <c r="BG8" s="212">
        <f t="shared" si="10"/>
        <v>33.155895153709352</v>
      </c>
      <c r="BH8" s="212">
        <f t="shared" si="10"/>
        <v>36.471182627227151</v>
      </c>
      <c r="BI8" s="212">
        <f t="shared" si="10"/>
        <v>47.064148755663702</v>
      </c>
      <c r="BJ8" s="222">
        <f t="shared" si="10"/>
        <v>39.319905849743641</v>
      </c>
      <c r="BK8" s="223">
        <f t="shared" ref="BK8:BK15" si="11">IFERROR(I8/X8,)</f>
        <v>0</v>
      </c>
      <c r="BM8" s="221">
        <f>IFERROR(#REF!/BH8-1,)</f>
        <v>0</v>
      </c>
      <c r="BN8" s="221">
        <f>IFERROR(#REF!/BG8-1,)</f>
        <v>0</v>
      </c>
      <c r="BO8" s="221">
        <f>IFERROR(#REF!/BF8-1,)</f>
        <v>0</v>
      </c>
      <c r="BP8" s="221">
        <f t="shared" ref="BP8:BP15" si="12">IFERROR(BJ8/BI8-1,)</f>
        <v>-0.16454654149010006</v>
      </c>
      <c r="BQ8" s="221">
        <f>IFERROR(BI8/#REF!-1,)</f>
        <v>0</v>
      </c>
      <c r="BS8" s="212">
        <f t="shared" ref="BS8:BY8" si="13">IFERROR(B8/Z8,)</f>
        <v>26.940924429604902</v>
      </c>
      <c r="BT8" s="212">
        <f t="shared" si="13"/>
        <v>25.936872368925592</v>
      </c>
      <c r="BU8" s="212">
        <f t="shared" si="13"/>
        <v>35.981630107734709</v>
      </c>
      <c r="BV8" s="212">
        <f t="shared" si="13"/>
        <v>39.96334167800854</v>
      </c>
      <c r="BW8" s="212">
        <f t="shared" si="13"/>
        <v>61.179661644139181</v>
      </c>
      <c r="BX8" s="213">
        <f t="shared" si="13"/>
        <v>42.279468655638325</v>
      </c>
      <c r="BY8" s="211">
        <f t="shared" si="13"/>
        <v>0</v>
      </c>
      <c r="CA8" s="294"/>
      <c r="CB8" s="294"/>
      <c r="CC8" s="294"/>
      <c r="CD8" s="294" t="s">
        <v>1682</v>
      </c>
      <c r="CE8" s="297" t="s">
        <v>1683</v>
      </c>
      <c r="CF8" s="294" t="str">
        <f>CF9</f>
        <v>13.04 - 22.04</v>
      </c>
      <c r="CH8" s="294" t="s">
        <v>1685</v>
      </c>
      <c r="CI8" s="294" t="s">
        <v>1686</v>
      </c>
      <c r="CJ8" s="294" t="s">
        <v>1687</v>
      </c>
      <c r="CK8" s="294" t="s">
        <v>1688</v>
      </c>
      <c r="CL8" s="297" t="s">
        <v>1689</v>
      </c>
      <c r="CM8" s="294" t="str">
        <f>CM9</f>
        <v>17.06 - 25.06</v>
      </c>
    </row>
    <row r="9" spans="1:91" s="224" customFormat="1" ht="13.15" hidden="1" customHeight="1" outlineLevel="1" x14ac:dyDescent="0.2">
      <c r="A9" s="214" t="s">
        <v>1691</v>
      </c>
      <c r="B9" s="215"/>
      <c r="C9" s="215"/>
      <c r="D9" s="215"/>
      <c r="E9" s="215"/>
      <c r="F9" s="215"/>
      <c r="G9" s="282"/>
      <c r="H9" s="215"/>
      <c r="I9" s="191"/>
      <c r="J9" s="215">
        <v>418</v>
      </c>
      <c r="K9" s="215">
        <v>668</v>
      </c>
      <c r="L9" s="215">
        <v>407</v>
      </c>
      <c r="M9" s="215">
        <v>726.6</v>
      </c>
      <c r="N9" s="215">
        <v>447.3</v>
      </c>
      <c r="O9" s="227"/>
      <c r="P9" s="217"/>
      <c r="Q9" s="191"/>
      <c r="R9" s="215">
        <v>2032</v>
      </c>
      <c r="S9" s="215">
        <v>3185</v>
      </c>
      <c r="T9" s="215">
        <v>1574.4</v>
      </c>
      <c r="U9" s="215">
        <v>2490.73</v>
      </c>
      <c r="V9" s="215">
        <v>1305.7372379033761</v>
      </c>
      <c r="W9" s="227"/>
      <c r="X9" s="217"/>
      <c r="Y9" s="191"/>
      <c r="Z9" s="215">
        <v>1797</v>
      </c>
      <c r="AA9" s="215">
        <v>2945.2274200000002</v>
      </c>
      <c r="AB9" s="215">
        <v>1450.7581</v>
      </c>
      <c r="AC9" s="215">
        <v>2273.0798999999997</v>
      </c>
      <c r="AD9" s="215">
        <v>1004.4745255040322</v>
      </c>
      <c r="AE9" s="227"/>
      <c r="AF9" s="217"/>
      <c r="AG9" s="191"/>
      <c r="AH9" s="218"/>
      <c r="AI9" s="218"/>
      <c r="AJ9" s="218"/>
      <c r="AK9" s="218"/>
      <c r="AL9" s="218">
        <f t="shared" ref="AL9:AN15" si="14">IFERROR(V9/N9,)</f>
        <v>2.9191532258067876</v>
      </c>
      <c r="AM9" s="219">
        <f t="shared" si="14"/>
        <v>0</v>
      </c>
      <c r="AN9" s="220">
        <f t="shared" si="14"/>
        <v>0</v>
      </c>
      <c r="AO9" s="312"/>
      <c r="AP9" s="191"/>
      <c r="AQ9" s="215"/>
      <c r="AR9" s="215"/>
      <c r="AS9" s="215"/>
      <c r="AT9" s="215"/>
      <c r="AU9" s="215">
        <f t="shared" ref="AU9:AV15" si="15">IFERROR(F9/N9,)</f>
        <v>0</v>
      </c>
      <c r="AV9" s="202">
        <f t="shared" si="15"/>
        <v>0</v>
      </c>
      <c r="AW9" s="203">
        <f t="shared" si="8"/>
        <v>0</v>
      </c>
      <c r="AX9" s="191"/>
      <c r="AY9" s="221">
        <f>IFERROR(#REF!/AT9-1,)</f>
        <v>0</v>
      </c>
      <c r="AZ9" s="221">
        <f>IFERROR(#REF!/AS9-1,)</f>
        <v>0</v>
      </c>
      <c r="BA9" s="221">
        <f>IFERROR(#REF!/AR9-1,)</f>
        <v>0</v>
      </c>
      <c r="BB9" s="221">
        <f t="shared" si="9"/>
        <v>0</v>
      </c>
      <c r="BC9" s="221">
        <f>IFERROR(AU9/#REF!-1,)</f>
        <v>0</v>
      </c>
      <c r="BD9" s="191"/>
      <c r="BE9" s="218"/>
      <c r="BF9" s="218"/>
      <c r="BG9" s="218"/>
      <c r="BH9" s="218"/>
      <c r="BI9" s="218">
        <f t="shared" ref="BI9:BJ15" si="16">IFERROR(F9/V9,)</f>
        <v>0</v>
      </c>
      <c r="BJ9" s="222">
        <f t="shared" si="16"/>
        <v>0</v>
      </c>
      <c r="BK9" s="223">
        <f t="shared" si="11"/>
        <v>0</v>
      </c>
      <c r="BL9" s="191"/>
      <c r="BM9" s="221">
        <f>IFERROR(#REF!/BH9-1,)</f>
        <v>0</v>
      </c>
      <c r="BN9" s="221">
        <f>IFERROR(#REF!/BG9-1,)</f>
        <v>0</v>
      </c>
      <c r="BO9" s="221">
        <f>IFERROR(#REF!/BF9-1,)</f>
        <v>0</v>
      </c>
      <c r="BP9" s="221">
        <f t="shared" si="12"/>
        <v>0</v>
      </c>
      <c r="BQ9" s="221">
        <f>IFERROR(BI9/#REF!-1,)</f>
        <v>0</v>
      </c>
      <c r="BR9" s="191"/>
      <c r="BS9" s="218"/>
      <c r="BT9" s="218"/>
      <c r="BU9" s="218"/>
      <c r="BV9" s="218"/>
      <c r="BW9" s="218">
        <f t="shared" ref="BW9:BY15" si="17">IFERROR(F9/AD9,)</f>
        <v>0</v>
      </c>
      <c r="BX9" s="213">
        <f t="shared" si="17"/>
        <v>0</v>
      </c>
      <c r="BY9" s="211">
        <f t="shared" si="17"/>
        <v>0</v>
      </c>
      <c r="CA9" s="294"/>
      <c r="CB9" s="294"/>
      <c r="CC9" s="294"/>
      <c r="CD9" s="294"/>
      <c r="CE9" s="297" t="s">
        <v>1692</v>
      </c>
      <c r="CF9" s="294" t="s">
        <v>1684</v>
      </c>
      <c r="CG9" s="296"/>
      <c r="CH9" s="294" t="s">
        <v>1685</v>
      </c>
      <c r="CI9" s="294" t="s">
        <v>1686</v>
      </c>
      <c r="CJ9" s="294" t="s">
        <v>1687</v>
      </c>
      <c r="CK9" s="294" t="s">
        <v>1688</v>
      </c>
      <c r="CL9" s="297" t="s">
        <v>1693</v>
      </c>
      <c r="CM9" s="294" t="s">
        <v>1690</v>
      </c>
    </row>
    <row r="10" spans="1:91" s="224" customFormat="1" ht="13.15" hidden="1" customHeight="1" outlineLevel="1" x14ac:dyDescent="0.2">
      <c r="A10" s="214" t="s">
        <v>1694</v>
      </c>
      <c r="B10" s="215"/>
      <c r="C10" s="215"/>
      <c r="D10" s="215"/>
      <c r="E10" s="215"/>
      <c r="F10" s="215"/>
      <c r="G10" s="282"/>
      <c r="H10" s="215"/>
      <c r="I10" s="191"/>
      <c r="J10" s="215"/>
      <c r="K10" s="215"/>
      <c r="L10" s="215"/>
      <c r="M10" s="215"/>
      <c r="N10" s="215">
        <v>201.5</v>
      </c>
      <c r="O10" s="202">
        <v>379.6</v>
      </c>
      <c r="P10" s="217">
        <v>379.6</v>
      </c>
      <c r="Q10" s="191"/>
      <c r="R10" s="215"/>
      <c r="S10" s="215"/>
      <c r="T10" s="215"/>
      <c r="U10" s="215"/>
      <c r="V10" s="215">
        <v>431.74276209682398</v>
      </c>
      <c r="W10" s="202">
        <v>1784.1200000000001</v>
      </c>
      <c r="X10" s="217">
        <v>1992.2</v>
      </c>
      <c r="Y10" s="191"/>
      <c r="Z10" s="215"/>
      <c r="AA10" s="215"/>
      <c r="AB10" s="215"/>
      <c r="AC10" s="215"/>
      <c r="AD10" s="215">
        <v>332.13007449596773</v>
      </c>
      <c r="AE10" s="202">
        <v>1659.2315999999998</v>
      </c>
      <c r="AF10" s="217">
        <v>1707.2041999999999</v>
      </c>
      <c r="AG10" s="191"/>
      <c r="AH10" s="218"/>
      <c r="AI10" s="218"/>
      <c r="AJ10" s="218"/>
      <c r="AK10" s="218"/>
      <c r="AL10" s="218">
        <f t="shared" si="14"/>
        <v>2.1426439806293995</v>
      </c>
      <c r="AM10" s="219">
        <f t="shared" si="14"/>
        <v>4.7</v>
      </c>
      <c r="AN10" s="220">
        <f t="shared" si="14"/>
        <v>5.2481559536354059</v>
      </c>
      <c r="AO10" s="312"/>
      <c r="AP10" s="191"/>
      <c r="AQ10" s="215"/>
      <c r="AR10" s="215"/>
      <c r="AS10" s="215"/>
      <c r="AT10" s="215"/>
      <c r="AU10" s="215">
        <f t="shared" si="15"/>
        <v>0</v>
      </c>
      <c r="AV10" s="202">
        <f t="shared" si="15"/>
        <v>0</v>
      </c>
      <c r="AW10" s="203">
        <f t="shared" si="8"/>
        <v>0</v>
      </c>
      <c r="AX10" s="191"/>
      <c r="AY10" s="221">
        <f>IFERROR(#REF!/AT10-1,)</f>
        <v>0</v>
      </c>
      <c r="AZ10" s="221">
        <f>IFERROR(#REF!/AS10-1,)</f>
        <v>0</v>
      </c>
      <c r="BA10" s="221">
        <f>IFERROR(#REF!/AR10-1,)</f>
        <v>0</v>
      </c>
      <c r="BB10" s="221">
        <f t="shared" si="9"/>
        <v>0</v>
      </c>
      <c r="BC10" s="221">
        <f>IFERROR(AU10/#REF!-1,)</f>
        <v>0</v>
      </c>
      <c r="BD10" s="191"/>
      <c r="BE10" s="218"/>
      <c r="BF10" s="218"/>
      <c r="BG10" s="218"/>
      <c r="BH10" s="218"/>
      <c r="BI10" s="218">
        <f t="shared" si="16"/>
        <v>0</v>
      </c>
      <c r="BJ10" s="222">
        <f t="shared" si="16"/>
        <v>0</v>
      </c>
      <c r="BK10" s="223">
        <f t="shared" si="11"/>
        <v>0</v>
      </c>
      <c r="BL10" s="191"/>
      <c r="BM10" s="221">
        <f>IFERROR(#REF!/BH10-1,)</f>
        <v>0</v>
      </c>
      <c r="BN10" s="221">
        <f>IFERROR(#REF!/BG10-1,)</f>
        <v>0</v>
      </c>
      <c r="BO10" s="221">
        <f>IFERROR(#REF!/BF10-1,)</f>
        <v>0</v>
      </c>
      <c r="BP10" s="221">
        <f t="shared" si="12"/>
        <v>0</v>
      </c>
      <c r="BQ10" s="221">
        <f>IFERROR(BI10/#REF!-1,)</f>
        <v>0</v>
      </c>
      <c r="BR10" s="191"/>
      <c r="BS10" s="218"/>
      <c r="BT10" s="218"/>
      <c r="BU10" s="218"/>
      <c r="BV10" s="218"/>
      <c r="BW10" s="218">
        <f t="shared" si="17"/>
        <v>0</v>
      </c>
      <c r="BX10" s="213">
        <f t="shared" si="17"/>
        <v>0</v>
      </c>
      <c r="BY10" s="211">
        <f t="shared" si="17"/>
        <v>0</v>
      </c>
      <c r="CA10" s="294"/>
      <c r="CB10" s="294"/>
      <c r="CC10" s="294"/>
      <c r="CD10" s="294"/>
      <c r="CE10" s="297" t="s">
        <v>1695</v>
      </c>
      <c r="CF10" s="294"/>
      <c r="CG10" s="296"/>
      <c r="CH10" s="294"/>
      <c r="CI10" s="294"/>
      <c r="CJ10" s="294"/>
      <c r="CK10" s="294"/>
      <c r="CL10" s="297" t="s">
        <v>1696</v>
      </c>
      <c r="CM10" s="294"/>
    </row>
    <row r="11" spans="1:91" ht="13.15" customHeight="1" collapsed="1" x14ac:dyDescent="0.2">
      <c r="A11" s="225" t="s">
        <v>1697</v>
      </c>
      <c r="B11" s="226">
        <v>0</v>
      </c>
      <c r="C11" s="226">
        <v>0</v>
      </c>
      <c r="D11" s="226">
        <v>0</v>
      </c>
      <c r="E11" s="226">
        <v>1998.5720522866452</v>
      </c>
      <c r="F11" s="226">
        <v>0</v>
      </c>
      <c r="G11" s="283">
        <v>0</v>
      </c>
      <c r="H11" s="228">
        <v>0</v>
      </c>
      <c r="J11" s="226">
        <v>0</v>
      </c>
      <c r="K11" s="226">
        <v>0</v>
      </c>
      <c r="L11" s="226">
        <v>0</v>
      </c>
      <c r="M11" s="226">
        <v>17</v>
      </c>
      <c r="N11" s="226">
        <v>0</v>
      </c>
      <c r="O11" s="202">
        <v>0</v>
      </c>
      <c r="P11" s="217">
        <v>0</v>
      </c>
      <c r="R11" s="226">
        <v>0</v>
      </c>
      <c r="S11" s="226">
        <v>0</v>
      </c>
      <c r="T11" s="226">
        <v>0</v>
      </c>
      <c r="U11" s="226">
        <v>51.14</v>
      </c>
      <c r="V11" s="226">
        <v>0</v>
      </c>
      <c r="W11" s="202">
        <v>0</v>
      </c>
      <c r="X11" s="217">
        <v>0</v>
      </c>
      <c r="Z11" s="226">
        <v>0</v>
      </c>
      <c r="AA11" s="226">
        <v>0</v>
      </c>
      <c r="AB11" s="226">
        <v>0</v>
      </c>
      <c r="AC11" s="226">
        <v>51.14</v>
      </c>
      <c r="AD11" s="226">
        <v>0</v>
      </c>
      <c r="AE11" s="202">
        <v>0</v>
      </c>
      <c r="AF11" s="217">
        <v>0</v>
      </c>
      <c r="AH11" s="212">
        <f t="shared" ref="AH11:AK15" si="18">IFERROR(R11/J11,)</f>
        <v>0</v>
      </c>
      <c r="AI11" s="212">
        <f t="shared" si="18"/>
        <v>0</v>
      </c>
      <c r="AJ11" s="212">
        <f t="shared" si="18"/>
        <v>0</v>
      </c>
      <c r="AK11" s="212">
        <f t="shared" si="18"/>
        <v>3.0082352941176471</v>
      </c>
      <c r="AL11" s="212">
        <f t="shared" si="14"/>
        <v>0</v>
      </c>
      <c r="AM11" s="219">
        <f t="shared" si="14"/>
        <v>0</v>
      </c>
      <c r="AN11" s="220">
        <f t="shared" si="14"/>
        <v>0</v>
      </c>
      <c r="AO11" s="312"/>
      <c r="AQ11" s="226">
        <f t="shared" ref="AQ11:AT15" si="19">IFERROR(B11/J11,)</f>
        <v>0</v>
      </c>
      <c r="AR11" s="226">
        <f t="shared" si="19"/>
        <v>0</v>
      </c>
      <c r="AS11" s="226">
        <f t="shared" si="19"/>
        <v>0</v>
      </c>
      <c r="AT11" s="226">
        <f t="shared" si="19"/>
        <v>117.56306189921442</v>
      </c>
      <c r="AU11" s="226">
        <f t="shared" si="15"/>
        <v>0</v>
      </c>
      <c r="AV11" s="202">
        <f t="shared" si="15"/>
        <v>0</v>
      </c>
      <c r="AW11" s="203">
        <f t="shared" si="8"/>
        <v>0</v>
      </c>
      <c r="AY11" s="221">
        <f>IFERROR(#REF!/AT11-1,)</f>
        <v>0</v>
      </c>
      <c r="AZ11" s="221">
        <f>IFERROR(#REF!/AS11-1,)</f>
        <v>0</v>
      </c>
      <c r="BA11" s="221">
        <f>IFERROR(#REF!/AR11-1,)</f>
        <v>0</v>
      </c>
      <c r="BB11" s="221">
        <f t="shared" si="9"/>
        <v>0</v>
      </c>
      <c r="BC11" s="221">
        <f>IFERROR(AU11/#REF!-1,)</f>
        <v>0</v>
      </c>
      <c r="BE11" s="212">
        <f t="shared" ref="BE11:BH15" si="20">IFERROR(B11/R11,)</f>
        <v>0</v>
      </c>
      <c r="BF11" s="212">
        <f t="shared" si="20"/>
        <v>0</v>
      </c>
      <c r="BG11" s="212">
        <f t="shared" si="20"/>
        <v>0</v>
      </c>
      <c r="BH11" s="212">
        <f t="shared" si="20"/>
        <v>39.080407749054459</v>
      </c>
      <c r="BI11" s="212">
        <f t="shared" si="16"/>
        <v>0</v>
      </c>
      <c r="BJ11" s="222">
        <f t="shared" si="16"/>
        <v>0</v>
      </c>
      <c r="BK11" s="223">
        <f t="shared" si="11"/>
        <v>0</v>
      </c>
      <c r="BM11" s="221">
        <f>IFERROR(#REF!/BH11-1,)</f>
        <v>0</v>
      </c>
      <c r="BN11" s="221">
        <f>IFERROR(#REF!/BG11-1,)</f>
        <v>0</v>
      </c>
      <c r="BO11" s="221">
        <f>IFERROR(#REF!/BF11-1,)</f>
        <v>0</v>
      </c>
      <c r="BP11" s="221">
        <f t="shared" si="12"/>
        <v>0</v>
      </c>
      <c r="BQ11" s="221">
        <f>IFERROR(BI11/#REF!-1,)</f>
        <v>0</v>
      </c>
      <c r="BS11" s="212">
        <f t="shared" ref="BS11:BV15" si="21">IFERROR(B11/Z11,)</f>
        <v>0</v>
      </c>
      <c r="BT11" s="212">
        <f t="shared" si="21"/>
        <v>0</v>
      </c>
      <c r="BU11" s="212">
        <f t="shared" si="21"/>
        <v>0</v>
      </c>
      <c r="BV11" s="212">
        <f t="shared" si="21"/>
        <v>39.080407749054459</v>
      </c>
      <c r="BW11" s="212">
        <f t="shared" si="17"/>
        <v>0</v>
      </c>
      <c r="BX11" s="213">
        <f t="shared" si="17"/>
        <v>0</v>
      </c>
      <c r="BY11" s="211">
        <f t="shared" si="17"/>
        <v>0</v>
      </c>
      <c r="CA11" s="294"/>
      <c r="CB11" s="294"/>
      <c r="CC11" s="294"/>
      <c r="CD11" s="294"/>
      <c r="CE11" s="297" t="s">
        <v>1698</v>
      </c>
      <c r="CF11" s="294"/>
      <c r="CH11" s="294"/>
      <c r="CI11" s="294"/>
      <c r="CJ11" s="294"/>
      <c r="CK11" s="294" t="s">
        <v>1699</v>
      </c>
      <c r="CL11" s="297" t="s">
        <v>1698</v>
      </c>
      <c r="CM11" s="294"/>
    </row>
    <row r="12" spans="1:91" ht="13.15" customHeight="1" x14ac:dyDescent="0.2">
      <c r="A12" s="225" t="s">
        <v>1700</v>
      </c>
      <c r="B12" s="229">
        <v>0</v>
      </c>
      <c r="C12" s="229">
        <v>0</v>
      </c>
      <c r="D12" s="229">
        <v>0</v>
      </c>
      <c r="E12" s="229">
        <v>0</v>
      </c>
      <c r="F12" s="229">
        <v>16715.026330000001</v>
      </c>
      <c r="G12" s="284">
        <v>0</v>
      </c>
      <c r="H12" s="230">
        <v>0</v>
      </c>
      <c r="J12" s="229">
        <v>0</v>
      </c>
      <c r="K12" s="229">
        <v>0</v>
      </c>
      <c r="L12" s="229">
        <v>0</v>
      </c>
      <c r="M12" s="229">
        <v>0</v>
      </c>
      <c r="N12" s="229">
        <v>90</v>
      </c>
      <c r="O12" s="202">
        <v>0</v>
      </c>
      <c r="P12" s="231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495.04000000009989</v>
      </c>
      <c r="W12" s="202">
        <v>0</v>
      </c>
      <c r="X12" s="231">
        <v>0</v>
      </c>
      <c r="Z12" s="229">
        <v>0</v>
      </c>
      <c r="AA12" s="229">
        <v>0</v>
      </c>
      <c r="AB12" s="229">
        <v>0</v>
      </c>
      <c r="AC12" s="229">
        <v>0</v>
      </c>
      <c r="AD12" s="229">
        <v>381.44910000000004</v>
      </c>
      <c r="AE12" s="202">
        <v>0</v>
      </c>
      <c r="AF12" s="231">
        <v>0</v>
      </c>
      <c r="AH12" s="234">
        <f t="shared" si="18"/>
        <v>0</v>
      </c>
      <c r="AI12" s="234">
        <f t="shared" si="18"/>
        <v>0</v>
      </c>
      <c r="AJ12" s="234">
        <f t="shared" si="18"/>
        <v>0</v>
      </c>
      <c r="AK12" s="234">
        <f t="shared" si="18"/>
        <v>0</v>
      </c>
      <c r="AL12" s="234">
        <f t="shared" si="14"/>
        <v>5.500444444445554</v>
      </c>
      <c r="AM12" s="235">
        <f t="shared" si="14"/>
        <v>0</v>
      </c>
      <c r="AN12" s="236">
        <f t="shared" si="14"/>
        <v>0</v>
      </c>
      <c r="AO12" s="312"/>
      <c r="AQ12" s="229">
        <f t="shared" si="19"/>
        <v>0</v>
      </c>
      <c r="AR12" s="229">
        <f t="shared" si="19"/>
        <v>0</v>
      </c>
      <c r="AS12" s="229">
        <f t="shared" si="19"/>
        <v>0</v>
      </c>
      <c r="AT12" s="229">
        <f t="shared" si="19"/>
        <v>0</v>
      </c>
      <c r="AU12" s="229">
        <f t="shared" si="15"/>
        <v>185.72251477777777</v>
      </c>
      <c r="AV12" s="232">
        <f t="shared" si="15"/>
        <v>0</v>
      </c>
      <c r="AW12" s="233">
        <f t="shared" si="8"/>
        <v>0</v>
      </c>
      <c r="AY12" s="237">
        <f>IFERROR(#REF!/AT12-1,)</f>
        <v>0</v>
      </c>
      <c r="AZ12" s="237">
        <f>IFERROR(#REF!/AS12-1,)</f>
        <v>0</v>
      </c>
      <c r="BA12" s="237">
        <f>IFERROR(#REF!/AR12-1,)</f>
        <v>0</v>
      </c>
      <c r="BB12" s="237">
        <f t="shared" si="9"/>
        <v>-1</v>
      </c>
      <c r="BC12" s="237">
        <f>IFERROR(AU12/#REF!-1,)</f>
        <v>0</v>
      </c>
      <c r="BE12" s="234">
        <f t="shared" si="20"/>
        <v>0</v>
      </c>
      <c r="BF12" s="234">
        <f t="shared" si="20"/>
        <v>0</v>
      </c>
      <c r="BG12" s="234">
        <f t="shared" si="20"/>
        <v>0</v>
      </c>
      <c r="BH12" s="234">
        <f t="shared" si="20"/>
        <v>0</v>
      </c>
      <c r="BI12" s="234">
        <f t="shared" si="16"/>
        <v>33.765001474621499</v>
      </c>
      <c r="BJ12" s="238">
        <f t="shared" si="16"/>
        <v>0</v>
      </c>
      <c r="BK12" s="239">
        <f t="shared" si="11"/>
        <v>0</v>
      </c>
      <c r="BM12" s="237">
        <f>IFERROR(#REF!/BH12-1,)</f>
        <v>0</v>
      </c>
      <c r="BN12" s="237">
        <f>IFERROR(#REF!/BG12-1,)</f>
        <v>0</v>
      </c>
      <c r="BO12" s="237">
        <f>IFERROR(#REF!/BF12-1,)</f>
        <v>0</v>
      </c>
      <c r="BP12" s="237">
        <f t="shared" si="12"/>
        <v>-1</v>
      </c>
      <c r="BQ12" s="237">
        <f>IFERROR(BI12/#REF!-1,)</f>
        <v>0</v>
      </c>
      <c r="BS12" s="234">
        <f t="shared" si="21"/>
        <v>0</v>
      </c>
      <c r="BT12" s="234">
        <f t="shared" si="21"/>
        <v>0</v>
      </c>
      <c r="BU12" s="234">
        <f t="shared" si="21"/>
        <v>0</v>
      </c>
      <c r="BV12" s="234">
        <f t="shared" si="21"/>
        <v>0</v>
      </c>
      <c r="BW12" s="234">
        <f t="shared" si="17"/>
        <v>43.819808016325112</v>
      </c>
      <c r="BX12" s="240">
        <f t="shared" si="17"/>
        <v>0</v>
      </c>
      <c r="BY12" s="241">
        <f t="shared" si="17"/>
        <v>0</v>
      </c>
      <c r="CA12" s="294"/>
      <c r="CB12" s="294"/>
      <c r="CC12" s="294"/>
      <c r="CD12" s="294"/>
      <c r="CE12" s="297" t="s">
        <v>1701</v>
      </c>
      <c r="CF12" s="294"/>
      <c r="CH12" s="294"/>
      <c r="CI12" s="294"/>
      <c r="CJ12" s="294"/>
      <c r="CK12" s="294"/>
      <c r="CL12" s="297" t="s">
        <v>1702</v>
      </c>
      <c r="CM12" s="294"/>
    </row>
    <row r="13" spans="1:91" ht="13.15" customHeight="1" x14ac:dyDescent="0.2">
      <c r="A13" s="225" t="s">
        <v>1703</v>
      </c>
      <c r="B13" s="229">
        <v>22384.109</v>
      </c>
      <c r="C13" s="229">
        <v>35121.082119999999</v>
      </c>
      <c r="D13" s="229">
        <v>25966.461780000001</v>
      </c>
      <c r="E13" s="229">
        <v>41730.699666583059</v>
      </c>
      <c r="F13" s="229">
        <v>31160.666079999995</v>
      </c>
      <c r="G13" s="284">
        <v>42614.50341026971</v>
      </c>
      <c r="H13" s="230">
        <v>0</v>
      </c>
      <c r="J13" s="229">
        <v>232</v>
      </c>
      <c r="K13" s="229">
        <v>317.7</v>
      </c>
      <c r="L13" s="229">
        <v>304.89999999999998</v>
      </c>
      <c r="M13" s="229">
        <v>200</v>
      </c>
      <c r="N13" s="229">
        <v>295.3</v>
      </c>
      <c r="O13" s="202">
        <v>257.2</v>
      </c>
      <c r="P13" s="231">
        <f>257.2-20</f>
        <v>237.2</v>
      </c>
      <c r="R13" s="229">
        <v>1200.3800000000001</v>
      </c>
      <c r="S13" s="229">
        <v>1422</v>
      </c>
      <c r="T13" s="229">
        <v>758.92</v>
      </c>
      <c r="U13" s="229">
        <v>1471.9499999999998</v>
      </c>
      <c r="V13" s="229">
        <v>498.63</v>
      </c>
      <c r="W13" s="202">
        <v>1157.3999999999999</v>
      </c>
      <c r="X13" s="231">
        <v>1320.13</v>
      </c>
      <c r="Z13" s="229">
        <v>1103</v>
      </c>
      <c r="AA13" s="229">
        <v>1118.4024999999999</v>
      </c>
      <c r="AB13" s="229">
        <v>705.02800000000002</v>
      </c>
      <c r="AC13" s="229">
        <v>1285.5519999999999</v>
      </c>
      <c r="AD13" s="229">
        <v>306.79030000000006</v>
      </c>
      <c r="AE13" s="202">
        <v>1076.3819999999998</v>
      </c>
      <c r="AF13" s="231">
        <v>1078.9858999999999</v>
      </c>
      <c r="AH13" s="234">
        <f t="shared" si="18"/>
        <v>5.1740517241379314</v>
      </c>
      <c r="AI13" s="234">
        <f t="shared" si="18"/>
        <v>4.475920679886686</v>
      </c>
      <c r="AJ13" s="234">
        <f t="shared" si="18"/>
        <v>2.4890783863561823</v>
      </c>
      <c r="AK13" s="234">
        <f t="shared" si="18"/>
        <v>7.3597499999999991</v>
      </c>
      <c r="AL13" s="234">
        <f t="shared" si="14"/>
        <v>1.6885540128682694</v>
      </c>
      <c r="AM13" s="235">
        <f t="shared" si="14"/>
        <v>4.5</v>
      </c>
      <c r="AN13" s="236">
        <f t="shared" si="14"/>
        <v>5.5654721753794272</v>
      </c>
      <c r="AO13" s="312"/>
      <c r="AQ13" s="229">
        <f t="shared" si="19"/>
        <v>96.483228448275867</v>
      </c>
      <c r="AR13" s="229">
        <f t="shared" si="19"/>
        <v>110.54794497954045</v>
      </c>
      <c r="AS13" s="229">
        <f t="shared" si="19"/>
        <v>85.163862840275513</v>
      </c>
      <c r="AT13" s="229">
        <f t="shared" si="19"/>
        <v>208.65349833291529</v>
      </c>
      <c r="AU13" s="229">
        <f t="shared" si="15"/>
        <v>105.52206596681339</v>
      </c>
      <c r="AV13" s="232">
        <f t="shared" si="15"/>
        <v>165.68624965112642</v>
      </c>
      <c r="AW13" s="233">
        <f t="shared" si="8"/>
        <v>0</v>
      </c>
      <c r="AY13" s="237">
        <f>IFERROR(#REF!/AT13-1,)</f>
        <v>0</v>
      </c>
      <c r="AZ13" s="237">
        <f>IFERROR(#REF!/AS13-1,)</f>
        <v>0</v>
      </c>
      <c r="BA13" s="237">
        <f>IFERROR(#REF!/AR13-1,)</f>
        <v>0</v>
      </c>
      <c r="BB13" s="237">
        <f t="shared" si="9"/>
        <v>0.5701573707174632</v>
      </c>
      <c r="BC13" s="237">
        <f>IFERROR(AU13/#REF!-1,)</f>
        <v>0</v>
      </c>
      <c r="BE13" s="234">
        <f t="shared" si="20"/>
        <v>18.647519118945667</v>
      </c>
      <c r="BF13" s="234">
        <f t="shared" si="20"/>
        <v>24.698369985935301</v>
      </c>
      <c r="BG13" s="234">
        <f t="shared" si="20"/>
        <v>34.215018420913935</v>
      </c>
      <c r="BH13" s="234">
        <f t="shared" si="20"/>
        <v>28.350623096289318</v>
      </c>
      <c r="BI13" s="234">
        <f t="shared" si="16"/>
        <v>62.492561779275206</v>
      </c>
      <c r="BJ13" s="238">
        <f t="shared" si="16"/>
        <v>36.819166589139208</v>
      </c>
      <c r="BK13" s="239">
        <f t="shared" si="11"/>
        <v>0</v>
      </c>
      <c r="BM13" s="237">
        <f>IFERROR(#REF!/BH13-1,)</f>
        <v>0</v>
      </c>
      <c r="BN13" s="237">
        <f>IFERROR(#REF!/BG13-1,)</f>
        <v>0</v>
      </c>
      <c r="BO13" s="237">
        <f>IFERROR(#REF!/BF13-1,)</f>
        <v>0</v>
      </c>
      <c r="BP13" s="237">
        <f t="shared" si="12"/>
        <v>-0.41082321574229697</v>
      </c>
      <c r="BQ13" s="237">
        <f>IFERROR(BI13/#REF!-1,)</f>
        <v>0</v>
      </c>
      <c r="BS13" s="234">
        <f t="shared" si="21"/>
        <v>20.29384315503173</v>
      </c>
      <c r="BT13" s="234">
        <f t="shared" si="21"/>
        <v>31.402900225991985</v>
      </c>
      <c r="BU13" s="234">
        <f t="shared" si="21"/>
        <v>36.830397913274368</v>
      </c>
      <c r="BV13" s="234">
        <f t="shared" si="21"/>
        <v>32.461308190242839</v>
      </c>
      <c r="BW13" s="234">
        <f t="shared" si="17"/>
        <v>101.5699195183159</v>
      </c>
      <c r="BX13" s="240">
        <f t="shared" si="17"/>
        <v>39.590501708751837</v>
      </c>
      <c r="BY13" s="241">
        <f t="shared" si="17"/>
        <v>0</v>
      </c>
      <c r="CA13" s="294"/>
      <c r="CB13" s="294"/>
      <c r="CC13" s="294"/>
      <c r="CD13" s="294" t="s">
        <v>1704</v>
      </c>
      <c r="CE13" s="297" t="s">
        <v>1705</v>
      </c>
      <c r="CF13" s="294" t="s">
        <v>1706</v>
      </c>
      <c r="CH13" s="294" t="s">
        <v>1707</v>
      </c>
      <c r="CI13" s="294" t="s">
        <v>1708</v>
      </c>
      <c r="CJ13" s="294" t="s">
        <v>1709</v>
      </c>
      <c r="CK13" s="294" t="s">
        <v>1710</v>
      </c>
      <c r="CL13" s="297" t="s">
        <v>1711</v>
      </c>
      <c r="CM13" s="294" t="s">
        <v>1712</v>
      </c>
    </row>
    <row r="14" spans="1:91" ht="13.15" customHeight="1" x14ac:dyDescent="0.2">
      <c r="A14" s="225" t="s">
        <v>1713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84">
        <v>49576.299828560201</v>
      </c>
      <c r="H14" s="230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02">
        <v>300</v>
      </c>
      <c r="P14" s="231">
        <f>300-32</f>
        <v>268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02">
        <v>1275</v>
      </c>
      <c r="X14" s="231">
        <v>1403.38</v>
      </c>
      <c r="Z14" s="229">
        <v>0</v>
      </c>
      <c r="AA14" s="229">
        <v>0</v>
      </c>
      <c r="AB14" s="229">
        <v>0</v>
      </c>
      <c r="AC14" s="229">
        <v>0</v>
      </c>
      <c r="AD14" s="229">
        <v>0</v>
      </c>
      <c r="AE14" s="202">
        <v>1185.75</v>
      </c>
      <c r="AF14" s="231">
        <v>1237.1443999999999</v>
      </c>
      <c r="AH14" s="234">
        <f t="shared" si="18"/>
        <v>0</v>
      </c>
      <c r="AI14" s="234">
        <f t="shared" si="18"/>
        <v>0</v>
      </c>
      <c r="AJ14" s="234">
        <f t="shared" si="18"/>
        <v>0</v>
      </c>
      <c r="AK14" s="234">
        <f t="shared" si="18"/>
        <v>0</v>
      </c>
      <c r="AL14" s="234">
        <f t="shared" si="14"/>
        <v>0</v>
      </c>
      <c r="AM14" s="235">
        <f t="shared" si="14"/>
        <v>4.25</v>
      </c>
      <c r="AN14" s="236">
        <f t="shared" si="14"/>
        <v>5.236492537313433</v>
      </c>
      <c r="AO14" s="312"/>
      <c r="AQ14" s="229">
        <f t="shared" si="19"/>
        <v>0</v>
      </c>
      <c r="AR14" s="229">
        <f t="shared" si="19"/>
        <v>0</v>
      </c>
      <c r="AS14" s="229">
        <f t="shared" si="19"/>
        <v>0</v>
      </c>
      <c r="AT14" s="229">
        <f t="shared" si="19"/>
        <v>0</v>
      </c>
      <c r="AU14" s="229">
        <f t="shared" si="15"/>
        <v>0</v>
      </c>
      <c r="AV14" s="232">
        <f t="shared" si="15"/>
        <v>165.25433276186735</v>
      </c>
      <c r="AW14" s="233">
        <f t="shared" si="8"/>
        <v>0</v>
      </c>
      <c r="AY14" s="237">
        <f>IFERROR(#REF!/AT14-1,)</f>
        <v>0</v>
      </c>
      <c r="AZ14" s="237">
        <f>IFERROR(#REF!/AS14-1,)</f>
        <v>0</v>
      </c>
      <c r="BA14" s="237">
        <f>IFERROR(#REF!/AR14-1,)</f>
        <v>0</v>
      </c>
      <c r="BB14" s="237">
        <f t="shared" si="9"/>
        <v>0</v>
      </c>
      <c r="BC14" s="237">
        <f>IFERROR(AU14/#REF!-1,)</f>
        <v>0</v>
      </c>
      <c r="BE14" s="234">
        <f t="shared" si="20"/>
        <v>0</v>
      </c>
      <c r="BF14" s="234">
        <f t="shared" si="20"/>
        <v>0</v>
      </c>
      <c r="BG14" s="234">
        <f t="shared" si="20"/>
        <v>0</v>
      </c>
      <c r="BH14" s="234">
        <f t="shared" si="20"/>
        <v>0</v>
      </c>
      <c r="BI14" s="234">
        <f t="shared" si="16"/>
        <v>0</v>
      </c>
      <c r="BJ14" s="238">
        <f t="shared" si="16"/>
        <v>38.883372414557023</v>
      </c>
      <c r="BK14" s="239">
        <f t="shared" si="11"/>
        <v>0</v>
      </c>
      <c r="BM14" s="237">
        <f>IFERROR(#REF!/BH14-1,)</f>
        <v>0</v>
      </c>
      <c r="BN14" s="237">
        <f>IFERROR(#REF!/BG14-1,)</f>
        <v>0</v>
      </c>
      <c r="BO14" s="237">
        <f>IFERROR(#REF!/BF14-1,)</f>
        <v>0</v>
      </c>
      <c r="BP14" s="237">
        <f t="shared" si="12"/>
        <v>0</v>
      </c>
      <c r="BQ14" s="237">
        <f>IFERROR(BI14/#REF!-1,)</f>
        <v>0</v>
      </c>
      <c r="BS14" s="234">
        <f t="shared" si="21"/>
        <v>0</v>
      </c>
      <c r="BT14" s="234">
        <f t="shared" si="21"/>
        <v>0</v>
      </c>
      <c r="BU14" s="234">
        <f t="shared" si="21"/>
        <v>0</v>
      </c>
      <c r="BV14" s="234">
        <f t="shared" si="21"/>
        <v>0</v>
      </c>
      <c r="BW14" s="234">
        <f t="shared" si="17"/>
        <v>0</v>
      </c>
      <c r="BX14" s="240">
        <f t="shared" si="17"/>
        <v>41.810077865115076</v>
      </c>
      <c r="BY14" s="241">
        <f t="shared" si="17"/>
        <v>0</v>
      </c>
      <c r="CA14" s="294"/>
      <c r="CB14" s="294"/>
      <c r="CC14" s="294"/>
      <c r="CD14" s="294"/>
      <c r="CE14" s="297"/>
      <c r="CF14" s="294" t="s">
        <v>1714</v>
      </c>
      <c r="CH14" s="294"/>
      <c r="CI14" s="294"/>
      <c r="CJ14" s="294"/>
      <c r="CK14" s="294"/>
      <c r="CL14" s="297"/>
      <c r="CM14" s="294" t="s">
        <v>1715</v>
      </c>
    </row>
    <row r="15" spans="1:91" ht="13.15" customHeight="1" x14ac:dyDescent="0.2">
      <c r="A15" s="242" t="s">
        <v>1716</v>
      </c>
      <c r="B15" s="243">
        <v>0</v>
      </c>
      <c r="C15" s="243">
        <v>0</v>
      </c>
      <c r="D15" s="243">
        <v>0</v>
      </c>
      <c r="E15" s="243">
        <v>0</v>
      </c>
      <c r="F15" s="243">
        <v>0</v>
      </c>
      <c r="G15" s="285">
        <v>23998.755485090522</v>
      </c>
      <c r="H15" s="244">
        <v>0</v>
      </c>
      <c r="J15" s="279">
        <v>0</v>
      </c>
      <c r="K15" s="279">
        <v>0</v>
      </c>
      <c r="L15" s="279">
        <v>0</v>
      </c>
      <c r="M15" s="279">
        <v>0</v>
      </c>
      <c r="N15" s="279">
        <v>0</v>
      </c>
      <c r="O15" s="247">
        <v>138</v>
      </c>
      <c r="P15" s="280">
        <v>138</v>
      </c>
      <c r="R15" s="243">
        <v>0</v>
      </c>
      <c r="S15" s="243">
        <v>0</v>
      </c>
      <c r="T15" s="243">
        <v>0</v>
      </c>
      <c r="U15" s="243">
        <v>0</v>
      </c>
      <c r="V15" s="279">
        <v>0</v>
      </c>
      <c r="W15" s="247">
        <v>586.5</v>
      </c>
      <c r="X15" s="280">
        <v>1017.73</v>
      </c>
      <c r="Z15" s="243">
        <v>0</v>
      </c>
      <c r="AA15" s="243">
        <v>0</v>
      </c>
      <c r="AB15" s="243">
        <v>0</v>
      </c>
      <c r="AC15" s="243">
        <v>0</v>
      </c>
      <c r="AD15" s="279">
        <v>0</v>
      </c>
      <c r="AE15" s="247">
        <v>545.44499999999994</v>
      </c>
      <c r="AF15" s="280">
        <v>922.22249999999997</v>
      </c>
      <c r="AH15" s="248">
        <f t="shared" si="18"/>
        <v>0</v>
      </c>
      <c r="AI15" s="248">
        <f t="shared" si="18"/>
        <v>0</v>
      </c>
      <c r="AJ15" s="248">
        <f t="shared" si="18"/>
        <v>0</v>
      </c>
      <c r="AK15" s="248">
        <f t="shared" si="18"/>
        <v>0</v>
      </c>
      <c r="AL15" s="248">
        <f t="shared" si="14"/>
        <v>0</v>
      </c>
      <c r="AM15" s="249">
        <f t="shared" si="14"/>
        <v>4.25</v>
      </c>
      <c r="AN15" s="250">
        <f t="shared" si="14"/>
        <v>7.3748550724637685</v>
      </c>
      <c r="AO15" s="313"/>
      <c r="AQ15" s="243">
        <f t="shared" si="19"/>
        <v>0</v>
      </c>
      <c r="AR15" s="243">
        <f t="shared" si="19"/>
        <v>0</v>
      </c>
      <c r="AS15" s="243">
        <f t="shared" si="19"/>
        <v>0</v>
      </c>
      <c r="AT15" s="243">
        <f t="shared" si="19"/>
        <v>0</v>
      </c>
      <c r="AU15" s="243">
        <f t="shared" si="15"/>
        <v>0</v>
      </c>
      <c r="AV15" s="245">
        <f t="shared" si="15"/>
        <v>173.90402525427913</v>
      </c>
      <c r="AW15" s="246">
        <f t="shared" si="8"/>
        <v>0</v>
      </c>
      <c r="AY15" s="251">
        <f>IFERROR(#REF!/AT15-1,)</f>
        <v>0</v>
      </c>
      <c r="AZ15" s="251">
        <f>IFERROR(#REF!/AS15-1,)</f>
        <v>0</v>
      </c>
      <c r="BA15" s="251">
        <f>IFERROR(#REF!/AR15-1,)</f>
        <v>0</v>
      </c>
      <c r="BB15" s="251">
        <f t="shared" si="9"/>
        <v>0</v>
      </c>
      <c r="BC15" s="251">
        <f>IFERROR(AU15/#REF!-1,)</f>
        <v>0</v>
      </c>
      <c r="BE15" s="248">
        <f t="shared" si="20"/>
        <v>0</v>
      </c>
      <c r="BF15" s="248">
        <f t="shared" si="20"/>
        <v>0</v>
      </c>
      <c r="BG15" s="248">
        <f t="shared" si="20"/>
        <v>0</v>
      </c>
      <c r="BH15" s="248">
        <f t="shared" si="20"/>
        <v>0</v>
      </c>
      <c r="BI15" s="248">
        <f t="shared" si="16"/>
        <v>0</v>
      </c>
      <c r="BJ15" s="252">
        <f t="shared" si="16"/>
        <v>40.918594177477445</v>
      </c>
      <c r="BK15" s="250">
        <f t="shared" si="11"/>
        <v>0</v>
      </c>
      <c r="BM15" s="251">
        <f>IFERROR(#REF!/BH15-1,)</f>
        <v>0</v>
      </c>
      <c r="BN15" s="251">
        <f>IFERROR(#REF!/BG15-1,)</f>
        <v>0</v>
      </c>
      <c r="BO15" s="251">
        <f>IFERROR(#REF!/BF15-1,)</f>
        <v>0</v>
      </c>
      <c r="BP15" s="251">
        <f t="shared" si="12"/>
        <v>0</v>
      </c>
      <c r="BQ15" s="251">
        <f>IFERROR(BI15/#REF!-1,)</f>
        <v>0</v>
      </c>
      <c r="BS15" s="248">
        <f t="shared" si="21"/>
        <v>0</v>
      </c>
      <c r="BT15" s="248">
        <f t="shared" si="21"/>
        <v>0</v>
      </c>
      <c r="BU15" s="248">
        <f t="shared" si="21"/>
        <v>0</v>
      </c>
      <c r="BV15" s="248">
        <f t="shared" si="21"/>
        <v>0</v>
      </c>
      <c r="BW15" s="248">
        <f t="shared" si="17"/>
        <v>0</v>
      </c>
      <c r="BX15" s="252">
        <f t="shared" si="17"/>
        <v>43.99848836287898</v>
      </c>
      <c r="BY15" s="253">
        <f t="shared" si="17"/>
        <v>0</v>
      </c>
      <c r="CA15" s="298"/>
      <c r="CB15" s="298"/>
      <c r="CC15" s="298"/>
      <c r="CD15" s="298"/>
      <c r="CE15" s="301"/>
      <c r="CF15" s="298" t="s">
        <v>1717</v>
      </c>
      <c r="CH15" s="298"/>
      <c r="CI15" s="298"/>
      <c r="CJ15" s="298"/>
      <c r="CK15" s="298"/>
      <c r="CL15" s="301"/>
      <c r="CM15" s="298" t="s">
        <v>1718</v>
      </c>
    </row>
    <row r="16" spans="1:91" ht="13.15" customHeight="1" thickBot="1" x14ac:dyDescent="0.25">
      <c r="A16" s="183"/>
      <c r="B16" s="183"/>
      <c r="C16" s="183"/>
      <c r="D16" s="183"/>
      <c r="E16" s="183"/>
      <c r="F16" s="183"/>
      <c r="G16" s="286"/>
      <c r="H16" s="183"/>
      <c r="I16" s="184"/>
      <c r="J16" s="183"/>
      <c r="K16" s="183"/>
      <c r="L16" s="183"/>
      <c r="M16" s="183"/>
      <c r="N16" s="183"/>
      <c r="O16" s="254"/>
      <c r="P16" s="185"/>
      <c r="Q16" s="184"/>
      <c r="R16" s="183"/>
      <c r="S16" s="183"/>
      <c r="T16" s="183"/>
      <c r="U16" s="183"/>
      <c r="V16" s="183"/>
      <c r="W16" s="254"/>
      <c r="X16" s="185"/>
      <c r="Y16" s="184"/>
      <c r="Z16" s="183"/>
      <c r="AA16" s="183"/>
      <c r="AB16" s="183"/>
      <c r="AC16" s="183"/>
      <c r="AD16" s="183"/>
      <c r="AE16" s="254"/>
      <c r="AF16" s="185"/>
      <c r="AG16" s="184"/>
      <c r="AH16" s="255"/>
      <c r="AI16" s="255"/>
      <c r="AJ16" s="255"/>
      <c r="AK16" s="255"/>
      <c r="AL16" s="255"/>
      <c r="AM16" s="255"/>
      <c r="AN16" s="256"/>
      <c r="AO16" s="314"/>
      <c r="AP16" s="184"/>
      <c r="AQ16" s="189"/>
      <c r="AR16" s="189"/>
      <c r="AS16" s="189"/>
      <c r="AT16" s="189"/>
      <c r="AU16" s="189"/>
      <c r="AV16" s="257"/>
      <c r="AW16" s="258"/>
      <c r="AX16" s="184"/>
      <c r="AY16" s="259"/>
      <c r="AZ16" s="259"/>
      <c r="BA16" s="259"/>
      <c r="BB16" s="259"/>
      <c r="BC16" s="259"/>
      <c r="BD16" s="184"/>
      <c r="BE16" s="183"/>
      <c r="BF16" s="183"/>
      <c r="BG16" s="183"/>
      <c r="BH16" s="183"/>
      <c r="BI16" s="183"/>
      <c r="BJ16" s="254"/>
      <c r="BK16" s="260"/>
      <c r="BL16" s="184"/>
      <c r="BM16" s="254"/>
      <c r="BN16" s="254"/>
      <c r="BO16" s="254"/>
      <c r="BP16" s="254"/>
      <c r="BQ16" s="254"/>
      <c r="BR16" s="184"/>
      <c r="BS16" s="183"/>
      <c r="BT16" s="183"/>
      <c r="BU16" s="183"/>
      <c r="BV16" s="183"/>
      <c r="BW16" s="183"/>
      <c r="BX16" s="183"/>
      <c r="BY16" s="261"/>
      <c r="BZ16" s="184"/>
      <c r="CA16" s="288"/>
      <c r="CB16" s="288"/>
      <c r="CC16" s="288"/>
      <c r="CD16" s="288"/>
      <c r="CE16" s="288"/>
      <c r="CF16" s="288"/>
      <c r="CG16" s="290"/>
      <c r="CH16" s="288"/>
      <c r="CI16" s="288"/>
      <c r="CJ16" s="288"/>
      <c r="CK16" s="288"/>
      <c r="CL16" s="288"/>
      <c r="CM16" s="288"/>
    </row>
    <row r="17" spans="1:91" ht="13.15" customHeight="1" thickTop="1" x14ac:dyDescent="0.2">
      <c r="A17" s="262" t="s">
        <v>1719</v>
      </c>
      <c r="B17" s="263">
        <f t="shared" ref="B17:H17" si="22">B4+B8+B11+B12+B13+B14+B15</f>
        <v>241694.31952000002</v>
      </c>
      <c r="C17" s="263">
        <f t="shared" si="22"/>
        <v>258583.67267</v>
      </c>
      <c r="D17" s="263">
        <f t="shared" si="22"/>
        <v>234859.38920903532</v>
      </c>
      <c r="E17" s="263">
        <f t="shared" si="22"/>
        <v>215832.54815621537</v>
      </c>
      <c r="F17" s="263">
        <f t="shared" si="22"/>
        <v>233796.40812999997</v>
      </c>
      <c r="G17" s="287">
        <f t="shared" si="22"/>
        <v>261220.12816583493</v>
      </c>
      <c r="H17" s="263">
        <f t="shared" si="22"/>
        <v>0</v>
      </c>
      <c r="I17" s="184"/>
      <c r="J17" s="263">
        <f t="shared" ref="J17:P17" si="23">J4+J8+J11+J12+J13+J14+J15</f>
        <v>2592</v>
      </c>
      <c r="K17" s="263">
        <f t="shared" si="23"/>
        <v>2005.9</v>
      </c>
      <c r="L17" s="263">
        <f t="shared" si="23"/>
        <v>2174.8000000000002</v>
      </c>
      <c r="M17" s="263">
        <f t="shared" si="23"/>
        <v>1240</v>
      </c>
      <c r="N17" s="263">
        <f t="shared" si="23"/>
        <v>1593.5</v>
      </c>
      <c r="O17" s="264">
        <f t="shared" si="23"/>
        <v>1663.8</v>
      </c>
      <c r="P17" s="265">
        <f t="shared" si="23"/>
        <v>1483.8</v>
      </c>
      <c r="Q17" s="184"/>
      <c r="R17" s="263">
        <f t="shared" ref="R17:X17" si="24">R4+R8+R11+R12+R13+R14+R15</f>
        <v>12104.970000000001</v>
      </c>
      <c r="S17" s="263">
        <f t="shared" si="24"/>
        <v>10161.799999999999</v>
      </c>
      <c r="T17" s="263">
        <f t="shared" si="24"/>
        <v>6505.16</v>
      </c>
      <c r="U17" s="263">
        <f t="shared" si="24"/>
        <v>6643.0300000000007</v>
      </c>
      <c r="V17" s="263">
        <f t="shared" si="24"/>
        <v>4371.9200000003002</v>
      </c>
      <c r="W17" s="264">
        <f t="shared" si="24"/>
        <v>6748.5199999999995</v>
      </c>
      <c r="X17" s="265">
        <f t="shared" si="24"/>
        <v>7098.1400000000012</v>
      </c>
      <c r="Y17" s="184"/>
      <c r="Z17" s="263">
        <f t="shared" ref="Z17:AF17" si="25">Z4+Z8+Z11+Z12+Z13+Z14+Z15</f>
        <v>10934</v>
      </c>
      <c r="AA17" s="263">
        <f t="shared" si="25"/>
        <v>8902.7529200000008</v>
      </c>
      <c r="AB17" s="263">
        <f t="shared" si="25"/>
        <v>5919.1021000000001</v>
      </c>
      <c r="AC17" s="263">
        <f t="shared" si="25"/>
        <v>5904.53</v>
      </c>
      <c r="AD17" s="263">
        <f t="shared" si="25"/>
        <v>3320.0085000000004</v>
      </c>
      <c r="AE17" s="264">
        <f t="shared" si="25"/>
        <v>6256.6685999999991</v>
      </c>
      <c r="AF17" s="265">
        <f t="shared" si="25"/>
        <v>6087.0684999999994</v>
      </c>
      <c r="AG17" s="184"/>
      <c r="AH17" s="266">
        <f t="shared" ref="AH17:AN17" si="26">IFERROR(R17/J17,)</f>
        <v>4.670127314814815</v>
      </c>
      <c r="AI17" s="266">
        <f t="shared" si="26"/>
        <v>5.0659554314771418</v>
      </c>
      <c r="AJ17" s="266">
        <f t="shared" si="26"/>
        <v>2.9911532094905278</v>
      </c>
      <c r="AK17" s="266">
        <f t="shared" si="26"/>
        <v>5.357282258064517</v>
      </c>
      <c r="AL17" s="266">
        <f t="shared" si="26"/>
        <v>2.7435958581740194</v>
      </c>
      <c r="AM17" s="267">
        <f t="shared" si="26"/>
        <v>4.056088472172136</v>
      </c>
      <c r="AN17" s="268">
        <f t="shared" si="26"/>
        <v>4.7837579188569901</v>
      </c>
      <c r="AO17" s="315"/>
      <c r="AP17" s="184"/>
      <c r="AQ17" s="269">
        <f t="shared" ref="AQ17:AV17" si="27">IFERROR(B17/J17,)</f>
        <v>93.246265246913595</v>
      </c>
      <c r="AR17" s="269">
        <f t="shared" si="27"/>
        <v>128.91154727055186</v>
      </c>
      <c r="AS17" s="269">
        <f t="shared" si="27"/>
        <v>107.99125860264635</v>
      </c>
      <c r="AT17" s="269">
        <f t="shared" si="27"/>
        <v>174.05850657759305</v>
      </c>
      <c r="AU17" s="269">
        <f t="shared" si="27"/>
        <v>146.71880020709128</v>
      </c>
      <c r="AV17" s="270">
        <f t="shared" si="27"/>
        <v>157.00212054684152</v>
      </c>
      <c r="AW17" s="271">
        <f>IFERROR(I17/P17,)</f>
        <v>0</v>
      </c>
      <c r="AX17" s="184"/>
      <c r="AY17" s="272">
        <v>-6.9893274302374131E-2</v>
      </c>
      <c r="AZ17" s="272">
        <v>0.49913048266608984</v>
      </c>
      <c r="BA17" s="272">
        <v>0.2558455084937612</v>
      </c>
      <c r="BB17" s="272">
        <v>0.50458064950598724</v>
      </c>
      <c r="BC17" s="272">
        <v>-9.3729738684167452E-2</v>
      </c>
      <c r="BD17" s="184"/>
      <c r="BE17" s="273">
        <f t="shared" ref="BE17:BJ17" si="28">IFERROR(B17/R17,)</f>
        <v>19.966536019502733</v>
      </c>
      <c r="BF17" s="273">
        <f t="shared" si="28"/>
        <v>25.446640621740244</v>
      </c>
      <c r="BG17" s="273">
        <f t="shared" si="28"/>
        <v>36.103553057731915</v>
      </c>
      <c r="BH17" s="273">
        <f t="shared" si="28"/>
        <v>32.490075787135595</v>
      </c>
      <c r="BI17" s="273">
        <f t="shared" si="28"/>
        <v>53.476826687126916</v>
      </c>
      <c r="BJ17" s="274">
        <f t="shared" si="28"/>
        <v>38.707765282733838</v>
      </c>
      <c r="BK17" s="275">
        <f>IFERROR(I17/X17,)</f>
        <v>0</v>
      </c>
      <c r="BL17" s="184"/>
      <c r="BM17" s="272">
        <v>5.1710378655495992E-2</v>
      </c>
      <c r="BN17" s="272">
        <v>-5.3551603245424073E-2</v>
      </c>
      <c r="BO17" s="272">
        <v>0.34281575381863938</v>
      </c>
      <c r="BP17" s="272">
        <v>-9.4546001356774267E-2</v>
      </c>
      <c r="BQ17" s="272">
        <v>0.56501586414212235</v>
      </c>
      <c r="BR17" s="184"/>
      <c r="BS17" s="273">
        <f t="shared" ref="BS17:BY17" si="29">IFERROR(B17/Z17,)</f>
        <v>22.10483990488385</v>
      </c>
      <c r="BT17" s="273">
        <f t="shared" si="29"/>
        <v>29.045361024126905</v>
      </c>
      <c r="BU17" s="273">
        <f t="shared" si="29"/>
        <v>39.67821220874621</v>
      </c>
      <c r="BV17" s="273">
        <f t="shared" si="29"/>
        <v>36.553721999247252</v>
      </c>
      <c r="BW17" s="273">
        <f t="shared" si="29"/>
        <v>70.420424565178052</v>
      </c>
      <c r="BX17" s="274">
        <f t="shared" si="29"/>
        <v>41.750673539882705</v>
      </c>
      <c r="BY17" s="275">
        <f t="shared" si="29"/>
        <v>0</v>
      </c>
      <c r="BZ17" s="184"/>
      <c r="CA17" s="299"/>
      <c r="CB17" s="299"/>
      <c r="CC17" s="299"/>
      <c r="CD17" s="299" t="s">
        <v>1720</v>
      </c>
      <c r="CE17" s="300" t="s">
        <v>1721</v>
      </c>
      <c r="CF17" s="299" t="s">
        <v>1722</v>
      </c>
      <c r="CG17" s="290"/>
      <c r="CH17" s="299" t="s">
        <v>1723</v>
      </c>
      <c r="CI17" s="299" t="s">
        <v>1724</v>
      </c>
      <c r="CJ17" s="299" t="s">
        <v>1725</v>
      </c>
      <c r="CK17" s="299" t="s">
        <v>1726</v>
      </c>
      <c r="CL17" s="300" t="s">
        <v>1727</v>
      </c>
      <c r="CM17" s="299" t="s">
        <v>1728</v>
      </c>
    </row>
    <row r="18" spans="1:91" x14ac:dyDescent="0.2">
      <c r="A18" s="184"/>
      <c r="B18" s="276"/>
      <c r="C18" s="276"/>
      <c r="D18" s="277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278"/>
      <c r="Q18" s="184"/>
      <c r="R18" s="184"/>
      <c r="S18" s="184"/>
      <c r="T18" s="184"/>
      <c r="U18" s="184"/>
      <c r="V18" s="278"/>
      <c r="W18" s="184"/>
      <c r="X18" s="278"/>
      <c r="Y18" s="184"/>
      <c r="Z18" s="184"/>
      <c r="AA18" s="184"/>
      <c r="AB18" s="184"/>
      <c r="AC18" s="184"/>
      <c r="AD18" s="278"/>
      <c r="AE18" s="184"/>
      <c r="AF18" s="278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4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4"/>
      <c r="BM18" s="184"/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4"/>
      <c r="CA18" s="290"/>
      <c r="CB18" s="290"/>
      <c r="CC18" s="290"/>
      <c r="CD18" s="290"/>
      <c r="CE18" s="290"/>
      <c r="CF18" s="290"/>
      <c r="CG18" s="290"/>
      <c r="CH18" s="290"/>
      <c r="CI18" s="290"/>
      <c r="CJ18" s="290"/>
      <c r="CK18" s="290"/>
      <c r="CL18" s="290"/>
      <c r="CM18" s="290"/>
    </row>
    <row r="19" spans="1:91" x14ac:dyDescent="0.2">
      <c r="A19" s="184"/>
      <c r="B19" s="276"/>
      <c r="C19" s="276"/>
      <c r="D19" s="277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4"/>
      <c r="BG19" s="184"/>
      <c r="BH19" s="184"/>
      <c r="BI19" s="184"/>
      <c r="BJ19" s="184"/>
      <c r="BK19" s="184"/>
      <c r="BL19" s="184"/>
      <c r="BM19" s="184"/>
      <c r="BN19" s="184"/>
      <c r="BO19" s="184"/>
      <c r="BP19" s="184"/>
      <c r="BQ19" s="184"/>
      <c r="BR19" s="184"/>
      <c r="BS19" s="184"/>
      <c r="BT19" s="184"/>
      <c r="BU19" s="184"/>
      <c r="BV19" s="184"/>
      <c r="BW19" s="184"/>
      <c r="BX19" s="184"/>
      <c r="BY19" s="184"/>
      <c r="BZ19" s="184"/>
      <c r="CA19" s="290"/>
      <c r="CB19" s="290"/>
      <c r="CC19" s="290"/>
      <c r="CD19" s="290"/>
      <c r="CE19" s="290"/>
      <c r="CF19" s="290"/>
      <c r="CG19" s="290"/>
      <c r="CH19" s="290"/>
      <c r="CI19" s="290"/>
      <c r="CJ19" s="290"/>
      <c r="CK19" s="290"/>
      <c r="CL19" s="290"/>
      <c r="CM19" s="290"/>
    </row>
    <row r="20" spans="1:91" x14ac:dyDescent="0.2">
      <c r="A20" s="184"/>
      <c r="B20" s="276"/>
      <c r="C20" s="276"/>
      <c r="D20" s="277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4"/>
      <c r="BG20" s="184"/>
      <c r="BH20" s="184"/>
      <c r="BI20" s="184"/>
      <c r="BJ20" s="184"/>
      <c r="BK20" s="184"/>
      <c r="BL20" s="184"/>
      <c r="BM20" s="184"/>
      <c r="BN20" s="184"/>
      <c r="BO20" s="184"/>
      <c r="BP20" s="184"/>
      <c r="BQ20" s="184"/>
      <c r="BR20" s="184"/>
      <c r="BS20" s="184"/>
      <c r="BT20" s="184"/>
      <c r="BU20" s="184"/>
      <c r="BV20" s="184"/>
      <c r="BW20" s="184"/>
      <c r="BX20" s="184"/>
      <c r="BY20" s="184"/>
      <c r="BZ20" s="184"/>
      <c r="CA20" s="290"/>
      <c r="CB20" s="290"/>
      <c r="CC20" s="290"/>
      <c r="CD20" s="290"/>
      <c r="CE20" s="290"/>
      <c r="CF20" s="290"/>
      <c r="CG20" s="290"/>
      <c r="CH20" s="290"/>
      <c r="CI20" s="290"/>
      <c r="CJ20" s="290"/>
      <c r="CK20" s="290"/>
      <c r="CL20" s="290"/>
      <c r="CM20" s="290"/>
    </row>
  </sheetData>
  <mergeCells count="1">
    <mergeCell ref="A2:A3"/>
  </mergeCells>
  <phoneticPr fontId="28" type="noConversion"/>
  <conditionalFormatting sqref="AY4:BC15 BM4:BQ15">
    <cfRule type="cellIs" dxfId="402" priority="1" operator="equal">
      <formula>-1</formula>
    </cfRule>
    <cfRule type="cellIs" dxfId="401" priority="2" operator="lessThan">
      <formula>-0.05</formula>
    </cfRule>
    <cfRule type="cellIs" dxfId="400" priority="3" operator="equal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588C-51A2-482E-A2DD-0AC493562ADC}">
  <sheetPr>
    <tabColor theme="1" tint="0.499984740745262"/>
  </sheetPr>
  <dimension ref="A1:J61"/>
  <sheetViews>
    <sheetView showGridLines="0" workbookViewId="0">
      <pane ySplit="6" topLeftCell="A7" activePane="bottomLeft" state="frozen"/>
      <selection pane="bottomLeft" activeCell="K17" sqref="K17"/>
    </sheetView>
  </sheetViews>
  <sheetFormatPr defaultRowHeight="15" x14ac:dyDescent="0.25"/>
  <cols>
    <col min="1" max="1" width="11.28515625" bestFit="1" customWidth="1"/>
    <col min="2" max="10" width="10.28515625" customWidth="1"/>
    <col min="11" max="11" width="24.42578125" bestFit="1" customWidth="1"/>
    <col min="12" max="12" width="24.28515625" bestFit="1" customWidth="1"/>
    <col min="13" max="13" width="33.7109375" bestFit="1" customWidth="1"/>
    <col min="14" max="14" width="24.42578125" bestFit="1" customWidth="1"/>
    <col min="15" max="15" width="24.28515625" bestFit="1" customWidth="1"/>
    <col min="16" max="16" width="33.7109375" bestFit="1" customWidth="1"/>
    <col min="17" max="17" width="24.42578125" bestFit="1" customWidth="1"/>
    <col min="18" max="18" width="24.28515625" bestFit="1" customWidth="1"/>
    <col min="19" max="19" width="33.7109375" bestFit="1" customWidth="1"/>
  </cols>
  <sheetData>
    <row r="1" spans="1:10" s="23" customFormat="1" x14ac:dyDescent="0.25">
      <c r="A1" s="23" t="s">
        <v>2782</v>
      </c>
    </row>
    <row r="2" spans="1:10" hidden="1" x14ac:dyDescent="0.25">
      <c r="A2" s="50" t="s">
        <v>2781</v>
      </c>
      <c r="B2" t="s">
        <v>1563</v>
      </c>
    </row>
    <row r="4" spans="1:10" hidden="1" x14ac:dyDescent="0.25">
      <c r="B4" s="50" t="s">
        <v>2777</v>
      </c>
    </row>
    <row r="5" spans="1:10" x14ac:dyDescent="0.25">
      <c r="B5">
        <v>2023</v>
      </c>
      <c r="E5">
        <v>2024</v>
      </c>
      <c r="H5">
        <v>2025</v>
      </c>
    </row>
    <row r="6" spans="1:10" s="369" customFormat="1" ht="27.6" customHeight="1" x14ac:dyDescent="0.25">
      <c r="A6" s="368" t="s">
        <v>1566</v>
      </c>
      <c r="B6" s="369" t="s">
        <v>2778</v>
      </c>
      <c r="C6" s="369" t="s">
        <v>2779</v>
      </c>
      <c r="D6" s="369" t="s">
        <v>2780</v>
      </c>
      <c r="E6" s="369" t="s">
        <v>2778</v>
      </c>
      <c r="F6" s="369" t="s">
        <v>2779</v>
      </c>
      <c r="G6" s="369" t="s">
        <v>2780</v>
      </c>
      <c r="H6" s="369" t="s">
        <v>2778</v>
      </c>
      <c r="I6" s="369" t="s">
        <v>2779</v>
      </c>
      <c r="J6" s="369" t="s">
        <v>2780</v>
      </c>
    </row>
    <row r="7" spans="1:10" x14ac:dyDescent="0.25">
      <c r="A7" s="367">
        <v>138</v>
      </c>
      <c r="B7" s="31">
        <v>0</v>
      </c>
      <c r="C7" s="31">
        <v>0</v>
      </c>
      <c r="D7" s="31">
        <v>0</v>
      </c>
      <c r="E7" s="384">
        <v>21.08</v>
      </c>
      <c r="F7" s="384">
        <v>11.344899999999999</v>
      </c>
      <c r="G7" s="384">
        <v>9.735100000000001</v>
      </c>
      <c r="H7" s="31">
        <v>0</v>
      </c>
      <c r="I7" s="31">
        <v>0</v>
      </c>
      <c r="J7" s="31">
        <v>0</v>
      </c>
    </row>
    <row r="8" spans="1:10" x14ac:dyDescent="0.25">
      <c r="A8" s="367">
        <v>139</v>
      </c>
      <c r="B8" s="31">
        <v>0</v>
      </c>
      <c r="C8" s="31">
        <v>0</v>
      </c>
      <c r="D8" s="31">
        <v>0</v>
      </c>
      <c r="E8" s="384">
        <v>79.27</v>
      </c>
      <c r="F8" s="384">
        <v>44.275500000000008</v>
      </c>
      <c r="G8" s="384">
        <v>34.994499999999995</v>
      </c>
      <c r="H8" s="31">
        <v>0</v>
      </c>
      <c r="I8" s="31">
        <v>0</v>
      </c>
      <c r="J8" s="31">
        <v>0</v>
      </c>
    </row>
    <row r="9" spans="1:10" x14ac:dyDescent="0.25">
      <c r="A9" s="367">
        <v>141</v>
      </c>
      <c r="B9" s="31">
        <v>0</v>
      </c>
      <c r="C9" s="31">
        <v>0</v>
      </c>
      <c r="D9" s="31">
        <v>0</v>
      </c>
      <c r="E9" s="384">
        <v>42.86</v>
      </c>
      <c r="F9" s="384">
        <v>24.221799999999998</v>
      </c>
      <c r="G9" s="384">
        <v>18.638200000000001</v>
      </c>
      <c r="H9" s="31">
        <v>0</v>
      </c>
      <c r="I9" s="31">
        <v>0</v>
      </c>
      <c r="J9" s="31">
        <v>0</v>
      </c>
    </row>
    <row r="10" spans="1:10" x14ac:dyDescent="0.25">
      <c r="A10" s="367">
        <v>142</v>
      </c>
      <c r="B10" s="31">
        <v>0</v>
      </c>
      <c r="C10" s="31">
        <v>0</v>
      </c>
      <c r="D10" s="31">
        <v>0</v>
      </c>
      <c r="E10" s="384">
        <v>110.74</v>
      </c>
      <c r="F10" s="384">
        <v>70.240899999999996</v>
      </c>
      <c r="G10" s="384">
        <v>40.499100000000006</v>
      </c>
      <c r="H10" s="31">
        <v>0</v>
      </c>
      <c r="I10" s="31">
        <v>0</v>
      </c>
      <c r="J10" s="31">
        <v>0</v>
      </c>
    </row>
    <row r="11" spans="1:10" x14ac:dyDescent="0.25">
      <c r="A11" s="367">
        <v>143</v>
      </c>
      <c r="B11" s="31">
        <v>0</v>
      </c>
      <c r="C11" s="31">
        <v>0</v>
      </c>
      <c r="D11" s="31">
        <v>0</v>
      </c>
      <c r="E11" s="384">
        <v>163.63</v>
      </c>
      <c r="F11" s="384">
        <v>106.20310000000001</v>
      </c>
      <c r="G11" s="384">
        <v>57.426900000000003</v>
      </c>
      <c r="H11" s="31">
        <v>0</v>
      </c>
      <c r="I11" s="31">
        <v>0</v>
      </c>
      <c r="J11" s="31">
        <v>0</v>
      </c>
    </row>
    <row r="12" spans="1:10" x14ac:dyDescent="0.25">
      <c r="A12" s="367">
        <v>144</v>
      </c>
      <c r="B12" s="31">
        <v>0</v>
      </c>
      <c r="C12" s="31">
        <v>0</v>
      </c>
      <c r="D12" s="31">
        <v>0</v>
      </c>
      <c r="E12" s="384">
        <v>165.88</v>
      </c>
      <c r="F12" s="384">
        <v>112.10560000000002</v>
      </c>
      <c r="G12" s="384">
        <v>53.7744</v>
      </c>
      <c r="H12" s="31">
        <v>0</v>
      </c>
      <c r="I12" s="31">
        <v>0</v>
      </c>
      <c r="J12" s="31">
        <v>0</v>
      </c>
    </row>
    <row r="13" spans="1:10" x14ac:dyDescent="0.25">
      <c r="A13" s="367">
        <v>145</v>
      </c>
      <c r="B13" s="31">
        <v>0</v>
      </c>
      <c r="C13" s="31">
        <v>0</v>
      </c>
      <c r="D13" s="31">
        <v>0</v>
      </c>
      <c r="E13" s="384">
        <v>176.58</v>
      </c>
      <c r="F13" s="384">
        <v>130.64529999999999</v>
      </c>
      <c r="G13" s="384">
        <v>45.934699999999999</v>
      </c>
      <c r="H13" s="31">
        <v>0</v>
      </c>
      <c r="I13" s="31">
        <v>0</v>
      </c>
      <c r="J13" s="31">
        <v>0</v>
      </c>
    </row>
    <row r="14" spans="1:10" x14ac:dyDescent="0.25">
      <c r="A14" s="367">
        <v>146</v>
      </c>
      <c r="B14" s="31">
        <v>0</v>
      </c>
      <c r="C14" s="31">
        <v>0</v>
      </c>
      <c r="D14" s="31">
        <v>0</v>
      </c>
      <c r="E14" s="384">
        <v>181.35</v>
      </c>
      <c r="F14" s="384">
        <v>129.76679999999999</v>
      </c>
      <c r="G14" s="384">
        <v>51.583199999999991</v>
      </c>
      <c r="H14" s="31">
        <v>0</v>
      </c>
      <c r="I14" s="31">
        <v>0</v>
      </c>
      <c r="J14" s="31">
        <v>0</v>
      </c>
    </row>
    <row r="15" spans="1:10" x14ac:dyDescent="0.25">
      <c r="A15" s="367">
        <v>147</v>
      </c>
      <c r="B15" s="31">
        <v>4.37</v>
      </c>
      <c r="C15" s="31">
        <v>4.0422000000000002</v>
      </c>
      <c r="D15" s="31">
        <v>0.3278000000000002</v>
      </c>
      <c r="E15" s="384">
        <v>0</v>
      </c>
      <c r="F15" s="384">
        <v>0</v>
      </c>
      <c r="G15" s="384">
        <v>0</v>
      </c>
      <c r="H15" s="31">
        <v>0</v>
      </c>
      <c r="I15" s="31">
        <v>0</v>
      </c>
      <c r="J15" s="31">
        <v>0</v>
      </c>
    </row>
    <row r="16" spans="1:10" x14ac:dyDescent="0.25">
      <c r="A16" s="367">
        <v>148</v>
      </c>
      <c r="B16" s="31">
        <v>0</v>
      </c>
      <c r="C16" s="31">
        <v>0</v>
      </c>
      <c r="D16" s="31">
        <v>0</v>
      </c>
      <c r="E16" s="384">
        <v>0</v>
      </c>
      <c r="F16" s="384">
        <v>0</v>
      </c>
      <c r="G16" s="384">
        <v>0</v>
      </c>
      <c r="H16" s="31">
        <v>29.45</v>
      </c>
      <c r="I16" s="31">
        <v>21.740699999999997</v>
      </c>
      <c r="J16" s="31">
        <v>7.7093000000000007</v>
      </c>
    </row>
    <row r="17" spans="1:10" x14ac:dyDescent="0.25">
      <c r="A17" s="367">
        <v>149</v>
      </c>
      <c r="B17" s="31">
        <v>0</v>
      </c>
      <c r="C17" s="31">
        <v>0</v>
      </c>
      <c r="D17" s="31">
        <v>0</v>
      </c>
      <c r="E17" s="384">
        <v>43.2</v>
      </c>
      <c r="F17" s="384">
        <v>31.880199999999999</v>
      </c>
      <c r="G17" s="384">
        <v>11.319800000000001</v>
      </c>
      <c r="H17" s="31">
        <v>98.79</v>
      </c>
      <c r="I17" s="31">
        <v>71.595600000000005</v>
      </c>
      <c r="J17" s="31">
        <v>27.194399999999998</v>
      </c>
    </row>
    <row r="18" spans="1:10" x14ac:dyDescent="0.25">
      <c r="A18" s="367">
        <v>150</v>
      </c>
      <c r="B18" s="31">
        <v>69.03</v>
      </c>
      <c r="C18" s="31">
        <v>59.331300000000006</v>
      </c>
      <c r="D18" s="31">
        <v>9.6987000000000005</v>
      </c>
      <c r="E18" s="384">
        <v>146.38999999999999</v>
      </c>
      <c r="F18" s="384">
        <v>109.71159999999999</v>
      </c>
      <c r="G18" s="384">
        <v>36.678399999999996</v>
      </c>
      <c r="H18" s="31">
        <v>52.63</v>
      </c>
      <c r="I18" s="31">
        <v>37.491999999999997</v>
      </c>
      <c r="J18" s="31">
        <v>15.138</v>
      </c>
    </row>
    <row r="19" spans="1:10" x14ac:dyDescent="0.25">
      <c r="A19" s="367">
        <v>151</v>
      </c>
      <c r="B19" s="31">
        <v>109.41</v>
      </c>
      <c r="C19" s="31">
        <v>93.002099999999984</v>
      </c>
      <c r="D19" s="31">
        <v>16.407900000000001</v>
      </c>
      <c r="E19" s="384">
        <v>19.11</v>
      </c>
      <c r="F19" s="384">
        <v>14.162000000000001</v>
      </c>
      <c r="G19" s="384">
        <v>4.9480000000000004</v>
      </c>
      <c r="H19" s="31">
        <v>0</v>
      </c>
      <c r="I19" s="31">
        <v>0</v>
      </c>
      <c r="J19" s="31">
        <v>0</v>
      </c>
    </row>
    <row r="20" spans="1:10" x14ac:dyDescent="0.25">
      <c r="A20" s="367">
        <v>152</v>
      </c>
      <c r="B20" s="31">
        <v>68.05</v>
      </c>
      <c r="C20" s="31">
        <v>59.271100000000004</v>
      </c>
      <c r="D20" s="31">
        <v>8.7789000000000001</v>
      </c>
      <c r="E20" s="384">
        <v>0</v>
      </c>
      <c r="F20" s="384">
        <v>0</v>
      </c>
      <c r="G20" s="384">
        <v>0</v>
      </c>
      <c r="H20" s="31">
        <v>46.31</v>
      </c>
      <c r="I20" s="31">
        <v>33.701500000000003</v>
      </c>
      <c r="J20" s="31">
        <v>12.608499999999999</v>
      </c>
    </row>
    <row r="21" spans="1:10" x14ac:dyDescent="0.25">
      <c r="A21" s="367">
        <v>153</v>
      </c>
      <c r="B21" s="31">
        <v>198.48</v>
      </c>
      <c r="C21" s="31">
        <v>169.62029999999999</v>
      </c>
      <c r="D21" s="31">
        <v>28.859699999999997</v>
      </c>
      <c r="E21" s="384">
        <v>0</v>
      </c>
      <c r="F21" s="384">
        <v>0</v>
      </c>
      <c r="G21" s="384">
        <v>0</v>
      </c>
      <c r="H21" s="31">
        <v>163.69999999999999</v>
      </c>
      <c r="I21" s="31">
        <v>124.14060000000001</v>
      </c>
      <c r="J21" s="31">
        <v>39.559400000000004</v>
      </c>
    </row>
    <row r="22" spans="1:10" x14ac:dyDescent="0.25">
      <c r="A22" s="367">
        <v>154</v>
      </c>
      <c r="B22" s="31">
        <v>195.89</v>
      </c>
      <c r="C22" s="31">
        <v>175.21079999999998</v>
      </c>
      <c r="D22" s="31">
        <v>20.679200000000005</v>
      </c>
      <c r="E22" s="384">
        <v>0</v>
      </c>
      <c r="F22" s="384">
        <v>0</v>
      </c>
      <c r="G22" s="384">
        <v>0</v>
      </c>
      <c r="H22" s="31">
        <v>231.73</v>
      </c>
      <c r="I22" s="31">
        <v>185.99870000000001</v>
      </c>
      <c r="J22" s="31">
        <v>45.731299999999997</v>
      </c>
    </row>
    <row r="23" spans="1:10" x14ac:dyDescent="0.25">
      <c r="A23" s="367">
        <v>155</v>
      </c>
      <c r="B23" s="31">
        <v>204.83</v>
      </c>
      <c r="C23" s="31">
        <v>180.0385</v>
      </c>
      <c r="D23" s="31">
        <v>24.791499999999996</v>
      </c>
      <c r="E23" s="384">
        <v>148.57</v>
      </c>
      <c r="F23" s="384">
        <v>131.97190000000003</v>
      </c>
      <c r="G23" s="384">
        <v>16.598099999999999</v>
      </c>
      <c r="H23" s="31">
        <v>208.7</v>
      </c>
      <c r="I23" s="31">
        <v>172.13149999999999</v>
      </c>
      <c r="J23" s="31">
        <v>36.5685</v>
      </c>
    </row>
    <row r="24" spans="1:10" x14ac:dyDescent="0.25">
      <c r="A24" s="367">
        <v>156</v>
      </c>
      <c r="B24" s="31">
        <v>113.39</v>
      </c>
      <c r="C24" s="31">
        <v>98.916200000000003</v>
      </c>
      <c r="D24" s="31">
        <v>14.473799999999995</v>
      </c>
      <c r="E24" s="384">
        <v>138.74</v>
      </c>
      <c r="F24" s="384">
        <v>121.50919999999999</v>
      </c>
      <c r="G24" s="384">
        <v>17.230800000000002</v>
      </c>
      <c r="H24" s="31">
        <v>339.51</v>
      </c>
      <c r="I24" s="31">
        <v>287.1114</v>
      </c>
      <c r="J24" s="31">
        <v>52.398600000000002</v>
      </c>
    </row>
    <row r="25" spans="1:10" x14ac:dyDescent="0.25">
      <c r="A25" s="367">
        <v>157</v>
      </c>
      <c r="B25" s="31">
        <v>219.01</v>
      </c>
      <c r="C25" s="31">
        <v>195.30619999999999</v>
      </c>
      <c r="D25" s="31">
        <v>23.703799999999998</v>
      </c>
      <c r="E25" s="384">
        <v>123.02</v>
      </c>
      <c r="F25" s="384">
        <v>91.866399999999999</v>
      </c>
      <c r="G25" s="384">
        <v>31.153599999999997</v>
      </c>
      <c r="H25" s="31">
        <v>309.33999999999997</v>
      </c>
      <c r="I25" s="31">
        <v>258.30090000000007</v>
      </c>
      <c r="J25" s="31">
        <v>51.039100000000005</v>
      </c>
    </row>
    <row r="26" spans="1:10" x14ac:dyDescent="0.25">
      <c r="A26" s="367">
        <v>158</v>
      </c>
      <c r="B26" s="31">
        <v>173.35</v>
      </c>
      <c r="C26" s="31">
        <v>154.68880000000001</v>
      </c>
      <c r="D26" s="31">
        <v>18.661199999999997</v>
      </c>
      <c r="E26" s="384">
        <v>228</v>
      </c>
      <c r="F26" s="384">
        <v>189.7638</v>
      </c>
      <c r="G26" s="384">
        <v>38.236199999999997</v>
      </c>
      <c r="H26" s="31">
        <v>291.70999999999998</v>
      </c>
      <c r="I26" s="31">
        <v>243.14910000000003</v>
      </c>
      <c r="J26" s="31">
        <v>48.560899999999997</v>
      </c>
    </row>
    <row r="27" spans="1:10" x14ac:dyDescent="0.25">
      <c r="A27" s="367">
        <v>159</v>
      </c>
      <c r="B27" s="31">
        <v>128.88</v>
      </c>
      <c r="C27" s="31">
        <v>100.9648</v>
      </c>
      <c r="D27" s="31">
        <v>27.915199999999999</v>
      </c>
      <c r="E27" s="384">
        <v>182.83</v>
      </c>
      <c r="F27" s="384">
        <v>152.49289999999999</v>
      </c>
      <c r="G27" s="384">
        <v>30.3371</v>
      </c>
      <c r="H27" s="31">
        <v>252.67</v>
      </c>
      <c r="I27" s="31">
        <v>213.4864</v>
      </c>
      <c r="J27" s="31">
        <v>39.183599999999991</v>
      </c>
    </row>
    <row r="28" spans="1:10" x14ac:dyDescent="0.25">
      <c r="A28" s="367">
        <v>160</v>
      </c>
      <c r="B28" s="31">
        <v>180.77</v>
      </c>
      <c r="C28" s="31">
        <v>165.61260000000001</v>
      </c>
      <c r="D28" s="31">
        <v>15.157399999999999</v>
      </c>
      <c r="E28" s="384">
        <v>149.86000000000001</v>
      </c>
      <c r="F28" s="384">
        <v>114.61290000000002</v>
      </c>
      <c r="G28" s="384">
        <v>35.247099999999996</v>
      </c>
      <c r="H28" s="31">
        <v>244.84</v>
      </c>
      <c r="I28" s="31">
        <v>214.19840000000002</v>
      </c>
      <c r="J28" s="31">
        <v>30.641599999999997</v>
      </c>
    </row>
    <row r="29" spans="1:10" x14ac:dyDescent="0.25">
      <c r="A29" s="367">
        <v>161</v>
      </c>
      <c r="B29" s="31">
        <v>185.68</v>
      </c>
      <c r="C29" s="31">
        <v>170.55529999999999</v>
      </c>
      <c r="D29" s="31">
        <v>15.124699999999997</v>
      </c>
      <c r="E29" s="384">
        <v>99.22</v>
      </c>
      <c r="F29" s="384">
        <v>70.327500000000001</v>
      </c>
      <c r="G29" s="384">
        <v>28.892499999999998</v>
      </c>
      <c r="H29" s="31">
        <v>152.51</v>
      </c>
      <c r="I29" s="31">
        <v>127.13890000000001</v>
      </c>
      <c r="J29" s="31">
        <v>25.371100000000006</v>
      </c>
    </row>
    <row r="30" spans="1:10" x14ac:dyDescent="0.25">
      <c r="A30" s="367">
        <v>162</v>
      </c>
      <c r="B30" s="31">
        <v>159.34</v>
      </c>
      <c r="C30" s="31">
        <v>138.60009999999997</v>
      </c>
      <c r="D30" s="31">
        <v>20.739899999999995</v>
      </c>
      <c r="E30" s="384">
        <v>200.64</v>
      </c>
      <c r="F30" s="384">
        <v>151.35259999999997</v>
      </c>
      <c r="G30" s="384">
        <v>49.287400000000005</v>
      </c>
      <c r="H30" s="31">
        <v>185.62</v>
      </c>
      <c r="I30" s="31">
        <v>159.9434</v>
      </c>
      <c r="J30" s="31">
        <v>25.676600000000004</v>
      </c>
    </row>
    <row r="31" spans="1:10" x14ac:dyDescent="0.25">
      <c r="A31" s="367">
        <v>163</v>
      </c>
      <c r="B31" s="31">
        <v>317.39999999999998</v>
      </c>
      <c r="C31" s="31">
        <v>270.61670000000004</v>
      </c>
      <c r="D31" s="31">
        <v>46.783299999999997</v>
      </c>
      <c r="E31" s="384">
        <v>129.15</v>
      </c>
      <c r="F31" s="384">
        <v>96.033400000000015</v>
      </c>
      <c r="G31" s="384">
        <v>33.116599999999991</v>
      </c>
      <c r="H31" s="31">
        <v>159.63</v>
      </c>
      <c r="I31" s="31">
        <v>146.7638</v>
      </c>
      <c r="J31" s="31">
        <v>12.866199999999999</v>
      </c>
    </row>
    <row r="32" spans="1:10" x14ac:dyDescent="0.25">
      <c r="A32" s="367">
        <v>164</v>
      </c>
      <c r="B32" s="31">
        <v>111.08</v>
      </c>
      <c r="C32" s="31">
        <v>86.684200000000004</v>
      </c>
      <c r="D32" s="31">
        <v>24.395799999999998</v>
      </c>
      <c r="E32" s="384">
        <v>221.4</v>
      </c>
      <c r="F32" s="384">
        <v>177.43639999999999</v>
      </c>
      <c r="G32" s="384">
        <v>43.963599999999992</v>
      </c>
      <c r="H32" s="31">
        <v>269.58</v>
      </c>
      <c r="I32" s="31">
        <v>233.11880000000002</v>
      </c>
      <c r="J32" s="31">
        <v>36.461199999999998</v>
      </c>
    </row>
    <row r="33" spans="1:10" x14ac:dyDescent="0.25">
      <c r="A33" s="367">
        <v>165</v>
      </c>
      <c r="B33" s="31">
        <v>0</v>
      </c>
      <c r="C33" s="31">
        <v>0</v>
      </c>
      <c r="D33" s="31">
        <v>0</v>
      </c>
      <c r="E33" s="384">
        <v>206.3</v>
      </c>
      <c r="F33" s="384">
        <v>163.36279999999996</v>
      </c>
      <c r="G33" s="384">
        <v>42.937199999999997</v>
      </c>
      <c r="H33" s="31">
        <v>214.02</v>
      </c>
      <c r="I33" s="31">
        <v>182.86539999999999</v>
      </c>
      <c r="J33" s="31">
        <v>31.154600000000006</v>
      </c>
    </row>
    <row r="34" spans="1:10" x14ac:dyDescent="0.25">
      <c r="A34" s="367">
        <v>166</v>
      </c>
      <c r="B34" s="31">
        <v>99.08</v>
      </c>
      <c r="C34" s="31">
        <v>86.77709999999999</v>
      </c>
      <c r="D34" s="31">
        <v>12.302900000000001</v>
      </c>
      <c r="E34" s="384">
        <v>197.73</v>
      </c>
      <c r="F34" s="384">
        <v>152.20170000000002</v>
      </c>
      <c r="G34" s="384">
        <v>45.528300000000002</v>
      </c>
      <c r="H34" s="31">
        <v>288.24</v>
      </c>
      <c r="I34" s="31">
        <v>252.88639999999998</v>
      </c>
      <c r="J34" s="31">
        <v>35.353600000000007</v>
      </c>
    </row>
    <row r="35" spans="1:10" x14ac:dyDescent="0.25">
      <c r="A35" s="367">
        <v>167</v>
      </c>
      <c r="B35" s="31">
        <v>198.18</v>
      </c>
      <c r="C35" s="31">
        <v>175.75790000000003</v>
      </c>
      <c r="D35" s="31">
        <v>22.422099999999997</v>
      </c>
      <c r="E35" s="384">
        <v>109.74</v>
      </c>
      <c r="F35" s="384">
        <v>81.551100000000005</v>
      </c>
      <c r="G35" s="384">
        <v>28.188899999999997</v>
      </c>
      <c r="H35" s="31">
        <v>239.3</v>
      </c>
      <c r="I35" s="31">
        <v>213.14920000000001</v>
      </c>
      <c r="J35" s="31">
        <v>26.150800000000004</v>
      </c>
    </row>
    <row r="36" spans="1:10" x14ac:dyDescent="0.25">
      <c r="A36" s="367">
        <v>168</v>
      </c>
      <c r="B36" s="31">
        <v>220.14</v>
      </c>
      <c r="C36" s="31">
        <v>197.67239999999998</v>
      </c>
      <c r="D36" s="31">
        <v>22.467599999999997</v>
      </c>
      <c r="E36" s="384">
        <v>66.08</v>
      </c>
      <c r="F36" s="384">
        <v>47.151299999999999</v>
      </c>
      <c r="G36" s="384">
        <v>18.928699999999996</v>
      </c>
      <c r="H36" s="31">
        <v>194.04</v>
      </c>
      <c r="I36" s="31">
        <v>177.48630000000006</v>
      </c>
      <c r="J36" s="31">
        <v>16.553699999999996</v>
      </c>
    </row>
    <row r="37" spans="1:10" x14ac:dyDescent="0.25">
      <c r="A37" s="367">
        <v>169</v>
      </c>
      <c r="B37" s="31">
        <v>183.8</v>
      </c>
      <c r="C37" s="31">
        <v>170.32560000000004</v>
      </c>
      <c r="D37" s="31">
        <v>13.474399999999999</v>
      </c>
      <c r="E37" s="384">
        <v>50.32</v>
      </c>
      <c r="F37" s="384">
        <v>35.700400000000002</v>
      </c>
      <c r="G37" s="384">
        <v>14.6196</v>
      </c>
      <c r="H37" s="31">
        <v>180.81</v>
      </c>
      <c r="I37" s="31">
        <v>155.0701</v>
      </c>
      <c r="J37" s="31">
        <v>25.739900000000002</v>
      </c>
    </row>
    <row r="38" spans="1:10" x14ac:dyDescent="0.25">
      <c r="A38" s="367">
        <v>170</v>
      </c>
      <c r="B38" s="31">
        <v>200.96</v>
      </c>
      <c r="C38" s="31">
        <v>187.64529999999999</v>
      </c>
      <c r="D38" s="31">
        <v>13.3147</v>
      </c>
      <c r="E38" s="384">
        <v>42.04</v>
      </c>
      <c r="F38" s="384">
        <v>31.770900000000001</v>
      </c>
      <c r="G38" s="384">
        <v>10.269099999999998</v>
      </c>
      <c r="H38" s="31">
        <v>212.04</v>
      </c>
      <c r="I38" s="31">
        <v>190.60379999999998</v>
      </c>
      <c r="J38" s="31">
        <v>21.436199999999999</v>
      </c>
    </row>
    <row r="39" spans="1:10" x14ac:dyDescent="0.25">
      <c r="A39" s="367">
        <v>171</v>
      </c>
      <c r="B39" s="31">
        <v>150.5</v>
      </c>
      <c r="C39" s="31">
        <v>131.8202</v>
      </c>
      <c r="D39" s="31">
        <v>18.6798</v>
      </c>
      <c r="E39" s="384">
        <v>133.74</v>
      </c>
      <c r="F39" s="384">
        <v>96.405600000000007</v>
      </c>
      <c r="G39" s="384">
        <v>37.334400000000002</v>
      </c>
      <c r="H39" s="31">
        <v>277.55</v>
      </c>
      <c r="I39" s="31">
        <v>255.02140000000003</v>
      </c>
      <c r="J39" s="31">
        <v>22.528600000000001</v>
      </c>
    </row>
    <row r="40" spans="1:10" x14ac:dyDescent="0.25">
      <c r="A40" s="367">
        <v>172</v>
      </c>
      <c r="B40" s="31">
        <v>160.51</v>
      </c>
      <c r="C40" s="31">
        <v>137.2603</v>
      </c>
      <c r="D40" s="31">
        <v>23.249700000000001</v>
      </c>
      <c r="E40" s="384">
        <v>146.47999999999999</v>
      </c>
      <c r="F40" s="384">
        <v>117.11340000000001</v>
      </c>
      <c r="G40" s="384">
        <v>29.366599999999998</v>
      </c>
      <c r="H40" s="31">
        <v>268.89999999999998</v>
      </c>
      <c r="I40" s="31">
        <v>247.04550000000003</v>
      </c>
      <c r="J40" s="31">
        <v>21.854500000000002</v>
      </c>
    </row>
    <row r="41" spans="1:10" x14ac:dyDescent="0.25">
      <c r="A41" s="367">
        <v>173</v>
      </c>
      <c r="B41" s="31">
        <v>198.41</v>
      </c>
      <c r="C41" s="31">
        <v>161.56080000000003</v>
      </c>
      <c r="D41" s="31">
        <v>36.849199999999996</v>
      </c>
      <c r="E41" s="384">
        <v>132.4</v>
      </c>
      <c r="F41" s="384">
        <v>109.16489999999999</v>
      </c>
      <c r="G41" s="384">
        <v>23.235100000000003</v>
      </c>
      <c r="H41" s="31">
        <v>148.15</v>
      </c>
      <c r="I41" s="31">
        <v>135.73579999999998</v>
      </c>
      <c r="J41" s="31">
        <v>12.414199999999999</v>
      </c>
    </row>
    <row r="42" spans="1:10" x14ac:dyDescent="0.25">
      <c r="A42" s="367">
        <v>174</v>
      </c>
      <c r="B42" s="31">
        <v>159.27000000000001</v>
      </c>
      <c r="C42" s="31">
        <v>132.68179999999998</v>
      </c>
      <c r="D42" s="31">
        <v>26.588200000000001</v>
      </c>
      <c r="E42" s="384">
        <v>9.2200000000000006</v>
      </c>
      <c r="F42" s="384">
        <v>7.0533000000000001</v>
      </c>
      <c r="G42" s="384">
        <v>2.1666999999999996</v>
      </c>
      <c r="H42" s="31">
        <v>204.71</v>
      </c>
      <c r="I42" s="31">
        <v>167.12740000000002</v>
      </c>
      <c r="J42" s="31">
        <v>37.582600000000006</v>
      </c>
    </row>
    <row r="43" spans="1:10" x14ac:dyDescent="0.25">
      <c r="A43" s="367">
        <v>175</v>
      </c>
      <c r="B43" s="31">
        <v>91.35</v>
      </c>
      <c r="C43" s="31">
        <v>76.347499999999997</v>
      </c>
      <c r="D43" s="31">
        <v>15.0025</v>
      </c>
      <c r="E43" s="384">
        <v>0</v>
      </c>
      <c r="F43" s="384">
        <v>0</v>
      </c>
      <c r="G43" s="384">
        <v>0</v>
      </c>
      <c r="H43" s="31">
        <v>228.57</v>
      </c>
      <c r="I43" s="31">
        <v>189.00680000000003</v>
      </c>
      <c r="J43" s="31">
        <v>39.563199999999995</v>
      </c>
    </row>
    <row r="44" spans="1:10" x14ac:dyDescent="0.25">
      <c r="A44" s="367">
        <v>176</v>
      </c>
      <c r="B44" s="31">
        <v>216.06</v>
      </c>
      <c r="C44" s="31">
        <v>187.3194</v>
      </c>
      <c r="D44" s="31">
        <v>28.740599999999993</v>
      </c>
      <c r="E44" s="384">
        <v>80.099999999999994</v>
      </c>
      <c r="F44" s="384">
        <v>69.9315</v>
      </c>
      <c r="G44" s="384">
        <v>10.1685</v>
      </c>
      <c r="H44" s="31">
        <v>94.08</v>
      </c>
      <c r="I44" s="31">
        <v>79.556699999999992</v>
      </c>
      <c r="J44" s="31">
        <v>14.523299999999999</v>
      </c>
    </row>
    <row r="45" spans="1:10" x14ac:dyDescent="0.25">
      <c r="A45" s="367">
        <v>177</v>
      </c>
      <c r="B45" s="31">
        <v>179.59</v>
      </c>
      <c r="C45" s="31">
        <v>160.93460000000002</v>
      </c>
      <c r="D45" s="31">
        <v>18.655399999999997</v>
      </c>
      <c r="E45" s="384">
        <v>93.37</v>
      </c>
      <c r="F45" s="384">
        <v>70.494199999999992</v>
      </c>
      <c r="G45" s="384">
        <v>22.875799999999998</v>
      </c>
      <c r="H45" s="31">
        <v>125.43</v>
      </c>
      <c r="I45" s="31">
        <v>104.5442</v>
      </c>
      <c r="J45" s="31">
        <v>20.885800000000003</v>
      </c>
    </row>
    <row r="46" spans="1:10" x14ac:dyDescent="0.25">
      <c r="A46" s="367">
        <v>178</v>
      </c>
      <c r="B46" s="31">
        <v>225.16</v>
      </c>
      <c r="C46" s="31">
        <v>188.04849999999999</v>
      </c>
      <c r="D46" s="31">
        <v>37.111500000000007</v>
      </c>
      <c r="E46" s="384">
        <v>105.69</v>
      </c>
      <c r="F46" s="384">
        <v>71.273299999999992</v>
      </c>
      <c r="G46" s="384">
        <v>34.416699999999999</v>
      </c>
      <c r="H46" s="31">
        <v>0</v>
      </c>
      <c r="I46" s="31">
        <v>0</v>
      </c>
      <c r="J46" s="31">
        <v>0</v>
      </c>
    </row>
    <row r="47" spans="1:10" x14ac:dyDescent="0.25">
      <c r="A47" s="367">
        <v>179</v>
      </c>
      <c r="B47" s="31">
        <v>83.36</v>
      </c>
      <c r="C47" s="31">
        <v>76.559400000000011</v>
      </c>
      <c r="D47" s="31">
        <v>6.8005999999999984</v>
      </c>
      <c r="E47" s="384">
        <v>141.41</v>
      </c>
      <c r="F47" s="384">
        <v>116.13040000000001</v>
      </c>
      <c r="G47" s="384">
        <v>25.279599999999999</v>
      </c>
      <c r="H47" s="31">
        <v>0</v>
      </c>
      <c r="I47" s="31">
        <v>0</v>
      </c>
      <c r="J47" s="31">
        <v>0</v>
      </c>
    </row>
    <row r="48" spans="1:10" x14ac:dyDescent="0.25">
      <c r="A48" s="367">
        <v>180</v>
      </c>
      <c r="B48" s="31">
        <v>170.46</v>
      </c>
      <c r="C48" s="31">
        <v>152.81610000000001</v>
      </c>
      <c r="D48" s="31">
        <v>17.643900000000002</v>
      </c>
      <c r="E48" s="384">
        <v>85.78</v>
      </c>
      <c r="F48" s="384">
        <v>68.778999999999996</v>
      </c>
      <c r="G48" s="384">
        <v>17.000999999999998</v>
      </c>
      <c r="H48" s="31">
        <v>60.75</v>
      </c>
      <c r="I48" s="31">
        <v>51.3339</v>
      </c>
      <c r="J48" s="31">
        <v>9.4161000000000001</v>
      </c>
    </row>
    <row r="49" spans="1:10" x14ac:dyDescent="0.25">
      <c r="A49" s="367">
        <v>181</v>
      </c>
      <c r="B49" s="31">
        <v>253.67</v>
      </c>
      <c r="C49" s="31">
        <v>239.26689999999999</v>
      </c>
      <c r="D49" s="31">
        <v>14.403099999999995</v>
      </c>
      <c r="E49" s="384">
        <v>0</v>
      </c>
      <c r="F49" s="384">
        <v>0</v>
      </c>
      <c r="G49" s="384">
        <v>0</v>
      </c>
      <c r="H49" s="31">
        <v>69.23</v>
      </c>
      <c r="I49" s="31">
        <v>60.6006</v>
      </c>
      <c r="J49" s="31">
        <v>8.6294000000000022</v>
      </c>
    </row>
    <row r="50" spans="1:10" x14ac:dyDescent="0.25">
      <c r="A50" s="367">
        <v>182</v>
      </c>
      <c r="B50" s="31">
        <v>197.5</v>
      </c>
      <c r="C50" s="31">
        <v>178.67689999999999</v>
      </c>
      <c r="D50" s="31">
        <v>18.8231</v>
      </c>
      <c r="E50" s="384">
        <v>0</v>
      </c>
      <c r="F50" s="384">
        <v>0</v>
      </c>
      <c r="G50" s="384">
        <v>0</v>
      </c>
      <c r="H50" s="31">
        <v>28.37</v>
      </c>
      <c r="I50" s="31">
        <v>24.692299999999999</v>
      </c>
      <c r="J50" s="31">
        <v>3.6777000000000002</v>
      </c>
    </row>
    <row r="51" spans="1:10" x14ac:dyDescent="0.25">
      <c r="A51" s="367">
        <v>183</v>
      </c>
      <c r="B51" s="31">
        <v>176.99</v>
      </c>
      <c r="C51" s="31">
        <v>163.7389</v>
      </c>
      <c r="D51" s="31">
        <v>13.251100000000001</v>
      </c>
      <c r="E51" s="384">
        <v>0</v>
      </c>
      <c r="F51" s="384">
        <v>0</v>
      </c>
      <c r="G51" s="384">
        <v>0</v>
      </c>
      <c r="H51" s="31">
        <v>69.19</v>
      </c>
      <c r="I51" s="31">
        <v>60.335200000000007</v>
      </c>
      <c r="J51" s="31">
        <v>8.8547999999999991</v>
      </c>
    </row>
    <row r="52" spans="1:10" x14ac:dyDescent="0.25">
      <c r="A52" s="367">
        <v>184</v>
      </c>
      <c r="B52" s="31">
        <v>207.86</v>
      </c>
      <c r="C52" s="31">
        <v>204.49970000000002</v>
      </c>
      <c r="D52" s="31">
        <v>3.3602999999999992</v>
      </c>
      <c r="E52" s="384">
        <v>0</v>
      </c>
      <c r="F52" s="384">
        <v>0</v>
      </c>
      <c r="G52" s="384">
        <v>0</v>
      </c>
      <c r="H52" s="31">
        <v>218.92</v>
      </c>
      <c r="I52" s="31">
        <v>187.41479999999999</v>
      </c>
      <c r="J52" s="31">
        <v>31.505199999999999</v>
      </c>
    </row>
    <row r="53" spans="1:10" x14ac:dyDescent="0.25">
      <c r="A53" s="367">
        <v>185</v>
      </c>
      <c r="B53" s="31">
        <v>177.5</v>
      </c>
      <c r="C53" s="31">
        <v>162.61960000000002</v>
      </c>
      <c r="D53" s="31">
        <v>14.8804</v>
      </c>
      <c r="E53" s="384">
        <v>0</v>
      </c>
      <c r="F53" s="384">
        <v>0</v>
      </c>
      <c r="G53" s="384">
        <v>0</v>
      </c>
      <c r="H53" s="31">
        <v>192.37</v>
      </c>
      <c r="I53" s="31">
        <v>161.74050000000003</v>
      </c>
      <c r="J53" s="31">
        <v>30.6295</v>
      </c>
    </row>
    <row r="54" spans="1:10" x14ac:dyDescent="0.25">
      <c r="A54" s="367">
        <v>186</v>
      </c>
      <c r="B54" s="31">
        <v>197.45</v>
      </c>
      <c r="C54" s="31">
        <v>182.09809999999999</v>
      </c>
      <c r="D54" s="31">
        <v>15.351899999999999</v>
      </c>
      <c r="E54" s="384">
        <v>0</v>
      </c>
      <c r="F54" s="384">
        <v>0</v>
      </c>
      <c r="G54" s="384">
        <v>0</v>
      </c>
      <c r="H54" s="31">
        <v>213.73</v>
      </c>
      <c r="I54" s="31">
        <v>190.14850000000001</v>
      </c>
      <c r="J54" s="31">
        <v>23.581499999999998</v>
      </c>
    </row>
    <row r="55" spans="1:10" x14ac:dyDescent="0.25">
      <c r="A55" s="367">
        <v>187</v>
      </c>
      <c r="B55" s="31">
        <v>164.09</v>
      </c>
      <c r="C55" s="31">
        <v>144.49079999999998</v>
      </c>
      <c r="D55" s="31">
        <v>19.599199999999996</v>
      </c>
      <c r="E55" s="384">
        <v>0</v>
      </c>
      <c r="F55" s="384">
        <v>0</v>
      </c>
      <c r="G55" s="384">
        <v>0</v>
      </c>
      <c r="H55" s="31">
        <v>84.68</v>
      </c>
      <c r="I55" s="31">
        <v>73.460300000000004</v>
      </c>
      <c r="J55" s="31">
        <v>11.2197</v>
      </c>
    </row>
    <row r="56" spans="1:10" x14ac:dyDescent="0.25">
      <c r="A56" s="367">
        <v>188</v>
      </c>
      <c r="B56" s="31">
        <v>119.08</v>
      </c>
      <c r="C56" s="31">
        <v>112.973</v>
      </c>
      <c r="D56" s="31">
        <v>6.1070000000000002</v>
      </c>
      <c r="E56" s="384">
        <v>0</v>
      </c>
      <c r="F56" s="384">
        <v>0</v>
      </c>
      <c r="G56" s="384">
        <v>0</v>
      </c>
      <c r="H56" s="31">
        <v>226.12</v>
      </c>
      <c r="I56" s="31">
        <v>203.4391</v>
      </c>
      <c r="J56" s="31">
        <v>22.680899999999998</v>
      </c>
    </row>
    <row r="57" spans="1:10" x14ac:dyDescent="0.25">
      <c r="A57" s="367">
        <v>189</v>
      </c>
      <c r="B57" s="31">
        <v>32.42</v>
      </c>
      <c r="C57" s="31">
        <v>29.498000000000001</v>
      </c>
      <c r="D57" s="31">
        <v>2.9220000000000002</v>
      </c>
      <c r="E57" s="384">
        <v>0</v>
      </c>
      <c r="F57" s="384">
        <v>0</v>
      </c>
      <c r="G57" s="384">
        <v>0</v>
      </c>
      <c r="H57" s="31">
        <v>0</v>
      </c>
      <c r="I57" s="31">
        <v>0</v>
      </c>
      <c r="J57" s="31">
        <v>0</v>
      </c>
    </row>
    <row r="58" spans="1:10" x14ac:dyDescent="0.25">
      <c r="A58" s="367">
        <v>190</v>
      </c>
      <c r="B58" s="31">
        <v>53.86</v>
      </c>
      <c r="C58" s="31">
        <v>53.86</v>
      </c>
      <c r="D58" s="31">
        <v>0</v>
      </c>
      <c r="E58" s="384">
        <v>0</v>
      </c>
      <c r="F58" s="384">
        <v>0</v>
      </c>
      <c r="G58" s="384">
        <v>0</v>
      </c>
      <c r="H58" s="31">
        <v>40.51</v>
      </c>
      <c r="I58" s="31">
        <v>36.604800000000004</v>
      </c>
      <c r="J58" s="31">
        <v>3.9051999999999989</v>
      </c>
    </row>
    <row r="59" spans="1:10" x14ac:dyDescent="0.25">
      <c r="A59" s="367">
        <v>191</v>
      </c>
      <c r="B59" s="31">
        <v>74.06</v>
      </c>
      <c r="C59" s="31">
        <v>74.06</v>
      </c>
      <c r="D59" s="31">
        <v>0</v>
      </c>
      <c r="E59" s="384">
        <v>0</v>
      </c>
      <c r="F59" s="384">
        <v>0</v>
      </c>
      <c r="G59" s="384">
        <v>0</v>
      </c>
      <c r="H59" s="31">
        <v>143.24</v>
      </c>
      <c r="I59" s="31">
        <v>125.85029999999999</v>
      </c>
      <c r="J59" s="31">
        <v>17.389700000000001</v>
      </c>
    </row>
    <row r="60" spans="1:10" x14ac:dyDescent="0.25">
      <c r="A60" s="367">
        <v>192</v>
      </c>
      <c r="B60" s="31">
        <v>12.76</v>
      </c>
      <c r="C60" s="31">
        <v>12.76</v>
      </c>
      <c r="D60" s="31">
        <v>0</v>
      </c>
      <c r="E60" s="384">
        <v>0</v>
      </c>
      <c r="F60" s="384">
        <v>0</v>
      </c>
      <c r="G60" s="384">
        <v>0</v>
      </c>
      <c r="H60" s="31">
        <v>38.47</v>
      </c>
      <c r="I60" s="31">
        <v>31.337499999999999</v>
      </c>
      <c r="J60" s="31">
        <v>7.1325000000000003</v>
      </c>
    </row>
    <row r="61" spans="1:10" x14ac:dyDescent="0.25">
      <c r="A61" s="367" t="s">
        <v>182</v>
      </c>
      <c r="B61" s="31">
        <v>6643.03</v>
      </c>
      <c r="C61" s="31">
        <v>5904.5300000000052</v>
      </c>
      <c r="D61" s="31">
        <v>738.49999999999989</v>
      </c>
      <c r="E61" s="31">
        <v>4371.92</v>
      </c>
      <c r="F61" s="31">
        <v>3320.0085000000036</v>
      </c>
      <c r="G61" s="31">
        <v>1051.9115000000011</v>
      </c>
      <c r="H61" s="31">
        <v>7098.14</v>
      </c>
      <c r="I61" s="31">
        <v>6087.0685000000003</v>
      </c>
      <c r="J61" s="31">
        <v>1011.0715000000004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1EDD-E370-4B82-A1D4-62A43ACDD76C}">
  <sheetPr>
    <tabColor theme="1" tint="0.499984740745262"/>
  </sheetPr>
  <dimension ref="A1:J9"/>
  <sheetViews>
    <sheetView showGridLines="0" workbookViewId="0">
      <selection activeCell="F7" sqref="F7"/>
    </sheetView>
  </sheetViews>
  <sheetFormatPr defaultRowHeight="15" x14ac:dyDescent="0.25"/>
  <cols>
    <col min="1" max="1" width="12.28515625" bestFit="1" customWidth="1"/>
    <col min="2" max="7" width="17.85546875" customWidth="1"/>
    <col min="8" max="10" width="10.28515625" customWidth="1"/>
    <col min="11" max="11" width="24.42578125" bestFit="1" customWidth="1"/>
    <col min="12" max="12" width="24.28515625" bestFit="1" customWidth="1"/>
    <col min="13" max="13" width="33.7109375" bestFit="1" customWidth="1"/>
    <col min="14" max="14" width="24.42578125" bestFit="1" customWidth="1"/>
    <col min="15" max="15" width="24.28515625" bestFit="1" customWidth="1"/>
    <col min="16" max="16" width="33.7109375" bestFit="1" customWidth="1"/>
    <col min="17" max="17" width="24.42578125" bestFit="1" customWidth="1"/>
    <col min="18" max="18" width="24.28515625" bestFit="1" customWidth="1"/>
    <col min="19" max="19" width="33.7109375" bestFit="1" customWidth="1"/>
  </cols>
  <sheetData>
    <row r="1" spans="1:10" s="23" customFormat="1" x14ac:dyDescent="0.25">
      <c r="A1" s="23" t="s">
        <v>2783</v>
      </c>
    </row>
    <row r="2" spans="1:10" hidden="1" x14ac:dyDescent="0.25">
      <c r="A2" s="50" t="s">
        <v>2781</v>
      </c>
      <c r="B2" t="s">
        <v>1563</v>
      </c>
    </row>
    <row r="3" spans="1:10" x14ac:dyDescent="0.25">
      <c r="B3" s="23" t="s">
        <v>2785</v>
      </c>
      <c r="E3" s="23" t="s">
        <v>2786</v>
      </c>
      <c r="H3" s="23" t="s">
        <v>2787</v>
      </c>
    </row>
    <row r="4" spans="1:10" hidden="1" x14ac:dyDescent="0.25">
      <c r="A4" s="50" t="s">
        <v>2784</v>
      </c>
      <c r="B4" s="50" t="s">
        <v>2777</v>
      </c>
    </row>
    <row r="5" spans="1:10" x14ac:dyDescent="0.25">
      <c r="A5" s="50" t="s">
        <v>1566</v>
      </c>
      <c r="B5">
        <v>2023</v>
      </c>
      <c r="C5">
        <v>2024</v>
      </c>
      <c r="D5">
        <v>2025</v>
      </c>
      <c r="E5" s="370">
        <v>2023</v>
      </c>
      <c r="F5" s="370">
        <v>2024</v>
      </c>
      <c r="G5" s="370">
        <v>2025</v>
      </c>
      <c r="H5" s="370">
        <v>2023</v>
      </c>
      <c r="I5" s="370">
        <v>2024</v>
      </c>
      <c r="J5" s="370">
        <v>2025</v>
      </c>
    </row>
    <row r="6" spans="1:10" s="369" customFormat="1" ht="18.600000000000001" customHeight="1" x14ac:dyDescent="0.25">
      <c r="A6" s="24" t="s">
        <v>1560</v>
      </c>
      <c r="B6" s="31">
        <v>250860</v>
      </c>
      <c r="C6" s="31">
        <v>1150090</v>
      </c>
      <c r="D6" s="31">
        <v>227180</v>
      </c>
      <c r="E6" s="31">
        <v>4</v>
      </c>
      <c r="F6" s="31">
        <v>11</v>
      </c>
      <c r="G6" s="31">
        <v>4</v>
      </c>
      <c r="H6" s="31">
        <f>B6/E6</f>
        <v>62715</v>
      </c>
      <c r="I6" s="31">
        <f t="shared" ref="I6:J9" si="0">C6/F6</f>
        <v>104553.63636363637</v>
      </c>
      <c r="J6" s="31">
        <f t="shared" si="0"/>
        <v>56795</v>
      </c>
    </row>
    <row r="7" spans="1:10" ht="18.600000000000001" customHeight="1" x14ac:dyDescent="0.25">
      <c r="A7" s="24" t="s">
        <v>1561</v>
      </c>
      <c r="B7" s="31">
        <v>5176100</v>
      </c>
      <c r="C7" s="31">
        <v>3221830</v>
      </c>
      <c r="D7" s="31">
        <v>5643730</v>
      </c>
      <c r="E7" s="31">
        <v>29</v>
      </c>
      <c r="F7" s="31">
        <v>25</v>
      </c>
      <c r="G7" s="31">
        <v>28</v>
      </c>
      <c r="H7" s="31">
        <f>B7/E7</f>
        <v>178486.20689655171</v>
      </c>
      <c r="I7" s="31">
        <f t="shared" si="0"/>
        <v>128873.2</v>
      </c>
      <c r="J7" s="31">
        <f t="shared" si="0"/>
        <v>201561.78571428571</v>
      </c>
    </row>
    <row r="8" spans="1:10" ht="18.600000000000001" customHeight="1" x14ac:dyDescent="0.25">
      <c r="A8" s="24" t="s">
        <v>1562</v>
      </c>
      <c r="B8" s="31">
        <v>1216070</v>
      </c>
      <c r="C8" s="31"/>
      <c r="D8" s="31">
        <v>1227230</v>
      </c>
      <c r="E8" s="31">
        <v>10</v>
      </c>
      <c r="F8" s="31"/>
      <c r="G8" s="31">
        <v>9</v>
      </c>
      <c r="H8" s="31">
        <f>B8/E8</f>
        <v>121607</v>
      </c>
      <c r="I8" s="31"/>
      <c r="J8" s="31">
        <f t="shared" si="0"/>
        <v>136358.88888888888</v>
      </c>
    </row>
    <row r="9" spans="1:10" x14ac:dyDescent="0.25">
      <c r="A9" s="24" t="s">
        <v>182</v>
      </c>
      <c r="B9" s="31">
        <v>6643030</v>
      </c>
      <c r="C9" s="31">
        <v>4371920</v>
      </c>
      <c r="D9" s="31">
        <v>7098140</v>
      </c>
      <c r="E9" s="371">
        <f>SUM(E6:E8)</f>
        <v>43</v>
      </c>
      <c r="F9" s="371">
        <f>SUM(F6:F8)</f>
        <v>36</v>
      </c>
      <c r="G9" s="371">
        <f>SUM(G6:G8)</f>
        <v>41</v>
      </c>
      <c r="H9" s="371">
        <f>B9/E9</f>
        <v>154489.06976744186</v>
      </c>
      <c r="I9" s="371">
        <f t="shared" si="0"/>
        <v>121442.22222222222</v>
      </c>
      <c r="J9" s="371">
        <f t="shared" si="0"/>
        <v>173125.36585365853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C5E5-ED42-447D-823F-0FBC70DD884F}">
  <dimension ref="A1:Y151"/>
  <sheetViews>
    <sheetView workbookViewId="0">
      <pane ySplit="1" topLeftCell="A137" activePane="bottomLeft" state="frozen"/>
      <selection pane="bottomLeft" activeCell="F147" sqref="F147"/>
    </sheetView>
  </sheetViews>
  <sheetFormatPr defaultColWidth="8.85546875" defaultRowHeight="14.25" x14ac:dyDescent="0.2"/>
  <cols>
    <col min="1" max="1" width="23.85546875" style="373" customWidth="1"/>
    <col min="2" max="2" width="24.28515625" style="373" customWidth="1"/>
    <col min="3" max="3" width="8.85546875" style="373"/>
    <col min="4" max="4" width="12.42578125" style="373" customWidth="1"/>
    <col min="5" max="5" width="10.5703125" style="373" customWidth="1"/>
    <col min="6" max="6" width="18.28515625" style="373" customWidth="1"/>
    <col min="7" max="7" width="8.85546875" style="373"/>
    <col min="8" max="8" width="10.42578125" style="373" customWidth="1"/>
    <col min="9" max="9" width="8.85546875" style="373"/>
    <col min="10" max="10" width="9.7109375" style="373" customWidth="1"/>
    <col min="11" max="11" width="16.42578125" style="373" customWidth="1"/>
    <col min="12" max="13" width="8.85546875" style="373"/>
    <col min="14" max="14" width="14" style="373" customWidth="1"/>
    <col min="15" max="16" width="13.28515625" style="373" customWidth="1"/>
    <col min="17" max="17" width="8.85546875" style="373"/>
    <col min="18" max="18" width="14.28515625" style="373" customWidth="1"/>
    <col min="19" max="19" width="19" style="373" customWidth="1"/>
    <col min="20" max="20" width="19.28515625" style="373" customWidth="1"/>
    <col min="21" max="21" width="23.28515625" style="373" customWidth="1"/>
    <col min="22" max="22" width="17.42578125" style="373" customWidth="1"/>
    <col min="23" max="23" width="11.42578125" style="373" customWidth="1"/>
    <col min="24" max="24" width="19.7109375" style="373" customWidth="1"/>
    <col min="25" max="25" width="20" style="373" customWidth="1"/>
    <col min="26" max="16384" width="8.85546875" style="373"/>
  </cols>
  <sheetData>
    <row r="1" spans="1:25" s="372" customFormat="1" ht="21.6" customHeight="1" x14ac:dyDescent="0.2">
      <c r="A1" s="374" t="s">
        <v>2788</v>
      </c>
      <c r="B1" s="374" t="s">
        <v>2789</v>
      </c>
      <c r="C1" s="375" t="s">
        <v>2790</v>
      </c>
      <c r="D1" s="375" t="s">
        <v>2791</v>
      </c>
      <c r="E1" s="375" t="s">
        <v>2792</v>
      </c>
      <c r="F1" s="375" t="s">
        <v>2793</v>
      </c>
      <c r="G1" s="375" t="s">
        <v>173</v>
      </c>
      <c r="H1" s="375" t="s">
        <v>2415</v>
      </c>
      <c r="I1" s="375" t="s">
        <v>83</v>
      </c>
      <c r="J1" s="375" t="s">
        <v>2794</v>
      </c>
      <c r="K1" s="375" t="s">
        <v>2795</v>
      </c>
      <c r="L1" s="374" t="s">
        <v>2796</v>
      </c>
      <c r="M1" s="374" t="s">
        <v>2797</v>
      </c>
      <c r="N1" s="374" t="s">
        <v>2798</v>
      </c>
      <c r="O1" s="374" t="s">
        <v>2799</v>
      </c>
      <c r="P1" s="374" t="s">
        <v>2800</v>
      </c>
      <c r="Q1" s="374" t="s">
        <v>2801</v>
      </c>
      <c r="R1" s="374" t="s">
        <v>2802</v>
      </c>
      <c r="S1" s="374" t="s">
        <v>2803</v>
      </c>
      <c r="T1" s="375" t="s">
        <v>2804</v>
      </c>
      <c r="U1" s="375" t="s">
        <v>2805</v>
      </c>
      <c r="V1" s="375" t="s">
        <v>2806</v>
      </c>
      <c r="W1" s="374" t="s">
        <v>2807</v>
      </c>
      <c r="X1" s="375" t="s">
        <v>2808</v>
      </c>
      <c r="Y1" s="375" t="s">
        <v>2809</v>
      </c>
    </row>
    <row r="2" spans="1:25" s="372" customFormat="1" ht="21.6" customHeight="1" x14ac:dyDescent="0.2">
      <c r="A2" s="376" t="s">
        <v>2810</v>
      </c>
      <c r="B2" s="376" t="s">
        <v>2811</v>
      </c>
      <c r="C2" s="377" t="s">
        <v>2812</v>
      </c>
      <c r="D2" s="377"/>
      <c r="E2" s="377" t="s">
        <v>2813</v>
      </c>
      <c r="F2" s="378" t="s">
        <v>2814</v>
      </c>
      <c r="G2" s="377" t="s">
        <v>1754</v>
      </c>
      <c r="H2" s="377">
        <v>2024</v>
      </c>
      <c r="I2" s="377" t="s">
        <v>2815</v>
      </c>
      <c r="J2" s="377" t="s">
        <v>2816</v>
      </c>
      <c r="K2" s="377" t="s">
        <v>2817</v>
      </c>
      <c r="L2" s="379">
        <v>10</v>
      </c>
      <c r="M2" s="380"/>
      <c r="N2" s="381">
        <v>1</v>
      </c>
      <c r="O2" s="382">
        <v>8</v>
      </c>
      <c r="P2" s="382">
        <v>70</v>
      </c>
      <c r="Q2" s="379">
        <v>10</v>
      </c>
      <c r="R2" s="380"/>
      <c r="S2" s="380"/>
      <c r="T2" s="380"/>
      <c r="U2" s="380"/>
      <c r="V2" s="380"/>
      <c r="W2" s="380"/>
      <c r="X2" s="379">
        <v>300</v>
      </c>
      <c r="Y2" s="379">
        <v>445</v>
      </c>
    </row>
    <row r="3" spans="1:25" s="372" customFormat="1" ht="21.6" customHeight="1" x14ac:dyDescent="0.2">
      <c r="A3" s="376" t="s">
        <v>2818</v>
      </c>
      <c r="B3" s="376" t="s">
        <v>2811</v>
      </c>
      <c r="C3" s="377" t="s">
        <v>2819</v>
      </c>
      <c r="D3" s="377"/>
      <c r="E3" s="377" t="s">
        <v>2813</v>
      </c>
      <c r="F3" s="378" t="s">
        <v>2814</v>
      </c>
      <c r="G3" s="377" t="s">
        <v>2820</v>
      </c>
      <c r="H3" s="377">
        <v>2024</v>
      </c>
      <c r="I3" s="377" t="s">
        <v>2821</v>
      </c>
      <c r="J3" s="377" t="s">
        <v>2816</v>
      </c>
      <c r="K3" s="377" t="s">
        <v>2822</v>
      </c>
      <c r="L3" s="379">
        <v>18</v>
      </c>
      <c r="M3" s="380"/>
      <c r="N3" s="381">
        <v>1</v>
      </c>
      <c r="O3" s="382">
        <v>8</v>
      </c>
      <c r="P3" s="382">
        <v>126</v>
      </c>
      <c r="Q3" s="379">
        <v>18</v>
      </c>
      <c r="R3" s="380"/>
      <c r="S3" s="380"/>
      <c r="T3" s="380"/>
      <c r="U3" s="380"/>
      <c r="V3" s="380"/>
      <c r="W3" s="380"/>
      <c r="X3" s="379">
        <v>396.19499999999999</v>
      </c>
      <c r="Y3" s="379">
        <v>801</v>
      </c>
    </row>
    <row r="4" spans="1:25" s="372" customFormat="1" ht="21.6" customHeight="1" x14ac:dyDescent="0.2">
      <c r="A4" s="376" t="s">
        <v>2818</v>
      </c>
      <c r="B4" s="376" t="s">
        <v>2811</v>
      </c>
      <c r="C4" s="377" t="s">
        <v>2819</v>
      </c>
      <c r="D4" s="377"/>
      <c r="E4" s="377" t="s">
        <v>2813</v>
      </c>
      <c r="F4" s="378" t="s">
        <v>2814</v>
      </c>
      <c r="G4" s="377" t="s">
        <v>2820</v>
      </c>
      <c r="H4" s="377">
        <v>2024</v>
      </c>
      <c r="I4" s="377" t="s">
        <v>2821</v>
      </c>
      <c r="J4" s="377" t="s">
        <v>2816</v>
      </c>
      <c r="K4" s="377" t="s">
        <v>2822</v>
      </c>
      <c r="L4" s="379">
        <v>18</v>
      </c>
      <c r="M4" s="380"/>
      <c r="N4" s="381">
        <v>1</v>
      </c>
      <c r="O4" s="382">
        <v>8</v>
      </c>
      <c r="P4" s="382">
        <v>126</v>
      </c>
      <c r="Q4" s="379">
        <v>18</v>
      </c>
      <c r="R4" s="380"/>
      <c r="S4" s="380"/>
      <c r="T4" s="380"/>
      <c r="U4" s="380"/>
      <c r="V4" s="380"/>
      <c r="W4" s="380"/>
      <c r="X4" s="379">
        <v>396.19600000000003</v>
      </c>
      <c r="Y4" s="379">
        <v>801</v>
      </c>
    </row>
    <row r="5" spans="1:25" s="372" customFormat="1" ht="21.6" customHeight="1" x14ac:dyDescent="0.2">
      <c r="A5" s="376" t="s">
        <v>2818</v>
      </c>
      <c r="B5" s="376" t="s">
        <v>2811</v>
      </c>
      <c r="C5" s="377" t="s">
        <v>2819</v>
      </c>
      <c r="D5" s="377"/>
      <c r="E5" s="377" t="s">
        <v>2813</v>
      </c>
      <c r="F5" s="378" t="s">
        <v>2814</v>
      </c>
      <c r="G5" s="377" t="s">
        <v>2820</v>
      </c>
      <c r="H5" s="377">
        <v>2024</v>
      </c>
      <c r="I5" s="377" t="s">
        <v>2821</v>
      </c>
      <c r="J5" s="377" t="s">
        <v>2816</v>
      </c>
      <c r="K5" s="377" t="s">
        <v>2822</v>
      </c>
      <c r="L5" s="379">
        <v>18</v>
      </c>
      <c r="M5" s="380"/>
      <c r="N5" s="381">
        <v>1</v>
      </c>
      <c r="O5" s="382">
        <v>8</v>
      </c>
      <c r="P5" s="382">
        <v>126</v>
      </c>
      <c r="Q5" s="379">
        <v>18</v>
      </c>
      <c r="R5" s="380"/>
      <c r="S5" s="380"/>
      <c r="T5" s="380"/>
      <c r="U5" s="380"/>
      <c r="V5" s="380"/>
      <c r="W5" s="380"/>
      <c r="X5" s="379">
        <v>396.19600000000003</v>
      </c>
      <c r="Y5" s="379">
        <v>801</v>
      </c>
    </row>
    <row r="6" spans="1:25" s="372" customFormat="1" ht="21.6" customHeight="1" x14ac:dyDescent="0.2">
      <c r="A6" s="376" t="s">
        <v>2818</v>
      </c>
      <c r="B6" s="376" t="s">
        <v>2811</v>
      </c>
      <c r="C6" s="377" t="s">
        <v>2819</v>
      </c>
      <c r="D6" s="377"/>
      <c r="E6" s="377" t="s">
        <v>2813</v>
      </c>
      <c r="F6" s="378" t="s">
        <v>2814</v>
      </c>
      <c r="G6" s="377" t="s">
        <v>2820</v>
      </c>
      <c r="H6" s="377">
        <v>2024</v>
      </c>
      <c r="I6" s="377" t="s">
        <v>2821</v>
      </c>
      <c r="J6" s="377" t="s">
        <v>2816</v>
      </c>
      <c r="K6" s="377" t="s">
        <v>2822</v>
      </c>
      <c r="L6" s="379">
        <v>18</v>
      </c>
      <c r="M6" s="380"/>
      <c r="N6" s="381">
        <v>1</v>
      </c>
      <c r="O6" s="382">
        <v>8</v>
      </c>
      <c r="P6" s="382">
        <v>126</v>
      </c>
      <c r="Q6" s="379">
        <v>18</v>
      </c>
      <c r="R6" s="380"/>
      <c r="S6" s="380"/>
      <c r="T6" s="380"/>
      <c r="U6" s="380"/>
      <c r="V6" s="380"/>
      <c r="W6" s="380"/>
      <c r="X6" s="379">
        <v>396.19600000000003</v>
      </c>
      <c r="Y6" s="379">
        <v>801</v>
      </c>
    </row>
    <row r="7" spans="1:25" s="372" customFormat="1" ht="21.6" customHeight="1" x14ac:dyDescent="0.2">
      <c r="A7" s="376" t="s">
        <v>2818</v>
      </c>
      <c r="B7" s="376" t="s">
        <v>2811</v>
      </c>
      <c r="C7" s="377" t="s">
        <v>2819</v>
      </c>
      <c r="D7" s="377"/>
      <c r="E7" s="377" t="s">
        <v>2813</v>
      </c>
      <c r="F7" s="378" t="s">
        <v>2814</v>
      </c>
      <c r="G7" s="377" t="s">
        <v>2820</v>
      </c>
      <c r="H7" s="377">
        <v>2024</v>
      </c>
      <c r="I7" s="377" t="s">
        <v>2821</v>
      </c>
      <c r="J7" s="377" t="s">
        <v>2816</v>
      </c>
      <c r="K7" s="377" t="s">
        <v>2822</v>
      </c>
      <c r="L7" s="379">
        <v>20</v>
      </c>
      <c r="M7" s="380"/>
      <c r="N7" s="381">
        <v>1</v>
      </c>
      <c r="O7" s="382">
        <v>8</v>
      </c>
      <c r="P7" s="382">
        <v>140</v>
      </c>
      <c r="Q7" s="379">
        <v>20</v>
      </c>
      <c r="R7" s="380"/>
      <c r="S7" s="380"/>
      <c r="T7" s="380"/>
      <c r="U7" s="380"/>
      <c r="V7" s="380"/>
      <c r="W7" s="380"/>
      <c r="X7" s="379">
        <v>440.21699999999998</v>
      </c>
      <c r="Y7" s="379">
        <v>890</v>
      </c>
    </row>
    <row r="8" spans="1:25" s="372" customFormat="1" ht="21.6" customHeight="1" x14ac:dyDescent="0.2">
      <c r="A8" s="376" t="s">
        <v>2823</v>
      </c>
      <c r="B8" s="376" t="s">
        <v>2824</v>
      </c>
      <c r="C8" s="377" t="s">
        <v>2825</v>
      </c>
      <c r="D8" s="377"/>
      <c r="E8" s="377" t="s">
        <v>2813</v>
      </c>
      <c r="F8" s="378" t="s">
        <v>2814</v>
      </c>
      <c r="G8" s="377" t="s">
        <v>2826</v>
      </c>
      <c r="H8" s="377">
        <v>2024</v>
      </c>
      <c r="I8" s="377" t="s">
        <v>2821</v>
      </c>
      <c r="J8" s="377" t="s">
        <v>2816</v>
      </c>
      <c r="K8" s="377" t="s">
        <v>2827</v>
      </c>
      <c r="L8" s="379">
        <v>28</v>
      </c>
      <c r="M8" s="380"/>
      <c r="N8" s="381">
        <v>1</v>
      </c>
      <c r="O8" s="382">
        <v>8</v>
      </c>
      <c r="P8" s="382">
        <v>196</v>
      </c>
      <c r="Q8" s="379">
        <v>28</v>
      </c>
      <c r="R8" s="380"/>
      <c r="S8" s="380"/>
      <c r="T8" s="380"/>
      <c r="U8" s="380"/>
      <c r="V8" s="380"/>
      <c r="W8" s="380"/>
      <c r="X8" s="379">
        <v>616</v>
      </c>
      <c r="Y8" s="383">
        <v>1246</v>
      </c>
    </row>
    <row r="9" spans="1:25" s="372" customFormat="1" ht="21.6" customHeight="1" x14ac:dyDescent="0.2">
      <c r="A9" s="376" t="s">
        <v>2823</v>
      </c>
      <c r="B9" s="376" t="s">
        <v>2824</v>
      </c>
      <c r="C9" s="377" t="s">
        <v>2825</v>
      </c>
      <c r="D9" s="377"/>
      <c r="E9" s="377" t="s">
        <v>2813</v>
      </c>
      <c r="F9" s="378" t="s">
        <v>2814</v>
      </c>
      <c r="G9" s="377" t="s">
        <v>2826</v>
      </c>
      <c r="H9" s="377">
        <v>2024</v>
      </c>
      <c r="I9" s="377" t="s">
        <v>2821</v>
      </c>
      <c r="J9" s="377" t="s">
        <v>2816</v>
      </c>
      <c r="K9" s="377" t="s">
        <v>2827</v>
      </c>
      <c r="L9" s="379">
        <v>28</v>
      </c>
      <c r="M9" s="380"/>
      <c r="N9" s="381">
        <v>1</v>
      </c>
      <c r="O9" s="382">
        <v>8</v>
      </c>
      <c r="P9" s="382">
        <v>196</v>
      </c>
      <c r="Q9" s="379">
        <v>28</v>
      </c>
      <c r="R9" s="380"/>
      <c r="S9" s="380"/>
      <c r="T9" s="380"/>
      <c r="U9" s="380"/>
      <c r="V9" s="380"/>
      <c r="W9" s="380"/>
      <c r="X9" s="379">
        <v>616</v>
      </c>
      <c r="Y9" s="383">
        <v>1246</v>
      </c>
    </row>
    <row r="10" spans="1:25" s="372" customFormat="1" ht="21.6" customHeight="1" x14ac:dyDescent="0.2">
      <c r="A10" s="376" t="s">
        <v>2823</v>
      </c>
      <c r="B10" s="376" t="s">
        <v>2824</v>
      </c>
      <c r="C10" s="377" t="s">
        <v>2825</v>
      </c>
      <c r="D10" s="377"/>
      <c r="E10" s="377" t="s">
        <v>2813</v>
      </c>
      <c r="F10" s="378" t="s">
        <v>2814</v>
      </c>
      <c r="G10" s="377" t="s">
        <v>2826</v>
      </c>
      <c r="H10" s="377">
        <v>2024</v>
      </c>
      <c r="I10" s="377" t="s">
        <v>2821</v>
      </c>
      <c r="J10" s="377" t="s">
        <v>2816</v>
      </c>
      <c r="K10" s="377" t="s">
        <v>2827</v>
      </c>
      <c r="L10" s="379">
        <v>24.2</v>
      </c>
      <c r="M10" s="380"/>
      <c r="N10" s="381">
        <v>1</v>
      </c>
      <c r="O10" s="382">
        <v>8</v>
      </c>
      <c r="P10" s="382">
        <v>169.4</v>
      </c>
      <c r="Q10" s="379">
        <v>24.2</v>
      </c>
      <c r="R10" s="380"/>
      <c r="S10" s="380"/>
      <c r="T10" s="380"/>
      <c r="U10" s="380"/>
      <c r="V10" s="380"/>
      <c r="W10" s="380"/>
      <c r="X10" s="379">
        <v>532.4</v>
      </c>
      <c r="Y10" s="383">
        <v>1076.9000000000001</v>
      </c>
    </row>
    <row r="11" spans="1:25" s="372" customFormat="1" ht="21.6" customHeight="1" x14ac:dyDescent="0.2">
      <c r="A11" s="376" t="s">
        <v>2823</v>
      </c>
      <c r="B11" s="376" t="s">
        <v>2824</v>
      </c>
      <c r="C11" s="377" t="s">
        <v>2825</v>
      </c>
      <c r="D11" s="377"/>
      <c r="E11" s="377" t="s">
        <v>2813</v>
      </c>
      <c r="F11" s="378" t="s">
        <v>2814</v>
      </c>
      <c r="G11" s="377" t="s">
        <v>2828</v>
      </c>
      <c r="H11" s="377">
        <v>2024</v>
      </c>
      <c r="I11" s="377" t="s">
        <v>2821</v>
      </c>
      <c r="J11" s="377" t="s">
        <v>2816</v>
      </c>
      <c r="K11" s="377" t="s">
        <v>2829</v>
      </c>
      <c r="L11" s="379">
        <v>29.8</v>
      </c>
      <c r="M11" s="380"/>
      <c r="N11" s="381">
        <v>1</v>
      </c>
      <c r="O11" s="382">
        <v>8</v>
      </c>
      <c r="P11" s="382">
        <v>208.6</v>
      </c>
      <c r="Q11" s="379">
        <v>29.8</v>
      </c>
      <c r="R11" s="380"/>
      <c r="S11" s="380"/>
      <c r="T11" s="380"/>
      <c r="U11" s="380"/>
      <c r="V11" s="380"/>
      <c r="W11" s="380"/>
      <c r="X11" s="379">
        <v>655.6</v>
      </c>
      <c r="Y11" s="383">
        <v>1326.1</v>
      </c>
    </row>
    <row r="12" spans="1:25" s="372" customFormat="1" ht="21.6" customHeight="1" x14ac:dyDescent="0.2">
      <c r="A12" s="376" t="s">
        <v>2830</v>
      </c>
      <c r="B12" s="376" t="s">
        <v>2824</v>
      </c>
      <c r="C12" s="377" t="s">
        <v>2825</v>
      </c>
      <c r="D12" s="377"/>
      <c r="E12" s="377" t="s">
        <v>2813</v>
      </c>
      <c r="F12" s="378" t="s">
        <v>2814</v>
      </c>
      <c r="G12" s="377" t="s">
        <v>2831</v>
      </c>
      <c r="H12" s="377">
        <v>2024</v>
      </c>
      <c r="I12" s="377" t="s">
        <v>2832</v>
      </c>
      <c r="J12" s="377" t="s">
        <v>2816</v>
      </c>
      <c r="K12" s="377" t="s">
        <v>2833</v>
      </c>
      <c r="L12" s="379">
        <v>30</v>
      </c>
      <c r="M12" s="380"/>
      <c r="N12" s="381">
        <v>1</v>
      </c>
      <c r="O12" s="382">
        <v>8</v>
      </c>
      <c r="P12" s="382">
        <v>210</v>
      </c>
      <c r="Q12" s="379">
        <v>30</v>
      </c>
      <c r="R12" s="380"/>
      <c r="S12" s="380"/>
      <c r="T12" s="380"/>
      <c r="U12" s="380"/>
      <c r="V12" s="380"/>
      <c r="W12" s="380"/>
      <c r="X12" s="383">
        <v>1270</v>
      </c>
      <c r="Y12" s="383">
        <v>1335</v>
      </c>
    </row>
    <row r="13" spans="1:25" s="372" customFormat="1" ht="21.6" customHeight="1" x14ac:dyDescent="0.2">
      <c r="A13" s="376" t="s">
        <v>2834</v>
      </c>
      <c r="B13" s="376" t="s">
        <v>2824</v>
      </c>
      <c r="C13" s="377" t="s">
        <v>2825</v>
      </c>
      <c r="D13" s="377"/>
      <c r="E13" s="377" t="s">
        <v>2813</v>
      </c>
      <c r="F13" s="378" t="s">
        <v>2814</v>
      </c>
      <c r="G13" s="377" t="s">
        <v>1756</v>
      </c>
      <c r="H13" s="377">
        <v>2024</v>
      </c>
      <c r="I13" s="377" t="s">
        <v>2815</v>
      </c>
      <c r="J13" s="377" t="s">
        <v>2816</v>
      </c>
      <c r="K13" s="377" t="s">
        <v>2835</v>
      </c>
      <c r="L13" s="379">
        <v>10</v>
      </c>
      <c r="M13" s="380"/>
      <c r="N13" s="381">
        <v>1</v>
      </c>
      <c r="O13" s="382">
        <v>16</v>
      </c>
      <c r="P13" s="382">
        <v>70</v>
      </c>
      <c r="Q13" s="379">
        <v>10</v>
      </c>
      <c r="R13" s="380"/>
      <c r="S13" s="380"/>
      <c r="T13" s="380"/>
      <c r="U13" s="380"/>
      <c r="V13" s="380"/>
      <c r="W13" s="380"/>
      <c r="X13" s="379">
        <v>305.31700000000001</v>
      </c>
      <c r="Y13" s="379">
        <v>445</v>
      </c>
    </row>
    <row r="14" spans="1:25" s="372" customFormat="1" ht="21.6" customHeight="1" x14ac:dyDescent="0.2">
      <c r="A14" s="376" t="s">
        <v>2834</v>
      </c>
      <c r="B14" s="376" t="s">
        <v>2824</v>
      </c>
      <c r="C14" s="377" t="s">
        <v>2825</v>
      </c>
      <c r="D14" s="377"/>
      <c r="E14" s="377" t="s">
        <v>2813</v>
      </c>
      <c r="F14" s="378" t="s">
        <v>2814</v>
      </c>
      <c r="G14" s="377" t="s">
        <v>2836</v>
      </c>
      <c r="H14" s="377">
        <v>2024</v>
      </c>
      <c r="I14" s="377" t="s">
        <v>2815</v>
      </c>
      <c r="J14" s="377" t="s">
        <v>2816</v>
      </c>
      <c r="K14" s="377" t="s">
        <v>2837</v>
      </c>
      <c r="L14" s="379">
        <v>17</v>
      </c>
      <c r="M14" s="380"/>
      <c r="N14" s="381">
        <v>1</v>
      </c>
      <c r="O14" s="382">
        <v>8</v>
      </c>
      <c r="P14" s="382">
        <v>119</v>
      </c>
      <c r="Q14" s="379">
        <v>17</v>
      </c>
      <c r="R14" s="380"/>
      <c r="S14" s="380"/>
      <c r="T14" s="380"/>
      <c r="U14" s="380"/>
      <c r="V14" s="380"/>
      <c r="W14" s="380"/>
      <c r="X14" s="379">
        <v>519.04300000000001</v>
      </c>
      <c r="Y14" s="379">
        <v>756.5</v>
      </c>
    </row>
    <row r="15" spans="1:25" s="372" customFormat="1" ht="21.6" customHeight="1" x14ac:dyDescent="0.2">
      <c r="A15" s="376" t="s">
        <v>2834</v>
      </c>
      <c r="B15" s="376" t="s">
        <v>2824</v>
      </c>
      <c r="C15" s="377" t="s">
        <v>2825</v>
      </c>
      <c r="D15" s="377"/>
      <c r="E15" s="377" t="s">
        <v>2813</v>
      </c>
      <c r="F15" s="378" t="s">
        <v>2814</v>
      </c>
      <c r="G15" s="377" t="s">
        <v>2836</v>
      </c>
      <c r="H15" s="377">
        <v>2024</v>
      </c>
      <c r="I15" s="377" t="s">
        <v>2815</v>
      </c>
      <c r="J15" s="377" t="s">
        <v>2816</v>
      </c>
      <c r="K15" s="377" t="s">
        <v>2837</v>
      </c>
      <c r="L15" s="379">
        <v>17</v>
      </c>
      <c r="M15" s="380"/>
      <c r="N15" s="381">
        <v>1</v>
      </c>
      <c r="O15" s="382">
        <v>16</v>
      </c>
      <c r="P15" s="382">
        <v>119</v>
      </c>
      <c r="Q15" s="379">
        <v>17</v>
      </c>
      <c r="R15" s="380"/>
      <c r="S15" s="380"/>
      <c r="T15" s="380"/>
      <c r="U15" s="380"/>
      <c r="V15" s="380"/>
      <c r="W15" s="380"/>
      <c r="X15" s="379">
        <v>519.04300000000001</v>
      </c>
      <c r="Y15" s="379">
        <v>756.5</v>
      </c>
    </row>
    <row r="16" spans="1:25" s="372" customFormat="1" ht="21.6" customHeight="1" x14ac:dyDescent="0.2">
      <c r="A16" s="376" t="s">
        <v>2834</v>
      </c>
      <c r="B16" s="376" t="s">
        <v>2824</v>
      </c>
      <c r="C16" s="377" t="s">
        <v>2825</v>
      </c>
      <c r="D16" s="377"/>
      <c r="E16" s="377" t="s">
        <v>2813</v>
      </c>
      <c r="F16" s="378" t="s">
        <v>2814</v>
      </c>
      <c r="G16" s="377" t="s">
        <v>2836</v>
      </c>
      <c r="H16" s="377">
        <v>2024</v>
      </c>
      <c r="I16" s="377" t="s">
        <v>2815</v>
      </c>
      <c r="J16" s="377" t="s">
        <v>2816</v>
      </c>
      <c r="K16" s="377" t="s">
        <v>2837</v>
      </c>
      <c r="L16" s="379">
        <v>17</v>
      </c>
      <c r="M16" s="380"/>
      <c r="N16" s="381">
        <v>1</v>
      </c>
      <c r="O16" s="382">
        <v>8</v>
      </c>
      <c r="P16" s="382">
        <v>119</v>
      </c>
      <c r="Q16" s="379">
        <v>17</v>
      </c>
      <c r="R16" s="380"/>
      <c r="S16" s="380"/>
      <c r="T16" s="380"/>
      <c r="U16" s="380"/>
      <c r="V16" s="380"/>
      <c r="W16" s="380"/>
      <c r="X16" s="379">
        <v>519.04300000000001</v>
      </c>
      <c r="Y16" s="379">
        <v>756.5</v>
      </c>
    </row>
    <row r="17" spans="1:25" s="372" customFormat="1" ht="21.6" customHeight="1" x14ac:dyDescent="0.2">
      <c r="A17" s="376" t="s">
        <v>2834</v>
      </c>
      <c r="B17" s="376" t="s">
        <v>2824</v>
      </c>
      <c r="C17" s="377" t="s">
        <v>2825</v>
      </c>
      <c r="D17" s="377"/>
      <c r="E17" s="377" t="s">
        <v>2813</v>
      </c>
      <c r="F17" s="378" t="s">
        <v>2814</v>
      </c>
      <c r="G17" s="377" t="s">
        <v>2836</v>
      </c>
      <c r="H17" s="377">
        <v>2024</v>
      </c>
      <c r="I17" s="377" t="s">
        <v>2815</v>
      </c>
      <c r="J17" s="377" t="s">
        <v>2816</v>
      </c>
      <c r="K17" s="377" t="s">
        <v>2837</v>
      </c>
      <c r="L17" s="379">
        <v>17</v>
      </c>
      <c r="M17" s="380"/>
      <c r="N17" s="381">
        <v>1</v>
      </c>
      <c r="O17" s="382">
        <v>16</v>
      </c>
      <c r="P17" s="382">
        <v>119</v>
      </c>
      <c r="Q17" s="379">
        <v>17</v>
      </c>
      <c r="R17" s="380"/>
      <c r="S17" s="380"/>
      <c r="T17" s="380"/>
      <c r="U17" s="380"/>
      <c r="V17" s="380"/>
      <c r="W17" s="380"/>
      <c r="X17" s="379">
        <v>519.04300000000001</v>
      </c>
      <c r="Y17" s="379">
        <v>756.5</v>
      </c>
    </row>
    <row r="18" spans="1:25" s="372" customFormat="1" ht="21.6" customHeight="1" x14ac:dyDescent="0.2">
      <c r="A18" s="376" t="s">
        <v>2834</v>
      </c>
      <c r="B18" s="376" t="s">
        <v>2824</v>
      </c>
      <c r="C18" s="377" t="s">
        <v>2825</v>
      </c>
      <c r="D18" s="377"/>
      <c r="E18" s="377" t="s">
        <v>2813</v>
      </c>
      <c r="F18" s="378" t="s">
        <v>2814</v>
      </c>
      <c r="G18" s="377" t="s">
        <v>2836</v>
      </c>
      <c r="H18" s="377">
        <v>2024</v>
      </c>
      <c r="I18" s="377" t="s">
        <v>2815</v>
      </c>
      <c r="J18" s="377" t="s">
        <v>2816</v>
      </c>
      <c r="K18" s="377" t="s">
        <v>2837</v>
      </c>
      <c r="L18" s="379">
        <v>16</v>
      </c>
      <c r="M18" s="380"/>
      <c r="N18" s="381">
        <v>1</v>
      </c>
      <c r="O18" s="382">
        <v>8</v>
      </c>
      <c r="P18" s="382">
        <v>112</v>
      </c>
      <c r="Q18" s="379">
        <v>16</v>
      </c>
      <c r="R18" s="380"/>
      <c r="S18" s="380"/>
      <c r="T18" s="380"/>
      <c r="U18" s="380"/>
      <c r="V18" s="380"/>
      <c r="W18" s="380"/>
      <c r="X18" s="379">
        <v>488.51100000000002</v>
      </c>
      <c r="Y18" s="379">
        <v>712</v>
      </c>
    </row>
    <row r="19" spans="1:25" s="372" customFormat="1" ht="21.6" customHeight="1" x14ac:dyDescent="0.2">
      <c r="A19" s="376" t="s">
        <v>2838</v>
      </c>
      <c r="B19" s="376" t="s">
        <v>2824</v>
      </c>
      <c r="C19" s="377" t="s">
        <v>2825</v>
      </c>
      <c r="D19" s="377"/>
      <c r="E19" s="377" t="s">
        <v>2813</v>
      </c>
      <c r="F19" s="378" t="s">
        <v>2814</v>
      </c>
      <c r="G19" s="377" t="s">
        <v>2839</v>
      </c>
      <c r="H19" s="377">
        <v>2024</v>
      </c>
      <c r="I19" s="377" t="s">
        <v>2815</v>
      </c>
      <c r="J19" s="377" t="s">
        <v>2816</v>
      </c>
      <c r="K19" s="377" t="s">
        <v>2840</v>
      </c>
      <c r="L19" s="379">
        <v>15</v>
      </c>
      <c r="M19" s="380"/>
      <c r="N19" s="381">
        <v>1</v>
      </c>
      <c r="O19" s="382">
        <v>8</v>
      </c>
      <c r="P19" s="382">
        <v>105</v>
      </c>
      <c r="Q19" s="379">
        <v>15</v>
      </c>
      <c r="R19" s="380"/>
      <c r="S19" s="380"/>
      <c r="T19" s="380"/>
      <c r="U19" s="380"/>
      <c r="V19" s="380"/>
      <c r="W19" s="380"/>
      <c r="X19" s="379">
        <v>452.20600000000002</v>
      </c>
      <c r="Y19" s="379">
        <v>667.5</v>
      </c>
    </row>
    <row r="20" spans="1:25" s="372" customFormat="1" ht="21.6" customHeight="1" x14ac:dyDescent="0.2">
      <c r="A20" s="376" t="s">
        <v>2838</v>
      </c>
      <c r="B20" s="376" t="s">
        <v>2824</v>
      </c>
      <c r="C20" s="377" t="s">
        <v>2825</v>
      </c>
      <c r="D20" s="377"/>
      <c r="E20" s="377" t="s">
        <v>2813</v>
      </c>
      <c r="F20" s="378" t="s">
        <v>2814</v>
      </c>
      <c r="G20" s="377" t="s">
        <v>2841</v>
      </c>
      <c r="H20" s="377">
        <v>2024</v>
      </c>
      <c r="I20" s="377" t="s">
        <v>2815</v>
      </c>
      <c r="J20" s="377" t="s">
        <v>2816</v>
      </c>
      <c r="K20" s="377" t="s">
        <v>2842</v>
      </c>
      <c r="L20" s="379">
        <v>17</v>
      </c>
      <c r="M20" s="380"/>
      <c r="N20" s="381">
        <v>1</v>
      </c>
      <c r="O20" s="382">
        <v>8</v>
      </c>
      <c r="P20" s="382">
        <v>119</v>
      </c>
      <c r="Q20" s="379">
        <v>17</v>
      </c>
      <c r="R20" s="380"/>
      <c r="S20" s="380"/>
      <c r="T20" s="380"/>
      <c r="U20" s="380"/>
      <c r="V20" s="380"/>
      <c r="W20" s="380"/>
      <c r="X20" s="379">
        <v>512.5</v>
      </c>
      <c r="Y20" s="379">
        <v>756.5</v>
      </c>
    </row>
    <row r="21" spans="1:25" s="372" customFormat="1" ht="21.6" customHeight="1" x14ac:dyDescent="0.2">
      <c r="A21" s="376" t="s">
        <v>2838</v>
      </c>
      <c r="B21" s="376" t="s">
        <v>2824</v>
      </c>
      <c r="C21" s="377" t="s">
        <v>2825</v>
      </c>
      <c r="D21" s="377"/>
      <c r="E21" s="377" t="s">
        <v>2813</v>
      </c>
      <c r="F21" s="378" t="s">
        <v>2814</v>
      </c>
      <c r="G21" s="377" t="s">
        <v>2841</v>
      </c>
      <c r="H21" s="377">
        <v>2024</v>
      </c>
      <c r="I21" s="377" t="s">
        <v>2815</v>
      </c>
      <c r="J21" s="377" t="s">
        <v>2816</v>
      </c>
      <c r="K21" s="377" t="s">
        <v>2842</v>
      </c>
      <c r="L21" s="379">
        <v>17</v>
      </c>
      <c r="M21" s="380"/>
      <c r="N21" s="381">
        <v>1</v>
      </c>
      <c r="O21" s="382">
        <v>8</v>
      </c>
      <c r="P21" s="382">
        <v>119</v>
      </c>
      <c r="Q21" s="379">
        <v>17</v>
      </c>
      <c r="R21" s="380"/>
      <c r="S21" s="380"/>
      <c r="T21" s="380"/>
      <c r="U21" s="380"/>
      <c r="V21" s="380"/>
      <c r="W21" s="380"/>
      <c r="X21" s="379">
        <v>512.5</v>
      </c>
      <c r="Y21" s="379">
        <v>756.5</v>
      </c>
    </row>
    <row r="22" spans="1:25" s="372" customFormat="1" ht="21.6" customHeight="1" x14ac:dyDescent="0.2">
      <c r="A22" s="376" t="s">
        <v>2838</v>
      </c>
      <c r="B22" s="376" t="s">
        <v>2824</v>
      </c>
      <c r="C22" s="377" t="s">
        <v>2825</v>
      </c>
      <c r="D22" s="377"/>
      <c r="E22" s="377" t="s">
        <v>2813</v>
      </c>
      <c r="F22" s="378" t="s">
        <v>2814</v>
      </c>
      <c r="G22" s="377" t="s">
        <v>2841</v>
      </c>
      <c r="H22" s="377">
        <v>2024</v>
      </c>
      <c r="I22" s="377" t="s">
        <v>2815</v>
      </c>
      <c r="J22" s="377" t="s">
        <v>2816</v>
      </c>
      <c r="K22" s="377" t="s">
        <v>2842</v>
      </c>
      <c r="L22" s="379">
        <v>19</v>
      </c>
      <c r="M22" s="380"/>
      <c r="N22" s="381">
        <v>1</v>
      </c>
      <c r="O22" s="382">
        <v>8</v>
      </c>
      <c r="P22" s="382">
        <v>133</v>
      </c>
      <c r="Q22" s="379">
        <v>19</v>
      </c>
      <c r="R22" s="380"/>
      <c r="S22" s="380"/>
      <c r="T22" s="380"/>
      <c r="U22" s="380"/>
      <c r="V22" s="380"/>
      <c r="W22" s="380"/>
      <c r="X22" s="379">
        <v>572.79399999999998</v>
      </c>
      <c r="Y22" s="379">
        <v>845.5</v>
      </c>
    </row>
    <row r="23" spans="1:25" s="372" customFormat="1" ht="21.6" customHeight="1" x14ac:dyDescent="0.2">
      <c r="A23" s="376" t="s">
        <v>2843</v>
      </c>
      <c r="B23" s="376" t="s">
        <v>2844</v>
      </c>
      <c r="C23" s="377" t="s">
        <v>2845</v>
      </c>
      <c r="D23" s="377"/>
      <c r="E23" s="377" t="s">
        <v>2813</v>
      </c>
      <c r="F23" s="378" t="s">
        <v>2814</v>
      </c>
      <c r="G23" s="377" t="s">
        <v>2846</v>
      </c>
      <c r="H23" s="377">
        <v>2024</v>
      </c>
      <c r="I23" s="377" t="s">
        <v>2815</v>
      </c>
      <c r="J23" s="377" t="s">
        <v>2816</v>
      </c>
      <c r="K23" s="377" t="s">
        <v>2847</v>
      </c>
      <c r="L23" s="379">
        <v>8</v>
      </c>
      <c r="M23" s="380"/>
      <c r="N23" s="381">
        <v>1</v>
      </c>
      <c r="O23" s="382">
        <v>8</v>
      </c>
      <c r="P23" s="382">
        <v>56</v>
      </c>
      <c r="Q23" s="379">
        <v>8</v>
      </c>
      <c r="R23" s="380"/>
      <c r="S23" s="380"/>
      <c r="T23" s="380"/>
      <c r="U23" s="380"/>
      <c r="V23" s="380"/>
      <c r="W23" s="380"/>
      <c r="X23" s="379">
        <v>225.07400000000001</v>
      </c>
      <c r="Y23" s="379">
        <v>356</v>
      </c>
    </row>
    <row r="24" spans="1:25" s="372" customFormat="1" ht="21.6" customHeight="1" x14ac:dyDescent="0.2">
      <c r="A24" s="376" t="s">
        <v>2843</v>
      </c>
      <c r="B24" s="376" t="s">
        <v>2844</v>
      </c>
      <c r="C24" s="377" t="s">
        <v>2845</v>
      </c>
      <c r="D24" s="377"/>
      <c r="E24" s="377" t="s">
        <v>2813</v>
      </c>
      <c r="F24" s="378" t="s">
        <v>2814</v>
      </c>
      <c r="G24" s="377" t="s">
        <v>2846</v>
      </c>
      <c r="H24" s="377">
        <v>2024</v>
      </c>
      <c r="I24" s="377" t="s">
        <v>2815</v>
      </c>
      <c r="J24" s="377" t="s">
        <v>2816</v>
      </c>
      <c r="K24" s="377" t="s">
        <v>2847</v>
      </c>
      <c r="L24" s="379">
        <v>15</v>
      </c>
      <c r="M24" s="380"/>
      <c r="N24" s="381">
        <v>1</v>
      </c>
      <c r="O24" s="382">
        <v>8</v>
      </c>
      <c r="P24" s="382">
        <v>105</v>
      </c>
      <c r="Q24" s="379">
        <v>15</v>
      </c>
      <c r="R24" s="380"/>
      <c r="S24" s="380"/>
      <c r="T24" s="380"/>
      <c r="U24" s="380"/>
      <c r="V24" s="380"/>
      <c r="W24" s="380"/>
      <c r="X24" s="379">
        <v>422.01</v>
      </c>
      <c r="Y24" s="379">
        <v>667.5</v>
      </c>
    </row>
    <row r="25" spans="1:25" s="372" customFormat="1" ht="21.6" customHeight="1" x14ac:dyDescent="0.2">
      <c r="A25" s="376" t="s">
        <v>2843</v>
      </c>
      <c r="B25" s="376" t="s">
        <v>2844</v>
      </c>
      <c r="C25" s="377" t="s">
        <v>2845</v>
      </c>
      <c r="D25" s="377"/>
      <c r="E25" s="377" t="s">
        <v>2813</v>
      </c>
      <c r="F25" s="378" t="s">
        <v>2814</v>
      </c>
      <c r="G25" s="377" t="s">
        <v>2846</v>
      </c>
      <c r="H25" s="377">
        <v>2024</v>
      </c>
      <c r="I25" s="377" t="s">
        <v>2815</v>
      </c>
      <c r="J25" s="377" t="s">
        <v>2816</v>
      </c>
      <c r="K25" s="377" t="s">
        <v>2847</v>
      </c>
      <c r="L25" s="379">
        <v>10</v>
      </c>
      <c r="M25" s="380"/>
      <c r="N25" s="381">
        <v>1</v>
      </c>
      <c r="O25" s="382">
        <v>8</v>
      </c>
      <c r="P25" s="382">
        <v>70</v>
      </c>
      <c r="Q25" s="379">
        <v>10</v>
      </c>
      <c r="R25" s="380"/>
      <c r="S25" s="380"/>
      <c r="T25" s="380"/>
      <c r="U25" s="380"/>
      <c r="V25" s="380"/>
      <c r="W25" s="380"/>
      <c r="X25" s="379">
        <v>281.33999999999997</v>
      </c>
      <c r="Y25" s="379">
        <v>445</v>
      </c>
    </row>
    <row r="26" spans="1:25" s="372" customFormat="1" ht="21.6" customHeight="1" x14ac:dyDescent="0.2">
      <c r="A26" s="376" t="s">
        <v>2843</v>
      </c>
      <c r="B26" s="376" t="s">
        <v>2844</v>
      </c>
      <c r="C26" s="377" t="s">
        <v>2845</v>
      </c>
      <c r="D26" s="377"/>
      <c r="E26" s="377" t="s">
        <v>2813</v>
      </c>
      <c r="F26" s="378" t="s">
        <v>2814</v>
      </c>
      <c r="G26" s="377" t="s">
        <v>2839</v>
      </c>
      <c r="H26" s="377">
        <v>2024</v>
      </c>
      <c r="I26" s="377" t="s">
        <v>2815</v>
      </c>
      <c r="J26" s="377" t="s">
        <v>2816</v>
      </c>
      <c r="K26" s="377" t="s">
        <v>2840</v>
      </c>
      <c r="L26" s="379">
        <v>21</v>
      </c>
      <c r="M26" s="380"/>
      <c r="N26" s="381">
        <v>1</v>
      </c>
      <c r="O26" s="382">
        <v>8</v>
      </c>
      <c r="P26" s="382">
        <v>147</v>
      </c>
      <c r="Q26" s="379">
        <v>21</v>
      </c>
      <c r="R26" s="380"/>
      <c r="S26" s="380"/>
      <c r="T26" s="380"/>
      <c r="U26" s="380"/>
      <c r="V26" s="380"/>
      <c r="W26" s="380"/>
      <c r="X26" s="379">
        <v>590.81399999999996</v>
      </c>
      <c r="Y26" s="379">
        <v>934.5</v>
      </c>
    </row>
    <row r="27" spans="1:25" s="372" customFormat="1" ht="21.6" customHeight="1" x14ac:dyDescent="0.2">
      <c r="A27" s="376" t="s">
        <v>2843</v>
      </c>
      <c r="B27" s="376" t="s">
        <v>2844</v>
      </c>
      <c r="C27" s="377" t="s">
        <v>2845</v>
      </c>
      <c r="D27" s="377"/>
      <c r="E27" s="377" t="s">
        <v>2813</v>
      </c>
      <c r="F27" s="378" t="s">
        <v>2814</v>
      </c>
      <c r="G27" s="377" t="s">
        <v>2839</v>
      </c>
      <c r="H27" s="377">
        <v>2024</v>
      </c>
      <c r="I27" s="377" t="s">
        <v>2815</v>
      </c>
      <c r="J27" s="377" t="s">
        <v>2816</v>
      </c>
      <c r="K27" s="377" t="s">
        <v>2840</v>
      </c>
      <c r="L27" s="379">
        <v>21</v>
      </c>
      <c r="M27" s="380"/>
      <c r="N27" s="381">
        <v>1</v>
      </c>
      <c r="O27" s="382">
        <v>8</v>
      </c>
      <c r="P27" s="382">
        <v>147</v>
      </c>
      <c r="Q27" s="379">
        <v>21</v>
      </c>
      <c r="R27" s="380"/>
      <c r="S27" s="380"/>
      <c r="T27" s="380"/>
      <c r="U27" s="380"/>
      <c r="V27" s="380"/>
      <c r="W27" s="380"/>
      <c r="X27" s="379">
        <v>590.81399999999996</v>
      </c>
      <c r="Y27" s="379">
        <v>934.5</v>
      </c>
    </row>
    <row r="28" spans="1:25" s="372" customFormat="1" ht="21.6" customHeight="1" x14ac:dyDescent="0.2">
      <c r="A28" s="376" t="s">
        <v>2843</v>
      </c>
      <c r="B28" s="376" t="s">
        <v>2844</v>
      </c>
      <c r="C28" s="377" t="s">
        <v>2845</v>
      </c>
      <c r="D28" s="377"/>
      <c r="E28" s="377" t="s">
        <v>2813</v>
      </c>
      <c r="F28" s="378" t="s">
        <v>2814</v>
      </c>
      <c r="G28" s="377" t="s">
        <v>2839</v>
      </c>
      <c r="H28" s="377">
        <v>2024</v>
      </c>
      <c r="I28" s="377" t="s">
        <v>2815</v>
      </c>
      <c r="J28" s="377" t="s">
        <v>2816</v>
      </c>
      <c r="K28" s="377" t="s">
        <v>2840</v>
      </c>
      <c r="L28" s="379">
        <v>22</v>
      </c>
      <c r="M28" s="380"/>
      <c r="N28" s="381">
        <v>1</v>
      </c>
      <c r="O28" s="382">
        <v>8</v>
      </c>
      <c r="P28" s="382">
        <v>154</v>
      </c>
      <c r="Q28" s="379">
        <v>22</v>
      </c>
      <c r="R28" s="380"/>
      <c r="S28" s="380"/>
      <c r="T28" s="380"/>
      <c r="U28" s="380"/>
      <c r="V28" s="380"/>
      <c r="W28" s="380"/>
      <c r="X28" s="379">
        <v>618.94799999999998</v>
      </c>
      <c r="Y28" s="379">
        <v>979</v>
      </c>
    </row>
    <row r="29" spans="1:25" s="372" customFormat="1" ht="21.6" customHeight="1" x14ac:dyDescent="0.2">
      <c r="A29" s="376" t="s">
        <v>2848</v>
      </c>
      <c r="B29" s="376" t="s">
        <v>2844</v>
      </c>
      <c r="C29" s="377" t="s">
        <v>2849</v>
      </c>
      <c r="D29" s="377"/>
      <c r="E29" s="377" t="s">
        <v>2813</v>
      </c>
      <c r="F29" s="378" t="s">
        <v>2814</v>
      </c>
      <c r="G29" s="377" t="s">
        <v>2836</v>
      </c>
      <c r="H29" s="377">
        <v>2024</v>
      </c>
      <c r="I29" s="377" t="s">
        <v>2815</v>
      </c>
      <c r="J29" s="377" t="s">
        <v>2816</v>
      </c>
      <c r="K29" s="377" t="s">
        <v>2837</v>
      </c>
      <c r="L29" s="379">
        <v>4</v>
      </c>
      <c r="M29" s="380"/>
      <c r="N29" s="381">
        <v>1</v>
      </c>
      <c r="O29" s="382">
        <v>8</v>
      </c>
      <c r="P29" s="382">
        <v>28</v>
      </c>
      <c r="Q29" s="379">
        <v>4</v>
      </c>
      <c r="R29" s="380"/>
      <c r="S29" s="380"/>
      <c r="T29" s="380"/>
      <c r="U29" s="380"/>
      <c r="V29" s="380"/>
      <c r="W29" s="380"/>
      <c r="X29" s="379">
        <v>200</v>
      </c>
      <c r="Y29" s="379">
        <v>178</v>
      </c>
    </row>
    <row r="30" spans="1:25" s="372" customFormat="1" ht="21.6" customHeight="1" x14ac:dyDescent="0.2">
      <c r="A30" s="376" t="s">
        <v>2850</v>
      </c>
      <c r="B30" s="376" t="s">
        <v>2851</v>
      </c>
      <c r="C30" s="377" t="s">
        <v>2849</v>
      </c>
      <c r="D30" s="377"/>
      <c r="E30" s="377" t="s">
        <v>2813</v>
      </c>
      <c r="F30" s="378" t="s">
        <v>2814</v>
      </c>
      <c r="G30" s="377" t="s">
        <v>1756</v>
      </c>
      <c r="H30" s="377">
        <v>2024</v>
      </c>
      <c r="I30" s="377" t="s">
        <v>2815</v>
      </c>
      <c r="J30" s="377" t="s">
        <v>2816</v>
      </c>
      <c r="K30" s="377" t="s">
        <v>2835</v>
      </c>
      <c r="L30" s="379">
        <v>25</v>
      </c>
      <c r="M30" s="380"/>
      <c r="N30" s="381">
        <v>1</v>
      </c>
      <c r="O30" s="382">
        <v>16</v>
      </c>
      <c r="P30" s="382">
        <v>175</v>
      </c>
      <c r="Q30" s="379">
        <v>25</v>
      </c>
      <c r="R30" s="380"/>
      <c r="S30" s="380"/>
      <c r="T30" s="380"/>
      <c r="U30" s="380"/>
      <c r="V30" s="380"/>
      <c r="W30" s="380"/>
      <c r="X30" s="379">
        <v>768.75</v>
      </c>
      <c r="Y30" s="383">
        <v>1112.5</v>
      </c>
    </row>
    <row r="31" spans="1:25" s="372" customFormat="1" ht="21.6" customHeight="1" x14ac:dyDescent="0.2">
      <c r="A31" s="376" t="s">
        <v>2850</v>
      </c>
      <c r="B31" s="376" t="s">
        <v>2851</v>
      </c>
      <c r="C31" s="377" t="s">
        <v>2849</v>
      </c>
      <c r="D31" s="377"/>
      <c r="E31" s="377" t="s">
        <v>2813</v>
      </c>
      <c r="F31" s="378" t="s">
        <v>2814</v>
      </c>
      <c r="G31" s="377" t="s">
        <v>1756</v>
      </c>
      <c r="H31" s="377">
        <v>2024</v>
      </c>
      <c r="I31" s="377" t="s">
        <v>2815</v>
      </c>
      <c r="J31" s="377" t="s">
        <v>2816</v>
      </c>
      <c r="K31" s="377" t="s">
        <v>2835</v>
      </c>
      <c r="L31" s="379">
        <v>25</v>
      </c>
      <c r="M31" s="380"/>
      <c r="N31" s="381">
        <v>1</v>
      </c>
      <c r="O31" s="382">
        <v>8</v>
      </c>
      <c r="P31" s="382">
        <v>175</v>
      </c>
      <c r="Q31" s="379">
        <v>25</v>
      </c>
      <c r="R31" s="380"/>
      <c r="S31" s="380"/>
      <c r="T31" s="380"/>
      <c r="U31" s="380"/>
      <c r="V31" s="380"/>
      <c r="W31" s="380"/>
      <c r="X31" s="379">
        <v>768.75</v>
      </c>
      <c r="Y31" s="383">
        <v>1112.5</v>
      </c>
    </row>
    <row r="32" spans="1:25" s="372" customFormat="1" ht="21.6" customHeight="1" x14ac:dyDescent="0.2">
      <c r="A32" s="376" t="s">
        <v>2850</v>
      </c>
      <c r="B32" s="376" t="s">
        <v>2851</v>
      </c>
      <c r="C32" s="377" t="s">
        <v>2849</v>
      </c>
      <c r="D32" s="377"/>
      <c r="E32" s="377" t="s">
        <v>2813</v>
      </c>
      <c r="F32" s="378" t="s">
        <v>2814</v>
      </c>
      <c r="G32" s="377" t="s">
        <v>1756</v>
      </c>
      <c r="H32" s="377">
        <v>2024</v>
      </c>
      <c r="I32" s="377" t="s">
        <v>2815</v>
      </c>
      <c r="J32" s="377" t="s">
        <v>2816</v>
      </c>
      <c r="K32" s="377" t="s">
        <v>2835</v>
      </c>
      <c r="L32" s="379">
        <v>30</v>
      </c>
      <c r="M32" s="380"/>
      <c r="N32" s="381">
        <v>1</v>
      </c>
      <c r="O32" s="382">
        <v>16</v>
      </c>
      <c r="P32" s="382">
        <v>210</v>
      </c>
      <c r="Q32" s="379">
        <v>30</v>
      </c>
      <c r="R32" s="380"/>
      <c r="S32" s="380"/>
      <c r="T32" s="380"/>
      <c r="U32" s="380"/>
      <c r="V32" s="380"/>
      <c r="W32" s="380"/>
      <c r="X32" s="379">
        <v>922.5</v>
      </c>
      <c r="Y32" s="383">
        <v>1335</v>
      </c>
    </row>
    <row r="33" spans="1:25" s="372" customFormat="1" ht="21.6" customHeight="1" x14ac:dyDescent="0.2">
      <c r="A33" s="376" t="s">
        <v>2852</v>
      </c>
      <c r="B33" s="376" t="s">
        <v>2851</v>
      </c>
      <c r="C33" s="377" t="s">
        <v>2849</v>
      </c>
      <c r="D33" s="377"/>
      <c r="E33" s="377" t="s">
        <v>2813</v>
      </c>
      <c r="F33" s="378" t="s">
        <v>2814</v>
      </c>
      <c r="G33" s="377" t="s">
        <v>2846</v>
      </c>
      <c r="H33" s="377">
        <v>2024</v>
      </c>
      <c r="I33" s="377" t="s">
        <v>2815</v>
      </c>
      <c r="J33" s="377" t="s">
        <v>2816</v>
      </c>
      <c r="K33" s="377" t="s">
        <v>2847</v>
      </c>
      <c r="L33" s="379">
        <v>15</v>
      </c>
      <c r="M33" s="380"/>
      <c r="N33" s="381">
        <v>1</v>
      </c>
      <c r="O33" s="382">
        <v>8</v>
      </c>
      <c r="P33" s="382">
        <v>105</v>
      </c>
      <c r="Q33" s="379">
        <v>15</v>
      </c>
      <c r="R33" s="380"/>
      <c r="S33" s="380"/>
      <c r="T33" s="380"/>
      <c r="U33" s="380"/>
      <c r="V33" s="380"/>
      <c r="W33" s="380"/>
      <c r="X33" s="379">
        <v>455.52499999999998</v>
      </c>
      <c r="Y33" s="379">
        <v>667.5</v>
      </c>
    </row>
    <row r="34" spans="1:25" s="372" customFormat="1" ht="21.6" customHeight="1" x14ac:dyDescent="0.2">
      <c r="A34" s="376" t="s">
        <v>2852</v>
      </c>
      <c r="B34" s="376" t="s">
        <v>2851</v>
      </c>
      <c r="C34" s="377" t="s">
        <v>2849</v>
      </c>
      <c r="D34" s="377"/>
      <c r="E34" s="377" t="s">
        <v>2813</v>
      </c>
      <c r="F34" s="378" t="s">
        <v>2814</v>
      </c>
      <c r="G34" s="377" t="s">
        <v>2846</v>
      </c>
      <c r="H34" s="377">
        <v>2024</v>
      </c>
      <c r="I34" s="377" t="s">
        <v>2815</v>
      </c>
      <c r="J34" s="377" t="s">
        <v>2816</v>
      </c>
      <c r="K34" s="377" t="s">
        <v>2847</v>
      </c>
      <c r="L34" s="379">
        <v>14</v>
      </c>
      <c r="M34" s="380"/>
      <c r="N34" s="381">
        <v>1</v>
      </c>
      <c r="O34" s="382">
        <v>8</v>
      </c>
      <c r="P34" s="382">
        <v>98</v>
      </c>
      <c r="Q34" s="379">
        <v>14</v>
      </c>
      <c r="R34" s="380"/>
      <c r="S34" s="380"/>
      <c r="T34" s="380"/>
      <c r="U34" s="380"/>
      <c r="V34" s="380"/>
      <c r="W34" s="380"/>
      <c r="X34" s="379">
        <v>425.15800000000002</v>
      </c>
      <c r="Y34" s="379">
        <v>623</v>
      </c>
    </row>
    <row r="35" spans="1:25" s="372" customFormat="1" ht="21.6" customHeight="1" x14ac:dyDescent="0.2">
      <c r="A35" s="376" t="s">
        <v>2852</v>
      </c>
      <c r="B35" s="376" t="s">
        <v>2851</v>
      </c>
      <c r="C35" s="377" t="s">
        <v>2849</v>
      </c>
      <c r="D35" s="377"/>
      <c r="E35" s="377" t="s">
        <v>2813</v>
      </c>
      <c r="F35" s="378" t="s">
        <v>2814</v>
      </c>
      <c r="G35" s="377" t="s">
        <v>2839</v>
      </c>
      <c r="H35" s="377">
        <v>2024</v>
      </c>
      <c r="I35" s="377" t="s">
        <v>2815</v>
      </c>
      <c r="J35" s="377" t="s">
        <v>2816</v>
      </c>
      <c r="K35" s="377" t="s">
        <v>2840</v>
      </c>
      <c r="L35" s="379">
        <v>16</v>
      </c>
      <c r="M35" s="380"/>
      <c r="N35" s="381">
        <v>1</v>
      </c>
      <c r="O35" s="382">
        <v>8</v>
      </c>
      <c r="P35" s="382">
        <v>112</v>
      </c>
      <c r="Q35" s="379">
        <v>16</v>
      </c>
      <c r="R35" s="380"/>
      <c r="S35" s="380"/>
      <c r="T35" s="380"/>
      <c r="U35" s="380"/>
      <c r="V35" s="380"/>
      <c r="W35" s="380"/>
      <c r="X35" s="379">
        <v>485.89499999999998</v>
      </c>
      <c r="Y35" s="379">
        <v>712</v>
      </c>
    </row>
    <row r="36" spans="1:25" s="372" customFormat="1" ht="21.6" customHeight="1" x14ac:dyDescent="0.2">
      <c r="A36" s="376" t="s">
        <v>2852</v>
      </c>
      <c r="B36" s="376" t="s">
        <v>2851</v>
      </c>
      <c r="C36" s="377" t="s">
        <v>2849</v>
      </c>
      <c r="D36" s="377"/>
      <c r="E36" s="377" t="s">
        <v>2813</v>
      </c>
      <c r="F36" s="378" t="s">
        <v>2814</v>
      </c>
      <c r="G36" s="377" t="s">
        <v>2839</v>
      </c>
      <c r="H36" s="377">
        <v>2024</v>
      </c>
      <c r="I36" s="377" t="s">
        <v>2815</v>
      </c>
      <c r="J36" s="377" t="s">
        <v>2816</v>
      </c>
      <c r="K36" s="377" t="s">
        <v>2840</v>
      </c>
      <c r="L36" s="379">
        <v>16</v>
      </c>
      <c r="M36" s="380"/>
      <c r="N36" s="381">
        <v>1</v>
      </c>
      <c r="O36" s="382">
        <v>8</v>
      </c>
      <c r="P36" s="382">
        <v>112</v>
      </c>
      <c r="Q36" s="379">
        <v>16</v>
      </c>
      <c r="R36" s="380"/>
      <c r="S36" s="380"/>
      <c r="T36" s="380"/>
      <c r="U36" s="380"/>
      <c r="V36" s="380"/>
      <c r="W36" s="380"/>
      <c r="X36" s="379">
        <v>485.89499999999998</v>
      </c>
      <c r="Y36" s="379">
        <v>712</v>
      </c>
    </row>
    <row r="37" spans="1:25" s="372" customFormat="1" ht="21.6" customHeight="1" x14ac:dyDescent="0.2">
      <c r="A37" s="376" t="s">
        <v>2852</v>
      </c>
      <c r="B37" s="376" t="s">
        <v>2851</v>
      </c>
      <c r="C37" s="377" t="s">
        <v>2849</v>
      </c>
      <c r="D37" s="377"/>
      <c r="E37" s="377" t="s">
        <v>2813</v>
      </c>
      <c r="F37" s="378" t="s">
        <v>2814</v>
      </c>
      <c r="G37" s="377" t="s">
        <v>2839</v>
      </c>
      <c r="H37" s="377">
        <v>2024</v>
      </c>
      <c r="I37" s="377" t="s">
        <v>2815</v>
      </c>
      <c r="J37" s="377" t="s">
        <v>2816</v>
      </c>
      <c r="K37" s="377" t="s">
        <v>2840</v>
      </c>
      <c r="L37" s="379">
        <v>16</v>
      </c>
      <c r="M37" s="380"/>
      <c r="N37" s="381">
        <v>1</v>
      </c>
      <c r="O37" s="382">
        <v>8</v>
      </c>
      <c r="P37" s="382">
        <v>112</v>
      </c>
      <c r="Q37" s="379">
        <v>16</v>
      </c>
      <c r="R37" s="380"/>
      <c r="S37" s="380"/>
      <c r="T37" s="380"/>
      <c r="U37" s="380"/>
      <c r="V37" s="380"/>
      <c r="W37" s="380"/>
      <c r="X37" s="379">
        <v>485.89499999999998</v>
      </c>
      <c r="Y37" s="379">
        <v>712</v>
      </c>
    </row>
    <row r="38" spans="1:25" s="372" customFormat="1" ht="21.6" customHeight="1" x14ac:dyDescent="0.2">
      <c r="A38" s="376" t="s">
        <v>2852</v>
      </c>
      <c r="B38" s="376" t="s">
        <v>2851</v>
      </c>
      <c r="C38" s="377" t="s">
        <v>2849</v>
      </c>
      <c r="D38" s="377"/>
      <c r="E38" s="377" t="s">
        <v>2813</v>
      </c>
      <c r="F38" s="378" t="s">
        <v>2814</v>
      </c>
      <c r="G38" s="377" t="s">
        <v>2839</v>
      </c>
      <c r="H38" s="377">
        <v>2024</v>
      </c>
      <c r="I38" s="377" t="s">
        <v>2815</v>
      </c>
      <c r="J38" s="377" t="s">
        <v>2816</v>
      </c>
      <c r="K38" s="377" t="s">
        <v>2840</v>
      </c>
      <c r="L38" s="379">
        <v>18</v>
      </c>
      <c r="M38" s="380"/>
      <c r="N38" s="381">
        <v>1</v>
      </c>
      <c r="O38" s="382">
        <v>8</v>
      </c>
      <c r="P38" s="382">
        <v>126</v>
      </c>
      <c r="Q38" s="379">
        <v>18</v>
      </c>
      <c r="R38" s="380"/>
      <c r="S38" s="380"/>
      <c r="T38" s="380"/>
      <c r="U38" s="380"/>
      <c r="V38" s="380"/>
      <c r="W38" s="380"/>
      <c r="X38" s="379">
        <v>546.63199999999995</v>
      </c>
      <c r="Y38" s="379">
        <v>801</v>
      </c>
    </row>
    <row r="39" spans="1:25" s="372" customFormat="1" ht="21.6" customHeight="1" x14ac:dyDescent="0.2">
      <c r="A39" s="376" t="s">
        <v>2853</v>
      </c>
      <c r="B39" s="376" t="s">
        <v>2851</v>
      </c>
      <c r="C39" s="377" t="s">
        <v>2849</v>
      </c>
      <c r="D39" s="377"/>
      <c r="E39" s="377" t="s">
        <v>2813</v>
      </c>
      <c r="F39" s="378" t="s">
        <v>2814</v>
      </c>
      <c r="G39" s="377" t="s">
        <v>2854</v>
      </c>
      <c r="H39" s="377">
        <v>2024</v>
      </c>
      <c r="I39" s="377" t="s">
        <v>2832</v>
      </c>
      <c r="J39" s="377" t="s">
        <v>2816</v>
      </c>
      <c r="K39" s="377" t="s">
        <v>2855</v>
      </c>
      <c r="L39" s="379">
        <v>30</v>
      </c>
      <c r="M39" s="380"/>
      <c r="N39" s="381">
        <v>1</v>
      </c>
      <c r="O39" s="382">
        <v>8</v>
      </c>
      <c r="P39" s="382">
        <v>210</v>
      </c>
      <c r="Q39" s="379">
        <v>30</v>
      </c>
      <c r="R39" s="380"/>
      <c r="S39" s="380"/>
      <c r="T39" s="380"/>
      <c r="U39" s="380"/>
      <c r="V39" s="380"/>
      <c r="W39" s="380"/>
      <c r="X39" s="383">
        <v>1388</v>
      </c>
      <c r="Y39" s="383">
        <v>1335</v>
      </c>
    </row>
    <row r="40" spans="1:25" s="372" customFormat="1" ht="21.6" customHeight="1" x14ac:dyDescent="0.2">
      <c r="A40" s="376" t="s">
        <v>2856</v>
      </c>
      <c r="B40" s="376" t="s">
        <v>2851</v>
      </c>
      <c r="C40" s="377" t="s">
        <v>2849</v>
      </c>
      <c r="D40" s="377"/>
      <c r="E40" s="377" t="s">
        <v>2813</v>
      </c>
      <c r="F40" s="378" t="s">
        <v>2814</v>
      </c>
      <c r="G40" s="377" t="s">
        <v>2820</v>
      </c>
      <c r="H40" s="377">
        <v>2024</v>
      </c>
      <c r="I40" s="377" t="s">
        <v>2821</v>
      </c>
      <c r="J40" s="377" t="s">
        <v>2816</v>
      </c>
      <c r="K40" s="377" t="s">
        <v>2822</v>
      </c>
      <c r="L40" s="379">
        <v>31</v>
      </c>
      <c r="M40" s="380"/>
      <c r="N40" s="381">
        <v>1</v>
      </c>
      <c r="O40" s="382">
        <v>8</v>
      </c>
      <c r="P40" s="382">
        <v>217</v>
      </c>
      <c r="Q40" s="379">
        <v>31</v>
      </c>
      <c r="R40" s="380"/>
      <c r="S40" s="380"/>
      <c r="T40" s="380"/>
      <c r="U40" s="380"/>
      <c r="V40" s="380"/>
      <c r="W40" s="380"/>
      <c r="X40" s="379">
        <v>557.66600000000005</v>
      </c>
      <c r="Y40" s="383">
        <v>1379.5</v>
      </c>
    </row>
    <row r="41" spans="1:25" s="372" customFormat="1" ht="21.6" customHeight="1" x14ac:dyDescent="0.2">
      <c r="A41" s="376" t="s">
        <v>2856</v>
      </c>
      <c r="B41" s="376" t="s">
        <v>2851</v>
      </c>
      <c r="C41" s="377" t="s">
        <v>2849</v>
      </c>
      <c r="D41" s="377"/>
      <c r="E41" s="377" t="s">
        <v>2813</v>
      </c>
      <c r="F41" s="378" t="s">
        <v>2814</v>
      </c>
      <c r="G41" s="377" t="s">
        <v>2820</v>
      </c>
      <c r="H41" s="377">
        <v>2024</v>
      </c>
      <c r="I41" s="377" t="s">
        <v>2821</v>
      </c>
      <c r="J41" s="377" t="s">
        <v>2816</v>
      </c>
      <c r="K41" s="377" t="s">
        <v>2822</v>
      </c>
      <c r="L41" s="379">
        <v>9.6</v>
      </c>
      <c r="M41" s="380"/>
      <c r="N41" s="381">
        <v>1</v>
      </c>
      <c r="O41" s="382">
        <v>8</v>
      </c>
      <c r="P41" s="382">
        <v>67.2</v>
      </c>
      <c r="Q41" s="379">
        <v>9.6</v>
      </c>
      <c r="R41" s="380"/>
      <c r="S41" s="380"/>
      <c r="T41" s="380"/>
      <c r="U41" s="380"/>
      <c r="V41" s="380"/>
      <c r="W41" s="380"/>
      <c r="X41" s="379">
        <v>172.697</v>
      </c>
      <c r="Y41" s="379">
        <v>427.2</v>
      </c>
    </row>
    <row r="42" spans="1:25" s="372" customFormat="1" ht="21.6" customHeight="1" x14ac:dyDescent="0.2">
      <c r="A42" s="376" t="s">
        <v>2856</v>
      </c>
      <c r="B42" s="376" t="s">
        <v>2851</v>
      </c>
      <c r="C42" s="377" t="s">
        <v>2849</v>
      </c>
      <c r="D42" s="377"/>
      <c r="E42" s="377" t="s">
        <v>2813</v>
      </c>
      <c r="F42" s="378" t="s">
        <v>2814</v>
      </c>
      <c r="G42" s="377" t="s">
        <v>2826</v>
      </c>
      <c r="H42" s="377">
        <v>2024</v>
      </c>
      <c r="I42" s="377" t="s">
        <v>2821</v>
      </c>
      <c r="J42" s="377" t="s">
        <v>2816</v>
      </c>
      <c r="K42" s="377" t="s">
        <v>2827</v>
      </c>
      <c r="L42" s="379">
        <v>52.4</v>
      </c>
      <c r="M42" s="380"/>
      <c r="N42" s="381">
        <v>1</v>
      </c>
      <c r="O42" s="382">
        <v>8</v>
      </c>
      <c r="P42" s="382">
        <v>366.8</v>
      </c>
      <c r="Q42" s="379">
        <v>52.4</v>
      </c>
      <c r="R42" s="380"/>
      <c r="S42" s="380"/>
      <c r="T42" s="380"/>
      <c r="U42" s="380"/>
      <c r="V42" s="380"/>
      <c r="W42" s="380"/>
      <c r="X42" s="379">
        <v>942.63699999999994</v>
      </c>
      <c r="Y42" s="383">
        <v>2331.8000000000002</v>
      </c>
    </row>
    <row r="43" spans="1:25" s="372" customFormat="1" ht="21.6" customHeight="1" x14ac:dyDescent="0.2">
      <c r="A43" s="376" t="s">
        <v>2857</v>
      </c>
      <c r="B43" s="376" t="s">
        <v>2858</v>
      </c>
      <c r="C43" s="377" t="s">
        <v>2819</v>
      </c>
      <c r="D43" s="377"/>
      <c r="E43" s="377" t="s">
        <v>2813</v>
      </c>
      <c r="F43" s="378" t="s">
        <v>2814</v>
      </c>
      <c r="G43" s="377" t="s">
        <v>1756</v>
      </c>
      <c r="H43" s="377">
        <v>2024</v>
      </c>
      <c r="I43" s="377" t="s">
        <v>2815</v>
      </c>
      <c r="J43" s="377" t="s">
        <v>2816</v>
      </c>
      <c r="K43" s="377" t="s">
        <v>2835</v>
      </c>
      <c r="L43" s="379">
        <v>14</v>
      </c>
      <c r="M43" s="380"/>
      <c r="N43" s="381">
        <v>1</v>
      </c>
      <c r="O43" s="382">
        <v>8</v>
      </c>
      <c r="P43" s="382">
        <v>98</v>
      </c>
      <c r="Q43" s="379">
        <v>14</v>
      </c>
      <c r="R43" s="380"/>
      <c r="S43" s="380"/>
      <c r="T43" s="380"/>
      <c r="U43" s="380"/>
      <c r="V43" s="380"/>
      <c r="W43" s="380"/>
      <c r="X43" s="379">
        <v>430.12200000000001</v>
      </c>
      <c r="Y43" s="379">
        <v>623</v>
      </c>
    </row>
    <row r="44" spans="1:25" s="372" customFormat="1" ht="21.6" customHeight="1" x14ac:dyDescent="0.2">
      <c r="A44" s="376" t="s">
        <v>2857</v>
      </c>
      <c r="B44" s="376" t="s">
        <v>2858</v>
      </c>
      <c r="C44" s="377" t="s">
        <v>2819</v>
      </c>
      <c r="D44" s="377"/>
      <c r="E44" s="377" t="s">
        <v>2813</v>
      </c>
      <c r="F44" s="378" t="s">
        <v>2814</v>
      </c>
      <c r="G44" s="377" t="s">
        <v>1756</v>
      </c>
      <c r="H44" s="377">
        <v>2024</v>
      </c>
      <c r="I44" s="377" t="s">
        <v>2815</v>
      </c>
      <c r="J44" s="377" t="s">
        <v>2816</v>
      </c>
      <c r="K44" s="377" t="s">
        <v>2835</v>
      </c>
      <c r="L44" s="379">
        <v>14</v>
      </c>
      <c r="M44" s="380"/>
      <c r="N44" s="381">
        <v>1</v>
      </c>
      <c r="O44" s="382">
        <v>8</v>
      </c>
      <c r="P44" s="382">
        <v>98</v>
      </c>
      <c r="Q44" s="379">
        <v>14</v>
      </c>
      <c r="R44" s="380"/>
      <c r="S44" s="380"/>
      <c r="T44" s="380"/>
      <c r="U44" s="380"/>
      <c r="V44" s="380"/>
      <c r="W44" s="380"/>
      <c r="X44" s="379">
        <v>430.12</v>
      </c>
      <c r="Y44" s="379">
        <v>623</v>
      </c>
    </row>
    <row r="45" spans="1:25" s="372" customFormat="1" ht="21.6" customHeight="1" x14ac:dyDescent="0.2">
      <c r="A45" s="376" t="s">
        <v>2857</v>
      </c>
      <c r="B45" s="376" t="s">
        <v>2858</v>
      </c>
      <c r="C45" s="377" t="s">
        <v>2819</v>
      </c>
      <c r="D45" s="377"/>
      <c r="E45" s="377" t="s">
        <v>2813</v>
      </c>
      <c r="F45" s="378" t="s">
        <v>2814</v>
      </c>
      <c r="G45" s="377" t="s">
        <v>1756</v>
      </c>
      <c r="H45" s="377">
        <v>2024</v>
      </c>
      <c r="I45" s="377" t="s">
        <v>2815</v>
      </c>
      <c r="J45" s="377" t="s">
        <v>2816</v>
      </c>
      <c r="K45" s="377" t="s">
        <v>2835</v>
      </c>
      <c r="L45" s="379">
        <v>14</v>
      </c>
      <c r="M45" s="380"/>
      <c r="N45" s="381">
        <v>1</v>
      </c>
      <c r="O45" s="382">
        <v>8</v>
      </c>
      <c r="P45" s="382">
        <v>98</v>
      </c>
      <c r="Q45" s="379">
        <v>14</v>
      </c>
      <c r="R45" s="380"/>
      <c r="S45" s="380"/>
      <c r="T45" s="380"/>
      <c r="U45" s="380"/>
      <c r="V45" s="380"/>
      <c r="W45" s="380"/>
      <c r="X45" s="379">
        <v>430.12</v>
      </c>
      <c r="Y45" s="379">
        <v>623</v>
      </c>
    </row>
    <row r="46" spans="1:25" s="372" customFormat="1" ht="21.6" customHeight="1" x14ac:dyDescent="0.2">
      <c r="A46" s="376" t="s">
        <v>2857</v>
      </c>
      <c r="B46" s="376" t="s">
        <v>2858</v>
      </c>
      <c r="C46" s="377" t="s">
        <v>2819</v>
      </c>
      <c r="D46" s="377"/>
      <c r="E46" s="377" t="s">
        <v>2813</v>
      </c>
      <c r="F46" s="378" t="s">
        <v>2814</v>
      </c>
      <c r="G46" s="377" t="s">
        <v>1756</v>
      </c>
      <c r="H46" s="377">
        <v>2024</v>
      </c>
      <c r="I46" s="377" t="s">
        <v>2815</v>
      </c>
      <c r="J46" s="377" t="s">
        <v>2816</v>
      </c>
      <c r="K46" s="377" t="s">
        <v>2835</v>
      </c>
      <c r="L46" s="379">
        <v>14</v>
      </c>
      <c r="M46" s="380"/>
      <c r="N46" s="381">
        <v>1</v>
      </c>
      <c r="O46" s="382">
        <v>8</v>
      </c>
      <c r="P46" s="382">
        <v>98</v>
      </c>
      <c r="Q46" s="379">
        <v>14</v>
      </c>
      <c r="R46" s="380"/>
      <c r="S46" s="380"/>
      <c r="T46" s="380"/>
      <c r="U46" s="380"/>
      <c r="V46" s="380"/>
      <c r="W46" s="380"/>
      <c r="X46" s="379">
        <v>430.12</v>
      </c>
      <c r="Y46" s="379">
        <v>623</v>
      </c>
    </row>
    <row r="47" spans="1:25" s="372" customFormat="1" ht="21.6" customHeight="1" x14ac:dyDescent="0.2">
      <c r="A47" s="376" t="s">
        <v>2857</v>
      </c>
      <c r="B47" s="376" t="s">
        <v>2858</v>
      </c>
      <c r="C47" s="377" t="s">
        <v>2819</v>
      </c>
      <c r="D47" s="377"/>
      <c r="E47" s="377" t="s">
        <v>2813</v>
      </c>
      <c r="F47" s="378" t="s">
        <v>2814</v>
      </c>
      <c r="G47" s="377" t="s">
        <v>1756</v>
      </c>
      <c r="H47" s="377">
        <v>2024</v>
      </c>
      <c r="I47" s="377" t="s">
        <v>2815</v>
      </c>
      <c r="J47" s="377" t="s">
        <v>2816</v>
      </c>
      <c r="K47" s="377" t="s">
        <v>2835</v>
      </c>
      <c r="L47" s="379">
        <v>14</v>
      </c>
      <c r="M47" s="380"/>
      <c r="N47" s="381">
        <v>1</v>
      </c>
      <c r="O47" s="382">
        <v>8</v>
      </c>
      <c r="P47" s="382">
        <v>98</v>
      </c>
      <c r="Q47" s="379">
        <v>14</v>
      </c>
      <c r="R47" s="380"/>
      <c r="S47" s="380"/>
      <c r="T47" s="380"/>
      <c r="U47" s="380"/>
      <c r="V47" s="380"/>
      <c r="W47" s="380"/>
      <c r="X47" s="379">
        <v>430.12</v>
      </c>
      <c r="Y47" s="379">
        <v>623</v>
      </c>
    </row>
    <row r="48" spans="1:25" s="372" customFormat="1" ht="21.6" customHeight="1" x14ac:dyDescent="0.2">
      <c r="A48" s="376" t="s">
        <v>2857</v>
      </c>
      <c r="B48" s="376" t="s">
        <v>2858</v>
      </c>
      <c r="C48" s="377" t="s">
        <v>2819</v>
      </c>
      <c r="D48" s="377"/>
      <c r="E48" s="377" t="s">
        <v>2813</v>
      </c>
      <c r="F48" s="378" t="s">
        <v>2814</v>
      </c>
      <c r="G48" s="377" t="s">
        <v>1756</v>
      </c>
      <c r="H48" s="377">
        <v>2024</v>
      </c>
      <c r="I48" s="377" t="s">
        <v>2815</v>
      </c>
      <c r="J48" s="377" t="s">
        <v>2816</v>
      </c>
      <c r="K48" s="377" t="s">
        <v>2835</v>
      </c>
      <c r="L48" s="379">
        <v>13</v>
      </c>
      <c r="M48" s="380"/>
      <c r="N48" s="381">
        <v>1</v>
      </c>
      <c r="O48" s="382">
        <v>8</v>
      </c>
      <c r="P48" s="382">
        <v>91</v>
      </c>
      <c r="Q48" s="379">
        <v>13</v>
      </c>
      <c r="R48" s="380"/>
      <c r="S48" s="380"/>
      <c r="T48" s="380"/>
      <c r="U48" s="380"/>
      <c r="V48" s="380"/>
      <c r="W48" s="380"/>
      <c r="X48" s="379">
        <v>399.39800000000002</v>
      </c>
      <c r="Y48" s="379">
        <v>578.5</v>
      </c>
    </row>
    <row r="49" spans="1:25" s="372" customFormat="1" ht="21.6" customHeight="1" x14ac:dyDescent="0.2">
      <c r="A49" s="376" t="s">
        <v>2859</v>
      </c>
      <c r="B49" s="376" t="s">
        <v>2858</v>
      </c>
      <c r="C49" s="377" t="s">
        <v>2819</v>
      </c>
      <c r="D49" s="377"/>
      <c r="E49" s="377" t="s">
        <v>2813</v>
      </c>
      <c r="F49" s="378" t="s">
        <v>2814</v>
      </c>
      <c r="G49" s="377" t="s">
        <v>2846</v>
      </c>
      <c r="H49" s="377">
        <v>2024</v>
      </c>
      <c r="I49" s="377" t="s">
        <v>2815</v>
      </c>
      <c r="J49" s="377" t="s">
        <v>2816</v>
      </c>
      <c r="K49" s="377" t="s">
        <v>2847</v>
      </c>
      <c r="L49" s="379">
        <v>11</v>
      </c>
      <c r="M49" s="380"/>
      <c r="N49" s="381">
        <v>1</v>
      </c>
      <c r="O49" s="382">
        <v>8</v>
      </c>
      <c r="P49" s="382">
        <v>77</v>
      </c>
      <c r="Q49" s="379">
        <v>11</v>
      </c>
      <c r="R49" s="380"/>
      <c r="S49" s="380"/>
      <c r="T49" s="380"/>
      <c r="U49" s="380"/>
      <c r="V49" s="380"/>
      <c r="W49" s="380"/>
      <c r="X49" s="379">
        <v>332.46199999999999</v>
      </c>
      <c r="Y49" s="379">
        <v>489.5</v>
      </c>
    </row>
    <row r="50" spans="1:25" s="372" customFormat="1" ht="21.6" customHeight="1" x14ac:dyDescent="0.2">
      <c r="A50" s="376" t="s">
        <v>2859</v>
      </c>
      <c r="B50" s="376" t="s">
        <v>2858</v>
      </c>
      <c r="C50" s="377" t="s">
        <v>2819</v>
      </c>
      <c r="D50" s="377"/>
      <c r="E50" s="377" t="s">
        <v>2813</v>
      </c>
      <c r="F50" s="378" t="s">
        <v>2814</v>
      </c>
      <c r="G50" s="377" t="s">
        <v>2839</v>
      </c>
      <c r="H50" s="377">
        <v>2024</v>
      </c>
      <c r="I50" s="377" t="s">
        <v>2815</v>
      </c>
      <c r="J50" s="377" t="s">
        <v>2816</v>
      </c>
      <c r="K50" s="377" t="s">
        <v>2840</v>
      </c>
      <c r="L50" s="379">
        <v>20</v>
      </c>
      <c r="M50" s="380"/>
      <c r="N50" s="381">
        <v>1</v>
      </c>
      <c r="O50" s="382">
        <v>8</v>
      </c>
      <c r="P50" s="382">
        <v>140</v>
      </c>
      <c r="Q50" s="379">
        <v>20</v>
      </c>
      <c r="R50" s="380"/>
      <c r="S50" s="380"/>
      <c r="T50" s="380"/>
      <c r="U50" s="380"/>
      <c r="V50" s="380"/>
      <c r="W50" s="380"/>
      <c r="X50" s="379">
        <v>604.47799999999995</v>
      </c>
      <c r="Y50" s="379">
        <v>890</v>
      </c>
    </row>
    <row r="51" spans="1:25" s="372" customFormat="1" ht="21.6" customHeight="1" x14ac:dyDescent="0.2">
      <c r="A51" s="376" t="s">
        <v>2859</v>
      </c>
      <c r="B51" s="376" t="s">
        <v>2858</v>
      </c>
      <c r="C51" s="377" t="s">
        <v>2819</v>
      </c>
      <c r="D51" s="377"/>
      <c r="E51" s="377" t="s">
        <v>2813</v>
      </c>
      <c r="F51" s="378" t="s">
        <v>2814</v>
      </c>
      <c r="G51" s="377" t="s">
        <v>2839</v>
      </c>
      <c r="H51" s="377">
        <v>2024</v>
      </c>
      <c r="I51" s="377" t="s">
        <v>2815</v>
      </c>
      <c r="J51" s="377" t="s">
        <v>2816</v>
      </c>
      <c r="K51" s="377" t="s">
        <v>2840</v>
      </c>
      <c r="L51" s="379">
        <v>20</v>
      </c>
      <c r="M51" s="380"/>
      <c r="N51" s="381">
        <v>1</v>
      </c>
      <c r="O51" s="382">
        <v>8</v>
      </c>
      <c r="P51" s="382">
        <v>140</v>
      </c>
      <c r="Q51" s="379">
        <v>20</v>
      </c>
      <c r="R51" s="380"/>
      <c r="S51" s="380"/>
      <c r="T51" s="380"/>
      <c r="U51" s="380"/>
      <c r="V51" s="380"/>
      <c r="W51" s="380"/>
      <c r="X51" s="379">
        <v>604.47799999999995</v>
      </c>
      <c r="Y51" s="379">
        <v>890</v>
      </c>
    </row>
    <row r="52" spans="1:25" s="372" customFormat="1" ht="21.6" customHeight="1" x14ac:dyDescent="0.2">
      <c r="A52" s="376" t="s">
        <v>2859</v>
      </c>
      <c r="B52" s="376" t="s">
        <v>2858</v>
      </c>
      <c r="C52" s="377" t="s">
        <v>2819</v>
      </c>
      <c r="D52" s="377"/>
      <c r="E52" s="377" t="s">
        <v>2813</v>
      </c>
      <c r="F52" s="378" t="s">
        <v>2814</v>
      </c>
      <c r="G52" s="377" t="s">
        <v>2839</v>
      </c>
      <c r="H52" s="377">
        <v>2024</v>
      </c>
      <c r="I52" s="377" t="s">
        <v>2815</v>
      </c>
      <c r="J52" s="377" t="s">
        <v>2816</v>
      </c>
      <c r="K52" s="377" t="s">
        <v>2840</v>
      </c>
      <c r="L52" s="379">
        <v>16</v>
      </c>
      <c r="M52" s="380"/>
      <c r="N52" s="381">
        <v>1</v>
      </c>
      <c r="O52" s="382">
        <v>8</v>
      </c>
      <c r="P52" s="382">
        <v>112</v>
      </c>
      <c r="Q52" s="379">
        <v>16</v>
      </c>
      <c r="R52" s="380"/>
      <c r="S52" s="380"/>
      <c r="T52" s="380"/>
      <c r="U52" s="380"/>
      <c r="V52" s="380"/>
      <c r="W52" s="380"/>
      <c r="X52" s="379">
        <v>483.58199999999999</v>
      </c>
      <c r="Y52" s="379">
        <v>712</v>
      </c>
    </row>
    <row r="53" spans="1:25" s="372" customFormat="1" ht="21.6" customHeight="1" x14ac:dyDescent="0.2">
      <c r="A53" s="376" t="s">
        <v>2860</v>
      </c>
      <c r="B53" s="376" t="s">
        <v>2861</v>
      </c>
      <c r="C53" s="377" t="s">
        <v>2845</v>
      </c>
      <c r="D53" s="377"/>
      <c r="E53" s="377" t="s">
        <v>2813</v>
      </c>
      <c r="F53" s="378" t="s">
        <v>2814</v>
      </c>
      <c r="G53" s="377" t="s">
        <v>2854</v>
      </c>
      <c r="H53" s="377">
        <v>2024</v>
      </c>
      <c r="I53" s="377" t="s">
        <v>2832</v>
      </c>
      <c r="J53" s="377" t="s">
        <v>2816</v>
      </c>
      <c r="K53" s="377" t="s">
        <v>2855</v>
      </c>
      <c r="L53" s="379">
        <v>15</v>
      </c>
      <c r="M53" s="380"/>
      <c r="N53" s="381">
        <v>1</v>
      </c>
      <c r="O53" s="382">
        <v>8</v>
      </c>
      <c r="P53" s="382">
        <v>105</v>
      </c>
      <c r="Q53" s="379">
        <v>15</v>
      </c>
      <c r="R53" s="380"/>
      <c r="S53" s="380"/>
      <c r="T53" s="380"/>
      <c r="U53" s="380"/>
      <c r="V53" s="380"/>
      <c r="W53" s="380"/>
      <c r="X53" s="379">
        <v>774.5</v>
      </c>
      <c r="Y53" s="379">
        <v>667.5</v>
      </c>
    </row>
    <row r="54" spans="1:25" s="372" customFormat="1" ht="21.6" customHeight="1" x14ac:dyDescent="0.2">
      <c r="A54" s="376" t="s">
        <v>2860</v>
      </c>
      <c r="B54" s="376" t="s">
        <v>2861</v>
      </c>
      <c r="C54" s="377" t="s">
        <v>2845</v>
      </c>
      <c r="D54" s="377"/>
      <c r="E54" s="377" t="s">
        <v>2813</v>
      </c>
      <c r="F54" s="378" t="s">
        <v>2814</v>
      </c>
      <c r="G54" s="377" t="s">
        <v>2831</v>
      </c>
      <c r="H54" s="377">
        <v>2024</v>
      </c>
      <c r="I54" s="377" t="s">
        <v>2832</v>
      </c>
      <c r="J54" s="377" t="s">
        <v>2816</v>
      </c>
      <c r="K54" s="377" t="s">
        <v>2833</v>
      </c>
      <c r="L54" s="379">
        <v>15</v>
      </c>
      <c r="M54" s="380"/>
      <c r="N54" s="381">
        <v>1</v>
      </c>
      <c r="O54" s="382">
        <v>8</v>
      </c>
      <c r="P54" s="382">
        <v>105</v>
      </c>
      <c r="Q54" s="379">
        <v>15</v>
      </c>
      <c r="R54" s="380"/>
      <c r="S54" s="380"/>
      <c r="T54" s="380"/>
      <c r="U54" s="380"/>
      <c r="V54" s="380"/>
      <c r="W54" s="380"/>
      <c r="X54" s="379">
        <v>774.5</v>
      </c>
      <c r="Y54" s="379">
        <v>667.5</v>
      </c>
    </row>
    <row r="55" spans="1:25" s="372" customFormat="1" ht="21.6" customHeight="1" x14ac:dyDescent="0.2">
      <c r="A55" s="376" t="s">
        <v>2862</v>
      </c>
      <c r="B55" s="376" t="s">
        <v>2861</v>
      </c>
      <c r="C55" s="377" t="s">
        <v>2845</v>
      </c>
      <c r="D55" s="377"/>
      <c r="E55" s="377" t="s">
        <v>2813</v>
      </c>
      <c r="F55" s="378" t="s">
        <v>2814</v>
      </c>
      <c r="G55" s="377" t="s">
        <v>1756</v>
      </c>
      <c r="H55" s="377">
        <v>2024</v>
      </c>
      <c r="I55" s="377" t="s">
        <v>2815</v>
      </c>
      <c r="J55" s="377" t="s">
        <v>2816</v>
      </c>
      <c r="K55" s="377" t="s">
        <v>2835</v>
      </c>
      <c r="L55" s="379">
        <v>6</v>
      </c>
      <c r="M55" s="380"/>
      <c r="N55" s="381">
        <v>1</v>
      </c>
      <c r="O55" s="382">
        <v>8</v>
      </c>
      <c r="P55" s="382">
        <v>42</v>
      </c>
      <c r="Q55" s="379">
        <v>6</v>
      </c>
      <c r="R55" s="380"/>
      <c r="S55" s="380"/>
      <c r="T55" s="380"/>
      <c r="U55" s="380"/>
      <c r="V55" s="380"/>
      <c r="W55" s="380"/>
      <c r="X55" s="379">
        <v>190.90899999999999</v>
      </c>
      <c r="Y55" s="379">
        <v>267</v>
      </c>
    </row>
    <row r="56" spans="1:25" s="372" customFormat="1" ht="21.6" customHeight="1" x14ac:dyDescent="0.2">
      <c r="A56" s="376" t="s">
        <v>2862</v>
      </c>
      <c r="B56" s="376" t="s">
        <v>2861</v>
      </c>
      <c r="C56" s="377" t="s">
        <v>2845</v>
      </c>
      <c r="D56" s="377"/>
      <c r="E56" s="377" t="s">
        <v>2813</v>
      </c>
      <c r="F56" s="378" t="s">
        <v>2814</v>
      </c>
      <c r="G56" s="377" t="s">
        <v>1754</v>
      </c>
      <c r="H56" s="377">
        <v>2024</v>
      </c>
      <c r="I56" s="377" t="s">
        <v>2815</v>
      </c>
      <c r="J56" s="377" t="s">
        <v>2816</v>
      </c>
      <c r="K56" s="377" t="s">
        <v>2817</v>
      </c>
      <c r="L56" s="379">
        <v>5</v>
      </c>
      <c r="M56" s="380"/>
      <c r="N56" s="381">
        <v>1</v>
      </c>
      <c r="O56" s="382">
        <v>8</v>
      </c>
      <c r="P56" s="382">
        <v>35</v>
      </c>
      <c r="Q56" s="379">
        <v>5</v>
      </c>
      <c r="R56" s="380"/>
      <c r="S56" s="380"/>
      <c r="T56" s="380"/>
      <c r="U56" s="380"/>
      <c r="V56" s="380"/>
      <c r="W56" s="380"/>
      <c r="X56" s="379">
        <v>159.09100000000001</v>
      </c>
      <c r="Y56" s="379">
        <v>222.5</v>
      </c>
    </row>
    <row r="57" spans="1:25" x14ac:dyDescent="0.2">
      <c r="A57" s="372" t="s">
        <v>2863</v>
      </c>
      <c r="B57" s="372" t="s">
        <v>2811</v>
      </c>
      <c r="C57" s="372" t="s">
        <v>2849</v>
      </c>
      <c r="D57" s="372"/>
      <c r="E57" s="372" t="s">
        <v>2813</v>
      </c>
      <c r="F57" s="372"/>
      <c r="G57" s="372" t="s">
        <v>110</v>
      </c>
      <c r="H57" s="372">
        <v>2025</v>
      </c>
      <c r="I57" s="372" t="s">
        <v>2908</v>
      </c>
      <c r="J57" s="372" t="s">
        <v>2816</v>
      </c>
      <c r="K57" s="372" t="s">
        <v>2909</v>
      </c>
      <c r="L57" s="372">
        <v>5</v>
      </c>
      <c r="M57" s="372"/>
      <c r="N57" s="372">
        <v>1</v>
      </c>
      <c r="O57" s="372">
        <v>5</v>
      </c>
      <c r="P57" s="372">
        <v>35</v>
      </c>
      <c r="Q57" s="372">
        <v>5</v>
      </c>
      <c r="R57" s="372"/>
      <c r="S57" s="372"/>
      <c r="T57" s="372"/>
      <c r="U57" s="372"/>
      <c r="V57" s="372"/>
      <c r="W57" s="372"/>
      <c r="X57" s="372">
        <v>264.68799999999999</v>
      </c>
      <c r="Y57" s="372">
        <v>222.5</v>
      </c>
    </row>
    <row r="58" spans="1:25" x14ac:dyDescent="0.2">
      <c r="A58" s="372" t="s">
        <v>2863</v>
      </c>
      <c r="B58" s="372" t="s">
        <v>2811</v>
      </c>
      <c r="C58" s="372" t="s">
        <v>2849</v>
      </c>
      <c r="D58" s="372"/>
      <c r="E58" s="372" t="s">
        <v>2813</v>
      </c>
      <c r="F58" s="372"/>
      <c r="G58" s="372" t="s">
        <v>110</v>
      </c>
      <c r="H58" s="372">
        <v>2025</v>
      </c>
      <c r="I58" s="372" t="s">
        <v>2908</v>
      </c>
      <c r="J58" s="372" t="s">
        <v>2816</v>
      </c>
      <c r="K58" s="372" t="s">
        <v>2909</v>
      </c>
      <c r="L58" s="372">
        <v>10</v>
      </c>
      <c r="M58" s="372"/>
      <c r="N58" s="372">
        <v>1</v>
      </c>
      <c r="O58" s="372">
        <v>24</v>
      </c>
      <c r="P58" s="372">
        <v>70</v>
      </c>
      <c r="Q58" s="372">
        <v>10</v>
      </c>
      <c r="R58" s="372"/>
      <c r="S58" s="372"/>
      <c r="T58" s="372"/>
      <c r="U58" s="372"/>
      <c r="V58" s="372"/>
      <c r="W58" s="372"/>
      <c r="X58" s="372">
        <v>529.375</v>
      </c>
      <c r="Y58" s="372">
        <v>445</v>
      </c>
    </row>
    <row r="59" spans="1:25" x14ac:dyDescent="0.2">
      <c r="A59" s="372" t="s">
        <v>2864</v>
      </c>
      <c r="B59" s="372" t="s">
        <v>2858</v>
      </c>
      <c r="C59" s="372" t="s">
        <v>2819</v>
      </c>
      <c r="D59" s="372"/>
      <c r="E59" s="372" t="s">
        <v>2813</v>
      </c>
      <c r="F59" s="372"/>
      <c r="G59" s="372" t="s">
        <v>2865</v>
      </c>
      <c r="H59" s="372">
        <v>2025</v>
      </c>
      <c r="I59" s="372" t="s">
        <v>2821</v>
      </c>
      <c r="J59" s="372" t="s">
        <v>2816</v>
      </c>
      <c r="K59" s="372" t="s">
        <v>2910</v>
      </c>
      <c r="L59" s="372">
        <v>11.3</v>
      </c>
      <c r="M59" s="372"/>
      <c r="N59" s="372">
        <v>1</v>
      </c>
      <c r="O59" s="372">
        <v>24</v>
      </c>
      <c r="P59" s="372">
        <v>79.099999999999994</v>
      </c>
      <c r="Q59" s="372">
        <v>11.3</v>
      </c>
      <c r="R59" s="372"/>
      <c r="S59" s="372"/>
      <c r="T59" s="372"/>
      <c r="U59" s="372"/>
      <c r="V59" s="372"/>
      <c r="W59" s="372"/>
      <c r="X59" s="372">
        <v>434</v>
      </c>
      <c r="Y59" s="372">
        <v>502.85</v>
      </c>
    </row>
    <row r="60" spans="1:25" x14ac:dyDescent="0.2">
      <c r="A60" s="372" t="s">
        <v>2866</v>
      </c>
      <c r="B60" s="372" t="s">
        <v>2858</v>
      </c>
      <c r="C60" s="372" t="s">
        <v>2819</v>
      </c>
      <c r="D60" s="372"/>
      <c r="E60" s="372" t="s">
        <v>2813</v>
      </c>
      <c r="F60" s="372"/>
      <c r="G60" s="372" t="s">
        <v>2867</v>
      </c>
      <c r="H60" s="372">
        <v>2025</v>
      </c>
      <c r="I60" s="372" t="s">
        <v>2821</v>
      </c>
      <c r="J60" s="372" t="s">
        <v>2816</v>
      </c>
      <c r="K60" s="372" t="s">
        <v>2911</v>
      </c>
      <c r="L60" s="372">
        <v>72.2</v>
      </c>
      <c r="M60" s="372"/>
      <c r="N60" s="372">
        <v>1</v>
      </c>
      <c r="O60" s="372">
        <v>24</v>
      </c>
      <c r="P60" s="372">
        <v>505.4</v>
      </c>
      <c r="Q60" s="372">
        <v>72.2</v>
      </c>
      <c r="R60" s="372"/>
      <c r="S60" s="372"/>
      <c r="T60" s="372"/>
      <c r="U60" s="372"/>
      <c r="V60" s="372"/>
      <c r="W60" s="372"/>
      <c r="X60" s="372">
        <v>2693</v>
      </c>
      <c r="Y60" s="372">
        <v>3212.9</v>
      </c>
    </row>
    <row r="61" spans="1:25" x14ac:dyDescent="0.2">
      <c r="A61" s="372" t="s">
        <v>2868</v>
      </c>
      <c r="B61" s="372" t="s">
        <v>2869</v>
      </c>
      <c r="C61" s="372" t="s">
        <v>2812</v>
      </c>
      <c r="D61" s="372"/>
      <c r="E61" s="372" t="s">
        <v>2813</v>
      </c>
      <c r="F61" s="372"/>
      <c r="G61" s="372" t="s">
        <v>2865</v>
      </c>
      <c r="H61" s="372">
        <v>2025</v>
      </c>
      <c r="I61" s="372" t="s">
        <v>2821</v>
      </c>
      <c r="J61" s="372" t="s">
        <v>2816</v>
      </c>
      <c r="K61" s="372" t="s">
        <v>2910</v>
      </c>
      <c r="L61" s="372">
        <v>26</v>
      </c>
      <c r="M61" s="372"/>
      <c r="N61" s="372">
        <v>1</v>
      </c>
      <c r="O61" s="372">
        <v>24</v>
      </c>
      <c r="P61" s="372">
        <v>182</v>
      </c>
      <c r="Q61" s="372">
        <v>26</v>
      </c>
      <c r="R61" s="372"/>
      <c r="S61" s="372"/>
      <c r="T61" s="372"/>
      <c r="U61" s="372"/>
      <c r="V61" s="372"/>
      <c r="W61" s="372"/>
      <c r="X61" s="372">
        <v>500</v>
      </c>
      <c r="Y61" s="372">
        <v>1157</v>
      </c>
    </row>
    <row r="62" spans="1:25" x14ac:dyDescent="0.2">
      <c r="A62" s="372" t="s">
        <v>2870</v>
      </c>
      <c r="B62" s="372" t="s">
        <v>2869</v>
      </c>
      <c r="C62" s="372" t="s">
        <v>2812</v>
      </c>
      <c r="D62" s="372"/>
      <c r="E62" s="372" t="s">
        <v>2813</v>
      </c>
      <c r="F62" s="372"/>
      <c r="G62" s="372" t="s">
        <v>2867</v>
      </c>
      <c r="H62" s="372">
        <v>2025</v>
      </c>
      <c r="I62" s="372" t="s">
        <v>2821</v>
      </c>
      <c r="J62" s="372" t="s">
        <v>2816</v>
      </c>
      <c r="K62" s="372" t="s">
        <v>2911</v>
      </c>
      <c r="L62" s="372">
        <v>4.5</v>
      </c>
      <c r="M62" s="372"/>
      <c r="N62" s="372">
        <v>1</v>
      </c>
      <c r="O62" s="372">
        <v>12</v>
      </c>
      <c r="P62" s="372">
        <v>31.5</v>
      </c>
      <c r="Q62" s="372">
        <v>4.5</v>
      </c>
      <c r="R62" s="372"/>
      <c r="S62" s="372"/>
      <c r="T62" s="372"/>
      <c r="U62" s="372"/>
      <c r="V62" s="372"/>
      <c r="W62" s="372"/>
      <c r="X62" s="372">
        <v>221.21799999999999</v>
      </c>
      <c r="Y62" s="372">
        <v>200.25</v>
      </c>
    </row>
    <row r="63" spans="1:25" x14ac:dyDescent="0.2">
      <c r="A63" s="372" t="s">
        <v>2870</v>
      </c>
      <c r="B63" s="372" t="s">
        <v>2869</v>
      </c>
      <c r="C63" s="372" t="s">
        <v>2812</v>
      </c>
      <c r="D63" s="372"/>
      <c r="E63" s="372" t="s">
        <v>2813</v>
      </c>
      <c r="F63" s="372"/>
      <c r="G63" s="372" t="s">
        <v>2865</v>
      </c>
      <c r="H63" s="372">
        <v>2025</v>
      </c>
      <c r="I63" s="372" t="s">
        <v>2821</v>
      </c>
      <c r="J63" s="372" t="s">
        <v>2816</v>
      </c>
      <c r="K63" s="372" t="s">
        <v>2910</v>
      </c>
      <c r="L63" s="372">
        <v>41.9</v>
      </c>
      <c r="M63" s="372"/>
      <c r="N63" s="372">
        <v>1</v>
      </c>
      <c r="O63" s="372">
        <v>12</v>
      </c>
      <c r="P63" s="372">
        <v>293.3</v>
      </c>
      <c r="Q63" s="372">
        <v>41.9</v>
      </c>
      <c r="R63" s="372"/>
      <c r="S63" s="372"/>
      <c r="T63" s="372"/>
      <c r="U63" s="372"/>
      <c r="V63" s="372"/>
      <c r="W63" s="372"/>
      <c r="X63" s="372">
        <v>2059.7820000000002</v>
      </c>
      <c r="Y63" s="372">
        <v>1864.55</v>
      </c>
    </row>
    <row r="64" spans="1:25" x14ac:dyDescent="0.2">
      <c r="A64" s="372" t="s">
        <v>2871</v>
      </c>
      <c r="B64" s="372" t="s">
        <v>2872</v>
      </c>
      <c r="C64" s="372" t="s">
        <v>2825</v>
      </c>
      <c r="D64" s="372"/>
      <c r="E64" s="372" t="s">
        <v>2813</v>
      </c>
      <c r="F64" s="372"/>
      <c r="G64" s="372" t="s">
        <v>2865</v>
      </c>
      <c r="H64" s="372">
        <v>2025</v>
      </c>
      <c r="I64" s="372" t="s">
        <v>2821</v>
      </c>
      <c r="J64" s="372" t="s">
        <v>2816</v>
      </c>
      <c r="K64" s="372" t="s">
        <v>2910</v>
      </c>
      <c r="L64" s="372">
        <v>7.7</v>
      </c>
      <c r="M64" s="372"/>
      <c r="N64" s="372">
        <v>1</v>
      </c>
      <c r="O64" s="372">
        <v>24</v>
      </c>
      <c r="P64" s="372">
        <v>53.9</v>
      </c>
      <c r="Q64" s="372">
        <v>7.7</v>
      </c>
      <c r="R64" s="372"/>
      <c r="S64" s="372"/>
      <c r="T64" s="372"/>
      <c r="U64" s="372"/>
      <c r="V64" s="372"/>
      <c r="W64" s="372"/>
      <c r="X64" s="372">
        <v>550</v>
      </c>
      <c r="Y64" s="372">
        <v>342.65</v>
      </c>
    </row>
    <row r="65" spans="1:25" x14ac:dyDescent="0.2">
      <c r="A65" s="372" t="s">
        <v>2873</v>
      </c>
      <c r="B65" s="372" t="s">
        <v>2872</v>
      </c>
      <c r="C65" s="372" t="s">
        <v>2825</v>
      </c>
      <c r="D65" s="372"/>
      <c r="E65" s="372" t="s">
        <v>2813</v>
      </c>
      <c r="F65" s="372"/>
      <c r="G65" s="372" t="s">
        <v>2865</v>
      </c>
      <c r="H65" s="372">
        <v>2025</v>
      </c>
      <c r="I65" s="372" t="s">
        <v>2821</v>
      </c>
      <c r="J65" s="372" t="s">
        <v>2816</v>
      </c>
      <c r="K65" s="372" t="s">
        <v>2910</v>
      </c>
      <c r="L65" s="372">
        <v>73.599999999999994</v>
      </c>
      <c r="M65" s="372"/>
      <c r="N65" s="372">
        <v>1</v>
      </c>
      <c r="O65" s="372">
        <v>24</v>
      </c>
      <c r="P65" s="372">
        <v>515.20000000000005</v>
      </c>
      <c r="Q65" s="372">
        <v>73.599999999999994</v>
      </c>
      <c r="R65" s="372"/>
      <c r="S65" s="372"/>
      <c r="T65" s="372"/>
      <c r="U65" s="372"/>
      <c r="V65" s="372"/>
      <c r="W65" s="372"/>
      <c r="X65" s="372">
        <v>2549</v>
      </c>
      <c r="Y65" s="372">
        <v>3275.2</v>
      </c>
    </row>
    <row r="66" spans="1:25" x14ac:dyDescent="0.2">
      <c r="A66" s="372" t="s">
        <v>2874</v>
      </c>
      <c r="B66" s="372" t="s">
        <v>2844</v>
      </c>
      <c r="C66" s="372" t="s">
        <v>2845</v>
      </c>
      <c r="D66" s="372"/>
      <c r="E66" s="372" t="s">
        <v>2813</v>
      </c>
      <c r="F66" s="372"/>
      <c r="G66" s="372" t="s">
        <v>110</v>
      </c>
      <c r="H66" s="372">
        <v>2025</v>
      </c>
      <c r="I66" s="372" t="s">
        <v>2908</v>
      </c>
      <c r="J66" s="372" t="s">
        <v>2816</v>
      </c>
      <c r="K66" s="372" t="s">
        <v>2909</v>
      </c>
      <c r="L66" s="372">
        <v>26</v>
      </c>
      <c r="M66" s="372"/>
      <c r="N66" s="372">
        <v>1</v>
      </c>
      <c r="O66" s="372">
        <v>24</v>
      </c>
      <c r="P66" s="372">
        <v>182</v>
      </c>
      <c r="Q66" s="372">
        <v>26</v>
      </c>
      <c r="R66" s="372"/>
      <c r="S66" s="372"/>
      <c r="T66" s="372"/>
      <c r="U66" s="372"/>
      <c r="V66" s="372"/>
      <c r="W66" s="372"/>
      <c r="X66" s="372">
        <v>960.42899999999997</v>
      </c>
      <c r="Y66" s="372">
        <v>1157</v>
      </c>
    </row>
    <row r="67" spans="1:25" x14ac:dyDescent="0.2">
      <c r="A67" s="372" t="s">
        <v>2874</v>
      </c>
      <c r="B67" s="372" t="s">
        <v>2844</v>
      </c>
      <c r="C67" s="372" t="s">
        <v>2845</v>
      </c>
      <c r="D67" s="372"/>
      <c r="E67" s="372" t="s">
        <v>2813</v>
      </c>
      <c r="F67" s="372"/>
      <c r="G67" s="372" t="s">
        <v>110</v>
      </c>
      <c r="H67" s="372">
        <v>2025</v>
      </c>
      <c r="I67" s="372" t="s">
        <v>2908</v>
      </c>
      <c r="J67" s="372" t="s">
        <v>2816</v>
      </c>
      <c r="K67" s="372" t="s">
        <v>2909</v>
      </c>
      <c r="L67" s="372">
        <v>18</v>
      </c>
      <c r="M67" s="372"/>
      <c r="N67" s="372">
        <v>1</v>
      </c>
      <c r="O67" s="372">
        <v>24</v>
      </c>
      <c r="P67" s="372">
        <v>126</v>
      </c>
      <c r="Q67" s="372">
        <v>18</v>
      </c>
      <c r="R67" s="372"/>
      <c r="S67" s="372"/>
      <c r="T67" s="372"/>
      <c r="U67" s="372"/>
      <c r="V67" s="372"/>
      <c r="W67" s="372"/>
      <c r="X67" s="372">
        <v>664.91300000000001</v>
      </c>
      <c r="Y67" s="372">
        <v>801</v>
      </c>
    </row>
    <row r="68" spans="1:25" x14ac:dyDescent="0.2">
      <c r="A68" s="372" t="s">
        <v>2874</v>
      </c>
      <c r="B68" s="372" t="s">
        <v>2844</v>
      </c>
      <c r="C68" s="372" t="s">
        <v>2845</v>
      </c>
      <c r="D68" s="372"/>
      <c r="E68" s="372" t="s">
        <v>2813</v>
      </c>
      <c r="F68" s="372"/>
      <c r="G68" s="372" t="s">
        <v>110</v>
      </c>
      <c r="H68" s="372">
        <v>2025</v>
      </c>
      <c r="I68" s="372" t="s">
        <v>2908</v>
      </c>
      <c r="J68" s="372" t="s">
        <v>2816</v>
      </c>
      <c r="K68" s="372" t="s">
        <v>2909</v>
      </c>
      <c r="L68" s="372">
        <v>4</v>
      </c>
      <c r="M68" s="372"/>
      <c r="N68" s="372">
        <v>1</v>
      </c>
      <c r="O68" s="372">
        <v>4</v>
      </c>
      <c r="P68" s="372">
        <v>28</v>
      </c>
      <c r="Q68" s="372">
        <v>4</v>
      </c>
      <c r="R68" s="372"/>
      <c r="S68" s="372"/>
      <c r="T68" s="372"/>
      <c r="U68" s="372"/>
      <c r="V68" s="372"/>
      <c r="W68" s="372"/>
      <c r="X68" s="372">
        <v>147.75800000000001</v>
      </c>
      <c r="Y68" s="372">
        <v>178</v>
      </c>
    </row>
    <row r="69" spans="1:25" x14ac:dyDescent="0.2">
      <c r="A69" s="372" t="s">
        <v>2874</v>
      </c>
      <c r="B69" s="372" t="s">
        <v>2844</v>
      </c>
      <c r="C69" s="372" t="s">
        <v>2845</v>
      </c>
      <c r="D69" s="372"/>
      <c r="E69" s="372" t="s">
        <v>2813</v>
      </c>
      <c r="F69" s="372"/>
      <c r="G69" s="372" t="s">
        <v>2875</v>
      </c>
      <c r="H69" s="372">
        <v>2025</v>
      </c>
      <c r="I69" s="372" t="s">
        <v>2908</v>
      </c>
      <c r="J69" s="372" t="s">
        <v>2816</v>
      </c>
      <c r="K69" s="372" t="s">
        <v>2912</v>
      </c>
      <c r="L69" s="372">
        <v>23</v>
      </c>
      <c r="M69" s="372"/>
      <c r="N69" s="372">
        <v>1</v>
      </c>
      <c r="O69" s="372">
        <v>20</v>
      </c>
      <c r="P69" s="372">
        <v>161</v>
      </c>
      <c r="Q69" s="372">
        <v>23</v>
      </c>
      <c r="R69" s="372"/>
      <c r="S69" s="372"/>
      <c r="T69" s="372"/>
      <c r="U69" s="372"/>
      <c r="V69" s="372"/>
      <c r="W69" s="372"/>
      <c r="X69" s="372">
        <v>849.61099999999999</v>
      </c>
      <c r="Y69" s="372">
        <v>1023.5</v>
      </c>
    </row>
    <row r="70" spans="1:25" x14ac:dyDescent="0.2">
      <c r="A70" s="372" t="s">
        <v>2874</v>
      </c>
      <c r="B70" s="372" t="s">
        <v>2844</v>
      </c>
      <c r="C70" s="372" t="s">
        <v>2845</v>
      </c>
      <c r="D70" s="372"/>
      <c r="E70" s="372" t="s">
        <v>2813</v>
      </c>
      <c r="F70" s="372"/>
      <c r="G70" s="372" t="s">
        <v>2875</v>
      </c>
      <c r="H70" s="372">
        <v>2025</v>
      </c>
      <c r="I70" s="372" t="s">
        <v>2908</v>
      </c>
      <c r="J70" s="372" t="s">
        <v>2816</v>
      </c>
      <c r="K70" s="372" t="s">
        <v>2912</v>
      </c>
      <c r="L70" s="372">
        <v>33</v>
      </c>
      <c r="M70" s="372"/>
      <c r="N70" s="372">
        <v>1</v>
      </c>
      <c r="O70" s="372">
        <v>24</v>
      </c>
      <c r="P70" s="372">
        <v>231</v>
      </c>
      <c r="Q70" s="372">
        <v>33</v>
      </c>
      <c r="R70" s="372"/>
      <c r="S70" s="372"/>
      <c r="T70" s="372"/>
      <c r="U70" s="372"/>
      <c r="V70" s="372"/>
      <c r="W70" s="372"/>
      <c r="X70" s="372">
        <v>1219.0070000000001</v>
      </c>
      <c r="Y70" s="372">
        <v>1468.5</v>
      </c>
    </row>
    <row r="71" spans="1:25" x14ac:dyDescent="0.2">
      <c r="A71" s="372" t="s">
        <v>2874</v>
      </c>
      <c r="B71" s="372" t="s">
        <v>2844</v>
      </c>
      <c r="C71" s="372" t="s">
        <v>2845</v>
      </c>
      <c r="D71" s="372"/>
      <c r="E71" s="372" t="s">
        <v>2813</v>
      </c>
      <c r="F71" s="372"/>
      <c r="G71" s="372" t="s">
        <v>2876</v>
      </c>
      <c r="H71" s="372">
        <v>2025</v>
      </c>
      <c r="I71" s="372" t="s">
        <v>2908</v>
      </c>
      <c r="J71" s="372" t="s">
        <v>2816</v>
      </c>
      <c r="K71" s="372" t="s">
        <v>2913</v>
      </c>
      <c r="L71" s="372">
        <v>20</v>
      </c>
      <c r="M71" s="372"/>
      <c r="N71" s="372">
        <v>1</v>
      </c>
      <c r="O71" s="372">
        <v>24</v>
      </c>
      <c r="P71" s="372">
        <v>140</v>
      </c>
      <c r="Q71" s="372">
        <v>20</v>
      </c>
      <c r="R71" s="372"/>
      <c r="S71" s="372"/>
      <c r="T71" s="372"/>
      <c r="U71" s="372"/>
      <c r="V71" s="372"/>
      <c r="W71" s="372"/>
      <c r="X71" s="372">
        <v>738.79200000000003</v>
      </c>
      <c r="Y71" s="372">
        <v>890</v>
      </c>
    </row>
    <row r="72" spans="1:25" x14ac:dyDescent="0.2">
      <c r="A72" s="372" t="s">
        <v>2874</v>
      </c>
      <c r="B72" s="372" t="s">
        <v>2844</v>
      </c>
      <c r="C72" s="372" t="s">
        <v>2845</v>
      </c>
      <c r="D72" s="372"/>
      <c r="E72" s="372" t="s">
        <v>2813</v>
      </c>
      <c r="F72" s="372"/>
      <c r="G72" s="372" t="s">
        <v>2877</v>
      </c>
      <c r="H72" s="372">
        <v>2025</v>
      </c>
      <c r="I72" s="372" t="s">
        <v>2914</v>
      </c>
      <c r="J72" s="372" t="s">
        <v>2816</v>
      </c>
      <c r="K72" s="372" t="s">
        <v>2915</v>
      </c>
      <c r="L72" s="372">
        <v>13.6</v>
      </c>
      <c r="M72" s="372"/>
      <c r="N72" s="372">
        <v>1</v>
      </c>
      <c r="O72" s="372">
        <v>12</v>
      </c>
      <c r="P72" s="372">
        <v>95.2</v>
      </c>
      <c r="Q72" s="372">
        <v>13.6</v>
      </c>
      <c r="R72" s="372"/>
      <c r="S72" s="372"/>
      <c r="T72" s="372"/>
      <c r="U72" s="372"/>
      <c r="V72" s="372"/>
      <c r="W72" s="372"/>
      <c r="X72" s="372">
        <v>502.37900000000002</v>
      </c>
      <c r="Y72" s="372">
        <v>605.20000000000005</v>
      </c>
    </row>
    <row r="73" spans="1:25" x14ac:dyDescent="0.2">
      <c r="A73" s="372" t="s">
        <v>2874</v>
      </c>
      <c r="B73" s="372" t="s">
        <v>2844</v>
      </c>
      <c r="C73" s="372" t="s">
        <v>2845</v>
      </c>
      <c r="D73" s="372"/>
      <c r="E73" s="372" t="s">
        <v>2813</v>
      </c>
      <c r="F73" s="372"/>
      <c r="G73" s="372" t="s">
        <v>2878</v>
      </c>
      <c r="H73" s="372">
        <v>2025</v>
      </c>
      <c r="I73" s="372" t="s">
        <v>2815</v>
      </c>
      <c r="J73" s="372" t="s">
        <v>2816</v>
      </c>
      <c r="K73" s="372" t="s">
        <v>2916</v>
      </c>
      <c r="L73" s="372">
        <v>11.4</v>
      </c>
      <c r="M73" s="372"/>
      <c r="N73" s="372">
        <v>1</v>
      </c>
      <c r="O73" s="372">
        <v>12</v>
      </c>
      <c r="P73" s="372">
        <v>79.8</v>
      </c>
      <c r="Q73" s="372">
        <v>11.4</v>
      </c>
      <c r="R73" s="372"/>
      <c r="S73" s="372"/>
      <c r="T73" s="372"/>
      <c r="U73" s="372"/>
      <c r="V73" s="372"/>
      <c r="W73" s="372"/>
      <c r="X73" s="372">
        <v>421.11099999999999</v>
      </c>
      <c r="Y73" s="372">
        <v>507.3</v>
      </c>
    </row>
    <row r="74" spans="1:25" x14ac:dyDescent="0.2">
      <c r="A74" s="372" t="s">
        <v>2879</v>
      </c>
      <c r="B74" s="372" t="s">
        <v>2869</v>
      </c>
      <c r="C74" s="372" t="s">
        <v>2812</v>
      </c>
      <c r="D74" s="372"/>
      <c r="E74" s="372" t="s">
        <v>2813</v>
      </c>
      <c r="F74" s="372"/>
      <c r="G74" s="372" t="s">
        <v>2878</v>
      </c>
      <c r="H74" s="372">
        <v>2025</v>
      </c>
      <c r="I74" s="372" t="s">
        <v>2815</v>
      </c>
      <c r="J74" s="372" t="s">
        <v>2816</v>
      </c>
      <c r="K74" s="372" t="s">
        <v>2916</v>
      </c>
      <c r="L74" s="372">
        <v>0.8</v>
      </c>
      <c r="M74" s="372"/>
      <c r="N74" s="372">
        <v>1</v>
      </c>
      <c r="O74" s="372">
        <v>2</v>
      </c>
      <c r="P74" s="372">
        <v>5.6</v>
      </c>
      <c r="Q74" s="372">
        <v>0.8</v>
      </c>
      <c r="R74" s="372"/>
      <c r="S74" s="372"/>
      <c r="T74" s="372"/>
      <c r="U74" s="372"/>
      <c r="V74" s="372"/>
      <c r="W74" s="372"/>
      <c r="X74" s="372">
        <v>29.353999999999999</v>
      </c>
      <c r="Y74" s="372">
        <v>35.6</v>
      </c>
    </row>
    <row r="75" spans="1:25" x14ac:dyDescent="0.2">
      <c r="A75" s="372" t="s">
        <v>2879</v>
      </c>
      <c r="B75" s="372" t="s">
        <v>2869</v>
      </c>
      <c r="C75" s="372" t="s">
        <v>2812</v>
      </c>
      <c r="D75" s="372"/>
      <c r="E75" s="372" t="s">
        <v>2813</v>
      </c>
      <c r="F75" s="372"/>
      <c r="G75" s="372" t="s">
        <v>2878</v>
      </c>
      <c r="H75" s="372">
        <v>2025</v>
      </c>
      <c r="I75" s="372" t="s">
        <v>2815</v>
      </c>
      <c r="J75" s="372" t="s">
        <v>2816</v>
      </c>
      <c r="K75" s="372" t="s">
        <v>2916</v>
      </c>
      <c r="L75" s="372">
        <v>23.2</v>
      </c>
      <c r="M75" s="372"/>
      <c r="N75" s="372">
        <v>1</v>
      </c>
      <c r="O75" s="372">
        <v>22</v>
      </c>
      <c r="P75" s="372">
        <v>162.4</v>
      </c>
      <c r="Q75" s="372">
        <v>23.2</v>
      </c>
      <c r="R75" s="372"/>
      <c r="S75" s="372"/>
      <c r="T75" s="372"/>
      <c r="U75" s="372"/>
      <c r="V75" s="372"/>
      <c r="W75" s="372"/>
      <c r="X75" s="372">
        <v>851.26199999999994</v>
      </c>
      <c r="Y75" s="372">
        <v>1032.4000000000001</v>
      </c>
    </row>
    <row r="76" spans="1:25" x14ac:dyDescent="0.2">
      <c r="A76" s="372" t="s">
        <v>2879</v>
      </c>
      <c r="B76" s="372" t="s">
        <v>2869</v>
      </c>
      <c r="C76" s="372" t="s">
        <v>2812</v>
      </c>
      <c r="D76" s="372"/>
      <c r="E76" s="372" t="s">
        <v>2813</v>
      </c>
      <c r="F76" s="372"/>
      <c r="G76" s="372" t="s">
        <v>2878</v>
      </c>
      <c r="H76" s="372">
        <v>2025</v>
      </c>
      <c r="I76" s="372" t="s">
        <v>2815</v>
      </c>
      <c r="J76" s="372" t="s">
        <v>2816</v>
      </c>
      <c r="K76" s="372" t="s">
        <v>2916</v>
      </c>
      <c r="L76" s="372">
        <v>2.6</v>
      </c>
      <c r="M76" s="372"/>
      <c r="N76" s="372">
        <v>1</v>
      </c>
      <c r="O76" s="372">
        <v>2</v>
      </c>
      <c r="P76" s="372">
        <v>18.2</v>
      </c>
      <c r="Q76" s="372">
        <v>2.6</v>
      </c>
      <c r="R76" s="372"/>
      <c r="S76" s="372"/>
      <c r="T76" s="372"/>
      <c r="U76" s="372"/>
      <c r="V76" s="372"/>
      <c r="W76" s="372"/>
      <c r="X76" s="372">
        <v>95.4</v>
      </c>
      <c r="Y76" s="372">
        <v>115.7</v>
      </c>
    </row>
    <row r="77" spans="1:25" x14ac:dyDescent="0.2">
      <c r="A77" s="372" t="s">
        <v>2879</v>
      </c>
      <c r="B77" s="372" t="s">
        <v>2869</v>
      </c>
      <c r="C77" s="372" t="s">
        <v>2812</v>
      </c>
      <c r="D77" s="372"/>
      <c r="E77" s="372" t="s">
        <v>2813</v>
      </c>
      <c r="F77" s="372"/>
      <c r="G77" s="372" t="s">
        <v>2878</v>
      </c>
      <c r="H77" s="372">
        <v>2025</v>
      </c>
      <c r="I77" s="372" t="s">
        <v>2815</v>
      </c>
      <c r="J77" s="372" t="s">
        <v>2816</v>
      </c>
      <c r="K77" s="372" t="s">
        <v>2916</v>
      </c>
      <c r="L77" s="372">
        <v>20</v>
      </c>
      <c r="M77" s="372"/>
      <c r="N77" s="372">
        <v>1</v>
      </c>
      <c r="O77" s="372">
        <v>24</v>
      </c>
      <c r="P77" s="372">
        <v>140</v>
      </c>
      <c r="Q77" s="372">
        <v>20</v>
      </c>
      <c r="R77" s="372"/>
      <c r="S77" s="372"/>
      <c r="T77" s="372"/>
      <c r="U77" s="372"/>
      <c r="V77" s="372"/>
      <c r="W77" s="372"/>
      <c r="X77" s="372">
        <v>733.846</v>
      </c>
      <c r="Y77" s="372">
        <v>890</v>
      </c>
    </row>
    <row r="78" spans="1:25" x14ac:dyDescent="0.2">
      <c r="A78" s="372" t="s">
        <v>2879</v>
      </c>
      <c r="B78" s="372" t="s">
        <v>2869</v>
      </c>
      <c r="C78" s="372" t="s">
        <v>2812</v>
      </c>
      <c r="D78" s="372"/>
      <c r="E78" s="372" t="s">
        <v>2813</v>
      </c>
      <c r="F78" s="372"/>
      <c r="G78" s="372" t="s">
        <v>2878</v>
      </c>
      <c r="H78" s="372">
        <v>2025</v>
      </c>
      <c r="I78" s="372" t="s">
        <v>2815</v>
      </c>
      <c r="J78" s="372" t="s">
        <v>2816</v>
      </c>
      <c r="K78" s="372" t="s">
        <v>2916</v>
      </c>
      <c r="L78" s="372">
        <v>5.4</v>
      </c>
      <c r="M78" s="372"/>
      <c r="N78" s="372">
        <v>1</v>
      </c>
      <c r="O78" s="372">
        <v>2</v>
      </c>
      <c r="P78" s="372">
        <v>37.799999999999997</v>
      </c>
      <c r="Q78" s="372">
        <v>5.4</v>
      </c>
      <c r="R78" s="372"/>
      <c r="S78" s="372"/>
      <c r="T78" s="372"/>
      <c r="U78" s="372"/>
      <c r="V78" s="372"/>
      <c r="W78" s="372"/>
      <c r="X78" s="372">
        <v>198.13800000000001</v>
      </c>
      <c r="Y78" s="372">
        <v>240.3</v>
      </c>
    </row>
    <row r="79" spans="1:25" x14ac:dyDescent="0.2">
      <c r="A79" s="372" t="s">
        <v>2880</v>
      </c>
      <c r="B79" s="372" t="s">
        <v>2858</v>
      </c>
      <c r="C79" s="372" t="s">
        <v>2819</v>
      </c>
      <c r="D79" s="372"/>
      <c r="E79" s="372" t="s">
        <v>2813</v>
      </c>
      <c r="F79" s="372"/>
      <c r="G79" s="372" t="s">
        <v>2878</v>
      </c>
      <c r="H79" s="372">
        <v>2025</v>
      </c>
      <c r="I79" s="372" t="s">
        <v>2815</v>
      </c>
      <c r="J79" s="372" t="s">
        <v>2816</v>
      </c>
      <c r="K79" s="372" t="s">
        <v>2916</v>
      </c>
      <c r="L79" s="372">
        <v>21.6</v>
      </c>
      <c r="M79" s="372"/>
      <c r="N79" s="372">
        <v>1</v>
      </c>
      <c r="O79" s="372">
        <v>24</v>
      </c>
      <c r="P79" s="372">
        <v>151.19999999999999</v>
      </c>
      <c r="Q79" s="372">
        <v>21.6</v>
      </c>
      <c r="R79" s="372"/>
      <c r="S79" s="372"/>
      <c r="T79" s="372"/>
      <c r="U79" s="372"/>
      <c r="V79" s="372"/>
      <c r="W79" s="372"/>
      <c r="X79" s="372">
        <v>810</v>
      </c>
      <c r="Y79" s="372">
        <v>961.2</v>
      </c>
    </row>
    <row r="80" spans="1:25" x14ac:dyDescent="0.2">
      <c r="A80" s="372" t="s">
        <v>2880</v>
      </c>
      <c r="B80" s="372" t="s">
        <v>2858</v>
      </c>
      <c r="C80" s="372" t="s">
        <v>2819</v>
      </c>
      <c r="D80" s="372"/>
      <c r="E80" s="372" t="s">
        <v>2813</v>
      </c>
      <c r="F80" s="372"/>
      <c r="G80" s="372" t="s">
        <v>746</v>
      </c>
      <c r="H80" s="372">
        <v>2025</v>
      </c>
      <c r="I80" s="372" t="s">
        <v>2815</v>
      </c>
      <c r="J80" s="372" t="s">
        <v>2816</v>
      </c>
      <c r="K80" s="372" t="s">
        <v>2917</v>
      </c>
      <c r="L80" s="372">
        <v>3</v>
      </c>
      <c r="M80" s="372"/>
      <c r="N80" s="372">
        <v>1</v>
      </c>
      <c r="O80" s="372">
        <v>2</v>
      </c>
      <c r="P80" s="372">
        <v>21</v>
      </c>
      <c r="Q80" s="372">
        <v>3</v>
      </c>
      <c r="R80" s="372"/>
      <c r="S80" s="372"/>
      <c r="T80" s="372"/>
      <c r="U80" s="372"/>
      <c r="V80" s="372"/>
      <c r="W80" s="372"/>
      <c r="X80" s="372">
        <v>112.5</v>
      </c>
      <c r="Y80" s="372">
        <v>133.5</v>
      </c>
    </row>
    <row r="81" spans="1:25" x14ac:dyDescent="0.2">
      <c r="A81" s="372" t="s">
        <v>2880</v>
      </c>
      <c r="B81" s="372" t="s">
        <v>2858</v>
      </c>
      <c r="C81" s="372" t="s">
        <v>2819</v>
      </c>
      <c r="D81" s="372"/>
      <c r="E81" s="372" t="s">
        <v>2813</v>
      </c>
      <c r="F81" s="372"/>
      <c r="G81" s="372" t="s">
        <v>2881</v>
      </c>
      <c r="H81" s="372">
        <v>2025</v>
      </c>
      <c r="I81" s="372" t="s">
        <v>2815</v>
      </c>
      <c r="J81" s="372" t="s">
        <v>2816</v>
      </c>
      <c r="K81" s="372" t="s">
        <v>2918</v>
      </c>
      <c r="L81" s="372">
        <v>19.399999999999999</v>
      </c>
      <c r="M81" s="372"/>
      <c r="N81" s="372">
        <v>1</v>
      </c>
      <c r="O81" s="372">
        <v>24</v>
      </c>
      <c r="P81" s="372">
        <v>135.80000000000001</v>
      </c>
      <c r="Q81" s="372">
        <v>19.399999999999999</v>
      </c>
      <c r="R81" s="372"/>
      <c r="S81" s="372"/>
      <c r="T81" s="372"/>
      <c r="U81" s="372"/>
      <c r="V81" s="372"/>
      <c r="W81" s="372"/>
      <c r="X81" s="372">
        <v>727.5</v>
      </c>
      <c r="Y81" s="372">
        <v>863.3</v>
      </c>
    </row>
    <row r="82" spans="1:25" x14ac:dyDescent="0.2">
      <c r="A82" s="372" t="s">
        <v>2882</v>
      </c>
      <c r="B82" s="372" t="s">
        <v>2872</v>
      </c>
      <c r="C82" s="372" t="s">
        <v>2825</v>
      </c>
      <c r="D82" s="372"/>
      <c r="E82" s="372" t="s">
        <v>2813</v>
      </c>
      <c r="F82" s="372"/>
      <c r="G82" s="372" t="s">
        <v>2881</v>
      </c>
      <c r="H82" s="372">
        <v>2025</v>
      </c>
      <c r="I82" s="372" t="s">
        <v>2815</v>
      </c>
      <c r="J82" s="372" t="s">
        <v>2816</v>
      </c>
      <c r="K82" s="372" t="s">
        <v>2918</v>
      </c>
      <c r="L82" s="372">
        <v>15.6</v>
      </c>
      <c r="M82" s="372"/>
      <c r="N82" s="372">
        <v>1</v>
      </c>
      <c r="O82" s="372">
        <v>24</v>
      </c>
      <c r="P82" s="372">
        <v>109.2</v>
      </c>
      <c r="Q82" s="372">
        <v>15.6</v>
      </c>
      <c r="R82" s="372"/>
      <c r="S82" s="372"/>
      <c r="T82" s="372"/>
      <c r="U82" s="372"/>
      <c r="V82" s="372"/>
      <c r="W82" s="372"/>
      <c r="X82" s="372">
        <v>577.20000000000005</v>
      </c>
      <c r="Y82" s="372">
        <v>694.2</v>
      </c>
    </row>
    <row r="83" spans="1:25" x14ac:dyDescent="0.2">
      <c r="A83" s="372" t="s">
        <v>2882</v>
      </c>
      <c r="B83" s="372" t="s">
        <v>2872</v>
      </c>
      <c r="C83" s="372" t="s">
        <v>2825</v>
      </c>
      <c r="D83" s="372"/>
      <c r="E83" s="372" t="s">
        <v>2813</v>
      </c>
      <c r="F83" s="372"/>
      <c r="G83" s="372" t="s">
        <v>2881</v>
      </c>
      <c r="H83" s="372">
        <v>2025</v>
      </c>
      <c r="I83" s="372" t="s">
        <v>2815</v>
      </c>
      <c r="J83" s="372" t="s">
        <v>2816</v>
      </c>
      <c r="K83" s="372" t="s">
        <v>2918</v>
      </c>
      <c r="L83" s="372">
        <v>27.4</v>
      </c>
      <c r="M83" s="372"/>
      <c r="N83" s="372">
        <v>1</v>
      </c>
      <c r="O83" s="372">
        <v>24</v>
      </c>
      <c r="P83" s="372">
        <v>191.8</v>
      </c>
      <c r="Q83" s="372">
        <v>27.4</v>
      </c>
      <c r="R83" s="372"/>
      <c r="S83" s="372"/>
      <c r="T83" s="372"/>
      <c r="U83" s="372"/>
      <c r="V83" s="372"/>
      <c r="W83" s="372"/>
      <c r="X83" s="372">
        <v>1013.8</v>
      </c>
      <c r="Y83" s="372">
        <v>1219.3</v>
      </c>
    </row>
    <row r="84" spans="1:25" x14ac:dyDescent="0.2">
      <c r="A84" s="372" t="s">
        <v>2883</v>
      </c>
      <c r="B84" s="372" t="s">
        <v>2811</v>
      </c>
      <c r="C84" s="372" t="s">
        <v>2849</v>
      </c>
      <c r="D84" s="372"/>
      <c r="E84" s="372" t="s">
        <v>2813</v>
      </c>
      <c r="F84" s="372"/>
      <c r="G84" s="372" t="s">
        <v>2881</v>
      </c>
      <c r="H84" s="372">
        <v>2025</v>
      </c>
      <c r="I84" s="372" t="s">
        <v>2815</v>
      </c>
      <c r="J84" s="372" t="s">
        <v>2816</v>
      </c>
      <c r="K84" s="372" t="s">
        <v>2918</v>
      </c>
      <c r="L84" s="372">
        <v>7.6</v>
      </c>
      <c r="M84" s="372"/>
      <c r="N84" s="372">
        <v>1</v>
      </c>
      <c r="O84" s="372">
        <v>4</v>
      </c>
      <c r="P84" s="372">
        <v>53.2</v>
      </c>
      <c r="Q84" s="372">
        <v>7.6</v>
      </c>
      <c r="R84" s="372"/>
      <c r="S84" s="372"/>
      <c r="T84" s="372"/>
      <c r="U84" s="372"/>
      <c r="V84" s="372"/>
      <c r="W84" s="372"/>
      <c r="X84" s="372">
        <v>277.07</v>
      </c>
      <c r="Y84" s="372">
        <v>338.2</v>
      </c>
    </row>
    <row r="85" spans="1:25" x14ac:dyDescent="0.2">
      <c r="A85" s="372" t="s">
        <v>2883</v>
      </c>
      <c r="B85" s="372" t="s">
        <v>2811</v>
      </c>
      <c r="C85" s="372" t="s">
        <v>2849</v>
      </c>
      <c r="D85" s="372"/>
      <c r="E85" s="372" t="s">
        <v>2813</v>
      </c>
      <c r="F85" s="372"/>
      <c r="G85" s="372" t="s">
        <v>2881</v>
      </c>
      <c r="H85" s="372">
        <v>2025</v>
      </c>
      <c r="I85" s="372" t="s">
        <v>2815</v>
      </c>
      <c r="J85" s="372" t="s">
        <v>2816</v>
      </c>
      <c r="K85" s="372" t="s">
        <v>2918</v>
      </c>
      <c r="L85" s="372">
        <v>31.4</v>
      </c>
      <c r="M85" s="372"/>
      <c r="N85" s="372">
        <v>1</v>
      </c>
      <c r="O85" s="372">
        <v>12</v>
      </c>
      <c r="P85" s="372">
        <v>219.8</v>
      </c>
      <c r="Q85" s="372">
        <v>31.4</v>
      </c>
      <c r="R85" s="372"/>
      <c r="S85" s="372"/>
      <c r="T85" s="372"/>
      <c r="U85" s="372"/>
      <c r="V85" s="372"/>
      <c r="W85" s="372"/>
      <c r="X85" s="372">
        <v>1144.7370000000001</v>
      </c>
      <c r="Y85" s="372">
        <v>1397.3</v>
      </c>
    </row>
    <row r="86" spans="1:25" x14ac:dyDescent="0.2">
      <c r="A86" s="372" t="s">
        <v>2883</v>
      </c>
      <c r="B86" s="372" t="s">
        <v>2811</v>
      </c>
      <c r="C86" s="372" t="s">
        <v>2849</v>
      </c>
      <c r="D86" s="372"/>
      <c r="E86" s="372" t="s">
        <v>2813</v>
      </c>
      <c r="F86" s="372"/>
      <c r="G86" s="372" t="s">
        <v>2876</v>
      </c>
      <c r="H86" s="372">
        <v>2025</v>
      </c>
      <c r="I86" s="372" t="s">
        <v>2815</v>
      </c>
      <c r="J86" s="372" t="s">
        <v>2816</v>
      </c>
      <c r="K86" s="372" t="s">
        <v>2919</v>
      </c>
      <c r="L86" s="372">
        <v>12</v>
      </c>
      <c r="M86" s="372"/>
      <c r="N86" s="372">
        <v>1</v>
      </c>
      <c r="O86" s="372">
        <v>4</v>
      </c>
      <c r="P86" s="372">
        <v>84</v>
      </c>
      <c r="Q86" s="372">
        <v>12</v>
      </c>
      <c r="R86" s="372"/>
      <c r="S86" s="372"/>
      <c r="T86" s="372"/>
      <c r="U86" s="372"/>
      <c r="V86" s="372"/>
      <c r="W86" s="372"/>
      <c r="X86" s="372">
        <v>437.47899999999998</v>
      </c>
      <c r="Y86" s="372">
        <v>534</v>
      </c>
    </row>
    <row r="87" spans="1:25" x14ac:dyDescent="0.2">
      <c r="A87" s="372" t="s">
        <v>2883</v>
      </c>
      <c r="B87" s="372" t="s">
        <v>2811</v>
      </c>
      <c r="C87" s="372" t="s">
        <v>2849</v>
      </c>
      <c r="D87" s="372"/>
      <c r="E87" s="372" t="s">
        <v>2813</v>
      </c>
      <c r="F87" s="372"/>
      <c r="G87" s="372" t="s">
        <v>2884</v>
      </c>
      <c r="H87" s="372">
        <v>2025</v>
      </c>
      <c r="I87" s="372" t="s">
        <v>2815</v>
      </c>
      <c r="J87" s="372" t="s">
        <v>2816</v>
      </c>
      <c r="K87" s="372" t="s">
        <v>2920</v>
      </c>
      <c r="L87" s="372">
        <v>18</v>
      </c>
      <c r="M87" s="372"/>
      <c r="N87" s="372">
        <v>1</v>
      </c>
      <c r="O87" s="372">
        <v>12</v>
      </c>
      <c r="P87" s="372">
        <v>126</v>
      </c>
      <c r="Q87" s="372">
        <v>18</v>
      </c>
      <c r="R87" s="372"/>
      <c r="S87" s="372"/>
      <c r="T87" s="372"/>
      <c r="U87" s="372"/>
      <c r="V87" s="372"/>
      <c r="W87" s="372"/>
      <c r="X87" s="372">
        <v>656.21900000000005</v>
      </c>
      <c r="Y87" s="372">
        <v>801</v>
      </c>
    </row>
    <row r="88" spans="1:25" x14ac:dyDescent="0.2">
      <c r="A88" s="372" t="s">
        <v>2883</v>
      </c>
      <c r="B88" s="372" t="s">
        <v>2811</v>
      </c>
      <c r="C88" s="372" t="s">
        <v>2849</v>
      </c>
      <c r="D88" s="372"/>
      <c r="E88" s="372" t="s">
        <v>2813</v>
      </c>
      <c r="F88" s="372"/>
      <c r="G88" s="372" t="s">
        <v>2884</v>
      </c>
      <c r="H88" s="372">
        <v>2025</v>
      </c>
      <c r="I88" s="372" t="s">
        <v>2815</v>
      </c>
      <c r="J88" s="372" t="s">
        <v>2816</v>
      </c>
      <c r="K88" s="372" t="s">
        <v>2920</v>
      </c>
      <c r="L88" s="372">
        <v>21</v>
      </c>
      <c r="M88" s="372"/>
      <c r="N88" s="372">
        <v>1</v>
      </c>
      <c r="O88" s="372">
        <v>10</v>
      </c>
      <c r="P88" s="372">
        <v>147</v>
      </c>
      <c r="Q88" s="372">
        <v>21</v>
      </c>
      <c r="R88" s="372"/>
      <c r="S88" s="372"/>
      <c r="T88" s="372"/>
      <c r="U88" s="372"/>
      <c r="V88" s="372"/>
      <c r="W88" s="372"/>
      <c r="X88" s="372">
        <v>765.58900000000006</v>
      </c>
      <c r="Y88" s="372">
        <v>934.5</v>
      </c>
    </row>
    <row r="89" spans="1:25" x14ac:dyDescent="0.2">
      <c r="A89" s="372" t="s">
        <v>2863</v>
      </c>
      <c r="B89" s="372" t="s">
        <v>2811</v>
      </c>
      <c r="C89" s="372" t="s">
        <v>2849</v>
      </c>
      <c r="D89" s="372"/>
      <c r="E89" s="372" t="s">
        <v>2813</v>
      </c>
      <c r="F89" s="372"/>
      <c r="G89" s="372" t="s">
        <v>110</v>
      </c>
      <c r="H89" s="372">
        <v>2025</v>
      </c>
      <c r="I89" s="372" t="s">
        <v>2908</v>
      </c>
      <c r="J89" s="372" t="s">
        <v>2816</v>
      </c>
      <c r="K89" s="372" t="s">
        <v>2909</v>
      </c>
      <c r="L89" s="372">
        <v>1</v>
      </c>
      <c r="M89" s="372"/>
      <c r="N89" s="372">
        <v>1</v>
      </c>
      <c r="O89" s="372">
        <v>4</v>
      </c>
      <c r="P89" s="372">
        <v>7</v>
      </c>
      <c r="Q89" s="372">
        <v>1</v>
      </c>
      <c r="R89" s="372"/>
      <c r="S89" s="372"/>
      <c r="T89" s="372"/>
      <c r="U89" s="372"/>
      <c r="V89" s="372"/>
      <c r="W89" s="372"/>
      <c r="X89" s="372">
        <v>52.936999999999998</v>
      </c>
      <c r="Y89" s="372">
        <v>44.5</v>
      </c>
    </row>
    <row r="90" spans="1:25" x14ac:dyDescent="0.2">
      <c r="A90" s="372" t="s">
        <v>2885</v>
      </c>
      <c r="B90" s="372" t="s">
        <v>2886</v>
      </c>
      <c r="C90" s="372" t="s">
        <v>2845</v>
      </c>
      <c r="D90" s="372"/>
      <c r="E90" s="372" t="s">
        <v>2813</v>
      </c>
      <c r="F90" s="372"/>
      <c r="G90" s="372" t="s">
        <v>110</v>
      </c>
      <c r="H90" s="372">
        <v>2025</v>
      </c>
      <c r="I90" s="372" t="s">
        <v>2908</v>
      </c>
      <c r="J90" s="372" t="s">
        <v>2816</v>
      </c>
      <c r="K90" s="372" t="s">
        <v>2909</v>
      </c>
      <c r="L90" s="372">
        <v>19</v>
      </c>
      <c r="M90" s="372"/>
      <c r="N90" s="372">
        <v>1</v>
      </c>
      <c r="O90" s="372">
        <v>24</v>
      </c>
      <c r="P90" s="372">
        <v>133</v>
      </c>
      <c r="Q90" s="372">
        <v>19</v>
      </c>
      <c r="R90" s="372"/>
      <c r="S90" s="372"/>
      <c r="T90" s="372"/>
      <c r="U90" s="372"/>
      <c r="V90" s="372"/>
      <c r="W90" s="372"/>
      <c r="X90" s="372">
        <v>631</v>
      </c>
      <c r="Y90" s="372">
        <v>845.5</v>
      </c>
    </row>
    <row r="91" spans="1:25" x14ac:dyDescent="0.2">
      <c r="A91" s="372" t="s">
        <v>2887</v>
      </c>
      <c r="B91" s="372" t="s">
        <v>2844</v>
      </c>
      <c r="C91" s="372" t="s">
        <v>2845</v>
      </c>
      <c r="D91" s="372"/>
      <c r="E91" s="372" t="s">
        <v>2813</v>
      </c>
      <c r="F91" s="372"/>
      <c r="G91" s="372" t="s">
        <v>110</v>
      </c>
      <c r="H91" s="372">
        <v>2025</v>
      </c>
      <c r="I91" s="372" t="s">
        <v>2908</v>
      </c>
      <c r="J91" s="372" t="s">
        <v>2816</v>
      </c>
      <c r="K91" s="372" t="s">
        <v>2909</v>
      </c>
      <c r="L91" s="372">
        <v>1</v>
      </c>
      <c r="M91" s="372"/>
      <c r="N91" s="372">
        <v>1</v>
      </c>
      <c r="O91" s="372">
        <v>2</v>
      </c>
      <c r="P91" s="372">
        <v>7</v>
      </c>
      <c r="Q91" s="372">
        <v>1</v>
      </c>
      <c r="R91" s="372"/>
      <c r="S91" s="372"/>
      <c r="T91" s="372"/>
      <c r="U91" s="372"/>
      <c r="V91" s="372"/>
      <c r="W91" s="372"/>
      <c r="X91" s="372">
        <v>50</v>
      </c>
      <c r="Y91" s="372">
        <v>44.5</v>
      </c>
    </row>
    <row r="92" spans="1:25" x14ac:dyDescent="0.2">
      <c r="A92" s="372" t="s">
        <v>2883</v>
      </c>
      <c r="B92" s="372" t="s">
        <v>2811</v>
      </c>
      <c r="C92" s="372" t="s">
        <v>2849</v>
      </c>
      <c r="D92" s="372"/>
      <c r="E92" s="372" t="s">
        <v>2813</v>
      </c>
      <c r="F92" s="372"/>
      <c r="G92" s="372" t="s">
        <v>2877</v>
      </c>
      <c r="H92" s="372">
        <v>2025</v>
      </c>
      <c r="I92" s="372" t="s">
        <v>2914</v>
      </c>
      <c r="J92" s="372" t="s">
        <v>2816</v>
      </c>
      <c r="K92" s="372" t="s">
        <v>2915</v>
      </c>
      <c r="L92" s="372">
        <v>17.399999999999999</v>
      </c>
      <c r="M92" s="372"/>
      <c r="N92" s="372">
        <v>1</v>
      </c>
      <c r="O92" s="372">
        <v>4</v>
      </c>
      <c r="P92" s="372">
        <v>121.8</v>
      </c>
      <c r="Q92" s="372">
        <v>17.399999999999999</v>
      </c>
      <c r="R92" s="372"/>
      <c r="S92" s="372"/>
      <c r="T92" s="372"/>
      <c r="U92" s="372"/>
      <c r="V92" s="372"/>
      <c r="W92" s="372"/>
      <c r="X92" s="372">
        <v>634.34500000000003</v>
      </c>
      <c r="Y92" s="372">
        <v>774.3</v>
      </c>
    </row>
    <row r="93" spans="1:25" x14ac:dyDescent="0.2">
      <c r="A93" s="372" t="s">
        <v>2883</v>
      </c>
      <c r="B93" s="372" t="s">
        <v>2811</v>
      </c>
      <c r="C93" s="372" t="s">
        <v>2849</v>
      </c>
      <c r="D93" s="372"/>
      <c r="E93" s="372" t="s">
        <v>2813</v>
      </c>
      <c r="F93" s="372"/>
      <c r="G93" s="372" t="s">
        <v>2877</v>
      </c>
      <c r="H93" s="372">
        <v>2025</v>
      </c>
      <c r="I93" s="372" t="s">
        <v>2908</v>
      </c>
      <c r="J93" s="372" t="s">
        <v>2816</v>
      </c>
      <c r="K93" s="372" t="s">
        <v>2921</v>
      </c>
      <c r="L93" s="372">
        <v>23</v>
      </c>
      <c r="M93" s="372"/>
      <c r="N93" s="372">
        <v>1</v>
      </c>
      <c r="O93" s="372">
        <v>10</v>
      </c>
      <c r="P93" s="372">
        <v>161</v>
      </c>
      <c r="Q93" s="372">
        <v>23</v>
      </c>
      <c r="R93" s="372"/>
      <c r="S93" s="372"/>
      <c r="T93" s="372"/>
      <c r="U93" s="372"/>
      <c r="V93" s="372"/>
      <c r="W93" s="372"/>
      <c r="X93" s="372">
        <v>723.56100000000004</v>
      </c>
      <c r="Y93" s="372">
        <v>883.2</v>
      </c>
    </row>
    <row r="94" spans="1:25" x14ac:dyDescent="0.2">
      <c r="A94" s="372" t="s">
        <v>2888</v>
      </c>
      <c r="B94" s="372" t="s">
        <v>2851</v>
      </c>
      <c r="C94" s="372" t="s">
        <v>2849</v>
      </c>
      <c r="D94" s="372"/>
      <c r="E94" s="372" t="s">
        <v>2813</v>
      </c>
      <c r="F94" s="372"/>
      <c r="G94" s="372" t="s">
        <v>2865</v>
      </c>
      <c r="H94" s="372">
        <v>2025</v>
      </c>
      <c r="I94" s="372" t="s">
        <v>2821</v>
      </c>
      <c r="J94" s="372" t="s">
        <v>2816</v>
      </c>
      <c r="K94" s="372" t="s">
        <v>2910</v>
      </c>
      <c r="L94" s="372">
        <v>1</v>
      </c>
      <c r="M94" s="372"/>
      <c r="N94" s="372">
        <v>1</v>
      </c>
      <c r="O94" s="372">
        <v>1</v>
      </c>
      <c r="P94" s="372">
        <v>7</v>
      </c>
      <c r="Q94" s="372">
        <v>1</v>
      </c>
      <c r="R94" s="372"/>
      <c r="S94" s="372"/>
      <c r="T94" s="372"/>
      <c r="U94" s="372"/>
      <c r="V94" s="372"/>
      <c r="W94" s="372"/>
      <c r="X94" s="372">
        <v>336</v>
      </c>
      <c r="Y94" s="372">
        <v>38.4</v>
      </c>
    </row>
    <row r="95" spans="1:25" x14ac:dyDescent="0.2">
      <c r="A95" s="372" t="s">
        <v>2889</v>
      </c>
      <c r="B95" s="372" t="s">
        <v>2869</v>
      </c>
      <c r="C95" s="372" t="s">
        <v>2812</v>
      </c>
      <c r="D95" s="372"/>
      <c r="E95" s="372" t="s">
        <v>2813</v>
      </c>
      <c r="F95" s="372"/>
      <c r="G95" s="372" t="s">
        <v>2890</v>
      </c>
      <c r="H95" s="372">
        <v>2025</v>
      </c>
      <c r="I95" s="372" t="s">
        <v>2922</v>
      </c>
      <c r="J95" s="372" t="s">
        <v>2816</v>
      </c>
      <c r="K95" s="372" t="s">
        <v>2923</v>
      </c>
      <c r="L95" s="372">
        <v>4.8499999999999996</v>
      </c>
      <c r="M95" s="372"/>
      <c r="N95" s="372">
        <v>1</v>
      </c>
      <c r="O95" s="372">
        <v>8</v>
      </c>
      <c r="P95" s="372">
        <v>34</v>
      </c>
      <c r="Q95" s="372">
        <v>4.8499999999999996</v>
      </c>
      <c r="R95" s="372"/>
      <c r="S95" s="372"/>
      <c r="T95" s="372"/>
      <c r="U95" s="372"/>
      <c r="V95" s="372"/>
      <c r="W95" s="372"/>
      <c r="X95" s="372">
        <v>196.42500000000001</v>
      </c>
      <c r="Y95" s="372">
        <v>215.82499999999999</v>
      </c>
    </row>
    <row r="96" spans="1:25" x14ac:dyDescent="0.2">
      <c r="A96" s="372" t="s">
        <v>2889</v>
      </c>
      <c r="B96" s="372" t="s">
        <v>2869</v>
      </c>
      <c r="C96" s="372" t="s">
        <v>2812</v>
      </c>
      <c r="D96" s="372"/>
      <c r="E96" s="372" t="s">
        <v>2813</v>
      </c>
      <c r="F96" s="372"/>
      <c r="G96" s="372" t="s">
        <v>2891</v>
      </c>
      <c r="H96" s="372">
        <v>2025</v>
      </c>
      <c r="I96" s="372" t="s">
        <v>2922</v>
      </c>
      <c r="J96" s="372" t="s">
        <v>2816</v>
      </c>
      <c r="K96" s="372" t="s">
        <v>2924</v>
      </c>
      <c r="L96" s="372">
        <v>3.4</v>
      </c>
      <c r="M96" s="372"/>
      <c r="N96" s="372">
        <v>1</v>
      </c>
      <c r="O96" s="372">
        <v>8</v>
      </c>
      <c r="P96" s="372">
        <v>23.8</v>
      </c>
      <c r="Q96" s="372">
        <v>3.4</v>
      </c>
      <c r="R96" s="372"/>
      <c r="S96" s="372"/>
      <c r="T96" s="372"/>
      <c r="U96" s="372"/>
      <c r="V96" s="372"/>
      <c r="W96" s="372"/>
      <c r="X96" s="372">
        <v>137.69999999999999</v>
      </c>
      <c r="Y96" s="372">
        <v>151.30000000000001</v>
      </c>
    </row>
    <row r="97" spans="1:25" x14ac:dyDescent="0.2">
      <c r="A97" s="372" t="s">
        <v>2889</v>
      </c>
      <c r="B97" s="372" t="s">
        <v>2869</v>
      </c>
      <c r="C97" s="372" t="s">
        <v>2812</v>
      </c>
      <c r="D97" s="372"/>
      <c r="E97" s="372" t="s">
        <v>2813</v>
      </c>
      <c r="F97" s="372"/>
      <c r="G97" s="372" t="s">
        <v>2891</v>
      </c>
      <c r="H97" s="372">
        <v>2025</v>
      </c>
      <c r="I97" s="372" t="s">
        <v>2922</v>
      </c>
      <c r="J97" s="372" t="s">
        <v>2816</v>
      </c>
      <c r="K97" s="372" t="s">
        <v>2924</v>
      </c>
      <c r="L97" s="372">
        <v>1.77</v>
      </c>
      <c r="M97" s="372"/>
      <c r="N97" s="372">
        <v>1</v>
      </c>
      <c r="O97" s="372">
        <v>8</v>
      </c>
      <c r="P97" s="372">
        <v>12.4</v>
      </c>
      <c r="Q97" s="372">
        <v>1.77</v>
      </c>
      <c r="R97" s="372"/>
      <c r="S97" s="372"/>
      <c r="T97" s="372"/>
      <c r="U97" s="372"/>
      <c r="V97" s="372"/>
      <c r="W97" s="372"/>
      <c r="X97" s="372">
        <v>71.685000000000002</v>
      </c>
      <c r="Y97" s="372">
        <v>78.765000000000001</v>
      </c>
    </row>
    <row r="98" spans="1:25" x14ac:dyDescent="0.2">
      <c r="A98" s="372" t="s">
        <v>2889</v>
      </c>
      <c r="B98" s="372" t="s">
        <v>2869</v>
      </c>
      <c r="C98" s="372" t="s">
        <v>2812</v>
      </c>
      <c r="D98" s="372"/>
      <c r="E98" s="372" t="s">
        <v>2813</v>
      </c>
      <c r="F98" s="372"/>
      <c r="G98" s="372" t="s">
        <v>2891</v>
      </c>
      <c r="H98" s="372">
        <v>2025</v>
      </c>
      <c r="I98" s="372" t="s">
        <v>2922</v>
      </c>
      <c r="J98" s="372" t="s">
        <v>2816</v>
      </c>
      <c r="K98" s="372" t="s">
        <v>2924</v>
      </c>
      <c r="L98" s="372">
        <v>4.3499999999999996</v>
      </c>
      <c r="M98" s="372"/>
      <c r="N98" s="372">
        <v>1</v>
      </c>
      <c r="O98" s="372">
        <v>8</v>
      </c>
      <c r="P98" s="372">
        <v>30.5</v>
      </c>
      <c r="Q98" s="372">
        <v>4.3499999999999996</v>
      </c>
      <c r="R98" s="372"/>
      <c r="S98" s="372"/>
      <c r="T98" s="372"/>
      <c r="U98" s="372"/>
      <c r="V98" s="372"/>
      <c r="W98" s="372"/>
      <c r="X98" s="372">
        <v>176.17500000000001</v>
      </c>
      <c r="Y98" s="372">
        <v>193.57499999999999</v>
      </c>
    </row>
    <row r="99" spans="1:25" x14ac:dyDescent="0.2">
      <c r="A99" s="372" t="s">
        <v>2889</v>
      </c>
      <c r="B99" s="372" t="s">
        <v>2869</v>
      </c>
      <c r="C99" s="372" t="s">
        <v>2812</v>
      </c>
      <c r="D99" s="372"/>
      <c r="E99" s="372" t="s">
        <v>2813</v>
      </c>
      <c r="F99" s="372"/>
      <c r="G99" s="372" t="s">
        <v>2892</v>
      </c>
      <c r="H99" s="372">
        <v>2025</v>
      </c>
      <c r="I99" s="372" t="s">
        <v>2922</v>
      </c>
      <c r="J99" s="372" t="s">
        <v>2816</v>
      </c>
      <c r="K99" s="372" t="s">
        <v>2925</v>
      </c>
      <c r="L99" s="372">
        <v>4.3</v>
      </c>
      <c r="M99" s="372"/>
      <c r="N99" s="372">
        <v>1</v>
      </c>
      <c r="O99" s="372">
        <v>8</v>
      </c>
      <c r="P99" s="372">
        <v>30.1</v>
      </c>
      <c r="Q99" s="372">
        <v>4.3</v>
      </c>
      <c r="R99" s="372"/>
      <c r="S99" s="372"/>
      <c r="T99" s="372"/>
      <c r="U99" s="372"/>
      <c r="V99" s="372"/>
      <c r="W99" s="372"/>
      <c r="X99" s="372">
        <v>174.15</v>
      </c>
      <c r="Y99" s="372">
        <v>191.35</v>
      </c>
    </row>
    <row r="100" spans="1:25" x14ac:dyDescent="0.2">
      <c r="A100" s="372" t="s">
        <v>2889</v>
      </c>
      <c r="B100" s="372" t="s">
        <v>2869</v>
      </c>
      <c r="C100" s="372" t="s">
        <v>2812</v>
      </c>
      <c r="D100" s="372"/>
      <c r="E100" s="372" t="s">
        <v>2813</v>
      </c>
      <c r="F100" s="372"/>
      <c r="G100" s="372" t="s">
        <v>2891</v>
      </c>
      <c r="H100" s="372">
        <v>2025</v>
      </c>
      <c r="I100" s="372" t="s">
        <v>2922</v>
      </c>
      <c r="J100" s="372" t="s">
        <v>2816</v>
      </c>
      <c r="K100" s="372" t="s">
        <v>2924</v>
      </c>
      <c r="L100" s="372">
        <v>3.35</v>
      </c>
      <c r="M100" s="372"/>
      <c r="N100" s="372">
        <v>1</v>
      </c>
      <c r="O100" s="372">
        <v>8</v>
      </c>
      <c r="P100" s="372">
        <v>23.5</v>
      </c>
      <c r="Q100" s="372">
        <v>3.35</v>
      </c>
      <c r="R100" s="372"/>
      <c r="S100" s="372"/>
      <c r="T100" s="372"/>
      <c r="U100" s="372"/>
      <c r="V100" s="372"/>
      <c r="W100" s="372"/>
      <c r="X100" s="372">
        <v>135.67500000000001</v>
      </c>
      <c r="Y100" s="372">
        <v>149.07499999999999</v>
      </c>
    </row>
    <row r="101" spans="1:25" x14ac:dyDescent="0.2">
      <c r="A101" s="372" t="s">
        <v>2889</v>
      </c>
      <c r="B101" s="372" t="s">
        <v>2869</v>
      </c>
      <c r="C101" s="372" t="s">
        <v>2812</v>
      </c>
      <c r="D101" s="372"/>
      <c r="E101" s="372" t="s">
        <v>2813</v>
      </c>
      <c r="F101" s="372"/>
      <c r="G101" s="372" t="s">
        <v>2892</v>
      </c>
      <c r="H101" s="372">
        <v>2025</v>
      </c>
      <c r="I101" s="372" t="s">
        <v>2922</v>
      </c>
      <c r="J101" s="372" t="s">
        <v>2816</v>
      </c>
      <c r="K101" s="372" t="s">
        <v>2925</v>
      </c>
      <c r="L101" s="372">
        <v>8.4499999999999993</v>
      </c>
      <c r="M101" s="372"/>
      <c r="N101" s="372">
        <v>1</v>
      </c>
      <c r="O101" s="372">
        <v>8</v>
      </c>
      <c r="P101" s="372">
        <v>59.2</v>
      </c>
      <c r="Q101" s="372">
        <v>8.4499999999999993</v>
      </c>
      <c r="R101" s="372"/>
      <c r="S101" s="372"/>
      <c r="T101" s="372"/>
      <c r="U101" s="372"/>
      <c r="V101" s="372"/>
      <c r="W101" s="372"/>
      <c r="X101" s="372">
        <v>342.22500000000002</v>
      </c>
      <c r="Y101" s="372">
        <v>376.02499999999998</v>
      </c>
    </row>
    <row r="102" spans="1:25" x14ac:dyDescent="0.2">
      <c r="A102" s="372" t="s">
        <v>2889</v>
      </c>
      <c r="B102" s="372" t="s">
        <v>2869</v>
      </c>
      <c r="C102" s="372" t="s">
        <v>2812</v>
      </c>
      <c r="D102" s="372"/>
      <c r="E102" s="372" t="s">
        <v>2813</v>
      </c>
      <c r="F102" s="372"/>
      <c r="G102" s="372" t="s">
        <v>2892</v>
      </c>
      <c r="H102" s="372">
        <v>2025</v>
      </c>
      <c r="I102" s="372" t="s">
        <v>2922</v>
      </c>
      <c r="J102" s="372" t="s">
        <v>2816</v>
      </c>
      <c r="K102" s="372" t="s">
        <v>2925</v>
      </c>
      <c r="L102" s="372">
        <v>3.2</v>
      </c>
      <c r="M102" s="372"/>
      <c r="N102" s="372">
        <v>1</v>
      </c>
      <c r="O102" s="372">
        <v>8</v>
      </c>
      <c r="P102" s="372">
        <v>22.4</v>
      </c>
      <c r="Q102" s="372">
        <v>3.2</v>
      </c>
      <c r="R102" s="372"/>
      <c r="S102" s="372"/>
      <c r="T102" s="372"/>
      <c r="U102" s="372"/>
      <c r="V102" s="372"/>
      <c r="W102" s="372"/>
      <c r="X102" s="372">
        <v>129.6</v>
      </c>
      <c r="Y102" s="372">
        <v>142.4</v>
      </c>
    </row>
    <row r="103" spans="1:25" x14ac:dyDescent="0.2">
      <c r="A103" s="372" t="s">
        <v>2889</v>
      </c>
      <c r="B103" s="372" t="s">
        <v>2869</v>
      </c>
      <c r="C103" s="372" t="s">
        <v>2812</v>
      </c>
      <c r="D103" s="372"/>
      <c r="E103" s="372" t="s">
        <v>2813</v>
      </c>
      <c r="F103" s="372"/>
      <c r="G103" s="372" t="s">
        <v>2892</v>
      </c>
      <c r="H103" s="372">
        <v>2025</v>
      </c>
      <c r="I103" s="372" t="s">
        <v>2922</v>
      </c>
      <c r="J103" s="372" t="s">
        <v>2816</v>
      </c>
      <c r="K103" s="372" t="s">
        <v>2925</v>
      </c>
      <c r="L103" s="372">
        <v>3.32</v>
      </c>
      <c r="M103" s="372"/>
      <c r="N103" s="372">
        <v>1</v>
      </c>
      <c r="O103" s="372">
        <v>8</v>
      </c>
      <c r="P103" s="372">
        <v>23.2</v>
      </c>
      <c r="Q103" s="372">
        <v>3.32</v>
      </c>
      <c r="R103" s="372"/>
      <c r="S103" s="372"/>
      <c r="T103" s="372"/>
      <c r="U103" s="372"/>
      <c r="V103" s="372"/>
      <c r="W103" s="372"/>
      <c r="X103" s="372">
        <v>134.46</v>
      </c>
      <c r="Y103" s="372">
        <v>147.74</v>
      </c>
    </row>
    <row r="104" spans="1:25" x14ac:dyDescent="0.2">
      <c r="A104" s="372" t="s">
        <v>2889</v>
      </c>
      <c r="B104" s="372" t="s">
        <v>2869</v>
      </c>
      <c r="C104" s="372" t="s">
        <v>2812</v>
      </c>
      <c r="D104" s="372"/>
      <c r="E104" s="372" t="s">
        <v>2813</v>
      </c>
      <c r="F104" s="372"/>
      <c r="G104" s="372" t="s">
        <v>2892</v>
      </c>
      <c r="H104" s="372">
        <v>2025</v>
      </c>
      <c r="I104" s="372" t="s">
        <v>2922</v>
      </c>
      <c r="J104" s="372" t="s">
        <v>2816</v>
      </c>
      <c r="K104" s="372" t="s">
        <v>2925</v>
      </c>
      <c r="L104" s="372">
        <v>35.01</v>
      </c>
      <c r="M104" s="372"/>
      <c r="N104" s="372">
        <v>1</v>
      </c>
      <c r="O104" s="372">
        <v>8</v>
      </c>
      <c r="P104" s="372">
        <v>245.1</v>
      </c>
      <c r="Q104" s="372">
        <v>35.01</v>
      </c>
      <c r="R104" s="372"/>
      <c r="S104" s="372"/>
      <c r="T104" s="372"/>
      <c r="U104" s="372"/>
      <c r="V104" s="372"/>
      <c r="W104" s="372"/>
      <c r="X104" s="372">
        <v>1417.905</v>
      </c>
      <c r="Y104" s="372">
        <v>1557.9449999999999</v>
      </c>
    </row>
    <row r="105" spans="1:25" x14ac:dyDescent="0.2">
      <c r="A105" s="372" t="s">
        <v>2893</v>
      </c>
      <c r="B105" s="372" t="s">
        <v>2858</v>
      </c>
      <c r="C105" s="372" t="s">
        <v>2819</v>
      </c>
      <c r="D105" s="372"/>
      <c r="E105" s="372" t="s">
        <v>2813</v>
      </c>
      <c r="F105" s="372"/>
      <c r="G105" s="372" t="s">
        <v>2890</v>
      </c>
      <c r="H105" s="372">
        <v>2025</v>
      </c>
      <c r="I105" s="372" t="s">
        <v>2922</v>
      </c>
      <c r="J105" s="372" t="s">
        <v>2816</v>
      </c>
      <c r="K105" s="372" t="s">
        <v>2923</v>
      </c>
      <c r="L105" s="372">
        <v>4.8499999999999996</v>
      </c>
      <c r="M105" s="372"/>
      <c r="N105" s="372">
        <v>1</v>
      </c>
      <c r="O105" s="372">
        <v>8</v>
      </c>
      <c r="P105" s="372">
        <v>34</v>
      </c>
      <c r="Q105" s="372">
        <v>4.8499999999999996</v>
      </c>
      <c r="R105" s="372"/>
      <c r="S105" s="372"/>
      <c r="T105" s="372"/>
      <c r="U105" s="372"/>
      <c r="V105" s="372"/>
      <c r="W105" s="372"/>
      <c r="X105" s="372">
        <v>201.834</v>
      </c>
      <c r="Y105" s="372">
        <v>215.82499999999999</v>
      </c>
    </row>
    <row r="106" spans="1:25" x14ac:dyDescent="0.2">
      <c r="A106" s="372" t="s">
        <v>2893</v>
      </c>
      <c r="B106" s="372" t="s">
        <v>2858</v>
      </c>
      <c r="C106" s="372" t="s">
        <v>2819</v>
      </c>
      <c r="D106" s="372"/>
      <c r="E106" s="372" t="s">
        <v>2813</v>
      </c>
      <c r="F106" s="372"/>
      <c r="G106" s="372" t="s">
        <v>2891</v>
      </c>
      <c r="H106" s="372">
        <v>2025</v>
      </c>
      <c r="I106" s="372" t="s">
        <v>2922</v>
      </c>
      <c r="J106" s="372" t="s">
        <v>2816</v>
      </c>
      <c r="K106" s="372" t="s">
        <v>2924</v>
      </c>
      <c r="L106" s="372">
        <v>3.4</v>
      </c>
      <c r="M106" s="372"/>
      <c r="N106" s="372">
        <v>1</v>
      </c>
      <c r="O106" s="372">
        <v>8</v>
      </c>
      <c r="P106" s="372">
        <v>23.8</v>
      </c>
      <c r="Q106" s="372">
        <v>3.4</v>
      </c>
      <c r="R106" s="372"/>
      <c r="S106" s="372"/>
      <c r="T106" s="372"/>
      <c r="U106" s="372"/>
      <c r="V106" s="372"/>
      <c r="W106" s="372"/>
      <c r="X106" s="372">
        <v>141.49199999999999</v>
      </c>
      <c r="Y106" s="372">
        <v>151.30000000000001</v>
      </c>
    </row>
    <row r="107" spans="1:25" x14ac:dyDescent="0.2">
      <c r="A107" s="372" t="s">
        <v>2893</v>
      </c>
      <c r="B107" s="372" t="s">
        <v>2858</v>
      </c>
      <c r="C107" s="372" t="s">
        <v>2819</v>
      </c>
      <c r="D107" s="372"/>
      <c r="E107" s="372" t="s">
        <v>2813</v>
      </c>
      <c r="F107" s="372"/>
      <c r="G107" s="372" t="s">
        <v>2891</v>
      </c>
      <c r="H107" s="372">
        <v>2025</v>
      </c>
      <c r="I107" s="372" t="s">
        <v>2922</v>
      </c>
      <c r="J107" s="372" t="s">
        <v>2816</v>
      </c>
      <c r="K107" s="372" t="s">
        <v>2924</v>
      </c>
      <c r="L107" s="372">
        <v>1.78</v>
      </c>
      <c r="M107" s="372"/>
      <c r="N107" s="372">
        <v>1</v>
      </c>
      <c r="O107" s="372">
        <v>8</v>
      </c>
      <c r="P107" s="372">
        <v>12.5</v>
      </c>
      <c r="Q107" s="372">
        <v>1.78</v>
      </c>
      <c r="R107" s="372"/>
      <c r="S107" s="372"/>
      <c r="T107" s="372"/>
      <c r="U107" s="372"/>
      <c r="V107" s="372"/>
      <c r="W107" s="372"/>
      <c r="X107" s="372">
        <v>74.075000000000003</v>
      </c>
      <c r="Y107" s="372">
        <v>79.209999999999994</v>
      </c>
    </row>
    <row r="108" spans="1:25" x14ac:dyDescent="0.2">
      <c r="A108" s="372" t="s">
        <v>2893</v>
      </c>
      <c r="B108" s="372" t="s">
        <v>2858</v>
      </c>
      <c r="C108" s="372" t="s">
        <v>2819</v>
      </c>
      <c r="D108" s="372"/>
      <c r="E108" s="372" t="s">
        <v>2813</v>
      </c>
      <c r="F108" s="372"/>
      <c r="G108" s="372" t="s">
        <v>2891</v>
      </c>
      <c r="H108" s="372">
        <v>2025</v>
      </c>
      <c r="I108" s="372" t="s">
        <v>2922</v>
      </c>
      <c r="J108" s="372" t="s">
        <v>2816</v>
      </c>
      <c r="K108" s="372" t="s">
        <v>2924</v>
      </c>
      <c r="L108" s="372">
        <v>4.3499999999999996</v>
      </c>
      <c r="M108" s="372"/>
      <c r="N108" s="372">
        <v>1</v>
      </c>
      <c r="O108" s="372">
        <v>8</v>
      </c>
      <c r="P108" s="372">
        <v>30.5</v>
      </c>
      <c r="Q108" s="372">
        <v>4.3499999999999996</v>
      </c>
      <c r="R108" s="372"/>
      <c r="S108" s="372"/>
      <c r="T108" s="372"/>
      <c r="U108" s="372"/>
      <c r="V108" s="372"/>
      <c r="W108" s="372"/>
      <c r="X108" s="372">
        <v>181.02600000000001</v>
      </c>
      <c r="Y108" s="372">
        <v>193.57499999999999</v>
      </c>
    </row>
    <row r="109" spans="1:25" x14ac:dyDescent="0.2">
      <c r="A109" s="372" t="s">
        <v>2893</v>
      </c>
      <c r="B109" s="372" t="s">
        <v>2858</v>
      </c>
      <c r="C109" s="372" t="s">
        <v>2819</v>
      </c>
      <c r="D109" s="372"/>
      <c r="E109" s="372" t="s">
        <v>2813</v>
      </c>
      <c r="F109" s="372"/>
      <c r="G109" s="372" t="s">
        <v>2892</v>
      </c>
      <c r="H109" s="372">
        <v>2025</v>
      </c>
      <c r="I109" s="372" t="s">
        <v>2922</v>
      </c>
      <c r="J109" s="372" t="s">
        <v>2816</v>
      </c>
      <c r="K109" s="372" t="s">
        <v>2925</v>
      </c>
      <c r="L109" s="372">
        <v>4.3</v>
      </c>
      <c r="M109" s="372"/>
      <c r="N109" s="372">
        <v>1</v>
      </c>
      <c r="O109" s="372">
        <v>8</v>
      </c>
      <c r="P109" s="372">
        <v>30.1</v>
      </c>
      <c r="Q109" s="372">
        <v>4.3</v>
      </c>
      <c r="R109" s="372"/>
      <c r="S109" s="372"/>
      <c r="T109" s="372"/>
      <c r="U109" s="372"/>
      <c r="V109" s="372"/>
      <c r="W109" s="372"/>
      <c r="X109" s="372">
        <v>178.946</v>
      </c>
      <c r="Y109" s="372">
        <v>191.35</v>
      </c>
    </row>
    <row r="110" spans="1:25" x14ac:dyDescent="0.2">
      <c r="A110" s="372" t="s">
        <v>2893</v>
      </c>
      <c r="B110" s="372" t="s">
        <v>2858</v>
      </c>
      <c r="C110" s="372" t="s">
        <v>2819</v>
      </c>
      <c r="D110" s="372"/>
      <c r="E110" s="372" t="s">
        <v>2813</v>
      </c>
      <c r="F110" s="372"/>
      <c r="G110" s="372" t="s">
        <v>2891</v>
      </c>
      <c r="H110" s="372">
        <v>2025</v>
      </c>
      <c r="I110" s="372" t="s">
        <v>2922</v>
      </c>
      <c r="J110" s="372" t="s">
        <v>2816</v>
      </c>
      <c r="K110" s="372" t="s">
        <v>2924</v>
      </c>
      <c r="L110" s="372">
        <v>3.35</v>
      </c>
      <c r="M110" s="372"/>
      <c r="N110" s="372">
        <v>1</v>
      </c>
      <c r="O110" s="372">
        <v>8</v>
      </c>
      <c r="P110" s="372">
        <v>23.5</v>
      </c>
      <c r="Q110" s="372">
        <v>3.35</v>
      </c>
      <c r="R110" s="372"/>
      <c r="S110" s="372"/>
      <c r="T110" s="372"/>
      <c r="U110" s="372"/>
      <c r="V110" s="372"/>
      <c r="W110" s="372"/>
      <c r="X110" s="372">
        <v>139.411</v>
      </c>
      <c r="Y110" s="372">
        <v>149.07499999999999</v>
      </c>
    </row>
    <row r="111" spans="1:25" x14ac:dyDescent="0.2">
      <c r="A111" s="372" t="s">
        <v>2893</v>
      </c>
      <c r="B111" s="372" t="s">
        <v>2858</v>
      </c>
      <c r="C111" s="372" t="s">
        <v>2819</v>
      </c>
      <c r="D111" s="372"/>
      <c r="E111" s="372" t="s">
        <v>2813</v>
      </c>
      <c r="F111" s="372"/>
      <c r="G111" s="372" t="s">
        <v>2892</v>
      </c>
      <c r="H111" s="372">
        <v>2025</v>
      </c>
      <c r="I111" s="372" t="s">
        <v>2922</v>
      </c>
      <c r="J111" s="372" t="s">
        <v>2816</v>
      </c>
      <c r="K111" s="372" t="s">
        <v>2925</v>
      </c>
      <c r="L111" s="372">
        <v>8.4499999999999993</v>
      </c>
      <c r="M111" s="372"/>
      <c r="N111" s="372">
        <v>1</v>
      </c>
      <c r="O111" s="372">
        <v>8</v>
      </c>
      <c r="P111" s="372">
        <v>59.2</v>
      </c>
      <c r="Q111" s="372">
        <v>8.4499999999999993</v>
      </c>
      <c r="R111" s="372"/>
      <c r="S111" s="372"/>
      <c r="T111" s="372"/>
      <c r="U111" s="372"/>
      <c r="V111" s="372"/>
      <c r="W111" s="372"/>
      <c r="X111" s="372">
        <v>351.649</v>
      </c>
      <c r="Y111" s="372">
        <v>376.02499999999998</v>
      </c>
    </row>
    <row r="112" spans="1:25" x14ac:dyDescent="0.2">
      <c r="A112" s="372" t="s">
        <v>2893</v>
      </c>
      <c r="B112" s="372" t="s">
        <v>2858</v>
      </c>
      <c r="C112" s="372" t="s">
        <v>2819</v>
      </c>
      <c r="D112" s="372"/>
      <c r="E112" s="372" t="s">
        <v>2813</v>
      </c>
      <c r="F112" s="372"/>
      <c r="G112" s="372" t="s">
        <v>2892</v>
      </c>
      <c r="H112" s="372">
        <v>2025</v>
      </c>
      <c r="I112" s="372" t="s">
        <v>2922</v>
      </c>
      <c r="J112" s="372" t="s">
        <v>2816</v>
      </c>
      <c r="K112" s="372" t="s">
        <v>2925</v>
      </c>
      <c r="L112" s="372">
        <v>3.2</v>
      </c>
      <c r="M112" s="372"/>
      <c r="N112" s="372">
        <v>1</v>
      </c>
      <c r="O112" s="372">
        <v>8</v>
      </c>
      <c r="P112" s="372">
        <v>22.4</v>
      </c>
      <c r="Q112" s="372">
        <v>3.2</v>
      </c>
      <c r="R112" s="372"/>
      <c r="S112" s="372"/>
      <c r="T112" s="372"/>
      <c r="U112" s="372"/>
      <c r="V112" s="372"/>
      <c r="W112" s="372"/>
      <c r="X112" s="372">
        <v>133.16900000000001</v>
      </c>
      <c r="Y112" s="372">
        <v>142.4</v>
      </c>
    </row>
    <row r="113" spans="1:25" x14ac:dyDescent="0.2">
      <c r="A113" s="372" t="s">
        <v>2893</v>
      </c>
      <c r="B113" s="372" t="s">
        <v>2858</v>
      </c>
      <c r="C113" s="372" t="s">
        <v>2819</v>
      </c>
      <c r="D113" s="372"/>
      <c r="E113" s="372" t="s">
        <v>2813</v>
      </c>
      <c r="F113" s="372"/>
      <c r="G113" s="372" t="s">
        <v>2892</v>
      </c>
      <c r="H113" s="372">
        <v>2025</v>
      </c>
      <c r="I113" s="372" t="s">
        <v>2922</v>
      </c>
      <c r="J113" s="372" t="s">
        <v>2816</v>
      </c>
      <c r="K113" s="372" t="s">
        <v>2925</v>
      </c>
      <c r="L113" s="372">
        <v>3.33</v>
      </c>
      <c r="M113" s="372"/>
      <c r="N113" s="372">
        <v>1</v>
      </c>
      <c r="O113" s="372">
        <v>8</v>
      </c>
      <c r="P113" s="372">
        <v>23.3</v>
      </c>
      <c r="Q113" s="372">
        <v>3.33</v>
      </c>
      <c r="R113" s="372"/>
      <c r="S113" s="372"/>
      <c r="T113" s="372"/>
      <c r="U113" s="372"/>
      <c r="V113" s="372"/>
      <c r="W113" s="372"/>
      <c r="X113" s="372">
        <v>138.57900000000001</v>
      </c>
      <c r="Y113" s="372">
        <v>148.185</v>
      </c>
    </row>
    <row r="114" spans="1:25" x14ac:dyDescent="0.2">
      <c r="A114" s="372" t="s">
        <v>2893</v>
      </c>
      <c r="B114" s="372" t="s">
        <v>2858</v>
      </c>
      <c r="C114" s="372" t="s">
        <v>2819</v>
      </c>
      <c r="D114" s="372"/>
      <c r="E114" s="372" t="s">
        <v>2813</v>
      </c>
      <c r="F114" s="372"/>
      <c r="G114" s="372" t="s">
        <v>2892</v>
      </c>
      <c r="H114" s="372">
        <v>2025</v>
      </c>
      <c r="I114" s="372" t="s">
        <v>2922</v>
      </c>
      <c r="J114" s="372" t="s">
        <v>2816</v>
      </c>
      <c r="K114" s="372" t="s">
        <v>2925</v>
      </c>
      <c r="L114" s="372">
        <v>31.09</v>
      </c>
      <c r="M114" s="372"/>
      <c r="N114" s="372">
        <v>1</v>
      </c>
      <c r="O114" s="372">
        <v>8</v>
      </c>
      <c r="P114" s="372">
        <v>217.6</v>
      </c>
      <c r="Q114" s="372">
        <v>31.09</v>
      </c>
      <c r="R114" s="372"/>
      <c r="S114" s="372"/>
      <c r="T114" s="372"/>
      <c r="U114" s="372"/>
      <c r="V114" s="372"/>
      <c r="W114" s="372"/>
      <c r="X114" s="372">
        <v>1293.819</v>
      </c>
      <c r="Y114" s="372">
        <v>1383.5050000000001</v>
      </c>
    </row>
    <row r="115" spans="1:25" x14ac:dyDescent="0.2">
      <c r="A115" s="372" t="s">
        <v>2894</v>
      </c>
      <c r="B115" s="372" t="s">
        <v>2872</v>
      </c>
      <c r="C115" s="372" t="s">
        <v>2825</v>
      </c>
      <c r="D115" s="372"/>
      <c r="E115" s="372" t="s">
        <v>2813</v>
      </c>
      <c r="F115" s="372"/>
      <c r="G115" s="372" t="s">
        <v>2890</v>
      </c>
      <c r="H115" s="372">
        <v>2025</v>
      </c>
      <c r="I115" s="372" t="s">
        <v>2922</v>
      </c>
      <c r="J115" s="372" t="s">
        <v>2816</v>
      </c>
      <c r="K115" s="372" t="s">
        <v>2923</v>
      </c>
      <c r="L115" s="372">
        <v>4.8499999999999996</v>
      </c>
      <c r="M115" s="372"/>
      <c r="N115" s="372">
        <v>1</v>
      </c>
      <c r="O115" s="372">
        <v>8</v>
      </c>
      <c r="P115" s="372">
        <v>34</v>
      </c>
      <c r="Q115" s="372">
        <v>4.8499999999999996</v>
      </c>
      <c r="R115" s="372"/>
      <c r="S115" s="372"/>
      <c r="T115" s="372"/>
      <c r="U115" s="372"/>
      <c r="V115" s="372"/>
      <c r="W115" s="372"/>
      <c r="X115" s="372">
        <v>199.011</v>
      </c>
      <c r="Y115" s="372">
        <v>215.82499999999999</v>
      </c>
    </row>
    <row r="116" spans="1:25" x14ac:dyDescent="0.2">
      <c r="A116" s="372" t="s">
        <v>2894</v>
      </c>
      <c r="B116" s="372" t="s">
        <v>2872</v>
      </c>
      <c r="C116" s="372" t="s">
        <v>2825</v>
      </c>
      <c r="D116" s="372"/>
      <c r="E116" s="372" t="s">
        <v>2813</v>
      </c>
      <c r="F116" s="372"/>
      <c r="G116" s="372" t="s">
        <v>2891</v>
      </c>
      <c r="H116" s="372">
        <v>2025</v>
      </c>
      <c r="I116" s="372" t="s">
        <v>2922</v>
      </c>
      <c r="J116" s="372" t="s">
        <v>2816</v>
      </c>
      <c r="K116" s="372" t="s">
        <v>2924</v>
      </c>
      <c r="L116" s="372">
        <v>3.4</v>
      </c>
      <c r="M116" s="372"/>
      <c r="N116" s="372">
        <v>1</v>
      </c>
      <c r="O116" s="372">
        <v>8</v>
      </c>
      <c r="P116" s="372">
        <v>23.8</v>
      </c>
      <c r="Q116" s="372">
        <v>3.4</v>
      </c>
      <c r="R116" s="372"/>
      <c r="S116" s="372"/>
      <c r="T116" s="372"/>
      <c r="U116" s="372"/>
      <c r="V116" s="372"/>
      <c r="W116" s="372"/>
      <c r="X116" s="372">
        <v>139.51300000000001</v>
      </c>
      <c r="Y116" s="372">
        <v>151.30000000000001</v>
      </c>
    </row>
    <row r="117" spans="1:25" x14ac:dyDescent="0.2">
      <c r="A117" s="372" t="s">
        <v>2894</v>
      </c>
      <c r="B117" s="372" t="s">
        <v>2872</v>
      </c>
      <c r="C117" s="372" t="s">
        <v>2825</v>
      </c>
      <c r="D117" s="372"/>
      <c r="E117" s="372" t="s">
        <v>2813</v>
      </c>
      <c r="F117" s="372"/>
      <c r="G117" s="372" t="s">
        <v>2891</v>
      </c>
      <c r="H117" s="372">
        <v>2025</v>
      </c>
      <c r="I117" s="372" t="s">
        <v>2922</v>
      </c>
      <c r="J117" s="372" t="s">
        <v>2816</v>
      </c>
      <c r="K117" s="372" t="s">
        <v>2924</v>
      </c>
      <c r="L117" s="372">
        <v>1.77</v>
      </c>
      <c r="M117" s="372"/>
      <c r="N117" s="372">
        <v>1</v>
      </c>
      <c r="O117" s="372">
        <v>8</v>
      </c>
      <c r="P117" s="372">
        <v>12.4</v>
      </c>
      <c r="Q117" s="372">
        <v>1.77</v>
      </c>
      <c r="R117" s="372"/>
      <c r="S117" s="372"/>
      <c r="T117" s="372"/>
      <c r="U117" s="372"/>
      <c r="V117" s="372"/>
      <c r="W117" s="372"/>
      <c r="X117" s="372">
        <v>72.629000000000005</v>
      </c>
      <c r="Y117" s="372">
        <v>78.765000000000001</v>
      </c>
    </row>
    <row r="118" spans="1:25" x14ac:dyDescent="0.2">
      <c r="A118" s="372" t="s">
        <v>2894</v>
      </c>
      <c r="B118" s="372" t="s">
        <v>2872</v>
      </c>
      <c r="C118" s="372" t="s">
        <v>2825</v>
      </c>
      <c r="D118" s="372"/>
      <c r="E118" s="372" t="s">
        <v>2813</v>
      </c>
      <c r="F118" s="372"/>
      <c r="G118" s="372" t="s">
        <v>2891</v>
      </c>
      <c r="H118" s="372">
        <v>2025</v>
      </c>
      <c r="I118" s="372" t="s">
        <v>2922</v>
      </c>
      <c r="J118" s="372" t="s">
        <v>2816</v>
      </c>
      <c r="K118" s="372" t="s">
        <v>2924</v>
      </c>
      <c r="L118" s="372">
        <v>4.3499999999999996</v>
      </c>
      <c r="M118" s="372"/>
      <c r="N118" s="372">
        <v>1</v>
      </c>
      <c r="O118" s="372">
        <v>8</v>
      </c>
      <c r="P118" s="372">
        <v>30.5</v>
      </c>
      <c r="Q118" s="372">
        <v>4.3499999999999996</v>
      </c>
      <c r="R118" s="372"/>
      <c r="S118" s="372"/>
      <c r="T118" s="372"/>
      <c r="U118" s="372"/>
      <c r="V118" s="372"/>
      <c r="W118" s="372"/>
      <c r="X118" s="372">
        <v>178.495</v>
      </c>
      <c r="Y118" s="372">
        <v>193.57499999999999</v>
      </c>
    </row>
    <row r="119" spans="1:25" x14ac:dyDescent="0.2">
      <c r="A119" s="372" t="s">
        <v>2894</v>
      </c>
      <c r="B119" s="372" t="s">
        <v>2872</v>
      </c>
      <c r="C119" s="372" t="s">
        <v>2825</v>
      </c>
      <c r="D119" s="372"/>
      <c r="E119" s="372" t="s">
        <v>2813</v>
      </c>
      <c r="F119" s="372"/>
      <c r="G119" s="372" t="s">
        <v>2892</v>
      </c>
      <c r="H119" s="372">
        <v>2025</v>
      </c>
      <c r="I119" s="372" t="s">
        <v>2922</v>
      </c>
      <c r="J119" s="372" t="s">
        <v>2816</v>
      </c>
      <c r="K119" s="372" t="s">
        <v>2925</v>
      </c>
      <c r="L119" s="372">
        <v>4.3</v>
      </c>
      <c r="M119" s="372"/>
      <c r="N119" s="372">
        <v>1</v>
      </c>
      <c r="O119" s="372">
        <v>8</v>
      </c>
      <c r="P119" s="372">
        <v>30.1</v>
      </c>
      <c r="Q119" s="372">
        <v>4.3</v>
      </c>
      <c r="R119" s="372"/>
      <c r="S119" s="372"/>
      <c r="T119" s="372"/>
      <c r="U119" s="372"/>
      <c r="V119" s="372"/>
      <c r="W119" s="372"/>
      <c r="X119" s="372">
        <v>176.44300000000001</v>
      </c>
      <c r="Y119" s="372">
        <v>191.35</v>
      </c>
    </row>
    <row r="120" spans="1:25" x14ac:dyDescent="0.2">
      <c r="A120" s="372" t="s">
        <v>2894</v>
      </c>
      <c r="B120" s="372" t="s">
        <v>2872</v>
      </c>
      <c r="C120" s="372" t="s">
        <v>2825</v>
      </c>
      <c r="D120" s="372"/>
      <c r="E120" s="372" t="s">
        <v>2813</v>
      </c>
      <c r="F120" s="372"/>
      <c r="G120" s="372" t="s">
        <v>2891</v>
      </c>
      <c r="H120" s="372">
        <v>2025</v>
      </c>
      <c r="I120" s="372" t="s">
        <v>2922</v>
      </c>
      <c r="J120" s="372" t="s">
        <v>2816</v>
      </c>
      <c r="K120" s="372" t="s">
        <v>2924</v>
      </c>
      <c r="L120" s="372">
        <v>3.35</v>
      </c>
      <c r="M120" s="372"/>
      <c r="N120" s="372">
        <v>1</v>
      </c>
      <c r="O120" s="372">
        <v>8</v>
      </c>
      <c r="P120" s="372">
        <v>23.5</v>
      </c>
      <c r="Q120" s="372">
        <v>3.35</v>
      </c>
      <c r="R120" s="372"/>
      <c r="S120" s="372"/>
      <c r="T120" s="372"/>
      <c r="U120" s="372"/>
      <c r="V120" s="372"/>
      <c r="W120" s="372"/>
      <c r="X120" s="372">
        <v>137.46199999999999</v>
      </c>
      <c r="Y120" s="372">
        <v>149.07499999999999</v>
      </c>
    </row>
    <row r="121" spans="1:25" x14ac:dyDescent="0.2">
      <c r="A121" s="372" t="s">
        <v>2894</v>
      </c>
      <c r="B121" s="372" t="s">
        <v>2872</v>
      </c>
      <c r="C121" s="372" t="s">
        <v>2825</v>
      </c>
      <c r="D121" s="372"/>
      <c r="E121" s="372" t="s">
        <v>2813</v>
      </c>
      <c r="F121" s="372"/>
      <c r="G121" s="372" t="s">
        <v>2892</v>
      </c>
      <c r="H121" s="372">
        <v>2025</v>
      </c>
      <c r="I121" s="372" t="s">
        <v>2922</v>
      </c>
      <c r="J121" s="372" t="s">
        <v>2816</v>
      </c>
      <c r="K121" s="372" t="s">
        <v>2925</v>
      </c>
      <c r="L121" s="372">
        <v>8.4499999999999993</v>
      </c>
      <c r="M121" s="372"/>
      <c r="N121" s="372">
        <v>1</v>
      </c>
      <c r="O121" s="372">
        <v>8</v>
      </c>
      <c r="P121" s="372">
        <v>59.2</v>
      </c>
      <c r="Q121" s="372">
        <v>8.4499999999999993</v>
      </c>
      <c r="R121" s="372"/>
      <c r="S121" s="372"/>
      <c r="T121" s="372"/>
      <c r="U121" s="372"/>
      <c r="V121" s="372"/>
      <c r="W121" s="372"/>
      <c r="X121" s="372">
        <v>346.73200000000003</v>
      </c>
      <c r="Y121" s="372">
        <v>376.02499999999998</v>
      </c>
    </row>
    <row r="122" spans="1:25" x14ac:dyDescent="0.2">
      <c r="A122" s="372" t="s">
        <v>2894</v>
      </c>
      <c r="B122" s="372" t="s">
        <v>2872</v>
      </c>
      <c r="C122" s="372" t="s">
        <v>2825</v>
      </c>
      <c r="D122" s="372"/>
      <c r="E122" s="372" t="s">
        <v>2813</v>
      </c>
      <c r="F122" s="372"/>
      <c r="G122" s="372" t="s">
        <v>2892</v>
      </c>
      <c r="H122" s="372">
        <v>2025</v>
      </c>
      <c r="I122" s="372" t="s">
        <v>2922</v>
      </c>
      <c r="J122" s="372" t="s">
        <v>2816</v>
      </c>
      <c r="K122" s="372" t="s">
        <v>2925</v>
      </c>
      <c r="L122" s="372">
        <v>3.2</v>
      </c>
      <c r="M122" s="372"/>
      <c r="N122" s="372">
        <v>1</v>
      </c>
      <c r="O122" s="372">
        <v>8</v>
      </c>
      <c r="P122" s="372">
        <v>22.4</v>
      </c>
      <c r="Q122" s="372">
        <v>3.2</v>
      </c>
      <c r="R122" s="372"/>
      <c r="S122" s="372"/>
      <c r="T122" s="372"/>
      <c r="U122" s="372"/>
      <c r="V122" s="372"/>
      <c r="W122" s="372"/>
      <c r="X122" s="372">
        <v>131.30699999999999</v>
      </c>
      <c r="Y122" s="372">
        <v>142.4</v>
      </c>
    </row>
    <row r="123" spans="1:25" x14ac:dyDescent="0.2">
      <c r="A123" s="372" t="s">
        <v>2894</v>
      </c>
      <c r="B123" s="372" t="s">
        <v>2872</v>
      </c>
      <c r="C123" s="372" t="s">
        <v>2825</v>
      </c>
      <c r="D123" s="372"/>
      <c r="E123" s="372" t="s">
        <v>2813</v>
      </c>
      <c r="F123" s="372"/>
      <c r="G123" s="372" t="s">
        <v>2892</v>
      </c>
      <c r="H123" s="372">
        <v>2025</v>
      </c>
      <c r="I123" s="372" t="s">
        <v>2922</v>
      </c>
      <c r="J123" s="372" t="s">
        <v>2816</v>
      </c>
      <c r="K123" s="372" t="s">
        <v>2925</v>
      </c>
      <c r="L123" s="372">
        <v>3.32</v>
      </c>
      <c r="M123" s="372"/>
      <c r="N123" s="372">
        <v>1</v>
      </c>
      <c r="O123" s="372">
        <v>8</v>
      </c>
      <c r="P123" s="372">
        <v>23.2</v>
      </c>
      <c r="Q123" s="372">
        <v>3.32</v>
      </c>
      <c r="R123" s="372"/>
      <c r="S123" s="372"/>
      <c r="T123" s="372"/>
      <c r="U123" s="372"/>
      <c r="V123" s="372"/>
      <c r="W123" s="372"/>
      <c r="X123" s="372">
        <v>136.23099999999999</v>
      </c>
      <c r="Y123" s="372">
        <v>147.74</v>
      </c>
    </row>
    <row r="124" spans="1:25" x14ac:dyDescent="0.2">
      <c r="A124" s="372" t="s">
        <v>2894</v>
      </c>
      <c r="B124" s="372" t="s">
        <v>2872</v>
      </c>
      <c r="C124" s="372" t="s">
        <v>2825</v>
      </c>
      <c r="D124" s="372"/>
      <c r="E124" s="372" t="s">
        <v>2813</v>
      </c>
      <c r="F124" s="372"/>
      <c r="G124" s="372" t="s">
        <v>2892</v>
      </c>
      <c r="H124" s="372">
        <v>2025</v>
      </c>
      <c r="I124" s="372" t="s">
        <v>2922</v>
      </c>
      <c r="J124" s="372" t="s">
        <v>2816</v>
      </c>
      <c r="K124" s="372" t="s">
        <v>2925</v>
      </c>
      <c r="L124" s="372">
        <v>23.01</v>
      </c>
      <c r="M124" s="372"/>
      <c r="N124" s="372">
        <v>1</v>
      </c>
      <c r="O124" s="372">
        <v>8</v>
      </c>
      <c r="P124" s="372">
        <v>161.1</v>
      </c>
      <c r="Q124" s="372">
        <v>23.01</v>
      </c>
      <c r="R124" s="372"/>
      <c r="S124" s="372"/>
      <c r="T124" s="372"/>
      <c r="U124" s="372"/>
      <c r="V124" s="372"/>
      <c r="W124" s="372"/>
      <c r="X124" s="372">
        <v>944.17700000000002</v>
      </c>
      <c r="Y124" s="372">
        <v>1023.9450000000001</v>
      </c>
    </row>
    <row r="125" spans="1:25" x14ac:dyDescent="0.2">
      <c r="A125" s="372" t="s">
        <v>2895</v>
      </c>
      <c r="B125" s="372" t="s">
        <v>2896</v>
      </c>
      <c r="C125" s="372" t="s">
        <v>2849</v>
      </c>
      <c r="D125" s="372"/>
      <c r="E125" s="372" t="s">
        <v>2813</v>
      </c>
      <c r="F125" s="372"/>
      <c r="G125" s="372" t="s">
        <v>2890</v>
      </c>
      <c r="H125" s="372">
        <v>2025</v>
      </c>
      <c r="I125" s="372" t="s">
        <v>2922</v>
      </c>
      <c r="J125" s="372" t="s">
        <v>2816</v>
      </c>
      <c r="K125" s="372" t="s">
        <v>2923</v>
      </c>
      <c r="L125" s="372">
        <v>4.8499999999999996</v>
      </c>
      <c r="M125" s="372"/>
      <c r="N125" s="372">
        <v>1</v>
      </c>
      <c r="O125" s="372">
        <v>8</v>
      </c>
      <c r="P125" s="372">
        <v>34</v>
      </c>
      <c r="Q125" s="372">
        <v>4.8499999999999996</v>
      </c>
      <c r="R125" s="372"/>
      <c r="S125" s="372"/>
      <c r="T125" s="372"/>
      <c r="U125" s="372"/>
      <c r="V125" s="372"/>
      <c r="W125" s="372"/>
      <c r="X125" s="372">
        <v>204.91</v>
      </c>
      <c r="Y125" s="372">
        <v>215.82499999999999</v>
      </c>
    </row>
    <row r="126" spans="1:25" x14ac:dyDescent="0.2">
      <c r="A126" s="372" t="s">
        <v>2895</v>
      </c>
      <c r="B126" s="372" t="s">
        <v>2896</v>
      </c>
      <c r="C126" s="372" t="s">
        <v>2849</v>
      </c>
      <c r="D126" s="372"/>
      <c r="E126" s="372" t="s">
        <v>2813</v>
      </c>
      <c r="F126" s="372"/>
      <c r="G126" s="372" t="s">
        <v>2891</v>
      </c>
      <c r="H126" s="372">
        <v>2025</v>
      </c>
      <c r="I126" s="372" t="s">
        <v>2922</v>
      </c>
      <c r="J126" s="372" t="s">
        <v>2816</v>
      </c>
      <c r="K126" s="372" t="s">
        <v>2924</v>
      </c>
      <c r="L126" s="372">
        <v>3.4</v>
      </c>
      <c r="M126" s="372"/>
      <c r="N126" s="372">
        <v>1</v>
      </c>
      <c r="O126" s="372">
        <v>8</v>
      </c>
      <c r="P126" s="372">
        <v>23.8</v>
      </c>
      <c r="Q126" s="372">
        <v>3.4</v>
      </c>
      <c r="R126" s="372"/>
      <c r="S126" s="372"/>
      <c r="T126" s="372"/>
      <c r="U126" s="372"/>
      <c r="V126" s="372"/>
      <c r="W126" s="372"/>
      <c r="X126" s="372">
        <v>143.65</v>
      </c>
      <c r="Y126" s="372">
        <v>151.30000000000001</v>
      </c>
    </row>
    <row r="127" spans="1:25" x14ac:dyDescent="0.2">
      <c r="A127" s="372" t="s">
        <v>2895</v>
      </c>
      <c r="B127" s="372" t="s">
        <v>2896</v>
      </c>
      <c r="C127" s="372" t="s">
        <v>2849</v>
      </c>
      <c r="D127" s="372"/>
      <c r="E127" s="372" t="s">
        <v>2813</v>
      </c>
      <c r="F127" s="372"/>
      <c r="G127" s="372" t="s">
        <v>2891</v>
      </c>
      <c r="H127" s="372">
        <v>2025</v>
      </c>
      <c r="I127" s="372" t="s">
        <v>2922</v>
      </c>
      <c r="J127" s="372" t="s">
        <v>2816</v>
      </c>
      <c r="K127" s="372" t="s">
        <v>2924</v>
      </c>
      <c r="L127" s="372">
        <v>1.78</v>
      </c>
      <c r="M127" s="372"/>
      <c r="N127" s="372">
        <v>1</v>
      </c>
      <c r="O127" s="372">
        <v>8</v>
      </c>
      <c r="P127" s="372">
        <v>12.5</v>
      </c>
      <c r="Q127" s="372">
        <v>1.78</v>
      </c>
      <c r="R127" s="372"/>
      <c r="S127" s="372"/>
      <c r="T127" s="372"/>
      <c r="U127" s="372"/>
      <c r="V127" s="372"/>
      <c r="W127" s="372"/>
      <c r="X127" s="372">
        <v>75.204999999999998</v>
      </c>
      <c r="Y127" s="372">
        <v>79.209999999999994</v>
      </c>
    </row>
    <row r="128" spans="1:25" x14ac:dyDescent="0.2">
      <c r="A128" s="372" t="s">
        <v>2895</v>
      </c>
      <c r="B128" s="372" t="s">
        <v>2896</v>
      </c>
      <c r="C128" s="372" t="s">
        <v>2849</v>
      </c>
      <c r="D128" s="372"/>
      <c r="E128" s="372" t="s">
        <v>2813</v>
      </c>
      <c r="F128" s="372"/>
      <c r="G128" s="372" t="s">
        <v>2891</v>
      </c>
      <c r="H128" s="372">
        <v>2025</v>
      </c>
      <c r="I128" s="372" t="s">
        <v>2922</v>
      </c>
      <c r="J128" s="372" t="s">
        <v>2816</v>
      </c>
      <c r="K128" s="372" t="s">
        <v>2924</v>
      </c>
      <c r="L128" s="372">
        <v>4.3499999999999996</v>
      </c>
      <c r="M128" s="372"/>
      <c r="N128" s="372">
        <v>1</v>
      </c>
      <c r="O128" s="372">
        <v>8</v>
      </c>
      <c r="P128" s="372">
        <v>30.5</v>
      </c>
      <c r="Q128" s="372">
        <v>4.3499999999999996</v>
      </c>
      <c r="R128" s="372"/>
      <c r="S128" s="372"/>
      <c r="T128" s="372"/>
      <c r="U128" s="372"/>
      <c r="V128" s="372"/>
      <c r="W128" s="372"/>
      <c r="X128" s="372">
        <v>183.78800000000001</v>
      </c>
      <c r="Y128" s="372">
        <v>193.57499999999999</v>
      </c>
    </row>
    <row r="129" spans="1:25" x14ac:dyDescent="0.2">
      <c r="A129" s="372" t="s">
        <v>2895</v>
      </c>
      <c r="B129" s="372" t="s">
        <v>2896</v>
      </c>
      <c r="C129" s="372" t="s">
        <v>2849</v>
      </c>
      <c r="D129" s="372"/>
      <c r="E129" s="372" t="s">
        <v>2813</v>
      </c>
      <c r="F129" s="372"/>
      <c r="G129" s="372" t="s">
        <v>2892</v>
      </c>
      <c r="H129" s="372">
        <v>2025</v>
      </c>
      <c r="I129" s="372" t="s">
        <v>2922</v>
      </c>
      <c r="J129" s="372" t="s">
        <v>2816</v>
      </c>
      <c r="K129" s="372" t="s">
        <v>2925</v>
      </c>
      <c r="L129" s="372">
        <v>4.3</v>
      </c>
      <c r="M129" s="372"/>
      <c r="N129" s="372">
        <v>1</v>
      </c>
      <c r="O129" s="372">
        <v>8</v>
      </c>
      <c r="P129" s="372">
        <v>30.1</v>
      </c>
      <c r="Q129" s="372">
        <v>4.3</v>
      </c>
      <c r="R129" s="372"/>
      <c r="S129" s="372"/>
      <c r="T129" s="372"/>
      <c r="U129" s="372"/>
      <c r="V129" s="372"/>
      <c r="W129" s="372"/>
      <c r="X129" s="372">
        <v>181.67500000000001</v>
      </c>
      <c r="Y129" s="372">
        <v>191.35</v>
      </c>
    </row>
    <row r="130" spans="1:25" x14ac:dyDescent="0.2">
      <c r="A130" s="372" t="s">
        <v>2895</v>
      </c>
      <c r="B130" s="372" t="s">
        <v>2896</v>
      </c>
      <c r="C130" s="372" t="s">
        <v>2849</v>
      </c>
      <c r="D130" s="372"/>
      <c r="E130" s="372" t="s">
        <v>2813</v>
      </c>
      <c r="F130" s="372"/>
      <c r="G130" s="372" t="s">
        <v>2891</v>
      </c>
      <c r="H130" s="372">
        <v>2025</v>
      </c>
      <c r="I130" s="372" t="s">
        <v>2922</v>
      </c>
      <c r="J130" s="372" t="s">
        <v>2816</v>
      </c>
      <c r="K130" s="372" t="s">
        <v>2924</v>
      </c>
      <c r="L130" s="372">
        <v>3.35</v>
      </c>
      <c r="M130" s="372"/>
      <c r="N130" s="372">
        <v>1</v>
      </c>
      <c r="O130" s="372">
        <v>8</v>
      </c>
      <c r="P130" s="372">
        <v>23.5</v>
      </c>
      <c r="Q130" s="372">
        <v>3.35</v>
      </c>
      <c r="R130" s="372"/>
      <c r="S130" s="372"/>
      <c r="T130" s="372"/>
      <c r="U130" s="372"/>
      <c r="V130" s="372"/>
      <c r="W130" s="372"/>
      <c r="X130" s="372">
        <v>141.53800000000001</v>
      </c>
      <c r="Y130" s="372">
        <v>149.07499999999999</v>
      </c>
    </row>
    <row r="131" spans="1:25" x14ac:dyDescent="0.2">
      <c r="A131" s="372" t="s">
        <v>2895</v>
      </c>
      <c r="B131" s="372" t="s">
        <v>2896</v>
      </c>
      <c r="C131" s="372" t="s">
        <v>2849</v>
      </c>
      <c r="D131" s="372"/>
      <c r="E131" s="372" t="s">
        <v>2813</v>
      </c>
      <c r="F131" s="372"/>
      <c r="G131" s="372" t="s">
        <v>2892</v>
      </c>
      <c r="H131" s="372">
        <v>2025</v>
      </c>
      <c r="I131" s="372" t="s">
        <v>2922</v>
      </c>
      <c r="J131" s="372" t="s">
        <v>2816</v>
      </c>
      <c r="K131" s="372" t="s">
        <v>2925</v>
      </c>
      <c r="L131" s="372">
        <v>8.4499999999999993</v>
      </c>
      <c r="M131" s="372"/>
      <c r="N131" s="372">
        <v>1</v>
      </c>
      <c r="O131" s="372">
        <v>8</v>
      </c>
      <c r="P131" s="372">
        <v>59.2</v>
      </c>
      <c r="Q131" s="372">
        <v>8.4499999999999993</v>
      </c>
      <c r="R131" s="372"/>
      <c r="S131" s="372"/>
      <c r="T131" s="372"/>
      <c r="U131" s="372"/>
      <c r="V131" s="372"/>
      <c r="W131" s="372"/>
      <c r="X131" s="372">
        <v>357.01299999999998</v>
      </c>
      <c r="Y131" s="372">
        <v>376.02499999999998</v>
      </c>
    </row>
    <row r="132" spans="1:25" x14ac:dyDescent="0.2">
      <c r="A132" s="372" t="s">
        <v>2895</v>
      </c>
      <c r="B132" s="372" t="s">
        <v>2896</v>
      </c>
      <c r="C132" s="372" t="s">
        <v>2849</v>
      </c>
      <c r="D132" s="372"/>
      <c r="E132" s="372" t="s">
        <v>2813</v>
      </c>
      <c r="F132" s="372"/>
      <c r="G132" s="372" t="s">
        <v>2892</v>
      </c>
      <c r="H132" s="372">
        <v>2025</v>
      </c>
      <c r="I132" s="372" t="s">
        <v>2922</v>
      </c>
      <c r="J132" s="372" t="s">
        <v>2816</v>
      </c>
      <c r="K132" s="372" t="s">
        <v>2925</v>
      </c>
      <c r="L132" s="372">
        <v>3.2</v>
      </c>
      <c r="M132" s="372"/>
      <c r="N132" s="372">
        <v>1</v>
      </c>
      <c r="O132" s="372">
        <v>8</v>
      </c>
      <c r="P132" s="372">
        <v>22.4</v>
      </c>
      <c r="Q132" s="372">
        <v>3.2</v>
      </c>
      <c r="R132" s="372"/>
      <c r="S132" s="372"/>
      <c r="T132" s="372"/>
      <c r="U132" s="372"/>
      <c r="V132" s="372"/>
      <c r="W132" s="372"/>
      <c r="X132" s="372">
        <v>135.19999999999999</v>
      </c>
      <c r="Y132" s="372">
        <v>142.4</v>
      </c>
    </row>
    <row r="133" spans="1:25" x14ac:dyDescent="0.2">
      <c r="A133" s="372" t="s">
        <v>2895</v>
      </c>
      <c r="B133" s="372" t="s">
        <v>2896</v>
      </c>
      <c r="C133" s="372" t="s">
        <v>2849</v>
      </c>
      <c r="D133" s="372"/>
      <c r="E133" s="372" t="s">
        <v>2813</v>
      </c>
      <c r="F133" s="372"/>
      <c r="G133" s="372" t="s">
        <v>2892</v>
      </c>
      <c r="H133" s="372">
        <v>2025</v>
      </c>
      <c r="I133" s="372" t="s">
        <v>2922</v>
      </c>
      <c r="J133" s="372" t="s">
        <v>2816</v>
      </c>
      <c r="K133" s="372" t="s">
        <v>2925</v>
      </c>
      <c r="L133" s="372">
        <v>3.33</v>
      </c>
      <c r="M133" s="372"/>
      <c r="N133" s="372">
        <v>1</v>
      </c>
      <c r="O133" s="372">
        <v>8</v>
      </c>
      <c r="P133" s="372">
        <v>23.3</v>
      </c>
      <c r="Q133" s="372">
        <v>3.33</v>
      </c>
      <c r="R133" s="372"/>
      <c r="S133" s="372"/>
      <c r="T133" s="372"/>
      <c r="U133" s="372"/>
      <c r="V133" s="372"/>
      <c r="W133" s="372"/>
      <c r="X133" s="372">
        <v>140.69300000000001</v>
      </c>
      <c r="Y133" s="372">
        <v>148.185</v>
      </c>
    </row>
    <row r="134" spans="1:25" x14ac:dyDescent="0.2">
      <c r="A134" s="372" t="s">
        <v>2895</v>
      </c>
      <c r="B134" s="372" t="s">
        <v>2896</v>
      </c>
      <c r="C134" s="372" t="s">
        <v>2849</v>
      </c>
      <c r="D134" s="372"/>
      <c r="E134" s="372" t="s">
        <v>2813</v>
      </c>
      <c r="F134" s="372"/>
      <c r="G134" s="372" t="s">
        <v>2892</v>
      </c>
      <c r="H134" s="372">
        <v>2025</v>
      </c>
      <c r="I134" s="372" t="s">
        <v>2922</v>
      </c>
      <c r="J134" s="372" t="s">
        <v>2816</v>
      </c>
      <c r="K134" s="372" t="s">
        <v>2925</v>
      </c>
      <c r="L134" s="372">
        <v>30.99</v>
      </c>
      <c r="M134" s="372"/>
      <c r="N134" s="372">
        <v>1</v>
      </c>
      <c r="O134" s="372">
        <v>8</v>
      </c>
      <c r="P134" s="372">
        <v>216.9</v>
      </c>
      <c r="Q134" s="372">
        <v>30.99</v>
      </c>
      <c r="R134" s="372"/>
      <c r="S134" s="372"/>
      <c r="T134" s="372"/>
      <c r="U134" s="372"/>
      <c r="V134" s="372"/>
      <c r="W134" s="372"/>
      <c r="X134" s="372">
        <v>1309.328</v>
      </c>
      <c r="Y134" s="372">
        <v>1379.0550000000001</v>
      </c>
    </row>
    <row r="135" spans="1:25" x14ac:dyDescent="0.2">
      <c r="A135" s="372" t="s">
        <v>2897</v>
      </c>
      <c r="B135" s="372" t="s">
        <v>2869</v>
      </c>
      <c r="C135" s="372" t="s">
        <v>2812</v>
      </c>
      <c r="D135" s="372"/>
      <c r="E135" s="372" t="s">
        <v>2813</v>
      </c>
      <c r="F135" s="372"/>
      <c r="G135" s="372" t="s">
        <v>2898</v>
      </c>
      <c r="H135" s="372">
        <v>2025</v>
      </c>
      <c r="I135" s="372" t="s">
        <v>2926</v>
      </c>
      <c r="J135" s="372" t="s">
        <v>2816</v>
      </c>
      <c r="K135" s="372" t="s">
        <v>2927</v>
      </c>
      <c r="L135" s="372">
        <v>4.5999999999999996</v>
      </c>
      <c r="M135" s="372"/>
      <c r="N135" s="372">
        <v>1</v>
      </c>
      <c r="O135" s="372">
        <v>8</v>
      </c>
      <c r="P135" s="372">
        <v>32.200000000000003</v>
      </c>
      <c r="Q135" s="372">
        <v>4.5999999999999996</v>
      </c>
      <c r="R135" s="372"/>
      <c r="S135" s="372"/>
      <c r="T135" s="372"/>
      <c r="U135" s="372"/>
      <c r="V135" s="372"/>
      <c r="W135" s="372"/>
      <c r="X135" s="372">
        <v>297.85000000000002</v>
      </c>
      <c r="Y135" s="372">
        <v>176.64</v>
      </c>
    </row>
    <row r="136" spans="1:25" x14ac:dyDescent="0.2">
      <c r="A136" s="372" t="s">
        <v>2897</v>
      </c>
      <c r="B136" s="372" t="s">
        <v>2869</v>
      </c>
      <c r="C136" s="372" t="s">
        <v>2812</v>
      </c>
      <c r="D136" s="372"/>
      <c r="E136" s="372" t="s">
        <v>2813</v>
      </c>
      <c r="F136" s="372"/>
      <c r="G136" s="372" t="s">
        <v>2898</v>
      </c>
      <c r="H136" s="372">
        <v>2025</v>
      </c>
      <c r="I136" s="372" t="s">
        <v>2926</v>
      </c>
      <c r="J136" s="372" t="s">
        <v>2816</v>
      </c>
      <c r="K136" s="372" t="s">
        <v>2927</v>
      </c>
      <c r="L136" s="372">
        <v>4.4000000000000004</v>
      </c>
      <c r="M136" s="372"/>
      <c r="N136" s="372">
        <v>1</v>
      </c>
      <c r="O136" s="372">
        <v>8</v>
      </c>
      <c r="P136" s="372">
        <v>30.8</v>
      </c>
      <c r="Q136" s="372">
        <v>4.4000000000000004</v>
      </c>
      <c r="R136" s="372"/>
      <c r="S136" s="372"/>
      <c r="T136" s="372"/>
      <c r="U136" s="372"/>
      <c r="V136" s="372"/>
      <c r="W136" s="372"/>
      <c r="X136" s="372">
        <v>284.89999999999998</v>
      </c>
      <c r="Y136" s="372">
        <v>168.96</v>
      </c>
    </row>
    <row r="137" spans="1:25" x14ac:dyDescent="0.2">
      <c r="A137" s="372" t="s">
        <v>2897</v>
      </c>
      <c r="B137" s="372" t="s">
        <v>2869</v>
      </c>
      <c r="C137" s="372" t="s">
        <v>2812</v>
      </c>
      <c r="D137" s="372"/>
      <c r="E137" s="372" t="s">
        <v>2813</v>
      </c>
      <c r="F137" s="372"/>
      <c r="G137" s="372" t="s">
        <v>2898</v>
      </c>
      <c r="H137" s="372">
        <v>2025</v>
      </c>
      <c r="I137" s="372" t="s">
        <v>2926</v>
      </c>
      <c r="J137" s="372" t="s">
        <v>2816</v>
      </c>
      <c r="K137" s="372" t="s">
        <v>2927</v>
      </c>
      <c r="L137" s="372">
        <v>1.7</v>
      </c>
      <c r="M137" s="372"/>
      <c r="N137" s="372">
        <v>1</v>
      </c>
      <c r="O137" s="372">
        <v>8</v>
      </c>
      <c r="P137" s="372">
        <v>11.9</v>
      </c>
      <c r="Q137" s="372">
        <v>1.7</v>
      </c>
      <c r="R137" s="372"/>
      <c r="S137" s="372"/>
      <c r="T137" s="372"/>
      <c r="U137" s="372"/>
      <c r="V137" s="372"/>
      <c r="W137" s="372"/>
      <c r="X137" s="372">
        <v>110.075</v>
      </c>
      <c r="Y137" s="372">
        <v>65.28</v>
      </c>
    </row>
    <row r="138" spans="1:25" x14ac:dyDescent="0.2">
      <c r="A138" s="372" t="s">
        <v>2897</v>
      </c>
      <c r="B138" s="372" t="s">
        <v>2869</v>
      </c>
      <c r="C138" s="372" t="s">
        <v>2812</v>
      </c>
      <c r="D138" s="372"/>
      <c r="E138" s="372" t="s">
        <v>2813</v>
      </c>
      <c r="F138" s="372"/>
      <c r="G138" s="372" t="s">
        <v>2898</v>
      </c>
      <c r="H138" s="372">
        <v>2025</v>
      </c>
      <c r="I138" s="372" t="s">
        <v>2926</v>
      </c>
      <c r="J138" s="372" t="s">
        <v>2816</v>
      </c>
      <c r="K138" s="372" t="s">
        <v>2927</v>
      </c>
      <c r="L138" s="372">
        <v>9.3000000000000007</v>
      </c>
      <c r="M138" s="372"/>
      <c r="N138" s="372">
        <v>1</v>
      </c>
      <c r="O138" s="372">
        <v>8</v>
      </c>
      <c r="P138" s="372">
        <v>65.099999999999994</v>
      </c>
      <c r="Q138" s="372">
        <v>9.3000000000000007</v>
      </c>
      <c r="R138" s="372"/>
      <c r="S138" s="372"/>
      <c r="T138" s="372"/>
      <c r="U138" s="372"/>
      <c r="V138" s="372"/>
      <c r="W138" s="372"/>
      <c r="X138" s="372">
        <v>602.17499999999995</v>
      </c>
      <c r="Y138" s="372">
        <v>357.12</v>
      </c>
    </row>
    <row r="139" spans="1:25" x14ac:dyDescent="0.2">
      <c r="A139" s="372" t="s">
        <v>2899</v>
      </c>
      <c r="B139" s="372" t="s">
        <v>2858</v>
      </c>
      <c r="C139" s="372" t="s">
        <v>2819</v>
      </c>
      <c r="D139" s="372"/>
      <c r="E139" s="372" t="s">
        <v>2813</v>
      </c>
      <c r="F139" s="372"/>
      <c r="G139" s="372" t="s">
        <v>2898</v>
      </c>
      <c r="H139" s="372">
        <v>2025</v>
      </c>
      <c r="I139" s="372" t="s">
        <v>2926</v>
      </c>
      <c r="J139" s="372" t="s">
        <v>2816</v>
      </c>
      <c r="K139" s="372" t="s">
        <v>2927</v>
      </c>
      <c r="L139" s="372">
        <v>19</v>
      </c>
      <c r="M139" s="372"/>
      <c r="N139" s="372">
        <v>1</v>
      </c>
      <c r="O139" s="372">
        <v>8</v>
      </c>
      <c r="P139" s="372">
        <v>133</v>
      </c>
      <c r="Q139" s="372">
        <v>19</v>
      </c>
      <c r="R139" s="372"/>
      <c r="S139" s="372"/>
      <c r="T139" s="372"/>
      <c r="U139" s="372"/>
      <c r="V139" s="372"/>
      <c r="W139" s="372"/>
      <c r="X139" s="372">
        <v>1230.25</v>
      </c>
      <c r="Y139" s="372">
        <v>729.6</v>
      </c>
    </row>
    <row r="140" spans="1:25" x14ac:dyDescent="0.2">
      <c r="A140" s="372" t="s">
        <v>2899</v>
      </c>
      <c r="B140" s="372" t="s">
        <v>2858</v>
      </c>
      <c r="C140" s="372" t="s">
        <v>2819</v>
      </c>
      <c r="D140" s="372"/>
      <c r="E140" s="372" t="s">
        <v>2813</v>
      </c>
      <c r="F140" s="372"/>
      <c r="G140" s="372" t="s">
        <v>2900</v>
      </c>
      <c r="H140" s="372">
        <v>2025</v>
      </c>
      <c r="I140" s="372" t="s">
        <v>2926</v>
      </c>
      <c r="J140" s="372" t="s">
        <v>2816</v>
      </c>
      <c r="K140" s="372" t="s">
        <v>2928</v>
      </c>
      <c r="L140" s="372">
        <v>0.4</v>
      </c>
      <c r="M140" s="372"/>
      <c r="N140" s="372">
        <v>1</v>
      </c>
      <c r="O140" s="372">
        <v>8</v>
      </c>
      <c r="P140" s="372">
        <v>2.8</v>
      </c>
      <c r="Q140" s="372">
        <v>0.4</v>
      </c>
      <c r="R140" s="372"/>
      <c r="S140" s="372"/>
      <c r="T140" s="372"/>
      <c r="U140" s="372"/>
      <c r="V140" s="372"/>
      <c r="W140" s="372"/>
      <c r="X140" s="372">
        <v>25.9</v>
      </c>
      <c r="Y140" s="372">
        <v>15.36</v>
      </c>
    </row>
    <row r="141" spans="1:25" x14ac:dyDescent="0.2">
      <c r="A141" s="372" t="s">
        <v>2899</v>
      </c>
      <c r="B141" s="372" t="s">
        <v>2858</v>
      </c>
      <c r="C141" s="372" t="s">
        <v>2819</v>
      </c>
      <c r="D141" s="372"/>
      <c r="E141" s="372" t="s">
        <v>2813</v>
      </c>
      <c r="F141" s="372"/>
      <c r="G141" s="372" t="s">
        <v>2900</v>
      </c>
      <c r="H141" s="372">
        <v>2025</v>
      </c>
      <c r="I141" s="372" t="s">
        <v>2926</v>
      </c>
      <c r="J141" s="372" t="s">
        <v>2816</v>
      </c>
      <c r="K141" s="372" t="s">
        <v>2928</v>
      </c>
      <c r="L141" s="372">
        <v>0.6</v>
      </c>
      <c r="M141" s="372"/>
      <c r="N141" s="372">
        <v>1</v>
      </c>
      <c r="O141" s="372">
        <v>8</v>
      </c>
      <c r="P141" s="372">
        <v>4.2</v>
      </c>
      <c r="Q141" s="372">
        <v>0.6</v>
      </c>
      <c r="R141" s="372"/>
      <c r="S141" s="372"/>
      <c r="T141" s="372"/>
      <c r="U141" s="372"/>
      <c r="V141" s="372"/>
      <c r="W141" s="372"/>
      <c r="X141" s="372">
        <v>38.85</v>
      </c>
      <c r="Y141" s="372">
        <v>23.04</v>
      </c>
    </row>
    <row r="142" spans="1:25" x14ac:dyDescent="0.2">
      <c r="A142" s="372" t="s">
        <v>2901</v>
      </c>
      <c r="B142" s="372" t="s">
        <v>2872</v>
      </c>
      <c r="C142" s="372" t="s">
        <v>2825</v>
      </c>
      <c r="D142" s="372"/>
      <c r="E142" s="372" t="s">
        <v>2813</v>
      </c>
      <c r="F142" s="372"/>
      <c r="G142" s="372" t="s">
        <v>2900</v>
      </c>
      <c r="H142" s="372">
        <v>2025</v>
      </c>
      <c r="I142" s="372" t="s">
        <v>2926</v>
      </c>
      <c r="J142" s="372" t="s">
        <v>2816</v>
      </c>
      <c r="K142" s="372" t="s">
        <v>2928</v>
      </c>
      <c r="L142" s="372">
        <v>5.7</v>
      </c>
      <c r="M142" s="372"/>
      <c r="N142" s="372">
        <v>1</v>
      </c>
      <c r="O142" s="372">
        <v>8</v>
      </c>
      <c r="P142" s="372">
        <v>39.9</v>
      </c>
      <c r="Q142" s="372">
        <v>5.7</v>
      </c>
      <c r="R142" s="372"/>
      <c r="S142" s="372"/>
      <c r="T142" s="372"/>
      <c r="U142" s="372"/>
      <c r="V142" s="372"/>
      <c r="W142" s="372"/>
      <c r="X142" s="372">
        <v>369.07499999999999</v>
      </c>
      <c r="Y142" s="372">
        <v>218.88</v>
      </c>
    </row>
    <row r="143" spans="1:25" x14ac:dyDescent="0.2">
      <c r="A143" s="372" t="s">
        <v>2901</v>
      </c>
      <c r="B143" s="372" t="s">
        <v>2872</v>
      </c>
      <c r="C143" s="372" t="s">
        <v>2825</v>
      </c>
      <c r="D143" s="372"/>
      <c r="E143" s="372" t="s">
        <v>2813</v>
      </c>
      <c r="F143" s="372"/>
      <c r="G143" s="372" t="s">
        <v>2900</v>
      </c>
      <c r="H143" s="372">
        <v>2025</v>
      </c>
      <c r="I143" s="372" t="s">
        <v>2926</v>
      </c>
      <c r="J143" s="372" t="s">
        <v>2816</v>
      </c>
      <c r="K143" s="372" t="s">
        <v>2928</v>
      </c>
      <c r="L143" s="372">
        <v>14.3</v>
      </c>
      <c r="M143" s="372"/>
      <c r="N143" s="372">
        <v>1</v>
      </c>
      <c r="O143" s="372">
        <v>8</v>
      </c>
      <c r="P143" s="372">
        <v>100.1</v>
      </c>
      <c r="Q143" s="372">
        <v>14.3</v>
      </c>
      <c r="R143" s="372"/>
      <c r="S143" s="372"/>
      <c r="T143" s="372"/>
      <c r="U143" s="372"/>
      <c r="V143" s="372"/>
      <c r="W143" s="372"/>
      <c r="X143" s="372">
        <v>925.92499999999995</v>
      </c>
      <c r="Y143" s="372">
        <v>549.12</v>
      </c>
    </row>
    <row r="144" spans="1:25" x14ac:dyDescent="0.2">
      <c r="A144" s="372" t="s">
        <v>2902</v>
      </c>
      <c r="B144" s="372" t="s">
        <v>2844</v>
      </c>
      <c r="C144" s="372" t="s">
        <v>2845</v>
      </c>
      <c r="D144" s="372"/>
      <c r="E144" s="372" t="s">
        <v>2813</v>
      </c>
      <c r="F144" s="372"/>
      <c r="G144" s="372" t="s">
        <v>2900</v>
      </c>
      <c r="H144" s="372">
        <v>2025</v>
      </c>
      <c r="I144" s="372" t="s">
        <v>2926</v>
      </c>
      <c r="J144" s="372" t="s">
        <v>2816</v>
      </c>
      <c r="K144" s="372" t="s">
        <v>2928</v>
      </c>
      <c r="L144" s="372">
        <v>1.2</v>
      </c>
      <c r="M144" s="372"/>
      <c r="N144" s="372">
        <v>1</v>
      </c>
      <c r="O144" s="372">
        <v>8</v>
      </c>
      <c r="P144" s="372">
        <v>8.4</v>
      </c>
      <c r="Q144" s="372">
        <v>1.2</v>
      </c>
      <c r="R144" s="372"/>
      <c r="S144" s="372"/>
      <c r="T144" s="372"/>
      <c r="U144" s="372"/>
      <c r="V144" s="372"/>
      <c r="W144" s="372"/>
      <c r="X144" s="372">
        <v>77.063000000000002</v>
      </c>
      <c r="Y144" s="372">
        <v>46.08</v>
      </c>
    </row>
    <row r="145" spans="1:25" x14ac:dyDescent="0.2">
      <c r="A145" s="372" t="s">
        <v>2902</v>
      </c>
      <c r="B145" s="372" t="s">
        <v>2844</v>
      </c>
      <c r="C145" s="372" t="s">
        <v>2845</v>
      </c>
      <c r="D145" s="372"/>
      <c r="E145" s="372" t="s">
        <v>2813</v>
      </c>
      <c r="F145" s="372"/>
      <c r="G145" s="372" t="s">
        <v>2900</v>
      </c>
      <c r="H145" s="372">
        <v>2025</v>
      </c>
      <c r="I145" s="372" t="s">
        <v>2926</v>
      </c>
      <c r="J145" s="372" t="s">
        <v>2816</v>
      </c>
      <c r="K145" s="372" t="s">
        <v>2928</v>
      </c>
      <c r="L145" s="372">
        <v>18.8</v>
      </c>
      <c r="M145" s="372"/>
      <c r="N145" s="372">
        <v>1</v>
      </c>
      <c r="O145" s="372">
        <v>8</v>
      </c>
      <c r="P145" s="372">
        <v>131.6</v>
      </c>
      <c r="Q145" s="372">
        <v>18.8</v>
      </c>
      <c r="R145" s="372"/>
      <c r="S145" s="372"/>
      <c r="T145" s="372"/>
      <c r="U145" s="372"/>
      <c r="V145" s="372"/>
      <c r="W145" s="372"/>
      <c r="X145" s="372">
        <v>1207.327</v>
      </c>
      <c r="Y145" s="372">
        <v>721.92</v>
      </c>
    </row>
    <row r="146" spans="1:25" x14ac:dyDescent="0.2">
      <c r="A146" s="372" t="s">
        <v>2902</v>
      </c>
      <c r="B146" s="372" t="s">
        <v>2844</v>
      </c>
      <c r="C146" s="372" t="s">
        <v>2845</v>
      </c>
      <c r="D146" s="372"/>
      <c r="E146" s="372" t="s">
        <v>2813</v>
      </c>
      <c r="F146" s="372"/>
      <c r="G146" s="372" t="s">
        <v>2903</v>
      </c>
      <c r="H146" s="372">
        <v>2025</v>
      </c>
      <c r="I146" s="372" t="s">
        <v>2926</v>
      </c>
      <c r="J146" s="372" t="s">
        <v>2816</v>
      </c>
      <c r="K146" s="372" t="s">
        <v>2929</v>
      </c>
      <c r="L146" s="372">
        <v>6</v>
      </c>
      <c r="M146" s="372"/>
      <c r="N146" s="372">
        <v>1</v>
      </c>
      <c r="O146" s="372">
        <v>8</v>
      </c>
      <c r="P146" s="372">
        <v>42</v>
      </c>
      <c r="Q146" s="372">
        <v>6</v>
      </c>
      <c r="R146" s="372"/>
      <c r="S146" s="372"/>
      <c r="T146" s="372"/>
      <c r="U146" s="372"/>
      <c r="V146" s="372"/>
      <c r="W146" s="372"/>
      <c r="X146" s="372">
        <v>385.31700000000001</v>
      </c>
      <c r="Y146" s="372">
        <v>230.4</v>
      </c>
    </row>
    <row r="147" spans="1:25" x14ac:dyDescent="0.2">
      <c r="A147" s="372" t="s">
        <v>2902</v>
      </c>
      <c r="B147" s="372" t="s">
        <v>2844</v>
      </c>
      <c r="C147" s="372" t="s">
        <v>2845</v>
      </c>
      <c r="D147" s="372"/>
      <c r="E147" s="372" t="s">
        <v>2813</v>
      </c>
      <c r="F147" s="372"/>
      <c r="G147" s="372" t="s">
        <v>2903</v>
      </c>
      <c r="H147" s="372">
        <v>2025</v>
      </c>
      <c r="I147" s="372" t="s">
        <v>2926</v>
      </c>
      <c r="J147" s="372" t="s">
        <v>2816</v>
      </c>
      <c r="K147" s="372" t="s">
        <v>2929</v>
      </c>
      <c r="L147" s="372">
        <v>15</v>
      </c>
      <c r="M147" s="372"/>
      <c r="N147" s="372">
        <v>1</v>
      </c>
      <c r="O147" s="372">
        <v>8</v>
      </c>
      <c r="P147" s="372">
        <v>105</v>
      </c>
      <c r="Q147" s="372">
        <v>15</v>
      </c>
      <c r="R147" s="372"/>
      <c r="S147" s="372"/>
      <c r="T147" s="372"/>
      <c r="U147" s="372"/>
      <c r="V147" s="372"/>
      <c r="W147" s="372"/>
      <c r="X147" s="372">
        <v>963.29300000000001</v>
      </c>
      <c r="Y147" s="372">
        <v>576</v>
      </c>
    </row>
    <row r="148" spans="1:25" x14ac:dyDescent="0.2">
      <c r="A148" s="372" t="s">
        <v>2904</v>
      </c>
      <c r="B148" s="372" t="s">
        <v>2844</v>
      </c>
      <c r="C148" s="372" t="s">
        <v>2845</v>
      </c>
      <c r="D148" s="372"/>
      <c r="E148" s="372" t="s">
        <v>2813</v>
      </c>
      <c r="F148" s="372"/>
      <c r="G148" s="372" t="s">
        <v>2903</v>
      </c>
      <c r="H148" s="372">
        <v>2025</v>
      </c>
      <c r="I148" s="372" t="s">
        <v>2926</v>
      </c>
      <c r="J148" s="372" t="s">
        <v>2816</v>
      </c>
      <c r="K148" s="372" t="s">
        <v>2929</v>
      </c>
      <c r="L148" s="372">
        <v>17</v>
      </c>
      <c r="M148" s="372"/>
      <c r="N148" s="372">
        <v>1</v>
      </c>
      <c r="O148" s="372">
        <v>8</v>
      </c>
      <c r="P148" s="372">
        <v>119</v>
      </c>
      <c r="Q148" s="372">
        <v>17</v>
      </c>
      <c r="R148" s="372"/>
      <c r="S148" s="372"/>
      <c r="T148" s="372"/>
      <c r="U148" s="372"/>
      <c r="V148" s="372"/>
      <c r="W148" s="372"/>
      <c r="X148" s="372">
        <v>1114</v>
      </c>
      <c r="Y148" s="372">
        <v>652.79999999999995</v>
      </c>
    </row>
    <row r="149" spans="1:25" x14ac:dyDescent="0.2">
      <c r="A149" s="372" t="s">
        <v>2905</v>
      </c>
      <c r="B149" s="372" t="s">
        <v>2869</v>
      </c>
      <c r="C149" s="372" t="s">
        <v>2812</v>
      </c>
      <c r="D149" s="372"/>
      <c r="E149" s="372" t="s">
        <v>2813</v>
      </c>
      <c r="F149" s="372"/>
      <c r="G149" s="372" t="s">
        <v>2903</v>
      </c>
      <c r="H149" s="372">
        <v>2025</v>
      </c>
      <c r="I149" s="372" t="s">
        <v>2926</v>
      </c>
      <c r="J149" s="372" t="s">
        <v>2816</v>
      </c>
      <c r="K149" s="372" t="s">
        <v>2929</v>
      </c>
      <c r="L149" s="372">
        <v>6</v>
      </c>
      <c r="M149" s="372"/>
      <c r="N149" s="372">
        <v>1</v>
      </c>
      <c r="O149" s="372">
        <v>8</v>
      </c>
      <c r="P149" s="372">
        <v>42</v>
      </c>
      <c r="Q149" s="372">
        <v>6</v>
      </c>
      <c r="R149" s="372"/>
      <c r="S149" s="372"/>
      <c r="T149" s="372"/>
      <c r="U149" s="372"/>
      <c r="V149" s="372"/>
      <c r="W149" s="372"/>
      <c r="X149" s="372">
        <v>350</v>
      </c>
      <c r="Y149" s="372">
        <v>230.4</v>
      </c>
    </row>
    <row r="150" spans="1:25" x14ac:dyDescent="0.2">
      <c r="A150" s="372" t="s">
        <v>2906</v>
      </c>
      <c r="B150" s="372" t="s">
        <v>2858</v>
      </c>
      <c r="C150" s="372" t="s">
        <v>2819</v>
      </c>
      <c r="D150" s="372"/>
      <c r="E150" s="372" t="s">
        <v>2813</v>
      </c>
      <c r="F150" s="372"/>
      <c r="G150" s="372" t="s">
        <v>2903</v>
      </c>
      <c r="H150" s="372">
        <v>2025</v>
      </c>
      <c r="I150" s="372" t="s">
        <v>2926</v>
      </c>
      <c r="J150" s="372" t="s">
        <v>2816</v>
      </c>
      <c r="K150" s="372" t="s">
        <v>2929</v>
      </c>
      <c r="L150" s="372">
        <v>7</v>
      </c>
      <c r="M150" s="372"/>
      <c r="N150" s="372">
        <v>1</v>
      </c>
      <c r="O150" s="372">
        <v>8</v>
      </c>
      <c r="P150" s="372">
        <v>49</v>
      </c>
      <c r="Q150" s="372">
        <v>7</v>
      </c>
      <c r="R150" s="372"/>
      <c r="S150" s="372"/>
      <c r="T150" s="372"/>
      <c r="U150" s="372"/>
      <c r="V150" s="372"/>
      <c r="W150" s="372"/>
      <c r="X150" s="372">
        <v>415</v>
      </c>
      <c r="Y150" s="372">
        <v>268.8</v>
      </c>
    </row>
    <row r="151" spans="1:25" x14ac:dyDescent="0.2">
      <c r="A151" s="372" t="s">
        <v>2907</v>
      </c>
      <c r="B151" s="372" t="s">
        <v>2872</v>
      </c>
      <c r="C151" s="372" t="s">
        <v>2825</v>
      </c>
      <c r="D151" s="372"/>
      <c r="E151" s="372" t="s">
        <v>2813</v>
      </c>
      <c r="F151" s="372"/>
      <c r="G151" s="372" t="s">
        <v>2903</v>
      </c>
      <c r="H151" s="372">
        <v>2025</v>
      </c>
      <c r="I151" s="372" t="s">
        <v>2926</v>
      </c>
      <c r="J151" s="372" t="s">
        <v>2816</v>
      </c>
      <c r="K151" s="372" t="s">
        <v>2929</v>
      </c>
      <c r="L151" s="372">
        <v>7</v>
      </c>
      <c r="M151" s="372"/>
      <c r="N151" s="372">
        <v>1</v>
      </c>
      <c r="O151" s="372">
        <v>8</v>
      </c>
      <c r="P151" s="372">
        <v>49</v>
      </c>
      <c r="Q151" s="372">
        <v>7</v>
      </c>
      <c r="R151" s="372"/>
      <c r="S151" s="372"/>
      <c r="T151" s="372"/>
      <c r="U151" s="372"/>
      <c r="V151" s="372"/>
      <c r="W151" s="372"/>
      <c r="X151" s="372">
        <v>450</v>
      </c>
      <c r="Y151" s="372">
        <v>268.8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414E-9C4B-4574-8677-413B1ECC0625}">
  <dimension ref="A1:AG2102"/>
  <sheetViews>
    <sheetView zoomScale="80" zoomScaleNormal="80" workbookViewId="0">
      <pane ySplit="1" topLeftCell="A1911" activePane="bottomLeft" state="frozen"/>
      <selection pane="bottomLeft" activeCell="J2108" sqref="J2108"/>
    </sheetView>
  </sheetViews>
  <sheetFormatPr defaultColWidth="8.140625" defaultRowHeight="15" outlineLevelCol="1" x14ac:dyDescent="0.25"/>
  <cols>
    <col min="1" max="1" width="38.7109375" style="24" customWidth="1"/>
    <col min="2" max="2" width="10.7109375" style="24" customWidth="1"/>
    <col min="3" max="3" width="12.5703125" style="24" customWidth="1"/>
    <col min="4" max="4" width="17.85546875" style="24" customWidth="1"/>
    <col min="5" max="5" width="18.5703125" style="24" customWidth="1"/>
    <col min="6" max="6" width="12.7109375" style="24" customWidth="1"/>
    <col min="7" max="7" width="14.42578125" style="24" customWidth="1"/>
    <col min="8" max="8" width="12.140625" style="24" customWidth="1"/>
    <col min="9" max="9" width="14.5703125" style="24" customWidth="1"/>
    <col min="10" max="10" width="9.85546875" style="24" customWidth="1"/>
    <col min="11" max="11" width="20.28515625" style="24" customWidth="1"/>
    <col min="12" max="12" width="10.28515625" style="24" customWidth="1"/>
    <col min="13" max="13" width="8.7109375" style="24" customWidth="1"/>
    <col min="14" max="15" width="12.7109375" style="24" customWidth="1"/>
    <col min="16" max="16" width="11" style="24" customWidth="1"/>
    <col min="17" max="18" width="9.85546875" customWidth="1"/>
    <col min="19" max="19" width="12.140625" style="34" customWidth="1"/>
    <col min="20" max="20" width="9" customWidth="1"/>
    <col min="21" max="21" width="7.140625" style="397" customWidth="1"/>
    <col min="22" max="23" width="8.140625" customWidth="1"/>
    <col min="24" max="24" width="11.28515625" customWidth="1"/>
    <col min="25" max="25" width="11" customWidth="1"/>
    <col min="27" max="27" width="8.140625" customWidth="1"/>
    <col min="28" max="29" width="8.140625" hidden="1" customWidth="1" outlineLevel="1"/>
    <col min="30" max="30" width="23.5703125" style="460" hidden="1" customWidth="1" outlineLevel="1"/>
    <col min="31" max="31" width="8.140625" hidden="1" customWidth="1" outlineLevel="1"/>
    <col min="32" max="32" width="26.5703125" hidden="1" customWidth="1" outlineLevel="1"/>
    <col min="33" max="33" width="8.140625" collapsed="1"/>
  </cols>
  <sheetData>
    <row r="1" spans="1:32" s="396" customFormat="1" ht="69.599999999999994" customHeight="1" x14ac:dyDescent="0.2">
      <c r="A1" s="393" t="s">
        <v>66</v>
      </c>
      <c r="B1" s="393" t="s">
        <v>71</v>
      </c>
      <c r="C1" s="393" t="s">
        <v>67</v>
      </c>
      <c r="D1" s="393" t="s">
        <v>68</v>
      </c>
      <c r="E1" s="393" t="s">
        <v>9</v>
      </c>
      <c r="F1" s="393" t="s">
        <v>69</v>
      </c>
      <c r="G1" s="393" t="s">
        <v>70</v>
      </c>
      <c r="H1" s="393" t="s">
        <v>11</v>
      </c>
      <c r="I1" s="398" t="s">
        <v>173</v>
      </c>
      <c r="J1" s="393" t="s">
        <v>12</v>
      </c>
      <c r="K1" s="393" t="s">
        <v>72</v>
      </c>
      <c r="L1" s="393" t="s">
        <v>73</v>
      </c>
      <c r="M1" s="393" t="s">
        <v>74</v>
      </c>
      <c r="N1" s="393" t="s">
        <v>75</v>
      </c>
      <c r="O1" s="393" t="s">
        <v>76</v>
      </c>
      <c r="P1" s="393" t="s">
        <v>37</v>
      </c>
      <c r="Q1" s="393" t="s">
        <v>2415</v>
      </c>
      <c r="R1" s="393" t="s">
        <v>3013</v>
      </c>
      <c r="S1" s="394" t="s">
        <v>1058</v>
      </c>
      <c r="T1" s="393" t="s">
        <v>2773</v>
      </c>
      <c r="U1" s="395" t="s">
        <v>2774</v>
      </c>
      <c r="V1" s="393" t="s">
        <v>2775</v>
      </c>
      <c r="W1" s="393" t="s">
        <v>2776</v>
      </c>
      <c r="X1" s="393" t="s">
        <v>1566</v>
      </c>
      <c r="Y1" s="393" t="s">
        <v>2781</v>
      </c>
      <c r="Z1" s="393" t="s">
        <v>3351</v>
      </c>
      <c r="AB1" s="396" t="s">
        <v>837</v>
      </c>
      <c r="AD1" s="458" t="s">
        <v>173</v>
      </c>
      <c r="AE1" s="396" t="s">
        <v>1626</v>
      </c>
      <c r="AF1" s="396" t="s">
        <v>83</v>
      </c>
    </row>
    <row r="2" spans="1:32" s="325" customFormat="1" ht="15.6" hidden="1" customHeight="1" x14ac:dyDescent="0.2">
      <c r="A2" s="360" t="s">
        <v>1786</v>
      </c>
      <c r="B2" s="360" t="s">
        <v>511</v>
      </c>
      <c r="C2" s="361">
        <v>82</v>
      </c>
      <c r="D2" s="362">
        <v>63303</v>
      </c>
      <c r="E2" s="360" t="s">
        <v>1787</v>
      </c>
      <c r="F2" s="360" t="s">
        <v>1788</v>
      </c>
      <c r="G2" s="360" t="s">
        <v>131</v>
      </c>
      <c r="H2" s="360" t="s">
        <v>1789</v>
      </c>
      <c r="I2" s="360" t="e">
        <f>VLOOKUP(Таблица18[[#This Row],[Номер акта]],$AB$1:$AF$1833,3,FALSE)</f>
        <v>#N/A</v>
      </c>
      <c r="J2" s="360" t="s">
        <v>21</v>
      </c>
      <c r="K2" s="360" t="s">
        <v>82</v>
      </c>
      <c r="L2" s="363">
        <v>14040</v>
      </c>
      <c r="M2" s="363">
        <v>9670</v>
      </c>
      <c r="N2" s="364">
        <v>7.5</v>
      </c>
      <c r="O2" s="363">
        <v>4370</v>
      </c>
      <c r="P2" s="363">
        <v>4042.2</v>
      </c>
      <c r="Q2" s="121">
        <v>2023</v>
      </c>
      <c r="R2" s="121"/>
      <c r="S2" s="148">
        <v>45072</v>
      </c>
      <c r="T2" s="363">
        <f>Таблица18[[#This Row],[Вес нетто]]-Таблица18[[#This Row],[Зачетный вес]]</f>
        <v>327.80000000000018</v>
      </c>
      <c r="U2" s="365">
        <f>Таблица18[[#This Row],[Отход]]/Таблица18[[#This Row],[Вес нетто]]</f>
        <v>7.5011441647597293E-2</v>
      </c>
      <c r="V2" s="121">
        <f>MONTH(Таблица18[[#This Row],[Дата акта]])</f>
        <v>5</v>
      </c>
      <c r="W2" s="121">
        <v>26</v>
      </c>
      <c r="X2" s="148">
        <f>DATE(1900,Таблица18[[#This Row],[Месяц]],Таблица18[[#This Row],[Число]])</f>
        <v>147</v>
      </c>
      <c r="Y2" s="121"/>
      <c r="Z2" s="121" t="str">
        <f>Таблица18[[#This Row],[Хар-ка]]</f>
        <v>высший</v>
      </c>
      <c r="AD2" s="459"/>
      <c r="AE2" s="391"/>
    </row>
    <row r="3" spans="1:32" s="325" customFormat="1" ht="15.6" hidden="1" customHeight="1" x14ac:dyDescent="0.2">
      <c r="A3" s="360" t="s">
        <v>1790</v>
      </c>
      <c r="B3" s="360" t="s">
        <v>511</v>
      </c>
      <c r="C3" s="361">
        <v>83</v>
      </c>
      <c r="D3" s="362">
        <v>63304</v>
      </c>
      <c r="E3" s="360" t="s">
        <v>1787</v>
      </c>
      <c r="F3" s="360" t="s">
        <v>1788</v>
      </c>
      <c r="G3" s="360" t="s">
        <v>131</v>
      </c>
      <c r="H3" s="360" t="s">
        <v>1789</v>
      </c>
      <c r="I3" s="360" t="e">
        <f>VLOOKUP(Таблица18[[#This Row],[Номер акта]],$AB$1:$AF$1833,3,FALSE)</f>
        <v>#N/A</v>
      </c>
      <c r="J3" s="360" t="s">
        <v>21</v>
      </c>
      <c r="K3" s="360" t="s">
        <v>82</v>
      </c>
      <c r="L3" s="363">
        <v>25600</v>
      </c>
      <c r="M3" s="363">
        <v>14400</v>
      </c>
      <c r="N3" s="364">
        <v>10.5</v>
      </c>
      <c r="O3" s="363">
        <v>11200</v>
      </c>
      <c r="P3" s="363">
        <v>10024</v>
      </c>
      <c r="Q3" s="121">
        <v>2023</v>
      </c>
      <c r="R3" s="121"/>
      <c r="S3" s="148">
        <v>45075</v>
      </c>
      <c r="T3" s="363">
        <f>Таблица18[[#This Row],[Вес нетто]]-Таблица18[[#This Row],[Зачетный вес]]</f>
        <v>1176</v>
      </c>
      <c r="U3" s="365">
        <f>Таблица18[[#This Row],[Отход]]/Таблица18[[#This Row],[Вес нетто]]</f>
        <v>0.105</v>
      </c>
      <c r="V3" s="121">
        <f>MONTH(Таблица18[[#This Row],[Дата акта]])</f>
        <v>5</v>
      </c>
      <c r="W3" s="121">
        <v>29</v>
      </c>
      <c r="X3" s="148">
        <f>DATE(1900,Таблица18[[#This Row],[Месяц]],Таблица18[[#This Row],[Число]])</f>
        <v>150</v>
      </c>
      <c r="Y3" s="121"/>
      <c r="Z3" s="121" t="str">
        <f>Таблица18[[#This Row],[Хар-ка]]</f>
        <v>высший</v>
      </c>
      <c r="AD3" s="459"/>
      <c r="AE3" s="391"/>
    </row>
    <row r="4" spans="1:32" s="325" customFormat="1" ht="15.6" hidden="1" customHeight="1" x14ac:dyDescent="0.2">
      <c r="A4" s="360" t="s">
        <v>1791</v>
      </c>
      <c r="B4" s="360" t="s">
        <v>511</v>
      </c>
      <c r="C4" s="361">
        <v>84</v>
      </c>
      <c r="D4" s="362">
        <v>63307</v>
      </c>
      <c r="E4" s="360" t="s">
        <v>1787</v>
      </c>
      <c r="F4" s="360" t="s">
        <v>1792</v>
      </c>
      <c r="G4" s="360" t="s">
        <v>80</v>
      </c>
      <c r="H4" s="360" t="s">
        <v>1789</v>
      </c>
      <c r="I4" s="360" t="e">
        <f>VLOOKUP(Таблица18[[#This Row],[Номер акта]],$AB$1:$AF$1833,3,FALSE)</f>
        <v>#N/A</v>
      </c>
      <c r="J4" s="360" t="s">
        <v>21</v>
      </c>
      <c r="K4" s="360" t="s">
        <v>82</v>
      </c>
      <c r="L4" s="363">
        <v>25580</v>
      </c>
      <c r="M4" s="363">
        <v>14210</v>
      </c>
      <c r="N4" s="364">
        <v>16.5</v>
      </c>
      <c r="O4" s="363">
        <v>11370</v>
      </c>
      <c r="P4" s="363">
        <v>9493.9</v>
      </c>
      <c r="Q4" s="121">
        <v>2023</v>
      </c>
      <c r="R4" s="121"/>
      <c r="S4" s="148">
        <v>45075</v>
      </c>
      <c r="T4" s="363">
        <f>Таблица18[[#This Row],[Вес нетто]]-Таблица18[[#This Row],[Зачетный вес]]</f>
        <v>1876.1000000000004</v>
      </c>
      <c r="U4" s="365">
        <f>Таблица18[[#This Row],[Отход]]/Таблица18[[#This Row],[Вес нетто]]</f>
        <v>0.16500439753737911</v>
      </c>
      <c r="V4" s="121">
        <f>MONTH(Таблица18[[#This Row],[Дата акта]])</f>
        <v>5</v>
      </c>
      <c r="W4" s="121">
        <v>29</v>
      </c>
      <c r="X4" s="148">
        <f>DATE(1900,Таблица18[[#This Row],[Месяц]],Таблица18[[#This Row],[Число]])</f>
        <v>150</v>
      </c>
      <c r="Y4" s="121"/>
      <c r="Z4" s="121" t="str">
        <f>Таблица18[[#This Row],[Хар-ка]]</f>
        <v>высший</v>
      </c>
      <c r="AD4" s="459"/>
      <c r="AE4" s="391"/>
    </row>
    <row r="5" spans="1:32" s="325" customFormat="1" ht="15.6" hidden="1" customHeight="1" x14ac:dyDescent="0.2">
      <c r="A5" s="360" t="s">
        <v>1793</v>
      </c>
      <c r="B5" s="360" t="s">
        <v>511</v>
      </c>
      <c r="C5" s="361">
        <v>85</v>
      </c>
      <c r="D5" s="362">
        <v>63306</v>
      </c>
      <c r="E5" s="360" t="s">
        <v>1787</v>
      </c>
      <c r="F5" s="360" t="s">
        <v>1794</v>
      </c>
      <c r="G5" s="360" t="s">
        <v>1795</v>
      </c>
      <c r="H5" s="360" t="s">
        <v>1789</v>
      </c>
      <c r="I5" s="360" t="e">
        <f>VLOOKUP(Таблица18[[#This Row],[Номер акта]],$AB$1:$AF$1833,3,FALSE)</f>
        <v>#N/A</v>
      </c>
      <c r="J5" s="360" t="s">
        <v>21</v>
      </c>
      <c r="K5" s="360" t="s">
        <v>82</v>
      </c>
      <c r="L5" s="363">
        <v>24810</v>
      </c>
      <c r="M5" s="363">
        <v>13380</v>
      </c>
      <c r="N5" s="364">
        <v>13.5</v>
      </c>
      <c r="O5" s="363">
        <v>11430</v>
      </c>
      <c r="P5" s="363">
        <v>9886.9</v>
      </c>
      <c r="Q5" s="121">
        <v>2023</v>
      </c>
      <c r="R5" s="121"/>
      <c r="S5" s="148">
        <v>45075</v>
      </c>
      <c r="T5" s="363">
        <f>Таблица18[[#This Row],[Вес нетто]]-Таблица18[[#This Row],[Зачетный вес]]</f>
        <v>1543.1000000000004</v>
      </c>
      <c r="U5" s="365">
        <f>Таблица18[[#This Row],[Отход]]/Таблица18[[#This Row],[Вес нетто]]</f>
        <v>0.13500437445319338</v>
      </c>
      <c r="V5" s="121">
        <f>MONTH(Таблица18[[#This Row],[Дата акта]])</f>
        <v>5</v>
      </c>
      <c r="W5" s="121">
        <v>29</v>
      </c>
      <c r="X5" s="148">
        <f>DATE(1900,Таблица18[[#This Row],[Месяц]],Таблица18[[#This Row],[Число]])</f>
        <v>150</v>
      </c>
      <c r="Y5" s="121"/>
      <c r="Z5" s="121" t="str">
        <f>Таблица18[[#This Row],[Хар-ка]]</f>
        <v>высший</v>
      </c>
      <c r="AD5" s="459"/>
      <c r="AE5" s="391"/>
    </row>
    <row r="6" spans="1:32" s="325" customFormat="1" ht="15.6" hidden="1" customHeight="1" x14ac:dyDescent="0.2">
      <c r="A6" s="360" t="s">
        <v>1796</v>
      </c>
      <c r="B6" s="360" t="s">
        <v>511</v>
      </c>
      <c r="C6" s="361">
        <v>86</v>
      </c>
      <c r="D6" s="362">
        <v>63308</v>
      </c>
      <c r="E6" s="360" t="s">
        <v>1787</v>
      </c>
      <c r="F6" s="360" t="s">
        <v>311</v>
      </c>
      <c r="G6" s="360" t="s">
        <v>315</v>
      </c>
      <c r="H6" s="360" t="s">
        <v>1789</v>
      </c>
      <c r="I6" s="360" t="e">
        <f>VLOOKUP(Таблица18[[#This Row],[Номер акта]],$AB$1:$AF$1833,3,FALSE)</f>
        <v>#N/A</v>
      </c>
      <c r="J6" s="360" t="s">
        <v>21</v>
      </c>
      <c r="K6" s="360" t="s">
        <v>82</v>
      </c>
      <c r="L6" s="363">
        <v>27090</v>
      </c>
      <c r="M6" s="363">
        <v>15100</v>
      </c>
      <c r="N6" s="364">
        <v>18.5</v>
      </c>
      <c r="O6" s="363">
        <v>11990</v>
      </c>
      <c r="P6" s="363">
        <v>9771.7999999999993</v>
      </c>
      <c r="Q6" s="121">
        <v>2023</v>
      </c>
      <c r="R6" s="121"/>
      <c r="S6" s="148">
        <v>45075</v>
      </c>
      <c r="T6" s="363">
        <f>Таблица18[[#This Row],[Вес нетто]]-Таблица18[[#This Row],[Зачетный вес]]</f>
        <v>2218.2000000000007</v>
      </c>
      <c r="U6" s="365">
        <f>Таблица18[[#This Row],[Отход]]/Таблица18[[#This Row],[Вес нетто]]</f>
        <v>0.18500417014178488</v>
      </c>
      <c r="V6" s="121">
        <f>MONTH(Таблица18[[#This Row],[Дата акта]])</f>
        <v>5</v>
      </c>
      <c r="W6" s="121">
        <v>29</v>
      </c>
      <c r="X6" s="148">
        <f>DATE(1900,Таблица18[[#This Row],[Месяц]],Таблица18[[#This Row],[Число]])</f>
        <v>150</v>
      </c>
      <c r="Y6" s="121"/>
      <c r="Z6" s="121" t="str">
        <f>Таблица18[[#This Row],[Хар-ка]]</f>
        <v>высший</v>
      </c>
      <c r="AD6" s="459"/>
      <c r="AE6" s="391"/>
    </row>
    <row r="7" spans="1:32" s="325" customFormat="1" ht="15.6" hidden="1" customHeight="1" x14ac:dyDescent="0.2">
      <c r="A7" s="360" t="s">
        <v>1797</v>
      </c>
      <c r="B7" s="360" t="s">
        <v>511</v>
      </c>
      <c r="C7" s="361">
        <v>87</v>
      </c>
      <c r="D7" s="362">
        <v>63309</v>
      </c>
      <c r="E7" s="360" t="s">
        <v>1787</v>
      </c>
      <c r="F7" s="360" t="s">
        <v>1798</v>
      </c>
      <c r="G7" s="360" t="s">
        <v>1799</v>
      </c>
      <c r="H7" s="360" t="s">
        <v>1789</v>
      </c>
      <c r="I7" s="360" t="e">
        <f>VLOOKUP(Таблица18[[#This Row],[Номер акта]],$AB$1:$AF$1833,3,FALSE)</f>
        <v>#N/A</v>
      </c>
      <c r="J7" s="360" t="s">
        <v>21</v>
      </c>
      <c r="K7" s="360" t="s">
        <v>82</v>
      </c>
      <c r="L7" s="363">
        <v>27460</v>
      </c>
      <c r="M7" s="363">
        <v>15810</v>
      </c>
      <c r="N7" s="364">
        <v>14.5</v>
      </c>
      <c r="O7" s="363">
        <v>11650</v>
      </c>
      <c r="P7" s="363">
        <v>9960.7000000000007</v>
      </c>
      <c r="Q7" s="121">
        <v>2023</v>
      </c>
      <c r="R7" s="121"/>
      <c r="S7" s="148">
        <v>45075</v>
      </c>
      <c r="T7" s="363">
        <f>Таблица18[[#This Row],[Вес нетто]]-Таблица18[[#This Row],[Зачетный вес]]</f>
        <v>1689.2999999999993</v>
      </c>
      <c r="U7" s="365">
        <f>Таблица18[[#This Row],[Отход]]/Таблица18[[#This Row],[Вес нетто]]</f>
        <v>0.14500429184549349</v>
      </c>
      <c r="V7" s="121">
        <f>MONTH(Таблица18[[#This Row],[Дата акта]])</f>
        <v>5</v>
      </c>
      <c r="W7" s="121">
        <v>29</v>
      </c>
      <c r="X7" s="148">
        <f>DATE(1900,Таблица18[[#This Row],[Месяц]],Таблица18[[#This Row],[Число]])</f>
        <v>150</v>
      </c>
      <c r="Y7" s="121"/>
      <c r="Z7" s="121" t="str">
        <f>Таблица18[[#This Row],[Хар-ка]]</f>
        <v>высший</v>
      </c>
      <c r="AD7" s="459"/>
      <c r="AE7" s="391"/>
    </row>
    <row r="8" spans="1:32" s="325" customFormat="1" ht="15.6" hidden="1" customHeight="1" x14ac:dyDescent="0.2">
      <c r="A8" s="360" t="s">
        <v>1800</v>
      </c>
      <c r="B8" s="360" t="s">
        <v>511</v>
      </c>
      <c r="C8" s="361">
        <v>88</v>
      </c>
      <c r="D8" s="362">
        <v>63310</v>
      </c>
      <c r="E8" s="360" t="s">
        <v>1787</v>
      </c>
      <c r="F8" s="360" t="s">
        <v>1801</v>
      </c>
      <c r="G8" s="360" t="s">
        <v>1802</v>
      </c>
      <c r="H8" s="360" t="s">
        <v>1789</v>
      </c>
      <c r="I8" s="360" t="e">
        <f>VLOOKUP(Таблица18[[#This Row],[Номер акта]],$AB$1:$AF$1833,3,FALSE)</f>
        <v>#N/A</v>
      </c>
      <c r="J8" s="360" t="s">
        <v>21</v>
      </c>
      <c r="K8" s="360" t="s">
        <v>82</v>
      </c>
      <c r="L8" s="363">
        <v>26050</v>
      </c>
      <c r="M8" s="363">
        <v>14660</v>
      </c>
      <c r="N8" s="364">
        <v>10.5</v>
      </c>
      <c r="O8" s="363">
        <v>11390</v>
      </c>
      <c r="P8" s="363">
        <v>10194</v>
      </c>
      <c r="Q8" s="121">
        <v>2023</v>
      </c>
      <c r="R8" s="121"/>
      <c r="S8" s="148">
        <v>45075</v>
      </c>
      <c r="T8" s="363">
        <f>Таблица18[[#This Row],[Вес нетто]]-Таблица18[[#This Row],[Зачетный вес]]</f>
        <v>1196</v>
      </c>
      <c r="U8" s="365">
        <f>Таблица18[[#This Row],[Отход]]/Таблица18[[#This Row],[Вес нетто]]</f>
        <v>0.10500438981562775</v>
      </c>
      <c r="V8" s="121">
        <f>MONTH(Таблица18[[#This Row],[Дата акта]])</f>
        <v>5</v>
      </c>
      <c r="W8" s="121">
        <v>29</v>
      </c>
      <c r="X8" s="148">
        <f>DATE(1900,Таблица18[[#This Row],[Месяц]],Таблица18[[#This Row],[Число]])</f>
        <v>150</v>
      </c>
      <c r="Y8" s="121"/>
      <c r="Z8" s="121" t="str">
        <f>Таблица18[[#This Row],[Хар-ка]]</f>
        <v>высший</v>
      </c>
      <c r="AD8" s="459"/>
      <c r="AE8" s="391"/>
    </row>
    <row r="9" spans="1:32" s="325" customFormat="1" ht="15.6" hidden="1" customHeight="1" x14ac:dyDescent="0.2">
      <c r="A9" s="360" t="s">
        <v>1803</v>
      </c>
      <c r="B9" s="360" t="s">
        <v>511</v>
      </c>
      <c r="C9" s="361">
        <v>90</v>
      </c>
      <c r="D9" s="362">
        <v>63311</v>
      </c>
      <c r="E9" s="360" t="s">
        <v>1787</v>
      </c>
      <c r="F9" s="360" t="s">
        <v>1804</v>
      </c>
      <c r="G9" s="360" t="s">
        <v>536</v>
      </c>
      <c r="H9" s="360" t="s">
        <v>1789</v>
      </c>
      <c r="I9" s="360" t="e">
        <f>VLOOKUP(Таблица18[[#This Row],[Номер акта]],$AB$1:$AF$1833,3,FALSE)</f>
        <v>#N/A</v>
      </c>
      <c r="J9" s="360" t="s">
        <v>21</v>
      </c>
      <c r="K9" s="360" t="s">
        <v>82</v>
      </c>
      <c r="L9" s="363">
        <v>25730</v>
      </c>
      <c r="M9" s="363">
        <v>14550</v>
      </c>
      <c r="N9" s="364">
        <v>15.5</v>
      </c>
      <c r="O9" s="363">
        <v>11180</v>
      </c>
      <c r="P9" s="363">
        <v>9447.1</v>
      </c>
      <c r="Q9" s="121">
        <v>2023</v>
      </c>
      <c r="R9" s="121"/>
      <c r="S9" s="148">
        <v>45076</v>
      </c>
      <c r="T9" s="363">
        <f>Таблица18[[#This Row],[Вес нетто]]-Таблица18[[#This Row],[Зачетный вес]]</f>
        <v>1732.8999999999996</v>
      </c>
      <c r="U9" s="365">
        <f>Таблица18[[#This Row],[Отход]]/Таблица18[[#This Row],[Вес нетто]]</f>
        <v>0.15499999999999997</v>
      </c>
      <c r="V9" s="121">
        <f>MONTH(Таблица18[[#This Row],[Дата акта]])</f>
        <v>5</v>
      </c>
      <c r="W9" s="121">
        <v>30</v>
      </c>
      <c r="X9" s="148">
        <f>DATE(1900,Таблица18[[#This Row],[Месяц]],Таблица18[[#This Row],[Число]])</f>
        <v>151</v>
      </c>
      <c r="Y9" s="121"/>
      <c r="Z9" s="121" t="str">
        <f>Таблица18[[#This Row],[Хар-ка]]</f>
        <v>высший</v>
      </c>
      <c r="AD9" s="459"/>
      <c r="AE9" s="391"/>
    </row>
    <row r="10" spans="1:32" s="325" customFormat="1" ht="15.6" hidden="1" customHeight="1" x14ac:dyDescent="0.2">
      <c r="A10" s="360" t="s">
        <v>1805</v>
      </c>
      <c r="B10" s="360" t="s">
        <v>511</v>
      </c>
      <c r="C10" s="361">
        <v>91</v>
      </c>
      <c r="D10" s="362">
        <v>63312</v>
      </c>
      <c r="E10" s="360" t="s">
        <v>1787</v>
      </c>
      <c r="F10" s="360" t="s">
        <v>1806</v>
      </c>
      <c r="G10" s="360" t="s">
        <v>1807</v>
      </c>
      <c r="H10" s="360" t="s">
        <v>1789</v>
      </c>
      <c r="I10" s="360" t="e">
        <f>VLOOKUP(Таблица18[[#This Row],[Номер акта]],$AB$1:$AF$1833,3,FALSE)</f>
        <v>#N/A</v>
      </c>
      <c r="J10" s="360" t="s">
        <v>21</v>
      </c>
      <c r="K10" s="360" t="s">
        <v>82</v>
      </c>
      <c r="L10" s="363">
        <v>25450</v>
      </c>
      <c r="M10" s="363">
        <v>14300</v>
      </c>
      <c r="N10" s="364">
        <v>11.5</v>
      </c>
      <c r="O10" s="363">
        <v>11150</v>
      </c>
      <c r="P10" s="363">
        <v>9867.7000000000007</v>
      </c>
      <c r="Q10" s="121">
        <v>2023</v>
      </c>
      <c r="R10" s="121"/>
      <c r="S10" s="148">
        <v>45076</v>
      </c>
      <c r="T10" s="363">
        <f>Таблица18[[#This Row],[Вес нетто]]-Таблица18[[#This Row],[Зачетный вес]]</f>
        <v>1282.2999999999993</v>
      </c>
      <c r="U10" s="365">
        <f>Таблица18[[#This Row],[Отход]]/Таблица18[[#This Row],[Вес нетто]]</f>
        <v>0.11500448430493267</v>
      </c>
      <c r="V10" s="121">
        <f>MONTH(Таблица18[[#This Row],[Дата акта]])</f>
        <v>5</v>
      </c>
      <c r="W10" s="121">
        <v>30</v>
      </c>
      <c r="X10" s="148">
        <f>DATE(1900,Таблица18[[#This Row],[Месяц]],Таблица18[[#This Row],[Число]])</f>
        <v>151</v>
      </c>
      <c r="Y10" s="121"/>
      <c r="Z10" s="121" t="str">
        <f>Таблица18[[#This Row],[Хар-ка]]</f>
        <v>высший</v>
      </c>
      <c r="AD10" s="459"/>
      <c r="AE10" s="391"/>
    </row>
    <row r="11" spans="1:32" s="325" customFormat="1" ht="15.6" hidden="1" customHeight="1" x14ac:dyDescent="0.2">
      <c r="A11" s="360" t="s">
        <v>1808</v>
      </c>
      <c r="B11" s="360" t="s">
        <v>511</v>
      </c>
      <c r="C11" s="361">
        <v>92</v>
      </c>
      <c r="D11" s="362">
        <v>63313</v>
      </c>
      <c r="E11" s="360" t="s">
        <v>1787</v>
      </c>
      <c r="F11" s="360" t="s">
        <v>1809</v>
      </c>
      <c r="G11" s="360" t="s">
        <v>1810</v>
      </c>
      <c r="H11" s="360" t="s">
        <v>1789</v>
      </c>
      <c r="I11" s="360" t="e">
        <f>VLOOKUP(Таблица18[[#This Row],[Номер акта]],$AB$1:$AF$1833,3,FALSE)</f>
        <v>#N/A</v>
      </c>
      <c r="J11" s="360" t="s">
        <v>21</v>
      </c>
      <c r="K11" s="360" t="s">
        <v>82</v>
      </c>
      <c r="L11" s="363">
        <v>24970</v>
      </c>
      <c r="M11" s="363">
        <v>13940</v>
      </c>
      <c r="N11" s="364">
        <v>13.5</v>
      </c>
      <c r="O11" s="363">
        <v>11030</v>
      </c>
      <c r="P11" s="363">
        <v>9540.9</v>
      </c>
      <c r="Q11" s="121">
        <v>2023</v>
      </c>
      <c r="R11" s="121"/>
      <c r="S11" s="148">
        <v>45076</v>
      </c>
      <c r="T11" s="363">
        <f>Таблица18[[#This Row],[Вес нетто]]-Таблица18[[#This Row],[Зачетный вес]]</f>
        <v>1489.1000000000004</v>
      </c>
      <c r="U11" s="365">
        <f>Таблица18[[#This Row],[Отход]]/Таблица18[[#This Row],[Вес нетто]]</f>
        <v>0.13500453309156848</v>
      </c>
      <c r="V11" s="121">
        <f>MONTH(Таблица18[[#This Row],[Дата акта]])</f>
        <v>5</v>
      </c>
      <c r="W11" s="121">
        <v>30</v>
      </c>
      <c r="X11" s="148">
        <f>DATE(1900,Таблица18[[#This Row],[Месяц]],Таблица18[[#This Row],[Число]])</f>
        <v>151</v>
      </c>
      <c r="Y11" s="121"/>
      <c r="Z11" s="121" t="str">
        <f>Таблица18[[#This Row],[Хар-ка]]</f>
        <v>высший</v>
      </c>
      <c r="AD11" s="459"/>
      <c r="AE11" s="391"/>
    </row>
    <row r="12" spans="1:32" s="325" customFormat="1" ht="15.6" hidden="1" customHeight="1" x14ac:dyDescent="0.2">
      <c r="A12" s="360" t="s">
        <v>1811</v>
      </c>
      <c r="B12" s="360" t="s">
        <v>511</v>
      </c>
      <c r="C12" s="361">
        <v>93</v>
      </c>
      <c r="D12" s="362">
        <v>63314</v>
      </c>
      <c r="E12" s="360" t="s">
        <v>1787</v>
      </c>
      <c r="F12" s="360" t="s">
        <v>1812</v>
      </c>
      <c r="G12" s="360" t="s">
        <v>1813</v>
      </c>
      <c r="H12" s="360" t="s">
        <v>1789</v>
      </c>
      <c r="I12" s="360" t="e">
        <f>VLOOKUP(Таблица18[[#This Row],[Номер акта]],$AB$1:$AF$1833,3,FALSE)</f>
        <v>#N/A</v>
      </c>
      <c r="J12" s="360" t="s">
        <v>21</v>
      </c>
      <c r="K12" s="360" t="s">
        <v>82</v>
      </c>
      <c r="L12" s="363">
        <v>25500</v>
      </c>
      <c r="M12" s="363">
        <v>14440</v>
      </c>
      <c r="N12" s="364">
        <v>13.5</v>
      </c>
      <c r="O12" s="363">
        <v>11060</v>
      </c>
      <c r="P12" s="363">
        <v>9566.9</v>
      </c>
      <c r="Q12" s="121">
        <v>2023</v>
      </c>
      <c r="R12" s="121"/>
      <c r="S12" s="148">
        <v>45076</v>
      </c>
      <c r="T12" s="363">
        <f>Таблица18[[#This Row],[Вес нетто]]-Таблица18[[#This Row],[Зачетный вес]]</f>
        <v>1493.1000000000004</v>
      </c>
      <c r="U12" s="365">
        <f>Таблица18[[#This Row],[Отход]]/Таблица18[[#This Row],[Вес нетто]]</f>
        <v>0.13500000000000004</v>
      </c>
      <c r="V12" s="121">
        <f>MONTH(Таблица18[[#This Row],[Дата акта]])</f>
        <v>5</v>
      </c>
      <c r="W12" s="121">
        <v>30</v>
      </c>
      <c r="X12" s="148">
        <f>DATE(1900,Таблица18[[#This Row],[Месяц]],Таблица18[[#This Row],[Число]])</f>
        <v>151</v>
      </c>
      <c r="Y12" s="121"/>
      <c r="Z12" s="121" t="str">
        <f>Таблица18[[#This Row],[Хар-ка]]</f>
        <v>высший</v>
      </c>
      <c r="AD12" s="459"/>
      <c r="AE12" s="391"/>
    </row>
    <row r="13" spans="1:32" s="325" customFormat="1" ht="15.6" hidden="1" customHeight="1" x14ac:dyDescent="0.2">
      <c r="A13" s="360" t="s">
        <v>1814</v>
      </c>
      <c r="B13" s="360" t="s">
        <v>511</v>
      </c>
      <c r="C13" s="361">
        <v>94</v>
      </c>
      <c r="D13" s="362">
        <v>63315</v>
      </c>
      <c r="E13" s="360" t="s">
        <v>1787</v>
      </c>
      <c r="F13" s="360" t="s">
        <v>1815</v>
      </c>
      <c r="G13" s="360" t="s">
        <v>1795</v>
      </c>
      <c r="H13" s="360" t="s">
        <v>1789</v>
      </c>
      <c r="I13" s="360" t="e">
        <f>VLOOKUP(Таблица18[[#This Row],[Номер акта]],$AB$1:$AF$1833,3,FALSE)</f>
        <v>#N/A</v>
      </c>
      <c r="J13" s="360" t="s">
        <v>21</v>
      </c>
      <c r="K13" s="360" t="s">
        <v>82</v>
      </c>
      <c r="L13" s="363">
        <v>24630</v>
      </c>
      <c r="M13" s="363">
        <v>13410</v>
      </c>
      <c r="N13" s="364">
        <v>12.5</v>
      </c>
      <c r="O13" s="363">
        <v>11220</v>
      </c>
      <c r="P13" s="363">
        <v>9817.5</v>
      </c>
      <c r="Q13" s="121">
        <v>2023</v>
      </c>
      <c r="R13" s="121"/>
      <c r="S13" s="148">
        <v>45076</v>
      </c>
      <c r="T13" s="363">
        <f>Таблица18[[#This Row],[Вес нетто]]-Таблица18[[#This Row],[Зачетный вес]]</f>
        <v>1402.5</v>
      </c>
      <c r="U13" s="365">
        <f>Таблица18[[#This Row],[Отход]]/Таблица18[[#This Row],[Вес нетто]]</f>
        <v>0.125</v>
      </c>
      <c r="V13" s="121">
        <f>MONTH(Таблица18[[#This Row],[Дата акта]])</f>
        <v>5</v>
      </c>
      <c r="W13" s="121">
        <v>30</v>
      </c>
      <c r="X13" s="148">
        <f>DATE(1900,Таблица18[[#This Row],[Месяц]],Таблица18[[#This Row],[Число]])</f>
        <v>151</v>
      </c>
      <c r="Y13" s="121"/>
      <c r="Z13" s="121" t="str">
        <f>Таблица18[[#This Row],[Хар-ка]]</f>
        <v>высший</v>
      </c>
      <c r="AD13" s="459"/>
      <c r="AE13" s="391"/>
    </row>
    <row r="14" spans="1:32" s="325" customFormat="1" ht="15.6" hidden="1" customHeight="1" x14ac:dyDescent="0.2">
      <c r="A14" s="360" t="s">
        <v>1816</v>
      </c>
      <c r="B14" s="360" t="s">
        <v>511</v>
      </c>
      <c r="C14" s="361">
        <v>95</v>
      </c>
      <c r="D14" s="362">
        <v>63316</v>
      </c>
      <c r="E14" s="360" t="s">
        <v>1787</v>
      </c>
      <c r="F14" s="360" t="s">
        <v>311</v>
      </c>
      <c r="G14" s="360" t="s">
        <v>315</v>
      </c>
      <c r="H14" s="360" t="s">
        <v>1789</v>
      </c>
      <c r="I14" s="360" t="e">
        <f>VLOOKUP(Таблица18[[#This Row],[Номер акта]],$AB$1:$AF$1833,3,FALSE)</f>
        <v>#N/A</v>
      </c>
      <c r="J14" s="360" t="s">
        <v>21</v>
      </c>
      <c r="K14" s="360" t="s">
        <v>82</v>
      </c>
      <c r="L14" s="363">
        <v>28330</v>
      </c>
      <c r="M14" s="363">
        <v>15050</v>
      </c>
      <c r="N14" s="364">
        <v>14.5</v>
      </c>
      <c r="O14" s="363">
        <v>13280</v>
      </c>
      <c r="P14" s="363">
        <v>11354.4</v>
      </c>
      <c r="Q14" s="121">
        <v>2023</v>
      </c>
      <c r="R14" s="121"/>
      <c r="S14" s="148">
        <v>45076</v>
      </c>
      <c r="T14" s="363">
        <f>Таблица18[[#This Row],[Вес нетто]]-Таблица18[[#This Row],[Зачетный вес]]</f>
        <v>1925.6000000000004</v>
      </c>
      <c r="U14" s="365">
        <f>Таблица18[[#This Row],[Отход]]/Таблица18[[#This Row],[Вес нетто]]</f>
        <v>0.14500000000000002</v>
      </c>
      <c r="V14" s="121">
        <f>MONTH(Таблица18[[#This Row],[Дата акта]])</f>
        <v>5</v>
      </c>
      <c r="W14" s="121">
        <v>30</v>
      </c>
      <c r="X14" s="148">
        <f>DATE(1900,Таблица18[[#This Row],[Месяц]],Таблица18[[#This Row],[Число]])</f>
        <v>151</v>
      </c>
      <c r="Y14" s="121"/>
      <c r="Z14" s="121" t="str">
        <f>Таблица18[[#This Row],[Хар-ка]]</f>
        <v>высший</v>
      </c>
      <c r="AD14" s="459"/>
      <c r="AE14" s="391"/>
    </row>
    <row r="15" spans="1:32" s="325" customFormat="1" ht="15.6" hidden="1" customHeight="1" x14ac:dyDescent="0.2">
      <c r="A15" s="360" t="s">
        <v>1817</v>
      </c>
      <c r="B15" s="360" t="s">
        <v>511</v>
      </c>
      <c r="C15" s="361">
        <v>97</v>
      </c>
      <c r="D15" s="362">
        <v>63318</v>
      </c>
      <c r="E15" s="360" t="s">
        <v>1787</v>
      </c>
      <c r="F15" s="360" t="s">
        <v>1818</v>
      </c>
      <c r="G15" s="360" t="s">
        <v>1799</v>
      </c>
      <c r="H15" s="360" t="s">
        <v>1789</v>
      </c>
      <c r="I15" s="360" t="e">
        <f>VLOOKUP(Таблица18[[#This Row],[Номер акта]],$AB$1:$AF$1833,3,FALSE)</f>
        <v>#N/A</v>
      </c>
      <c r="J15" s="360" t="s">
        <v>21</v>
      </c>
      <c r="K15" s="360" t="s">
        <v>82</v>
      </c>
      <c r="L15" s="363">
        <v>29420</v>
      </c>
      <c r="M15" s="363">
        <v>15720</v>
      </c>
      <c r="N15" s="364">
        <v>16.5</v>
      </c>
      <c r="O15" s="363">
        <v>13700</v>
      </c>
      <c r="P15" s="363">
        <v>11439.5</v>
      </c>
      <c r="Q15" s="121">
        <v>2023</v>
      </c>
      <c r="R15" s="121"/>
      <c r="S15" s="148">
        <v>45076</v>
      </c>
      <c r="T15" s="363">
        <f>Таблица18[[#This Row],[Вес нетто]]-Таблица18[[#This Row],[Зачетный вес]]</f>
        <v>2260.5</v>
      </c>
      <c r="U15" s="365">
        <f>Таблица18[[#This Row],[Отход]]/Таблица18[[#This Row],[Вес нетто]]</f>
        <v>0.16500000000000001</v>
      </c>
      <c r="V15" s="121">
        <f>MONTH(Таблица18[[#This Row],[Дата акта]])</f>
        <v>5</v>
      </c>
      <c r="W15" s="121">
        <v>30</v>
      </c>
      <c r="X15" s="148">
        <f>DATE(1900,Таблица18[[#This Row],[Месяц]],Таблица18[[#This Row],[Число]])</f>
        <v>151</v>
      </c>
      <c r="Y15" s="121"/>
      <c r="Z15" s="121" t="str">
        <f>Таблица18[[#This Row],[Хар-ка]]</f>
        <v>высший</v>
      </c>
      <c r="AD15" s="459"/>
      <c r="AE15" s="391"/>
    </row>
    <row r="16" spans="1:32" s="325" customFormat="1" ht="15.6" hidden="1" customHeight="1" x14ac:dyDescent="0.2">
      <c r="A16" s="360" t="s">
        <v>1819</v>
      </c>
      <c r="B16" s="360" t="s">
        <v>511</v>
      </c>
      <c r="C16" s="361">
        <v>99</v>
      </c>
      <c r="D16" s="362">
        <v>63319</v>
      </c>
      <c r="E16" s="360" t="s">
        <v>1787</v>
      </c>
      <c r="F16" s="360" t="s">
        <v>1788</v>
      </c>
      <c r="G16" s="360" t="s">
        <v>131</v>
      </c>
      <c r="H16" s="360" t="s">
        <v>1789</v>
      </c>
      <c r="I16" s="360" t="e">
        <f>VLOOKUP(Таблица18[[#This Row],[Номер акта]],$AB$1:$AF$1833,3,FALSE)</f>
        <v>#N/A</v>
      </c>
      <c r="J16" s="360" t="s">
        <v>21</v>
      </c>
      <c r="K16" s="360" t="s">
        <v>82</v>
      </c>
      <c r="L16" s="363">
        <v>27910</v>
      </c>
      <c r="M16" s="363">
        <v>14480</v>
      </c>
      <c r="N16" s="364">
        <v>17.5</v>
      </c>
      <c r="O16" s="363">
        <v>13430</v>
      </c>
      <c r="P16" s="363">
        <v>11079.7</v>
      </c>
      <c r="Q16" s="121">
        <v>2023</v>
      </c>
      <c r="R16" s="121"/>
      <c r="S16" s="148">
        <v>45076</v>
      </c>
      <c r="T16" s="363">
        <f>Таблица18[[#This Row],[Вес нетто]]-Таблица18[[#This Row],[Зачетный вес]]</f>
        <v>2350.2999999999993</v>
      </c>
      <c r="U16" s="365">
        <f>Таблица18[[#This Row],[Отход]]/Таблица18[[#This Row],[Вес нетто]]</f>
        <v>0.17500372300819056</v>
      </c>
      <c r="V16" s="121">
        <f>MONTH(Таблица18[[#This Row],[Дата акта]])</f>
        <v>5</v>
      </c>
      <c r="W16" s="121">
        <v>30</v>
      </c>
      <c r="X16" s="148">
        <f>DATE(1900,Таблица18[[#This Row],[Месяц]],Таблица18[[#This Row],[Число]])</f>
        <v>151</v>
      </c>
      <c r="Y16" s="121"/>
      <c r="Z16" s="121" t="str">
        <f>Таблица18[[#This Row],[Хар-ка]]</f>
        <v>высший</v>
      </c>
      <c r="AD16" s="459"/>
      <c r="AE16" s="391"/>
    </row>
    <row r="17" spans="1:31" s="325" customFormat="1" ht="15.6" hidden="1" customHeight="1" x14ac:dyDescent="0.2">
      <c r="A17" s="360" t="s">
        <v>1820</v>
      </c>
      <c r="B17" s="360" t="s">
        <v>511</v>
      </c>
      <c r="C17" s="361">
        <v>100</v>
      </c>
      <c r="D17" s="362">
        <v>63320</v>
      </c>
      <c r="E17" s="360" t="s">
        <v>1787</v>
      </c>
      <c r="F17" s="360" t="s">
        <v>1792</v>
      </c>
      <c r="G17" s="360" t="s">
        <v>80</v>
      </c>
      <c r="H17" s="360" t="s">
        <v>1789</v>
      </c>
      <c r="I17" s="360" t="e">
        <f>VLOOKUP(Таблица18[[#This Row],[Номер акта]],$AB$1:$AF$1833,3,FALSE)</f>
        <v>#N/A</v>
      </c>
      <c r="J17" s="360" t="s">
        <v>21</v>
      </c>
      <c r="K17" s="360" t="s">
        <v>82</v>
      </c>
      <c r="L17" s="363">
        <v>27730</v>
      </c>
      <c r="M17" s="363">
        <v>14370</v>
      </c>
      <c r="N17" s="364">
        <v>18.5</v>
      </c>
      <c r="O17" s="363">
        <v>13360</v>
      </c>
      <c r="P17" s="363">
        <v>10888.4</v>
      </c>
      <c r="Q17" s="121">
        <v>2023</v>
      </c>
      <c r="R17" s="121"/>
      <c r="S17" s="148">
        <v>45076</v>
      </c>
      <c r="T17" s="363">
        <f>Таблица18[[#This Row],[Вес нетто]]-Таблица18[[#This Row],[Зачетный вес]]</f>
        <v>2471.6000000000004</v>
      </c>
      <c r="U17" s="365">
        <f>Таблица18[[#This Row],[Отход]]/Таблица18[[#This Row],[Вес нетто]]</f>
        <v>0.18500000000000003</v>
      </c>
      <c r="V17" s="121">
        <f>MONTH(Таблица18[[#This Row],[Дата акта]])</f>
        <v>5</v>
      </c>
      <c r="W17" s="121">
        <v>30</v>
      </c>
      <c r="X17" s="148">
        <f>DATE(1900,Таблица18[[#This Row],[Месяц]],Таблица18[[#This Row],[Число]])</f>
        <v>151</v>
      </c>
      <c r="Y17" s="121"/>
      <c r="Z17" s="121" t="str">
        <f>Таблица18[[#This Row],[Хар-ка]]</f>
        <v>высший</v>
      </c>
      <c r="AD17" s="459"/>
      <c r="AE17" s="391"/>
    </row>
    <row r="18" spans="1:31" s="325" customFormat="1" ht="15.6" hidden="1" customHeight="1" x14ac:dyDescent="0.2">
      <c r="A18" s="360" t="s">
        <v>1821</v>
      </c>
      <c r="B18" s="360" t="s">
        <v>511</v>
      </c>
      <c r="C18" s="361">
        <v>101</v>
      </c>
      <c r="D18" s="362">
        <v>63322</v>
      </c>
      <c r="E18" s="360" t="s">
        <v>1787</v>
      </c>
      <c r="F18" s="360" t="s">
        <v>1822</v>
      </c>
      <c r="G18" s="360" t="s">
        <v>1802</v>
      </c>
      <c r="H18" s="360" t="s">
        <v>1789</v>
      </c>
      <c r="I18" s="360" t="e">
        <f>VLOOKUP(Таблица18[[#This Row],[Номер акта]],$AB$1:$AF$1833,3,FALSE)</f>
        <v>#N/A</v>
      </c>
      <c r="J18" s="360" t="s">
        <v>21</v>
      </c>
      <c r="K18" s="360" t="s">
        <v>82</v>
      </c>
      <c r="L18" s="363">
        <v>28350</v>
      </c>
      <c r="M18" s="363">
        <v>14730</v>
      </c>
      <c r="N18" s="364">
        <v>10.5</v>
      </c>
      <c r="O18" s="363">
        <v>13620</v>
      </c>
      <c r="P18" s="363">
        <v>12189.9</v>
      </c>
      <c r="Q18" s="121">
        <v>2023</v>
      </c>
      <c r="R18" s="121"/>
      <c r="S18" s="148">
        <v>45077</v>
      </c>
      <c r="T18" s="363">
        <f>Таблица18[[#This Row],[Вес нетто]]-Таблица18[[#This Row],[Зачетный вес]]</f>
        <v>1430.1000000000004</v>
      </c>
      <c r="U18" s="365">
        <f>Таблица18[[#This Row],[Отход]]/Таблица18[[#This Row],[Вес нетто]]</f>
        <v>0.10500000000000002</v>
      </c>
      <c r="V18" s="121">
        <f>MONTH(Таблица18[[#This Row],[Дата акта]])</f>
        <v>5</v>
      </c>
      <c r="W18" s="121">
        <v>31</v>
      </c>
      <c r="X18" s="148">
        <f>DATE(1900,Таблица18[[#This Row],[Месяц]],Таблица18[[#This Row],[Число]])</f>
        <v>152</v>
      </c>
      <c r="Y18" s="121"/>
      <c r="Z18" s="121" t="str">
        <f>Таблица18[[#This Row],[Хар-ка]]</f>
        <v>высший</v>
      </c>
      <c r="AD18" s="459"/>
      <c r="AE18" s="391"/>
    </row>
    <row r="19" spans="1:31" s="325" customFormat="1" ht="15.6" hidden="1" customHeight="1" x14ac:dyDescent="0.2">
      <c r="A19" s="360" t="s">
        <v>1823</v>
      </c>
      <c r="B19" s="360" t="s">
        <v>511</v>
      </c>
      <c r="C19" s="361">
        <v>102</v>
      </c>
      <c r="D19" s="366">
        <v>63321</v>
      </c>
      <c r="E19" s="360" t="s">
        <v>1787</v>
      </c>
      <c r="F19" s="360" t="s">
        <v>1804</v>
      </c>
      <c r="G19" s="360" t="s">
        <v>536</v>
      </c>
      <c r="H19" s="360" t="s">
        <v>1789</v>
      </c>
      <c r="I19" s="360" t="e">
        <f>VLOOKUP(Таблица18[[#This Row],[Номер акта]],$AB$1:$AF$1833,3,FALSE)</f>
        <v>#N/A</v>
      </c>
      <c r="J19" s="360" t="s">
        <v>21</v>
      </c>
      <c r="K19" s="360" t="s">
        <v>82</v>
      </c>
      <c r="L19" s="363">
        <v>28210</v>
      </c>
      <c r="M19" s="363">
        <v>14530</v>
      </c>
      <c r="N19" s="364">
        <v>13.5</v>
      </c>
      <c r="O19" s="363">
        <v>13680</v>
      </c>
      <c r="P19" s="363">
        <v>11833.2</v>
      </c>
      <c r="Q19" s="121">
        <v>2023</v>
      </c>
      <c r="R19" s="121"/>
      <c r="S19" s="148">
        <v>45077</v>
      </c>
      <c r="T19" s="363">
        <f>Таблица18[[#This Row],[Вес нетто]]-Таблица18[[#This Row],[Зачетный вес]]</f>
        <v>1846.7999999999993</v>
      </c>
      <c r="U19" s="365">
        <f>Таблица18[[#This Row],[Отход]]/Таблица18[[#This Row],[Вес нетто]]</f>
        <v>0.13499999999999995</v>
      </c>
      <c r="V19" s="121">
        <f>MONTH(Таблица18[[#This Row],[Дата акта]])</f>
        <v>5</v>
      </c>
      <c r="W19" s="121">
        <v>31</v>
      </c>
      <c r="X19" s="148">
        <f>DATE(1900,Таблица18[[#This Row],[Месяц]],Таблица18[[#This Row],[Число]])</f>
        <v>152</v>
      </c>
      <c r="Y19" s="121"/>
      <c r="Z19" s="121" t="str">
        <f>Таблица18[[#This Row],[Хар-ка]]</f>
        <v>высший</v>
      </c>
      <c r="AD19" s="459"/>
      <c r="AE19" s="391"/>
    </row>
    <row r="20" spans="1:31" s="325" customFormat="1" ht="15.6" hidden="1" customHeight="1" x14ac:dyDescent="0.2">
      <c r="A20" s="360" t="s">
        <v>1824</v>
      </c>
      <c r="B20" s="360" t="s">
        <v>511</v>
      </c>
      <c r="C20" s="361">
        <v>105</v>
      </c>
      <c r="D20" s="366">
        <v>63323</v>
      </c>
      <c r="E20" s="360" t="s">
        <v>1787</v>
      </c>
      <c r="F20" s="360" t="s">
        <v>1825</v>
      </c>
      <c r="G20" s="360" t="s">
        <v>333</v>
      </c>
      <c r="H20" s="360" t="s">
        <v>1789</v>
      </c>
      <c r="I20" s="360" t="e">
        <f>VLOOKUP(Таблица18[[#This Row],[Номер акта]],$AB$1:$AF$1833,3,FALSE)</f>
        <v>#N/A</v>
      </c>
      <c r="J20" s="360" t="s">
        <v>21</v>
      </c>
      <c r="K20" s="360" t="s">
        <v>82</v>
      </c>
      <c r="L20" s="363">
        <v>28620</v>
      </c>
      <c r="M20" s="363">
        <v>14920</v>
      </c>
      <c r="N20" s="364">
        <v>13.5</v>
      </c>
      <c r="O20" s="363">
        <v>13700</v>
      </c>
      <c r="P20" s="363">
        <v>11850.5</v>
      </c>
      <c r="Q20" s="121">
        <v>2023</v>
      </c>
      <c r="R20" s="121"/>
      <c r="S20" s="148">
        <v>45077</v>
      </c>
      <c r="T20" s="363">
        <f>Таблица18[[#This Row],[Вес нетто]]-Таблица18[[#This Row],[Зачетный вес]]</f>
        <v>1849.5</v>
      </c>
      <c r="U20" s="365">
        <f>Таблица18[[#This Row],[Отход]]/Таблица18[[#This Row],[Вес нетто]]</f>
        <v>0.13500000000000001</v>
      </c>
      <c r="V20" s="121">
        <f>MONTH(Таблица18[[#This Row],[Дата акта]])</f>
        <v>5</v>
      </c>
      <c r="W20" s="121">
        <v>31</v>
      </c>
      <c r="X20" s="148">
        <f>DATE(1900,Таблица18[[#This Row],[Месяц]],Таблица18[[#This Row],[Число]])</f>
        <v>152</v>
      </c>
      <c r="Y20" s="121"/>
      <c r="Z20" s="121" t="str">
        <f>Таблица18[[#This Row],[Хар-ка]]</f>
        <v>высший</v>
      </c>
      <c r="AD20" s="459"/>
      <c r="AE20" s="391"/>
    </row>
    <row r="21" spans="1:31" s="325" customFormat="1" ht="15.6" hidden="1" customHeight="1" x14ac:dyDescent="0.2">
      <c r="A21" s="360" t="s">
        <v>1826</v>
      </c>
      <c r="B21" s="360" t="s">
        <v>511</v>
      </c>
      <c r="C21" s="361">
        <v>106</v>
      </c>
      <c r="D21" s="366">
        <v>63326</v>
      </c>
      <c r="E21" s="360" t="s">
        <v>1787</v>
      </c>
      <c r="F21" s="360" t="s">
        <v>121</v>
      </c>
      <c r="G21" s="360" t="s">
        <v>125</v>
      </c>
      <c r="H21" s="360" t="s">
        <v>1789</v>
      </c>
      <c r="I21" s="360" t="e">
        <f>VLOOKUP(Таблица18[[#This Row],[Номер акта]],$AB$1:$AF$1833,3,FALSE)</f>
        <v>#N/A</v>
      </c>
      <c r="J21" s="360" t="s">
        <v>21</v>
      </c>
      <c r="K21" s="360" t="s">
        <v>82</v>
      </c>
      <c r="L21" s="363">
        <v>27960</v>
      </c>
      <c r="M21" s="363">
        <v>14470</v>
      </c>
      <c r="N21" s="364">
        <v>12.5</v>
      </c>
      <c r="O21" s="363">
        <v>13490</v>
      </c>
      <c r="P21" s="363">
        <v>11803.7</v>
      </c>
      <c r="Q21" s="121">
        <v>2023</v>
      </c>
      <c r="R21" s="121"/>
      <c r="S21" s="148">
        <v>45077</v>
      </c>
      <c r="T21" s="363">
        <f>Таблица18[[#This Row],[Вес нетто]]-Таблица18[[#This Row],[Зачетный вес]]</f>
        <v>1686.2999999999993</v>
      </c>
      <c r="U21" s="365">
        <f>Таблица18[[#This Row],[Отход]]/Таблица18[[#This Row],[Вес нетто]]</f>
        <v>0.1250037064492216</v>
      </c>
      <c r="V21" s="121">
        <f>MONTH(Таблица18[[#This Row],[Дата акта]])</f>
        <v>5</v>
      </c>
      <c r="W21" s="121">
        <v>31</v>
      </c>
      <c r="X21" s="148">
        <f>DATE(1900,Таблица18[[#This Row],[Месяц]],Таблица18[[#This Row],[Число]])</f>
        <v>152</v>
      </c>
      <c r="Y21" s="121"/>
      <c r="Z21" s="121" t="str">
        <f>Таблица18[[#This Row],[Хар-ка]]</f>
        <v>высший</v>
      </c>
      <c r="AD21" s="459"/>
      <c r="AE21" s="391"/>
    </row>
    <row r="22" spans="1:31" s="325" customFormat="1" ht="15.6" hidden="1" customHeight="1" x14ac:dyDescent="0.2">
      <c r="A22" s="360" t="s">
        <v>1827</v>
      </c>
      <c r="B22" s="360" t="s">
        <v>511</v>
      </c>
      <c r="C22" s="361">
        <v>107</v>
      </c>
      <c r="D22" s="366">
        <v>63329</v>
      </c>
      <c r="E22" s="360" t="s">
        <v>1787</v>
      </c>
      <c r="F22" s="360" t="s">
        <v>311</v>
      </c>
      <c r="G22" s="360" t="s">
        <v>315</v>
      </c>
      <c r="H22" s="360" t="s">
        <v>1789</v>
      </c>
      <c r="I22" s="360" t="e">
        <f>VLOOKUP(Таблица18[[#This Row],[Номер акта]],$AB$1:$AF$1833,3,FALSE)</f>
        <v>#N/A</v>
      </c>
      <c r="J22" s="360" t="s">
        <v>21</v>
      </c>
      <c r="K22" s="360" t="s">
        <v>82</v>
      </c>
      <c r="L22" s="363">
        <v>28620</v>
      </c>
      <c r="M22" s="363">
        <v>15060</v>
      </c>
      <c r="N22" s="364">
        <v>14.5</v>
      </c>
      <c r="O22" s="363">
        <v>13560</v>
      </c>
      <c r="P22" s="363">
        <v>11593.8</v>
      </c>
      <c r="Q22" s="121">
        <v>2023</v>
      </c>
      <c r="R22" s="121"/>
      <c r="S22" s="148">
        <v>45077</v>
      </c>
      <c r="T22" s="363">
        <f>Таблица18[[#This Row],[Вес нетто]]-Таблица18[[#This Row],[Зачетный вес]]</f>
        <v>1966.2000000000007</v>
      </c>
      <c r="U22" s="365">
        <f>Таблица18[[#This Row],[Отход]]/Таблица18[[#This Row],[Вес нетто]]</f>
        <v>0.14500000000000005</v>
      </c>
      <c r="V22" s="121">
        <f>MONTH(Таблица18[[#This Row],[Дата акта]])</f>
        <v>5</v>
      </c>
      <c r="W22" s="121">
        <v>31</v>
      </c>
      <c r="X22" s="148">
        <f>DATE(1900,Таблица18[[#This Row],[Месяц]],Таблица18[[#This Row],[Число]])</f>
        <v>152</v>
      </c>
      <c r="Y22" s="121"/>
      <c r="Z22" s="121" t="str">
        <f>Таблица18[[#This Row],[Хар-ка]]</f>
        <v>высший</v>
      </c>
      <c r="AD22" s="459"/>
      <c r="AE22" s="391"/>
    </row>
    <row r="23" spans="1:31" s="325" customFormat="1" ht="15.6" hidden="1" customHeight="1" x14ac:dyDescent="0.2">
      <c r="A23" s="360" t="s">
        <v>1828</v>
      </c>
      <c r="B23" s="360" t="s">
        <v>511</v>
      </c>
      <c r="C23" s="361">
        <v>109</v>
      </c>
      <c r="D23" s="362">
        <v>63330</v>
      </c>
      <c r="E23" s="360" t="s">
        <v>1787</v>
      </c>
      <c r="F23" s="360" t="s">
        <v>1829</v>
      </c>
      <c r="G23" s="360" t="s">
        <v>1799</v>
      </c>
      <c r="H23" s="360" t="s">
        <v>1789</v>
      </c>
      <c r="I23" s="360" t="e">
        <f>VLOOKUP(Таблица18[[#This Row],[Номер акта]],$AB$1:$AF$1833,3,FALSE)</f>
        <v>#N/A</v>
      </c>
      <c r="J23" s="360" t="s">
        <v>21</v>
      </c>
      <c r="K23" s="360" t="s">
        <v>82</v>
      </c>
      <c r="L23" s="363">
        <v>29520</v>
      </c>
      <c r="M23" s="363">
        <v>15810</v>
      </c>
      <c r="N23" s="364">
        <v>15.5</v>
      </c>
      <c r="O23" s="363">
        <v>13710</v>
      </c>
      <c r="P23" s="363">
        <v>11584.9</v>
      </c>
      <c r="Q23" s="121">
        <v>2023</v>
      </c>
      <c r="R23" s="121"/>
      <c r="S23" s="148">
        <v>45078</v>
      </c>
      <c r="T23" s="363">
        <f>Таблица18[[#This Row],[Вес нетто]]-Таблица18[[#This Row],[Зачетный вес]]</f>
        <v>2125.1000000000004</v>
      </c>
      <c r="U23" s="365">
        <f>Таблица18[[#This Row],[Отход]]/Таблица18[[#This Row],[Вес нетто]]</f>
        <v>0.15500364697301242</v>
      </c>
      <c r="V23" s="121">
        <f>MONTH(Таблица18[[#This Row],[Дата акта]])</f>
        <v>6</v>
      </c>
      <c r="W23" s="121">
        <v>1</v>
      </c>
      <c r="X23" s="148">
        <f>DATE(1900,Таблица18[[#This Row],[Месяц]],Таблица18[[#This Row],[Число]])</f>
        <v>153</v>
      </c>
      <c r="Y23" s="121"/>
      <c r="Z23" s="121" t="str">
        <f>Таблица18[[#This Row],[Хар-ка]]</f>
        <v>высший</v>
      </c>
      <c r="AD23" s="459"/>
      <c r="AE23" s="391"/>
    </row>
    <row r="24" spans="1:31" s="325" customFormat="1" ht="15.6" hidden="1" customHeight="1" x14ac:dyDescent="0.2">
      <c r="A24" s="360" t="s">
        <v>1830</v>
      </c>
      <c r="B24" s="360" t="s">
        <v>511</v>
      </c>
      <c r="C24" s="361">
        <v>111</v>
      </c>
      <c r="D24" s="362">
        <v>63331</v>
      </c>
      <c r="E24" s="360" t="s">
        <v>1787</v>
      </c>
      <c r="F24" s="360" t="s">
        <v>1794</v>
      </c>
      <c r="G24" s="360" t="s">
        <v>1795</v>
      </c>
      <c r="H24" s="360" t="s">
        <v>1789</v>
      </c>
      <c r="I24" s="360" t="e">
        <f>VLOOKUP(Таблица18[[#This Row],[Номер акта]],$AB$1:$AF$1833,3,FALSE)</f>
        <v>#N/A</v>
      </c>
      <c r="J24" s="360" t="s">
        <v>21</v>
      </c>
      <c r="K24" s="360" t="s">
        <v>82</v>
      </c>
      <c r="L24" s="363">
        <v>26980</v>
      </c>
      <c r="M24" s="363">
        <v>13390</v>
      </c>
      <c r="N24" s="364">
        <v>15.5</v>
      </c>
      <c r="O24" s="363">
        <v>13590</v>
      </c>
      <c r="P24" s="363">
        <v>11483.5</v>
      </c>
      <c r="Q24" s="121">
        <v>2023</v>
      </c>
      <c r="R24" s="121"/>
      <c r="S24" s="148">
        <v>45078</v>
      </c>
      <c r="T24" s="363">
        <f>Таблица18[[#This Row],[Вес нетто]]-Таблица18[[#This Row],[Зачетный вес]]</f>
        <v>2106.5</v>
      </c>
      <c r="U24" s="365">
        <f>Таблица18[[#This Row],[Отход]]/Таблица18[[#This Row],[Вес нетто]]</f>
        <v>0.15500367917586461</v>
      </c>
      <c r="V24" s="121">
        <f>MONTH(Таблица18[[#This Row],[Дата акта]])</f>
        <v>6</v>
      </c>
      <c r="W24" s="121">
        <v>1</v>
      </c>
      <c r="X24" s="148">
        <f>DATE(1900,Таблица18[[#This Row],[Месяц]],Таблица18[[#This Row],[Число]])</f>
        <v>153</v>
      </c>
      <c r="Y24" s="121"/>
      <c r="Z24" s="121" t="str">
        <f>Таблица18[[#This Row],[Хар-ка]]</f>
        <v>высший</v>
      </c>
      <c r="AD24" s="459"/>
      <c r="AE24" s="391"/>
    </row>
    <row r="25" spans="1:31" s="325" customFormat="1" ht="15.6" hidden="1" customHeight="1" x14ac:dyDescent="0.2">
      <c r="A25" s="360" t="s">
        <v>1831</v>
      </c>
      <c r="B25" s="360" t="s">
        <v>511</v>
      </c>
      <c r="C25" s="361">
        <v>112</v>
      </c>
      <c r="D25" s="362">
        <v>63332</v>
      </c>
      <c r="E25" s="360" t="s">
        <v>1787</v>
      </c>
      <c r="F25" s="360" t="s">
        <v>1832</v>
      </c>
      <c r="G25" s="360" t="s">
        <v>1810</v>
      </c>
      <c r="H25" s="360" t="s">
        <v>1789</v>
      </c>
      <c r="I25" s="360" t="e">
        <f>VLOOKUP(Таблица18[[#This Row],[Номер акта]],$AB$1:$AF$1833,3,FALSE)</f>
        <v>#N/A</v>
      </c>
      <c r="J25" s="360" t="s">
        <v>21</v>
      </c>
      <c r="K25" s="360" t="s">
        <v>82</v>
      </c>
      <c r="L25" s="363">
        <v>27360</v>
      </c>
      <c r="M25" s="363">
        <v>13940</v>
      </c>
      <c r="N25" s="364">
        <v>14.5</v>
      </c>
      <c r="O25" s="363">
        <v>13420</v>
      </c>
      <c r="P25" s="363">
        <v>11474.1</v>
      </c>
      <c r="Q25" s="121">
        <v>2023</v>
      </c>
      <c r="R25" s="121"/>
      <c r="S25" s="148">
        <v>45078</v>
      </c>
      <c r="T25" s="363">
        <f>Таблица18[[#This Row],[Вес нетто]]-Таблица18[[#This Row],[Зачетный вес]]</f>
        <v>1945.8999999999996</v>
      </c>
      <c r="U25" s="365">
        <f>Таблица18[[#This Row],[Отход]]/Таблица18[[#This Row],[Вес нетто]]</f>
        <v>0.14499999999999996</v>
      </c>
      <c r="V25" s="121">
        <f>MONTH(Таблица18[[#This Row],[Дата акта]])</f>
        <v>6</v>
      </c>
      <c r="W25" s="121">
        <v>1</v>
      </c>
      <c r="X25" s="148">
        <f>DATE(1900,Таблица18[[#This Row],[Месяц]],Таблица18[[#This Row],[Число]])</f>
        <v>153</v>
      </c>
      <c r="Y25" s="121"/>
      <c r="Z25" s="121" t="str">
        <f>Таблица18[[#This Row],[Хар-ка]]</f>
        <v>высший</v>
      </c>
      <c r="AD25" s="459"/>
      <c r="AE25" s="391"/>
    </row>
    <row r="26" spans="1:31" s="325" customFormat="1" ht="15.6" hidden="1" customHeight="1" x14ac:dyDescent="0.2">
      <c r="A26" s="360" t="s">
        <v>1833</v>
      </c>
      <c r="B26" s="360" t="s">
        <v>511</v>
      </c>
      <c r="C26" s="361">
        <v>113</v>
      </c>
      <c r="D26" s="362">
        <v>63333</v>
      </c>
      <c r="E26" s="360" t="s">
        <v>1787</v>
      </c>
      <c r="F26" s="360" t="s">
        <v>1834</v>
      </c>
      <c r="G26" s="360" t="s">
        <v>1807</v>
      </c>
      <c r="H26" s="360" t="s">
        <v>1789</v>
      </c>
      <c r="I26" s="360" t="e">
        <f>VLOOKUP(Таблица18[[#This Row],[Номер акта]],$AB$1:$AF$1833,3,FALSE)</f>
        <v>#N/A</v>
      </c>
      <c r="J26" s="360" t="s">
        <v>21</v>
      </c>
      <c r="K26" s="360" t="s">
        <v>82</v>
      </c>
      <c r="L26" s="363">
        <v>27610</v>
      </c>
      <c r="M26" s="363">
        <v>14270</v>
      </c>
      <c r="N26" s="364">
        <v>14.5</v>
      </c>
      <c r="O26" s="363">
        <v>13340</v>
      </c>
      <c r="P26" s="363">
        <v>11405.7</v>
      </c>
      <c r="Q26" s="121">
        <v>2023</v>
      </c>
      <c r="R26" s="121"/>
      <c r="S26" s="148">
        <v>45078</v>
      </c>
      <c r="T26" s="363">
        <f>Таблица18[[#This Row],[Вес нетто]]-Таблица18[[#This Row],[Зачетный вес]]</f>
        <v>1934.2999999999993</v>
      </c>
      <c r="U26" s="365">
        <f>Таблица18[[#This Row],[Отход]]/Таблица18[[#This Row],[Вес нетто]]</f>
        <v>0.14499999999999993</v>
      </c>
      <c r="V26" s="121">
        <f>MONTH(Таблица18[[#This Row],[Дата акта]])</f>
        <v>6</v>
      </c>
      <c r="W26" s="121">
        <v>1</v>
      </c>
      <c r="X26" s="148">
        <f>DATE(1900,Таблица18[[#This Row],[Месяц]],Таблица18[[#This Row],[Число]])</f>
        <v>153</v>
      </c>
      <c r="Y26" s="121"/>
      <c r="Z26" s="121" t="str">
        <f>Таблица18[[#This Row],[Хар-ка]]</f>
        <v>высший</v>
      </c>
      <c r="AD26" s="459"/>
      <c r="AE26" s="391"/>
    </row>
    <row r="27" spans="1:31" s="325" customFormat="1" ht="15.6" hidden="1" customHeight="1" x14ac:dyDescent="0.2">
      <c r="A27" s="360" t="s">
        <v>1835</v>
      </c>
      <c r="B27" s="360" t="s">
        <v>511</v>
      </c>
      <c r="C27" s="361">
        <v>114</v>
      </c>
      <c r="D27" s="362">
        <v>63334</v>
      </c>
      <c r="E27" s="360" t="s">
        <v>1787</v>
      </c>
      <c r="F27" s="360" t="s">
        <v>1834</v>
      </c>
      <c r="G27" s="360" t="s">
        <v>1836</v>
      </c>
      <c r="H27" s="360" t="s">
        <v>1789</v>
      </c>
      <c r="I27" s="360" t="e">
        <f>VLOOKUP(Таблица18[[#This Row],[Номер акта]],$AB$1:$AF$1833,3,FALSE)</f>
        <v>#N/A</v>
      </c>
      <c r="J27" s="360" t="s">
        <v>21</v>
      </c>
      <c r="K27" s="360" t="s">
        <v>82</v>
      </c>
      <c r="L27" s="363">
        <v>27900</v>
      </c>
      <c r="M27" s="363">
        <v>14380</v>
      </c>
      <c r="N27" s="364">
        <v>15.5</v>
      </c>
      <c r="O27" s="363">
        <v>13520</v>
      </c>
      <c r="P27" s="363">
        <v>11424.4</v>
      </c>
      <c r="Q27" s="121">
        <v>2023</v>
      </c>
      <c r="R27" s="121"/>
      <c r="S27" s="148">
        <v>45078</v>
      </c>
      <c r="T27" s="363">
        <f>Таблица18[[#This Row],[Вес нетто]]-Таблица18[[#This Row],[Зачетный вес]]</f>
        <v>2095.6000000000004</v>
      </c>
      <c r="U27" s="365">
        <f>Таблица18[[#This Row],[Отход]]/Таблица18[[#This Row],[Вес нетто]]</f>
        <v>0.15500000000000003</v>
      </c>
      <c r="V27" s="121">
        <f>MONTH(Таблица18[[#This Row],[Дата акта]])</f>
        <v>6</v>
      </c>
      <c r="W27" s="121">
        <v>1</v>
      </c>
      <c r="X27" s="148">
        <f>DATE(1900,Таблица18[[#This Row],[Месяц]],Таблица18[[#This Row],[Число]])</f>
        <v>153</v>
      </c>
      <c r="Y27" s="121"/>
      <c r="Z27" s="121" t="str">
        <f>Таблица18[[#This Row],[Хар-ка]]</f>
        <v>высший</v>
      </c>
      <c r="AD27" s="459"/>
      <c r="AE27" s="391"/>
    </row>
    <row r="28" spans="1:31" s="325" customFormat="1" ht="15.6" hidden="1" customHeight="1" x14ac:dyDescent="0.2">
      <c r="A28" s="360" t="s">
        <v>1837</v>
      </c>
      <c r="B28" s="360" t="s">
        <v>511</v>
      </c>
      <c r="C28" s="361">
        <v>115</v>
      </c>
      <c r="D28" s="362">
        <v>63335</v>
      </c>
      <c r="E28" s="360" t="s">
        <v>1787</v>
      </c>
      <c r="F28" s="360" t="s">
        <v>1788</v>
      </c>
      <c r="G28" s="360" t="s">
        <v>131</v>
      </c>
      <c r="H28" s="360" t="s">
        <v>1789</v>
      </c>
      <c r="I28" s="360" t="e">
        <f>VLOOKUP(Таблица18[[#This Row],[Номер акта]],$AB$1:$AF$1833,3,FALSE)</f>
        <v>#N/A</v>
      </c>
      <c r="J28" s="360" t="s">
        <v>21</v>
      </c>
      <c r="K28" s="360" t="s">
        <v>82</v>
      </c>
      <c r="L28" s="363">
        <v>28050</v>
      </c>
      <c r="M28" s="363">
        <v>14400</v>
      </c>
      <c r="N28" s="364">
        <v>14.5</v>
      </c>
      <c r="O28" s="363">
        <v>13650</v>
      </c>
      <c r="P28" s="363">
        <v>11670.7</v>
      </c>
      <c r="Q28" s="121">
        <v>2023</v>
      </c>
      <c r="R28" s="121"/>
      <c r="S28" s="148">
        <v>45078</v>
      </c>
      <c r="T28" s="363">
        <f>Таблица18[[#This Row],[Вес нетто]]-Таблица18[[#This Row],[Зачетный вес]]</f>
        <v>1979.2999999999993</v>
      </c>
      <c r="U28" s="365">
        <f>Таблица18[[#This Row],[Отход]]/Таблица18[[#This Row],[Вес нетто]]</f>
        <v>0.14500366300366296</v>
      </c>
      <c r="V28" s="121">
        <f>MONTH(Таблица18[[#This Row],[Дата акта]])</f>
        <v>6</v>
      </c>
      <c r="W28" s="121">
        <v>1</v>
      </c>
      <c r="X28" s="148">
        <f>DATE(1900,Таблица18[[#This Row],[Месяц]],Таблица18[[#This Row],[Число]])</f>
        <v>153</v>
      </c>
      <c r="Y28" s="121"/>
      <c r="Z28" s="121" t="str">
        <f>Таблица18[[#This Row],[Хар-ка]]</f>
        <v>высший</v>
      </c>
      <c r="AD28" s="459"/>
      <c r="AE28" s="391"/>
    </row>
    <row r="29" spans="1:31" s="325" customFormat="1" ht="15.6" hidden="1" customHeight="1" x14ac:dyDescent="0.2">
      <c r="A29" s="360" t="s">
        <v>1838</v>
      </c>
      <c r="B29" s="360" t="s">
        <v>511</v>
      </c>
      <c r="C29" s="361">
        <v>117</v>
      </c>
      <c r="D29" s="362">
        <v>63336</v>
      </c>
      <c r="E29" s="360" t="s">
        <v>1787</v>
      </c>
      <c r="F29" s="360" t="s">
        <v>1792</v>
      </c>
      <c r="G29" s="360" t="s">
        <v>80</v>
      </c>
      <c r="H29" s="360" t="s">
        <v>1789</v>
      </c>
      <c r="I29" s="360" t="e">
        <f>VLOOKUP(Таблица18[[#This Row],[Номер акта]],$AB$1:$AF$1833,3,FALSE)</f>
        <v>#N/A</v>
      </c>
      <c r="J29" s="360" t="s">
        <v>21</v>
      </c>
      <c r="K29" s="360" t="s">
        <v>82</v>
      </c>
      <c r="L29" s="363">
        <v>27750</v>
      </c>
      <c r="M29" s="363">
        <v>14280</v>
      </c>
      <c r="N29" s="364">
        <v>14.5</v>
      </c>
      <c r="O29" s="363">
        <v>13470</v>
      </c>
      <c r="P29" s="363">
        <v>11516.8</v>
      </c>
      <c r="Q29" s="121">
        <v>2023</v>
      </c>
      <c r="R29" s="121"/>
      <c r="S29" s="148">
        <v>45078</v>
      </c>
      <c r="T29" s="363">
        <f>Таблица18[[#This Row],[Вес нетто]]-Таблица18[[#This Row],[Зачетный вес]]</f>
        <v>1953.2000000000007</v>
      </c>
      <c r="U29" s="365">
        <f>Таблица18[[#This Row],[Отход]]/Таблица18[[#This Row],[Вес нетто]]</f>
        <v>0.14500371195248707</v>
      </c>
      <c r="V29" s="121">
        <f>MONTH(Таблица18[[#This Row],[Дата акта]])</f>
        <v>6</v>
      </c>
      <c r="W29" s="121">
        <v>1</v>
      </c>
      <c r="X29" s="148">
        <f>DATE(1900,Таблица18[[#This Row],[Месяц]],Таблица18[[#This Row],[Число]])</f>
        <v>153</v>
      </c>
      <c r="Y29" s="121"/>
      <c r="Z29" s="121" t="str">
        <f>Таблица18[[#This Row],[Хар-ка]]</f>
        <v>высший</v>
      </c>
      <c r="AD29" s="459"/>
      <c r="AE29" s="391"/>
    </row>
    <row r="30" spans="1:31" s="325" customFormat="1" ht="15.6" hidden="1" customHeight="1" x14ac:dyDescent="0.2">
      <c r="A30" s="360" t="s">
        <v>1839</v>
      </c>
      <c r="B30" s="360" t="s">
        <v>511</v>
      </c>
      <c r="C30" s="361">
        <v>118</v>
      </c>
      <c r="D30" s="362">
        <v>63337</v>
      </c>
      <c r="E30" s="360" t="s">
        <v>1787</v>
      </c>
      <c r="F30" s="360" t="s">
        <v>1812</v>
      </c>
      <c r="G30" s="360" t="s">
        <v>1813</v>
      </c>
      <c r="H30" s="360" t="s">
        <v>1789</v>
      </c>
      <c r="I30" s="360" t="e">
        <f>VLOOKUP(Таблица18[[#This Row],[Номер акта]],$AB$1:$AF$1833,3,FALSE)</f>
        <v>#N/A</v>
      </c>
      <c r="J30" s="360" t="s">
        <v>21</v>
      </c>
      <c r="K30" s="360" t="s">
        <v>82</v>
      </c>
      <c r="L30" s="363">
        <v>27390</v>
      </c>
      <c r="M30" s="363">
        <v>14320</v>
      </c>
      <c r="N30" s="364">
        <v>14.5</v>
      </c>
      <c r="O30" s="363">
        <v>13070</v>
      </c>
      <c r="P30" s="363">
        <v>11174.8</v>
      </c>
      <c r="Q30" s="121">
        <v>2023</v>
      </c>
      <c r="R30" s="121"/>
      <c r="S30" s="148">
        <v>45078</v>
      </c>
      <c r="T30" s="363">
        <f>Таблица18[[#This Row],[Вес нетто]]-Таблица18[[#This Row],[Зачетный вес]]</f>
        <v>1895.2000000000007</v>
      </c>
      <c r="U30" s="365">
        <f>Таблица18[[#This Row],[Отход]]/Таблица18[[#This Row],[Вес нетто]]</f>
        <v>0.14500382555470548</v>
      </c>
      <c r="V30" s="121">
        <f>MONTH(Таблица18[[#This Row],[Дата акта]])</f>
        <v>6</v>
      </c>
      <c r="W30" s="121">
        <v>1</v>
      </c>
      <c r="X30" s="148">
        <f>DATE(1900,Таблица18[[#This Row],[Месяц]],Таблица18[[#This Row],[Число]])</f>
        <v>153</v>
      </c>
      <c r="Y30" s="121"/>
      <c r="Z30" s="121" t="str">
        <f>Таблица18[[#This Row],[Хар-ка]]</f>
        <v>высший</v>
      </c>
      <c r="AD30" s="459"/>
      <c r="AE30" s="391"/>
    </row>
    <row r="31" spans="1:31" s="325" customFormat="1" ht="15.6" hidden="1" customHeight="1" x14ac:dyDescent="0.2">
      <c r="A31" s="360" t="s">
        <v>1840</v>
      </c>
      <c r="B31" s="360" t="s">
        <v>511</v>
      </c>
      <c r="C31" s="361">
        <v>119</v>
      </c>
      <c r="D31" s="362">
        <v>63338</v>
      </c>
      <c r="E31" s="360" t="s">
        <v>1787</v>
      </c>
      <c r="F31" s="360" t="s">
        <v>1841</v>
      </c>
      <c r="G31" s="360" t="s">
        <v>137</v>
      </c>
      <c r="H31" s="360" t="s">
        <v>1789</v>
      </c>
      <c r="I31" s="360" t="e">
        <f>VLOOKUP(Таблица18[[#This Row],[Номер акта]],$AB$1:$AF$1833,3,FALSE)</f>
        <v>#N/A</v>
      </c>
      <c r="J31" s="360" t="s">
        <v>21</v>
      </c>
      <c r="K31" s="360" t="s">
        <v>82</v>
      </c>
      <c r="L31" s="363">
        <v>32760</v>
      </c>
      <c r="M31" s="363">
        <v>17300</v>
      </c>
      <c r="N31" s="364">
        <v>12.5</v>
      </c>
      <c r="O31" s="363">
        <v>15460</v>
      </c>
      <c r="P31" s="363">
        <v>13527.5</v>
      </c>
      <c r="Q31" s="121">
        <v>2023</v>
      </c>
      <c r="R31" s="121"/>
      <c r="S31" s="148">
        <v>45078</v>
      </c>
      <c r="T31" s="363">
        <f>Таблица18[[#This Row],[Вес нетто]]-Таблица18[[#This Row],[Зачетный вес]]</f>
        <v>1932.5</v>
      </c>
      <c r="U31" s="365">
        <f>Таблица18[[#This Row],[Отход]]/Таблица18[[#This Row],[Вес нетто]]</f>
        <v>0.125</v>
      </c>
      <c r="V31" s="121">
        <f>MONTH(Таблица18[[#This Row],[Дата акта]])</f>
        <v>6</v>
      </c>
      <c r="W31" s="121">
        <v>1</v>
      </c>
      <c r="X31" s="148">
        <f>DATE(1900,Таблица18[[#This Row],[Месяц]],Таблица18[[#This Row],[Число]])</f>
        <v>153</v>
      </c>
      <c r="Y31" s="121"/>
      <c r="Z31" s="121" t="str">
        <f>Таблица18[[#This Row],[Хар-ка]]</f>
        <v>высший</v>
      </c>
      <c r="AD31" s="459"/>
      <c r="AE31" s="391"/>
    </row>
    <row r="32" spans="1:31" s="325" customFormat="1" ht="15.6" hidden="1" customHeight="1" x14ac:dyDescent="0.2">
      <c r="A32" s="360" t="s">
        <v>1842</v>
      </c>
      <c r="B32" s="360" t="s">
        <v>511</v>
      </c>
      <c r="C32" s="361">
        <v>121</v>
      </c>
      <c r="D32" s="362">
        <v>63340</v>
      </c>
      <c r="E32" s="360" t="s">
        <v>1787</v>
      </c>
      <c r="F32" s="360" t="s">
        <v>1843</v>
      </c>
      <c r="G32" s="360" t="s">
        <v>119</v>
      </c>
      <c r="H32" s="360" t="s">
        <v>1789</v>
      </c>
      <c r="I32" s="360" t="e">
        <f>VLOOKUP(Таблица18[[#This Row],[Номер акта]],$AB$1:$AF$1833,3,FALSE)</f>
        <v>#N/A</v>
      </c>
      <c r="J32" s="360" t="s">
        <v>21</v>
      </c>
      <c r="K32" s="360" t="s">
        <v>82</v>
      </c>
      <c r="L32" s="363">
        <v>38430</v>
      </c>
      <c r="M32" s="363">
        <v>20970</v>
      </c>
      <c r="N32" s="364">
        <v>13.5</v>
      </c>
      <c r="O32" s="363">
        <v>17460</v>
      </c>
      <c r="P32" s="363">
        <v>15102.9</v>
      </c>
      <c r="Q32" s="121">
        <v>2023</v>
      </c>
      <c r="R32" s="121"/>
      <c r="S32" s="148">
        <v>45078</v>
      </c>
      <c r="T32" s="363">
        <f>Таблица18[[#This Row],[Вес нетто]]-Таблица18[[#This Row],[Зачетный вес]]</f>
        <v>2357.1000000000004</v>
      </c>
      <c r="U32" s="365">
        <f>Таблица18[[#This Row],[Отход]]/Таблица18[[#This Row],[Вес нетто]]</f>
        <v>0.13500000000000001</v>
      </c>
      <c r="V32" s="121">
        <f>MONTH(Таблица18[[#This Row],[Дата акта]])</f>
        <v>6</v>
      </c>
      <c r="W32" s="121">
        <v>1</v>
      </c>
      <c r="X32" s="148">
        <f>DATE(1900,Таблица18[[#This Row],[Месяц]],Таблица18[[#This Row],[Число]])</f>
        <v>153</v>
      </c>
      <c r="Y32" s="121"/>
      <c r="Z32" s="121" t="str">
        <f>Таблица18[[#This Row],[Хар-ка]]</f>
        <v>высший</v>
      </c>
      <c r="AD32" s="459"/>
      <c r="AE32" s="391"/>
    </row>
    <row r="33" spans="1:31" s="325" customFormat="1" ht="15.6" hidden="1" customHeight="1" x14ac:dyDescent="0.2">
      <c r="A33" s="360" t="s">
        <v>1844</v>
      </c>
      <c r="B33" s="360" t="s">
        <v>511</v>
      </c>
      <c r="C33" s="361">
        <v>122</v>
      </c>
      <c r="D33" s="362">
        <v>63341</v>
      </c>
      <c r="E33" s="360" t="s">
        <v>1787</v>
      </c>
      <c r="F33" s="360" t="s">
        <v>311</v>
      </c>
      <c r="G33" s="360" t="s">
        <v>315</v>
      </c>
      <c r="H33" s="360" t="s">
        <v>1789</v>
      </c>
      <c r="I33" s="360" t="e">
        <f>VLOOKUP(Таблица18[[#This Row],[Номер акта]],$AB$1:$AF$1833,3,FALSE)</f>
        <v>#N/A</v>
      </c>
      <c r="J33" s="360" t="s">
        <v>21</v>
      </c>
      <c r="K33" s="360" t="s">
        <v>82</v>
      </c>
      <c r="L33" s="363">
        <v>28400</v>
      </c>
      <c r="M33" s="363">
        <v>15150</v>
      </c>
      <c r="N33" s="364">
        <v>14.5</v>
      </c>
      <c r="O33" s="363">
        <v>13250</v>
      </c>
      <c r="P33" s="363">
        <v>11328.7</v>
      </c>
      <c r="Q33" s="121">
        <v>2023</v>
      </c>
      <c r="R33" s="121"/>
      <c r="S33" s="148">
        <v>45078</v>
      </c>
      <c r="T33" s="363">
        <f>Таблица18[[#This Row],[Вес нетто]]-Таблица18[[#This Row],[Зачетный вес]]</f>
        <v>1921.2999999999993</v>
      </c>
      <c r="U33" s="365">
        <f>Таблица18[[#This Row],[Отход]]/Таблица18[[#This Row],[Вес нетто]]</f>
        <v>0.1450037735849056</v>
      </c>
      <c r="V33" s="121">
        <f>MONTH(Таблица18[[#This Row],[Дата акта]])</f>
        <v>6</v>
      </c>
      <c r="W33" s="121">
        <v>1</v>
      </c>
      <c r="X33" s="148">
        <f>DATE(1900,Таблица18[[#This Row],[Месяц]],Таблица18[[#This Row],[Число]])</f>
        <v>153</v>
      </c>
      <c r="Y33" s="121"/>
      <c r="Z33" s="121" t="str">
        <f>Таблица18[[#This Row],[Хар-ка]]</f>
        <v>высший</v>
      </c>
      <c r="AD33" s="459"/>
      <c r="AE33" s="391"/>
    </row>
    <row r="34" spans="1:31" s="325" customFormat="1" ht="15.6" hidden="1" customHeight="1" x14ac:dyDescent="0.2">
      <c r="A34" s="360" t="s">
        <v>1845</v>
      </c>
      <c r="B34" s="360" t="s">
        <v>511</v>
      </c>
      <c r="C34" s="361">
        <v>123</v>
      </c>
      <c r="D34" s="362">
        <v>63342</v>
      </c>
      <c r="E34" s="360" t="s">
        <v>1787</v>
      </c>
      <c r="F34" s="360" t="s">
        <v>1846</v>
      </c>
      <c r="G34" s="360" t="s">
        <v>1799</v>
      </c>
      <c r="H34" s="360" t="s">
        <v>1789</v>
      </c>
      <c r="I34" s="360" t="e">
        <f>VLOOKUP(Таблица18[[#This Row],[Номер акта]],$AB$1:$AF$1833,3,FALSE)</f>
        <v>#N/A</v>
      </c>
      <c r="J34" s="360" t="s">
        <v>21</v>
      </c>
      <c r="K34" s="360" t="s">
        <v>82</v>
      </c>
      <c r="L34" s="363">
        <v>29020</v>
      </c>
      <c r="M34" s="363">
        <v>15660</v>
      </c>
      <c r="N34" s="364">
        <v>14.5</v>
      </c>
      <c r="O34" s="363">
        <v>13360</v>
      </c>
      <c r="P34" s="363">
        <v>11422.8</v>
      </c>
      <c r="Q34" s="121">
        <v>2023</v>
      </c>
      <c r="R34" s="121"/>
      <c r="S34" s="148">
        <v>45078</v>
      </c>
      <c r="T34" s="363">
        <f>Таблица18[[#This Row],[Вес нетто]]-Таблица18[[#This Row],[Зачетный вес]]</f>
        <v>1937.2000000000007</v>
      </c>
      <c r="U34" s="365">
        <f>Таблица18[[#This Row],[Отход]]/Таблица18[[#This Row],[Вес нетто]]</f>
        <v>0.14500000000000005</v>
      </c>
      <c r="V34" s="121">
        <f>MONTH(Таблица18[[#This Row],[Дата акта]])</f>
        <v>6</v>
      </c>
      <c r="W34" s="121">
        <v>1</v>
      </c>
      <c r="X34" s="148">
        <f>DATE(1900,Таблица18[[#This Row],[Месяц]],Таблица18[[#This Row],[Число]])</f>
        <v>153</v>
      </c>
      <c r="Y34" s="121"/>
      <c r="Z34" s="121" t="str">
        <f>Таблица18[[#This Row],[Хар-ка]]</f>
        <v>высший</v>
      </c>
      <c r="AD34" s="459"/>
      <c r="AE34" s="391"/>
    </row>
    <row r="35" spans="1:31" s="325" customFormat="1" ht="15.6" hidden="1" customHeight="1" x14ac:dyDescent="0.2">
      <c r="A35" s="360" t="s">
        <v>1847</v>
      </c>
      <c r="B35" s="360" t="s">
        <v>511</v>
      </c>
      <c r="C35" s="361">
        <v>124</v>
      </c>
      <c r="D35" s="362">
        <v>63345</v>
      </c>
      <c r="E35" s="360" t="s">
        <v>1787</v>
      </c>
      <c r="F35" s="360" t="s">
        <v>1822</v>
      </c>
      <c r="G35" s="360" t="s">
        <v>1802</v>
      </c>
      <c r="H35" s="360" t="s">
        <v>1789</v>
      </c>
      <c r="I35" s="360" t="e">
        <f>VLOOKUP(Таблица18[[#This Row],[Номер акта]],$AB$1:$AF$1833,3,FALSE)</f>
        <v>#N/A</v>
      </c>
      <c r="J35" s="360" t="s">
        <v>21</v>
      </c>
      <c r="K35" s="360" t="s">
        <v>82</v>
      </c>
      <c r="L35" s="363">
        <v>30270</v>
      </c>
      <c r="M35" s="363">
        <v>14740</v>
      </c>
      <c r="N35" s="364">
        <v>15.5</v>
      </c>
      <c r="O35" s="363">
        <v>15530</v>
      </c>
      <c r="P35" s="363">
        <v>13122.8</v>
      </c>
      <c r="Q35" s="121">
        <v>2023</v>
      </c>
      <c r="R35" s="121"/>
      <c r="S35" s="148">
        <v>45078</v>
      </c>
      <c r="T35" s="363">
        <f>Таблица18[[#This Row],[Вес нетто]]-Таблица18[[#This Row],[Зачетный вес]]</f>
        <v>2407.2000000000007</v>
      </c>
      <c r="U35" s="365">
        <f>Таблица18[[#This Row],[Отход]]/Таблица18[[#This Row],[Вес нетто]]</f>
        <v>0.15500321957501614</v>
      </c>
      <c r="V35" s="121">
        <f>MONTH(Таблица18[[#This Row],[Дата акта]])</f>
        <v>6</v>
      </c>
      <c r="W35" s="121">
        <v>1</v>
      </c>
      <c r="X35" s="148">
        <f>DATE(1900,Таблица18[[#This Row],[Месяц]],Таблица18[[#This Row],[Число]])</f>
        <v>153</v>
      </c>
      <c r="Y35" s="121"/>
      <c r="Z35" s="121" t="str">
        <f>Таблица18[[#This Row],[Хар-ка]]</f>
        <v>высший</v>
      </c>
      <c r="AD35" s="459"/>
      <c r="AE35" s="391"/>
    </row>
    <row r="36" spans="1:31" s="325" customFormat="1" ht="15.6" hidden="1" customHeight="1" x14ac:dyDescent="0.2">
      <c r="A36" s="360" t="s">
        <v>1848</v>
      </c>
      <c r="B36" s="360" t="s">
        <v>511</v>
      </c>
      <c r="C36" s="361">
        <v>125</v>
      </c>
      <c r="D36" s="362">
        <v>63344</v>
      </c>
      <c r="E36" s="360" t="s">
        <v>1787</v>
      </c>
      <c r="F36" s="360" t="s">
        <v>305</v>
      </c>
      <c r="G36" s="360" t="s">
        <v>309</v>
      </c>
      <c r="H36" s="360" t="s">
        <v>1789</v>
      </c>
      <c r="I36" s="360" t="e">
        <f>VLOOKUP(Таблица18[[#This Row],[Номер акта]],$AB$1:$AF$1833,3,FALSE)</f>
        <v>#N/A</v>
      </c>
      <c r="J36" s="360" t="s">
        <v>21</v>
      </c>
      <c r="K36" s="360" t="s">
        <v>82</v>
      </c>
      <c r="L36" s="363">
        <v>30070</v>
      </c>
      <c r="M36" s="363">
        <v>14420</v>
      </c>
      <c r="N36" s="364">
        <v>14.5</v>
      </c>
      <c r="O36" s="363">
        <v>15650</v>
      </c>
      <c r="P36" s="363">
        <v>13380.7</v>
      </c>
      <c r="Q36" s="121">
        <v>2023</v>
      </c>
      <c r="R36" s="121"/>
      <c r="S36" s="148">
        <v>45078</v>
      </c>
      <c r="T36" s="363">
        <f>Таблица18[[#This Row],[Вес нетто]]-Таблица18[[#This Row],[Зачетный вес]]</f>
        <v>2269.2999999999993</v>
      </c>
      <c r="U36" s="365">
        <f>Таблица18[[#This Row],[Отход]]/Таблица18[[#This Row],[Вес нетто]]</f>
        <v>0.14500319488817887</v>
      </c>
      <c r="V36" s="121">
        <f>MONTH(Таблица18[[#This Row],[Дата акта]])</f>
        <v>6</v>
      </c>
      <c r="W36" s="121">
        <v>1</v>
      </c>
      <c r="X36" s="148">
        <f>DATE(1900,Таблица18[[#This Row],[Месяц]],Таблица18[[#This Row],[Число]])</f>
        <v>153</v>
      </c>
      <c r="Y36" s="121"/>
      <c r="Z36" s="121" t="str">
        <f>Таблица18[[#This Row],[Хар-ка]]</f>
        <v>высший</v>
      </c>
      <c r="AD36" s="459"/>
      <c r="AE36" s="391"/>
    </row>
    <row r="37" spans="1:31" s="325" customFormat="1" ht="15.6" hidden="1" customHeight="1" x14ac:dyDescent="0.2">
      <c r="A37" s="360" t="s">
        <v>1849</v>
      </c>
      <c r="B37" s="360" t="s">
        <v>511</v>
      </c>
      <c r="C37" s="361">
        <v>126</v>
      </c>
      <c r="D37" s="362">
        <v>63343</v>
      </c>
      <c r="E37" s="360" t="s">
        <v>1787</v>
      </c>
      <c r="F37" s="360" t="s">
        <v>1850</v>
      </c>
      <c r="G37" s="360" t="s">
        <v>333</v>
      </c>
      <c r="H37" s="360" t="s">
        <v>1789</v>
      </c>
      <c r="I37" s="360" t="e">
        <f>VLOOKUP(Таблица18[[#This Row],[Номер акта]],$AB$1:$AF$1833,3,FALSE)</f>
        <v>#N/A</v>
      </c>
      <c r="J37" s="360" t="s">
        <v>21</v>
      </c>
      <c r="K37" s="360" t="s">
        <v>82</v>
      </c>
      <c r="L37" s="363">
        <v>30170</v>
      </c>
      <c r="M37" s="363">
        <v>14890</v>
      </c>
      <c r="N37" s="364">
        <v>15.5</v>
      </c>
      <c r="O37" s="363">
        <v>15280</v>
      </c>
      <c r="P37" s="363">
        <v>12911.6</v>
      </c>
      <c r="Q37" s="121">
        <v>2023</v>
      </c>
      <c r="R37" s="121"/>
      <c r="S37" s="148">
        <v>45079</v>
      </c>
      <c r="T37" s="363">
        <f>Таблица18[[#This Row],[Вес нетто]]-Таблица18[[#This Row],[Зачетный вес]]</f>
        <v>2368.3999999999996</v>
      </c>
      <c r="U37" s="365">
        <f>Таблица18[[#This Row],[Отход]]/Таблица18[[#This Row],[Вес нетто]]</f>
        <v>0.15499999999999997</v>
      </c>
      <c r="V37" s="121">
        <f>MONTH(Таблица18[[#This Row],[Дата акта]])</f>
        <v>6</v>
      </c>
      <c r="W37" s="121">
        <v>2</v>
      </c>
      <c r="X37" s="148">
        <f>DATE(1900,Таблица18[[#This Row],[Месяц]],Таблица18[[#This Row],[Число]])</f>
        <v>154</v>
      </c>
      <c r="Y37" s="121"/>
      <c r="Z37" s="121" t="str">
        <f>Таблица18[[#This Row],[Хар-ка]]</f>
        <v>высший</v>
      </c>
      <c r="AD37" s="459"/>
      <c r="AE37" s="391"/>
    </row>
    <row r="38" spans="1:31" s="325" customFormat="1" ht="15.6" hidden="1" customHeight="1" x14ac:dyDescent="0.2">
      <c r="A38" s="360" t="s">
        <v>1851</v>
      </c>
      <c r="B38" s="360" t="s">
        <v>511</v>
      </c>
      <c r="C38" s="361">
        <v>127</v>
      </c>
      <c r="D38" s="362">
        <v>63346</v>
      </c>
      <c r="E38" s="360" t="s">
        <v>1787</v>
      </c>
      <c r="F38" s="360" t="s">
        <v>121</v>
      </c>
      <c r="G38" s="360" t="s">
        <v>125</v>
      </c>
      <c r="H38" s="360" t="s">
        <v>1789</v>
      </c>
      <c r="I38" s="360" t="e">
        <f>VLOOKUP(Таблица18[[#This Row],[Номер акта]],$AB$1:$AF$1833,3,FALSE)</f>
        <v>#N/A</v>
      </c>
      <c r="J38" s="360" t="s">
        <v>21</v>
      </c>
      <c r="K38" s="360" t="s">
        <v>82</v>
      </c>
      <c r="L38" s="363">
        <v>29980</v>
      </c>
      <c r="M38" s="363">
        <v>14480</v>
      </c>
      <c r="N38" s="364">
        <v>14.5</v>
      </c>
      <c r="O38" s="363">
        <v>15500</v>
      </c>
      <c r="P38" s="363">
        <v>13252.5</v>
      </c>
      <c r="Q38" s="121">
        <v>2023</v>
      </c>
      <c r="R38" s="121"/>
      <c r="S38" s="148">
        <v>45079</v>
      </c>
      <c r="T38" s="363">
        <f>Таблица18[[#This Row],[Вес нетто]]-Таблица18[[#This Row],[Зачетный вес]]</f>
        <v>2247.5</v>
      </c>
      <c r="U38" s="365">
        <f>Таблица18[[#This Row],[Отход]]/Таблица18[[#This Row],[Вес нетто]]</f>
        <v>0.14499999999999999</v>
      </c>
      <c r="V38" s="121">
        <f>MONTH(Таблица18[[#This Row],[Дата акта]])</f>
        <v>6</v>
      </c>
      <c r="W38" s="121">
        <v>2</v>
      </c>
      <c r="X38" s="148">
        <f>DATE(1900,Таблица18[[#This Row],[Месяц]],Таблица18[[#This Row],[Число]])</f>
        <v>154</v>
      </c>
      <c r="Y38" s="121"/>
      <c r="Z38" s="121" t="str">
        <f>Таблица18[[#This Row],[Хар-ка]]</f>
        <v>высший</v>
      </c>
      <c r="AD38" s="459"/>
      <c r="AE38" s="391"/>
    </row>
    <row r="39" spans="1:31" s="325" customFormat="1" ht="15.6" hidden="1" customHeight="1" x14ac:dyDescent="0.2">
      <c r="A39" s="360" t="s">
        <v>1852</v>
      </c>
      <c r="B39" s="360" t="s">
        <v>511</v>
      </c>
      <c r="C39" s="361">
        <v>128</v>
      </c>
      <c r="D39" s="362">
        <v>63347</v>
      </c>
      <c r="E39" s="360" t="s">
        <v>1787</v>
      </c>
      <c r="F39" s="360" t="s">
        <v>1794</v>
      </c>
      <c r="G39" s="360" t="s">
        <v>1795</v>
      </c>
      <c r="H39" s="360" t="s">
        <v>1789</v>
      </c>
      <c r="I39" s="360" t="e">
        <f>VLOOKUP(Таблица18[[#This Row],[Номер акта]],$AB$1:$AF$1833,3,FALSE)</f>
        <v>#N/A</v>
      </c>
      <c r="J39" s="360" t="s">
        <v>21</v>
      </c>
      <c r="K39" s="360" t="s">
        <v>82</v>
      </c>
      <c r="L39" s="363">
        <v>28610</v>
      </c>
      <c r="M39" s="363">
        <v>13290</v>
      </c>
      <c r="N39" s="364">
        <v>12.5</v>
      </c>
      <c r="O39" s="363">
        <v>15320</v>
      </c>
      <c r="P39" s="363">
        <v>13405</v>
      </c>
      <c r="Q39" s="121">
        <v>2023</v>
      </c>
      <c r="R39" s="121"/>
      <c r="S39" s="148">
        <v>45079</v>
      </c>
      <c r="T39" s="363">
        <f>Таблица18[[#This Row],[Вес нетто]]-Таблица18[[#This Row],[Зачетный вес]]</f>
        <v>1915</v>
      </c>
      <c r="U39" s="365">
        <f>Таблица18[[#This Row],[Отход]]/Таблица18[[#This Row],[Вес нетто]]</f>
        <v>0.125</v>
      </c>
      <c r="V39" s="121">
        <f>MONTH(Таблица18[[#This Row],[Дата акта]])</f>
        <v>6</v>
      </c>
      <c r="W39" s="121">
        <v>2</v>
      </c>
      <c r="X39" s="148">
        <f>DATE(1900,Таблица18[[#This Row],[Месяц]],Таблица18[[#This Row],[Число]])</f>
        <v>154</v>
      </c>
      <c r="Y39" s="121"/>
      <c r="Z39" s="121" t="str">
        <f>Таблица18[[#This Row],[Хар-ка]]</f>
        <v>высший</v>
      </c>
      <c r="AD39" s="459"/>
      <c r="AE39" s="391"/>
    </row>
    <row r="40" spans="1:31" s="325" customFormat="1" ht="15.6" hidden="1" customHeight="1" x14ac:dyDescent="0.2">
      <c r="A40" s="360" t="s">
        <v>1853</v>
      </c>
      <c r="B40" s="360" t="s">
        <v>511</v>
      </c>
      <c r="C40" s="361">
        <v>129</v>
      </c>
      <c r="D40" s="362">
        <v>63348</v>
      </c>
      <c r="E40" s="360" t="s">
        <v>1787</v>
      </c>
      <c r="F40" s="360" t="s">
        <v>1834</v>
      </c>
      <c r="G40" s="360" t="s">
        <v>1836</v>
      </c>
      <c r="H40" s="360" t="s">
        <v>1789</v>
      </c>
      <c r="I40" s="360" t="e">
        <f>VLOOKUP(Таблица18[[#This Row],[Номер акта]],$AB$1:$AF$1833,3,FALSE)</f>
        <v>#N/A</v>
      </c>
      <c r="J40" s="360" t="s">
        <v>21</v>
      </c>
      <c r="K40" s="360" t="s">
        <v>82</v>
      </c>
      <c r="L40" s="363">
        <v>27730</v>
      </c>
      <c r="M40" s="363">
        <v>14380</v>
      </c>
      <c r="N40" s="364">
        <v>6.5</v>
      </c>
      <c r="O40" s="363">
        <v>13350</v>
      </c>
      <c r="P40" s="363">
        <v>12482.2</v>
      </c>
      <c r="Q40" s="121">
        <v>2023</v>
      </c>
      <c r="R40" s="121"/>
      <c r="S40" s="148">
        <v>45079</v>
      </c>
      <c r="T40" s="363">
        <f>Таблица18[[#This Row],[Вес нетто]]-Таблица18[[#This Row],[Зачетный вес]]</f>
        <v>867.79999999999927</v>
      </c>
      <c r="U40" s="365">
        <f>Таблица18[[#This Row],[Отход]]/Таблица18[[#This Row],[Вес нетто]]</f>
        <v>6.5003745318351999E-2</v>
      </c>
      <c r="V40" s="121">
        <f>MONTH(Таблица18[[#This Row],[Дата акта]])</f>
        <v>6</v>
      </c>
      <c r="W40" s="121">
        <v>2</v>
      </c>
      <c r="X40" s="148">
        <f>DATE(1900,Таблица18[[#This Row],[Месяц]],Таблица18[[#This Row],[Число]])</f>
        <v>154</v>
      </c>
      <c r="Y40" s="121"/>
      <c r="Z40" s="121" t="str">
        <f>Таблица18[[#This Row],[Хар-ка]]</f>
        <v>высший</v>
      </c>
      <c r="AD40" s="459"/>
      <c r="AE40" s="391"/>
    </row>
    <row r="41" spans="1:31" s="325" customFormat="1" ht="15.6" hidden="1" customHeight="1" x14ac:dyDescent="0.2">
      <c r="A41" s="360" t="s">
        <v>1854</v>
      </c>
      <c r="B41" s="360" t="s">
        <v>511</v>
      </c>
      <c r="C41" s="361">
        <v>130</v>
      </c>
      <c r="D41" s="362">
        <v>1</v>
      </c>
      <c r="E41" s="360" t="s">
        <v>78</v>
      </c>
      <c r="F41" s="360" t="s">
        <v>1792</v>
      </c>
      <c r="G41" s="360" t="s">
        <v>80</v>
      </c>
      <c r="H41" s="360" t="s">
        <v>1855</v>
      </c>
      <c r="I41" s="360" t="e">
        <f>VLOOKUP(Таблица18[[#This Row],[Номер акта]],$AB$1:$AF$1833,3,FALSE)</f>
        <v>#N/A</v>
      </c>
      <c r="J41" s="360" t="s">
        <v>21</v>
      </c>
      <c r="K41" s="360" t="s">
        <v>82</v>
      </c>
      <c r="L41" s="363">
        <v>16410</v>
      </c>
      <c r="M41" s="363">
        <v>9650</v>
      </c>
      <c r="N41" s="364">
        <v>8</v>
      </c>
      <c r="O41" s="363">
        <v>6760</v>
      </c>
      <c r="P41" s="363">
        <v>6219.2</v>
      </c>
      <c r="Q41" s="121">
        <v>2023</v>
      </c>
      <c r="R41" s="121"/>
      <c r="S41" s="148">
        <v>45079</v>
      </c>
      <c r="T41" s="363">
        <f>Таблица18[[#This Row],[Вес нетто]]-Таблица18[[#This Row],[Зачетный вес]]</f>
        <v>540.80000000000018</v>
      </c>
      <c r="U41" s="365">
        <f>Таблица18[[#This Row],[Отход]]/Таблица18[[#This Row],[Вес нетто]]</f>
        <v>8.0000000000000029E-2</v>
      </c>
      <c r="V41" s="121">
        <f>MONTH(Таблица18[[#This Row],[Дата акта]])</f>
        <v>6</v>
      </c>
      <c r="W41" s="121">
        <v>2</v>
      </c>
      <c r="X41" s="148">
        <f>DATE(1900,Таблица18[[#This Row],[Месяц]],Таблица18[[#This Row],[Число]])</f>
        <v>154</v>
      </c>
      <c r="Y41" s="121"/>
      <c r="Z41" s="121" t="str">
        <f>Таблица18[[#This Row],[Хар-ка]]</f>
        <v>высший</v>
      </c>
      <c r="AD41" s="459"/>
      <c r="AE41" s="391"/>
    </row>
    <row r="42" spans="1:31" s="325" customFormat="1" ht="15.6" hidden="1" customHeight="1" x14ac:dyDescent="0.2">
      <c r="A42" s="360" t="s">
        <v>1856</v>
      </c>
      <c r="B42" s="360" t="s">
        <v>511</v>
      </c>
      <c r="C42" s="361">
        <v>131</v>
      </c>
      <c r="D42" s="362">
        <v>63333</v>
      </c>
      <c r="E42" s="360" t="s">
        <v>1787</v>
      </c>
      <c r="F42" s="360" t="s">
        <v>1834</v>
      </c>
      <c r="G42" s="360" t="s">
        <v>1807</v>
      </c>
      <c r="H42" s="360" t="s">
        <v>1789</v>
      </c>
      <c r="I42" s="360" t="e">
        <f>VLOOKUP(Таблица18[[#This Row],[Номер акта]],$AB$1:$AF$1833,3,FALSE)</f>
        <v>#N/A</v>
      </c>
      <c r="J42" s="360" t="s">
        <v>21</v>
      </c>
      <c r="K42" s="360" t="s">
        <v>82</v>
      </c>
      <c r="L42" s="363">
        <v>27780</v>
      </c>
      <c r="M42" s="363">
        <v>14280</v>
      </c>
      <c r="N42" s="364">
        <v>15.5</v>
      </c>
      <c r="O42" s="363">
        <v>13500</v>
      </c>
      <c r="P42" s="363">
        <v>11407.5</v>
      </c>
      <c r="Q42" s="121">
        <v>2023</v>
      </c>
      <c r="R42" s="121"/>
      <c r="S42" s="148">
        <v>45079</v>
      </c>
      <c r="T42" s="363">
        <f>Таблица18[[#This Row],[Вес нетто]]-Таблица18[[#This Row],[Зачетный вес]]</f>
        <v>2092.5</v>
      </c>
      <c r="U42" s="365">
        <f>Таблица18[[#This Row],[Отход]]/Таблица18[[#This Row],[Вес нетто]]</f>
        <v>0.155</v>
      </c>
      <c r="V42" s="121">
        <f>MONTH(Таблица18[[#This Row],[Дата акта]])</f>
        <v>6</v>
      </c>
      <c r="W42" s="121">
        <v>2</v>
      </c>
      <c r="X42" s="148">
        <f>DATE(1900,Таблица18[[#This Row],[Месяц]],Таблица18[[#This Row],[Число]])</f>
        <v>154</v>
      </c>
      <c r="Y42" s="121"/>
      <c r="Z42" s="121" t="str">
        <f>Таблица18[[#This Row],[Хар-ка]]</f>
        <v>высший</v>
      </c>
      <c r="AD42" s="459"/>
      <c r="AE42" s="391"/>
    </row>
    <row r="43" spans="1:31" s="325" customFormat="1" ht="15.6" hidden="1" customHeight="1" x14ac:dyDescent="0.2">
      <c r="A43" s="360" t="s">
        <v>1857</v>
      </c>
      <c r="B43" s="360" t="s">
        <v>511</v>
      </c>
      <c r="C43" s="361">
        <v>132</v>
      </c>
      <c r="D43" s="362">
        <v>63332</v>
      </c>
      <c r="E43" s="360" t="s">
        <v>1787</v>
      </c>
      <c r="F43" s="360" t="s">
        <v>1832</v>
      </c>
      <c r="G43" s="360" t="s">
        <v>1810</v>
      </c>
      <c r="H43" s="360" t="s">
        <v>1789</v>
      </c>
      <c r="I43" s="360" t="e">
        <f>VLOOKUP(Таблица18[[#This Row],[Номер акта]],$AB$1:$AF$1833,3,FALSE)</f>
        <v>#N/A</v>
      </c>
      <c r="J43" s="360" t="s">
        <v>21</v>
      </c>
      <c r="K43" s="360" t="s">
        <v>82</v>
      </c>
      <c r="L43" s="363">
        <v>27190</v>
      </c>
      <c r="M43" s="363">
        <v>13940</v>
      </c>
      <c r="N43" s="364">
        <v>9.5</v>
      </c>
      <c r="O43" s="363">
        <v>13250</v>
      </c>
      <c r="P43" s="363">
        <v>11991.2</v>
      </c>
      <c r="Q43" s="121">
        <v>2023</v>
      </c>
      <c r="R43" s="121"/>
      <c r="S43" s="148">
        <v>45079</v>
      </c>
      <c r="T43" s="363">
        <f>Таблица18[[#This Row],[Вес нетто]]-Таблица18[[#This Row],[Зачетный вес]]</f>
        <v>1258.7999999999993</v>
      </c>
      <c r="U43" s="365">
        <f>Таблица18[[#This Row],[Отход]]/Таблица18[[#This Row],[Вес нетто]]</f>
        <v>9.500377358490561E-2</v>
      </c>
      <c r="V43" s="121">
        <f>MONTH(Таблица18[[#This Row],[Дата акта]])</f>
        <v>6</v>
      </c>
      <c r="W43" s="121">
        <v>2</v>
      </c>
      <c r="X43" s="148">
        <f>DATE(1900,Таблица18[[#This Row],[Месяц]],Таблица18[[#This Row],[Число]])</f>
        <v>154</v>
      </c>
      <c r="Y43" s="121"/>
      <c r="Z43" s="121" t="str">
        <f>Таблица18[[#This Row],[Хар-ка]]</f>
        <v>высший</v>
      </c>
      <c r="AD43" s="459"/>
      <c r="AE43" s="391"/>
    </row>
    <row r="44" spans="1:31" s="325" customFormat="1" ht="15.6" hidden="1" customHeight="1" x14ac:dyDescent="0.2">
      <c r="A44" s="360" t="s">
        <v>1858</v>
      </c>
      <c r="B44" s="360" t="s">
        <v>511</v>
      </c>
      <c r="C44" s="361">
        <v>133</v>
      </c>
      <c r="D44" s="362">
        <v>2</v>
      </c>
      <c r="E44" s="360" t="s">
        <v>78</v>
      </c>
      <c r="F44" s="360" t="s">
        <v>1792</v>
      </c>
      <c r="G44" s="360" t="s">
        <v>80</v>
      </c>
      <c r="H44" s="360" t="s">
        <v>1855</v>
      </c>
      <c r="I44" s="360" t="e">
        <f>VLOOKUP(Таблица18[[#This Row],[Номер акта]],$AB$1:$AF$1833,3,FALSE)</f>
        <v>#N/A</v>
      </c>
      <c r="J44" s="360" t="s">
        <v>21</v>
      </c>
      <c r="K44" s="360" t="s">
        <v>82</v>
      </c>
      <c r="L44" s="363">
        <v>16430</v>
      </c>
      <c r="M44" s="363">
        <v>9640</v>
      </c>
      <c r="N44" s="364">
        <v>9</v>
      </c>
      <c r="O44" s="363">
        <v>6790</v>
      </c>
      <c r="P44" s="363">
        <v>6178.9</v>
      </c>
      <c r="Q44" s="121">
        <v>2023</v>
      </c>
      <c r="R44" s="121"/>
      <c r="S44" s="148">
        <v>45079</v>
      </c>
      <c r="T44" s="363">
        <f>Таблица18[[#This Row],[Вес нетто]]-Таблица18[[#This Row],[Зачетный вес]]</f>
        <v>611.10000000000036</v>
      </c>
      <c r="U44" s="365">
        <f>Таблица18[[#This Row],[Отход]]/Таблица18[[#This Row],[Вес нетто]]</f>
        <v>9.0000000000000052E-2</v>
      </c>
      <c r="V44" s="121">
        <f>MONTH(Таблица18[[#This Row],[Дата акта]])</f>
        <v>6</v>
      </c>
      <c r="W44" s="121">
        <v>2</v>
      </c>
      <c r="X44" s="148">
        <f>DATE(1900,Таблица18[[#This Row],[Месяц]],Таблица18[[#This Row],[Число]])</f>
        <v>154</v>
      </c>
      <c r="Y44" s="121"/>
      <c r="Z44" s="121" t="str">
        <f>Таблица18[[#This Row],[Хар-ка]]</f>
        <v>высший</v>
      </c>
      <c r="AD44" s="459"/>
      <c r="AE44" s="391"/>
    </row>
    <row r="45" spans="1:31" s="325" customFormat="1" ht="15.6" hidden="1" customHeight="1" x14ac:dyDescent="0.2">
      <c r="A45" s="360" t="s">
        <v>1859</v>
      </c>
      <c r="B45" s="360" t="s">
        <v>511</v>
      </c>
      <c r="C45" s="361">
        <v>134</v>
      </c>
      <c r="D45" s="362">
        <v>63351</v>
      </c>
      <c r="E45" s="360" t="s">
        <v>1787</v>
      </c>
      <c r="F45" s="360" t="s">
        <v>1812</v>
      </c>
      <c r="G45" s="360" t="s">
        <v>1813</v>
      </c>
      <c r="H45" s="360" t="s">
        <v>1789</v>
      </c>
      <c r="I45" s="360" t="e">
        <f>VLOOKUP(Таблица18[[#This Row],[Номер акта]],$AB$1:$AF$1833,3,FALSE)</f>
        <v>#N/A</v>
      </c>
      <c r="J45" s="360" t="s">
        <v>21</v>
      </c>
      <c r="K45" s="360" t="s">
        <v>82</v>
      </c>
      <c r="L45" s="363">
        <v>27950</v>
      </c>
      <c r="M45" s="363">
        <v>14490</v>
      </c>
      <c r="N45" s="364">
        <v>8.5</v>
      </c>
      <c r="O45" s="363">
        <v>13460</v>
      </c>
      <c r="P45" s="363">
        <v>12315.9</v>
      </c>
      <c r="Q45" s="121">
        <v>2023</v>
      </c>
      <c r="R45" s="121"/>
      <c r="S45" s="148">
        <v>45079</v>
      </c>
      <c r="T45" s="363">
        <f>Таблица18[[#This Row],[Вес нетто]]-Таблица18[[#This Row],[Зачетный вес]]</f>
        <v>1144.1000000000004</v>
      </c>
      <c r="U45" s="365">
        <f>Таблица18[[#This Row],[Отход]]/Таблица18[[#This Row],[Вес нетто]]</f>
        <v>8.5000000000000034E-2</v>
      </c>
      <c r="V45" s="121">
        <f>MONTH(Таблица18[[#This Row],[Дата акта]])</f>
        <v>6</v>
      </c>
      <c r="W45" s="121">
        <v>2</v>
      </c>
      <c r="X45" s="148">
        <f>DATE(1900,Таблица18[[#This Row],[Месяц]],Таблица18[[#This Row],[Число]])</f>
        <v>154</v>
      </c>
      <c r="Y45" s="121"/>
      <c r="Z45" s="121" t="str">
        <f>Таблица18[[#This Row],[Хар-ка]]</f>
        <v>высший</v>
      </c>
      <c r="AD45" s="459"/>
      <c r="AE45" s="391"/>
    </row>
    <row r="46" spans="1:31" s="325" customFormat="1" ht="15.6" hidden="1" customHeight="1" x14ac:dyDescent="0.2">
      <c r="A46" s="360" t="s">
        <v>1860</v>
      </c>
      <c r="B46" s="360" t="s">
        <v>511</v>
      </c>
      <c r="C46" s="361">
        <v>135</v>
      </c>
      <c r="D46" s="366">
        <v>63352</v>
      </c>
      <c r="E46" s="360" t="s">
        <v>1787</v>
      </c>
      <c r="F46" s="360" t="s">
        <v>133</v>
      </c>
      <c r="G46" s="360" t="s">
        <v>137</v>
      </c>
      <c r="H46" s="360" t="s">
        <v>1789</v>
      </c>
      <c r="I46" s="360" t="e">
        <f>VLOOKUP(Таблица18[[#This Row],[Номер акта]],$AB$1:$AF$1833,3,FALSE)</f>
        <v>#N/A</v>
      </c>
      <c r="J46" s="360" t="s">
        <v>21</v>
      </c>
      <c r="K46" s="360" t="s">
        <v>82</v>
      </c>
      <c r="L46" s="363">
        <v>33310</v>
      </c>
      <c r="M46" s="363">
        <v>17310</v>
      </c>
      <c r="N46" s="364">
        <v>10.5</v>
      </c>
      <c r="O46" s="363">
        <v>16000</v>
      </c>
      <c r="P46" s="363">
        <v>14320</v>
      </c>
      <c r="Q46" s="121">
        <v>2023</v>
      </c>
      <c r="R46" s="121"/>
      <c r="S46" s="148">
        <v>45079</v>
      </c>
      <c r="T46" s="363">
        <f>Таблица18[[#This Row],[Вес нетто]]-Таблица18[[#This Row],[Зачетный вес]]</f>
        <v>1680</v>
      </c>
      <c r="U46" s="365">
        <f>Таблица18[[#This Row],[Отход]]/Таблица18[[#This Row],[Вес нетто]]</f>
        <v>0.105</v>
      </c>
      <c r="V46" s="121">
        <f>MONTH(Таблица18[[#This Row],[Дата акта]])</f>
        <v>6</v>
      </c>
      <c r="W46" s="121">
        <v>2</v>
      </c>
      <c r="X46" s="148">
        <f>DATE(1900,Таблица18[[#This Row],[Месяц]],Таблица18[[#This Row],[Число]])</f>
        <v>154</v>
      </c>
      <c r="Y46" s="121"/>
      <c r="Z46" s="121" t="str">
        <f>Таблица18[[#This Row],[Хар-ка]]</f>
        <v>высший</v>
      </c>
      <c r="AD46" s="459"/>
      <c r="AE46" s="391"/>
    </row>
    <row r="47" spans="1:31" s="325" customFormat="1" ht="15.6" hidden="1" customHeight="1" x14ac:dyDescent="0.2">
      <c r="A47" s="360" t="s">
        <v>1861</v>
      </c>
      <c r="B47" s="360" t="s">
        <v>511</v>
      </c>
      <c r="C47" s="361">
        <v>136</v>
      </c>
      <c r="D47" s="366">
        <v>63354</v>
      </c>
      <c r="E47" s="360" t="s">
        <v>1787</v>
      </c>
      <c r="F47" s="360" t="s">
        <v>1788</v>
      </c>
      <c r="G47" s="360" t="s">
        <v>131</v>
      </c>
      <c r="H47" s="360" t="s">
        <v>1789</v>
      </c>
      <c r="I47" s="360" t="e">
        <f>VLOOKUP(Таблица18[[#This Row],[Номер акта]],$AB$1:$AF$1833,3,FALSE)</f>
        <v>#N/A</v>
      </c>
      <c r="J47" s="360" t="s">
        <v>21</v>
      </c>
      <c r="K47" s="360" t="s">
        <v>82</v>
      </c>
      <c r="L47" s="363">
        <v>27730</v>
      </c>
      <c r="M47" s="363">
        <v>14420</v>
      </c>
      <c r="N47" s="364">
        <v>10.5</v>
      </c>
      <c r="O47" s="363">
        <v>13310</v>
      </c>
      <c r="P47" s="363">
        <v>11912.4</v>
      </c>
      <c r="Q47" s="121">
        <v>2023</v>
      </c>
      <c r="R47" s="121"/>
      <c r="S47" s="148">
        <v>45079</v>
      </c>
      <c r="T47" s="363">
        <f>Таблица18[[#This Row],[Вес нетто]]-Таблица18[[#This Row],[Зачетный вес]]</f>
        <v>1397.6000000000004</v>
      </c>
      <c r="U47" s="365">
        <f>Таблица18[[#This Row],[Отход]]/Таблица18[[#This Row],[Вес нетто]]</f>
        <v>0.10500375657400454</v>
      </c>
      <c r="V47" s="121">
        <f>MONTH(Таблица18[[#This Row],[Дата акта]])</f>
        <v>6</v>
      </c>
      <c r="W47" s="121">
        <v>2</v>
      </c>
      <c r="X47" s="148">
        <f>DATE(1900,Таблица18[[#This Row],[Месяц]],Таблица18[[#This Row],[Число]])</f>
        <v>154</v>
      </c>
      <c r="Y47" s="121"/>
      <c r="Z47" s="121" t="str">
        <f>Таблица18[[#This Row],[Хар-ка]]</f>
        <v>высший</v>
      </c>
      <c r="AD47" s="459"/>
      <c r="AE47" s="391"/>
    </row>
    <row r="48" spans="1:31" s="325" customFormat="1" ht="15.6" hidden="1" customHeight="1" x14ac:dyDescent="0.2">
      <c r="A48" s="360" t="s">
        <v>1862</v>
      </c>
      <c r="B48" s="360" t="s">
        <v>511</v>
      </c>
      <c r="C48" s="361">
        <v>137</v>
      </c>
      <c r="D48" s="362">
        <v>63353</v>
      </c>
      <c r="E48" s="360" t="s">
        <v>1787</v>
      </c>
      <c r="F48" s="360" t="s">
        <v>1843</v>
      </c>
      <c r="G48" s="360" t="s">
        <v>119</v>
      </c>
      <c r="H48" s="360" t="s">
        <v>1789</v>
      </c>
      <c r="I48" s="360" t="e">
        <f>VLOOKUP(Таблица18[[#This Row],[Номер акта]],$AB$1:$AF$1833,3,FALSE)</f>
        <v>#N/A</v>
      </c>
      <c r="J48" s="360" t="s">
        <v>21</v>
      </c>
      <c r="K48" s="360" t="s">
        <v>82</v>
      </c>
      <c r="L48" s="363">
        <v>38600</v>
      </c>
      <c r="M48" s="363">
        <v>20770</v>
      </c>
      <c r="N48" s="364">
        <v>7.5</v>
      </c>
      <c r="O48" s="363">
        <v>17830</v>
      </c>
      <c r="P48" s="363">
        <v>16492.7</v>
      </c>
      <c r="Q48" s="121">
        <v>2023</v>
      </c>
      <c r="R48" s="121"/>
      <c r="S48" s="148">
        <v>45079</v>
      </c>
      <c r="T48" s="363">
        <f>Таблица18[[#This Row],[Вес нетто]]-Таблица18[[#This Row],[Зачетный вес]]</f>
        <v>1337.2999999999993</v>
      </c>
      <c r="U48" s="365">
        <f>Таблица18[[#This Row],[Отход]]/Таблица18[[#This Row],[Вес нетто]]</f>
        <v>7.5002804262478934E-2</v>
      </c>
      <c r="V48" s="121">
        <f>MONTH(Таблица18[[#This Row],[Дата акта]])</f>
        <v>6</v>
      </c>
      <c r="W48" s="121">
        <v>2</v>
      </c>
      <c r="X48" s="148">
        <f>DATE(1900,Таблица18[[#This Row],[Месяц]],Таблица18[[#This Row],[Число]])</f>
        <v>154</v>
      </c>
      <c r="Y48" s="121"/>
      <c r="Z48" s="121" t="str">
        <f>Таблица18[[#This Row],[Хар-ка]]</f>
        <v>высший</v>
      </c>
      <c r="AD48" s="459"/>
      <c r="AE48" s="391"/>
    </row>
    <row r="49" spans="1:31" s="325" customFormat="1" ht="15.6" hidden="1" customHeight="1" x14ac:dyDescent="0.2">
      <c r="A49" s="360" t="s">
        <v>1863</v>
      </c>
      <c r="B49" s="360" t="s">
        <v>511</v>
      </c>
      <c r="C49" s="361">
        <v>138</v>
      </c>
      <c r="D49" s="362">
        <v>3</v>
      </c>
      <c r="E49" s="360" t="s">
        <v>78</v>
      </c>
      <c r="F49" s="360" t="s">
        <v>1792</v>
      </c>
      <c r="G49" s="360" t="s">
        <v>80</v>
      </c>
      <c r="H49" s="360" t="s">
        <v>1855</v>
      </c>
      <c r="I49" s="360" t="e">
        <f>VLOOKUP(Таблица18[[#This Row],[Номер акта]],$AB$1:$AF$1833,3,FALSE)</f>
        <v>#N/A</v>
      </c>
      <c r="J49" s="360" t="s">
        <v>21</v>
      </c>
      <c r="K49" s="360" t="s">
        <v>82</v>
      </c>
      <c r="L49" s="363">
        <v>16430</v>
      </c>
      <c r="M49" s="363">
        <v>9630</v>
      </c>
      <c r="N49" s="364">
        <v>12</v>
      </c>
      <c r="O49" s="363">
        <v>6800</v>
      </c>
      <c r="P49" s="363">
        <v>5984</v>
      </c>
      <c r="Q49" s="121">
        <v>2023</v>
      </c>
      <c r="R49" s="121"/>
      <c r="S49" s="148">
        <v>45080</v>
      </c>
      <c r="T49" s="363">
        <f>Таблица18[[#This Row],[Вес нетто]]-Таблица18[[#This Row],[Зачетный вес]]</f>
        <v>816</v>
      </c>
      <c r="U49" s="365">
        <f>Таблица18[[#This Row],[Отход]]/Таблица18[[#This Row],[Вес нетто]]</f>
        <v>0.12</v>
      </c>
      <c r="V49" s="121">
        <f>MONTH(Таблица18[[#This Row],[Дата акта]])</f>
        <v>6</v>
      </c>
      <c r="W49" s="121">
        <v>3</v>
      </c>
      <c r="X49" s="148">
        <f>DATE(1900,Таблица18[[#This Row],[Месяц]],Таблица18[[#This Row],[Число]])</f>
        <v>155</v>
      </c>
      <c r="Y49" s="121"/>
      <c r="Z49" s="121" t="str">
        <f>Таблица18[[#This Row],[Хар-ка]]</f>
        <v>высший</v>
      </c>
      <c r="AD49" s="459"/>
      <c r="AE49" s="391"/>
    </row>
    <row r="50" spans="1:31" s="325" customFormat="1" ht="15.6" hidden="1" customHeight="1" x14ac:dyDescent="0.2">
      <c r="A50" s="360" t="s">
        <v>1864</v>
      </c>
      <c r="B50" s="360" t="s">
        <v>511</v>
      </c>
      <c r="C50" s="361">
        <v>139</v>
      </c>
      <c r="D50" s="362">
        <v>63357</v>
      </c>
      <c r="E50" s="360" t="s">
        <v>1787</v>
      </c>
      <c r="F50" s="360" t="s">
        <v>1804</v>
      </c>
      <c r="G50" s="360" t="s">
        <v>536</v>
      </c>
      <c r="H50" s="360" t="s">
        <v>1789</v>
      </c>
      <c r="I50" s="360" t="e">
        <f>VLOOKUP(Таблица18[[#This Row],[Номер акта]],$AB$1:$AF$1833,3,FALSE)</f>
        <v>#N/A</v>
      </c>
      <c r="J50" s="360" t="s">
        <v>21</v>
      </c>
      <c r="K50" s="360" t="s">
        <v>82</v>
      </c>
      <c r="L50" s="363">
        <v>27700</v>
      </c>
      <c r="M50" s="363">
        <v>14500</v>
      </c>
      <c r="N50" s="364">
        <v>8.5</v>
      </c>
      <c r="O50" s="363">
        <v>13200</v>
      </c>
      <c r="P50" s="363">
        <v>12078</v>
      </c>
      <c r="Q50" s="121">
        <v>2023</v>
      </c>
      <c r="R50" s="121"/>
      <c r="S50" s="148">
        <v>45080</v>
      </c>
      <c r="T50" s="363">
        <f>Таблица18[[#This Row],[Вес нетто]]-Таблица18[[#This Row],[Зачетный вес]]</f>
        <v>1122</v>
      </c>
      <c r="U50" s="365">
        <f>Таблица18[[#This Row],[Отход]]/Таблица18[[#This Row],[Вес нетто]]</f>
        <v>8.5000000000000006E-2</v>
      </c>
      <c r="V50" s="121">
        <f>MONTH(Таблица18[[#This Row],[Дата акта]])</f>
        <v>6</v>
      </c>
      <c r="W50" s="121">
        <v>3</v>
      </c>
      <c r="X50" s="148">
        <f>DATE(1900,Таблица18[[#This Row],[Месяц]],Таблица18[[#This Row],[Число]])</f>
        <v>155</v>
      </c>
      <c r="Y50" s="121"/>
      <c r="Z50" s="121" t="str">
        <f>Таблица18[[#This Row],[Хар-ка]]</f>
        <v>высший</v>
      </c>
      <c r="AD50" s="459"/>
      <c r="AE50" s="391"/>
    </row>
    <row r="51" spans="1:31" s="325" customFormat="1" ht="15.6" hidden="1" customHeight="1" x14ac:dyDescent="0.2">
      <c r="A51" s="360" t="s">
        <v>1865</v>
      </c>
      <c r="B51" s="360" t="s">
        <v>511</v>
      </c>
      <c r="C51" s="361">
        <v>140</v>
      </c>
      <c r="D51" s="362">
        <v>63358</v>
      </c>
      <c r="E51" s="360" t="s">
        <v>1787</v>
      </c>
      <c r="F51" s="360" t="s">
        <v>1866</v>
      </c>
      <c r="G51" s="360" t="s">
        <v>216</v>
      </c>
      <c r="H51" s="360" t="s">
        <v>1789</v>
      </c>
      <c r="I51" s="360" t="e">
        <f>VLOOKUP(Таблица18[[#This Row],[Номер акта]],$AB$1:$AF$1833,3,FALSE)</f>
        <v>#N/A</v>
      </c>
      <c r="J51" s="360" t="s">
        <v>21</v>
      </c>
      <c r="K51" s="360" t="s">
        <v>82</v>
      </c>
      <c r="L51" s="363">
        <v>27170</v>
      </c>
      <c r="M51" s="363">
        <v>13890</v>
      </c>
      <c r="N51" s="364">
        <v>10.5</v>
      </c>
      <c r="O51" s="363">
        <v>13280</v>
      </c>
      <c r="P51" s="363">
        <v>11885.6</v>
      </c>
      <c r="Q51" s="121">
        <v>2023</v>
      </c>
      <c r="R51" s="121"/>
      <c r="S51" s="148">
        <v>45080</v>
      </c>
      <c r="T51" s="363">
        <f>Таблица18[[#This Row],[Вес нетто]]-Таблица18[[#This Row],[Зачетный вес]]</f>
        <v>1394.3999999999996</v>
      </c>
      <c r="U51" s="365">
        <f>Таблица18[[#This Row],[Отход]]/Таблица18[[#This Row],[Вес нетто]]</f>
        <v>0.10499999999999997</v>
      </c>
      <c r="V51" s="121">
        <f>MONTH(Таблица18[[#This Row],[Дата акта]])</f>
        <v>6</v>
      </c>
      <c r="W51" s="121">
        <v>3</v>
      </c>
      <c r="X51" s="148">
        <f>DATE(1900,Таблица18[[#This Row],[Месяц]],Таблица18[[#This Row],[Число]])</f>
        <v>155</v>
      </c>
      <c r="Y51" s="121"/>
      <c r="Z51" s="121" t="str">
        <f>Таблица18[[#This Row],[Хар-ка]]</f>
        <v>высший</v>
      </c>
      <c r="AD51" s="459"/>
      <c r="AE51" s="391"/>
    </row>
    <row r="52" spans="1:31" s="325" customFormat="1" ht="15.6" hidden="1" customHeight="1" x14ac:dyDescent="0.2">
      <c r="A52" s="360" t="s">
        <v>1867</v>
      </c>
      <c r="B52" s="360" t="s">
        <v>511</v>
      </c>
      <c r="C52" s="361">
        <v>141</v>
      </c>
      <c r="D52" s="362">
        <v>4</v>
      </c>
      <c r="E52" s="360" t="s">
        <v>78</v>
      </c>
      <c r="F52" s="360" t="s">
        <v>1792</v>
      </c>
      <c r="G52" s="360" t="s">
        <v>80</v>
      </c>
      <c r="H52" s="360" t="s">
        <v>1855</v>
      </c>
      <c r="I52" s="360" t="e">
        <f>VLOOKUP(Таблица18[[#This Row],[Номер акта]],$AB$1:$AF$1833,3,FALSE)</f>
        <v>#N/A</v>
      </c>
      <c r="J52" s="360" t="s">
        <v>21</v>
      </c>
      <c r="K52" s="360" t="s">
        <v>82</v>
      </c>
      <c r="L52" s="363">
        <v>14120</v>
      </c>
      <c r="M52" s="363">
        <v>9630</v>
      </c>
      <c r="N52" s="364">
        <v>13</v>
      </c>
      <c r="O52" s="363">
        <v>4490</v>
      </c>
      <c r="P52" s="363">
        <v>3906.3</v>
      </c>
      <c r="Q52" s="121">
        <v>2023</v>
      </c>
      <c r="R52" s="121"/>
      <c r="S52" s="148">
        <v>45080</v>
      </c>
      <c r="T52" s="363">
        <f>Таблица18[[#This Row],[Вес нетто]]-Таблица18[[#This Row],[Зачетный вес]]</f>
        <v>583.69999999999982</v>
      </c>
      <c r="U52" s="365">
        <f>Таблица18[[#This Row],[Отход]]/Таблица18[[#This Row],[Вес нетто]]</f>
        <v>0.12999999999999995</v>
      </c>
      <c r="V52" s="121">
        <f>MONTH(Таблица18[[#This Row],[Дата акта]])</f>
        <v>6</v>
      </c>
      <c r="W52" s="121">
        <v>3</v>
      </c>
      <c r="X52" s="148">
        <f>DATE(1900,Таблица18[[#This Row],[Месяц]],Таблица18[[#This Row],[Число]])</f>
        <v>155</v>
      </c>
      <c r="Y52" s="121"/>
      <c r="Z52" s="121" t="str">
        <f>Таблица18[[#This Row],[Хар-ка]]</f>
        <v>высший</v>
      </c>
      <c r="AD52" s="459"/>
      <c r="AE52" s="391"/>
    </row>
    <row r="53" spans="1:31" s="325" customFormat="1" ht="15.6" hidden="1" customHeight="1" x14ac:dyDescent="0.2">
      <c r="A53" s="360" t="s">
        <v>1868</v>
      </c>
      <c r="B53" s="360" t="s">
        <v>511</v>
      </c>
      <c r="C53" s="361">
        <v>142</v>
      </c>
      <c r="D53" s="362">
        <v>63359</v>
      </c>
      <c r="E53" s="360" t="s">
        <v>1787</v>
      </c>
      <c r="F53" s="360" t="s">
        <v>1794</v>
      </c>
      <c r="G53" s="360" t="s">
        <v>1795</v>
      </c>
      <c r="H53" s="360" t="s">
        <v>1789</v>
      </c>
      <c r="I53" s="360" t="e">
        <f>VLOOKUP(Таблица18[[#This Row],[Номер акта]],$AB$1:$AF$1833,3,FALSE)</f>
        <v>#N/A</v>
      </c>
      <c r="J53" s="360" t="s">
        <v>21</v>
      </c>
      <c r="K53" s="360" t="s">
        <v>82</v>
      </c>
      <c r="L53" s="363">
        <v>26280</v>
      </c>
      <c r="M53" s="363">
        <v>13190</v>
      </c>
      <c r="N53" s="364">
        <v>12.5</v>
      </c>
      <c r="O53" s="363">
        <v>13090</v>
      </c>
      <c r="P53" s="363">
        <v>11453.7</v>
      </c>
      <c r="Q53" s="121">
        <v>2023</v>
      </c>
      <c r="R53" s="121"/>
      <c r="S53" s="148">
        <v>45080</v>
      </c>
      <c r="T53" s="363">
        <f>Таблица18[[#This Row],[Вес нетто]]-Таблица18[[#This Row],[Зачетный вес]]</f>
        <v>1636.2999999999993</v>
      </c>
      <c r="U53" s="365">
        <f>Таблица18[[#This Row],[Отход]]/Таблица18[[#This Row],[Вес нетто]]</f>
        <v>0.12500381970970201</v>
      </c>
      <c r="V53" s="121">
        <f>MONTH(Таблица18[[#This Row],[Дата акта]])</f>
        <v>6</v>
      </c>
      <c r="W53" s="121">
        <v>3</v>
      </c>
      <c r="X53" s="148">
        <f>DATE(1900,Таблица18[[#This Row],[Месяц]],Таблица18[[#This Row],[Число]])</f>
        <v>155</v>
      </c>
      <c r="Y53" s="121"/>
      <c r="Z53" s="121" t="str">
        <f>Таблица18[[#This Row],[Хар-ка]]</f>
        <v>высший</v>
      </c>
      <c r="AD53" s="459"/>
      <c r="AE53" s="391"/>
    </row>
    <row r="54" spans="1:31" s="325" customFormat="1" ht="15.6" hidden="1" customHeight="1" x14ac:dyDescent="0.2">
      <c r="A54" s="360" t="s">
        <v>1869</v>
      </c>
      <c r="B54" s="360" t="s">
        <v>511</v>
      </c>
      <c r="C54" s="361">
        <v>143</v>
      </c>
      <c r="D54" s="362">
        <v>63360</v>
      </c>
      <c r="E54" s="360" t="s">
        <v>1787</v>
      </c>
      <c r="F54" s="360" t="s">
        <v>1846</v>
      </c>
      <c r="G54" s="360" t="s">
        <v>1799</v>
      </c>
      <c r="H54" s="360" t="s">
        <v>1789</v>
      </c>
      <c r="I54" s="360" t="e">
        <f>VLOOKUP(Таблица18[[#This Row],[Номер акта]],$AB$1:$AF$1833,3,FALSE)</f>
        <v>#N/A</v>
      </c>
      <c r="J54" s="360" t="s">
        <v>21</v>
      </c>
      <c r="K54" s="360" t="s">
        <v>82</v>
      </c>
      <c r="L54" s="363">
        <v>28590</v>
      </c>
      <c r="M54" s="363">
        <v>15460</v>
      </c>
      <c r="N54" s="364">
        <v>13.5</v>
      </c>
      <c r="O54" s="363">
        <v>13130</v>
      </c>
      <c r="P54" s="363">
        <v>11357.4</v>
      </c>
      <c r="Q54" s="121">
        <v>2023</v>
      </c>
      <c r="R54" s="121"/>
      <c r="S54" s="148">
        <v>45080</v>
      </c>
      <c r="T54" s="363">
        <f>Таблица18[[#This Row],[Вес нетто]]-Таблица18[[#This Row],[Зачетный вес]]</f>
        <v>1772.6000000000004</v>
      </c>
      <c r="U54" s="365">
        <f>Таблица18[[#This Row],[Отход]]/Таблица18[[#This Row],[Вес нетто]]</f>
        <v>0.13500380807311504</v>
      </c>
      <c r="V54" s="121">
        <f>MONTH(Таблица18[[#This Row],[Дата акта]])</f>
        <v>6</v>
      </c>
      <c r="W54" s="121">
        <v>3</v>
      </c>
      <c r="X54" s="148">
        <f>DATE(1900,Таблица18[[#This Row],[Месяц]],Таблица18[[#This Row],[Число]])</f>
        <v>155</v>
      </c>
      <c r="Y54" s="121"/>
      <c r="Z54" s="121" t="str">
        <f>Таблица18[[#This Row],[Хар-ка]]</f>
        <v>высший</v>
      </c>
      <c r="AD54" s="459"/>
      <c r="AE54" s="391"/>
    </row>
    <row r="55" spans="1:31" s="325" customFormat="1" ht="15.6" hidden="1" customHeight="1" x14ac:dyDescent="0.2">
      <c r="A55" s="360" t="s">
        <v>1870</v>
      </c>
      <c r="B55" s="360" t="s">
        <v>511</v>
      </c>
      <c r="C55" s="361">
        <v>144</v>
      </c>
      <c r="D55" s="362">
        <v>5</v>
      </c>
      <c r="E55" s="360" t="s">
        <v>78</v>
      </c>
      <c r="F55" s="360" t="s">
        <v>127</v>
      </c>
      <c r="G55" s="360" t="s">
        <v>131</v>
      </c>
      <c r="H55" s="360" t="s">
        <v>1871</v>
      </c>
      <c r="I55" s="360" t="e">
        <f>VLOOKUP(Таблица18[[#This Row],[Номер акта]],$AB$1:$AF$1833,3,FALSE)</f>
        <v>#N/A</v>
      </c>
      <c r="J55" s="360" t="s">
        <v>21</v>
      </c>
      <c r="K55" s="360" t="s">
        <v>82</v>
      </c>
      <c r="L55" s="363">
        <v>16630</v>
      </c>
      <c r="M55" s="363">
        <v>9740</v>
      </c>
      <c r="N55" s="364">
        <v>14</v>
      </c>
      <c r="O55" s="363">
        <v>6890</v>
      </c>
      <c r="P55" s="363">
        <v>5925.4</v>
      </c>
      <c r="Q55" s="121">
        <v>2023</v>
      </c>
      <c r="R55" s="121"/>
      <c r="S55" s="148">
        <v>45080</v>
      </c>
      <c r="T55" s="363">
        <f>Таблица18[[#This Row],[Вес нетто]]-Таблица18[[#This Row],[Зачетный вес]]</f>
        <v>964.60000000000036</v>
      </c>
      <c r="U55" s="365">
        <f>Таблица18[[#This Row],[Отход]]/Таблица18[[#This Row],[Вес нетто]]</f>
        <v>0.14000000000000004</v>
      </c>
      <c r="V55" s="121">
        <f>MONTH(Таблица18[[#This Row],[Дата акта]])</f>
        <v>6</v>
      </c>
      <c r="W55" s="121">
        <v>3</v>
      </c>
      <c r="X55" s="148">
        <f>DATE(1900,Таблица18[[#This Row],[Месяц]],Таблица18[[#This Row],[Число]])</f>
        <v>155</v>
      </c>
      <c r="Y55" s="121"/>
      <c r="Z55" s="121" t="str">
        <f>Таблица18[[#This Row],[Хар-ка]]</f>
        <v>высший</v>
      </c>
      <c r="AD55" s="459"/>
      <c r="AE55" s="391"/>
    </row>
    <row r="56" spans="1:31" s="325" customFormat="1" ht="15.6" hidden="1" customHeight="1" x14ac:dyDescent="0.2">
      <c r="A56" s="360" t="s">
        <v>1872</v>
      </c>
      <c r="B56" s="360" t="s">
        <v>511</v>
      </c>
      <c r="C56" s="361">
        <v>145</v>
      </c>
      <c r="D56" s="362">
        <v>63363</v>
      </c>
      <c r="E56" s="360" t="s">
        <v>1787</v>
      </c>
      <c r="F56" s="360" t="s">
        <v>121</v>
      </c>
      <c r="G56" s="360" t="s">
        <v>125</v>
      </c>
      <c r="H56" s="360" t="s">
        <v>1789</v>
      </c>
      <c r="I56" s="360" t="e">
        <f>VLOOKUP(Таблица18[[#This Row],[Номер акта]],$AB$1:$AF$1833,3,FALSE)</f>
        <v>#N/A</v>
      </c>
      <c r="J56" s="360" t="s">
        <v>21</v>
      </c>
      <c r="K56" s="360" t="s">
        <v>82</v>
      </c>
      <c r="L56" s="363">
        <v>27700</v>
      </c>
      <c r="M56" s="363">
        <v>14450</v>
      </c>
      <c r="N56" s="364">
        <v>14.5</v>
      </c>
      <c r="O56" s="363">
        <v>13250</v>
      </c>
      <c r="P56" s="363">
        <v>11328.7</v>
      </c>
      <c r="Q56" s="121">
        <v>2023</v>
      </c>
      <c r="R56" s="121"/>
      <c r="S56" s="148">
        <v>45080</v>
      </c>
      <c r="T56" s="363">
        <f>Таблица18[[#This Row],[Вес нетто]]-Таблица18[[#This Row],[Зачетный вес]]</f>
        <v>1921.2999999999993</v>
      </c>
      <c r="U56" s="365">
        <f>Таблица18[[#This Row],[Отход]]/Таблица18[[#This Row],[Вес нетто]]</f>
        <v>0.1450037735849056</v>
      </c>
      <c r="V56" s="121">
        <f>MONTH(Таблица18[[#This Row],[Дата акта]])</f>
        <v>6</v>
      </c>
      <c r="W56" s="121">
        <v>3</v>
      </c>
      <c r="X56" s="148">
        <f>DATE(1900,Таблица18[[#This Row],[Месяц]],Таблица18[[#This Row],[Число]])</f>
        <v>155</v>
      </c>
      <c r="Y56" s="121"/>
      <c r="Z56" s="121" t="str">
        <f>Таблица18[[#This Row],[Хар-ка]]</f>
        <v>высший</v>
      </c>
      <c r="AD56" s="459"/>
      <c r="AE56" s="391"/>
    </row>
    <row r="57" spans="1:31" s="325" customFormat="1" ht="15.6" hidden="1" customHeight="1" x14ac:dyDescent="0.2">
      <c r="A57" s="360" t="s">
        <v>1873</v>
      </c>
      <c r="B57" s="360" t="s">
        <v>511</v>
      </c>
      <c r="C57" s="361">
        <v>146</v>
      </c>
      <c r="D57" s="362">
        <v>63361</v>
      </c>
      <c r="E57" s="360" t="s">
        <v>1787</v>
      </c>
      <c r="F57" s="360" t="s">
        <v>305</v>
      </c>
      <c r="G57" s="360" t="s">
        <v>309</v>
      </c>
      <c r="H57" s="360" t="s">
        <v>1789</v>
      </c>
      <c r="I57" s="360" t="e">
        <f>VLOOKUP(Таблица18[[#This Row],[Номер акта]],$AB$1:$AF$1833,3,FALSE)</f>
        <v>#N/A</v>
      </c>
      <c r="J57" s="360" t="s">
        <v>1753</v>
      </c>
      <c r="K57" s="360" t="s">
        <v>82</v>
      </c>
      <c r="L57" s="363">
        <v>27640</v>
      </c>
      <c r="M57" s="363">
        <v>14370</v>
      </c>
      <c r="N57" s="364">
        <v>14.5</v>
      </c>
      <c r="O57" s="363">
        <v>13270</v>
      </c>
      <c r="P57" s="363">
        <v>11345.8</v>
      </c>
      <c r="Q57" s="121">
        <v>2023</v>
      </c>
      <c r="R57" s="121"/>
      <c r="S57" s="148">
        <v>45080</v>
      </c>
      <c r="T57" s="363">
        <f>Таблица18[[#This Row],[Вес нетто]]-Таблица18[[#This Row],[Зачетный вес]]</f>
        <v>1924.2000000000007</v>
      </c>
      <c r="U57" s="365">
        <f>Таблица18[[#This Row],[Отход]]/Таблица18[[#This Row],[Вес нетто]]</f>
        <v>0.14500376789751324</v>
      </c>
      <c r="V57" s="121">
        <f>MONTH(Таблица18[[#This Row],[Дата акта]])</f>
        <v>6</v>
      </c>
      <c r="W57" s="121">
        <v>3</v>
      </c>
      <c r="X57" s="148">
        <f>DATE(1900,Таблица18[[#This Row],[Месяц]],Таблица18[[#This Row],[Число]])</f>
        <v>155</v>
      </c>
      <c r="Y57" s="121"/>
      <c r="Z57" s="121" t="str">
        <f>Таблица18[[#This Row],[Хар-ка]]</f>
        <v>высший</v>
      </c>
      <c r="AD57" s="459"/>
      <c r="AE57" s="391"/>
    </row>
    <row r="58" spans="1:31" s="325" customFormat="1" ht="15.6" hidden="1" customHeight="1" x14ac:dyDescent="0.2">
      <c r="A58" s="360" t="s">
        <v>1874</v>
      </c>
      <c r="B58" s="360" t="s">
        <v>511</v>
      </c>
      <c r="C58" s="361">
        <v>147</v>
      </c>
      <c r="D58" s="362">
        <v>6</v>
      </c>
      <c r="E58" s="360" t="s">
        <v>78</v>
      </c>
      <c r="F58" s="360" t="s">
        <v>127</v>
      </c>
      <c r="G58" s="360" t="s">
        <v>131</v>
      </c>
      <c r="H58" s="360" t="s">
        <v>1871</v>
      </c>
      <c r="I58" s="360" t="e">
        <f>VLOOKUP(Таблица18[[#This Row],[Номер акта]],$AB$1:$AF$1833,3,FALSE)</f>
        <v>#N/A</v>
      </c>
      <c r="J58" s="360" t="s">
        <v>21</v>
      </c>
      <c r="K58" s="360" t="s">
        <v>82</v>
      </c>
      <c r="L58" s="363">
        <v>14370</v>
      </c>
      <c r="M58" s="363">
        <v>9730</v>
      </c>
      <c r="N58" s="364">
        <v>15</v>
      </c>
      <c r="O58" s="363">
        <v>4640</v>
      </c>
      <c r="P58" s="363">
        <v>3944</v>
      </c>
      <c r="Q58" s="121">
        <v>2023</v>
      </c>
      <c r="R58" s="121"/>
      <c r="S58" s="148">
        <v>45080</v>
      </c>
      <c r="T58" s="363">
        <f>Таблица18[[#This Row],[Вес нетто]]-Таблица18[[#This Row],[Зачетный вес]]</f>
        <v>696</v>
      </c>
      <c r="U58" s="365">
        <f>Таблица18[[#This Row],[Отход]]/Таблица18[[#This Row],[Вес нетто]]</f>
        <v>0.15</v>
      </c>
      <c r="V58" s="121">
        <f>MONTH(Таблица18[[#This Row],[Дата акта]])</f>
        <v>6</v>
      </c>
      <c r="W58" s="121">
        <v>3</v>
      </c>
      <c r="X58" s="148">
        <f>DATE(1900,Таблица18[[#This Row],[Месяц]],Таблица18[[#This Row],[Число]])</f>
        <v>155</v>
      </c>
      <c r="Y58" s="121"/>
      <c r="Z58" s="121" t="str">
        <f>Таблица18[[#This Row],[Хар-ка]]</f>
        <v>высший</v>
      </c>
      <c r="AD58" s="459"/>
      <c r="AE58" s="391"/>
    </row>
    <row r="59" spans="1:31" s="325" customFormat="1" ht="15.6" hidden="1" customHeight="1" x14ac:dyDescent="0.2">
      <c r="A59" s="360" t="s">
        <v>1875</v>
      </c>
      <c r="B59" s="360" t="s">
        <v>511</v>
      </c>
      <c r="C59" s="361">
        <v>148</v>
      </c>
      <c r="D59" s="362">
        <v>63362</v>
      </c>
      <c r="E59" s="360" t="s">
        <v>1787</v>
      </c>
      <c r="F59" s="360" t="s">
        <v>1876</v>
      </c>
      <c r="G59" s="360" t="s">
        <v>333</v>
      </c>
      <c r="H59" s="360" t="s">
        <v>1789</v>
      </c>
      <c r="I59" s="360" t="e">
        <f>VLOOKUP(Таблица18[[#This Row],[Номер акта]],$AB$1:$AF$1833,3,FALSE)</f>
        <v>#N/A</v>
      </c>
      <c r="J59" s="360" t="s">
        <v>1753</v>
      </c>
      <c r="K59" s="360" t="s">
        <v>82</v>
      </c>
      <c r="L59" s="363">
        <v>28040</v>
      </c>
      <c r="M59" s="363">
        <v>14860</v>
      </c>
      <c r="N59" s="364">
        <v>14.5</v>
      </c>
      <c r="O59" s="363">
        <v>13180</v>
      </c>
      <c r="P59" s="363">
        <v>11268.9</v>
      </c>
      <c r="Q59" s="121">
        <v>2023</v>
      </c>
      <c r="R59" s="121"/>
      <c r="S59" s="148">
        <v>45080</v>
      </c>
      <c r="T59" s="363">
        <f>Таблица18[[#This Row],[Вес нетто]]-Таблица18[[#This Row],[Зачетный вес]]</f>
        <v>1911.1000000000004</v>
      </c>
      <c r="U59" s="365">
        <f>Таблица18[[#This Row],[Отход]]/Таблица18[[#This Row],[Вес нетто]]</f>
        <v>0.14500000000000002</v>
      </c>
      <c r="V59" s="121">
        <f>MONTH(Таблица18[[#This Row],[Дата акта]])</f>
        <v>6</v>
      </c>
      <c r="W59" s="121">
        <v>3</v>
      </c>
      <c r="X59" s="148">
        <f>DATE(1900,Таблица18[[#This Row],[Месяц]],Таблица18[[#This Row],[Число]])</f>
        <v>155</v>
      </c>
      <c r="Y59" s="121"/>
      <c r="Z59" s="121" t="str">
        <f>Таблица18[[#This Row],[Хар-ка]]</f>
        <v>высший</v>
      </c>
      <c r="AD59" s="459"/>
      <c r="AE59" s="391"/>
    </row>
    <row r="60" spans="1:31" s="325" customFormat="1" ht="15.6" hidden="1" customHeight="1" x14ac:dyDescent="0.2">
      <c r="A60" s="360" t="s">
        <v>1877</v>
      </c>
      <c r="B60" s="360" t="s">
        <v>550</v>
      </c>
      <c r="C60" s="361">
        <v>149</v>
      </c>
      <c r="D60" s="362">
        <v>63364</v>
      </c>
      <c r="E60" s="360" t="s">
        <v>1787</v>
      </c>
      <c r="F60" s="360" t="s">
        <v>311</v>
      </c>
      <c r="G60" s="360" t="s">
        <v>315</v>
      </c>
      <c r="H60" s="360" t="s">
        <v>1789</v>
      </c>
      <c r="I60" s="360" t="e">
        <f>VLOOKUP(Таблица18[[#This Row],[Номер акта]],$AB$1:$AF$1833,3,FALSE)</f>
        <v>#N/A</v>
      </c>
      <c r="J60" s="360" t="s">
        <v>1753</v>
      </c>
      <c r="K60" s="360" t="s">
        <v>82</v>
      </c>
      <c r="L60" s="363">
        <v>28380</v>
      </c>
      <c r="M60" s="363">
        <v>15020</v>
      </c>
      <c r="N60" s="364">
        <v>12.5</v>
      </c>
      <c r="O60" s="363">
        <v>13360</v>
      </c>
      <c r="P60" s="363">
        <v>11690</v>
      </c>
      <c r="Q60" s="121">
        <v>2023</v>
      </c>
      <c r="R60" s="121"/>
      <c r="S60" s="148">
        <v>45080</v>
      </c>
      <c r="T60" s="363">
        <f>Таблица18[[#This Row],[Вес нетто]]-Таблица18[[#This Row],[Зачетный вес]]</f>
        <v>1670</v>
      </c>
      <c r="U60" s="365">
        <f>Таблица18[[#This Row],[Отход]]/Таблица18[[#This Row],[Вес нетто]]</f>
        <v>0.125</v>
      </c>
      <c r="V60" s="121">
        <f>MONTH(Таблица18[[#This Row],[Дата акта]])</f>
        <v>6</v>
      </c>
      <c r="W60" s="121">
        <v>3</v>
      </c>
      <c r="X60" s="148">
        <f>DATE(1900,Таблица18[[#This Row],[Месяц]],Таблица18[[#This Row],[Число]])</f>
        <v>155</v>
      </c>
      <c r="Y60" s="121"/>
      <c r="Z60" s="121" t="str">
        <f>Таблица18[[#This Row],[Хар-ка]]</f>
        <v>первый</v>
      </c>
      <c r="AD60" s="459"/>
      <c r="AE60" s="391"/>
    </row>
    <row r="61" spans="1:31" s="325" customFormat="1" ht="15.6" hidden="1" customHeight="1" x14ac:dyDescent="0.2">
      <c r="A61" s="360" t="s">
        <v>1878</v>
      </c>
      <c r="B61" s="360" t="s">
        <v>511</v>
      </c>
      <c r="C61" s="361">
        <v>150</v>
      </c>
      <c r="D61" s="362">
        <v>7</v>
      </c>
      <c r="E61" s="360" t="s">
        <v>78</v>
      </c>
      <c r="F61" s="360" t="s">
        <v>1788</v>
      </c>
      <c r="G61" s="360" t="s">
        <v>131</v>
      </c>
      <c r="H61" s="360" t="s">
        <v>1871</v>
      </c>
      <c r="I61" s="360" t="e">
        <f>VLOOKUP(Таблица18[[#This Row],[Номер акта]],$AB$1:$AF$1833,3,FALSE)</f>
        <v>#N/A</v>
      </c>
      <c r="J61" s="360" t="s">
        <v>21</v>
      </c>
      <c r="K61" s="360" t="s">
        <v>82</v>
      </c>
      <c r="L61" s="363">
        <v>16720</v>
      </c>
      <c r="M61" s="363">
        <v>9740</v>
      </c>
      <c r="N61" s="364">
        <v>12</v>
      </c>
      <c r="O61" s="363">
        <v>6980</v>
      </c>
      <c r="P61" s="363">
        <v>6142.4</v>
      </c>
      <c r="Q61" s="121">
        <v>2023</v>
      </c>
      <c r="R61" s="121"/>
      <c r="S61" s="148">
        <v>45080</v>
      </c>
      <c r="T61" s="363">
        <f>Таблица18[[#This Row],[Вес нетто]]-Таблица18[[#This Row],[Зачетный вес]]</f>
        <v>837.60000000000036</v>
      </c>
      <c r="U61" s="365">
        <f>Таблица18[[#This Row],[Отход]]/Таблица18[[#This Row],[Вес нетто]]</f>
        <v>0.12000000000000005</v>
      </c>
      <c r="V61" s="121">
        <f>MONTH(Таблица18[[#This Row],[Дата акта]])</f>
        <v>6</v>
      </c>
      <c r="W61" s="121">
        <v>3</v>
      </c>
      <c r="X61" s="148">
        <f>DATE(1900,Таблица18[[#This Row],[Месяц]],Таблица18[[#This Row],[Число]])</f>
        <v>155</v>
      </c>
      <c r="Y61" s="121"/>
      <c r="Z61" s="121" t="str">
        <f>Таблица18[[#This Row],[Хар-ка]]</f>
        <v>высший</v>
      </c>
      <c r="AD61" s="459"/>
      <c r="AE61" s="391"/>
    </row>
    <row r="62" spans="1:31" s="325" customFormat="1" ht="15.6" hidden="1" customHeight="1" x14ac:dyDescent="0.2">
      <c r="A62" s="360" t="s">
        <v>1879</v>
      </c>
      <c r="B62" s="360" t="s">
        <v>550</v>
      </c>
      <c r="C62" s="361">
        <v>151</v>
      </c>
      <c r="D62" s="362">
        <v>63365</v>
      </c>
      <c r="E62" s="360" t="s">
        <v>1787</v>
      </c>
      <c r="F62" s="360" t="s">
        <v>1880</v>
      </c>
      <c r="G62" s="360" t="s">
        <v>1802</v>
      </c>
      <c r="H62" s="360" t="s">
        <v>1789</v>
      </c>
      <c r="I62" s="360" t="e">
        <f>VLOOKUP(Таблица18[[#This Row],[Номер акта]],$AB$1:$AF$1833,3,FALSE)</f>
        <v>#N/A</v>
      </c>
      <c r="J62" s="360" t="s">
        <v>1753</v>
      </c>
      <c r="K62" s="360" t="s">
        <v>82</v>
      </c>
      <c r="L62" s="363">
        <v>28100</v>
      </c>
      <c r="M62" s="363">
        <v>14670</v>
      </c>
      <c r="N62" s="364">
        <v>11.5</v>
      </c>
      <c r="O62" s="363">
        <v>13430</v>
      </c>
      <c r="P62" s="363">
        <v>11885.5</v>
      </c>
      <c r="Q62" s="121">
        <v>2023</v>
      </c>
      <c r="R62" s="121"/>
      <c r="S62" s="148">
        <v>45080</v>
      </c>
      <c r="T62" s="363">
        <f>Таблица18[[#This Row],[Вес нетто]]-Таблица18[[#This Row],[Зачетный вес]]</f>
        <v>1544.5</v>
      </c>
      <c r="U62" s="365">
        <f>Таблица18[[#This Row],[Отход]]/Таблица18[[#This Row],[Вес нетто]]</f>
        <v>0.11500372300819062</v>
      </c>
      <c r="V62" s="121">
        <f>MONTH(Таблица18[[#This Row],[Дата акта]])</f>
        <v>6</v>
      </c>
      <c r="W62" s="121">
        <v>3</v>
      </c>
      <c r="X62" s="148">
        <f>DATE(1900,Таблица18[[#This Row],[Месяц]],Таблица18[[#This Row],[Число]])</f>
        <v>155</v>
      </c>
      <c r="Y62" s="121"/>
      <c r="Z62" s="121" t="str">
        <f>Таблица18[[#This Row],[Хар-ка]]</f>
        <v>первый</v>
      </c>
      <c r="AD62" s="459"/>
      <c r="AE62" s="391"/>
    </row>
    <row r="63" spans="1:31" s="325" customFormat="1" ht="15.6" hidden="1" customHeight="1" x14ac:dyDescent="0.2">
      <c r="A63" s="360" t="s">
        <v>1881</v>
      </c>
      <c r="B63" s="360" t="s">
        <v>550</v>
      </c>
      <c r="C63" s="361">
        <v>152</v>
      </c>
      <c r="D63" s="362">
        <v>63366</v>
      </c>
      <c r="E63" s="360" t="s">
        <v>1787</v>
      </c>
      <c r="F63" s="360" t="s">
        <v>212</v>
      </c>
      <c r="G63" s="360" t="s">
        <v>216</v>
      </c>
      <c r="H63" s="360" t="s">
        <v>1789</v>
      </c>
      <c r="I63" s="360" t="e">
        <f>VLOOKUP(Таблица18[[#This Row],[Номер акта]],$AB$1:$AF$1833,3,FALSE)</f>
        <v>#N/A</v>
      </c>
      <c r="J63" s="360" t="s">
        <v>1753</v>
      </c>
      <c r="K63" s="360" t="s">
        <v>82</v>
      </c>
      <c r="L63" s="363">
        <v>27270</v>
      </c>
      <c r="M63" s="363">
        <v>13890</v>
      </c>
      <c r="N63" s="364">
        <v>11.5</v>
      </c>
      <c r="O63" s="363">
        <v>13380</v>
      </c>
      <c r="P63" s="363">
        <v>11841.3</v>
      </c>
      <c r="Q63" s="121">
        <v>2023</v>
      </c>
      <c r="R63" s="121"/>
      <c r="S63" s="148">
        <v>45080</v>
      </c>
      <c r="T63" s="363">
        <f>Таблица18[[#This Row],[Вес нетто]]-Таблица18[[#This Row],[Зачетный вес]]</f>
        <v>1538.7000000000007</v>
      </c>
      <c r="U63" s="365">
        <f>Таблица18[[#This Row],[Отход]]/Таблица18[[#This Row],[Вес нетто]]</f>
        <v>0.11500000000000006</v>
      </c>
      <c r="V63" s="121">
        <f>MONTH(Таблица18[[#This Row],[Дата акта]])</f>
        <v>6</v>
      </c>
      <c r="W63" s="121">
        <v>3</v>
      </c>
      <c r="X63" s="148">
        <f>DATE(1900,Таблица18[[#This Row],[Месяц]],Таблица18[[#This Row],[Число]])</f>
        <v>155</v>
      </c>
      <c r="Y63" s="121"/>
      <c r="Z63" s="121" t="str">
        <f>Таблица18[[#This Row],[Хар-ка]]</f>
        <v>первый</v>
      </c>
      <c r="AD63" s="459"/>
      <c r="AE63" s="391"/>
    </row>
    <row r="64" spans="1:31" s="325" customFormat="1" ht="15.6" hidden="1" customHeight="1" x14ac:dyDescent="0.2">
      <c r="A64" s="360" t="s">
        <v>1882</v>
      </c>
      <c r="B64" s="360" t="s">
        <v>550</v>
      </c>
      <c r="C64" s="361">
        <v>153</v>
      </c>
      <c r="D64" s="362">
        <v>63367</v>
      </c>
      <c r="E64" s="360" t="s">
        <v>1787</v>
      </c>
      <c r="F64" s="360" t="s">
        <v>1834</v>
      </c>
      <c r="G64" s="360" t="s">
        <v>1836</v>
      </c>
      <c r="H64" s="360" t="s">
        <v>1789</v>
      </c>
      <c r="I64" s="360" t="e">
        <f>VLOOKUP(Таблица18[[#This Row],[Номер акта]],$AB$1:$AF$1833,3,FALSE)</f>
        <v>#N/A</v>
      </c>
      <c r="J64" s="360" t="s">
        <v>1753</v>
      </c>
      <c r="K64" s="360" t="s">
        <v>82</v>
      </c>
      <c r="L64" s="363">
        <v>27530</v>
      </c>
      <c r="M64" s="363">
        <v>14230</v>
      </c>
      <c r="N64" s="364">
        <v>9.5</v>
      </c>
      <c r="O64" s="363">
        <v>13300</v>
      </c>
      <c r="P64" s="363">
        <v>12036.5</v>
      </c>
      <c r="Q64" s="121">
        <v>2023</v>
      </c>
      <c r="R64" s="121"/>
      <c r="S64" s="148">
        <v>45080</v>
      </c>
      <c r="T64" s="363">
        <f>Таблица18[[#This Row],[Вес нетто]]-Таблица18[[#This Row],[Зачетный вес]]</f>
        <v>1263.5</v>
      </c>
      <c r="U64" s="365">
        <f>Таблица18[[#This Row],[Отход]]/Таблица18[[#This Row],[Вес нетто]]</f>
        <v>9.5000000000000001E-2</v>
      </c>
      <c r="V64" s="121">
        <f>MONTH(Таблица18[[#This Row],[Дата акта]])</f>
        <v>6</v>
      </c>
      <c r="W64" s="121">
        <v>3</v>
      </c>
      <c r="X64" s="148">
        <f>DATE(1900,Таблица18[[#This Row],[Месяц]],Таблица18[[#This Row],[Число]])</f>
        <v>155</v>
      </c>
      <c r="Y64" s="121"/>
      <c r="Z64" s="121" t="str">
        <f>Таблица18[[#This Row],[Хар-ка]]</f>
        <v>первый</v>
      </c>
      <c r="AD64" s="459"/>
      <c r="AE64" s="391"/>
    </row>
    <row r="65" spans="1:31" s="325" customFormat="1" ht="15.6" hidden="1" customHeight="1" x14ac:dyDescent="0.2">
      <c r="A65" s="360" t="s">
        <v>1883</v>
      </c>
      <c r="B65" s="360" t="s">
        <v>550</v>
      </c>
      <c r="C65" s="361">
        <v>154</v>
      </c>
      <c r="D65" s="362">
        <v>63368</v>
      </c>
      <c r="E65" s="360" t="s">
        <v>1787</v>
      </c>
      <c r="F65" s="360" t="s">
        <v>133</v>
      </c>
      <c r="G65" s="360" t="s">
        <v>137</v>
      </c>
      <c r="H65" s="360" t="s">
        <v>1789</v>
      </c>
      <c r="I65" s="360" t="e">
        <f>VLOOKUP(Таблица18[[#This Row],[Номер акта]],$AB$1:$AF$1833,3,FALSE)</f>
        <v>#N/A</v>
      </c>
      <c r="J65" s="360" t="s">
        <v>21</v>
      </c>
      <c r="K65" s="360" t="s">
        <v>82</v>
      </c>
      <c r="L65" s="363">
        <v>33160</v>
      </c>
      <c r="M65" s="363">
        <v>17310</v>
      </c>
      <c r="N65" s="364">
        <v>10.5</v>
      </c>
      <c r="O65" s="363">
        <v>15850</v>
      </c>
      <c r="P65" s="363">
        <v>14185.7</v>
      </c>
      <c r="Q65" s="121">
        <v>2023</v>
      </c>
      <c r="R65" s="121"/>
      <c r="S65" s="148">
        <v>45080</v>
      </c>
      <c r="T65" s="363">
        <f>Таблица18[[#This Row],[Вес нетто]]-Таблица18[[#This Row],[Зачетный вес]]</f>
        <v>1664.2999999999993</v>
      </c>
      <c r="U65" s="365">
        <f>Таблица18[[#This Row],[Отход]]/Таблица18[[#This Row],[Вес нетто]]</f>
        <v>0.10500315457413245</v>
      </c>
      <c r="V65" s="121">
        <f>MONTH(Таблица18[[#This Row],[Дата акта]])</f>
        <v>6</v>
      </c>
      <c r="W65" s="121">
        <v>3</v>
      </c>
      <c r="X65" s="148">
        <f>DATE(1900,Таблица18[[#This Row],[Месяц]],Таблица18[[#This Row],[Число]])</f>
        <v>155</v>
      </c>
      <c r="Y65" s="121"/>
      <c r="Z65" s="121" t="str">
        <f>Таблица18[[#This Row],[Хар-ка]]</f>
        <v>первый</v>
      </c>
      <c r="AD65" s="459"/>
      <c r="AE65" s="391"/>
    </row>
    <row r="66" spans="1:31" s="325" customFormat="1" ht="15.6" hidden="1" customHeight="1" x14ac:dyDescent="0.2">
      <c r="A66" s="360" t="s">
        <v>1884</v>
      </c>
      <c r="B66" s="360" t="s">
        <v>550</v>
      </c>
      <c r="C66" s="361">
        <v>155</v>
      </c>
      <c r="D66" s="362">
        <v>63369</v>
      </c>
      <c r="E66" s="360" t="s">
        <v>1787</v>
      </c>
      <c r="F66" s="360" t="s">
        <v>1794</v>
      </c>
      <c r="G66" s="360" t="s">
        <v>1795</v>
      </c>
      <c r="H66" s="360" t="s">
        <v>1789</v>
      </c>
      <c r="I66" s="360" t="e">
        <f>VLOOKUP(Таблица18[[#This Row],[Номер акта]],$AB$1:$AF$1833,3,FALSE)</f>
        <v>#N/A</v>
      </c>
      <c r="J66" s="360" t="s">
        <v>1753</v>
      </c>
      <c r="K66" s="360" t="s">
        <v>82</v>
      </c>
      <c r="L66" s="363">
        <v>26490</v>
      </c>
      <c r="M66" s="363">
        <v>13180</v>
      </c>
      <c r="N66" s="364">
        <v>11.5</v>
      </c>
      <c r="O66" s="363">
        <v>13310</v>
      </c>
      <c r="P66" s="363">
        <v>11779.3</v>
      </c>
      <c r="Q66" s="121">
        <v>2023</v>
      </c>
      <c r="R66" s="121"/>
      <c r="S66" s="148">
        <v>45080</v>
      </c>
      <c r="T66" s="363">
        <f>Таблица18[[#This Row],[Вес нетто]]-Таблица18[[#This Row],[Зачетный вес]]</f>
        <v>1530.7000000000007</v>
      </c>
      <c r="U66" s="365">
        <f>Таблица18[[#This Row],[Отход]]/Таблица18[[#This Row],[Вес нетто]]</f>
        <v>0.11500375657400456</v>
      </c>
      <c r="V66" s="121">
        <f>MONTH(Таблица18[[#This Row],[Дата акта]])</f>
        <v>6</v>
      </c>
      <c r="W66" s="121">
        <v>3</v>
      </c>
      <c r="X66" s="148">
        <f>DATE(1900,Таблица18[[#This Row],[Месяц]],Таблица18[[#This Row],[Число]])</f>
        <v>155</v>
      </c>
      <c r="Y66" s="121"/>
      <c r="Z66" s="121" t="str">
        <f>Таблица18[[#This Row],[Хар-ка]]</f>
        <v>первый</v>
      </c>
      <c r="AD66" s="459"/>
      <c r="AE66" s="391"/>
    </row>
    <row r="67" spans="1:31" s="325" customFormat="1" ht="15.6" hidden="1" customHeight="1" x14ac:dyDescent="0.2">
      <c r="A67" s="360" t="s">
        <v>1885</v>
      </c>
      <c r="B67" s="360" t="s">
        <v>550</v>
      </c>
      <c r="C67" s="361">
        <v>156</v>
      </c>
      <c r="D67" s="362">
        <v>63370</v>
      </c>
      <c r="E67" s="360" t="s">
        <v>1787</v>
      </c>
      <c r="F67" s="360" t="s">
        <v>1843</v>
      </c>
      <c r="G67" s="360" t="s">
        <v>119</v>
      </c>
      <c r="H67" s="360" t="s">
        <v>1789</v>
      </c>
      <c r="I67" s="360" t="e">
        <f>VLOOKUP(Таблица18[[#This Row],[Номер акта]],$AB$1:$AF$1833,3,FALSE)</f>
        <v>#N/A</v>
      </c>
      <c r="J67" s="360" t="s">
        <v>1753</v>
      </c>
      <c r="K67" s="360" t="s">
        <v>82</v>
      </c>
      <c r="L67" s="363">
        <v>38650</v>
      </c>
      <c r="M67" s="363">
        <v>21010</v>
      </c>
      <c r="N67" s="364">
        <v>8.5</v>
      </c>
      <c r="O67" s="363">
        <v>17640</v>
      </c>
      <c r="P67" s="363">
        <v>16140.6</v>
      </c>
      <c r="Q67" s="121">
        <v>2023</v>
      </c>
      <c r="R67" s="121"/>
      <c r="S67" s="148">
        <v>45081</v>
      </c>
      <c r="T67" s="363">
        <f>Таблица18[[#This Row],[Вес нетто]]-Таблица18[[#This Row],[Зачетный вес]]</f>
        <v>1499.3999999999996</v>
      </c>
      <c r="U67" s="365">
        <f>Таблица18[[#This Row],[Отход]]/Таблица18[[#This Row],[Вес нетто]]</f>
        <v>8.4999999999999978E-2</v>
      </c>
      <c r="V67" s="121">
        <f>MONTH(Таблица18[[#This Row],[Дата акта]])</f>
        <v>6</v>
      </c>
      <c r="W67" s="121">
        <v>4</v>
      </c>
      <c r="X67" s="148">
        <f>DATE(1900,Таблица18[[#This Row],[Месяц]],Таблица18[[#This Row],[Число]])</f>
        <v>156</v>
      </c>
      <c r="Y67" s="121"/>
      <c r="Z67" s="121" t="str">
        <f>Таблица18[[#This Row],[Хар-ка]]</f>
        <v>первый</v>
      </c>
      <c r="AD67" s="459"/>
      <c r="AE67" s="391"/>
    </row>
    <row r="68" spans="1:31" s="325" customFormat="1" ht="15.6" hidden="1" customHeight="1" x14ac:dyDescent="0.2">
      <c r="A68" s="360" t="s">
        <v>1886</v>
      </c>
      <c r="B68" s="360" t="s">
        <v>550</v>
      </c>
      <c r="C68" s="361">
        <v>157</v>
      </c>
      <c r="D68" s="362">
        <v>63372</v>
      </c>
      <c r="E68" s="360" t="s">
        <v>1787</v>
      </c>
      <c r="F68" s="360" t="s">
        <v>1812</v>
      </c>
      <c r="G68" s="360" t="s">
        <v>1813</v>
      </c>
      <c r="H68" s="360" t="s">
        <v>1789</v>
      </c>
      <c r="I68" s="360" t="e">
        <f>VLOOKUP(Таблица18[[#This Row],[Номер акта]],$AB$1:$AF$1833,3,FALSE)</f>
        <v>#N/A</v>
      </c>
      <c r="J68" s="360" t="s">
        <v>21</v>
      </c>
      <c r="K68" s="360" t="s">
        <v>82</v>
      </c>
      <c r="L68" s="363">
        <v>27740</v>
      </c>
      <c r="M68" s="363">
        <v>14400</v>
      </c>
      <c r="N68" s="364">
        <v>13.5</v>
      </c>
      <c r="O68" s="363">
        <v>13340</v>
      </c>
      <c r="P68" s="363">
        <v>11539.1</v>
      </c>
      <c r="Q68" s="121">
        <v>2023</v>
      </c>
      <c r="R68" s="121"/>
      <c r="S68" s="148">
        <v>45081</v>
      </c>
      <c r="T68" s="363">
        <f>Таблица18[[#This Row],[Вес нетто]]-Таблица18[[#This Row],[Зачетный вес]]</f>
        <v>1800.8999999999996</v>
      </c>
      <c r="U68" s="365">
        <f>Таблица18[[#This Row],[Отход]]/Таблица18[[#This Row],[Вес нетто]]</f>
        <v>0.13499999999999998</v>
      </c>
      <c r="V68" s="121">
        <f>MONTH(Таблица18[[#This Row],[Дата акта]])</f>
        <v>6</v>
      </c>
      <c r="W68" s="121">
        <v>4</v>
      </c>
      <c r="X68" s="148">
        <f>DATE(1900,Таблица18[[#This Row],[Месяц]],Таблица18[[#This Row],[Число]])</f>
        <v>156</v>
      </c>
      <c r="Y68" s="121"/>
      <c r="Z68" s="121" t="str">
        <f>Таблица18[[#This Row],[Хар-ка]]</f>
        <v>первый</v>
      </c>
      <c r="AD68" s="459"/>
      <c r="AE68" s="391"/>
    </row>
    <row r="69" spans="1:31" s="325" customFormat="1" ht="15.6" hidden="1" customHeight="1" x14ac:dyDescent="0.2">
      <c r="A69" s="360" t="s">
        <v>1887</v>
      </c>
      <c r="B69" s="360" t="s">
        <v>550</v>
      </c>
      <c r="C69" s="361">
        <v>158</v>
      </c>
      <c r="D69" s="362">
        <v>63373</v>
      </c>
      <c r="E69" s="360" t="s">
        <v>1787</v>
      </c>
      <c r="F69" s="360" t="s">
        <v>305</v>
      </c>
      <c r="G69" s="360" t="s">
        <v>309</v>
      </c>
      <c r="H69" s="360" t="s">
        <v>1789</v>
      </c>
      <c r="I69" s="360" t="e">
        <f>VLOOKUP(Таблица18[[#This Row],[Номер акта]],$AB$1:$AF$1833,3,FALSE)</f>
        <v>#N/A</v>
      </c>
      <c r="J69" s="360" t="s">
        <v>1753</v>
      </c>
      <c r="K69" s="360" t="s">
        <v>82</v>
      </c>
      <c r="L69" s="363">
        <v>27840</v>
      </c>
      <c r="M69" s="363">
        <v>14390</v>
      </c>
      <c r="N69" s="364">
        <v>14.5</v>
      </c>
      <c r="O69" s="363">
        <v>13450</v>
      </c>
      <c r="P69" s="363">
        <v>11499.7</v>
      </c>
      <c r="Q69" s="121">
        <v>2023</v>
      </c>
      <c r="R69" s="121"/>
      <c r="S69" s="148">
        <v>45081</v>
      </c>
      <c r="T69" s="363">
        <f>Таблица18[[#This Row],[Вес нетто]]-Таблица18[[#This Row],[Зачетный вес]]</f>
        <v>1950.2999999999993</v>
      </c>
      <c r="U69" s="365">
        <f>Таблица18[[#This Row],[Отход]]/Таблица18[[#This Row],[Вес нетто]]</f>
        <v>0.1450037174721189</v>
      </c>
      <c r="V69" s="121">
        <f>MONTH(Таблица18[[#This Row],[Дата акта]])</f>
        <v>6</v>
      </c>
      <c r="W69" s="121">
        <v>4</v>
      </c>
      <c r="X69" s="148">
        <f>DATE(1900,Таблица18[[#This Row],[Месяц]],Таблица18[[#This Row],[Число]])</f>
        <v>156</v>
      </c>
      <c r="Y69" s="121"/>
      <c r="Z69" s="121" t="str">
        <f>Таблица18[[#This Row],[Хар-ка]]</f>
        <v>первый</v>
      </c>
      <c r="AD69" s="459"/>
      <c r="AE69" s="391"/>
    </row>
    <row r="70" spans="1:31" s="325" customFormat="1" ht="15.6" hidden="1" customHeight="1" x14ac:dyDescent="0.2">
      <c r="A70" s="360" t="s">
        <v>1888</v>
      </c>
      <c r="B70" s="360" t="s">
        <v>550</v>
      </c>
      <c r="C70" s="361">
        <v>159</v>
      </c>
      <c r="D70" s="362">
        <v>63374</v>
      </c>
      <c r="E70" s="360" t="s">
        <v>1787</v>
      </c>
      <c r="F70" s="360" t="s">
        <v>1850</v>
      </c>
      <c r="G70" s="360" t="s">
        <v>333</v>
      </c>
      <c r="H70" s="360" t="s">
        <v>1789</v>
      </c>
      <c r="I70" s="360" t="e">
        <f>VLOOKUP(Таблица18[[#This Row],[Номер акта]],$AB$1:$AF$1833,3,FALSE)</f>
        <v>#N/A</v>
      </c>
      <c r="J70" s="360" t="s">
        <v>1753</v>
      </c>
      <c r="K70" s="360" t="s">
        <v>82</v>
      </c>
      <c r="L70" s="363">
        <v>28690</v>
      </c>
      <c r="M70" s="363">
        <v>14880</v>
      </c>
      <c r="N70" s="364">
        <v>12.5</v>
      </c>
      <c r="O70" s="363">
        <v>13810</v>
      </c>
      <c r="P70" s="363">
        <v>12083.7</v>
      </c>
      <c r="Q70" s="121">
        <v>2023</v>
      </c>
      <c r="R70" s="121"/>
      <c r="S70" s="148">
        <v>45081</v>
      </c>
      <c r="T70" s="363">
        <f>Таблица18[[#This Row],[Вес нетто]]-Таблица18[[#This Row],[Зачетный вес]]</f>
        <v>1726.2999999999993</v>
      </c>
      <c r="U70" s="365">
        <f>Таблица18[[#This Row],[Отход]]/Таблица18[[#This Row],[Вес нетто]]</f>
        <v>0.12500362056480807</v>
      </c>
      <c r="V70" s="121">
        <f>MONTH(Таблица18[[#This Row],[Дата акта]])</f>
        <v>6</v>
      </c>
      <c r="W70" s="121">
        <v>4</v>
      </c>
      <c r="X70" s="148">
        <f>DATE(1900,Таблица18[[#This Row],[Месяц]],Таблица18[[#This Row],[Число]])</f>
        <v>156</v>
      </c>
      <c r="Y70" s="121"/>
      <c r="Z70" s="121" t="str">
        <f>Таблица18[[#This Row],[Хар-ка]]</f>
        <v>первый</v>
      </c>
      <c r="AD70" s="459"/>
      <c r="AE70" s="391"/>
    </row>
    <row r="71" spans="1:31" s="325" customFormat="1" ht="15.6" hidden="1" customHeight="1" x14ac:dyDescent="0.2">
      <c r="A71" s="360" t="s">
        <v>1889</v>
      </c>
      <c r="B71" s="360" t="s">
        <v>511</v>
      </c>
      <c r="C71" s="361">
        <v>160</v>
      </c>
      <c r="D71" s="362">
        <v>4</v>
      </c>
      <c r="E71" s="360" t="s">
        <v>78</v>
      </c>
      <c r="F71" s="360" t="s">
        <v>1792</v>
      </c>
      <c r="G71" s="360" t="s">
        <v>80</v>
      </c>
      <c r="H71" s="360" t="s">
        <v>1855</v>
      </c>
      <c r="I71" s="360" t="e">
        <f>VLOOKUP(Таблица18[[#This Row],[Номер акта]],$AB$1:$AF$1833,3,FALSE)</f>
        <v>#N/A</v>
      </c>
      <c r="J71" s="360" t="s">
        <v>21</v>
      </c>
      <c r="K71" s="360" t="s">
        <v>82</v>
      </c>
      <c r="L71" s="363">
        <v>16590</v>
      </c>
      <c r="M71" s="363">
        <v>9580</v>
      </c>
      <c r="N71" s="364">
        <v>14</v>
      </c>
      <c r="O71" s="363">
        <v>7010</v>
      </c>
      <c r="P71" s="363">
        <v>6028.6</v>
      </c>
      <c r="Q71" s="121">
        <v>2023</v>
      </c>
      <c r="R71" s="121"/>
      <c r="S71" s="148">
        <v>45081</v>
      </c>
      <c r="T71" s="363">
        <f>Таблица18[[#This Row],[Вес нетто]]-Таблица18[[#This Row],[Зачетный вес]]</f>
        <v>981.39999999999964</v>
      </c>
      <c r="U71" s="365">
        <f>Таблица18[[#This Row],[Отход]]/Таблица18[[#This Row],[Вес нетто]]</f>
        <v>0.13999999999999996</v>
      </c>
      <c r="V71" s="121">
        <f>MONTH(Таблица18[[#This Row],[Дата акта]])</f>
        <v>6</v>
      </c>
      <c r="W71" s="121">
        <v>4</v>
      </c>
      <c r="X71" s="148">
        <f>DATE(1900,Таблица18[[#This Row],[Месяц]],Таблица18[[#This Row],[Число]])</f>
        <v>156</v>
      </c>
      <c r="Y71" s="121"/>
      <c r="Z71" s="121" t="str">
        <f>Таблица18[[#This Row],[Хар-ка]]</f>
        <v>высший</v>
      </c>
      <c r="AD71" s="459"/>
      <c r="AE71" s="391"/>
    </row>
    <row r="72" spans="1:31" s="325" customFormat="1" ht="15.6" hidden="1" customHeight="1" x14ac:dyDescent="0.2">
      <c r="A72" s="360" t="s">
        <v>1890</v>
      </c>
      <c r="B72" s="360" t="s">
        <v>511</v>
      </c>
      <c r="C72" s="361">
        <v>161</v>
      </c>
      <c r="D72" s="362">
        <v>9</v>
      </c>
      <c r="E72" s="360" t="s">
        <v>78</v>
      </c>
      <c r="F72" s="360" t="s">
        <v>1822</v>
      </c>
      <c r="G72" s="360" t="s">
        <v>1802</v>
      </c>
      <c r="H72" s="360" t="s">
        <v>1871</v>
      </c>
      <c r="I72" s="360" t="e">
        <f>VLOOKUP(Таблица18[[#This Row],[Номер акта]],$AB$1:$AF$1833,3,FALSE)</f>
        <v>#N/A</v>
      </c>
      <c r="J72" s="360" t="s">
        <v>21</v>
      </c>
      <c r="K72" s="360" t="s">
        <v>82</v>
      </c>
      <c r="L72" s="363">
        <v>23990</v>
      </c>
      <c r="M72" s="363">
        <v>14680</v>
      </c>
      <c r="N72" s="364">
        <v>14</v>
      </c>
      <c r="O72" s="363">
        <v>9310</v>
      </c>
      <c r="P72" s="363">
        <v>8006.6</v>
      </c>
      <c r="Q72" s="121">
        <v>2023</v>
      </c>
      <c r="R72" s="121"/>
      <c r="S72" s="148">
        <v>45081</v>
      </c>
      <c r="T72" s="363">
        <f>Таблица18[[#This Row],[Вес нетто]]-Таблица18[[#This Row],[Зачетный вес]]</f>
        <v>1303.3999999999996</v>
      </c>
      <c r="U72" s="365">
        <f>Таблица18[[#This Row],[Отход]]/Таблица18[[#This Row],[Вес нетто]]</f>
        <v>0.13999999999999996</v>
      </c>
      <c r="V72" s="121">
        <f>MONTH(Таблица18[[#This Row],[Дата акта]])</f>
        <v>6</v>
      </c>
      <c r="W72" s="121">
        <v>4</v>
      </c>
      <c r="X72" s="148">
        <f>DATE(1900,Таблица18[[#This Row],[Месяц]],Таблица18[[#This Row],[Число]])</f>
        <v>156</v>
      </c>
      <c r="Y72" s="121"/>
      <c r="Z72" s="121" t="str">
        <f>Таблица18[[#This Row],[Хар-ка]]</f>
        <v>высший</v>
      </c>
      <c r="AD72" s="459"/>
      <c r="AE72" s="391"/>
    </row>
    <row r="73" spans="1:31" s="325" customFormat="1" ht="15.6" hidden="1" customHeight="1" x14ac:dyDescent="0.2">
      <c r="A73" s="360" t="s">
        <v>1891</v>
      </c>
      <c r="B73" s="360" t="s">
        <v>511</v>
      </c>
      <c r="C73" s="361">
        <v>162</v>
      </c>
      <c r="D73" s="362">
        <v>10</v>
      </c>
      <c r="E73" s="360" t="s">
        <v>78</v>
      </c>
      <c r="F73" s="360" t="s">
        <v>1792</v>
      </c>
      <c r="G73" s="360" t="s">
        <v>80</v>
      </c>
      <c r="H73" s="360" t="s">
        <v>1871</v>
      </c>
      <c r="I73" s="360" t="e">
        <f>VLOOKUP(Таблица18[[#This Row],[Номер акта]],$AB$1:$AF$1833,3,FALSE)</f>
        <v>#N/A</v>
      </c>
      <c r="J73" s="360" t="s">
        <v>21</v>
      </c>
      <c r="K73" s="360" t="s">
        <v>82</v>
      </c>
      <c r="L73" s="363">
        <v>17180</v>
      </c>
      <c r="M73" s="363">
        <v>9580</v>
      </c>
      <c r="N73" s="364">
        <v>14.5</v>
      </c>
      <c r="O73" s="363">
        <v>7600</v>
      </c>
      <c r="P73" s="363">
        <v>6498</v>
      </c>
      <c r="Q73" s="121">
        <v>2023</v>
      </c>
      <c r="R73" s="121"/>
      <c r="S73" s="148">
        <v>45081</v>
      </c>
      <c r="T73" s="363">
        <f>Таблица18[[#This Row],[Вес нетто]]-Таблица18[[#This Row],[Зачетный вес]]</f>
        <v>1102</v>
      </c>
      <c r="U73" s="365">
        <f>Таблица18[[#This Row],[Отход]]/Таблица18[[#This Row],[Вес нетто]]</f>
        <v>0.14499999999999999</v>
      </c>
      <c r="V73" s="121">
        <f>MONTH(Таблица18[[#This Row],[Дата акта]])</f>
        <v>6</v>
      </c>
      <c r="W73" s="121">
        <v>4</v>
      </c>
      <c r="X73" s="148">
        <f>DATE(1900,Таблица18[[#This Row],[Месяц]],Таблица18[[#This Row],[Число]])</f>
        <v>156</v>
      </c>
      <c r="Y73" s="121"/>
      <c r="Z73" s="121" t="str">
        <f>Таблица18[[#This Row],[Хар-ка]]</f>
        <v>высший</v>
      </c>
      <c r="AD73" s="459"/>
      <c r="AE73" s="391"/>
    </row>
    <row r="74" spans="1:31" s="325" customFormat="1" ht="15.6" hidden="1" customHeight="1" x14ac:dyDescent="0.2">
      <c r="A74" s="360" t="s">
        <v>1892</v>
      </c>
      <c r="B74" s="360" t="s">
        <v>511</v>
      </c>
      <c r="C74" s="361">
        <v>163</v>
      </c>
      <c r="D74" s="362">
        <v>11</v>
      </c>
      <c r="E74" s="360" t="s">
        <v>78</v>
      </c>
      <c r="F74" s="360" t="s">
        <v>1801</v>
      </c>
      <c r="G74" s="360" t="s">
        <v>1802</v>
      </c>
      <c r="H74" s="360" t="s">
        <v>1893</v>
      </c>
      <c r="I74" s="360" t="e">
        <f>VLOOKUP(Таблица18[[#This Row],[Номер акта]],$AB$1:$AF$1833,3,FALSE)</f>
        <v>#N/A</v>
      </c>
      <c r="J74" s="360" t="s">
        <v>21</v>
      </c>
      <c r="K74" s="360" t="s">
        <v>82</v>
      </c>
      <c r="L74" s="363">
        <v>16630</v>
      </c>
      <c r="M74" s="363">
        <v>9750</v>
      </c>
      <c r="N74" s="364">
        <v>14.5</v>
      </c>
      <c r="O74" s="363">
        <v>6880</v>
      </c>
      <c r="P74" s="363">
        <v>5882.4</v>
      </c>
      <c r="Q74" s="121">
        <v>2023</v>
      </c>
      <c r="R74" s="121"/>
      <c r="S74" s="148">
        <v>45081</v>
      </c>
      <c r="T74" s="363">
        <f>Таблица18[[#This Row],[Вес нетто]]-Таблица18[[#This Row],[Зачетный вес]]</f>
        <v>997.60000000000036</v>
      </c>
      <c r="U74" s="365">
        <f>Таблица18[[#This Row],[Отход]]/Таблица18[[#This Row],[Вес нетто]]</f>
        <v>0.14500000000000005</v>
      </c>
      <c r="V74" s="121">
        <f>MONTH(Таблица18[[#This Row],[Дата акта]])</f>
        <v>6</v>
      </c>
      <c r="W74" s="121">
        <v>4</v>
      </c>
      <c r="X74" s="148">
        <f>DATE(1900,Таблица18[[#This Row],[Месяц]],Таблица18[[#This Row],[Число]])</f>
        <v>156</v>
      </c>
      <c r="Y74" s="121"/>
      <c r="Z74" s="121" t="str">
        <f>Таблица18[[#This Row],[Хар-ка]]</f>
        <v>высший</v>
      </c>
      <c r="AD74" s="459"/>
      <c r="AE74" s="391"/>
    </row>
    <row r="75" spans="1:31" s="325" customFormat="1" ht="15.6" hidden="1" customHeight="1" x14ac:dyDescent="0.2">
      <c r="A75" s="360" t="s">
        <v>1894</v>
      </c>
      <c r="B75" s="360" t="s">
        <v>511</v>
      </c>
      <c r="C75" s="361">
        <v>164</v>
      </c>
      <c r="D75" s="362">
        <v>12</v>
      </c>
      <c r="E75" s="360" t="s">
        <v>78</v>
      </c>
      <c r="F75" s="360" t="s">
        <v>1792</v>
      </c>
      <c r="G75" s="360" t="s">
        <v>80</v>
      </c>
      <c r="H75" s="360" t="s">
        <v>1893</v>
      </c>
      <c r="I75" s="360" t="e">
        <f>VLOOKUP(Таблица18[[#This Row],[Номер акта]],$AB$1:$AF$1833,3,FALSE)</f>
        <v>#N/A</v>
      </c>
      <c r="J75" s="360" t="s">
        <v>21</v>
      </c>
      <c r="K75" s="360" t="s">
        <v>82</v>
      </c>
      <c r="L75" s="363">
        <v>16260</v>
      </c>
      <c r="M75" s="363">
        <v>9570</v>
      </c>
      <c r="N75" s="364">
        <v>13</v>
      </c>
      <c r="O75" s="363">
        <v>6690</v>
      </c>
      <c r="P75" s="363">
        <v>5820.3</v>
      </c>
      <c r="Q75" s="121">
        <v>2023</v>
      </c>
      <c r="R75" s="121"/>
      <c r="S75" s="148">
        <v>45081</v>
      </c>
      <c r="T75" s="363">
        <f>Таблица18[[#This Row],[Вес нетто]]-Таблица18[[#This Row],[Зачетный вес]]</f>
        <v>869.69999999999982</v>
      </c>
      <c r="U75" s="365">
        <f>Таблица18[[#This Row],[Отход]]/Таблица18[[#This Row],[Вес нетто]]</f>
        <v>0.12999999999999998</v>
      </c>
      <c r="V75" s="121">
        <f>MONTH(Таблица18[[#This Row],[Дата акта]])</f>
        <v>6</v>
      </c>
      <c r="W75" s="121">
        <v>4</v>
      </c>
      <c r="X75" s="148">
        <f>DATE(1900,Таблица18[[#This Row],[Месяц]],Таблица18[[#This Row],[Число]])</f>
        <v>156</v>
      </c>
      <c r="Y75" s="121"/>
      <c r="Z75" s="121" t="str">
        <f>Таблица18[[#This Row],[Хар-ка]]</f>
        <v>высший</v>
      </c>
      <c r="AD75" s="459"/>
      <c r="AE75" s="391"/>
    </row>
    <row r="76" spans="1:31" s="325" customFormat="1" ht="15.6" hidden="1" customHeight="1" x14ac:dyDescent="0.2">
      <c r="A76" s="360" t="s">
        <v>1895</v>
      </c>
      <c r="B76" s="360" t="s">
        <v>511</v>
      </c>
      <c r="C76" s="361">
        <v>165</v>
      </c>
      <c r="D76" s="362">
        <v>13</v>
      </c>
      <c r="E76" s="360" t="s">
        <v>78</v>
      </c>
      <c r="F76" s="360" t="s">
        <v>1801</v>
      </c>
      <c r="G76" s="360" t="s">
        <v>1802</v>
      </c>
      <c r="H76" s="360" t="s">
        <v>1893</v>
      </c>
      <c r="I76" s="360" t="e">
        <f>VLOOKUP(Таблица18[[#This Row],[Номер акта]],$AB$1:$AF$1833,3,FALSE)</f>
        <v>#N/A</v>
      </c>
      <c r="J76" s="360" t="s">
        <v>21</v>
      </c>
      <c r="K76" s="360" t="s">
        <v>82</v>
      </c>
      <c r="L76" s="363">
        <v>16430</v>
      </c>
      <c r="M76" s="363">
        <v>9730</v>
      </c>
      <c r="N76" s="364">
        <v>13</v>
      </c>
      <c r="O76" s="363">
        <v>6700</v>
      </c>
      <c r="P76" s="363">
        <v>5829</v>
      </c>
      <c r="Q76" s="121">
        <v>2023</v>
      </c>
      <c r="R76" s="121"/>
      <c r="S76" s="148">
        <v>45082</v>
      </c>
      <c r="T76" s="363">
        <f>Таблица18[[#This Row],[Вес нетто]]-Таблица18[[#This Row],[Зачетный вес]]</f>
        <v>871</v>
      </c>
      <c r="U76" s="365">
        <f>Таблица18[[#This Row],[Отход]]/Таблица18[[#This Row],[Вес нетто]]</f>
        <v>0.13</v>
      </c>
      <c r="V76" s="121">
        <f>MONTH(Таблица18[[#This Row],[Дата акта]])</f>
        <v>6</v>
      </c>
      <c r="W76" s="121">
        <v>5</v>
      </c>
      <c r="X76" s="148">
        <f>DATE(1900,Таблица18[[#This Row],[Месяц]],Таблица18[[#This Row],[Число]])</f>
        <v>157</v>
      </c>
      <c r="Y76" s="121"/>
      <c r="Z76" s="121" t="str">
        <f>Таблица18[[#This Row],[Хар-ка]]</f>
        <v>высший</v>
      </c>
      <c r="AD76" s="459"/>
      <c r="AE76" s="391"/>
    </row>
    <row r="77" spans="1:31" s="325" customFormat="1" ht="15.6" hidden="1" customHeight="1" x14ac:dyDescent="0.2">
      <c r="A77" s="360" t="s">
        <v>1896</v>
      </c>
      <c r="B77" s="360" t="s">
        <v>511</v>
      </c>
      <c r="C77" s="361">
        <v>166</v>
      </c>
      <c r="D77" s="362">
        <v>14</v>
      </c>
      <c r="E77" s="360" t="s">
        <v>78</v>
      </c>
      <c r="F77" s="360" t="s">
        <v>1792</v>
      </c>
      <c r="G77" s="360" t="s">
        <v>80</v>
      </c>
      <c r="H77" s="360" t="s">
        <v>1893</v>
      </c>
      <c r="I77" s="360" t="e">
        <f>VLOOKUP(Таблица18[[#This Row],[Номер акта]],$AB$1:$AF$1833,3,FALSE)</f>
        <v>#N/A</v>
      </c>
      <c r="J77" s="360" t="s">
        <v>21</v>
      </c>
      <c r="K77" s="360" t="s">
        <v>82</v>
      </c>
      <c r="L77" s="363">
        <v>16300</v>
      </c>
      <c r="M77" s="363">
        <v>9550</v>
      </c>
      <c r="N77" s="364">
        <v>12.5</v>
      </c>
      <c r="O77" s="363">
        <v>6750</v>
      </c>
      <c r="P77" s="363">
        <v>5906.2</v>
      </c>
      <c r="Q77" s="121">
        <v>2023</v>
      </c>
      <c r="R77" s="121"/>
      <c r="S77" s="148">
        <v>45082</v>
      </c>
      <c r="T77" s="363">
        <f>Таблица18[[#This Row],[Вес нетто]]-Таблица18[[#This Row],[Зачетный вес]]</f>
        <v>843.80000000000018</v>
      </c>
      <c r="U77" s="365">
        <f>Таблица18[[#This Row],[Отход]]/Таблица18[[#This Row],[Вес нетто]]</f>
        <v>0.12500740740740743</v>
      </c>
      <c r="V77" s="121">
        <f>MONTH(Таблица18[[#This Row],[Дата акта]])</f>
        <v>6</v>
      </c>
      <c r="W77" s="121">
        <v>5</v>
      </c>
      <c r="X77" s="148">
        <f>DATE(1900,Таблица18[[#This Row],[Месяц]],Таблица18[[#This Row],[Число]])</f>
        <v>157</v>
      </c>
      <c r="Y77" s="121"/>
      <c r="Z77" s="121" t="str">
        <f>Таблица18[[#This Row],[Хар-ка]]</f>
        <v>высший</v>
      </c>
      <c r="AD77" s="459"/>
      <c r="AE77" s="391"/>
    </row>
    <row r="78" spans="1:31" s="325" customFormat="1" ht="15.6" hidden="1" customHeight="1" x14ac:dyDescent="0.2">
      <c r="A78" s="360" t="s">
        <v>1897</v>
      </c>
      <c r="B78" s="360" t="s">
        <v>511</v>
      </c>
      <c r="C78" s="361">
        <v>167</v>
      </c>
      <c r="D78" s="362">
        <v>15</v>
      </c>
      <c r="E78" s="360" t="s">
        <v>78</v>
      </c>
      <c r="F78" s="360" t="s">
        <v>1898</v>
      </c>
      <c r="G78" s="360" t="s">
        <v>1802</v>
      </c>
      <c r="H78" s="360" t="s">
        <v>1893</v>
      </c>
      <c r="I78" s="360" t="e">
        <f>VLOOKUP(Таблица18[[#This Row],[Номер акта]],$AB$1:$AF$1833,3,FALSE)</f>
        <v>#N/A</v>
      </c>
      <c r="J78" s="360" t="s">
        <v>21</v>
      </c>
      <c r="K78" s="360" t="s">
        <v>82</v>
      </c>
      <c r="L78" s="363">
        <v>16660</v>
      </c>
      <c r="M78" s="363">
        <v>9740</v>
      </c>
      <c r="N78" s="364">
        <v>13.5</v>
      </c>
      <c r="O78" s="363">
        <v>6920</v>
      </c>
      <c r="P78" s="363">
        <v>5985.8</v>
      </c>
      <c r="Q78" s="121">
        <v>2023</v>
      </c>
      <c r="R78" s="121"/>
      <c r="S78" s="148">
        <v>45082</v>
      </c>
      <c r="T78" s="363">
        <f>Таблица18[[#This Row],[Вес нетто]]-Таблица18[[#This Row],[Зачетный вес]]</f>
        <v>934.19999999999982</v>
      </c>
      <c r="U78" s="365">
        <f>Таблица18[[#This Row],[Отход]]/Таблица18[[#This Row],[Вес нетто]]</f>
        <v>0.13499999999999998</v>
      </c>
      <c r="V78" s="121">
        <f>MONTH(Таблица18[[#This Row],[Дата акта]])</f>
        <v>6</v>
      </c>
      <c r="W78" s="121">
        <v>5</v>
      </c>
      <c r="X78" s="148">
        <f>DATE(1900,Таблица18[[#This Row],[Месяц]],Таблица18[[#This Row],[Число]])</f>
        <v>157</v>
      </c>
      <c r="Y78" s="121"/>
      <c r="Z78" s="121" t="str">
        <f>Таблица18[[#This Row],[Хар-ка]]</f>
        <v>высший</v>
      </c>
      <c r="AD78" s="459"/>
      <c r="AE78" s="391"/>
    </row>
    <row r="79" spans="1:31" s="325" customFormat="1" ht="15.6" hidden="1" customHeight="1" x14ac:dyDescent="0.2">
      <c r="A79" s="360" t="s">
        <v>1899</v>
      </c>
      <c r="B79" s="360" t="s">
        <v>511</v>
      </c>
      <c r="C79" s="361">
        <v>168</v>
      </c>
      <c r="D79" s="362">
        <v>16</v>
      </c>
      <c r="E79" s="360" t="s">
        <v>78</v>
      </c>
      <c r="F79" s="360" t="s">
        <v>1792</v>
      </c>
      <c r="G79" s="360" t="s">
        <v>80</v>
      </c>
      <c r="H79" s="360" t="s">
        <v>1893</v>
      </c>
      <c r="I79" s="360" t="e">
        <f>VLOOKUP(Таблица18[[#This Row],[Номер акта]],$AB$1:$AF$1833,3,FALSE)</f>
        <v>#N/A</v>
      </c>
      <c r="J79" s="360" t="s">
        <v>21</v>
      </c>
      <c r="K79" s="360" t="s">
        <v>82</v>
      </c>
      <c r="L79" s="363">
        <v>16050</v>
      </c>
      <c r="M79" s="363">
        <v>9540</v>
      </c>
      <c r="N79" s="364">
        <v>14</v>
      </c>
      <c r="O79" s="363">
        <v>6510</v>
      </c>
      <c r="P79" s="363">
        <v>5598.6</v>
      </c>
      <c r="Q79" s="121">
        <v>2023</v>
      </c>
      <c r="R79" s="121"/>
      <c r="S79" s="148">
        <v>45082</v>
      </c>
      <c r="T79" s="363">
        <f>Таблица18[[#This Row],[Вес нетто]]-Таблица18[[#This Row],[Зачетный вес]]</f>
        <v>911.39999999999964</v>
      </c>
      <c r="U79" s="365">
        <f>Таблица18[[#This Row],[Отход]]/Таблица18[[#This Row],[Вес нетто]]</f>
        <v>0.13999999999999996</v>
      </c>
      <c r="V79" s="121">
        <f>MONTH(Таблица18[[#This Row],[Дата акта]])</f>
        <v>6</v>
      </c>
      <c r="W79" s="121">
        <v>5</v>
      </c>
      <c r="X79" s="148">
        <f>DATE(1900,Таблица18[[#This Row],[Месяц]],Таблица18[[#This Row],[Число]])</f>
        <v>157</v>
      </c>
      <c r="Y79" s="121"/>
      <c r="Z79" s="121" t="str">
        <f>Таблица18[[#This Row],[Хар-ка]]</f>
        <v>высший</v>
      </c>
      <c r="AD79" s="459"/>
      <c r="AE79" s="391"/>
    </row>
    <row r="80" spans="1:31" s="325" customFormat="1" ht="15.6" hidden="1" customHeight="1" x14ac:dyDescent="0.2">
      <c r="A80" s="360" t="s">
        <v>1900</v>
      </c>
      <c r="B80" s="360" t="s">
        <v>511</v>
      </c>
      <c r="C80" s="361">
        <v>169</v>
      </c>
      <c r="D80" s="362">
        <v>17</v>
      </c>
      <c r="E80" s="360" t="s">
        <v>78</v>
      </c>
      <c r="F80" s="360" t="s">
        <v>1788</v>
      </c>
      <c r="G80" s="360" t="s">
        <v>131</v>
      </c>
      <c r="H80" s="360" t="s">
        <v>1893</v>
      </c>
      <c r="I80" s="360" t="e">
        <f>VLOOKUP(Таблица18[[#This Row],[Номер акта]],$AB$1:$AF$1833,3,FALSE)</f>
        <v>#N/A</v>
      </c>
      <c r="J80" s="360" t="s">
        <v>21</v>
      </c>
      <c r="K80" s="360" t="s">
        <v>82</v>
      </c>
      <c r="L80" s="363">
        <v>16490</v>
      </c>
      <c r="M80" s="363">
        <v>9730</v>
      </c>
      <c r="N80" s="364">
        <v>14</v>
      </c>
      <c r="O80" s="363">
        <v>6760</v>
      </c>
      <c r="P80" s="363">
        <v>5813.6</v>
      </c>
      <c r="Q80" s="121">
        <v>2023</v>
      </c>
      <c r="R80" s="121"/>
      <c r="S80" s="148">
        <v>45082</v>
      </c>
      <c r="T80" s="363">
        <f>Таблица18[[#This Row],[Вес нетто]]-Таблица18[[#This Row],[Зачетный вес]]</f>
        <v>946.39999999999964</v>
      </c>
      <c r="U80" s="365">
        <f>Таблица18[[#This Row],[Отход]]/Таблица18[[#This Row],[Вес нетто]]</f>
        <v>0.13999999999999996</v>
      </c>
      <c r="V80" s="121">
        <f>MONTH(Таблица18[[#This Row],[Дата акта]])</f>
        <v>6</v>
      </c>
      <c r="W80" s="121">
        <v>5</v>
      </c>
      <c r="X80" s="148">
        <f>DATE(1900,Таблица18[[#This Row],[Месяц]],Таблица18[[#This Row],[Число]])</f>
        <v>157</v>
      </c>
      <c r="Y80" s="121"/>
      <c r="Z80" s="121" t="str">
        <f>Таблица18[[#This Row],[Хар-ка]]</f>
        <v>высший</v>
      </c>
      <c r="AD80" s="459"/>
      <c r="AE80" s="391"/>
    </row>
    <row r="81" spans="1:31" s="325" customFormat="1" ht="15.6" hidden="1" customHeight="1" x14ac:dyDescent="0.2">
      <c r="A81" s="360" t="s">
        <v>1901</v>
      </c>
      <c r="B81" s="360" t="s">
        <v>511</v>
      </c>
      <c r="C81" s="361">
        <v>170</v>
      </c>
      <c r="D81" s="362">
        <v>18</v>
      </c>
      <c r="E81" s="360" t="s">
        <v>78</v>
      </c>
      <c r="F81" s="360" t="s">
        <v>212</v>
      </c>
      <c r="G81" s="360" t="s">
        <v>216</v>
      </c>
      <c r="H81" s="360" t="s">
        <v>1893</v>
      </c>
      <c r="I81" s="360" t="e">
        <f>VLOOKUP(Таблица18[[#This Row],[Номер акта]],$AB$1:$AF$1833,3,FALSE)</f>
        <v>#N/A</v>
      </c>
      <c r="J81" s="360" t="s">
        <v>21</v>
      </c>
      <c r="K81" s="360" t="s">
        <v>82</v>
      </c>
      <c r="L81" s="363">
        <v>13940</v>
      </c>
      <c r="M81" s="363">
        <v>9420</v>
      </c>
      <c r="N81" s="364">
        <v>14</v>
      </c>
      <c r="O81" s="363">
        <v>4520</v>
      </c>
      <c r="P81" s="363">
        <v>3887.2</v>
      </c>
      <c r="Q81" s="121">
        <v>2023</v>
      </c>
      <c r="R81" s="121"/>
      <c r="S81" s="148">
        <v>45082</v>
      </c>
      <c r="T81" s="363">
        <f>Таблица18[[#This Row],[Вес нетто]]-Таблица18[[#This Row],[Зачетный вес]]</f>
        <v>632.80000000000018</v>
      </c>
      <c r="U81" s="365">
        <f>Таблица18[[#This Row],[Отход]]/Таблица18[[#This Row],[Вес нетто]]</f>
        <v>0.14000000000000004</v>
      </c>
      <c r="V81" s="121">
        <f>MONTH(Таблица18[[#This Row],[Дата акта]])</f>
        <v>6</v>
      </c>
      <c r="W81" s="121">
        <v>5</v>
      </c>
      <c r="X81" s="148">
        <f>DATE(1900,Таблица18[[#This Row],[Месяц]],Таблица18[[#This Row],[Число]])</f>
        <v>157</v>
      </c>
      <c r="Y81" s="121"/>
      <c r="Z81" s="121" t="str">
        <f>Таблица18[[#This Row],[Хар-ка]]</f>
        <v>высший</v>
      </c>
      <c r="AD81" s="459"/>
      <c r="AE81" s="391"/>
    </row>
    <row r="82" spans="1:31" s="325" customFormat="1" ht="15.6" hidden="1" customHeight="1" x14ac:dyDescent="0.2">
      <c r="A82" s="360" t="s">
        <v>1902</v>
      </c>
      <c r="B82" s="360" t="s">
        <v>550</v>
      </c>
      <c r="C82" s="361">
        <v>172</v>
      </c>
      <c r="D82" s="362">
        <v>63376</v>
      </c>
      <c r="E82" s="360" t="s">
        <v>1787</v>
      </c>
      <c r="F82" s="360" t="s">
        <v>1804</v>
      </c>
      <c r="G82" s="360" t="s">
        <v>536</v>
      </c>
      <c r="H82" s="360" t="s">
        <v>1789</v>
      </c>
      <c r="I82" s="360" t="e">
        <f>VLOOKUP(Таблица18[[#This Row],[Номер акта]],$AB$1:$AF$1833,3,FALSE)</f>
        <v>#N/A</v>
      </c>
      <c r="J82" s="360" t="s">
        <v>1753</v>
      </c>
      <c r="K82" s="360" t="s">
        <v>82</v>
      </c>
      <c r="L82" s="363">
        <v>27670</v>
      </c>
      <c r="M82" s="363">
        <v>14520</v>
      </c>
      <c r="N82" s="364">
        <v>13.5</v>
      </c>
      <c r="O82" s="363">
        <v>13150</v>
      </c>
      <c r="P82" s="363">
        <v>11374.7</v>
      </c>
      <c r="Q82" s="121">
        <v>2023</v>
      </c>
      <c r="R82" s="121"/>
      <c r="S82" s="148">
        <v>45082</v>
      </c>
      <c r="T82" s="363">
        <f>Таблица18[[#This Row],[Вес нетто]]-Таблица18[[#This Row],[Зачетный вес]]</f>
        <v>1775.2999999999993</v>
      </c>
      <c r="U82" s="365">
        <f>Таблица18[[#This Row],[Отход]]/Таблица18[[#This Row],[Вес нетто]]</f>
        <v>0.13500380228136877</v>
      </c>
      <c r="V82" s="121">
        <f>MONTH(Таблица18[[#This Row],[Дата акта]])</f>
        <v>6</v>
      </c>
      <c r="W82" s="121">
        <v>5</v>
      </c>
      <c r="X82" s="148">
        <f>DATE(1900,Таблица18[[#This Row],[Месяц]],Таблица18[[#This Row],[Число]])</f>
        <v>157</v>
      </c>
      <c r="Y82" s="121"/>
      <c r="Z82" s="121" t="str">
        <f>Таблица18[[#This Row],[Хар-ка]]</f>
        <v>первый</v>
      </c>
      <c r="AD82" s="459"/>
      <c r="AE82" s="391"/>
    </row>
    <row r="83" spans="1:31" s="325" customFormat="1" ht="15.6" hidden="1" customHeight="1" x14ac:dyDescent="0.2">
      <c r="A83" s="360" t="s">
        <v>1903</v>
      </c>
      <c r="B83" s="360" t="s">
        <v>550</v>
      </c>
      <c r="C83" s="361">
        <v>173</v>
      </c>
      <c r="D83" s="362">
        <v>63381</v>
      </c>
      <c r="E83" s="360" t="s">
        <v>1787</v>
      </c>
      <c r="F83" s="360" t="s">
        <v>121</v>
      </c>
      <c r="G83" s="360" t="s">
        <v>125</v>
      </c>
      <c r="H83" s="360" t="s">
        <v>1789</v>
      </c>
      <c r="I83" s="360" t="e">
        <f>VLOOKUP(Таблица18[[#This Row],[Номер акта]],$AB$1:$AF$1833,3,FALSE)</f>
        <v>#N/A</v>
      </c>
      <c r="J83" s="360" t="s">
        <v>1753</v>
      </c>
      <c r="K83" s="360" t="s">
        <v>82</v>
      </c>
      <c r="L83" s="363">
        <v>27700</v>
      </c>
      <c r="M83" s="363">
        <v>14500</v>
      </c>
      <c r="N83" s="364">
        <v>8.5</v>
      </c>
      <c r="O83" s="363">
        <v>13200</v>
      </c>
      <c r="P83" s="363">
        <v>12078</v>
      </c>
      <c r="Q83" s="121">
        <v>2023</v>
      </c>
      <c r="R83" s="121"/>
      <c r="S83" s="148">
        <v>45082</v>
      </c>
      <c r="T83" s="363">
        <f>Таблица18[[#This Row],[Вес нетто]]-Таблица18[[#This Row],[Зачетный вес]]</f>
        <v>1122</v>
      </c>
      <c r="U83" s="365">
        <f>Таблица18[[#This Row],[Отход]]/Таблица18[[#This Row],[Вес нетто]]</f>
        <v>8.5000000000000006E-2</v>
      </c>
      <c r="V83" s="121">
        <f>MONTH(Таблица18[[#This Row],[Дата акта]])</f>
        <v>6</v>
      </c>
      <c r="W83" s="121">
        <v>5</v>
      </c>
      <c r="X83" s="148">
        <f>DATE(1900,Таблица18[[#This Row],[Месяц]],Таблица18[[#This Row],[Число]])</f>
        <v>157</v>
      </c>
      <c r="Y83" s="121"/>
      <c r="Z83" s="121" t="str">
        <f>Таблица18[[#This Row],[Хар-ка]]</f>
        <v>первый</v>
      </c>
      <c r="AD83" s="459"/>
      <c r="AE83" s="391"/>
    </row>
    <row r="84" spans="1:31" s="325" customFormat="1" ht="15.6" hidden="1" customHeight="1" x14ac:dyDescent="0.2">
      <c r="A84" s="360" t="s">
        <v>1904</v>
      </c>
      <c r="B84" s="360" t="s">
        <v>511</v>
      </c>
      <c r="C84" s="361">
        <v>174</v>
      </c>
      <c r="D84" s="362">
        <v>19</v>
      </c>
      <c r="E84" s="360" t="s">
        <v>78</v>
      </c>
      <c r="F84" s="360" t="s">
        <v>1788</v>
      </c>
      <c r="G84" s="360" t="s">
        <v>131</v>
      </c>
      <c r="H84" s="360" t="s">
        <v>1893</v>
      </c>
      <c r="I84" s="360" t="e">
        <f>VLOOKUP(Таблица18[[#This Row],[Номер акта]],$AB$1:$AF$1833,3,FALSE)</f>
        <v>#N/A</v>
      </c>
      <c r="J84" s="360" t="s">
        <v>21</v>
      </c>
      <c r="K84" s="360" t="s">
        <v>82</v>
      </c>
      <c r="L84" s="363">
        <v>16460</v>
      </c>
      <c r="M84" s="363">
        <v>9700</v>
      </c>
      <c r="N84" s="364">
        <v>11.5</v>
      </c>
      <c r="O84" s="363">
        <v>6760</v>
      </c>
      <c r="P84" s="363">
        <v>5982.6</v>
      </c>
      <c r="Q84" s="121">
        <v>2023</v>
      </c>
      <c r="R84" s="121"/>
      <c r="S84" s="148">
        <v>45082</v>
      </c>
      <c r="T84" s="363">
        <f>Таблица18[[#This Row],[Вес нетто]]-Таблица18[[#This Row],[Зачетный вес]]</f>
        <v>777.39999999999964</v>
      </c>
      <c r="U84" s="365">
        <f>Таблица18[[#This Row],[Отход]]/Таблица18[[#This Row],[Вес нетто]]</f>
        <v>0.11499999999999995</v>
      </c>
      <c r="V84" s="121">
        <f>MONTH(Таблица18[[#This Row],[Дата акта]])</f>
        <v>6</v>
      </c>
      <c r="W84" s="121">
        <v>5</v>
      </c>
      <c r="X84" s="148">
        <f>DATE(1900,Таблица18[[#This Row],[Месяц]],Таблица18[[#This Row],[Число]])</f>
        <v>157</v>
      </c>
      <c r="Y84" s="121"/>
      <c r="Z84" s="121" t="str">
        <f>Таблица18[[#This Row],[Хар-ка]]</f>
        <v>высший</v>
      </c>
      <c r="AD84" s="459"/>
      <c r="AE84" s="391"/>
    </row>
    <row r="85" spans="1:31" s="325" customFormat="1" ht="15.6" hidden="1" customHeight="1" x14ac:dyDescent="0.2">
      <c r="A85" s="360" t="s">
        <v>1905</v>
      </c>
      <c r="B85" s="360" t="s">
        <v>550</v>
      </c>
      <c r="C85" s="361">
        <v>175</v>
      </c>
      <c r="D85" s="362">
        <v>63382</v>
      </c>
      <c r="E85" s="360" t="s">
        <v>1787</v>
      </c>
      <c r="F85" s="360" t="s">
        <v>1906</v>
      </c>
      <c r="G85" s="360" t="s">
        <v>1907</v>
      </c>
      <c r="H85" s="360" t="s">
        <v>1789</v>
      </c>
      <c r="I85" s="360" t="e">
        <f>VLOOKUP(Таблица18[[#This Row],[Номер акта]],$AB$1:$AF$1833,3,FALSE)</f>
        <v>#N/A</v>
      </c>
      <c r="J85" s="360" t="s">
        <v>1753</v>
      </c>
      <c r="K85" s="360" t="s">
        <v>82</v>
      </c>
      <c r="L85" s="363">
        <v>28060</v>
      </c>
      <c r="M85" s="363">
        <v>14960</v>
      </c>
      <c r="N85" s="364">
        <v>8.5</v>
      </c>
      <c r="O85" s="363">
        <v>13100</v>
      </c>
      <c r="P85" s="363">
        <v>11986.5</v>
      </c>
      <c r="Q85" s="121">
        <v>2023</v>
      </c>
      <c r="R85" s="121"/>
      <c r="S85" s="148">
        <v>45082</v>
      </c>
      <c r="T85" s="363">
        <f>Таблица18[[#This Row],[Вес нетто]]-Таблица18[[#This Row],[Зачетный вес]]</f>
        <v>1113.5</v>
      </c>
      <c r="U85" s="365">
        <f>Таблица18[[#This Row],[Отход]]/Таблица18[[#This Row],[Вес нетто]]</f>
        <v>8.5000000000000006E-2</v>
      </c>
      <c r="V85" s="121">
        <f>MONTH(Таблица18[[#This Row],[Дата акта]])</f>
        <v>6</v>
      </c>
      <c r="W85" s="121">
        <v>5</v>
      </c>
      <c r="X85" s="148">
        <f>DATE(1900,Таблица18[[#This Row],[Месяц]],Таблица18[[#This Row],[Число]])</f>
        <v>157</v>
      </c>
      <c r="Y85" s="121"/>
      <c r="Z85" s="121" t="str">
        <f>Таблица18[[#This Row],[Хар-ка]]</f>
        <v>первый</v>
      </c>
      <c r="AD85" s="459"/>
      <c r="AE85" s="391"/>
    </row>
    <row r="86" spans="1:31" s="325" customFormat="1" ht="15.6" hidden="1" customHeight="1" x14ac:dyDescent="0.2">
      <c r="A86" s="360" t="s">
        <v>1908</v>
      </c>
      <c r="B86" s="360" t="s">
        <v>550</v>
      </c>
      <c r="C86" s="361">
        <v>176</v>
      </c>
      <c r="D86" s="362">
        <v>63380</v>
      </c>
      <c r="E86" s="360" t="s">
        <v>1787</v>
      </c>
      <c r="F86" s="360" t="s">
        <v>1834</v>
      </c>
      <c r="G86" s="360" t="s">
        <v>1807</v>
      </c>
      <c r="H86" s="360" t="s">
        <v>1789</v>
      </c>
      <c r="I86" s="360" t="e">
        <f>VLOOKUP(Таблица18[[#This Row],[Номер акта]],$AB$1:$AF$1833,3,FALSE)</f>
        <v>#N/A</v>
      </c>
      <c r="J86" s="360" t="s">
        <v>1753</v>
      </c>
      <c r="K86" s="360" t="s">
        <v>82</v>
      </c>
      <c r="L86" s="363">
        <v>27480</v>
      </c>
      <c r="M86" s="363">
        <v>14250</v>
      </c>
      <c r="N86" s="364">
        <v>7.5</v>
      </c>
      <c r="O86" s="363">
        <v>13230</v>
      </c>
      <c r="P86" s="363">
        <v>12237.7</v>
      </c>
      <c r="Q86" s="121">
        <v>2023</v>
      </c>
      <c r="R86" s="121"/>
      <c r="S86" s="148">
        <v>45082</v>
      </c>
      <c r="T86" s="363">
        <f>Таблица18[[#This Row],[Вес нетто]]-Таблица18[[#This Row],[Зачетный вес]]</f>
        <v>992.29999999999927</v>
      </c>
      <c r="U86" s="365">
        <f>Таблица18[[#This Row],[Отход]]/Таблица18[[#This Row],[Вес нетто]]</f>
        <v>7.5003779289493519E-2</v>
      </c>
      <c r="V86" s="121">
        <f>MONTH(Таблица18[[#This Row],[Дата акта]])</f>
        <v>6</v>
      </c>
      <c r="W86" s="121">
        <v>5</v>
      </c>
      <c r="X86" s="148">
        <f>DATE(1900,Таблица18[[#This Row],[Месяц]],Таблица18[[#This Row],[Число]])</f>
        <v>157</v>
      </c>
      <c r="Y86" s="121"/>
      <c r="Z86" s="121" t="str">
        <f>Таблица18[[#This Row],[Хар-ка]]</f>
        <v>первый</v>
      </c>
      <c r="AD86" s="459"/>
      <c r="AE86" s="391"/>
    </row>
    <row r="87" spans="1:31" s="325" customFormat="1" ht="15.6" hidden="1" customHeight="1" x14ac:dyDescent="0.2">
      <c r="A87" s="360" t="s">
        <v>1909</v>
      </c>
      <c r="B87" s="360" t="s">
        <v>550</v>
      </c>
      <c r="C87" s="361">
        <v>177</v>
      </c>
      <c r="D87" s="362">
        <v>63384</v>
      </c>
      <c r="E87" s="360" t="s">
        <v>1787</v>
      </c>
      <c r="F87" s="360" t="s">
        <v>311</v>
      </c>
      <c r="G87" s="360" t="s">
        <v>315</v>
      </c>
      <c r="H87" s="360" t="s">
        <v>1789</v>
      </c>
      <c r="I87" s="360" t="e">
        <f>VLOOKUP(Таблица18[[#This Row],[Номер акта]],$AB$1:$AF$1833,3,FALSE)</f>
        <v>#N/A</v>
      </c>
      <c r="J87" s="360" t="s">
        <v>1753</v>
      </c>
      <c r="K87" s="360" t="s">
        <v>82</v>
      </c>
      <c r="L87" s="363">
        <v>28330</v>
      </c>
      <c r="M87" s="363">
        <v>15140</v>
      </c>
      <c r="N87" s="364">
        <v>10.5</v>
      </c>
      <c r="O87" s="363">
        <v>13190</v>
      </c>
      <c r="P87" s="363">
        <v>11805</v>
      </c>
      <c r="Q87" s="121">
        <v>2023</v>
      </c>
      <c r="R87" s="121"/>
      <c r="S87" s="148">
        <v>45082</v>
      </c>
      <c r="T87" s="363">
        <f>Таблица18[[#This Row],[Вес нетто]]-Таблица18[[#This Row],[Зачетный вес]]</f>
        <v>1385</v>
      </c>
      <c r="U87" s="365">
        <f>Таблица18[[#This Row],[Отход]]/Таблица18[[#This Row],[Вес нетто]]</f>
        <v>0.10500379075056861</v>
      </c>
      <c r="V87" s="121">
        <f>MONTH(Таблица18[[#This Row],[Дата акта]])</f>
        <v>6</v>
      </c>
      <c r="W87" s="121">
        <v>5</v>
      </c>
      <c r="X87" s="148">
        <f>DATE(1900,Таблица18[[#This Row],[Месяц]],Таблица18[[#This Row],[Число]])</f>
        <v>157</v>
      </c>
      <c r="Y87" s="121"/>
      <c r="Z87" s="121" t="str">
        <f>Таблица18[[#This Row],[Хар-ка]]</f>
        <v>первый</v>
      </c>
      <c r="AD87" s="459"/>
      <c r="AE87" s="391"/>
    </row>
    <row r="88" spans="1:31" s="325" customFormat="1" ht="15.6" hidden="1" customHeight="1" x14ac:dyDescent="0.2">
      <c r="A88" s="360" t="s">
        <v>1910</v>
      </c>
      <c r="B88" s="360" t="s">
        <v>550</v>
      </c>
      <c r="C88" s="361">
        <v>179</v>
      </c>
      <c r="D88" s="362">
        <v>63385</v>
      </c>
      <c r="E88" s="360" t="s">
        <v>1787</v>
      </c>
      <c r="F88" s="360" t="s">
        <v>1846</v>
      </c>
      <c r="G88" s="360" t="s">
        <v>1799</v>
      </c>
      <c r="H88" s="360" t="s">
        <v>1789</v>
      </c>
      <c r="I88" s="360" t="e">
        <f>VLOOKUP(Таблица18[[#This Row],[Номер акта]],$AB$1:$AF$1833,3,FALSE)</f>
        <v>#N/A</v>
      </c>
      <c r="J88" s="360" t="s">
        <v>1753</v>
      </c>
      <c r="K88" s="360" t="s">
        <v>82</v>
      </c>
      <c r="L88" s="363">
        <v>28950</v>
      </c>
      <c r="M88" s="363">
        <v>15670</v>
      </c>
      <c r="N88" s="364">
        <v>11.5</v>
      </c>
      <c r="O88" s="363">
        <v>13280</v>
      </c>
      <c r="P88" s="363">
        <v>11752.8</v>
      </c>
      <c r="Q88" s="121">
        <v>2023</v>
      </c>
      <c r="R88" s="121"/>
      <c r="S88" s="148">
        <v>45082</v>
      </c>
      <c r="T88" s="363">
        <f>Таблица18[[#This Row],[Вес нетто]]-Таблица18[[#This Row],[Зачетный вес]]</f>
        <v>1527.2000000000007</v>
      </c>
      <c r="U88" s="365">
        <f>Таблица18[[#This Row],[Отход]]/Таблица18[[#This Row],[Вес нетто]]</f>
        <v>0.11500000000000006</v>
      </c>
      <c r="V88" s="121">
        <f>MONTH(Таблица18[[#This Row],[Дата акта]])</f>
        <v>6</v>
      </c>
      <c r="W88" s="121">
        <v>5</v>
      </c>
      <c r="X88" s="148">
        <f>DATE(1900,Таблица18[[#This Row],[Месяц]],Таблица18[[#This Row],[Число]])</f>
        <v>157</v>
      </c>
      <c r="Y88" s="121"/>
      <c r="Z88" s="121" t="str">
        <f>Таблица18[[#This Row],[Хар-ка]]</f>
        <v>первый</v>
      </c>
      <c r="AD88" s="459"/>
      <c r="AE88" s="391"/>
    </row>
    <row r="89" spans="1:31" s="325" customFormat="1" ht="15.6" hidden="1" customHeight="1" x14ac:dyDescent="0.2">
      <c r="A89" s="360" t="s">
        <v>1911</v>
      </c>
      <c r="B89" s="360" t="s">
        <v>550</v>
      </c>
      <c r="C89" s="361">
        <v>180</v>
      </c>
      <c r="D89" s="362">
        <v>63386</v>
      </c>
      <c r="E89" s="360" t="s">
        <v>1787</v>
      </c>
      <c r="F89" s="360" t="s">
        <v>212</v>
      </c>
      <c r="G89" s="360" t="s">
        <v>216</v>
      </c>
      <c r="H89" s="360" t="s">
        <v>1789</v>
      </c>
      <c r="I89" s="360" t="e">
        <f>VLOOKUP(Таблица18[[#This Row],[Номер акта]],$AB$1:$AF$1833,3,FALSE)</f>
        <v>#N/A</v>
      </c>
      <c r="J89" s="360" t="s">
        <v>1753</v>
      </c>
      <c r="K89" s="360" t="s">
        <v>82</v>
      </c>
      <c r="L89" s="363">
        <v>27170</v>
      </c>
      <c r="M89" s="363">
        <v>13960</v>
      </c>
      <c r="N89" s="364">
        <v>9.5</v>
      </c>
      <c r="O89" s="363">
        <v>13210</v>
      </c>
      <c r="P89" s="363">
        <v>11955</v>
      </c>
      <c r="Q89" s="121">
        <v>2023</v>
      </c>
      <c r="R89" s="121"/>
      <c r="S89" s="148">
        <v>45082</v>
      </c>
      <c r="T89" s="363">
        <f>Таблица18[[#This Row],[Вес нетто]]-Таблица18[[#This Row],[Зачетный вес]]</f>
        <v>1255</v>
      </c>
      <c r="U89" s="365">
        <f>Таблица18[[#This Row],[Отход]]/Таблица18[[#This Row],[Вес нетто]]</f>
        <v>9.5003785011355035E-2</v>
      </c>
      <c r="V89" s="121">
        <f>MONTH(Таблица18[[#This Row],[Дата акта]])</f>
        <v>6</v>
      </c>
      <c r="W89" s="121">
        <v>5</v>
      </c>
      <c r="X89" s="148">
        <f>DATE(1900,Таблица18[[#This Row],[Месяц]],Таблица18[[#This Row],[Число]])</f>
        <v>157</v>
      </c>
      <c r="Y89" s="121"/>
      <c r="Z89" s="121" t="str">
        <f>Таблица18[[#This Row],[Хар-ка]]</f>
        <v>первый</v>
      </c>
      <c r="AD89" s="459"/>
      <c r="AE89" s="391"/>
    </row>
    <row r="90" spans="1:31" s="325" customFormat="1" ht="15.6" hidden="1" customHeight="1" x14ac:dyDescent="0.2">
      <c r="A90" s="360" t="s">
        <v>1912</v>
      </c>
      <c r="B90" s="360" t="s">
        <v>550</v>
      </c>
      <c r="C90" s="361">
        <v>181</v>
      </c>
      <c r="D90" s="362">
        <v>63387</v>
      </c>
      <c r="E90" s="360" t="s">
        <v>1787</v>
      </c>
      <c r="F90" s="360" t="s">
        <v>1812</v>
      </c>
      <c r="G90" s="360" t="s">
        <v>1813</v>
      </c>
      <c r="H90" s="360" t="s">
        <v>1789</v>
      </c>
      <c r="I90" s="360" t="e">
        <f>VLOOKUP(Таблица18[[#This Row],[Номер акта]],$AB$1:$AF$1833,3,FALSE)</f>
        <v>#N/A</v>
      </c>
      <c r="J90" s="360" t="s">
        <v>1753</v>
      </c>
      <c r="K90" s="360" t="s">
        <v>82</v>
      </c>
      <c r="L90" s="363">
        <v>27510</v>
      </c>
      <c r="M90" s="363">
        <v>14290</v>
      </c>
      <c r="N90" s="364">
        <v>13.5</v>
      </c>
      <c r="O90" s="363">
        <v>13220</v>
      </c>
      <c r="P90" s="363">
        <v>11435.3</v>
      </c>
      <c r="Q90" s="121">
        <v>2023</v>
      </c>
      <c r="R90" s="121"/>
      <c r="S90" s="148">
        <v>45082</v>
      </c>
      <c r="T90" s="363">
        <f>Таблица18[[#This Row],[Вес нетто]]-Таблица18[[#This Row],[Зачетный вес]]</f>
        <v>1784.7000000000007</v>
      </c>
      <c r="U90" s="365">
        <f>Таблица18[[#This Row],[Отход]]/Таблица18[[#This Row],[Вес нетто]]</f>
        <v>0.13500000000000006</v>
      </c>
      <c r="V90" s="121">
        <f>MONTH(Таблица18[[#This Row],[Дата акта]])</f>
        <v>6</v>
      </c>
      <c r="W90" s="121">
        <v>5</v>
      </c>
      <c r="X90" s="148">
        <f>DATE(1900,Таблица18[[#This Row],[Месяц]],Таблица18[[#This Row],[Число]])</f>
        <v>157</v>
      </c>
      <c r="Y90" s="121"/>
      <c r="Z90" s="121" t="str">
        <f>Таблица18[[#This Row],[Хар-ка]]</f>
        <v>первый</v>
      </c>
      <c r="AD90" s="459"/>
      <c r="AE90" s="391"/>
    </row>
    <row r="91" spans="1:31" s="325" customFormat="1" ht="15.6" hidden="1" customHeight="1" x14ac:dyDescent="0.2">
      <c r="A91" s="360" t="s">
        <v>1913</v>
      </c>
      <c r="B91" s="360" t="s">
        <v>550</v>
      </c>
      <c r="C91" s="361">
        <v>182</v>
      </c>
      <c r="D91" s="362">
        <v>63388</v>
      </c>
      <c r="E91" s="360" t="s">
        <v>1787</v>
      </c>
      <c r="F91" s="360" t="s">
        <v>1794</v>
      </c>
      <c r="G91" s="360" t="s">
        <v>1795</v>
      </c>
      <c r="H91" s="360" t="s">
        <v>1789</v>
      </c>
      <c r="I91" s="360" t="e">
        <f>VLOOKUP(Таблица18[[#This Row],[Номер акта]],$AB$1:$AF$1833,3,FALSE)</f>
        <v>#N/A</v>
      </c>
      <c r="J91" s="360" t="s">
        <v>1753</v>
      </c>
      <c r="K91" s="360" t="s">
        <v>82</v>
      </c>
      <c r="L91" s="363">
        <v>26830</v>
      </c>
      <c r="M91" s="363">
        <v>13400</v>
      </c>
      <c r="N91" s="364">
        <v>11.5</v>
      </c>
      <c r="O91" s="363">
        <v>13430</v>
      </c>
      <c r="P91" s="363">
        <v>11885.5</v>
      </c>
      <c r="Q91" s="121">
        <v>2023</v>
      </c>
      <c r="R91" s="121"/>
      <c r="S91" s="148">
        <v>45082</v>
      </c>
      <c r="T91" s="363">
        <f>Таблица18[[#This Row],[Вес нетто]]-Таблица18[[#This Row],[Зачетный вес]]</f>
        <v>1544.5</v>
      </c>
      <c r="U91" s="365">
        <f>Таблица18[[#This Row],[Отход]]/Таблица18[[#This Row],[Вес нетто]]</f>
        <v>0.11500372300819062</v>
      </c>
      <c r="V91" s="121">
        <f>MONTH(Таблица18[[#This Row],[Дата акта]])</f>
        <v>6</v>
      </c>
      <c r="W91" s="121">
        <v>5</v>
      </c>
      <c r="X91" s="148">
        <f>DATE(1900,Таблица18[[#This Row],[Месяц]],Таблица18[[#This Row],[Число]])</f>
        <v>157</v>
      </c>
      <c r="Y91" s="121"/>
      <c r="Z91" s="121" t="str">
        <f>Таблица18[[#This Row],[Хар-ка]]</f>
        <v>первый</v>
      </c>
      <c r="AD91" s="459"/>
      <c r="AE91" s="391"/>
    </row>
    <row r="92" spans="1:31" s="325" customFormat="1" ht="15.6" hidden="1" customHeight="1" x14ac:dyDescent="0.2">
      <c r="A92" s="360" t="s">
        <v>1914</v>
      </c>
      <c r="B92" s="360" t="s">
        <v>550</v>
      </c>
      <c r="C92" s="361">
        <v>183</v>
      </c>
      <c r="D92" s="362">
        <v>63390</v>
      </c>
      <c r="E92" s="360" t="s">
        <v>1787</v>
      </c>
      <c r="F92" s="360" t="s">
        <v>305</v>
      </c>
      <c r="G92" s="360" t="s">
        <v>309</v>
      </c>
      <c r="H92" s="360" t="s">
        <v>1789</v>
      </c>
      <c r="I92" s="360" t="e">
        <f>VLOOKUP(Таблица18[[#This Row],[Номер акта]],$AB$1:$AF$1833,3,FALSE)</f>
        <v>#N/A</v>
      </c>
      <c r="J92" s="360" t="s">
        <v>1753</v>
      </c>
      <c r="K92" s="360" t="s">
        <v>82</v>
      </c>
      <c r="L92" s="363">
        <v>27670</v>
      </c>
      <c r="M92" s="363">
        <v>14410</v>
      </c>
      <c r="N92" s="364">
        <v>12.5</v>
      </c>
      <c r="O92" s="363">
        <v>13260</v>
      </c>
      <c r="P92" s="363">
        <v>11602.5</v>
      </c>
      <c r="Q92" s="121">
        <v>2023</v>
      </c>
      <c r="R92" s="121"/>
      <c r="S92" s="148">
        <v>45083</v>
      </c>
      <c r="T92" s="363">
        <f>Таблица18[[#This Row],[Вес нетто]]-Таблица18[[#This Row],[Зачетный вес]]</f>
        <v>1657.5</v>
      </c>
      <c r="U92" s="365">
        <f>Таблица18[[#This Row],[Отход]]/Таблица18[[#This Row],[Вес нетто]]</f>
        <v>0.125</v>
      </c>
      <c r="V92" s="121">
        <f>MONTH(Таблица18[[#This Row],[Дата акта]])</f>
        <v>6</v>
      </c>
      <c r="W92" s="121">
        <v>6</v>
      </c>
      <c r="X92" s="148">
        <f>DATE(1900,Таблица18[[#This Row],[Месяц]],Таблица18[[#This Row],[Число]])</f>
        <v>158</v>
      </c>
      <c r="Y92" s="121"/>
      <c r="Z92" s="121" t="str">
        <f>Таблица18[[#This Row],[Хар-ка]]</f>
        <v>первый</v>
      </c>
      <c r="AD92" s="459"/>
      <c r="AE92" s="391"/>
    </row>
    <row r="93" spans="1:31" s="325" customFormat="1" ht="15.6" hidden="1" customHeight="1" x14ac:dyDescent="0.2">
      <c r="A93" s="360" t="s">
        <v>1915</v>
      </c>
      <c r="B93" s="360" t="s">
        <v>550</v>
      </c>
      <c r="C93" s="361">
        <v>184</v>
      </c>
      <c r="D93" s="362">
        <v>63391</v>
      </c>
      <c r="E93" s="360" t="s">
        <v>1787</v>
      </c>
      <c r="F93" s="360" t="s">
        <v>1850</v>
      </c>
      <c r="G93" s="360" t="s">
        <v>333</v>
      </c>
      <c r="H93" s="360" t="s">
        <v>1789</v>
      </c>
      <c r="I93" s="360" t="e">
        <f>VLOOKUP(Таблица18[[#This Row],[Номер акта]],$AB$1:$AF$1833,3,FALSE)</f>
        <v>#N/A</v>
      </c>
      <c r="J93" s="360" t="s">
        <v>1753</v>
      </c>
      <c r="K93" s="360" t="s">
        <v>82</v>
      </c>
      <c r="L93" s="363">
        <v>28080</v>
      </c>
      <c r="M93" s="363">
        <v>14880</v>
      </c>
      <c r="N93" s="364">
        <v>12.5</v>
      </c>
      <c r="O93" s="363">
        <v>13200</v>
      </c>
      <c r="P93" s="363">
        <v>11550</v>
      </c>
      <c r="Q93" s="121">
        <v>2023</v>
      </c>
      <c r="R93" s="121"/>
      <c r="S93" s="148">
        <v>45083</v>
      </c>
      <c r="T93" s="363">
        <f>Таблица18[[#This Row],[Вес нетто]]-Таблица18[[#This Row],[Зачетный вес]]</f>
        <v>1650</v>
      </c>
      <c r="U93" s="365">
        <f>Таблица18[[#This Row],[Отход]]/Таблица18[[#This Row],[Вес нетто]]</f>
        <v>0.125</v>
      </c>
      <c r="V93" s="121">
        <f>MONTH(Таблица18[[#This Row],[Дата акта]])</f>
        <v>6</v>
      </c>
      <c r="W93" s="121">
        <v>6</v>
      </c>
      <c r="X93" s="148">
        <f>DATE(1900,Таблица18[[#This Row],[Месяц]],Таблица18[[#This Row],[Число]])</f>
        <v>158</v>
      </c>
      <c r="Y93" s="121"/>
      <c r="Z93" s="121" t="str">
        <f>Таблица18[[#This Row],[Хар-ка]]</f>
        <v>первый</v>
      </c>
      <c r="AD93" s="459"/>
      <c r="AE93" s="391"/>
    </row>
    <row r="94" spans="1:31" s="325" customFormat="1" ht="15.6" hidden="1" customHeight="1" x14ac:dyDescent="0.2">
      <c r="A94" s="360" t="s">
        <v>1916</v>
      </c>
      <c r="B94" s="360" t="s">
        <v>511</v>
      </c>
      <c r="C94" s="361">
        <v>185</v>
      </c>
      <c r="D94" s="362">
        <v>20</v>
      </c>
      <c r="E94" s="360" t="s">
        <v>78</v>
      </c>
      <c r="F94" s="360" t="s">
        <v>1792</v>
      </c>
      <c r="G94" s="360" t="s">
        <v>80</v>
      </c>
      <c r="H94" s="360" t="s">
        <v>1893</v>
      </c>
      <c r="I94" s="360" t="e">
        <f>VLOOKUP(Таблица18[[#This Row],[Номер акта]],$AB$1:$AF$1833,3,FALSE)</f>
        <v>#N/A</v>
      </c>
      <c r="J94" s="360" t="s">
        <v>1917</v>
      </c>
      <c r="K94" s="360" t="s">
        <v>82</v>
      </c>
      <c r="L94" s="363">
        <v>16430</v>
      </c>
      <c r="M94" s="363">
        <v>9610</v>
      </c>
      <c r="N94" s="364">
        <v>12.5</v>
      </c>
      <c r="O94" s="363">
        <v>6820</v>
      </c>
      <c r="P94" s="363">
        <v>5967.5</v>
      </c>
      <c r="Q94" s="121">
        <v>2023</v>
      </c>
      <c r="R94" s="121"/>
      <c r="S94" s="148">
        <v>45083</v>
      </c>
      <c r="T94" s="363">
        <f>Таблица18[[#This Row],[Вес нетто]]-Таблица18[[#This Row],[Зачетный вес]]</f>
        <v>852.5</v>
      </c>
      <c r="U94" s="365">
        <f>Таблица18[[#This Row],[Отход]]/Таблица18[[#This Row],[Вес нетто]]</f>
        <v>0.125</v>
      </c>
      <c r="V94" s="121">
        <f>MONTH(Таблица18[[#This Row],[Дата акта]])</f>
        <v>6</v>
      </c>
      <c r="W94" s="121">
        <v>6</v>
      </c>
      <c r="X94" s="148">
        <f>DATE(1900,Таблица18[[#This Row],[Месяц]],Таблица18[[#This Row],[Число]])</f>
        <v>158</v>
      </c>
      <c r="Y94" s="121"/>
      <c r="Z94" s="121" t="str">
        <f>Таблица18[[#This Row],[Хар-ка]]</f>
        <v>высший</v>
      </c>
      <c r="AD94" s="459"/>
      <c r="AE94" s="391"/>
    </row>
    <row r="95" spans="1:31" s="325" customFormat="1" ht="15.6" hidden="1" customHeight="1" x14ac:dyDescent="0.2">
      <c r="A95" s="360" t="s">
        <v>1918</v>
      </c>
      <c r="B95" s="360" t="s">
        <v>550</v>
      </c>
      <c r="C95" s="361">
        <v>187</v>
      </c>
      <c r="D95" s="362">
        <v>63392</v>
      </c>
      <c r="E95" s="360" t="s">
        <v>1787</v>
      </c>
      <c r="F95" s="360" t="s">
        <v>1906</v>
      </c>
      <c r="G95" s="360" t="s">
        <v>1907</v>
      </c>
      <c r="H95" s="360" t="s">
        <v>1789</v>
      </c>
      <c r="I95" s="360" t="e">
        <f>VLOOKUP(Таблица18[[#This Row],[Номер акта]],$AB$1:$AF$1833,3,FALSE)</f>
        <v>#N/A</v>
      </c>
      <c r="J95" s="360" t="s">
        <v>1753</v>
      </c>
      <c r="K95" s="360" t="s">
        <v>82</v>
      </c>
      <c r="L95" s="363">
        <v>28070</v>
      </c>
      <c r="M95" s="363">
        <v>14850</v>
      </c>
      <c r="N95" s="364">
        <v>12.5</v>
      </c>
      <c r="O95" s="363">
        <v>13220</v>
      </c>
      <c r="P95" s="363">
        <v>11567.5</v>
      </c>
      <c r="Q95" s="121">
        <v>2023</v>
      </c>
      <c r="R95" s="121"/>
      <c r="S95" s="148">
        <v>45083</v>
      </c>
      <c r="T95" s="363">
        <f>Таблица18[[#This Row],[Вес нетто]]-Таблица18[[#This Row],[Зачетный вес]]</f>
        <v>1652.5</v>
      </c>
      <c r="U95" s="365">
        <f>Таблица18[[#This Row],[Отход]]/Таблица18[[#This Row],[Вес нетто]]</f>
        <v>0.125</v>
      </c>
      <c r="V95" s="121">
        <f>MONTH(Таблица18[[#This Row],[Дата акта]])</f>
        <v>6</v>
      </c>
      <c r="W95" s="121">
        <v>6</v>
      </c>
      <c r="X95" s="148">
        <f>DATE(1900,Таблица18[[#This Row],[Месяц]],Таблица18[[#This Row],[Число]])</f>
        <v>158</v>
      </c>
      <c r="Y95" s="121"/>
      <c r="Z95" s="121" t="str">
        <f>Таблица18[[#This Row],[Хар-ка]]</f>
        <v>первый</v>
      </c>
      <c r="AD95" s="459"/>
      <c r="AE95" s="391"/>
    </row>
    <row r="96" spans="1:31" s="325" customFormat="1" ht="15.6" hidden="1" customHeight="1" x14ac:dyDescent="0.2">
      <c r="A96" s="360" t="s">
        <v>1919</v>
      </c>
      <c r="B96" s="360" t="s">
        <v>550</v>
      </c>
      <c r="C96" s="361">
        <v>188</v>
      </c>
      <c r="D96" s="362">
        <v>63393</v>
      </c>
      <c r="E96" s="360" t="s">
        <v>1787</v>
      </c>
      <c r="F96" s="360" t="s">
        <v>311</v>
      </c>
      <c r="G96" s="360" t="s">
        <v>315</v>
      </c>
      <c r="H96" s="360" t="s">
        <v>1789</v>
      </c>
      <c r="I96" s="360" t="e">
        <f>VLOOKUP(Таблица18[[#This Row],[Номер акта]],$AB$1:$AF$1833,3,FALSE)</f>
        <v>#N/A</v>
      </c>
      <c r="J96" s="360" t="s">
        <v>1753</v>
      </c>
      <c r="K96" s="360" t="s">
        <v>82</v>
      </c>
      <c r="L96" s="363">
        <v>28260</v>
      </c>
      <c r="M96" s="363">
        <v>15010</v>
      </c>
      <c r="N96" s="364">
        <v>11.5</v>
      </c>
      <c r="O96" s="363">
        <v>13250</v>
      </c>
      <c r="P96" s="363">
        <v>11726.2</v>
      </c>
      <c r="Q96" s="121">
        <v>2023</v>
      </c>
      <c r="R96" s="121"/>
      <c r="S96" s="148">
        <v>45083</v>
      </c>
      <c r="T96" s="363">
        <f>Таблица18[[#This Row],[Вес нетто]]-Таблица18[[#This Row],[Зачетный вес]]</f>
        <v>1523.7999999999993</v>
      </c>
      <c r="U96" s="365">
        <f>Таблица18[[#This Row],[Отход]]/Таблица18[[#This Row],[Вес нетто]]</f>
        <v>0.1150037735849056</v>
      </c>
      <c r="V96" s="121">
        <f>MONTH(Таблица18[[#This Row],[Дата акта]])</f>
        <v>6</v>
      </c>
      <c r="W96" s="121">
        <v>6</v>
      </c>
      <c r="X96" s="148">
        <f>DATE(1900,Таблица18[[#This Row],[Месяц]],Таблица18[[#This Row],[Число]])</f>
        <v>158</v>
      </c>
      <c r="Y96" s="121"/>
      <c r="Z96" s="121" t="str">
        <f>Таблица18[[#This Row],[Хар-ка]]</f>
        <v>первый</v>
      </c>
      <c r="AD96" s="459"/>
      <c r="AE96" s="391"/>
    </row>
    <row r="97" spans="1:31" s="325" customFormat="1" ht="15.6" hidden="1" customHeight="1" x14ac:dyDescent="0.2">
      <c r="A97" s="360" t="s">
        <v>1920</v>
      </c>
      <c r="B97" s="360" t="s">
        <v>511</v>
      </c>
      <c r="C97" s="361">
        <v>189</v>
      </c>
      <c r="D97" s="362">
        <v>21</v>
      </c>
      <c r="E97" s="360" t="s">
        <v>78</v>
      </c>
      <c r="F97" s="360" t="s">
        <v>1792</v>
      </c>
      <c r="G97" s="360" t="s">
        <v>80</v>
      </c>
      <c r="H97" s="360" t="s">
        <v>1893</v>
      </c>
      <c r="I97" s="360" t="e">
        <f>VLOOKUP(Таблица18[[#This Row],[Номер акта]],$AB$1:$AF$1833,3,FALSE)</f>
        <v>#N/A</v>
      </c>
      <c r="J97" s="360" t="s">
        <v>21</v>
      </c>
      <c r="K97" s="360" t="s">
        <v>82</v>
      </c>
      <c r="L97" s="363">
        <v>16280</v>
      </c>
      <c r="M97" s="363">
        <v>9590</v>
      </c>
      <c r="N97" s="364">
        <v>11.5</v>
      </c>
      <c r="O97" s="363">
        <v>6690</v>
      </c>
      <c r="P97" s="363">
        <v>5920.6</v>
      </c>
      <c r="Q97" s="121">
        <v>2023</v>
      </c>
      <c r="R97" s="121"/>
      <c r="S97" s="148">
        <v>45083</v>
      </c>
      <c r="T97" s="363">
        <f>Таблица18[[#This Row],[Вес нетто]]-Таблица18[[#This Row],[Зачетный вес]]</f>
        <v>769.39999999999964</v>
      </c>
      <c r="U97" s="365">
        <f>Таблица18[[#This Row],[Отход]]/Таблица18[[#This Row],[Вес нетто]]</f>
        <v>0.11500747384155451</v>
      </c>
      <c r="V97" s="121">
        <f>MONTH(Таблица18[[#This Row],[Дата акта]])</f>
        <v>6</v>
      </c>
      <c r="W97" s="121">
        <v>6</v>
      </c>
      <c r="X97" s="148">
        <f>DATE(1900,Таблица18[[#This Row],[Месяц]],Таблица18[[#This Row],[Число]])</f>
        <v>158</v>
      </c>
      <c r="Y97" s="121"/>
      <c r="Z97" s="121" t="str">
        <f>Таблица18[[#This Row],[Хар-ка]]</f>
        <v>высший</v>
      </c>
      <c r="AD97" s="459"/>
      <c r="AE97" s="391"/>
    </row>
    <row r="98" spans="1:31" s="325" customFormat="1" ht="15.6" hidden="1" customHeight="1" x14ac:dyDescent="0.2">
      <c r="A98" s="360" t="s">
        <v>1921</v>
      </c>
      <c r="B98" s="360" t="s">
        <v>511</v>
      </c>
      <c r="C98" s="361">
        <v>190</v>
      </c>
      <c r="D98" s="362">
        <v>63394</v>
      </c>
      <c r="E98" s="360" t="s">
        <v>1787</v>
      </c>
      <c r="F98" s="360" t="s">
        <v>1846</v>
      </c>
      <c r="G98" s="360" t="s">
        <v>1799</v>
      </c>
      <c r="H98" s="360" t="s">
        <v>1789</v>
      </c>
      <c r="I98" s="360" t="e">
        <f>VLOOKUP(Таблица18[[#This Row],[Номер акта]],$AB$1:$AF$1833,3,FALSE)</f>
        <v>#N/A</v>
      </c>
      <c r="J98" s="360" t="s">
        <v>1753</v>
      </c>
      <c r="K98" s="360" t="s">
        <v>82</v>
      </c>
      <c r="L98" s="363">
        <v>28920</v>
      </c>
      <c r="M98" s="363">
        <v>15530</v>
      </c>
      <c r="N98" s="364">
        <v>11.5</v>
      </c>
      <c r="O98" s="363">
        <v>13390</v>
      </c>
      <c r="P98" s="363">
        <v>11850.1</v>
      </c>
      <c r="Q98" s="121">
        <v>2023</v>
      </c>
      <c r="R98" s="121"/>
      <c r="S98" s="148">
        <v>45083</v>
      </c>
      <c r="T98" s="363">
        <f>Таблица18[[#This Row],[Вес нетто]]-Таблица18[[#This Row],[Зачетный вес]]</f>
        <v>1539.8999999999996</v>
      </c>
      <c r="U98" s="365">
        <f>Таблица18[[#This Row],[Отход]]/Таблица18[[#This Row],[Вес нетто]]</f>
        <v>0.1150037341299477</v>
      </c>
      <c r="V98" s="121">
        <f>MONTH(Таблица18[[#This Row],[Дата акта]])</f>
        <v>6</v>
      </c>
      <c r="W98" s="121">
        <v>6</v>
      </c>
      <c r="X98" s="148">
        <f>DATE(1900,Таблица18[[#This Row],[Месяц]],Таблица18[[#This Row],[Число]])</f>
        <v>158</v>
      </c>
      <c r="Y98" s="121"/>
      <c r="Z98" s="121" t="str">
        <f>Таблица18[[#This Row],[Хар-ка]]</f>
        <v>высший</v>
      </c>
      <c r="AD98" s="459"/>
      <c r="AE98" s="391"/>
    </row>
    <row r="99" spans="1:31" s="325" customFormat="1" ht="15.6" hidden="1" customHeight="1" x14ac:dyDescent="0.2">
      <c r="A99" s="360" t="s">
        <v>1922</v>
      </c>
      <c r="B99" s="360" t="s">
        <v>511</v>
      </c>
      <c r="C99" s="361">
        <v>191</v>
      </c>
      <c r="D99" s="362">
        <v>63395</v>
      </c>
      <c r="E99" s="360" t="s">
        <v>1787</v>
      </c>
      <c r="F99" s="360" t="s">
        <v>133</v>
      </c>
      <c r="G99" s="360" t="s">
        <v>137</v>
      </c>
      <c r="H99" s="360" t="s">
        <v>1789</v>
      </c>
      <c r="I99" s="360" t="e">
        <f>VLOOKUP(Таблица18[[#This Row],[Номер акта]],$AB$1:$AF$1833,3,FALSE)</f>
        <v>#N/A</v>
      </c>
      <c r="J99" s="360" t="s">
        <v>1753</v>
      </c>
      <c r="K99" s="360" t="s">
        <v>82</v>
      </c>
      <c r="L99" s="363">
        <v>32800</v>
      </c>
      <c r="M99" s="363">
        <v>17360</v>
      </c>
      <c r="N99" s="364">
        <v>12.5</v>
      </c>
      <c r="O99" s="363">
        <v>15440</v>
      </c>
      <c r="P99" s="363">
        <v>13510</v>
      </c>
      <c r="Q99" s="121">
        <v>2023</v>
      </c>
      <c r="R99" s="121"/>
      <c r="S99" s="148">
        <v>45083</v>
      </c>
      <c r="T99" s="363">
        <f>Таблица18[[#This Row],[Вес нетто]]-Таблица18[[#This Row],[Зачетный вес]]</f>
        <v>1930</v>
      </c>
      <c r="U99" s="365">
        <f>Таблица18[[#This Row],[Отход]]/Таблица18[[#This Row],[Вес нетто]]</f>
        <v>0.125</v>
      </c>
      <c r="V99" s="121">
        <f>MONTH(Таблица18[[#This Row],[Дата акта]])</f>
        <v>6</v>
      </c>
      <c r="W99" s="121">
        <v>6</v>
      </c>
      <c r="X99" s="148">
        <f>DATE(1900,Таблица18[[#This Row],[Месяц]],Таблица18[[#This Row],[Число]])</f>
        <v>158</v>
      </c>
      <c r="Y99" s="121"/>
      <c r="Z99" s="121" t="str">
        <f>Таблица18[[#This Row],[Хар-ка]]</f>
        <v>высший</v>
      </c>
      <c r="AD99" s="459"/>
      <c r="AE99" s="391"/>
    </row>
    <row r="100" spans="1:31" s="325" customFormat="1" ht="15.6" hidden="1" customHeight="1" x14ac:dyDescent="0.2">
      <c r="A100" s="360" t="s">
        <v>1923</v>
      </c>
      <c r="B100" s="360" t="s">
        <v>511</v>
      </c>
      <c r="C100" s="361">
        <v>192</v>
      </c>
      <c r="D100" s="362">
        <v>22</v>
      </c>
      <c r="E100" s="360" t="s">
        <v>78</v>
      </c>
      <c r="F100" s="360" t="s">
        <v>1792</v>
      </c>
      <c r="G100" s="360" t="s">
        <v>80</v>
      </c>
      <c r="H100" s="360" t="s">
        <v>1924</v>
      </c>
      <c r="I100" s="360" t="e">
        <f>VLOOKUP(Таблица18[[#This Row],[Номер акта]],$AB$1:$AF$1833,3,FALSE)</f>
        <v>#N/A</v>
      </c>
      <c r="J100" s="360" t="s">
        <v>21</v>
      </c>
      <c r="K100" s="360" t="s">
        <v>82</v>
      </c>
      <c r="L100" s="363">
        <v>16460</v>
      </c>
      <c r="M100" s="363">
        <v>9580</v>
      </c>
      <c r="N100" s="364">
        <v>11.5</v>
      </c>
      <c r="O100" s="363">
        <v>6880</v>
      </c>
      <c r="P100" s="363">
        <v>6088.8</v>
      </c>
      <c r="Q100" s="121">
        <v>2023</v>
      </c>
      <c r="R100" s="121"/>
      <c r="S100" s="148">
        <v>45083</v>
      </c>
      <c r="T100" s="363">
        <f>Таблица18[[#This Row],[Вес нетто]]-Таблица18[[#This Row],[Зачетный вес]]</f>
        <v>791.19999999999982</v>
      </c>
      <c r="U100" s="365">
        <f>Таблица18[[#This Row],[Отход]]/Таблица18[[#This Row],[Вес нетто]]</f>
        <v>0.11499999999999998</v>
      </c>
      <c r="V100" s="121">
        <f>MONTH(Таблица18[[#This Row],[Дата акта]])</f>
        <v>6</v>
      </c>
      <c r="W100" s="121">
        <v>6</v>
      </c>
      <c r="X100" s="148">
        <f>DATE(1900,Таблица18[[#This Row],[Месяц]],Таблица18[[#This Row],[Число]])</f>
        <v>158</v>
      </c>
      <c r="Y100" s="121"/>
      <c r="Z100" s="121" t="str">
        <f>Таблица18[[#This Row],[Хар-ка]]</f>
        <v>высший</v>
      </c>
      <c r="AD100" s="459"/>
      <c r="AE100" s="391"/>
    </row>
    <row r="101" spans="1:31" s="325" customFormat="1" ht="15.6" hidden="1" customHeight="1" x14ac:dyDescent="0.2">
      <c r="A101" s="360" t="s">
        <v>1925</v>
      </c>
      <c r="B101" s="360" t="s">
        <v>550</v>
      </c>
      <c r="C101" s="361">
        <v>193</v>
      </c>
      <c r="D101" s="362">
        <v>63370</v>
      </c>
      <c r="E101" s="360" t="s">
        <v>1787</v>
      </c>
      <c r="F101" s="360" t="s">
        <v>1843</v>
      </c>
      <c r="G101" s="360" t="s">
        <v>119</v>
      </c>
      <c r="H101" s="360" t="s">
        <v>1789</v>
      </c>
      <c r="I101" s="360" t="e">
        <f>VLOOKUP(Таблица18[[#This Row],[Номер акта]],$AB$1:$AF$1833,3,FALSE)</f>
        <v>#N/A</v>
      </c>
      <c r="J101" s="360" t="s">
        <v>1753</v>
      </c>
      <c r="K101" s="360" t="s">
        <v>82</v>
      </c>
      <c r="L101" s="363">
        <v>38700</v>
      </c>
      <c r="M101" s="363">
        <v>20810</v>
      </c>
      <c r="N101" s="364">
        <v>7.5</v>
      </c>
      <c r="O101" s="363">
        <v>17890</v>
      </c>
      <c r="P101" s="363">
        <v>16548.2</v>
      </c>
      <c r="Q101" s="121">
        <v>2023</v>
      </c>
      <c r="R101" s="121"/>
      <c r="S101" s="148">
        <v>45083</v>
      </c>
      <c r="T101" s="363">
        <f>Таблица18[[#This Row],[Вес нетто]]-Таблица18[[#This Row],[Зачетный вес]]</f>
        <v>1341.7999999999993</v>
      </c>
      <c r="U101" s="365">
        <f>Таблица18[[#This Row],[Отход]]/Таблица18[[#This Row],[Вес нетто]]</f>
        <v>7.5002794857462224E-2</v>
      </c>
      <c r="V101" s="121">
        <f>MONTH(Таблица18[[#This Row],[Дата акта]])</f>
        <v>6</v>
      </c>
      <c r="W101" s="121">
        <v>6</v>
      </c>
      <c r="X101" s="148">
        <f>DATE(1900,Таблица18[[#This Row],[Месяц]],Таблица18[[#This Row],[Число]])</f>
        <v>158</v>
      </c>
      <c r="Y101" s="121"/>
      <c r="Z101" s="121" t="str">
        <f>Таблица18[[#This Row],[Хар-ка]]</f>
        <v>первый</v>
      </c>
      <c r="AD101" s="459"/>
      <c r="AE101" s="391"/>
    </row>
    <row r="102" spans="1:31" s="325" customFormat="1" ht="15.6" hidden="1" customHeight="1" x14ac:dyDescent="0.2">
      <c r="A102" s="360" t="s">
        <v>1926</v>
      </c>
      <c r="B102" s="360" t="s">
        <v>550</v>
      </c>
      <c r="C102" s="361">
        <v>194</v>
      </c>
      <c r="D102" s="362">
        <v>63397</v>
      </c>
      <c r="E102" s="360" t="s">
        <v>1787</v>
      </c>
      <c r="F102" s="360" t="s">
        <v>1880</v>
      </c>
      <c r="G102" s="360" t="s">
        <v>1802</v>
      </c>
      <c r="H102" s="360" t="s">
        <v>1789</v>
      </c>
      <c r="I102" s="360" t="e">
        <f>VLOOKUP(Таблица18[[#This Row],[Номер акта]],$AB$1:$AF$1833,3,FALSE)</f>
        <v>#N/A</v>
      </c>
      <c r="J102" s="360" t="s">
        <v>1753</v>
      </c>
      <c r="K102" s="360" t="s">
        <v>82</v>
      </c>
      <c r="L102" s="363">
        <v>30230</v>
      </c>
      <c r="M102" s="363">
        <v>14630</v>
      </c>
      <c r="N102" s="364">
        <v>8.5</v>
      </c>
      <c r="O102" s="363">
        <v>15600</v>
      </c>
      <c r="P102" s="363">
        <v>14274</v>
      </c>
      <c r="Q102" s="121">
        <v>2023</v>
      </c>
      <c r="R102" s="121"/>
      <c r="S102" s="148">
        <v>45083</v>
      </c>
      <c r="T102" s="363">
        <f>Таблица18[[#This Row],[Вес нетто]]-Таблица18[[#This Row],[Зачетный вес]]</f>
        <v>1326</v>
      </c>
      <c r="U102" s="365">
        <f>Таблица18[[#This Row],[Отход]]/Таблица18[[#This Row],[Вес нетто]]</f>
        <v>8.5000000000000006E-2</v>
      </c>
      <c r="V102" s="121">
        <f>MONTH(Таблица18[[#This Row],[Дата акта]])</f>
        <v>6</v>
      </c>
      <c r="W102" s="121">
        <v>6</v>
      </c>
      <c r="X102" s="148">
        <f>DATE(1900,Таблица18[[#This Row],[Месяц]],Таблица18[[#This Row],[Число]])</f>
        <v>158</v>
      </c>
      <c r="Y102" s="121"/>
      <c r="Z102" s="121" t="str">
        <f>Таблица18[[#This Row],[Хар-ка]]</f>
        <v>первый</v>
      </c>
      <c r="AD102" s="459"/>
      <c r="AE102" s="391"/>
    </row>
    <row r="103" spans="1:31" s="325" customFormat="1" ht="15.6" hidden="1" customHeight="1" x14ac:dyDescent="0.2">
      <c r="A103" s="360" t="s">
        <v>1927</v>
      </c>
      <c r="B103" s="360" t="s">
        <v>550</v>
      </c>
      <c r="C103" s="361">
        <v>195</v>
      </c>
      <c r="D103" s="362">
        <v>63398</v>
      </c>
      <c r="E103" s="360" t="s">
        <v>1787</v>
      </c>
      <c r="F103" s="360" t="s">
        <v>212</v>
      </c>
      <c r="G103" s="360" t="s">
        <v>216</v>
      </c>
      <c r="H103" s="360" t="s">
        <v>1928</v>
      </c>
      <c r="I103" s="360" t="e">
        <f>VLOOKUP(Таблица18[[#This Row],[Номер акта]],$AB$1:$AF$1833,3,FALSE)</f>
        <v>#N/A</v>
      </c>
      <c r="J103" s="360" t="s">
        <v>1753</v>
      </c>
      <c r="K103" s="360" t="s">
        <v>82</v>
      </c>
      <c r="L103" s="363">
        <v>29420</v>
      </c>
      <c r="M103" s="363">
        <v>13870</v>
      </c>
      <c r="N103" s="364">
        <v>8.5</v>
      </c>
      <c r="O103" s="363">
        <v>15550</v>
      </c>
      <c r="P103" s="363">
        <v>14228.2</v>
      </c>
      <c r="Q103" s="121">
        <v>2023</v>
      </c>
      <c r="R103" s="121"/>
      <c r="S103" s="148">
        <v>45083</v>
      </c>
      <c r="T103" s="363">
        <f>Таблица18[[#This Row],[Вес нетто]]-Таблица18[[#This Row],[Зачетный вес]]</f>
        <v>1321.7999999999993</v>
      </c>
      <c r="U103" s="365">
        <f>Таблица18[[#This Row],[Отход]]/Таблица18[[#This Row],[Вес нетто]]</f>
        <v>8.5003215434083554E-2</v>
      </c>
      <c r="V103" s="121">
        <f>MONTH(Таблица18[[#This Row],[Дата акта]])</f>
        <v>6</v>
      </c>
      <c r="W103" s="121">
        <v>6</v>
      </c>
      <c r="X103" s="148">
        <f>DATE(1900,Таблица18[[#This Row],[Месяц]],Таблица18[[#This Row],[Число]])</f>
        <v>158</v>
      </c>
      <c r="Y103" s="121"/>
      <c r="Z103" s="121" t="str">
        <f>Таблица18[[#This Row],[Хар-ка]]</f>
        <v>первый</v>
      </c>
      <c r="AD103" s="459"/>
      <c r="AE103" s="391"/>
    </row>
    <row r="104" spans="1:31" s="325" customFormat="1" ht="15.6" hidden="1" customHeight="1" x14ac:dyDescent="0.2">
      <c r="A104" s="360" t="s">
        <v>1929</v>
      </c>
      <c r="B104" s="360" t="s">
        <v>511</v>
      </c>
      <c r="C104" s="361">
        <v>197</v>
      </c>
      <c r="D104" s="362">
        <v>23</v>
      </c>
      <c r="E104" s="360" t="s">
        <v>78</v>
      </c>
      <c r="F104" s="360" t="s">
        <v>1792</v>
      </c>
      <c r="G104" s="360" t="s">
        <v>80</v>
      </c>
      <c r="H104" s="360" t="s">
        <v>1924</v>
      </c>
      <c r="I104" s="360" t="e">
        <f>VLOOKUP(Таблица18[[#This Row],[Номер акта]],$AB$1:$AF$1833,3,FALSE)</f>
        <v>#N/A</v>
      </c>
      <c r="J104" s="360" t="s">
        <v>21</v>
      </c>
      <c r="K104" s="360" t="s">
        <v>82</v>
      </c>
      <c r="L104" s="363">
        <v>16220</v>
      </c>
      <c r="M104" s="363">
        <v>9570</v>
      </c>
      <c r="N104" s="364">
        <v>12.5</v>
      </c>
      <c r="O104" s="363">
        <v>6650</v>
      </c>
      <c r="P104" s="363">
        <v>5818.7</v>
      </c>
      <c r="Q104" s="121">
        <v>2023</v>
      </c>
      <c r="R104" s="121"/>
      <c r="S104" s="148">
        <v>45083</v>
      </c>
      <c r="T104" s="363">
        <f>Таблица18[[#This Row],[Вес нетто]]-Таблица18[[#This Row],[Зачетный вес]]</f>
        <v>831.30000000000018</v>
      </c>
      <c r="U104" s="365">
        <f>Таблица18[[#This Row],[Отход]]/Таблица18[[#This Row],[Вес нетто]]</f>
        <v>0.12500751879699251</v>
      </c>
      <c r="V104" s="121">
        <f>MONTH(Таблица18[[#This Row],[Дата акта]])</f>
        <v>6</v>
      </c>
      <c r="W104" s="121">
        <v>6</v>
      </c>
      <c r="X104" s="148">
        <f>DATE(1900,Таблица18[[#This Row],[Месяц]],Таблица18[[#This Row],[Число]])</f>
        <v>158</v>
      </c>
      <c r="Y104" s="121"/>
      <c r="Z104" s="121" t="str">
        <f>Таблица18[[#This Row],[Хар-ка]]</f>
        <v>высший</v>
      </c>
      <c r="AD104" s="459"/>
      <c r="AE104" s="391"/>
    </row>
    <row r="105" spans="1:31" s="325" customFormat="1" ht="15.6" hidden="1" customHeight="1" x14ac:dyDescent="0.2">
      <c r="A105" s="360" t="s">
        <v>1930</v>
      </c>
      <c r="B105" s="360" t="s">
        <v>550</v>
      </c>
      <c r="C105" s="361">
        <v>198</v>
      </c>
      <c r="D105" s="362">
        <v>63399</v>
      </c>
      <c r="E105" s="360" t="s">
        <v>1787</v>
      </c>
      <c r="F105" s="360" t="s">
        <v>1834</v>
      </c>
      <c r="G105" s="360" t="s">
        <v>1836</v>
      </c>
      <c r="H105" s="360" t="s">
        <v>1928</v>
      </c>
      <c r="I105" s="360" t="e">
        <f>VLOOKUP(Таблица18[[#This Row],[Номер акта]],$AB$1:$AF$1833,3,FALSE)</f>
        <v>#N/A</v>
      </c>
      <c r="J105" s="360" t="s">
        <v>1753</v>
      </c>
      <c r="K105" s="360" t="s">
        <v>82</v>
      </c>
      <c r="L105" s="363">
        <v>29860</v>
      </c>
      <c r="M105" s="363">
        <v>14350</v>
      </c>
      <c r="N105" s="364">
        <v>9.5</v>
      </c>
      <c r="O105" s="363">
        <v>15510</v>
      </c>
      <c r="P105" s="363">
        <v>14036.5</v>
      </c>
      <c r="Q105" s="121">
        <v>2023</v>
      </c>
      <c r="R105" s="121"/>
      <c r="S105" s="148">
        <v>45083</v>
      </c>
      <c r="T105" s="363">
        <f>Таблица18[[#This Row],[Вес нетто]]-Таблица18[[#This Row],[Зачетный вес]]</f>
        <v>1473.5</v>
      </c>
      <c r="U105" s="365">
        <f>Таблица18[[#This Row],[Отход]]/Таблица18[[#This Row],[Вес нетто]]</f>
        <v>9.5003223726627978E-2</v>
      </c>
      <c r="V105" s="121">
        <f>MONTH(Таблица18[[#This Row],[Дата акта]])</f>
        <v>6</v>
      </c>
      <c r="W105" s="121">
        <v>6</v>
      </c>
      <c r="X105" s="148">
        <f>DATE(1900,Таблица18[[#This Row],[Месяц]],Таблица18[[#This Row],[Число]])</f>
        <v>158</v>
      </c>
      <c r="Y105" s="121"/>
      <c r="Z105" s="121" t="str">
        <f>Таблица18[[#This Row],[Хар-ка]]</f>
        <v>первый</v>
      </c>
      <c r="AD105" s="459"/>
      <c r="AE105" s="391"/>
    </row>
    <row r="106" spans="1:31" s="325" customFormat="1" ht="15.6" hidden="1" customHeight="1" x14ac:dyDescent="0.2">
      <c r="A106" s="360" t="s">
        <v>1931</v>
      </c>
      <c r="B106" s="360" t="s">
        <v>550</v>
      </c>
      <c r="C106" s="361">
        <v>200</v>
      </c>
      <c r="D106" s="362">
        <v>63400</v>
      </c>
      <c r="E106" s="360" t="s">
        <v>1787</v>
      </c>
      <c r="F106" s="360" t="s">
        <v>1794</v>
      </c>
      <c r="G106" s="360" t="s">
        <v>1795</v>
      </c>
      <c r="H106" s="360" t="s">
        <v>1928</v>
      </c>
      <c r="I106" s="360" t="e">
        <f>VLOOKUP(Таблица18[[#This Row],[Номер акта]],$AB$1:$AF$1833,3,FALSE)</f>
        <v>#N/A</v>
      </c>
      <c r="J106" s="360" t="s">
        <v>1753</v>
      </c>
      <c r="K106" s="360" t="s">
        <v>82</v>
      </c>
      <c r="L106" s="363">
        <v>28950</v>
      </c>
      <c r="M106" s="363">
        <v>13270</v>
      </c>
      <c r="N106" s="364">
        <v>12.5</v>
      </c>
      <c r="O106" s="363">
        <v>15680</v>
      </c>
      <c r="P106" s="363">
        <v>13720</v>
      </c>
      <c r="Q106" s="121">
        <v>2023</v>
      </c>
      <c r="R106" s="121"/>
      <c r="S106" s="148">
        <v>45084</v>
      </c>
      <c r="T106" s="363">
        <f>Таблица18[[#This Row],[Вес нетто]]-Таблица18[[#This Row],[Зачетный вес]]</f>
        <v>1960</v>
      </c>
      <c r="U106" s="365">
        <f>Таблица18[[#This Row],[Отход]]/Таблица18[[#This Row],[Вес нетто]]</f>
        <v>0.125</v>
      </c>
      <c r="V106" s="121">
        <f>MONTH(Таблица18[[#This Row],[Дата акта]])</f>
        <v>6</v>
      </c>
      <c r="W106" s="121">
        <v>7</v>
      </c>
      <c r="X106" s="148">
        <f>DATE(1900,Таблица18[[#This Row],[Месяц]],Таблица18[[#This Row],[Число]])</f>
        <v>159</v>
      </c>
      <c r="Y106" s="121"/>
      <c r="Z106" s="121" t="str">
        <f>Таблица18[[#This Row],[Хар-ка]]</f>
        <v>первый</v>
      </c>
      <c r="AD106" s="459"/>
      <c r="AE106" s="391"/>
    </row>
    <row r="107" spans="1:31" s="325" customFormat="1" ht="15.6" hidden="1" customHeight="1" x14ac:dyDescent="0.2">
      <c r="A107" s="360" t="s">
        <v>1932</v>
      </c>
      <c r="B107" s="360" t="s">
        <v>550</v>
      </c>
      <c r="C107" s="361">
        <v>201</v>
      </c>
      <c r="D107" s="362">
        <v>63401</v>
      </c>
      <c r="E107" s="360" t="s">
        <v>1787</v>
      </c>
      <c r="F107" s="360" t="s">
        <v>1850</v>
      </c>
      <c r="G107" s="360" t="s">
        <v>333</v>
      </c>
      <c r="H107" s="360" t="s">
        <v>1928</v>
      </c>
      <c r="I107" s="360" t="e">
        <f>VLOOKUP(Таблица18[[#This Row],[Номер акта]],$AB$1:$AF$1833,3,FALSE)</f>
        <v>#N/A</v>
      </c>
      <c r="J107" s="360" t="s">
        <v>747</v>
      </c>
      <c r="K107" s="360" t="s">
        <v>82</v>
      </c>
      <c r="L107" s="363">
        <v>30270</v>
      </c>
      <c r="M107" s="363">
        <v>14920</v>
      </c>
      <c r="N107" s="364">
        <v>7.5</v>
      </c>
      <c r="O107" s="363">
        <v>15350</v>
      </c>
      <c r="P107" s="363">
        <v>14198.7</v>
      </c>
      <c r="Q107" s="121">
        <v>2023</v>
      </c>
      <c r="R107" s="121"/>
      <c r="S107" s="148">
        <v>45084</v>
      </c>
      <c r="T107" s="363">
        <f>Таблица18[[#This Row],[Вес нетто]]-Таблица18[[#This Row],[Зачетный вес]]</f>
        <v>1151.2999999999993</v>
      </c>
      <c r="U107" s="365">
        <f>Таблица18[[#This Row],[Отход]]/Таблица18[[#This Row],[Вес нетто]]</f>
        <v>7.5003257328990186E-2</v>
      </c>
      <c r="V107" s="121">
        <f>MONTH(Таблица18[[#This Row],[Дата акта]])</f>
        <v>6</v>
      </c>
      <c r="W107" s="121">
        <v>7</v>
      </c>
      <c r="X107" s="148">
        <f>DATE(1900,Таблица18[[#This Row],[Месяц]],Таблица18[[#This Row],[Число]])</f>
        <v>159</v>
      </c>
      <c r="Y107" s="121"/>
      <c r="Z107" s="121" t="str">
        <f>Таблица18[[#This Row],[Хар-ка]]</f>
        <v>первый</v>
      </c>
      <c r="AD107" s="459"/>
      <c r="AE107" s="391"/>
    </row>
    <row r="108" spans="1:31" s="325" customFormat="1" ht="15.6" hidden="1" customHeight="1" x14ac:dyDescent="0.2">
      <c r="A108" s="360" t="s">
        <v>1933</v>
      </c>
      <c r="B108" s="360" t="s">
        <v>550</v>
      </c>
      <c r="C108" s="361">
        <v>202</v>
      </c>
      <c r="D108" s="362">
        <v>3402</v>
      </c>
      <c r="E108" s="360" t="s">
        <v>1787</v>
      </c>
      <c r="F108" s="360" t="s">
        <v>1832</v>
      </c>
      <c r="G108" s="360" t="s">
        <v>1810</v>
      </c>
      <c r="H108" s="360" t="s">
        <v>1928</v>
      </c>
      <c r="I108" s="360" t="e">
        <f>VLOOKUP(Таблица18[[#This Row],[Номер акта]],$AB$1:$AF$1833,3,FALSE)</f>
        <v>#N/A</v>
      </c>
      <c r="J108" s="360" t="s">
        <v>747</v>
      </c>
      <c r="K108" s="360" t="s">
        <v>82</v>
      </c>
      <c r="L108" s="363">
        <v>29480</v>
      </c>
      <c r="M108" s="363">
        <v>14000</v>
      </c>
      <c r="N108" s="364">
        <v>7.5</v>
      </c>
      <c r="O108" s="363">
        <v>15480</v>
      </c>
      <c r="P108" s="363">
        <v>14319</v>
      </c>
      <c r="Q108" s="121">
        <v>2023</v>
      </c>
      <c r="R108" s="121"/>
      <c r="S108" s="148">
        <v>45084</v>
      </c>
      <c r="T108" s="363">
        <f>Таблица18[[#This Row],[Вес нетто]]-Таблица18[[#This Row],[Зачетный вес]]</f>
        <v>1161</v>
      </c>
      <c r="U108" s="365">
        <f>Таблица18[[#This Row],[Отход]]/Таблица18[[#This Row],[Вес нетто]]</f>
        <v>7.4999999999999997E-2</v>
      </c>
      <c r="V108" s="121">
        <f>MONTH(Таблица18[[#This Row],[Дата акта]])</f>
        <v>6</v>
      </c>
      <c r="W108" s="121">
        <v>7</v>
      </c>
      <c r="X108" s="148">
        <f>DATE(1900,Таблица18[[#This Row],[Месяц]],Таблица18[[#This Row],[Число]])</f>
        <v>159</v>
      </c>
      <c r="Y108" s="121"/>
      <c r="Z108" s="121" t="str">
        <f>Таблица18[[#This Row],[Хар-ка]]</f>
        <v>первый</v>
      </c>
      <c r="AD108" s="459"/>
      <c r="AE108" s="391"/>
    </row>
    <row r="109" spans="1:31" s="325" customFormat="1" ht="15.6" hidden="1" customHeight="1" x14ac:dyDescent="0.2">
      <c r="A109" s="360" t="s">
        <v>1934</v>
      </c>
      <c r="B109" s="360" t="s">
        <v>550</v>
      </c>
      <c r="C109" s="361">
        <v>203</v>
      </c>
      <c r="D109" s="362">
        <v>63403</v>
      </c>
      <c r="E109" s="360" t="s">
        <v>1787</v>
      </c>
      <c r="F109" s="360" t="s">
        <v>1935</v>
      </c>
      <c r="G109" s="360" t="s">
        <v>1813</v>
      </c>
      <c r="H109" s="360" t="s">
        <v>1928</v>
      </c>
      <c r="I109" s="360" t="e">
        <f>VLOOKUP(Таблица18[[#This Row],[Номер акта]],$AB$1:$AF$1833,3,FALSE)</f>
        <v>#N/A</v>
      </c>
      <c r="J109" s="360" t="s">
        <v>747</v>
      </c>
      <c r="K109" s="360" t="s">
        <v>82</v>
      </c>
      <c r="L109" s="363">
        <v>29960</v>
      </c>
      <c r="M109" s="363">
        <v>14240</v>
      </c>
      <c r="N109" s="364">
        <v>11.5</v>
      </c>
      <c r="O109" s="363">
        <v>15720</v>
      </c>
      <c r="P109" s="363">
        <v>13912.2</v>
      </c>
      <c r="Q109" s="121">
        <v>2023</v>
      </c>
      <c r="R109" s="121"/>
      <c r="S109" s="148">
        <v>45084</v>
      </c>
      <c r="T109" s="363">
        <f>Таблица18[[#This Row],[Вес нетто]]-Таблица18[[#This Row],[Зачетный вес]]</f>
        <v>1807.7999999999993</v>
      </c>
      <c r="U109" s="365">
        <f>Таблица18[[#This Row],[Отход]]/Таблица18[[#This Row],[Вес нетто]]</f>
        <v>0.11499999999999995</v>
      </c>
      <c r="V109" s="121">
        <f>MONTH(Таблица18[[#This Row],[Дата акта]])</f>
        <v>6</v>
      </c>
      <c r="W109" s="121">
        <v>7</v>
      </c>
      <c r="X109" s="148">
        <f>DATE(1900,Таблица18[[#This Row],[Месяц]],Таблица18[[#This Row],[Число]])</f>
        <v>159</v>
      </c>
      <c r="Y109" s="121"/>
      <c r="Z109" s="121" t="str">
        <f>Таблица18[[#This Row],[Хар-ка]]</f>
        <v>первый</v>
      </c>
      <c r="AD109" s="459"/>
      <c r="AE109" s="391"/>
    </row>
    <row r="110" spans="1:31" s="325" customFormat="1" ht="15.6" hidden="1" customHeight="1" x14ac:dyDescent="0.2">
      <c r="A110" s="360" t="s">
        <v>1936</v>
      </c>
      <c r="B110" s="360" t="s">
        <v>550</v>
      </c>
      <c r="C110" s="361">
        <v>204</v>
      </c>
      <c r="D110" s="362">
        <v>63404</v>
      </c>
      <c r="E110" s="360" t="s">
        <v>1787</v>
      </c>
      <c r="F110" s="360" t="s">
        <v>311</v>
      </c>
      <c r="G110" s="360" t="s">
        <v>315</v>
      </c>
      <c r="H110" s="360" t="s">
        <v>1928</v>
      </c>
      <c r="I110" s="360" t="e">
        <f>VLOOKUP(Таблица18[[#This Row],[Номер акта]],$AB$1:$AF$1833,3,FALSE)</f>
        <v>#N/A</v>
      </c>
      <c r="J110" s="360" t="s">
        <v>747</v>
      </c>
      <c r="K110" s="360" t="s">
        <v>82</v>
      </c>
      <c r="L110" s="363">
        <v>30680</v>
      </c>
      <c r="M110" s="363">
        <v>15010</v>
      </c>
      <c r="N110" s="364">
        <v>9.5</v>
      </c>
      <c r="O110" s="363">
        <v>15670</v>
      </c>
      <c r="P110" s="363">
        <v>14181.3</v>
      </c>
      <c r="Q110" s="121">
        <v>2023</v>
      </c>
      <c r="R110" s="121"/>
      <c r="S110" s="148">
        <v>45084</v>
      </c>
      <c r="T110" s="363">
        <f>Таблица18[[#This Row],[Вес нетто]]-Таблица18[[#This Row],[Зачетный вес]]</f>
        <v>1488.7000000000007</v>
      </c>
      <c r="U110" s="365">
        <f>Таблица18[[#This Row],[Отход]]/Таблица18[[#This Row],[Вес нетто]]</f>
        <v>9.5003190810465904E-2</v>
      </c>
      <c r="V110" s="121">
        <f>MONTH(Таблица18[[#This Row],[Дата акта]])</f>
        <v>6</v>
      </c>
      <c r="W110" s="121">
        <v>7</v>
      </c>
      <c r="X110" s="148">
        <f>DATE(1900,Таблица18[[#This Row],[Месяц]],Таблица18[[#This Row],[Число]])</f>
        <v>159</v>
      </c>
      <c r="Y110" s="121"/>
      <c r="Z110" s="121" t="str">
        <f>Таблица18[[#This Row],[Хар-ка]]</f>
        <v>первый</v>
      </c>
      <c r="AD110" s="459"/>
      <c r="AE110" s="391"/>
    </row>
    <row r="111" spans="1:31" s="325" customFormat="1" ht="15.6" hidden="1" customHeight="1" x14ac:dyDescent="0.2">
      <c r="A111" s="360" t="s">
        <v>1937</v>
      </c>
      <c r="B111" s="360" t="s">
        <v>550</v>
      </c>
      <c r="C111" s="361">
        <v>205</v>
      </c>
      <c r="D111" s="362">
        <v>63405</v>
      </c>
      <c r="E111" s="360" t="s">
        <v>1787</v>
      </c>
      <c r="F111" s="360" t="s">
        <v>1846</v>
      </c>
      <c r="G111" s="360" t="s">
        <v>1799</v>
      </c>
      <c r="H111" s="360" t="s">
        <v>1928</v>
      </c>
      <c r="I111" s="360" t="e">
        <f>VLOOKUP(Таблица18[[#This Row],[Номер акта]],$AB$1:$AF$1833,3,FALSE)</f>
        <v>#N/A</v>
      </c>
      <c r="J111" s="360" t="s">
        <v>747</v>
      </c>
      <c r="K111" s="360" t="s">
        <v>82</v>
      </c>
      <c r="L111" s="363">
        <v>31600</v>
      </c>
      <c r="M111" s="363">
        <v>21970</v>
      </c>
      <c r="N111" s="364">
        <v>9.5</v>
      </c>
      <c r="O111" s="363">
        <v>9630</v>
      </c>
      <c r="P111" s="363">
        <v>8715.1</v>
      </c>
      <c r="Q111" s="121">
        <v>2023</v>
      </c>
      <c r="R111" s="121"/>
      <c r="S111" s="148">
        <v>45084</v>
      </c>
      <c r="T111" s="363">
        <f>Таблица18[[#This Row],[Вес нетто]]-Таблица18[[#This Row],[Зачетный вес]]</f>
        <v>914.89999999999964</v>
      </c>
      <c r="U111" s="365">
        <f>Таблица18[[#This Row],[Отход]]/Таблица18[[#This Row],[Вес нетто]]</f>
        <v>9.5005192107995809E-2</v>
      </c>
      <c r="V111" s="121">
        <f>MONTH(Таблица18[[#This Row],[Дата акта]])</f>
        <v>6</v>
      </c>
      <c r="W111" s="121">
        <v>7</v>
      </c>
      <c r="X111" s="148">
        <f>DATE(1900,Таблица18[[#This Row],[Месяц]],Таблица18[[#This Row],[Число]])</f>
        <v>159</v>
      </c>
      <c r="Y111" s="121"/>
      <c r="Z111" s="121" t="str">
        <f>Таблица18[[#This Row],[Хар-ка]]</f>
        <v>первый</v>
      </c>
      <c r="AD111" s="459"/>
      <c r="AE111" s="391"/>
    </row>
    <row r="112" spans="1:31" s="325" customFormat="1" ht="15.6" hidden="1" customHeight="1" x14ac:dyDescent="0.2">
      <c r="A112" s="360" t="s">
        <v>1938</v>
      </c>
      <c r="B112" s="360" t="s">
        <v>550</v>
      </c>
      <c r="C112" s="361">
        <v>207</v>
      </c>
      <c r="D112" s="362">
        <v>63406</v>
      </c>
      <c r="E112" s="360" t="s">
        <v>1787</v>
      </c>
      <c r="F112" s="360" t="s">
        <v>133</v>
      </c>
      <c r="G112" s="360" t="s">
        <v>137</v>
      </c>
      <c r="H112" s="360" t="s">
        <v>1928</v>
      </c>
      <c r="I112" s="360" t="e">
        <f>VLOOKUP(Таблица18[[#This Row],[Номер акта]],$AB$1:$AF$1833,3,FALSE)</f>
        <v>#N/A</v>
      </c>
      <c r="J112" s="360" t="s">
        <v>747</v>
      </c>
      <c r="K112" s="360" t="s">
        <v>82</v>
      </c>
      <c r="L112" s="363">
        <v>32750</v>
      </c>
      <c r="M112" s="363">
        <v>23920</v>
      </c>
      <c r="N112" s="364">
        <v>10.5</v>
      </c>
      <c r="O112" s="363">
        <v>8830</v>
      </c>
      <c r="P112" s="363">
        <v>7902.8</v>
      </c>
      <c r="Q112" s="121">
        <v>2023</v>
      </c>
      <c r="R112" s="121"/>
      <c r="S112" s="148">
        <v>45084</v>
      </c>
      <c r="T112" s="363">
        <f>Таблица18[[#This Row],[Вес нетто]]-Таблица18[[#This Row],[Зачетный вес]]</f>
        <v>927.19999999999982</v>
      </c>
      <c r="U112" s="365">
        <f>Таблица18[[#This Row],[Отход]]/Таблица18[[#This Row],[Вес нетто]]</f>
        <v>0.10500566251415626</v>
      </c>
      <c r="V112" s="121">
        <f>MONTH(Таблица18[[#This Row],[Дата акта]])</f>
        <v>6</v>
      </c>
      <c r="W112" s="121">
        <v>7</v>
      </c>
      <c r="X112" s="148">
        <f>DATE(1900,Таблица18[[#This Row],[Месяц]],Таблица18[[#This Row],[Число]])</f>
        <v>159</v>
      </c>
      <c r="Y112" s="121"/>
      <c r="Z112" s="121" t="str">
        <f>Таблица18[[#This Row],[Хар-ка]]</f>
        <v>первый</v>
      </c>
      <c r="AD112" s="459"/>
      <c r="AE112" s="391"/>
    </row>
    <row r="113" spans="1:31" s="325" customFormat="1" ht="15.6" hidden="1" customHeight="1" x14ac:dyDescent="0.2">
      <c r="A113" s="360" t="s">
        <v>1939</v>
      </c>
      <c r="B113" s="360" t="s">
        <v>833</v>
      </c>
      <c r="C113" s="361">
        <v>209</v>
      </c>
      <c r="D113" s="362">
        <v>63408</v>
      </c>
      <c r="E113" s="360" t="s">
        <v>1787</v>
      </c>
      <c r="F113" s="360" t="s">
        <v>1834</v>
      </c>
      <c r="G113" s="360" t="s">
        <v>1807</v>
      </c>
      <c r="H113" s="360" t="s">
        <v>1928</v>
      </c>
      <c r="I113" s="360" t="e">
        <f>VLOOKUP(Таблица18[[#This Row],[Номер акта]],$AB$1:$AF$1833,3,FALSE)</f>
        <v>#N/A</v>
      </c>
      <c r="J113" s="360" t="s">
        <v>747</v>
      </c>
      <c r="K113" s="360" t="s">
        <v>82</v>
      </c>
      <c r="L113" s="363">
        <v>30000</v>
      </c>
      <c r="M113" s="121"/>
      <c r="N113" s="364">
        <v>10.5</v>
      </c>
      <c r="O113" s="363">
        <v>15660</v>
      </c>
      <c r="P113" s="363">
        <v>14015.7</v>
      </c>
      <c r="Q113" s="121">
        <v>2023</v>
      </c>
      <c r="R113" s="121"/>
      <c r="S113" s="148">
        <v>45084</v>
      </c>
      <c r="T113" s="363">
        <f>Таблица18[[#This Row],[Вес нетто]]-Таблица18[[#This Row],[Зачетный вес]]</f>
        <v>1644.2999999999993</v>
      </c>
      <c r="U113" s="365">
        <f>Таблица18[[#This Row],[Отход]]/Таблица18[[#This Row],[Вес нетто]]</f>
        <v>0.10499999999999995</v>
      </c>
      <c r="V113" s="121">
        <f>MONTH(Таблица18[[#This Row],[Дата акта]])</f>
        <v>6</v>
      </c>
      <c r="W113" s="121">
        <v>7</v>
      </c>
      <c r="X113" s="148">
        <f>DATE(1900,Таблица18[[#This Row],[Месяц]],Таблица18[[#This Row],[Число]])</f>
        <v>159</v>
      </c>
      <c r="Y113" s="121"/>
      <c r="Z113" s="121" t="str">
        <f>Таблица18[[#This Row],[Хар-ка]]</f>
        <v>второй</v>
      </c>
      <c r="AD113" s="459"/>
      <c r="AE113" s="391"/>
    </row>
    <row r="114" spans="1:31" s="325" customFormat="1" ht="15.6" hidden="1" customHeight="1" x14ac:dyDescent="0.2">
      <c r="A114" s="360" t="s">
        <v>1940</v>
      </c>
      <c r="B114" s="360" t="s">
        <v>550</v>
      </c>
      <c r="C114" s="361">
        <v>210</v>
      </c>
      <c r="D114" s="362">
        <v>63409</v>
      </c>
      <c r="E114" s="360" t="s">
        <v>1787</v>
      </c>
      <c r="F114" s="360" t="s">
        <v>1880</v>
      </c>
      <c r="G114" s="360" t="s">
        <v>1802</v>
      </c>
      <c r="H114" s="360" t="s">
        <v>1928</v>
      </c>
      <c r="I114" s="360" t="e">
        <f>VLOOKUP(Таблица18[[#This Row],[Номер акта]],$AB$1:$AF$1833,3,FALSE)</f>
        <v>#N/A</v>
      </c>
      <c r="J114" s="360" t="s">
        <v>747</v>
      </c>
      <c r="K114" s="360" t="s">
        <v>82</v>
      </c>
      <c r="L114" s="363">
        <v>29890</v>
      </c>
      <c r="M114" s="363">
        <v>14620</v>
      </c>
      <c r="N114" s="364">
        <v>9.5</v>
      </c>
      <c r="O114" s="363">
        <v>15270</v>
      </c>
      <c r="P114" s="363">
        <v>13819.3</v>
      </c>
      <c r="Q114" s="121">
        <v>2023</v>
      </c>
      <c r="R114" s="121"/>
      <c r="S114" s="148">
        <v>45085</v>
      </c>
      <c r="T114" s="363">
        <f>Таблица18[[#This Row],[Вес нетто]]-Таблица18[[#This Row],[Зачетный вес]]</f>
        <v>1450.7000000000007</v>
      </c>
      <c r="U114" s="365">
        <f>Таблица18[[#This Row],[Отход]]/Таблица18[[#This Row],[Вес нетто]]</f>
        <v>9.5003274394237114E-2</v>
      </c>
      <c r="V114" s="121">
        <f>MONTH(Таблица18[[#This Row],[Дата акта]])</f>
        <v>6</v>
      </c>
      <c r="W114" s="121">
        <v>8</v>
      </c>
      <c r="X114" s="148">
        <f>DATE(1900,Таблица18[[#This Row],[Месяц]],Таблица18[[#This Row],[Число]])</f>
        <v>160</v>
      </c>
      <c r="Y114" s="121"/>
      <c r="Z114" s="121" t="str">
        <f>Таблица18[[#This Row],[Хар-ка]]</f>
        <v>первый</v>
      </c>
      <c r="AD114" s="459"/>
      <c r="AE114" s="391"/>
    </row>
    <row r="115" spans="1:31" s="325" customFormat="1" ht="15.6" hidden="1" customHeight="1" x14ac:dyDescent="0.2">
      <c r="A115" s="360" t="s">
        <v>1941</v>
      </c>
      <c r="B115" s="360" t="s">
        <v>550</v>
      </c>
      <c r="C115" s="361">
        <v>211</v>
      </c>
      <c r="D115" s="362">
        <v>63410</v>
      </c>
      <c r="E115" s="360" t="s">
        <v>1787</v>
      </c>
      <c r="F115" s="360" t="s">
        <v>212</v>
      </c>
      <c r="G115" s="360" t="s">
        <v>216</v>
      </c>
      <c r="H115" s="360" t="s">
        <v>1928</v>
      </c>
      <c r="I115" s="360" t="e">
        <f>VLOOKUP(Таблица18[[#This Row],[Номер акта]],$AB$1:$AF$1833,3,FALSE)</f>
        <v>#N/A</v>
      </c>
      <c r="J115" s="360" t="s">
        <v>747</v>
      </c>
      <c r="K115" s="360" t="s">
        <v>82</v>
      </c>
      <c r="L115" s="363">
        <v>29360</v>
      </c>
      <c r="M115" s="363">
        <v>13980</v>
      </c>
      <c r="N115" s="364">
        <v>10.5</v>
      </c>
      <c r="O115" s="363">
        <v>15380</v>
      </c>
      <c r="P115" s="363">
        <v>13765.1</v>
      </c>
      <c r="Q115" s="121">
        <v>2023</v>
      </c>
      <c r="R115" s="121"/>
      <c r="S115" s="148">
        <v>45085</v>
      </c>
      <c r="T115" s="363">
        <f>Таблица18[[#This Row],[Вес нетто]]-Таблица18[[#This Row],[Зачетный вес]]</f>
        <v>1614.8999999999996</v>
      </c>
      <c r="U115" s="365">
        <f>Таблица18[[#This Row],[Отход]]/Таблица18[[#This Row],[Вес нетто]]</f>
        <v>0.10499999999999998</v>
      </c>
      <c r="V115" s="121">
        <f>MONTH(Таблица18[[#This Row],[Дата акта]])</f>
        <v>6</v>
      </c>
      <c r="W115" s="121">
        <v>8</v>
      </c>
      <c r="X115" s="148">
        <f>DATE(1900,Таблица18[[#This Row],[Месяц]],Таблица18[[#This Row],[Число]])</f>
        <v>160</v>
      </c>
      <c r="Y115" s="121"/>
      <c r="Z115" s="121" t="str">
        <f>Таблица18[[#This Row],[Хар-ка]]</f>
        <v>первый</v>
      </c>
      <c r="AD115" s="459"/>
      <c r="AE115" s="391"/>
    </row>
    <row r="116" spans="1:31" s="325" customFormat="1" ht="15.6" hidden="1" customHeight="1" x14ac:dyDescent="0.2">
      <c r="A116" s="360" t="s">
        <v>1942</v>
      </c>
      <c r="B116" s="360" t="s">
        <v>550</v>
      </c>
      <c r="C116" s="361">
        <v>212</v>
      </c>
      <c r="D116" s="362">
        <v>63411</v>
      </c>
      <c r="E116" s="360" t="s">
        <v>1787</v>
      </c>
      <c r="F116" s="360" t="s">
        <v>121</v>
      </c>
      <c r="G116" s="360" t="s">
        <v>125</v>
      </c>
      <c r="H116" s="360" t="s">
        <v>1928</v>
      </c>
      <c r="I116" s="360" t="e">
        <f>VLOOKUP(Таблица18[[#This Row],[Номер акта]],$AB$1:$AF$1833,3,FALSE)</f>
        <v>#N/A</v>
      </c>
      <c r="J116" s="360" t="s">
        <v>747</v>
      </c>
      <c r="K116" s="360" t="s">
        <v>82</v>
      </c>
      <c r="L116" s="363">
        <v>29650</v>
      </c>
      <c r="M116" s="363">
        <v>14360</v>
      </c>
      <c r="N116" s="364">
        <v>11.5</v>
      </c>
      <c r="O116" s="363">
        <v>15290</v>
      </c>
      <c r="P116" s="363">
        <v>13531.6</v>
      </c>
      <c r="Q116" s="121">
        <v>2023</v>
      </c>
      <c r="R116" s="121"/>
      <c r="S116" s="148">
        <v>45085</v>
      </c>
      <c r="T116" s="363">
        <f>Таблица18[[#This Row],[Вес нетто]]-Таблица18[[#This Row],[Зачетный вес]]</f>
        <v>1758.3999999999996</v>
      </c>
      <c r="U116" s="365">
        <f>Таблица18[[#This Row],[Отход]]/Таблица18[[#This Row],[Вес нетто]]</f>
        <v>0.11500327011118376</v>
      </c>
      <c r="V116" s="121">
        <f>MONTH(Таблица18[[#This Row],[Дата акта]])</f>
        <v>6</v>
      </c>
      <c r="W116" s="121">
        <v>8</v>
      </c>
      <c r="X116" s="148">
        <f>DATE(1900,Таблица18[[#This Row],[Месяц]],Таблица18[[#This Row],[Число]])</f>
        <v>160</v>
      </c>
      <c r="Y116" s="121"/>
      <c r="Z116" s="121" t="str">
        <f>Таблица18[[#This Row],[Хар-ка]]</f>
        <v>первый</v>
      </c>
      <c r="AD116" s="459"/>
      <c r="AE116" s="391"/>
    </row>
    <row r="117" spans="1:31" s="325" customFormat="1" ht="15.6" hidden="1" customHeight="1" x14ac:dyDescent="0.2">
      <c r="A117" s="360" t="s">
        <v>1943</v>
      </c>
      <c r="B117" s="360" t="s">
        <v>550</v>
      </c>
      <c r="C117" s="361">
        <v>213</v>
      </c>
      <c r="D117" s="362">
        <v>63412</v>
      </c>
      <c r="E117" s="360" t="s">
        <v>1787</v>
      </c>
      <c r="F117" s="360" t="s">
        <v>1794</v>
      </c>
      <c r="G117" s="360" t="s">
        <v>1795</v>
      </c>
      <c r="H117" s="360" t="s">
        <v>1928</v>
      </c>
      <c r="I117" s="360" t="e">
        <f>VLOOKUP(Таблица18[[#This Row],[Номер акта]],$AB$1:$AF$1833,3,FALSE)</f>
        <v>#N/A</v>
      </c>
      <c r="J117" s="360" t="s">
        <v>747</v>
      </c>
      <c r="K117" s="360" t="s">
        <v>82</v>
      </c>
      <c r="L117" s="363">
        <v>28810</v>
      </c>
      <c r="M117" s="363">
        <v>13370</v>
      </c>
      <c r="N117" s="364">
        <v>6.5</v>
      </c>
      <c r="O117" s="363">
        <v>15440</v>
      </c>
      <c r="P117" s="363">
        <v>14436.4</v>
      </c>
      <c r="Q117" s="121">
        <v>2023</v>
      </c>
      <c r="R117" s="121"/>
      <c r="S117" s="148">
        <v>45085</v>
      </c>
      <c r="T117" s="363">
        <f>Таблица18[[#This Row],[Вес нетто]]-Таблица18[[#This Row],[Зачетный вес]]</f>
        <v>1003.6000000000004</v>
      </c>
      <c r="U117" s="365">
        <f>Таблица18[[#This Row],[Отход]]/Таблица18[[#This Row],[Вес нетто]]</f>
        <v>6.500000000000003E-2</v>
      </c>
      <c r="V117" s="121">
        <f>MONTH(Таблица18[[#This Row],[Дата акта]])</f>
        <v>6</v>
      </c>
      <c r="W117" s="121">
        <v>8</v>
      </c>
      <c r="X117" s="148">
        <f>DATE(1900,Таблица18[[#This Row],[Месяц]],Таблица18[[#This Row],[Число]])</f>
        <v>160</v>
      </c>
      <c r="Y117" s="121"/>
      <c r="Z117" s="121" t="str">
        <f>Таблица18[[#This Row],[Хар-ка]]</f>
        <v>первый</v>
      </c>
      <c r="AD117" s="459"/>
      <c r="AE117" s="391"/>
    </row>
    <row r="118" spans="1:31" s="325" customFormat="1" ht="15.6" hidden="1" customHeight="1" x14ac:dyDescent="0.2">
      <c r="A118" s="360" t="s">
        <v>1944</v>
      </c>
      <c r="B118" s="360" t="s">
        <v>550</v>
      </c>
      <c r="C118" s="361">
        <v>214</v>
      </c>
      <c r="D118" s="362">
        <v>1</v>
      </c>
      <c r="E118" s="360" t="s">
        <v>78</v>
      </c>
      <c r="F118" s="360" t="s">
        <v>1945</v>
      </c>
      <c r="G118" s="360" t="s">
        <v>1799</v>
      </c>
      <c r="H118" s="360"/>
      <c r="I118" s="360" t="e">
        <f>VLOOKUP(Таблица18[[#This Row],[Номер акта]],$AB$1:$AF$1833,3,FALSE)</f>
        <v>#N/A</v>
      </c>
      <c r="J118" s="360"/>
      <c r="K118" s="360" t="s">
        <v>82</v>
      </c>
      <c r="L118" s="363">
        <v>21620</v>
      </c>
      <c r="M118" s="363">
        <v>15600</v>
      </c>
      <c r="N118" s="364">
        <v>9.5</v>
      </c>
      <c r="O118" s="363">
        <v>6020</v>
      </c>
      <c r="P118" s="363">
        <v>5448.1</v>
      </c>
      <c r="Q118" s="121">
        <v>2023</v>
      </c>
      <c r="R118" s="121"/>
      <c r="S118" s="148">
        <v>45085</v>
      </c>
      <c r="T118" s="363">
        <f>Таблица18[[#This Row],[Вес нетто]]-Таблица18[[#This Row],[Зачетный вес]]</f>
        <v>571.89999999999964</v>
      </c>
      <c r="U118" s="365">
        <f>Таблица18[[#This Row],[Отход]]/Таблица18[[#This Row],[Вес нетто]]</f>
        <v>9.4999999999999946E-2</v>
      </c>
      <c r="V118" s="121">
        <f>MONTH(Таблица18[[#This Row],[Дата акта]])</f>
        <v>6</v>
      </c>
      <c r="W118" s="121">
        <v>8</v>
      </c>
      <c r="X118" s="148">
        <f>DATE(1900,Таблица18[[#This Row],[Месяц]],Таблица18[[#This Row],[Число]])</f>
        <v>160</v>
      </c>
      <c r="Y118" s="121" t="s">
        <v>1946</v>
      </c>
      <c r="Z118" s="121" t="str">
        <f>Таблица18[[#This Row],[Хар-ка]]</f>
        <v>первый</v>
      </c>
      <c r="AD118" s="459"/>
      <c r="AE118" s="391"/>
    </row>
    <row r="119" spans="1:31" s="325" customFormat="1" ht="15.6" hidden="1" customHeight="1" x14ac:dyDescent="0.2">
      <c r="A119" s="360" t="s">
        <v>1947</v>
      </c>
      <c r="B119" s="360" t="s">
        <v>550</v>
      </c>
      <c r="C119" s="361">
        <v>215</v>
      </c>
      <c r="D119" s="362">
        <v>1</v>
      </c>
      <c r="E119" s="360" t="s">
        <v>78</v>
      </c>
      <c r="F119" s="360" t="s">
        <v>133</v>
      </c>
      <c r="G119" s="360" t="s">
        <v>137</v>
      </c>
      <c r="H119" s="360"/>
      <c r="I119" s="360" t="e">
        <f>VLOOKUP(Таблица18[[#This Row],[Номер акта]],$AB$1:$AF$1833,3,FALSE)</f>
        <v>#N/A</v>
      </c>
      <c r="J119" s="360"/>
      <c r="K119" s="360" t="s">
        <v>82</v>
      </c>
      <c r="L119" s="363">
        <v>23610</v>
      </c>
      <c r="M119" s="363">
        <v>17180</v>
      </c>
      <c r="N119" s="364">
        <v>10.5</v>
      </c>
      <c r="O119" s="363">
        <v>6430</v>
      </c>
      <c r="P119" s="363">
        <v>5754.8</v>
      </c>
      <c r="Q119" s="121">
        <v>2023</v>
      </c>
      <c r="R119" s="121"/>
      <c r="S119" s="148">
        <v>45085</v>
      </c>
      <c r="T119" s="363">
        <f>Таблица18[[#This Row],[Вес нетто]]-Таблица18[[#This Row],[Зачетный вес]]</f>
        <v>675.19999999999982</v>
      </c>
      <c r="U119" s="365">
        <f>Таблица18[[#This Row],[Отход]]/Таблица18[[#This Row],[Вес нетто]]</f>
        <v>0.10500777604976669</v>
      </c>
      <c r="V119" s="121">
        <f>MONTH(Таблица18[[#This Row],[Дата акта]])</f>
        <v>6</v>
      </c>
      <c r="W119" s="121">
        <v>8</v>
      </c>
      <c r="X119" s="148">
        <f>DATE(1900,Таблица18[[#This Row],[Месяц]],Таблица18[[#This Row],[Число]])</f>
        <v>160</v>
      </c>
      <c r="Y119" s="121" t="s">
        <v>1946</v>
      </c>
      <c r="Z119" s="121" t="str">
        <f>Таблица18[[#This Row],[Хар-ка]]</f>
        <v>первый</v>
      </c>
      <c r="AD119" s="459"/>
      <c r="AE119" s="391"/>
    </row>
    <row r="120" spans="1:31" s="325" customFormat="1" ht="15.6" hidden="1" customHeight="1" x14ac:dyDescent="0.2">
      <c r="A120" s="360" t="s">
        <v>1948</v>
      </c>
      <c r="B120" s="360" t="s">
        <v>511</v>
      </c>
      <c r="C120" s="361">
        <v>216</v>
      </c>
      <c r="D120" s="362">
        <v>23</v>
      </c>
      <c r="E120" s="360" t="s">
        <v>78</v>
      </c>
      <c r="F120" s="360" t="s">
        <v>1792</v>
      </c>
      <c r="G120" s="360" t="s">
        <v>80</v>
      </c>
      <c r="H120" s="360" t="s">
        <v>1924</v>
      </c>
      <c r="I120" s="360" t="e">
        <f>VLOOKUP(Таблица18[[#This Row],[Номер акта]],$AB$1:$AF$1833,3,FALSE)</f>
        <v>#N/A</v>
      </c>
      <c r="J120" s="360" t="s">
        <v>21</v>
      </c>
      <c r="K120" s="360" t="s">
        <v>82</v>
      </c>
      <c r="L120" s="363">
        <v>16290</v>
      </c>
      <c r="M120" s="363">
        <v>9530</v>
      </c>
      <c r="N120" s="364">
        <v>12.5</v>
      </c>
      <c r="O120" s="363">
        <v>6760</v>
      </c>
      <c r="P120" s="363">
        <v>5915</v>
      </c>
      <c r="Q120" s="121">
        <v>2023</v>
      </c>
      <c r="R120" s="121"/>
      <c r="S120" s="148">
        <v>45085</v>
      </c>
      <c r="T120" s="363">
        <f>Таблица18[[#This Row],[Вес нетто]]-Таблица18[[#This Row],[Зачетный вес]]</f>
        <v>845</v>
      </c>
      <c r="U120" s="365">
        <f>Таблица18[[#This Row],[Отход]]/Таблица18[[#This Row],[Вес нетто]]</f>
        <v>0.125</v>
      </c>
      <c r="V120" s="121">
        <f>MONTH(Таблица18[[#This Row],[Дата акта]])</f>
        <v>6</v>
      </c>
      <c r="W120" s="121">
        <v>8</v>
      </c>
      <c r="X120" s="148">
        <f>DATE(1900,Таблица18[[#This Row],[Месяц]],Таблица18[[#This Row],[Число]])</f>
        <v>160</v>
      </c>
      <c r="Y120" s="121"/>
      <c r="Z120" s="121" t="str">
        <f>Таблица18[[#This Row],[Хар-ка]]</f>
        <v>высший</v>
      </c>
      <c r="AD120" s="459"/>
      <c r="AE120" s="391"/>
    </row>
    <row r="121" spans="1:31" s="325" customFormat="1" ht="15.6" hidden="1" customHeight="1" x14ac:dyDescent="0.2">
      <c r="A121" s="360" t="s">
        <v>1949</v>
      </c>
      <c r="B121" s="360" t="s">
        <v>550</v>
      </c>
      <c r="C121" s="361">
        <v>217</v>
      </c>
      <c r="D121" s="360" t="s">
        <v>1950</v>
      </c>
      <c r="E121" s="360" t="s">
        <v>1787</v>
      </c>
      <c r="F121" s="360" t="s">
        <v>1843</v>
      </c>
      <c r="G121" s="360" t="s">
        <v>119</v>
      </c>
      <c r="H121" s="360" t="s">
        <v>1928</v>
      </c>
      <c r="I121" s="360" t="e">
        <f>VLOOKUP(Таблица18[[#This Row],[Номер акта]],$AB$1:$AF$1833,3,FALSE)</f>
        <v>#N/A</v>
      </c>
      <c r="J121" s="360" t="s">
        <v>747</v>
      </c>
      <c r="K121" s="360" t="s">
        <v>82</v>
      </c>
      <c r="L121" s="363">
        <v>37760</v>
      </c>
      <c r="M121" s="363">
        <v>20900</v>
      </c>
      <c r="N121" s="364">
        <v>100</v>
      </c>
      <c r="O121" s="363">
        <v>16860</v>
      </c>
      <c r="P121" s="121"/>
      <c r="Q121" s="121">
        <v>2023</v>
      </c>
      <c r="R121" s="121"/>
      <c r="S121" s="148">
        <v>45084</v>
      </c>
      <c r="T121" s="363">
        <f>Таблица18[[#This Row],[Вес нетто]]-Таблица18[[#This Row],[Зачетный вес]]</f>
        <v>16860</v>
      </c>
      <c r="U121" s="365">
        <f>Таблица18[[#This Row],[Отход]]/Таблица18[[#This Row],[Вес нетто]]</f>
        <v>1</v>
      </c>
      <c r="V121" s="121">
        <f>MONTH(Таблица18[[#This Row],[Дата акта]])</f>
        <v>6</v>
      </c>
      <c r="W121" s="121">
        <v>7</v>
      </c>
      <c r="X121" s="148">
        <f>DATE(1900,Таблица18[[#This Row],[Месяц]],Таблица18[[#This Row],[Число]])</f>
        <v>159</v>
      </c>
      <c r="Y121" s="121"/>
      <c r="Z121" s="121" t="str">
        <f>Таблица18[[#This Row],[Хар-ка]]</f>
        <v>первый</v>
      </c>
      <c r="AD121" s="459"/>
      <c r="AE121" s="391"/>
    </row>
    <row r="122" spans="1:31" s="325" customFormat="1" ht="15.6" hidden="1" customHeight="1" x14ac:dyDescent="0.2">
      <c r="A122" s="360" t="s">
        <v>1951</v>
      </c>
      <c r="B122" s="360" t="s">
        <v>550</v>
      </c>
      <c r="C122" s="361">
        <v>218</v>
      </c>
      <c r="D122" s="362">
        <v>63414</v>
      </c>
      <c r="E122" s="360" t="s">
        <v>1787</v>
      </c>
      <c r="F122" s="360" t="s">
        <v>1834</v>
      </c>
      <c r="G122" s="360" t="s">
        <v>1836</v>
      </c>
      <c r="H122" s="360" t="s">
        <v>1928</v>
      </c>
      <c r="I122" s="360" t="e">
        <f>VLOOKUP(Таблица18[[#This Row],[Номер акта]],$AB$1:$AF$1833,3,FALSE)</f>
        <v>#N/A</v>
      </c>
      <c r="J122" s="360" t="s">
        <v>747</v>
      </c>
      <c r="K122" s="360" t="s">
        <v>82</v>
      </c>
      <c r="L122" s="363">
        <v>29640</v>
      </c>
      <c r="M122" s="363">
        <v>14280</v>
      </c>
      <c r="N122" s="364">
        <v>7.5</v>
      </c>
      <c r="O122" s="363">
        <v>15360</v>
      </c>
      <c r="P122" s="363">
        <v>14208</v>
      </c>
      <c r="Q122" s="121">
        <v>2023</v>
      </c>
      <c r="R122" s="121"/>
      <c r="S122" s="148">
        <v>45085</v>
      </c>
      <c r="T122" s="363">
        <f>Таблица18[[#This Row],[Вес нетто]]-Таблица18[[#This Row],[Зачетный вес]]</f>
        <v>1152</v>
      </c>
      <c r="U122" s="365">
        <f>Таблица18[[#This Row],[Отход]]/Таблица18[[#This Row],[Вес нетто]]</f>
        <v>7.4999999999999997E-2</v>
      </c>
      <c r="V122" s="121">
        <f>MONTH(Таблица18[[#This Row],[Дата акта]])</f>
        <v>6</v>
      </c>
      <c r="W122" s="121">
        <v>8</v>
      </c>
      <c r="X122" s="148">
        <f>DATE(1900,Таблица18[[#This Row],[Месяц]],Таблица18[[#This Row],[Число]])</f>
        <v>160</v>
      </c>
      <c r="Y122" s="121"/>
      <c r="Z122" s="121" t="str">
        <f>Таблица18[[#This Row],[Хар-ка]]</f>
        <v>первый</v>
      </c>
      <c r="AD122" s="459"/>
      <c r="AE122" s="391"/>
    </row>
    <row r="123" spans="1:31" s="325" customFormat="1" ht="15.6" hidden="1" customHeight="1" x14ac:dyDescent="0.2">
      <c r="A123" s="360" t="s">
        <v>1952</v>
      </c>
      <c r="B123" s="360" t="s">
        <v>550</v>
      </c>
      <c r="C123" s="361">
        <v>219</v>
      </c>
      <c r="D123" s="362">
        <v>63415</v>
      </c>
      <c r="E123" s="360" t="s">
        <v>1787</v>
      </c>
      <c r="F123" s="360" t="s">
        <v>1935</v>
      </c>
      <c r="G123" s="360" t="s">
        <v>1813</v>
      </c>
      <c r="H123" s="360" t="s">
        <v>1928</v>
      </c>
      <c r="I123" s="360" t="e">
        <f>VLOOKUP(Таблица18[[#This Row],[Номер акта]],$AB$1:$AF$1833,3,FALSE)</f>
        <v>#N/A</v>
      </c>
      <c r="J123" s="360" t="s">
        <v>747</v>
      </c>
      <c r="K123" s="360" t="s">
        <v>82</v>
      </c>
      <c r="L123" s="363">
        <v>29750</v>
      </c>
      <c r="M123" s="363">
        <v>14220</v>
      </c>
      <c r="N123" s="364">
        <v>8.5</v>
      </c>
      <c r="O123" s="363">
        <v>15530</v>
      </c>
      <c r="P123" s="363">
        <v>14209.9</v>
      </c>
      <c r="Q123" s="121">
        <v>2023</v>
      </c>
      <c r="R123" s="121"/>
      <c r="S123" s="148">
        <v>45085</v>
      </c>
      <c r="T123" s="363">
        <f>Таблица18[[#This Row],[Вес нетто]]-Таблица18[[#This Row],[Зачетный вес]]</f>
        <v>1320.1000000000004</v>
      </c>
      <c r="U123" s="365">
        <f>Таблица18[[#This Row],[Отход]]/Таблица18[[#This Row],[Вес нетто]]</f>
        <v>8.5003219575016123E-2</v>
      </c>
      <c r="V123" s="121">
        <f>MONTH(Таблица18[[#This Row],[Дата акта]])</f>
        <v>6</v>
      </c>
      <c r="W123" s="121">
        <v>8</v>
      </c>
      <c r="X123" s="148">
        <f>DATE(1900,Таблица18[[#This Row],[Месяц]],Таблица18[[#This Row],[Число]])</f>
        <v>160</v>
      </c>
      <c r="Y123" s="121"/>
      <c r="Z123" s="121" t="str">
        <f>Таблица18[[#This Row],[Хар-ка]]</f>
        <v>первый</v>
      </c>
      <c r="AD123" s="459"/>
      <c r="AE123" s="391"/>
    </row>
    <row r="124" spans="1:31" s="325" customFormat="1" ht="15.6" hidden="1" customHeight="1" x14ac:dyDescent="0.2">
      <c r="A124" s="360" t="s">
        <v>1953</v>
      </c>
      <c r="B124" s="360" t="s">
        <v>550</v>
      </c>
      <c r="C124" s="361">
        <v>220</v>
      </c>
      <c r="D124" s="362">
        <v>36416</v>
      </c>
      <c r="E124" s="360" t="s">
        <v>1787</v>
      </c>
      <c r="F124" s="360" t="s">
        <v>1850</v>
      </c>
      <c r="G124" s="360" t="s">
        <v>333</v>
      </c>
      <c r="H124" s="360" t="s">
        <v>1928</v>
      </c>
      <c r="I124" s="360" t="e">
        <f>VLOOKUP(Таблица18[[#This Row],[Номер акта]],$AB$1:$AF$1833,3,FALSE)</f>
        <v>#N/A</v>
      </c>
      <c r="J124" s="360" t="s">
        <v>747</v>
      </c>
      <c r="K124" s="360" t="s">
        <v>82</v>
      </c>
      <c r="L124" s="363">
        <v>30820</v>
      </c>
      <c r="M124" s="363">
        <v>14860</v>
      </c>
      <c r="N124" s="364">
        <v>7.5</v>
      </c>
      <c r="O124" s="363">
        <v>15960</v>
      </c>
      <c r="P124" s="363">
        <v>14763</v>
      </c>
      <c r="Q124" s="121">
        <v>2023</v>
      </c>
      <c r="R124" s="121"/>
      <c r="S124" s="148">
        <v>45085</v>
      </c>
      <c r="T124" s="363">
        <f>Таблица18[[#This Row],[Вес нетто]]-Таблица18[[#This Row],[Зачетный вес]]</f>
        <v>1197</v>
      </c>
      <c r="U124" s="365">
        <f>Таблица18[[#This Row],[Отход]]/Таблица18[[#This Row],[Вес нетто]]</f>
        <v>7.4999999999999997E-2</v>
      </c>
      <c r="V124" s="121">
        <f>MONTH(Таблица18[[#This Row],[Дата акта]])</f>
        <v>6</v>
      </c>
      <c r="W124" s="121">
        <v>8</v>
      </c>
      <c r="X124" s="148">
        <f>DATE(1900,Таблица18[[#This Row],[Месяц]],Таблица18[[#This Row],[Число]])</f>
        <v>160</v>
      </c>
      <c r="Y124" s="121"/>
      <c r="Z124" s="121" t="str">
        <f>Таблица18[[#This Row],[Хар-ка]]</f>
        <v>первый</v>
      </c>
      <c r="AD124" s="459"/>
      <c r="AE124" s="391"/>
    </row>
    <row r="125" spans="1:31" s="325" customFormat="1" ht="15.6" hidden="1" customHeight="1" x14ac:dyDescent="0.2">
      <c r="A125" s="360" t="s">
        <v>1954</v>
      </c>
      <c r="B125" s="360" t="s">
        <v>550</v>
      </c>
      <c r="C125" s="361">
        <v>222</v>
      </c>
      <c r="D125" s="362">
        <v>27</v>
      </c>
      <c r="E125" s="360" t="s">
        <v>78</v>
      </c>
      <c r="F125" s="360" t="s">
        <v>1792</v>
      </c>
      <c r="G125" s="360" t="s">
        <v>80</v>
      </c>
      <c r="H125" s="360" t="s">
        <v>1924</v>
      </c>
      <c r="I125" s="360" t="e">
        <f>VLOOKUP(Таблица18[[#This Row],[Номер акта]],$AB$1:$AF$1833,3,FALSE)</f>
        <v>#N/A</v>
      </c>
      <c r="J125" s="360" t="s">
        <v>21</v>
      </c>
      <c r="K125" s="360" t="s">
        <v>82</v>
      </c>
      <c r="L125" s="363">
        <v>16200</v>
      </c>
      <c r="M125" s="363">
        <v>9510</v>
      </c>
      <c r="N125" s="364">
        <v>10.5</v>
      </c>
      <c r="O125" s="363">
        <v>6690</v>
      </c>
      <c r="P125" s="363">
        <v>5987.5</v>
      </c>
      <c r="Q125" s="121">
        <v>2023</v>
      </c>
      <c r="R125" s="121"/>
      <c r="S125" s="148">
        <v>45085</v>
      </c>
      <c r="T125" s="363">
        <f>Таблица18[[#This Row],[Вес нетто]]-Таблица18[[#This Row],[Зачетный вес]]</f>
        <v>702.5</v>
      </c>
      <c r="U125" s="365">
        <f>Таблица18[[#This Row],[Отход]]/Таблица18[[#This Row],[Вес нетто]]</f>
        <v>0.10500747384155455</v>
      </c>
      <c r="V125" s="121">
        <f>MONTH(Таблица18[[#This Row],[Дата акта]])</f>
        <v>6</v>
      </c>
      <c r="W125" s="121">
        <v>8</v>
      </c>
      <c r="X125" s="148">
        <f>DATE(1900,Таблица18[[#This Row],[Месяц]],Таблица18[[#This Row],[Число]])</f>
        <v>160</v>
      </c>
      <c r="Y125" s="121"/>
      <c r="Z125" s="121" t="str">
        <f>Таблица18[[#This Row],[Хар-ка]]</f>
        <v>первый</v>
      </c>
      <c r="AD125" s="459"/>
      <c r="AE125" s="391"/>
    </row>
    <row r="126" spans="1:31" s="325" customFormat="1" ht="15.6" hidden="1" customHeight="1" x14ac:dyDescent="0.2">
      <c r="A126" s="360" t="s">
        <v>1955</v>
      </c>
      <c r="B126" s="360" t="s">
        <v>550</v>
      </c>
      <c r="C126" s="361">
        <v>223</v>
      </c>
      <c r="D126" s="362">
        <v>63417</v>
      </c>
      <c r="E126" s="360" t="s">
        <v>1787</v>
      </c>
      <c r="F126" s="360" t="s">
        <v>1804</v>
      </c>
      <c r="G126" s="360" t="s">
        <v>536</v>
      </c>
      <c r="H126" s="360" t="s">
        <v>1928</v>
      </c>
      <c r="I126" s="360" t="e">
        <f>VLOOKUP(Таблица18[[#This Row],[Номер акта]],$AB$1:$AF$1833,3,FALSE)</f>
        <v>#N/A</v>
      </c>
      <c r="J126" s="360" t="s">
        <v>747</v>
      </c>
      <c r="K126" s="360" t="s">
        <v>82</v>
      </c>
      <c r="L126" s="363">
        <v>30460</v>
      </c>
      <c r="M126" s="363">
        <v>14500</v>
      </c>
      <c r="N126" s="364">
        <v>6.5</v>
      </c>
      <c r="O126" s="363">
        <v>15960</v>
      </c>
      <c r="P126" s="363">
        <v>14922.6</v>
      </c>
      <c r="Q126" s="121">
        <v>2023</v>
      </c>
      <c r="R126" s="121"/>
      <c r="S126" s="148">
        <v>45085</v>
      </c>
      <c r="T126" s="363">
        <f>Таблица18[[#This Row],[Вес нетто]]-Таблица18[[#This Row],[Зачетный вес]]</f>
        <v>1037.3999999999996</v>
      </c>
      <c r="U126" s="365">
        <f>Таблица18[[#This Row],[Отход]]/Таблица18[[#This Row],[Вес нетто]]</f>
        <v>6.4999999999999974E-2</v>
      </c>
      <c r="V126" s="121">
        <f>MONTH(Таблица18[[#This Row],[Дата акта]])</f>
        <v>6</v>
      </c>
      <c r="W126" s="121">
        <v>8</v>
      </c>
      <c r="X126" s="148">
        <f>DATE(1900,Таблица18[[#This Row],[Месяц]],Таблица18[[#This Row],[Число]])</f>
        <v>160</v>
      </c>
      <c r="Y126" s="121"/>
      <c r="Z126" s="121" t="str">
        <f>Таблица18[[#This Row],[Хар-ка]]</f>
        <v>первый</v>
      </c>
      <c r="AD126" s="459"/>
      <c r="AE126" s="391"/>
    </row>
    <row r="127" spans="1:31" s="325" customFormat="1" ht="15.6" hidden="1" customHeight="1" x14ac:dyDescent="0.2">
      <c r="A127" s="360" t="s">
        <v>1956</v>
      </c>
      <c r="B127" s="360" t="s">
        <v>550</v>
      </c>
      <c r="C127" s="361">
        <v>224</v>
      </c>
      <c r="D127" s="362">
        <v>26</v>
      </c>
      <c r="E127" s="360" t="s">
        <v>78</v>
      </c>
      <c r="F127" s="360" t="s">
        <v>212</v>
      </c>
      <c r="G127" s="360" t="s">
        <v>216</v>
      </c>
      <c r="H127" s="360" t="s">
        <v>1924</v>
      </c>
      <c r="I127" s="360" t="e">
        <f>VLOOKUP(Таблица18[[#This Row],[Номер акта]],$AB$1:$AF$1833,3,FALSE)</f>
        <v>#N/A</v>
      </c>
      <c r="J127" s="360" t="s">
        <v>21</v>
      </c>
      <c r="K127" s="360" t="s">
        <v>82</v>
      </c>
      <c r="L127" s="363">
        <v>27560</v>
      </c>
      <c r="M127" s="363">
        <v>13950</v>
      </c>
      <c r="N127" s="364">
        <v>8.5</v>
      </c>
      <c r="O127" s="363">
        <v>13610</v>
      </c>
      <c r="P127" s="363">
        <v>12453.1</v>
      </c>
      <c r="Q127" s="121">
        <v>2023</v>
      </c>
      <c r="R127" s="121"/>
      <c r="S127" s="148">
        <v>45085</v>
      </c>
      <c r="T127" s="363">
        <f>Таблица18[[#This Row],[Вес нетто]]-Таблица18[[#This Row],[Зачетный вес]]</f>
        <v>1156.8999999999996</v>
      </c>
      <c r="U127" s="365">
        <f>Таблица18[[#This Row],[Отход]]/Таблица18[[#This Row],[Вес нетто]]</f>
        <v>8.5003673769287261E-2</v>
      </c>
      <c r="V127" s="121">
        <f>MONTH(Таблица18[[#This Row],[Дата акта]])</f>
        <v>6</v>
      </c>
      <c r="W127" s="121">
        <v>8</v>
      </c>
      <c r="X127" s="148">
        <f>DATE(1900,Таблица18[[#This Row],[Месяц]],Таблица18[[#This Row],[Число]])</f>
        <v>160</v>
      </c>
      <c r="Y127" s="121"/>
      <c r="Z127" s="121" t="str">
        <f>Таблица18[[#This Row],[Хар-ка]]</f>
        <v>первый</v>
      </c>
      <c r="AD127" s="459"/>
      <c r="AE127" s="391"/>
    </row>
    <row r="128" spans="1:31" s="325" customFormat="1" ht="15.6" hidden="1" customHeight="1" x14ac:dyDescent="0.2">
      <c r="A128" s="360" t="s">
        <v>1957</v>
      </c>
      <c r="B128" s="360" t="s">
        <v>550</v>
      </c>
      <c r="C128" s="361">
        <v>225</v>
      </c>
      <c r="D128" s="362">
        <v>63418</v>
      </c>
      <c r="E128" s="360" t="s">
        <v>1787</v>
      </c>
      <c r="F128" s="360" t="s">
        <v>1832</v>
      </c>
      <c r="G128" s="360" t="s">
        <v>1958</v>
      </c>
      <c r="H128" s="360" t="s">
        <v>1928</v>
      </c>
      <c r="I128" s="360" t="e">
        <f>VLOOKUP(Таблица18[[#This Row],[Номер акта]],$AB$1:$AF$1833,3,FALSE)</f>
        <v>#N/A</v>
      </c>
      <c r="J128" s="360" t="s">
        <v>747</v>
      </c>
      <c r="K128" s="360" t="s">
        <v>82</v>
      </c>
      <c r="L128" s="363">
        <v>29720</v>
      </c>
      <c r="M128" s="363">
        <v>13850</v>
      </c>
      <c r="N128" s="364">
        <v>6.5</v>
      </c>
      <c r="O128" s="363">
        <v>15870</v>
      </c>
      <c r="P128" s="363">
        <v>14838.4</v>
      </c>
      <c r="Q128" s="121">
        <v>2023</v>
      </c>
      <c r="R128" s="121"/>
      <c r="S128" s="148">
        <v>45085</v>
      </c>
      <c r="T128" s="363">
        <f>Таблица18[[#This Row],[Вес нетто]]-Таблица18[[#This Row],[Зачетный вес]]</f>
        <v>1031.6000000000004</v>
      </c>
      <c r="U128" s="365">
        <f>Таблица18[[#This Row],[Отход]]/Таблица18[[#This Row],[Вес нетто]]</f>
        <v>6.5003150598613765E-2</v>
      </c>
      <c r="V128" s="121">
        <f>MONTH(Таблица18[[#This Row],[Дата акта]])</f>
        <v>6</v>
      </c>
      <c r="W128" s="121">
        <v>8</v>
      </c>
      <c r="X128" s="148">
        <f>DATE(1900,Таблица18[[#This Row],[Месяц]],Таблица18[[#This Row],[Число]])</f>
        <v>160</v>
      </c>
      <c r="Y128" s="121"/>
      <c r="Z128" s="121" t="str">
        <f>Таблица18[[#This Row],[Хар-ка]]</f>
        <v>первый</v>
      </c>
      <c r="AD128" s="459"/>
      <c r="AE128" s="391"/>
    </row>
    <row r="129" spans="1:31" s="325" customFormat="1" ht="15.6" hidden="1" customHeight="1" x14ac:dyDescent="0.2">
      <c r="A129" s="360" t="s">
        <v>1959</v>
      </c>
      <c r="B129" s="360" t="s">
        <v>550</v>
      </c>
      <c r="C129" s="361">
        <v>226</v>
      </c>
      <c r="D129" s="362">
        <v>24</v>
      </c>
      <c r="E129" s="360" t="s">
        <v>78</v>
      </c>
      <c r="F129" s="360" t="s">
        <v>1792</v>
      </c>
      <c r="G129" s="360" t="s">
        <v>80</v>
      </c>
      <c r="H129" s="360" t="s">
        <v>1924</v>
      </c>
      <c r="I129" s="360" t="e">
        <f>VLOOKUP(Таблица18[[#This Row],[Номер акта]],$AB$1:$AF$1833,3,FALSE)</f>
        <v>#N/A</v>
      </c>
      <c r="J129" s="360" t="s">
        <v>21</v>
      </c>
      <c r="K129" s="360" t="s">
        <v>82</v>
      </c>
      <c r="L129" s="363">
        <v>27820</v>
      </c>
      <c r="M129" s="363">
        <v>14170</v>
      </c>
      <c r="N129" s="364">
        <v>6.5</v>
      </c>
      <c r="O129" s="363">
        <v>13650</v>
      </c>
      <c r="P129" s="363">
        <v>12762.7</v>
      </c>
      <c r="Q129" s="121">
        <v>2023</v>
      </c>
      <c r="R129" s="121"/>
      <c r="S129" s="148">
        <v>45085</v>
      </c>
      <c r="T129" s="363">
        <f>Таблица18[[#This Row],[Вес нетто]]-Таблица18[[#This Row],[Зачетный вес]]</f>
        <v>887.29999999999927</v>
      </c>
      <c r="U129" s="365">
        <f>Таблица18[[#This Row],[Отход]]/Таблица18[[#This Row],[Вес нетто]]</f>
        <v>6.5003663003662948E-2</v>
      </c>
      <c r="V129" s="121">
        <f>MONTH(Таблица18[[#This Row],[Дата акта]])</f>
        <v>6</v>
      </c>
      <c r="W129" s="121">
        <v>8</v>
      </c>
      <c r="X129" s="148">
        <f>DATE(1900,Таблица18[[#This Row],[Месяц]],Таблица18[[#This Row],[Число]])</f>
        <v>160</v>
      </c>
      <c r="Y129" s="121"/>
      <c r="Z129" s="121" t="str">
        <f>Таблица18[[#This Row],[Хар-ка]]</f>
        <v>первый</v>
      </c>
      <c r="AD129" s="459"/>
      <c r="AE129" s="391"/>
    </row>
    <row r="130" spans="1:31" s="325" customFormat="1" ht="15.6" hidden="1" customHeight="1" x14ac:dyDescent="0.2">
      <c r="A130" s="360" t="s">
        <v>1960</v>
      </c>
      <c r="B130" s="360" t="s">
        <v>550</v>
      </c>
      <c r="C130" s="361">
        <v>227</v>
      </c>
      <c r="D130" s="362">
        <v>28</v>
      </c>
      <c r="E130" s="360" t="s">
        <v>78</v>
      </c>
      <c r="F130" s="360" t="s">
        <v>212</v>
      </c>
      <c r="G130" s="360" t="s">
        <v>216</v>
      </c>
      <c r="H130" s="360" t="s">
        <v>1924</v>
      </c>
      <c r="I130" s="360" t="e">
        <f>VLOOKUP(Таблица18[[#This Row],[Номер акта]],$AB$1:$AF$1833,3,FALSE)</f>
        <v>#N/A</v>
      </c>
      <c r="J130" s="360" t="s">
        <v>21</v>
      </c>
      <c r="K130" s="360" t="s">
        <v>82</v>
      </c>
      <c r="L130" s="363">
        <v>27450</v>
      </c>
      <c r="M130" s="363">
        <v>13950</v>
      </c>
      <c r="N130" s="364">
        <v>7.5</v>
      </c>
      <c r="O130" s="363">
        <v>13500</v>
      </c>
      <c r="P130" s="363">
        <v>12487.5</v>
      </c>
      <c r="Q130" s="121">
        <v>2023</v>
      </c>
      <c r="R130" s="121"/>
      <c r="S130" s="148">
        <v>45086</v>
      </c>
      <c r="T130" s="363">
        <f>Таблица18[[#This Row],[Вес нетто]]-Таблица18[[#This Row],[Зачетный вес]]</f>
        <v>1012.5</v>
      </c>
      <c r="U130" s="365">
        <f>Таблица18[[#This Row],[Отход]]/Таблица18[[#This Row],[Вес нетто]]</f>
        <v>7.4999999999999997E-2</v>
      </c>
      <c r="V130" s="121">
        <f>MONTH(Таблица18[[#This Row],[Дата акта]])</f>
        <v>6</v>
      </c>
      <c r="W130" s="121">
        <v>9</v>
      </c>
      <c r="X130" s="148">
        <f>DATE(1900,Таблица18[[#This Row],[Месяц]],Таблица18[[#This Row],[Число]])</f>
        <v>161</v>
      </c>
      <c r="Y130" s="121"/>
      <c r="Z130" s="121" t="str">
        <f>Таблица18[[#This Row],[Хар-ка]]</f>
        <v>первый</v>
      </c>
      <c r="AD130" s="459"/>
      <c r="AE130" s="391"/>
    </row>
    <row r="131" spans="1:31" s="325" customFormat="1" ht="15.6" hidden="1" customHeight="1" x14ac:dyDescent="0.2">
      <c r="A131" s="360" t="s">
        <v>1961</v>
      </c>
      <c r="B131" s="360" t="s">
        <v>550</v>
      </c>
      <c r="C131" s="361">
        <v>228</v>
      </c>
      <c r="D131" s="362">
        <v>29</v>
      </c>
      <c r="E131" s="360" t="s">
        <v>78</v>
      </c>
      <c r="F131" s="360" t="s">
        <v>1792</v>
      </c>
      <c r="G131" s="360" t="s">
        <v>80</v>
      </c>
      <c r="H131" s="360" t="s">
        <v>1924</v>
      </c>
      <c r="I131" s="360" t="e">
        <f>VLOOKUP(Таблица18[[#This Row],[Номер акта]],$AB$1:$AF$1833,3,FALSE)</f>
        <v>#N/A</v>
      </c>
      <c r="J131" s="360" t="s">
        <v>21</v>
      </c>
      <c r="K131" s="360" t="s">
        <v>82</v>
      </c>
      <c r="L131" s="363">
        <v>27660</v>
      </c>
      <c r="M131" s="363">
        <v>14150</v>
      </c>
      <c r="N131" s="364">
        <v>5.5</v>
      </c>
      <c r="O131" s="363">
        <v>13510</v>
      </c>
      <c r="P131" s="363">
        <v>12766.9</v>
      </c>
      <c r="Q131" s="121">
        <v>2023</v>
      </c>
      <c r="R131" s="121"/>
      <c r="S131" s="148">
        <v>45086</v>
      </c>
      <c r="T131" s="363">
        <f>Таблица18[[#This Row],[Вес нетто]]-Таблица18[[#This Row],[Зачетный вес]]</f>
        <v>743.10000000000036</v>
      </c>
      <c r="U131" s="365">
        <f>Таблица18[[#This Row],[Отход]]/Таблица18[[#This Row],[Вес нетто]]</f>
        <v>5.5003700962250213E-2</v>
      </c>
      <c r="V131" s="121">
        <f>MONTH(Таблица18[[#This Row],[Дата акта]])</f>
        <v>6</v>
      </c>
      <c r="W131" s="121">
        <v>9</v>
      </c>
      <c r="X131" s="148">
        <f>DATE(1900,Таблица18[[#This Row],[Месяц]],Таблица18[[#This Row],[Число]])</f>
        <v>161</v>
      </c>
      <c r="Y131" s="121"/>
      <c r="Z131" s="121" t="str">
        <f>Таблица18[[#This Row],[Хар-ка]]</f>
        <v>первый</v>
      </c>
      <c r="AD131" s="459"/>
      <c r="AE131" s="391"/>
    </row>
    <row r="132" spans="1:31" s="325" customFormat="1" ht="15.6" hidden="1" customHeight="1" x14ac:dyDescent="0.2">
      <c r="A132" s="360" t="s">
        <v>1962</v>
      </c>
      <c r="B132" s="360" t="s">
        <v>550</v>
      </c>
      <c r="C132" s="361">
        <v>229</v>
      </c>
      <c r="D132" s="362">
        <v>30</v>
      </c>
      <c r="E132" s="360" t="s">
        <v>78</v>
      </c>
      <c r="F132" s="360" t="s">
        <v>1880</v>
      </c>
      <c r="G132" s="360" t="s">
        <v>1802</v>
      </c>
      <c r="H132" s="360" t="s">
        <v>1924</v>
      </c>
      <c r="I132" s="360" t="e">
        <f>VLOOKUP(Таблица18[[#This Row],[Номер акта]],$AB$1:$AF$1833,3,FALSE)</f>
        <v>#N/A</v>
      </c>
      <c r="J132" s="360" t="s">
        <v>21</v>
      </c>
      <c r="K132" s="360" t="s">
        <v>82</v>
      </c>
      <c r="L132" s="363">
        <v>27860</v>
      </c>
      <c r="M132" s="363">
        <v>14590</v>
      </c>
      <c r="N132" s="364">
        <v>7.5</v>
      </c>
      <c r="O132" s="363">
        <v>13270</v>
      </c>
      <c r="P132" s="363">
        <v>12274.7</v>
      </c>
      <c r="Q132" s="121">
        <v>2023</v>
      </c>
      <c r="R132" s="121"/>
      <c r="S132" s="148">
        <v>45086</v>
      </c>
      <c r="T132" s="363">
        <f>Таблица18[[#This Row],[Вес нетто]]-Таблица18[[#This Row],[Зачетный вес]]</f>
        <v>995.29999999999927</v>
      </c>
      <c r="U132" s="365">
        <f>Таблица18[[#This Row],[Отход]]/Таблица18[[#This Row],[Вес нетто]]</f>
        <v>7.5003767897513132E-2</v>
      </c>
      <c r="V132" s="121">
        <f>MONTH(Таблица18[[#This Row],[Дата акта]])</f>
        <v>6</v>
      </c>
      <c r="W132" s="121">
        <v>9</v>
      </c>
      <c r="X132" s="148">
        <f>DATE(1900,Таблица18[[#This Row],[Месяц]],Таблица18[[#This Row],[Число]])</f>
        <v>161</v>
      </c>
      <c r="Y132" s="121"/>
      <c r="Z132" s="121" t="str">
        <f>Таблица18[[#This Row],[Хар-ка]]</f>
        <v>первый</v>
      </c>
      <c r="AD132" s="459"/>
      <c r="AE132" s="391"/>
    </row>
    <row r="133" spans="1:31" s="325" customFormat="1" ht="15.6" hidden="1" customHeight="1" x14ac:dyDescent="0.2">
      <c r="A133" s="360" t="s">
        <v>1963</v>
      </c>
      <c r="B133" s="360" t="s">
        <v>550</v>
      </c>
      <c r="C133" s="361">
        <v>233</v>
      </c>
      <c r="D133" s="362">
        <v>19</v>
      </c>
      <c r="E133" s="360" t="s">
        <v>78</v>
      </c>
      <c r="F133" s="360" t="s">
        <v>1788</v>
      </c>
      <c r="G133" s="360" t="s">
        <v>131</v>
      </c>
      <c r="H133" s="360" t="s">
        <v>1924</v>
      </c>
      <c r="I133" s="360" t="e">
        <f>VLOOKUP(Таблица18[[#This Row],[Номер акта]],$AB$1:$AF$1833,3,FALSE)</f>
        <v>#N/A</v>
      </c>
      <c r="J133" s="360" t="s">
        <v>21</v>
      </c>
      <c r="K133" s="360" t="s">
        <v>82</v>
      </c>
      <c r="L133" s="363">
        <v>27680</v>
      </c>
      <c r="M133" s="363">
        <v>14320</v>
      </c>
      <c r="N133" s="364">
        <v>8.5</v>
      </c>
      <c r="O133" s="363">
        <v>13360</v>
      </c>
      <c r="P133" s="363">
        <v>12224.4</v>
      </c>
      <c r="Q133" s="121">
        <v>2023</v>
      </c>
      <c r="R133" s="121"/>
      <c r="S133" s="148">
        <v>45086</v>
      </c>
      <c r="T133" s="363">
        <f>Таблица18[[#This Row],[Вес нетто]]-Таблица18[[#This Row],[Зачетный вес]]</f>
        <v>1135.6000000000004</v>
      </c>
      <c r="U133" s="365">
        <f>Таблица18[[#This Row],[Отход]]/Таблица18[[#This Row],[Вес нетто]]</f>
        <v>8.5000000000000034E-2</v>
      </c>
      <c r="V133" s="121">
        <f>MONTH(Таблица18[[#This Row],[Дата акта]])</f>
        <v>6</v>
      </c>
      <c r="W133" s="121">
        <v>9</v>
      </c>
      <c r="X133" s="148">
        <f>DATE(1900,Таблица18[[#This Row],[Месяц]],Таблица18[[#This Row],[Число]])</f>
        <v>161</v>
      </c>
      <c r="Y133" s="121"/>
      <c r="Z133" s="121" t="str">
        <f>Таблица18[[#This Row],[Хар-ка]]</f>
        <v>первый</v>
      </c>
      <c r="AD133" s="459"/>
      <c r="AE133" s="391"/>
    </row>
    <row r="134" spans="1:31" s="325" customFormat="1" ht="15.6" hidden="1" customHeight="1" x14ac:dyDescent="0.2">
      <c r="A134" s="360" t="s">
        <v>1964</v>
      </c>
      <c r="B134" s="360" t="s">
        <v>550</v>
      </c>
      <c r="C134" s="361">
        <v>234</v>
      </c>
      <c r="D134" s="362">
        <v>32</v>
      </c>
      <c r="E134" s="360" t="s">
        <v>78</v>
      </c>
      <c r="F134" s="360" t="s">
        <v>1818</v>
      </c>
      <c r="G134" s="360" t="s">
        <v>1799</v>
      </c>
      <c r="H134" s="360" t="s">
        <v>1924</v>
      </c>
      <c r="I134" s="360" t="e">
        <f>VLOOKUP(Таблица18[[#This Row],[Номер акта]],$AB$1:$AF$1833,3,FALSE)</f>
        <v>#N/A</v>
      </c>
      <c r="J134" s="360" t="s">
        <v>21</v>
      </c>
      <c r="K134" s="360" t="s">
        <v>82</v>
      </c>
      <c r="L134" s="363">
        <v>29000</v>
      </c>
      <c r="M134" s="363">
        <v>15560</v>
      </c>
      <c r="N134" s="364">
        <v>7.5</v>
      </c>
      <c r="O134" s="363">
        <v>13440</v>
      </c>
      <c r="P134" s="363">
        <v>12432</v>
      </c>
      <c r="Q134" s="121">
        <v>2023</v>
      </c>
      <c r="R134" s="121"/>
      <c r="S134" s="148">
        <v>45086</v>
      </c>
      <c r="T134" s="363">
        <f>Таблица18[[#This Row],[Вес нетто]]-Таблица18[[#This Row],[Зачетный вес]]</f>
        <v>1008</v>
      </c>
      <c r="U134" s="365">
        <f>Таблица18[[#This Row],[Отход]]/Таблица18[[#This Row],[Вес нетто]]</f>
        <v>7.4999999999999997E-2</v>
      </c>
      <c r="V134" s="121">
        <f>MONTH(Таблица18[[#This Row],[Дата акта]])</f>
        <v>6</v>
      </c>
      <c r="W134" s="121">
        <v>9</v>
      </c>
      <c r="X134" s="148">
        <f>DATE(1900,Таблица18[[#This Row],[Месяц]],Таблица18[[#This Row],[Число]])</f>
        <v>161</v>
      </c>
      <c r="Y134" s="121"/>
      <c r="Z134" s="121" t="str">
        <f>Таблица18[[#This Row],[Хар-ка]]</f>
        <v>первый</v>
      </c>
      <c r="AD134" s="459"/>
      <c r="AE134" s="391"/>
    </row>
    <row r="135" spans="1:31" s="325" customFormat="1" ht="15.6" hidden="1" customHeight="1" x14ac:dyDescent="0.2">
      <c r="A135" s="360" t="s">
        <v>1965</v>
      </c>
      <c r="B135" s="360" t="s">
        <v>550</v>
      </c>
      <c r="C135" s="361">
        <v>235</v>
      </c>
      <c r="D135" s="362">
        <v>33</v>
      </c>
      <c r="E135" s="360" t="s">
        <v>78</v>
      </c>
      <c r="F135" s="360" t="s">
        <v>1834</v>
      </c>
      <c r="G135" s="360" t="s">
        <v>1807</v>
      </c>
      <c r="H135" s="360" t="s">
        <v>1924</v>
      </c>
      <c r="I135" s="360" t="e">
        <f>VLOOKUP(Таблица18[[#This Row],[Номер акта]],$AB$1:$AF$1833,3,FALSE)</f>
        <v>#N/A</v>
      </c>
      <c r="J135" s="360" t="s">
        <v>21</v>
      </c>
      <c r="K135" s="360" t="s">
        <v>82</v>
      </c>
      <c r="L135" s="363">
        <v>27960</v>
      </c>
      <c r="M135" s="363">
        <v>14440</v>
      </c>
      <c r="N135" s="364">
        <v>7.5</v>
      </c>
      <c r="O135" s="363">
        <v>13520</v>
      </c>
      <c r="P135" s="363">
        <v>12506</v>
      </c>
      <c r="Q135" s="121">
        <v>2023</v>
      </c>
      <c r="R135" s="121"/>
      <c r="S135" s="148">
        <v>45086</v>
      </c>
      <c r="T135" s="363">
        <f>Таблица18[[#This Row],[Вес нетто]]-Таблица18[[#This Row],[Зачетный вес]]</f>
        <v>1014</v>
      </c>
      <c r="U135" s="365">
        <f>Таблица18[[#This Row],[Отход]]/Таблица18[[#This Row],[Вес нетто]]</f>
        <v>7.4999999999999997E-2</v>
      </c>
      <c r="V135" s="121">
        <f>MONTH(Таблица18[[#This Row],[Дата акта]])</f>
        <v>6</v>
      </c>
      <c r="W135" s="121">
        <v>9</v>
      </c>
      <c r="X135" s="148">
        <f>DATE(1900,Таблица18[[#This Row],[Месяц]],Таблица18[[#This Row],[Число]])</f>
        <v>161</v>
      </c>
      <c r="Y135" s="121"/>
      <c r="Z135" s="121" t="str">
        <f>Таблица18[[#This Row],[Хар-ка]]</f>
        <v>первый</v>
      </c>
      <c r="AD135" s="459"/>
      <c r="AE135" s="391"/>
    </row>
    <row r="136" spans="1:31" s="325" customFormat="1" ht="15.6" hidden="1" customHeight="1" x14ac:dyDescent="0.2">
      <c r="A136" s="360" t="s">
        <v>1966</v>
      </c>
      <c r="B136" s="360" t="s">
        <v>833</v>
      </c>
      <c r="C136" s="361">
        <v>237</v>
      </c>
      <c r="D136" s="362">
        <v>34</v>
      </c>
      <c r="E136" s="360" t="s">
        <v>78</v>
      </c>
      <c r="F136" s="360" t="s">
        <v>1880</v>
      </c>
      <c r="G136" s="360" t="s">
        <v>1802</v>
      </c>
      <c r="H136" s="360" t="s">
        <v>1924</v>
      </c>
      <c r="I136" s="360" t="e">
        <f>VLOOKUP(Таблица18[[#This Row],[Номер акта]],$AB$1:$AF$1833,3,FALSE)</f>
        <v>#N/A</v>
      </c>
      <c r="J136" s="360" t="s">
        <v>21</v>
      </c>
      <c r="K136" s="360" t="s">
        <v>82</v>
      </c>
      <c r="L136" s="363">
        <v>28250</v>
      </c>
      <c r="M136" s="363">
        <v>14660</v>
      </c>
      <c r="N136" s="364">
        <v>7.5</v>
      </c>
      <c r="O136" s="363">
        <v>13590</v>
      </c>
      <c r="P136" s="363">
        <v>12570.7</v>
      </c>
      <c r="Q136" s="121">
        <v>2023</v>
      </c>
      <c r="R136" s="121"/>
      <c r="S136" s="148">
        <v>45086</v>
      </c>
      <c r="T136" s="363">
        <f>Таблица18[[#This Row],[Вес нетто]]-Таблица18[[#This Row],[Зачетный вес]]</f>
        <v>1019.2999999999993</v>
      </c>
      <c r="U136" s="365">
        <f>Таблица18[[#This Row],[Отход]]/Таблица18[[#This Row],[Вес нетто]]</f>
        <v>7.5003679175864549E-2</v>
      </c>
      <c r="V136" s="121">
        <f>MONTH(Таблица18[[#This Row],[Дата акта]])</f>
        <v>6</v>
      </c>
      <c r="W136" s="121">
        <v>9</v>
      </c>
      <c r="X136" s="148">
        <f>DATE(1900,Таблица18[[#This Row],[Месяц]],Таблица18[[#This Row],[Число]])</f>
        <v>161</v>
      </c>
      <c r="Y136" s="121"/>
      <c r="Z136" s="121" t="str">
        <f>Таблица18[[#This Row],[Хар-ка]]</f>
        <v>второй</v>
      </c>
      <c r="AD136" s="459"/>
      <c r="AE136" s="391"/>
    </row>
    <row r="137" spans="1:31" s="325" customFormat="1" ht="15.6" hidden="1" customHeight="1" x14ac:dyDescent="0.2">
      <c r="A137" s="360" t="s">
        <v>1967</v>
      </c>
      <c r="B137" s="360" t="s">
        <v>511</v>
      </c>
      <c r="C137" s="361">
        <v>239</v>
      </c>
      <c r="D137" s="362">
        <v>36</v>
      </c>
      <c r="E137" s="360" t="s">
        <v>78</v>
      </c>
      <c r="F137" s="360" t="s">
        <v>1788</v>
      </c>
      <c r="G137" s="360" t="s">
        <v>131</v>
      </c>
      <c r="H137" s="360" t="s">
        <v>1871</v>
      </c>
      <c r="I137" s="360" t="e">
        <f>VLOOKUP(Таблица18[[#This Row],[Номер акта]],$AB$1:$AF$1833,3,FALSE)</f>
        <v>#N/A</v>
      </c>
      <c r="J137" s="360" t="s">
        <v>21</v>
      </c>
      <c r="K137" s="360" t="s">
        <v>82</v>
      </c>
      <c r="L137" s="363">
        <v>28500</v>
      </c>
      <c r="M137" s="363">
        <v>14300</v>
      </c>
      <c r="N137" s="364">
        <v>11.5</v>
      </c>
      <c r="O137" s="363">
        <v>14200</v>
      </c>
      <c r="P137" s="363">
        <v>12567</v>
      </c>
      <c r="Q137" s="121">
        <v>2023</v>
      </c>
      <c r="R137" s="121"/>
      <c r="S137" s="148">
        <v>45086</v>
      </c>
      <c r="T137" s="363">
        <f>Таблица18[[#This Row],[Вес нетто]]-Таблица18[[#This Row],[Зачетный вес]]</f>
        <v>1633</v>
      </c>
      <c r="U137" s="365">
        <f>Таблица18[[#This Row],[Отход]]/Таблица18[[#This Row],[Вес нетто]]</f>
        <v>0.115</v>
      </c>
      <c r="V137" s="121">
        <f>MONTH(Таблица18[[#This Row],[Дата акта]])</f>
        <v>6</v>
      </c>
      <c r="W137" s="121">
        <v>9</v>
      </c>
      <c r="X137" s="148">
        <f>DATE(1900,Таблица18[[#This Row],[Месяц]],Таблица18[[#This Row],[Число]])</f>
        <v>161</v>
      </c>
      <c r="Y137" s="121"/>
      <c r="Z137" s="121" t="str">
        <f>Таблица18[[#This Row],[Хар-ка]]</f>
        <v>высший</v>
      </c>
      <c r="AD137" s="459"/>
      <c r="AE137" s="391"/>
    </row>
    <row r="138" spans="1:31" s="325" customFormat="1" ht="15.6" hidden="1" customHeight="1" x14ac:dyDescent="0.2">
      <c r="A138" s="360" t="s">
        <v>1968</v>
      </c>
      <c r="B138" s="360" t="s">
        <v>550</v>
      </c>
      <c r="C138" s="361">
        <v>240</v>
      </c>
      <c r="D138" s="362">
        <v>37</v>
      </c>
      <c r="E138" s="360" t="s">
        <v>78</v>
      </c>
      <c r="F138" s="360" t="s">
        <v>1846</v>
      </c>
      <c r="G138" s="360" t="s">
        <v>1799</v>
      </c>
      <c r="H138" s="360" t="s">
        <v>1924</v>
      </c>
      <c r="I138" s="360" t="e">
        <f>VLOOKUP(Таблица18[[#This Row],[Номер акта]],$AB$1:$AF$1833,3,FALSE)</f>
        <v>#N/A</v>
      </c>
      <c r="J138" s="360" t="s">
        <v>21</v>
      </c>
      <c r="K138" s="360" t="s">
        <v>82</v>
      </c>
      <c r="L138" s="363">
        <v>28980</v>
      </c>
      <c r="M138" s="363">
        <v>15550</v>
      </c>
      <c r="N138" s="364">
        <v>7.5</v>
      </c>
      <c r="O138" s="363">
        <v>13430</v>
      </c>
      <c r="P138" s="363">
        <v>12422.7</v>
      </c>
      <c r="Q138" s="121">
        <v>2023</v>
      </c>
      <c r="R138" s="121"/>
      <c r="S138" s="148">
        <v>45086</v>
      </c>
      <c r="T138" s="363">
        <f>Таблица18[[#This Row],[Вес нетто]]-Таблица18[[#This Row],[Зачетный вес]]</f>
        <v>1007.2999999999993</v>
      </c>
      <c r="U138" s="365">
        <f>Таблица18[[#This Row],[Отход]]/Таблица18[[#This Row],[Вес нетто]]</f>
        <v>7.5003723008190568E-2</v>
      </c>
      <c r="V138" s="121">
        <f>MONTH(Таблица18[[#This Row],[Дата акта]])</f>
        <v>6</v>
      </c>
      <c r="W138" s="121">
        <v>9</v>
      </c>
      <c r="X138" s="148">
        <f>DATE(1900,Таблица18[[#This Row],[Месяц]],Таблица18[[#This Row],[Число]])</f>
        <v>161</v>
      </c>
      <c r="Y138" s="121"/>
      <c r="Z138" s="121" t="str">
        <f>Таблица18[[#This Row],[Хар-ка]]</f>
        <v>первый</v>
      </c>
      <c r="AD138" s="459"/>
      <c r="AE138" s="391"/>
    </row>
    <row r="139" spans="1:31" s="325" customFormat="1" ht="15.6" hidden="1" customHeight="1" x14ac:dyDescent="0.2">
      <c r="A139" s="360" t="s">
        <v>1969</v>
      </c>
      <c r="B139" s="360" t="s">
        <v>511</v>
      </c>
      <c r="C139" s="361">
        <v>241</v>
      </c>
      <c r="D139" s="362">
        <v>38</v>
      </c>
      <c r="E139" s="360" t="s">
        <v>78</v>
      </c>
      <c r="F139" s="360" t="s">
        <v>1806</v>
      </c>
      <c r="G139" s="360" t="s">
        <v>1807</v>
      </c>
      <c r="H139" s="360" t="s">
        <v>1871</v>
      </c>
      <c r="I139" s="360" t="e">
        <f>VLOOKUP(Таблица18[[#This Row],[Номер акта]],$AB$1:$AF$1833,3,FALSE)</f>
        <v>#N/A</v>
      </c>
      <c r="J139" s="360" t="s">
        <v>21</v>
      </c>
      <c r="K139" s="360" t="s">
        <v>82</v>
      </c>
      <c r="L139" s="363">
        <v>28750</v>
      </c>
      <c r="M139" s="363">
        <v>14430</v>
      </c>
      <c r="N139" s="364">
        <v>11.5</v>
      </c>
      <c r="O139" s="363">
        <v>14320</v>
      </c>
      <c r="P139" s="363">
        <v>12673.2</v>
      </c>
      <c r="Q139" s="121">
        <v>2023</v>
      </c>
      <c r="R139" s="121"/>
      <c r="S139" s="148">
        <v>45086</v>
      </c>
      <c r="T139" s="363">
        <f>Таблица18[[#This Row],[Вес нетто]]-Таблица18[[#This Row],[Зачетный вес]]</f>
        <v>1646.7999999999993</v>
      </c>
      <c r="U139" s="365">
        <f>Таблица18[[#This Row],[Отход]]/Таблица18[[#This Row],[Вес нетто]]</f>
        <v>0.11499999999999995</v>
      </c>
      <c r="V139" s="121">
        <f>MONTH(Таблица18[[#This Row],[Дата акта]])</f>
        <v>6</v>
      </c>
      <c r="W139" s="121">
        <v>9</v>
      </c>
      <c r="X139" s="148">
        <f>DATE(1900,Таблица18[[#This Row],[Месяц]],Таблица18[[#This Row],[Число]])</f>
        <v>161</v>
      </c>
      <c r="Y139" s="121"/>
      <c r="Z139" s="121" t="str">
        <f>Таблица18[[#This Row],[Хар-ка]]</f>
        <v>высший</v>
      </c>
      <c r="AD139" s="459"/>
      <c r="AE139" s="391"/>
    </row>
    <row r="140" spans="1:31" s="325" customFormat="1" ht="15.6" hidden="1" customHeight="1" x14ac:dyDescent="0.2">
      <c r="A140" s="360" t="s">
        <v>1970</v>
      </c>
      <c r="B140" s="360" t="s">
        <v>511</v>
      </c>
      <c r="C140" s="361">
        <v>246</v>
      </c>
      <c r="D140" s="362">
        <v>40</v>
      </c>
      <c r="E140" s="360" t="s">
        <v>78</v>
      </c>
      <c r="F140" s="360" t="s">
        <v>1788</v>
      </c>
      <c r="G140" s="360" t="s">
        <v>131</v>
      </c>
      <c r="H140" s="360" t="s">
        <v>1871</v>
      </c>
      <c r="I140" s="360" t="e">
        <f>VLOOKUP(Таблица18[[#This Row],[Номер акта]],$AB$1:$AF$1833,3,FALSE)</f>
        <v>#N/A</v>
      </c>
      <c r="J140" s="360" t="s">
        <v>21</v>
      </c>
      <c r="K140" s="360" t="s">
        <v>82</v>
      </c>
      <c r="L140" s="363">
        <v>28080</v>
      </c>
      <c r="M140" s="363">
        <v>14300</v>
      </c>
      <c r="N140" s="364">
        <v>15.5</v>
      </c>
      <c r="O140" s="363">
        <v>13780</v>
      </c>
      <c r="P140" s="363">
        <v>11644.1</v>
      </c>
      <c r="Q140" s="121">
        <v>2023</v>
      </c>
      <c r="R140" s="121"/>
      <c r="S140" s="148">
        <v>45086</v>
      </c>
      <c r="T140" s="363">
        <f>Таблица18[[#This Row],[Вес нетто]]-Таблица18[[#This Row],[Зачетный вес]]</f>
        <v>2135.8999999999996</v>
      </c>
      <c r="U140" s="365">
        <f>Таблица18[[#This Row],[Отход]]/Таблица18[[#This Row],[Вес нетто]]</f>
        <v>0.15499999999999997</v>
      </c>
      <c r="V140" s="121">
        <f>MONTH(Таблица18[[#This Row],[Дата акта]])</f>
        <v>6</v>
      </c>
      <c r="W140" s="121">
        <v>9</v>
      </c>
      <c r="X140" s="148">
        <f>DATE(1900,Таблица18[[#This Row],[Месяц]],Таблица18[[#This Row],[Число]])</f>
        <v>161</v>
      </c>
      <c r="Y140" s="121"/>
      <c r="Z140" s="121" t="str">
        <f>Таблица18[[#This Row],[Хар-ка]]</f>
        <v>высший</v>
      </c>
      <c r="AD140" s="459"/>
      <c r="AE140" s="391"/>
    </row>
    <row r="141" spans="1:31" s="325" customFormat="1" ht="15.6" hidden="1" customHeight="1" x14ac:dyDescent="0.2">
      <c r="A141" s="360" t="s">
        <v>1971</v>
      </c>
      <c r="B141" s="360" t="s">
        <v>550</v>
      </c>
      <c r="C141" s="361">
        <v>247</v>
      </c>
      <c r="D141" s="362">
        <v>41</v>
      </c>
      <c r="E141" s="360" t="s">
        <v>78</v>
      </c>
      <c r="F141" s="360" t="s">
        <v>1846</v>
      </c>
      <c r="G141" s="360" t="s">
        <v>1799</v>
      </c>
      <c r="H141" s="360" t="s">
        <v>1924</v>
      </c>
      <c r="I141" s="360" t="e">
        <f>VLOOKUP(Таблица18[[#This Row],[Номер акта]],$AB$1:$AF$1833,3,FALSE)</f>
        <v>#N/A</v>
      </c>
      <c r="J141" s="360" t="s">
        <v>21</v>
      </c>
      <c r="K141" s="360" t="s">
        <v>82</v>
      </c>
      <c r="L141" s="363">
        <v>28670</v>
      </c>
      <c r="M141" s="363">
        <v>15530</v>
      </c>
      <c r="N141" s="364">
        <v>13.5</v>
      </c>
      <c r="O141" s="363">
        <v>13140</v>
      </c>
      <c r="P141" s="363">
        <v>11366.1</v>
      </c>
      <c r="Q141" s="121">
        <v>2023</v>
      </c>
      <c r="R141" s="121"/>
      <c r="S141" s="148">
        <v>45086</v>
      </c>
      <c r="T141" s="363">
        <f>Таблица18[[#This Row],[Вес нетто]]-Таблица18[[#This Row],[Зачетный вес]]</f>
        <v>1773.8999999999996</v>
      </c>
      <c r="U141" s="365">
        <f>Таблица18[[#This Row],[Отход]]/Таблица18[[#This Row],[Вес нетто]]</f>
        <v>0.13499999999999998</v>
      </c>
      <c r="V141" s="121">
        <f>MONTH(Таблица18[[#This Row],[Дата акта]])</f>
        <v>6</v>
      </c>
      <c r="W141" s="121">
        <v>9</v>
      </c>
      <c r="X141" s="148">
        <f>DATE(1900,Таблица18[[#This Row],[Месяц]],Таблица18[[#This Row],[Число]])</f>
        <v>161</v>
      </c>
      <c r="Y141" s="121"/>
      <c r="Z141" s="121" t="str">
        <f>Таблица18[[#This Row],[Хар-ка]]</f>
        <v>первый</v>
      </c>
      <c r="AD141" s="459"/>
      <c r="AE141" s="391"/>
    </row>
    <row r="142" spans="1:31" s="325" customFormat="1" ht="15.6" hidden="1" customHeight="1" x14ac:dyDescent="0.2">
      <c r="A142" s="360" t="s">
        <v>1972</v>
      </c>
      <c r="B142" s="360" t="s">
        <v>511</v>
      </c>
      <c r="C142" s="361">
        <v>248</v>
      </c>
      <c r="D142" s="362">
        <v>42</v>
      </c>
      <c r="E142" s="360" t="s">
        <v>78</v>
      </c>
      <c r="F142" s="360" t="s">
        <v>1806</v>
      </c>
      <c r="G142" s="360" t="s">
        <v>1807</v>
      </c>
      <c r="H142" s="360" t="s">
        <v>1871</v>
      </c>
      <c r="I142" s="360" t="e">
        <f>VLOOKUP(Таблица18[[#This Row],[Номер акта]],$AB$1:$AF$1833,3,FALSE)</f>
        <v>#N/A</v>
      </c>
      <c r="J142" s="360" t="s">
        <v>21</v>
      </c>
      <c r="K142" s="360" t="s">
        <v>82</v>
      </c>
      <c r="L142" s="363">
        <v>28270</v>
      </c>
      <c r="M142" s="363">
        <v>14420</v>
      </c>
      <c r="N142" s="364">
        <v>14.5</v>
      </c>
      <c r="O142" s="363">
        <v>13850</v>
      </c>
      <c r="P142" s="363">
        <v>11841.7</v>
      </c>
      <c r="Q142" s="121">
        <v>2023</v>
      </c>
      <c r="R142" s="121"/>
      <c r="S142" s="148">
        <v>45087</v>
      </c>
      <c r="T142" s="363">
        <f>Таблица18[[#This Row],[Вес нетто]]-Таблица18[[#This Row],[Зачетный вес]]</f>
        <v>2008.2999999999993</v>
      </c>
      <c r="U142" s="365">
        <f>Таблица18[[#This Row],[Отход]]/Таблица18[[#This Row],[Вес нетто]]</f>
        <v>0.1450036101083032</v>
      </c>
      <c r="V142" s="121">
        <f>MONTH(Таблица18[[#This Row],[Дата акта]])</f>
        <v>6</v>
      </c>
      <c r="W142" s="121">
        <v>10</v>
      </c>
      <c r="X142" s="148">
        <f>DATE(1900,Таблица18[[#This Row],[Месяц]],Таблица18[[#This Row],[Число]])</f>
        <v>162</v>
      </c>
      <c r="Y142" s="121"/>
      <c r="Z142" s="121" t="str">
        <f>Таблица18[[#This Row],[Хар-ка]]</f>
        <v>высший</v>
      </c>
      <c r="AD142" s="459"/>
      <c r="AE142" s="391"/>
    </row>
    <row r="143" spans="1:31" s="325" customFormat="1" ht="15.6" hidden="1" customHeight="1" x14ac:dyDescent="0.2">
      <c r="A143" s="360" t="s">
        <v>1973</v>
      </c>
      <c r="B143" s="360" t="s">
        <v>511</v>
      </c>
      <c r="C143" s="361">
        <v>249</v>
      </c>
      <c r="D143" s="362">
        <v>43</v>
      </c>
      <c r="E143" s="360" t="s">
        <v>78</v>
      </c>
      <c r="F143" s="360" t="s">
        <v>1788</v>
      </c>
      <c r="G143" s="360" t="s">
        <v>131</v>
      </c>
      <c r="H143" s="360" t="s">
        <v>1871</v>
      </c>
      <c r="I143" s="360" t="e">
        <f>VLOOKUP(Таблица18[[#This Row],[Номер акта]],$AB$1:$AF$1833,3,FALSE)</f>
        <v>#N/A</v>
      </c>
      <c r="J143" s="360" t="s">
        <v>21</v>
      </c>
      <c r="K143" s="360" t="s">
        <v>82</v>
      </c>
      <c r="L143" s="363">
        <v>28240</v>
      </c>
      <c r="M143" s="363">
        <v>14300</v>
      </c>
      <c r="N143" s="364">
        <v>14.5</v>
      </c>
      <c r="O143" s="363">
        <v>13940</v>
      </c>
      <c r="P143" s="363">
        <v>11918.7</v>
      </c>
      <c r="Q143" s="121">
        <v>2023</v>
      </c>
      <c r="R143" s="121"/>
      <c r="S143" s="148">
        <v>45087</v>
      </c>
      <c r="T143" s="363">
        <f>Таблица18[[#This Row],[Вес нетто]]-Таблица18[[#This Row],[Зачетный вес]]</f>
        <v>2021.2999999999993</v>
      </c>
      <c r="U143" s="365">
        <f>Таблица18[[#This Row],[Отход]]/Таблица18[[#This Row],[Вес нетто]]</f>
        <v>0.14499999999999993</v>
      </c>
      <c r="V143" s="121">
        <f>MONTH(Таблица18[[#This Row],[Дата акта]])</f>
        <v>6</v>
      </c>
      <c r="W143" s="121">
        <v>10</v>
      </c>
      <c r="X143" s="148">
        <f>DATE(1900,Таблица18[[#This Row],[Месяц]],Таблица18[[#This Row],[Число]])</f>
        <v>162</v>
      </c>
      <c r="Y143" s="121"/>
      <c r="Z143" s="121" t="str">
        <f>Таблица18[[#This Row],[Хар-ка]]</f>
        <v>высший</v>
      </c>
      <c r="AD143" s="459"/>
      <c r="AE143" s="391"/>
    </row>
    <row r="144" spans="1:31" s="325" customFormat="1" ht="15.6" hidden="1" customHeight="1" x14ac:dyDescent="0.2">
      <c r="A144" s="360" t="s">
        <v>1974</v>
      </c>
      <c r="B144" s="360" t="s">
        <v>550</v>
      </c>
      <c r="C144" s="361">
        <v>250</v>
      </c>
      <c r="D144" s="362">
        <v>44</v>
      </c>
      <c r="E144" s="360" t="s">
        <v>78</v>
      </c>
      <c r="F144" s="360" t="s">
        <v>1846</v>
      </c>
      <c r="G144" s="360" t="s">
        <v>1799</v>
      </c>
      <c r="H144" s="360" t="s">
        <v>1924</v>
      </c>
      <c r="I144" s="360" t="e">
        <f>VLOOKUP(Таблица18[[#This Row],[Номер акта]],$AB$1:$AF$1833,3,FALSE)</f>
        <v>#N/A</v>
      </c>
      <c r="J144" s="360" t="s">
        <v>1917</v>
      </c>
      <c r="K144" s="360" t="s">
        <v>82</v>
      </c>
      <c r="L144" s="363">
        <v>28730</v>
      </c>
      <c r="M144" s="363">
        <v>15510</v>
      </c>
      <c r="N144" s="364">
        <v>10.5</v>
      </c>
      <c r="O144" s="363">
        <v>13220</v>
      </c>
      <c r="P144" s="363">
        <v>11831.9</v>
      </c>
      <c r="Q144" s="121">
        <v>2023</v>
      </c>
      <c r="R144" s="121"/>
      <c r="S144" s="148">
        <v>45087</v>
      </c>
      <c r="T144" s="363">
        <f>Таблица18[[#This Row],[Вес нетто]]-Таблица18[[#This Row],[Зачетный вес]]</f>
        <v>1388.1000000000004</v>
      </c>
      <c r="U144" s="365">
        <f>Таблица18[[#This Row],[Отход]]/Таблица18[[#This Row],[Вес нетто]]</f>
        <v>0.10500000000000002</v>
      </c>
      <c r="V144" s="121">
        <f>MONTH(Таблица18[[#This Row],[Дата акта]])</f>
        <v>6</v>
      </c>
      <c r="W144" s="121">
        <v>10</v>
      </c>
      <c r="X144" s="148">
        <f>DATE(1900,Таблица18[[#This Row],[Месяц]],Таблица18[[#This Row],[Число]])</f>
        <v>162</v>
      </c>
      <c r="Y144" s="121"/>
      <c r="Z144" s="121" t="str">
        <f>Таблица18[[#This Row],[Хар-ка]]</f>
        <v>первый</v>
      </c>
      <c r="AD144" s="459"/>
      <c r="AE144" s="391"/>
    </row>
    <row r="145" spans="1:31" s="325" customFormat="1" ht="15.6" hidden="1" customHeight="1" x14ac:dyDescent="0.2">
      <c r="A145" s="360" t="s">
        <v>1975</v>
      </c>
      <c r="B145" s="360" t="s">
        <v>550</v>
      </c>
      <c r="C145" s="361">
        <v>252</v>
      </c>
      <c r="D145" s="362">
        <v>45</v>
      </c>
      <c r="E145" s="360" t="s">
        <v>78</v>
      </c>
      <c r="F145" s="360" t="s">
        <v>1806</v>
      </c>
      <c r="G145" s="360" t="s">
        <v>1807</v>
      </c>
      <c r="H145" s="360" t="s">
        <v>1855</v>
      </c>
      <c r="I145" s="360" t="e">
        <f>VLOOKUP(Таблица18[[#This Row],[Номер акта]],$AB$1:$AF$1833,3,FALSE)</f>
        <v>#N/A</v>
      </c>
      <c r="J145" s="360" t="s">
        <v>21</v>
      </c>
      <c r="K145" s="360" t="s">
        <v>82</v>
      </c>
      <c r="L145" s="363">
        <v>28020</v>
      </c>
      <c r="M145" s="363">
        <v>14400</v>
      </c>
      <c r="N145" s="364">
        <v>11.5</v>
      </c>
      <c r="O145" s="363">
        <v>13620</v>
      </c>
      <c r="P145" s="363">
        <v>12053.7</v>
      </c>
      <c r="Q145" s="121">
        <v>2023</v>
      </c>
      <c r="R145" s="121"/>
      <c r="S145" s="148">
        <v>45087</v>
      </c>
      <c r="T145" s="363">
        <f>Таблица18[[#This Row],[Вес нетто]]-Таблица18[[#This Row],[Зачетный вес]]</f>
        <v>1566.2999999999993</v>
      </c>
      <c r="U145" s="365">
        <f>Таблица18[[#This Row],[Отход]]/Таблица18[[#This Row],[Вес нетто]]</f>
        <v>0.11499999999999995</v>
      </c>
      <c r="V145" s="121">
        <f>MONTH(Таблица18[[#This Row],[Дата акта]])</f>
        <v>6</v>
      </c>
      <c r="W145" s="121">
        <v>10</v>
      </c>
      <c r="X145" s="148">
        <f>DATE(1900,Таблица18[[#This Row],[Месяц]],Таблица18[[#This Row],[Число]])</f>
        <v>162</v>
      </c>
      <c r="Y145" s="121"/>
      <c r="Z145" s="121" t="str">
        <f>Таблица18[[#This Row],[Хар-ка]]</f>
        <v>первый</v>
      </c>
      <c r="AD145" s="459"/>
      <c r="AE145" s="391"/>
    </row>
    <row r="146" spans="1:31" s="325" customFormat="1" ht="15.6" hidden="1" customHeight="1" x14ac:dyDescent="0.2">
      <c r="A146" s="360" t="s">
        <v>1976</v>
      </c>
      <c r="B146" s="360" t="s">
        <v>550</v>
      </c>
      <c r="C146" s="361">
        <v>253</v>
      </c>
      <c r="D146" s="362">
        <v>46</v>
      </c>
      <c r="E146" s="360" t="s">
        <v>78</v>
      </c>
      <c r="F146" s="360" t="s">
        <v>1788</v>
      </c>
      <c r="G146" s="360" t="s">
        <v>131</v>
      </c>
      <c r="H146" s="360" t="s">
        <v>1855</v>
      </c>
      <c r="I146" s="360" t="e">
        <f>VLOOKUP(Таблица18[[#This Row],[Номер акта]],$AB$1:$AF$1833,3,FALSE)</f>
        <v>#N/A</v>
      </c>
      <c r="J146" s="360" t="s">
        <v>21</v>
      </c>
      <c r="K146" s="360" t="s">
        <v>82</v>
      </c>
      <c r="L146" s="363">
        <v>20470</v>
      </c>
      <c r="M146" s="363">
        <v>14270</v>
      </c>
      <c r="N146" s="364">
        <v>12.5</v>
      </c>
      <c r="O146" s="363">
        <v>6200</v>
      </c>
      <c r="P146" s="363">
        <v>5425</v>
      </c>
      <c r="Q146" s="121">
        <v>2023</v>
      </c>
      <c r="R146" s="121"/>
      <c r="S146" s="148">
        <v>45087</v>
      </c>
      <c r="T146" s="363">
        <f>Таблица18[[#This Row],[Вес нетто]]-Таблица18[[#This Row],[Зачетный вес]]</f>
        <v>775</v>
      </c>
      <c r="U146" s="365">
        <f>Таблица18[[#This Row],[Отход]]/Таблица18[[#This Row],[Вес нетто]]</f>
        <v>0.125</v>
      </c>
      <c r="V146" s="121">
        <f>MONTH(Таблица18[[#This Row],[Дата акта]])</f>
        <v>6</v>
      </c>
      <c r="W146" s="121">
        <v>10</v>
      </c>
      <c r="X146" s="148">
        <f>DATE(1900,Таблица18[[#This Row],[Месяц]],Таблица18[[#This Row],[Число]])</f>
        <v>162</v>
      </c>
      <c r="Y146" s="121"/>
      <c r="Z146" s="121" t="str">
        <f>Таблица18[[#This Row],[Хар-ка]]</f>
        <v>первый</v>
      </c>
      <c r="AD146" s="459"/>
      <c r="AE146" s="391"/>
    </row>
    <row r="147" spans="1:31" s="325" customFormat="1" ht="15.6" hidden="1" customHeight="1" x14ac:dyDescent="0.2">
      <c r="A147" s="360" t="s">
        <v>1977</v>
      </c>
      <c r="B147" s="360" t="s">
        <v>550</v>
      </c>
      <c r="C147" s="361">
        <v>255</v>
      </c>
      <c r="D147" s="362">
        <v>47</v>
      </c>
      <c r="E147" s="360" t="s">
        <v>78</v>
      </c>
      <c r="F147" s="360" t="s">
        <v>1935</v>
      </c>
      <c r="G147" s="360" t="s">
        <v>1813</v>
      </c>
      <c r="H147" s="360" t="s">
        <v>1924</v>
      </c>
      <c r="I147" s="360" t="e">
        <f>VLOOKUP(Таблица18[[#This Row],[Номер акта]],$AB$1:$AF$1833,3,FALSE)</f>
        <v>#N/A</v>
      </c>
      <c r="J147" s="360" t="s">
        <v>1917</v>
      </c>
      <c r="K147" s="360" t="s">
        <v>82</v>
      </c>
      <c r="L147" s="363">
        <v>27760</v>
      </c>
      <c r="M147" s="363">
        <v>14200</v>
      </c>
      <c r="N147" s="364">
        <v>11.5</v>
      </c>
      <c r="O147" s="363">
        <v>13560</v>
      </c>
      <c r="P147" s="363">
        <v>12000.6</v>
      </c>
      <c r="Q147" s="121">
        <v>2023</v>
      </c>
      <c r="R147" s="121"/>
      <c r="S147" s="148">
        <v>45087</v>
      </c>
      <c r="T147" s="363">
        <f>Таблица18[[#This Row],[Вес нетто]]-Таблица18[[#This Row],[Зачетный вес]]</f>
        <v>1559.3999999999996</v>
      </c>
      <c r="U147" s="365">
        <f>Таблица18[[#This Row],[Отход]]/Таблица18[[#This Row],[Вес нетто]]</f>
        <v>0.11499999999999998</v>
      </c>
      <c r="V147" s="121">
        <f>MONTH(Таблица18[[#This Row],[Дата акта]])</f>
        <v>6</v>
      </c>
      <c r="W147" s="121">
        <v>10</v>
      </c>
      <c r="X147" s="148">
        <f>DATE(1900,Таблица18[[#This Row],[Месяц]],Таблица18[[#This Row],[Число]])</f>
        <v>162</v>
      </c>
      <c r="Y147" s="121"/>
      <c r="Z147" s="121" t="str">
        <f>Таблица18[[#This Row],[Хар-ка]]</f>
        <v>первый</v>
      </c>
      <c r="AD147" s="459"/>
      <c r="AE147" s="391"/>
    </row>
    <row r="148" spans="1:31" s="325" customFormat="1" ht="15.6" hidden="1" customHeight="1" x14ac:dyDescent="0.2">
      <c r="A148" s="360" t="s">
        <v>1978</v>
      </c>
      <c r="B148" s="360" t="s">
        <v>550</v>
      </c>
      <c r="C148" s="361">
        <v>256</v>
      </c>
      <c r="D148" s="362">
        <v>48</v>
      </c>
      <c r="E148" s="360" t="s">
        <v>78</v>
      </c>
      <c r="F148" s="360" t="s">
        <v>1794</v>
      </c>
      <c r="G148" s="360" t="s">
        <v>1795</v>
      </c>
      <c r="H148" s="360" t="s">
        <v>1924</v>
      </c>
      <c r="I148" s="360" t="e">
        <f>VLOOKUP(Таблица18[[#This Row],[Номер акта]],$AB$1:$AF$1833,3,FALSE)</f>
        <v>#N/A</v>
      </c>
      <c r="J148" s="360" t="s">
        <v>1917</v>
      </c>
      <c r="K148" s="360" t="s">
        <v>82</v>
      </c>
      <c r="L148" s="363">
        <v>26910</v>
      </c>
      <c r="M148" s="363">
        <v>13340</v>
      </c>
      <c r="N148" s="364">
        <v>11.5</v>
      </c>
      <c r="O148" s="363">
        <v>13570</v>
      </c>
      <c r="P148" s="363">
        <v>12009.4</v>
      </c>
      <c r="Q148" s="121">
        <v>2023</v>
      </c>
      <c r="R148" s="121"/>
      <c r="S148" s="148">
        <v>45087</v>
      </c>
      <c r="T148" s="363">
        <f>Таблица18[[#This Row],[Вес нетто]]-Таблица18[[#This Row],[Зачетный вес]]</f>
        <v>1560.6000000000004</v>
      </c>
      <c r="U148" s="365">
        <f>Таблица18[[#This Row],[Отход]]/Таблица18[[#This Row],[Вес нетто]]</f>
        <v>0.1150036845983788</v>
      </c>
      <c r="V148" s="121">
        <f>MONTH(Таблица18[[#This Row],[Дата акта]])</f>
        <v>6</v>
      </c>
      <c r="W148" s="121">
        <v>10</v>
      </c>
      <c r="X148" s="148">
        <f>DATE(1900,Таблица18[[#This Row],[Месяц]],Таблица18[[#This Row],[Число]])</f>
        <v>162</v>
      </c>
      <c r="Y148" s="121"/>
      <c r="Z148" s="121" t="str">
        <f>Таблица18[[#This Row],[Хар-ка]]</f>
        <v>первый</v>
      </c>
      <c r="AD148" s="459"/>
      <c r="AE148" s="391"/>
    </row>
    <row r="149" spans="1:31" s="325" customFormat="1" ht="15.6" hidden="1" customHeight="1" x14ac:dyDescent="0.2">
      <c r="A149" s="360" t="s">
        <v>1979</v>
      </c>
      <c r="B149" s="360" t="s">
        <v>550</v>
      </c>
      <c r="C149" s="361">
        <v>257</v>
      </c>
      <c r="D149" s="362">
        <v>49</v>
      </c>
      <c r="E149" s="360" t="s">
        <v>78</v>
      </c>
      <c r="F149" s="360" t="s">
        <v>311</v>
      </c>
      <c r="G149" s="360" t="s">
        <v>315</v>
      </c>
      <c r="H149" s="360" t="s">
        <v>1924</v>
      </c>
      <c r="I149" s="360" t="e">
        <f>VLOOKUP(Таблица18[[#This Row],[Номер акта]],$AB$1:$AF$1833,3,FALSE)</f>
        <v>#N/A</v>
      </c>
      <c r="J149" s="360" t="s">
        <v>1917</v>
      </c>
      <c r="K149" s="360" t="s">
        <v>82</v>
      </c>
      <c r="L149" s="363">
        <v>28730</v>
      </c>
      <c r="M149" s="363">
        <v>14980</v>
      </c>
      <c r="N149" s="364">
        <v>10.5</v>
      </c>
      <c r="O149" s="363">
        <v>13750</v>
      </c>
      <c r="P149" s="363">
        <v>12306.2</v>
      </c>
      <c r="Q149" s="121">
        <v>2023</v>
      </c>
      <c r="R149" s="121"/>
      <c r="S149" s="148">
        <v>45087</v>
      </c>
      <c r="T149" s="363">
        <f>Таблица18[[#This Row],[Вес нетто]]-Таблица18[[#This Row],[Зачетный вес]]</f>
        <v>1443.7999999999993</v>
      </c>
      <c r="U149" s="365">
        <f>Таблица18[[#This Row],[Отход]]/Таблица18[[#This Row],[Вес нетто]]</f>
        <v>0.10500363636363631</v>
      </c>
      <c r="V149" s="121">
        <f>MONTH(Таблица18[[#This Row],[Дата акта]])</f>
        <v>6</v>
      </c>
      <c r="W149" s="121">
        <v>10</v>
      </c>
      <c r="X149" s="148">
        <f>DATE(1900,Таблица18[[#This Row],[Месяц]],Таблица18[[#This Row],[Число]])</f>
        <v>162</v>
      </c>
      <c r="Y149" s="121"/>
      <c r="Z149" s="121" t="str">
        <f>Таблица18[[#This Row],[Хар-ка]]</f>
        <v>первый</v>
      </c>
      <c r="AD149" s="459"/>
      <c r="AE149" s="391"/>
    </row>
    <row r="150" spans="1:31" s="325" customFormat="1" ht="15.6" hidden="1" customHeight="1" x14ac:dyDescent="0.2">
      <c r="A150" s="360" t="s">
        <v>1980</v>
      </c>
      <c r="B150" s="360" t="s">
        <v>550</v>
      </c>
      <c r="C150" s="361">
        <v>258</v>
      </c>
      <c r="D150" s="362">
        <v>50</v>
      </c>
      <c r="E150" s="360" t="s">
        <v>78</v>
      </c>
      <c r="F150" s="360" t="s">
        <v>133</v>
      </c>
      <c r="G150" s="360" t="s">
        <v>137</v>
      </c>
      <c r="H150" s="360" t="s">
        <v>1924</v>
      </c>
      <c r="I150" s="360" t="e">
        <f>VLOOKUP(Таблица18[[#This Row],[Номер акта]],$AB$1:$AF$1833,3,FALSE)</f>
        <v>#N/A</v>
      </c>
      <c r="J150" s="360" t="s">
        <v>1917</v>
      </c>
      <c r="K150" s="360" t="s">
        <v>82</v>
      </c>
      <c r="L150" s="363">
        <v>33440</v>
      </c>
      <c r="M150" s="363">
        <v>17420</v>
      </c>
      <c r="N150" s="364">
        <v>10.5</v>
      </c>
      <c r="O150" s="363">
        <v>16020</v>
      </c>
      <c r="P150" s="363">
        <v>14337.9</v>
      </c>
      <c r="Q150" s="121">
        <v>2023</v>
      </c>
      <c r="R150" s="121"/>
      <c r="S150" s="148">
        <v>45087</v>
      </c>
      <c r="T150" s="363">
        <f>Таблица18[[#This Row],[Вес нетто]]-Таблица18[[#This Row],[Зачетный вес]]</f>
        <v>1682.1000000000004</v>
      </c>
      <c r="U150" s="365">
        <f>Таблица18[[#This Row],[Отход]]/Таблица18[[#This Row],[Вес нетто]]</f>
        <v>0.10500000000000002</v>
      </c>
      <c r="V150" s="121">
        <f>MONTH(Таблица18[[#This Row],[Дата акта]])</f>
        <v>6</v>
      </c>
      <c r="W150" s="121">
        <v>10</v>
      </c>
      <c r="X150" s="148">
        <f>DATE(1900,Таблица18[[#This Row],[Месяц]],Таблица18[[#This Row],[Число]])</f>
        <v>162</v>
      </c>
      <c r="Y150" s="121"/>
      <c r="Z150" s="121" t="str">
        <f>Таблица18[[#This Row],[Хар-ка]]</f>
        <v>первый</v>
      </c>
      <c r="AD150" s="459"/>
      <c r="AE150" s="391"/>
    </row>
    <row r="151" spans="1:31" s="325" customFormat="1" ht="15.6" hidden="1" customHeight="1" x14ac:dyDescent="0.2">
      <c r="A151" s="360" t="s">
        <v>1981</v>
      </c>
      <c r="B151" s="360" t="s">
        <v>550</v>
      </c>
      <c r="C151" s="361">
        <v>259</v>
      </c>
      <c r="D151" s="362">
        <v>51</v>
      </c>
      <c r="E151" s="360" t="s">
        <v>78</v>
      </c>
      <c r="F151" s="360" t="s">
        <v>1935</v>
      </c>
      <c r="G151" s="360" t="s">
        <v>1813</v>
      </c>
      <c r="H151" s="360" t="s">
        <v>1924</v>
      </c>
      <c r="I151" s="360" t="e">
        <f>VLOOKUP(Таблица18[[#This Row],[Номер акта]],$AB$1:$AF$1833,3,FALSE)</f>
        <v>#N/A</v>
      </c>
      <c r="J151" s="360" t="s">
        <v>1917</v>
      </c>
      <c r="K151" s="360" t="s">
        <v>82</v>
      </c>
      <c r="L151" s="363">
        <v>28100</v>
      </c>
      <c r="M151" s="363">
        <v>21010</v>
      </c>
      <c r="N151" s="364">
        <v>29.5</v>
      </c>
      <c r="O151" s="363">
        <v>7090</v>
      </c>
      <c r="P151" s="363">
        <v>4998.5</v>
      </c>
      <c r="Q151" s="121">
        <v>2023</v>
      </c>
      <c r="R151" s="121"/>
      <c r="S151" s="148">
        <v>45087</v>
      </c>
      <c r="T151" s="363">
        <f>Таблица18[[#This Row],[Вес нетто]]-Таблица18[[#This Row],[Зачетный вес]]</f>
        <v>2091.5</v>
      </c>
      <c r="U151" s="365">
        <f>Таблица18[[#This Row],[Отход]]/Таблица18[[#This Row],[Вес нетто]]</f>
        <v>0.29499294781382229</v>
      </c>
      <c r="V151" s="121">
        <f>MONTH(Таблица18[[#This Row],[Дата акта]])</f>
        <v>6</v>
      </c>
      <c r="W151" s="121">
        <v>10</v>
      </c>
      <c r="X151" s="148">
        <f>DATE(1900,Таблица18[[#This Row],[Месяц]],Таблица18[[#This Row],[Число]])</f>
        <v>162</v>
      </c>
      <c r="Y151" s="121"/>
      <c r="Z151" s="121" t="str">
        <f>Таблица18[[#This Row],[Хар-ка]]</f>
        <v>первый</v>
      </c>
      <c r="AD151" s="459"/>
      <c r="AE151" s="391"/>
    </row>
    <row r="152" spans="1:31" s="325" customFormat="1" ht="15.6" hidden="1" customHeight="1" x14ac:dyDescent="0.2">
      <c r="A152" s="360" t="s">
        <v>1982</v>
      </c>
      <c r="B152" s="360" t="s">
        <v>550</v>
      </c>
      <c r="C152" s="361">
        <v>259</v>
      </c>
      <c r="D152" s="362">
        <v>51</v>
      </c>
      <c r="E152" s="360" t="s">
        <v>78</v>
      </c>
      <c r="F152" s="360" t="s">
        <v>1935</v>
      </c>
      <c r="G152" s="360" t="s">
        <v>1813</v>
      </c>
      <c r="H152" s="360" t="s">
        <v>1924</v>
      </c>
      <c r="I152" s="360" t="e">
        <f>VLOOKUP(Таблица18[[#This Row],[Номер акта]],$AB$1:$AF$1833,3,FALSE)</f>
        <v>#N/A</v>
      </c>
      <c r="J152" s="360" t="s">
        <v>21</v>
      </c>
      <c r="K152" s="360" t="s">
        <v>82</v>
      </c>
      <c r="L152" s="363">
        <v>21010</v>
      </c>
      <c r="M152" s="363">
        <v>14190</v>
      </c>
      <c r="N152" s="364">
        <v>29.5</v>
      </c>
      <c r="O152" s="363">
        <v>6820</v>
      </c>
      <c r="P152" s="363">
        <v>4808.1000000000004</v>
      </c>
      <c r="Q152" s="121">
        <v>2023</v>
      </c>
      <c r="R152" s="121"/>
      <c r="S152" s="148">
        <v>45087</v>
      </c>
      <c r="T152" s="363">
        <f>Таблица18[[#This Row],[Вес нетто]]-Таблица18[[#This Row],[Зачетный вес]]</f>
        <v>2011.8999999999996</v>
      </c>
      <c r="U152" s="365">
        <f>Таблица18[[#This Row],[Отход]]/Таблица18[[#This Row],[Вес нетто]]</f>
        <v>0.29499999999999993</v>
      </c>
      <c r="V152" s="121">
        <f>MONTH(Таблица18[[#This Row],[Дата акта]])</f>
        <v>6</v>
      </c>
      <c r="W152" s="121">
        <v>10</v>
      </c>
      <c r="X152" s="148">
        <f>DATE(1900,Таблица18[[#This Row],[Месяц]],Таблица18[[#This Row],[Число]])</f>
        <v>162</v>
      </c>
      <c r="Y152" s="121"/>
      <c r="Z152" s="121" t="str">
        <f>Таблица18[[#This Row],[Хар-ка]]</f>
        <v>первый</v>
      </c>
      <c r="AD152" s="459"/>
      <c r="AE152" s="391"/>
    </row>
    <row r="153" spans="1:31" s="325" customFormat="1" ht="15.6" hidden="1" customHeight="1" x14ac:dyDescent="0.2">
      <c r="A153" s="360" t="s">
        <v>1983</v>
      </c>
      <c r="B153" s="360" t="s">
        <v>550</v>
      </c>
      <c r="C153" s="361">
        <v>260</v>
      </c>
      <c r="D153" s="362">
        <v>52</v>
      </c>
      <c r="E153" s="360" t="s">
        <v>78</v>
      </c>
      <c r="F153" s="360" t="s">
        <v>1794</v>
      </c>
      <c r="G153" s="360" t="s">
        <v>1795</v>
      </c>
      <c r="H153" s="360" t="s">
        <v>1924</v>
      </c>
      <c r="I153" s="360" t="e">
        <f>VLOOKUP(Таблица18[[#This Row],[Номер акта]],$AB$1:$AF$1833,3,FALSE)</f>
        <v>#N/A</v>
      </c>
      <c r="J153" s="360" t="s">
        <v>1917</v>
      </c>
      <c r="K153" s="360" t="s">
        <v>82</v>
      </c>
      <c r="L153" s="363">
        <v>27220</v>
      </c>
      <c r="M153" s="363">
        <v>13330</v>
      </c>
      <c r="N153" s="364">
        <v>9.5</v>
      </c>
      <c r="O153" s="363">
        <v>13890</v>
      </c>
      <c r="P153" s="363">
        <v>12570.4</v>
      </c>
      <c r="Q153" s="121">
        <v>2023</v>
      </c>
      <c r="R153" s="121"/>
      <c r="S153" s="148">
        <v>45087</v>
      </c>
      <c r="T153" s="363">
        <f>Таблица18[[#This Row],[Вес нетто]]-Таблица18[[#This Row],[Зачетный вес]]</f>
        <v>1319.6000000000004</v>
      </c>
      <c r="U153" s="365">
        <f>Таблица18[[#This Row],[Отход]]/Таблица18[[#This Row],[Вес нетто]]</f>
        <v>9.500359971202306E-2</v>
      </c>
      <c r="V153" s="121">
        <f>MONTH(Таблица18[[#This Row],[Дата акта]])</f>
        <v>6</v>
      </c>
      <c r="W153" s="121">
        <v>10</v>
      </c>
      <c r="X153" s="148">
        <f>DATE(1900,Таблица18[[#This Row],[Месяц]],Таблица18[[#This Row],[Число]])</f>
        <v>162</v>
      </c>
      <c r="Y153" s="121"/>
      <c r="Z153" s="121" t="str">
        <f>Таблица18[[#This Row],[Хар-ка]]</f>
        <v>первый</v>
      </c>
      <c r="AD153" s="459"/>
      <c r="AE153" s="391"/>
    </row>
    <row r="154" spans="1:31" s="325" customFormat="1" ht="15.6" hidden="1" customHeight="1" x14ac:dyDescent="0.2">
      <c r="A154" s="360" t="s">
        <v>1984</v>
      </c>
      <c r="B154" s="360" t="s">
        <v>550</v>
      </c>
      <c r="C154" s="361">
        <v>261</v>
      </c>
      <c r="D154" s="362">
        <v>53</v>
      </c>
      <c r="E154" s="360" t="s">
        <v>78</v>
      </c>
      <c r="F154" s="360" t="s">
        <v>311</v>
      </c>
      <c r="G154" s="360" t="s">
        <v>315</v>
      </c>
      <c r="H154" s="360" t="s">
        <v>1924</v>
      </c>
      <c r="I154" s="360" t="e">
        <f>VLOOKUP(Таблица18[[#This Row],[Номер акта]],$AB$1:$AF$1833,3,FALSE)</f>
        <v>#N/A</v>
      </c>
      <c r="J154" s="360" t="s">
        <v>1917</v>
      </c>
      <c r="K154" s="360" t="s">
        <v>82</v>
      </c>
      <c r="L154" s="363">
        <v>28780</v>
      </c>
      <c r="M154" s="363">
        <v>14970</v>
      </c>
      <c r="N154" s="364">
        <v>9.5</v>
      </c>
      <c r="O154" s="363">
        <v>13810</v>
      </c>
      <c r="P154" s="363">
        <v>12498</v>
      </c>
      <c r="Q154" s="121">
        <v>2023</v>
      </c>
      <c r="R154" s="121"/>
      <c r="S154" s="148">
        <v>45087</v>
      </c>
      <c r="T154" s="363">
        <f>Таблица18[[#This Row],[Вес нетто]]-Таблица18[[#This Row],[Зачетный вес]]</f>
        <v>1312</v>
      </c>
      <c r="U154" s="365">
        <f>Таблица18[[#This Row],[Отход]]/Таблица18[[#This Row],[Вес нетто]]</f>
        <v>9.5003620564808114E-2</v>
      </c>
      <c r="V154" s="121">
        <f>MONTH(Таблица18[[#This Row],[Дата акта]])</f>
        <v>6</v>
      </c>
      <c r="W154" s="121">
        <v>10</v>
      </c>
      <c r="X154" s="148">
        <f>DATE(1900,Таблица18[[#This Row],[Месяц]],Таблица18[[#This Row],[Число]])</f>
        <v>162</v>
      </c>
      <c r="Y154" s="121"/>
      <c r="Z154" s="121" t="str">
        <f>Таблица18[[#This Row],[Хар-ка]]</f>
        <v>первый</v>
      </c>
      <c r="AD154" s="459"/>
      <c r="AE154" s="391"/>
    </row>
    <row r="155" spans="1:31" s="325" customFormat="1" ht="15.6" hidden="1" customHeight="1" x14ac:dyDescent="0.2">
      <c r="A155" s="360" t="s">
        <v>1985</v>
      </c>
      <c r="B155" s="360" t="s">
        <v>550</v>
      </c>
      <c r="C155" s="361">
        <v>262</v>
      </c>
      <c r="D155" s="362">
        <v>54</v>
      </c>
      <c r="E155" s="360" t="s">
        <v>78</v>
      </c>
      <c r="F155" s="360" t="s">
        <v>133</v>
      </c>
      <c r="G155" s="360" t="s">
        <v>137</v>
      </c>
      <c r="H155" s="360" t="s">
        <v>1924</v>
      </c>
      <c r="I155" s="360" t="e">
        <f>VLOOKUP(Таблица18[[#This Row],[Номер акта]],$AB$1:$AF$1833,3,FALSE)</f>
        <v>#N/A</v>
      </c>
      <c r="J155" s="360" t="s">
        <v>1753</v>
      </c>
      <c r="K155" s="360" t="s">
        <v>82</v>
      </c>
      <c r="L155" s="363">
        <v>33860</v>
      </c>
      <c r="M155" s="363">
        <v>17410</v>
      </c>
      <c r="N155" s="364">
        <v>15.5</v>
      </c>
      <c r="O155" s="363">
        <v>16450</v>
      </c>
      <c r="P155" s="363">
        <v>13900.2</v>
      </c>
      <c r="Q155" s="121">
        <v>2023</v>
      </c>
      <c r="R155" s="121"/>
      <c r="S155" s="148">
        <v>45088</v>
      </c>
      <c r="T155" s="363">
        <f>Таблица18[[#This Row],[Вес нетто]]-Таблица18[[#This Row],[Зачетный вес]]</f>
        <v>2549.7999999999993</v>
      </c>
      <c r="U155" s="365">
        <f>Таблица18[[#This Row],[Отход]]/Таблица18[[#This Row],[Вес нетто]]</f>
        <v>0.15500303951367778</v>
      </c>
      <c r="V155" s="121">
        <f>MONTH(Таблица18[[#This Row],[Дата акта]])</f>
        <v>6</v>
      </c>
      <c r="W155" s="121">
        <v>11</v>
      </c>
      <c r="X155" s="148">
        <f>DATE(1900,Таблица18[[#This Row],[Месяц]],Таблица18[[#This Row],[Число]])</f>
        <v>163</v>
      </c>
      <c r="Y155" s="121"/>
      <c r="Z155" s="121" t="str">
        <f>Таблица18[[#This Row],[Хар-ка]]</f>
        <v>первый</v>
      </c>
      <c r="AD155" s="459"/>
      <c r="AE155" s="391"/>
    </row>
    <row r="156" spans="1:31" s="325" customFormat="1" ht="15.6" hidden="1" customHeight="1" x14ac:dyDescent="0.2">
      <c r="A156" s="360" t="s">
        <v>1986</v>
      </c>
      <c r="B156" s="360" t="s">
        <v>511</v>
      </c>
      <c r="C156" s="361">
        <v>264</v>
      </c>
      <c r="D156" s="362">
        <v>55</v>
      </c>
      <c r="E156" s="360" t="s">
        <v>78</v>
      </c>
      <c r="F156" s="360" t="s">
        <v>1935</v>
      </c>
      <c r="G156" s="360" t="s">
        <v>1813</v>
      </c>
      <c r="H156" s="360" t="s">
        <v>1924</v>
      </c>
      <c r="I156" s="360" t="e">
        <f>VLOOKUP(Таблица18[[#This Row],[Номер акта]],$AB$1:$AF$1833,3,FALSE)</f>
        <v>#N/A</v>
      </c>
      <c r="J156" s="360" t="s">
        <v>1753</v>
      </c>
      <c r="K156" s="360" t="s">
        <v>82</v>
      </c>
      <c r="L156" s="363">
        <v>28150</v>
      </c>
      <c r="M156" s="363">
        <v>14180</v>
      </c>
      <c r="N156" s="364">
        <v>15.5</v>
      </c>
      <c r="O156" s="363">
        <v>13970</v>
      </c>
      <c r="P156" s="363">
        <v>11804.6</v>
      </c>
      <c r="Q156" s="121">
        <v>2023</v>
      </c>
      <c r="R156" s="121"/>
      <c r="S156" s="148">
        <v>45088</v>
      </c>
      <c r="T156" s="363">
        <f>Таблица18[[#This Row],[Вес нетто]]-Таблица18[[#This Row],[Зачетный вес]]</f>
        <v>2165.3999999999996</v>
      </c>
      <c r="U156" s="365">
        <f>Таблица18[[#This Row],[Отход]]/Таблица18[[#This Row],[Вес нетто]]</f>
        <v>0.15500357909806725</v>
      </c>
      <c r="V156" s="121">
        <f>MONTH(Таблица18[[#This Row],[Дата акта]])</f>
        <v>6</v>
      </c>
      <c r="W156" s="121">
        <v>11</v>
      </c>
      <c r="X156" s="148">
        <f>DATE(1900,Таблица18[[#This Row],[Месяц]],Таблица18[[#This Row],[Число]])</f>
        <v>163</v>
      </c>
      <c r="Y156" s="121"/>
      <c r="Z156" s="121" t="str">
        <f>Таблица18[[#This Row],[Хар-ка]]</f>
        <v>высший</v>
      </c>
      <c r="AD156" s="459"/>
      <c r="AE156" s="391"/>
    </row>
    <row r="157" spans="1:31" s="325" customFormat="1" ht="15.6" hidden="1" customHeight="1" x14ac:dyDescent="0.2">
      <c r="A157" s="360" t="s">
        <v>1987</v>
      </c>
      <c r="B157" s="360" t="s">
        <v>511</v>
      </c>
      <c r="C157" s="361">
        <v>265</v>
      </c>
      <c r="D157" s="362">
        <v>56</v>
      </c>
      <c r="E157" s="360" t="s">
        <v>78</v>
      </c>
      <c r="F157" s="360" t="s">
        <v>311</v>
      </c>
      <c r="G157" s="360" t="s">
        <v>315</v>
      </c>
      <c r="H157" s="360" t="s">
        <v>1924</v>
      </c>
      <c r="I157" s="360" t="e">
        <f>VLOOKUP(Таблица18[[#This Row],[Номер акта]],$AB$1:$AF$1833,3,FALSE)</f>
        <v>#N/A</v>
      </c>
      <c r="J157" s="360" t="s">
        <v>1753</v>
      </c>
      <c r="K157" s="360" t="s">
        <v>82</v>
      </c>
      <c r="L157" s="363">
        <v>28900</v>
      </c>
      <c r="M157" s="363">
        <v>15010</v>
      </c>
      <c r="N157" s="364">
        <v>16.5</v>
      </c>
      <c r="O157" s="363">
        <v>13890</v>
      </c>
      <c r="P157" s="363">
        <v>11598.1</v>
      </c>
      <c r="Q157" s="121">
        <v>2023</v>
      </c>
      <c r="R157" s="121"/>
      <c r="S157" s="148">
        <v>45088</v>
      </c>
      <c r="T157" s="363">
        <f>Таблица18[[#This Row],[Вес нетто]]-Таблица18[[#This Row],[Зачетный вес]]</f>
        <v>2291.8999999999996</v>
      </c>
      <c r="U157" s="365">
        <f>Таблица18[[#This Row],[Отход]]/Таблица18[[#This Row],[Вес нетто]]</f>
        <v>0.16500359971202302</v>
      </c>
      <c r="V157" s="121">
        <f>MONTH(Таблица18[[#This Row],[Дата акта]])</f>
        <v>6</v>
      </c>
      <c r="W157" s="121">
        <v>11</v>
      </c>
      <c r="X157" s="148">
        <f>DATE(1900,Таблица18[[#This Row],[Месяц]],Таблица18[[#This Row],[Число]])</f>
        <v>163</v>
      </c>
      <c r="Y157" s="121"/>
      <c r="Z157" s="121" t="str">
        <f>Таблица18[[#This Row],[Хар-ка]]</f>
        <v>высший</v>
      </c>
      <c r="AD157" s="459"/>
      <c r="AE157" s="391"/>
    </row>
    <row r="158" spans="1:31" s="325" customFormat="1" ht="15.6" hidden="1" customHeight="1" x14ac:dyDescent="0.2">
      <c r="A158" s="360" t="s">
        <v>1988</v>
      </c>
      <c r="B158" s="360" t="s">
        <v>511</v>
      </c>
      <c r="C158" s="361">
        <v>266</v>
      </c>
      <c r="D158" s="362">
        <v>57</v>
      </c>
      <c r="E158" s="360" t="s">
        <v>78</v>
      </c>
      <c r="F158" s="360" t="s">
        <v>1794</v>
      </c>
      <c r="G158" s="360" t="s">
        <v>1795</v>
      </c>
      <c r="H158" s="360" t="s">
        <v>1924</v>
      </c>
      <c r="I158" s="360" t="e">
        <f>VLOOKUP(Таблица18[[#This Row],[Номер акта]],$AB$1:$AF$1833,3,FALSE)</f>
        <v>#N/A</v>
      </c>
      <c r="J158" s="360" t="s">
        <v>1753</v>
      </c>
      <c r="K158" s="360" t="s">
        <v>82</v>
      </c>
      <c r="L158" s="363">
        <v>27010</v>
      </c>
      <c r="M158" s="363">
        <v>13320</v>
      </c>
      <c r="N158" s="364">
        <v>15.5</v>
      </c>
      <c r="O158" s="363">
        <v>13690</v>
      </c>
      <c r="P158" s="363">
        <v>11568</v>
      </c>
      <c r="Q158" s="121">
        <v>2023</v>
      </c>
      <c r="R158" s="121"/>
      <c r="S158" s="148">
        <v>45088</v>
      </c>
      <c r="T158" s="363">
        <f>Таблица18[[#This Row],[Вес нетто]]-Таблица18[[#This Row],[Зачетный вес]]</f>
        <v>2122</v>
      </c>
      <c r="U158" s="365">
        <f>Таблица18[[#This Row],[Отход]]/Таблица18[[#This Row],[Вес нетто]]</f>
        <v>0.15500365230094959</v>
      </c>
      <c r="V158" s="121">
        <f>MONTH(Таблица18[[#This Row],[Дата акта]])</f>
        <v>6</v>
      </c>
      <c r="W158" s="121">
        <v>11</v>
      </c>
      <c r="X158" s="148">
        <f>DATE(1900,Таблица18[[#This Row],[Месяц]],Таблица18[[#This Row],[Число]])</f>
        <v>163</v>
      </c>
      <c r="Y158" s="121"/>
      <c r="Z158" s="121" t="str">
        <f>Таблица18[[#This Row],[Хар-ка]]</f>
        <v>высший</v>
      </c>
      <c r="AD158" s="459"/>
      <c r="AE158" s="391"/>
    </row>
    <row r="159" spans="1:31" s="325" customFormat="1" ht="15.6" hidden="1" customHeight="1" x14ac:dyDescent="0.2">
      <c r="A159" s="360" t="s">
        <v>1989</v>
      </c>
      <c r="B159" s="360" t="s">
        <v>511</v>
      </c>
      <c r="C159" s="361">
        <v>268</v>
      </c>
      <c r="D159" s="362">
        <v>58</v>
      </c>
      <c r="E159" s="360" t="s">
        <v>78</v>
      </c>
      <c r="F159" s="360" t="s">
        <v>133</v>
      </c>
      <c r="G159" s="360" t="s">
        <v>137</v>
      </c>
      <c r="H159" s="360" t="s">
        <v>1924</v>
      </c>
      <c r="I159" s="360" t="e">
        <f>VLOOKUP(Таблица18[[#This Row],[Номер акта]],$AB$1:$AF$1833,3,FALSE)</f>
        <v>#N/A</v>
      </c>
      <c r="J159" s="360" t="s">
        <v>1753</v>
      </c>
      <c r="K159" s="360" t="s">
        <v>82</v>
      </c>
      <c r="L159" s="363">
        <v>33400</v>
      </c>
      <c r="M159" s="363">
        <v>17400</v>
      </c>
      <c r="N159" s="364">
        <v>16.5</v>
      </c>
      <c r="O159" s="363">
        <v>16000</v>
      </c>
      <c r="P159" s="363">
        <v>13360</v>
      </c>
      <c r="Q159" s="121">
        <v>2023</v>
      </c>
      <c r="R159" s="121"/>
      <c r="S159" s="148">
        <v>45088</v>
      </c>
      <c r="T159" s="363">
        <f>Таблица18[[#This Row],[Вес нетто]]-Таблица18[[#This Row],[Зачетный вес]]</f>
        <v>2640</v>
      </c>
      <c r="U159" s="365">
        <f>Таблица18[[#This Row],[Отход]]/Таблица18[[#This Row],[Вес нетто]]</f>
        <v>0.16500000000000001</v>
      </c>
      <c r="V159" s="121">
        <f>MONTH(Таблица18[[#This Row],[Дата акта]])</f>
        <v>6</v>
      </c>
      <c r="W159" s="121">
        <v>11</v>
      </c>
      <c r="X159" s="148">
        <f>DATE(1900,Таблица18[[#This Row],[Месяц]],Таблица18[[#This Row],[Число]])</f>
        <v>163</v>
      </c>
      <c r="Y159" s="121"/>
      <c r="Z159" s="121" t="str">
        <f>Таблица18[[#This Row],[Хар-ка]]</f>
        <v>высший</v>
      </c>
      <c r="AD159" s="459"/>
      <c r="AE159" s="391"/>
    </row>
    <row r="160" spans="1:31" s="325" customFormat="1" ht="15.6" hidden="1" customHeight="1" x14ac:dyDescent="0.2">
      <c r="A160" s="360" t="s">
        <v>1990</v>
      </c>
      <c r="B160" s="360" t="s">
        <v>511</v>
      </c>
      <c r="C160" s="361">
        <v>269</v>
      </c>
      <c r="D160" s="362">
        <v>59</v>
      </c>
      <c r="E160" s="360" t="s">
        <v>78</v>
      </c>
      <c r="F160" s="360" t="s">
        <v>1935</v>
      </c>
      <c r="G160" s="360" t="s">
        <v>1813</v>
      </c>
      <c r="H160" s="360" t="s">
        <v>1924</v>
      </c>
      <c r="I160" s="360" t="e">
        <f>VLOOKUP(Таблица18[[#This Row],[Номер акта]],$AB$1:$AF$1833,3,FALSE)</f>
        <v>#N/A</v>
      </c>
      <c r="J160" s="360" t="s">
        <v>1753</v>
      </c>
      <c r="K160" s="360" t="s">
        <v>82</v>
      </c>
      <c r="L160" s="363">
        <v>28020</v>
      </c>
      <c r="M160" s="363">
        <v>14170</v>
      </c>
      <c r="N160" s="364">
        <v>16.5</v>
      </c>
      <c r="O160" s="363">
        <v>13850</v>
      </c>
      <c r="P160" s="363">
        <v>11564.7</v>
      </c>
      <c r="Q160" s="121">
        <v>2023</v>
      </c>
      <c r="R160" s="121"/>
      <c r="S160" s="148">
        <v>45088</v>
      </c>
      <c r="T160" s="363">
        <f>Таблица18[[#This Row],[Вес нетто]]-Таблица18[[#This Row],[Зачетный вес]]</f>
        <v>2285.2999999999993</v>
      </c>
      <c r="U160" s="365">
        <f>Таблица18[[#This Row],[Отход]]/Таблица18[[#This Row],[Вес нетто]]</f>
        <v>0.16500361010830319</v>
      </c>
      <c r="V160" s="121">
        <f>MONTH(Таблица18[[#This Row],[Дата акта]])</f>
        <v>6</v>
      </c>
      <c r="W160" s="121">
        <v>11</v>
      </c>
      <c r="X160" s="148">
        <f>DATE(1900,Таблица18[[#This Row],[Месяц]],Таблица18[[#This Row],[Число]])</f>
        <v>163</v>
      </c>
      <c r="Y160" s="121"/>
      <c r="Z160" s="121" t="str">
        <f>Таблица18[[#This Row],[Хар-ка]]</f>
        <v>высший</v>
      </c>
      <c r="AD160" s="459"/>
      <c r="AE160" s="391"/>
    </row>
    <row r="161" spans="1:31" s="325" customFormat="1" ht="15.6" hidden="1" customHeight="1" x14ac:dyDescent="0.2">
      <c r="A161" s="360" t="s">
        <v>1991</v>
      </c>
      <c r="B161" s="360" t="s">
        <v>511</v>
      </c>
      <c r="C161" s="361">
        <v>272</v>
      </c>
      <c r="D161" s="362">
        <v>60</v>
      </c>
      <c r="E161" s="360" t="s">
        <v>78</v>
      </c>
      <c r="F161" s="360" t="s">
        <v>1794</v>
      </c>
      <c r="G161" s="360" t="s">
        <v>1795</v>
      </c>
      <c r="H161" s="360" t="s">
        <v>1924</v>
      </c>
      <c r="I161" s="360" t="e">
        <f>VLOOKUP(Таблица18[[#This Row],[Номер акта]],$AB$1:$AF$1833,3,FALSE)</f>
        <v>#N/A</v>
      </c>
      <c r="J161" s="360" t="s">
        <v>1753</v>
      </c>
      <c r="K161" s="360" t="s">
        <v>82</v>
      </c>
      <c r="L161" s="363">
        <v>26960</v>
      </c>
      <c r="M161" s="363">
        <v>13300</v>
      </c>
      <c r="N161" s="364">
        <v>16.5</v>
      </c>
      <c r="O161" s="363">
        <v>13660</v>
      </c>
      <c r="P161" s="363">
        <v>11406.1</v>
      </c>
      <c r="Q161" s="121">
        <v>2023</v>
      </c>
      <c r="R161" s="121"/>
      <c r="S161" s="148">
        <v>45088</v>
      </c>
      <c r="T161" s="363">
        <f>Таблица18[[#This Row],[Вес нетто]]-Таблица18[[#This Row],[Зачетный вес]]</f>
        <v>2253.8999999999996</v>
      </c>
      <c r="U161" s="365">
        <f>Таблица18[[#This Row],[Отход]]/Таблица18[[#This Row],[Вес нетто]]</f>
        <v>0.16499999999999998</v>
      </c>
      <c r="V161" s="121">
        <f>MONTH(Таблица18[[#This Row],[Дата акта]])</f>
        <v>6</v>
      </c>
      <c r="W161" s="121">
        <v>11</v>
      </c>
      <c r="X161" s="148">
        <f>DATE(1900,Таблица18[[#This Row],[Месяц]],Таблица18[[#This Row],[Число]])</f>
        <v>163</v>
      </c>
      <c r="Y161" s="121"/>
      <c r="Z161" s="121" t="str">
        <f>Таблица18[[#This Row],[Хар-ка]]</f>
        <v>высший</v>
      </c>
      <c r="AD161" s="459"/>
      <c r="AE161" s="391"/>
    </row>
    <row r="162" spans="1:31" s="325" customFormat="1" ht="15.6" hidden="1" customHeight="1" x14ac:dyDescent="0.2">
      <c r="A162" s="360" t="s">
        <v>1992</v>
      </c>
      <c r="B162" s="360" t="s">
        <v>511</v>
      </c>
      <c r="C162" s="361">
        <v>273</v>
      </c>
      <c r="D162" s="362">
        <v>61</v>
      </c>
      <c r="E162" s="360" t="s">
        <v>78</v>
      </c>
      <c r="F162" s="360" t="s">
        <v>311</v>
      </c>
      <c r="G162" s="360" t="s">
        <v>315</v>
      </c>
      <c r="H162" s="360" t="s">
        <v>1924</v>
      </c>
      <c r="I162" s="360" t="e">
        <f>VLOOKUP(Таблица18[[#This Row],[Номер акта]],$AB$1:$AF$1833,3,FALSE)</f>
        <v>#N/A</v>
      </c>
      <c r="J162" s="360" t="s">
        <v>1753</v>
      </c>
      <c r="K162" s="360" t="s">
        <v>82</v>
      </c>
      <c r="L162" s="363">
        <v>28570</v>
      </c>
      <c r="M162" s="363">
        <v>14990</v>
      </c>
      <c r="N162" s="364">
        <v>17.5</v>
      </c>
      <c r="O162" s="363">
        <v>13580</v>
      </c>
      <c r="P162" s="363">
        <v>11203.5</v>
      </c>
      <c r="Q162" s="121">
        <v>2023</v>
      </c>
      <c r="R162" s="121"/>
      <c r="S162" s="148">
        <v>45088</v>
      </c>
      <c r="T162" s="363">
        <f>Таблица18[[#This Row],[Вес нетто]]-Таблица18[[#This Row],[Зачетный вес]]</f>
        <v>2376.5</v>
      </c>
      <c r="U162" s="365">
        <f>Таблица18[[#This Row],[Отход]]/Таблица18[[#This Row],[Вес нетто]]</f>
        <v>0.17499999999999999</v>
      </c>
      <c r="V162" s="121">
        <f>MONTH(Таблица18[[#This Row],[Дата акта]])</f>
        <v>6</v>
      </c>
      <c r="W162" s="121">
        <v>11</v>
      </c>
      <c r="X162" s="148">
        <f>DATE(1900,Таблица18[[#This Row],[Месяц]],Таблица18[[#This Row],[Число]])</f>
        <v>163</v>
      </c>
      <c r="Y162" s="121"/>
      <c r="Z162" s="121" t="str">
        <f>Таблица18[[#This Row],[Хар-ка]]</f>
        <v>высший</v>
      </c>
      <c r="AD162" s="459"/>
      <c r="AE162" s="391"/>
    </row>
    <row r="163" spans="1:31" s="325" customFormat="1" ht="15.6" hidden="1" customHeight="1" x14ac:dyDescent="0.2">
      <c r="A163" s="360" t="s">
        <v>1993</v>
      </c>
      <c r="B163" s="360" t="s">
        <v>511</v>
      </c>
      <c r="C163" s="361">
        <v>274</v>
      </c>
      <c r="D163" s="362">
        <v>62</v>
      </c>
      <c r="E163" s="360" t="s">
        <v>78</v>
      </c>
      <c r="F163" s="360" t="s">
        <v>133</v>
      </c>
      <c r="G163" s="360" t="s">
        <v>137</v>
      </c>
      <c r="H163" s="360" t="s">
        <v>1924</v>
      </c>
      <c r="I163" s="360" t="e">
        <f>VLOOKUP(Таблица18[[#This Row],[Номер акта]],$AB$1:$AF$1833,3,FALSE)</f>
        <v>#N/A</v>
      </c>
      <c r="J163" s="360" t="s">
        <v>1753</v>
      </c>
      <c r="K163" s="360" t="s">
        <v>82</v>
      </c>
      <c r="L163" s="363">
        <v>33410</v>
      </c>
      <c r="M163" s="363">
        <v>17390</v>
      </c>
      <c r="N163" s="364">
        <v>15.5</v>
      </c>
      <c r="O163" s="363">
        <v>16020</v>
      </c>
      <c r="P163" s="363">
        <v>13536.9</v>
      </c>
      <c r="Q163" s="121">
        <v>2023</v>
      </c>
      <c r="R163" s="121"/>
      <c r="S163" s="148">
        <v>45088</v>
      </c>
      <c r="T163" s="363">
        <f>Таблица18[[#This Row],[Вес нетто]]-Таблица18[[#This Row],[Зачетный вес]]</f>
        <v>2483.1000000000004</v>
      </c>
      <c r="U163" s="365">
        <f>Таблица18[[#This Row],[Отход]]/Таблица18[[#This Row],[Вес нетто]]</f>
        <v>0.15500000000000003</v>
      </c>
      <c r="V163" s="121">
        <f>MONTH(Таблица18[[#This Row],[Дата акта]])</f>
        <v>6</v>
      </c>
      <c r="W163" s="121">
        <v>11</v>
      </c>
      <c r="X163" s="148">
        <f>DATE(1900,Таблица18[[#This Row],[Месяц]],Таблица18[[#This Row],[Число]])</f>
        <v>163</v>
      </c>
      <c r="Y163" s="121"/>
      <c r="Z163" s="121" t="str">
        <f>Таблица18[[#This Row],[Хар-ка]]</f>
        <v>высший</v>
      </c>
      <c r="AD163" s="459"/>
      <c r="AE163" s="391"/>
    </row>
    <row r="164" spans="1:31" s="325" customFormat="1" ht="15.6" hidden="1" customHeight="1" x14ac:dyDescent="0.2">
      <c r="A164" s="360" t="s">
        <v>1994</v>
      </c>
      <c r="B164" s="360" t="s">
        <v>550</v>
      </c>
      <c r="C164" s="361">
        <v>275</v>
      </c>
      <c r="D164" s="362">
        <v>63</v>
      </c>
      <c r="E164" s="360" t="s">
        <v>78</v>
      </c>
      <c r="F164" s="360" t="s">
        <v>1804</v>
      </c>
      <c r="G164" s="360" t="s">
        <v>536</v>
      </c>
      <c r="H164" s="360" t="s">
        <v>1924</v>
      </c>
      <c r="I164" s="360" t="e">
        <f>VLOOKUP(Таблица18[[#This Row],[Номер акта]],$AB$1:$AF$1833,3,FALSE)</f>
        <v>#N/A</v>
      </c>
      <c r="J164" s="360" t="s">
        <v>1753</v>
      </c>
      <c r="K164" s="360" t="s">
        <v>82</v>
      </c>
      <c r="L164" s="363">
        <v>27960</v>
      </c>
      <c r="M164" s="363">
        <v>14560</v>
      </c>
      <c r="N164" s="364">
        <v>15.5</v>
      </c>
      <c r="O164" s="363">
        <v>13400</v>
      </c>
      <c r="P164" s="363">
        <v>11323</v>
      </c>
      <c r="Q164" s="121">
        <v>2023</v>
      </c>
      <c r="R164" s="121"/>
      <c r="S164" s="148">
        <v>45088</v>
      </c>
      <c r="T164" s="363">
        <f>Таблица18[[#This Row],[Вес нетто]]-Таблица18[[#This Row],[Зачетный вес]]</f>
        <v>2077</v>
      </c>
      <c r="U164" s="365">
        <f>Таблица18[[#This Row],[Отход]]/Таблица18[[#This Row],[Вес нетто]]</f>
        <v>0.155</v>
      </c>
      <c r="V164" s="121">
        <f>MONTH(Таблица18[[#This Row],[Дата акта]])</f>
        <v>6</v>
      </c>
      <c r="W164" s="121">
        <v>11</v>
      </c>
      <c r="X164" s="148">
        <f>DATE(1900,Таблица18[[#This Row],[Месяц]],Таблица18[[#This Row],[Число]])</f>
        <v>163</v>
      </c>
      <c r="Y164" s="121"/>
      <c r="Z164" s="121" t="str">
        <f>Таблица18[[#This Row],[Хар-ка]]</f>
        <v>первый</v>
      </c>
      <c r="AD164" s="459"/>
      <c r="AE164" s="391"/>
    </row>
    <row r="165" spans="1:31" s="325" customFormat="1" ht="15.6" hidden="1" customHeight="1" x14ac:dyDescent="0.2">
      <c r="A165" s="360" t="s">
        <v>1995</v>
      </c>
      <c r="B165" s="360" t="s">
        <v>550</v>
      </c>
      <c r="C165" s="361">
        <v>276</v>
      </c>
      <c r="D165" s="362">
        <v>64</v>
      </c>
      <c r="E165" s="360" t="s">
        <v>78</v>
      </c>
      <c r="F165" s="360" t="s">
        <v>1792</v>
      </c>
      <c r="G165" s="360" t="s">
        <v>80</v>
      </c>
      <c r="H165" s="360" t="s">
        <v>1924</v>
      </c>
      <c r="I165" s="360" t="e">
        <f>VLOOKUP(Таблица18[[#This Row],[Номер акта]],$AB$1:$AF$1833,3,FALSE)</f>
        <v>#N/A</v>
      </c>
      <c r="J165" s="360" t="s">
        <v>1753</v>
      </c>
      <c r="K165" s="360" t="s">
        <v>82</v>
      </c>
      <c r="L165" s="363">
        <v>27880</v>
      </c>
      <c r="M165" s="363">
        <v>14240</v>
      </c>
      <c r="N165" s="364">
        <v>14.5</v>
      </c>
      <c r="O165" s="363">
        <v>13640</v>
      </c>
      <c r="P165" s="363">
        <v>11662.2</v>
      </c>
      <c r="Q165" s="121">
        <v>2023</v>
      </c>
      <c r="R165" s="121"/>
      <c r="S165" s="148">
        <v>45088</v>
      </c>
      <c r="T165" s="363">
        <f>Таблица18[[#This Row],[Вес нетто]]-Таблица18[[#This Row],[Зачетный вес]]</f>
        <v>1977.7999999999993</v>
      </c>
      <c r="U165" s="365">
        <f>Таблица18[[#This Row],[Отход]]/Таблица18[[#This Row],[Вес нетто]]</f>
        <v>0.14499999999999993</v>
      </c>
      <c r="V165" s="121">
        <f>MONTH(Таблица18[[#This Row],[Дата акта]])</f>
        <v>6</v>
      </c>
      <c r="W165" s="121">
        <v>11</v>
      </c>
      <c r="X165" s="148">
        <f>DATE(1900,Таблица18[[#This Row],[Месяц]],Таблица18[[#This Row],[Число]])</f>
        <v>163</v>
      </c>
      <c r="Y165" s="121"/>
      <c r="Z165" s="121" t="str">
        <f>Таблица18[[#This Row],[Хар-ка]]</f>
        <v>первый</v>
      </c>
      <c r="AD165" s="459"/>
      <c r="AE165" s="391"/>
    </row>
    <row r="166" spans="1:31" s="325" customFormat="1" ht="15.6" hidden="1" customHeight="1" x14ac:dyDescent="0.2">
      <c r="A166" s="360" t="s">
        <v>1996</v>
      </c>
      <c r="B166" s="360" t="s">
        <v>511</v>
      </c>
      <c r="C166" s="361">
        <v>277</v>
      </c>
      <c r="D166" s="362">
        <v>65</v>
      </c>
      <c r="E166" s="360" t="s">
        <v>78</v>
      </c>
      <c r="F166" s="360" t="s">
        <v>1906</v>
      </c>
      <c r="G166" s="360" t="s">
        <v>1907</v>
      </c>
      <c r="H166" s="360" t="s">
        <v>1924</v>
      </c>
      <c r="I166" s="360" t="e">
        <f>VLOOKUP(Таблица18[[#This Row],[Номер акта]],$AB$1:$AF$1833,3,FALSE)</f>
        <v>#N/A</v>
      </c>
      <c r="J166" s="360" t="s">
        <v>1753</v>
      </c>
      <c r="K166" s="360" t="s">
        <v>82</v>
      </c>
      <c r="L166" s="363">
        <v>28500</v>
      </c>
      <c r="M166" s="363">
        <v>15030</v>
      </c>
      <c r="N166" s="364">
        <v>18.5</v>
      </c>
      <c r="O166" s="363">
        <v>13470</v>
      </c>
      <c r="P166" s="363">
        <v>10978</v>
      </c>
      <c r="Q166" s="121">
        <v>2023</v>
      </c>
      <c r="R166" s="121"/>
      <c r="S166" s="148">
        <v>45088</v>
      </c>
      <c r="T166" s="363">
        <f>Таблица18[[#This Row],[Вес нетто]]-Таблица18[[#This Row],[Зачетный вес]]</f>
        <v>2492</v>
      </c>
      <c r="U166" s="365">
        <f>Таблица18[[#This Row],[Отход]]/Таблица18[[#This Row],[Вес нетто]]</f>
        <v>0.18500371195248702</v>
      </c>
      <c r="V166" s="121">
        <f>MONTH(Таблица18[[#This Row],[Дата акта]])</f>
        <v>6</v>
      </c>
      <c r="W166" s="121">
        <v>11</v>
      </c>
      <c r="X166" s="148">
        <f>DATE(1900,Таблица18[[#This Row],[Месяц]],Таблица18[[#This Row],[Число]])</f>
        <v>163</v>
      </c>
      <c r="Y166" s="121"/>
      <c r="Z166" s="121" t="str">
        <f>Таблица18[[#This Row],[Хар-ка]]</f>
        <v>высший</v>
      </c>
      <c r="AD166" s="459"/>
      <c r="AE166" s="391"/>
    </row>
    <row r="167" spans="1:31" s="325" customFormat="1" ht="15.6" hidden="1" customHeight="1" x14ac:dyDescent="0.2">
      <c r="A167" s="360" t="s">
        <v>1997</v>
      </c>
      <c r="B167" s="360" t="s">
        <v>550</v>
      </c>
      <c r="C167" s="361">
        <v>278</v>
      </c>
      <c r="D167" s="362">
        <v>66</v>
      </c>
      <c r="E167" s="360" t="s">
        <v>78</v>
      </c>
      <c r="F167" s="360" t="s">
        <v>212</v>
      </c>
      <c r="G167" s="360" t="s">
        <v>216</v>
      </c>
      <c r="H167" s="360" t="s">
        <v>1924</v>
      </c>
      <c r="I167" s="360" t="e">
        <f>VLOOKUP(Таблица18[[#This Row],[Номер акта]],$AB$1:$AF$1833,3,FALSE)</f>
        <v>#N/A</v>
      </c>
      <c r="J167" s="360" t="s">
        <v>1753</v>
      </c>
      <c r="K167" s="360" t="s">
        <v>82</v>
      </c>
      <c r="L167" s="363">
        <v>27520</v>
      </c>
      <c r="M167" s="363">
        <v>13920</v>
      </c>
      <c r="N167" s="364">
        <v>14.5</v>
      </c>
      <c r="O167" s="363">
        <v>13600</v>
      </c>
      <c r="P167" s="363">
        <v>11628</v>
      </c>
      <c r="Q167" s="121">
        <v>2023</v>
      </c>
      <c r="R167" s="121"/>
      <c r="S167" s="148">
        <v>45088</v>
      </c>
      <c r="T167" s="363">
        <f>Таблица18[[#This Row],[Вес нетто]]-Таблица18[[#This Row],[Зачетный вес]]</f>
        <v>1972</v>
      </c>
      <c r="U167" s="365">
        <f>Таблица18[[#This Row],[Отход]]/Таблица18[[#This Row],[Вес нетто]]</f>
        <v>0.14499999999999999</v>
      </c>
      <c r="V167" s="121">
        <f>MONTH(Таблица18[[#This Row],[Дата акта]])</f>
        <v>6</v>
      </c>
      <c r="W167" s="121">
        <v>11</v>
      </c>
      <c r="X167" s="148">
        <f>DATE(1900,Таблица18[[#This Row],[Месяц]],Таблица18[[#This Row],[Число]])</f>
        <v>163</v>
      </c>
      <c r="Y167" s="121"/>
      <c r="Z167" s="121" t="str">
        <f>Таблица18[[#This Row],[Хар-ка]]</f>
        <v>первый</v>
      </c>
      <c r="AD167" s="459"/>
      <c r="AE167" s="391"/>
    </row>
    <row r="168" spans="1:31" s="325" customFormat="1" ht="15.6" hidden="1" customHeight="1" x14ac:dyDescent="0.2">
      <c r="A168" s="360" t="s">
        <v>1998</v>
      </c>
      <c r="B168" s="360" t="s">
        <v>550</v>
      </c>
      <c r="C168" s="361">
        <v>279</v>
      </c>
      <c r="D168" s="362">
        <v>67</v>
      </c>
      <c r="E168" s="360" t="s">
        <v>78</v>
      </c>
      <c r="F168" s="360" t="s">
        <v>1804</v>
      </c>
      <c r="G168" s="360" t="s">
        <v>536</v>
      </c>
      <c r="H168" s="360" t="s">
        <v>1924</v>
      </c>
      <c r="I168" s="360" t="e">
        <f>VLOOKUP(Таблица18[[#This Row],[Номер акта]],$AB$1:$AF$1833,3,FALSE)</f>
        <v>#N/A</v>
      </c>
      <c r="J168" s="360" t="s">
        <v>1753</v>
      </c>
      <c r="K168" s="360" t="s">
        <v>82</v>
      </c>
      <c r="L168" s="363">
        <v>28170</v>
      </c>
      <c r="M168" s="363">
        <v>14550</v>
      </c>
      <c r="N168" s="364">
        <v>12.5</v>
      </c>
      <c r="O168" s="363">
        <v>13620</v>
      </c>
      <c r="P168" s="363">
        <v>11917.5</v>
      </c>
      <c r="Q168" s="121">
        <v>2023</v>
      </c>
      <c r="R168" s="121"/>
      <c r="S168" s="148">
        <v>45088</v>
      </c>
      <c r="T168" s="363">
        <f>Таблица18[[#This Row],[Вес нетто]]-Таблица18[[#This Row],[Зачетный вес]]</f>
        <v>1702.5</v>
      </c>
      <c r="U168" s="365">
        <f>Таблица18[[#This Row],[Отход]]/Таблица18[[#This Row],[Вес нетто]]</f>
        <v>0.125</v>
      </c>
      <c r="V168" s="121">
        <f>MONTH(Таблица18[[#This Row],[Дата акта]])</f>
        <v>6</v>
      </c>
      <c r="W168" s="121">
        <v>11</v>
      </c>
      <c r="X168" s="148">
        <f>DATE(1900,Таблица18[[#This Row],[Месяц]],Таблица18[[#This Row],[Число]])</f>
        <v>163</v>
      </c>
      <c r="Y168" s="121"/>
      <c r="Z168" s="121" t="str">
        <f>Таблица18[[#This Row],[Хар-ка]]</f>
        <v>первый</v>
      </c>
      <c r="AD168" s="459"/>
      <c r="AE168" s="391"/>
    </row>
    <row r="169" spans="1:31" s="325" customFormat="1" ht="15.6" hidden="1" customHeight="1" x14ac:dyDescent="0.2">
      <c r="A169" s="360" t="s">
        <v>1999</v>
      </c>
      <c r="B169" s="360" t="s">
        <v>550</v>
      </c>
      <c r="C169" s="361">
        <v>280</v>
      </c>
      <c r="D169" s="362">
        <v>68</v>
      </c>
      <c r="E169" s="360" t="s">
        <v>78</v>
      </c>
      <c r="F169" s="360" t="s">
        <v>1792</v>
      </c>
      <c r="G169" s="360" t="s">
        <v>80</v>
      </c>
      <c r="H169" s="360" t="s">
        <v>1924</v>
      </c>
      <c r="I169" s="360" t="e">
        <f>VLOOKUP(Таблица18[[#This Row],[Номер акта]],$AB$1:$AF$1833,3,FALSE)</f>
        <v>#N/A</v>
      </c>
      <c r="J169" s="360" t="s">
        <v>1753</v>
      </c>
      <c r="K169" s="360" t="s">
        <v>82</v>
      </c>
      <c r="L169" s="363">
        <v>27880</v>
      </c>
      <c r="M169" s="363">
        <v>14220</v>
      </c>
      <c r="N169" s="364">
        <v>14.5</v>
      </c>
      <c r="O169" s="363">
        <v>13660</v>
      </c>
      <c r="P169" s="363">
        <v>11679.3</v>
      </c>
      <c r="Q169" s="121">
        <v>2023</v>
      </c>
      <c r="R169" s="121"/>
      <c r="S169" s="148">
        <v>45088</v>
      </c>
      <c r="T169" s="363">
        <f>Таблица18[[#This Row],[Вес нетто]]-Таблица18[[#This Row],[Зачетный вес]]</f>
        <v>1980.7000000000007</v>
      </c>
      <c r="U169" s="365">
        <f>Таблица18[[#This Row],[Отход]]/Таблица18[[#This Row],[Вес нетто]]</f>
        <v>0.14500000000000005</v>
      </c>
      <c r="V169" s="121">
        <f>MONTH(Таблица18[[#This Row],[Дата акта]])</f>
        <v>6</v>
      </c>
      <c r="W169" s="121">
        <v>11</v>
      </c>
      <c r="X169" s="148">
        <f>DATE(1900,Таблица18[[#This Row],[Месяц]],Таблица18[[#This Row],[Число]])</f>
        <v>163</v>
      </c>
      <c r="Y169" s="121"/>
      <c r="Z169" s="121" t="str">
        <f>Таблица18[[#This Row],[Хар-ка]]</f>
        <v>первый</v>
      </c>
      <c r="AD169" s="459"/>
      <c r="AE169" s="391"/>
    </row>
    <row r="170" spans="1:31" s="325" customFormat="1" ht="15.6" hidden="1" customHeight="1" x14ac:dyDescent="0.2">
      <c r="A170" s="360" t="s">
        <v>2000</v>
      </c>
      <c r="B170" s="360" t="s">
        <v>550</v>
      </c>
      <c r="C170" s="361">
        <v>281</v>
      </c>
      <c r="D170" s="362">
        <v>69</v>
      </c>
      <c r="E170" s="360" t="s">
        <v>78</v>
      </c>
      <c r="F170" s="360" t="s">
        <v>1906</v>
      </c>
      <c r="G170" s="360" t="s">
        <v>1907</v>
      </c>
      <c r="H170" s="360" t="s">
        <v>1924</v>
      </c>
      <c r="I170" s="360" t="e">
        <f>VLOOKUP(Таблица18[[#This Row],[Номер акта]],$AB$1:$AF$1833,3,FALSE)</f>
        <v>#N/A</v>
      </c>
      <c r="J170" s="360" t="s">
        <v>1753</v>
      </c>
      <c r="K170" s="360" t="s">
        <v>82</v>
      </c>
      <c r="L170" s="363">
        <v>28700</v>
      </c>
      <c r="M170" s="363">
        <v>15010</v>
      </c>
      <c r="N170" s="364">
        <v>10.5</v>
      </c>
      <c r="O170" s="363">
        <v>13690</v>
      </c>
      <c r="P170" s="363">
        <v>12252.5</v>
      </c>
      <c r="Q170" s="121">
        <v>2023</v>
      </c>
      <c r="R170" s="121"/>
      <c r="S170" s="148">
        <v>45088</v>
      </c>
      <c r="T170" s="363">
        <f>Таблица18[[#This Row],[Вес нетто]]-Таблица18[[#This Row],[Зачетный вес]]</f>
        <v>1437.5</v>
      </c>
      <c r="U170" s="365">
        <f>Таблица18[[#This Row],[Отход]]/Таблица18[[#This Row],[Вес нетто]]</f>
        <v>0.1050036523009496</v>
      </c>
      <c r="V170" s="121">
        <f>MONTH(Таблица18[[#This Row],[Дата акта]])</f>
        <v>6</v>
      </c>
      <c r="W170" s="121">
        <v>11</v>
      </c>
      <c r="X170" s="148">
        <f>DATE(1900,Таблица18[[#This Row],[Месяц]],Таблица18[[#This Row],[Число]])</f>
        <v>163</v>
      </c>
      <c r="Y170" s="121"/>
      <c r="Z170" s="121" t="str">
        <f>Таблица18[[#This Row],[Хар-ка]]</f>
        <v>первый</v>
      </c>
      <c r="AD170" s="459"/>
      <c r="AE170" s="391"/>
    </row>
    <row r="171" spans="1:31" s="325" customFormat="1" ht="15.6" hidden="1" customHeight="1" x14ac:dyDescent="0.2">
      <c r="A171" s="360" t="s">
        <v>2001</v>
      </c>
      <c r="B171" s="360" t="s">
        <v>511</v>
      </c>
      <c r="C171" s="361">
        <v>283</v>
      </c>
      <c r="D171" s="362">
        <v>71</v>
      </c>
      <c r="E171" s="360" t="s">
        <v>78</v>
      </c>
      <c r="F171" s="360" t="s">
        <v>212</v>
      </c>
      <c r="G171" s="360" t="s">
        <v>216</v>
      </c>
      <c r="H171" s="360" t="s">
        <v>1924</v>
      </c>
      <c r="I171" s="360" t="e">
        <f>VLOOKUP(Таблица18[[#This Row],[Номер акта]],$AB$1:$AF$1833,3,FALSE)</f>
        <v>#N/A</v>
      </c>
      <c r="J171" s="360" t="s">
        <v>747</v>
      </c>
      <c r="K171" s="360" t="s">
        <v>82</v>
      </c>
      <c r="L171" s="363">
        <v>27950</v>
      </c>
      <c r="M171" s="363">
        <v>13930</v>
      </c>
      <c r="N171" s="364">
        <v>22.5</v>
      </c>
      <c r="O171" s="363">
        <v>14020</v>
      </c>
      <c r="P171" s="363">
        <v>10865.5</v>
      </c>
      <c r="Q171" s="121">
        <v>2023</v>
      </c>
      <c r="R171" s="121"/>
      <c r="S171" s="148">
        <v>45088</v>
      </c>
      <c r="T171" s="363">
        <f>Таблица18[[#This Row],[Вес нетто]]-Таблица18[[#This Row],[Зачетный вес]]</f>
        <v>3154.5</v>
      </c>
      <c r="U171" s="365">
        <f>Таблица18[[#This Row],[Отход]]/Таблица18[[#This Row],[Вес нетто]]</f>
        <v>0.22500000000000001</v>
      </c>
      <c r="V171" s="121">
        <f>MONTH(Таблица18[[#This Row],[Дата акта]])</f>
        <v>6</v>
      </c>
      <c r="W171" s="121">
        <v>11</v>
      </c>
      <c r="X171" s="148">
        <f>DATE(1900,Таблица18[[#This Row],[Месяц]],Таблица18[[#This Row],[Число]])</f>
        <v>163</v>
      </c>
      <c r="Y171" s="121"/>
      <c r="Z171" s="121" t="str">
        <f>Таблица18[[#This Row],[Хар-ка]]</f>
        <v>высший</v>
      </c>
      <c r="AD171" s="459"/>
      <c r="AE171" s="391"/>
    </row>
    <row r="172" spans="1:31" s="325" customFormat="1" ht="15.6" hidden="1" customHeight="1" x14ac:dyDescent="0.2">
      <c r="A172" s="360" t="s">
        <v>2002</v>
      </c>
      <c r="B172" s="360" t="s">
        <v>511</v>
      </c>
      <c r="C172" s="361">
        <v>284</v>
      </c>
      <c r="D172" s="362">
        <v>72</v>
      </c>
      <c r="E172" s="360" t="s">
        <v>78</v>
      </c>
      <c r="F172" s="360" t="s">
        <v>1804</v>
      </c>
      <c r="G172" s="360" t="s">
        <v>536</v>
      </c>
      <c r="H172" s="360" t="s">
        <v>1924</v>
      </c>
      <c r="I172" s="360" t="e">
        <f>VLOOKUP(Таблица18[[#This Row],[Номер акта]],$AB$1:$AF$1833,3,FALSE)</f>
        <v>#N/A</v>
      </c>
      <c r="J172" s="360" t="s">
        <v>747</v>
      </c>
      <c r="K172" s="360" t="s">
        <v>82</v>
      </c>
      <c r="L172" s="363">
        <v>28310</v>
      </c>
      <c r="M172" s="363">
        <v>14550</v>
      </c>
      <c r="N172" s="364">
        <v>22.5</v>
      </c>
      <c r="O172" s="363">
        <v>13760</v>
      </c>
      <c r="P172" s="363">
        <v>10664</v>
      </c>
      <c r="Q172" s="121">
        <v>2023</v>
      </c>
      <c r="R172" s="121"/>
      <c r="S172" s="148">
        <v>45088</v>
      </c>
      <c r="T172" s="363">
        <f>Таблица18[[#This Row],[Вес нетто]]-Таблица18[[#This Row],[Зачетный вес]]</f>
        <v>3096</v>
      </c>
      <c r="U172" s="365">
        <f>Таблица18[[#This Row],[Отход]]/Таблица18[[#This Row],[Вес нетто]]</f>
        <v>0.22500000000000001</v>
      </c>
      <c r="V172" s="121">
        <f>MONTH(Таблица18[[#This Row],[Дата акта]])</f>
        <v>6</v>
      </c>
      <c r="W172" s="121">
        <v>11</v>
      </c>
      <c r="X172" s="148">
        <f>DATE(1900,Таблица18[[#This Row],[Месяц]],Таблица18[[#This Row],[Число]])</f>
        <v>163</v>
      </c>
      <c r="Y172" s="121"/>
      <c r="Z172" s="121" t="str">
        <f>Таблица18[[#This Row],[Хар-ка]]</f>
        <v>высший</v>
      </c>
      <c r="AD172" s="459"/>
      <c r="AE172" s="391"/>
    </row>
    <row r="173" spans="1:31" s="325" customFormat="1" ht="15.6" hidden="1" customHeight="1" x14ac:dyDescent="0.2">
      <c r="A173" s="360" t="s">
        <v>2003</v>
      </c>
      <c r="B173" s="360" t="s">
        <v>511</v>
      </c>
      <c r="C173" s="361">
        <v>286</v>
      </c>
      <c r="D173" s="362">
        <v>74</v>
      </c>
      <c r="E173" s="360" t="s">
        <v>78</v>
      </c>
      <c r="F173" s="360" t="s">
        <v>1906</v>
      </c>
      <c r="G173" s="360" t="s">
        <v>1907</v>
      </c>
      <c r="H173" s="360" t="s">
        <v>1924</v>
      </c>
      <c r="I173" s="360" t="e">
        <f>VLOOKUP(Таблица18[[#This Row],[Номер акта]],$AB$1:$AF$1833,3,FALSE)</f>
        <v>#N/A</v>
      </c>
      <c r="J173" s="360" t="s">
        <v>747</v>
      </c>
      <c r="K173" s="360" t="s">
        <v>82</v>
      </c>
      <c r="L173" s="363">
        <v>28730</v>
      </c>
      <c r="M173" s="363">
        <v>15010</v>
      </c>
      <c r="N173" s="364">
        <v>22.5</v>
      </c>
      <c r="O173" s="363">
        <v>13720</v>
      </c>
      <c r="P173" s="363">
        <v>10633</v>
      </c>
      <c r="Q173" s="121">
        <v>2023</v>
      </c>
      <c r="R173" s="121"/>
      <c r="S173" s="148">
        <v>45088</v>
      </c>
      <c r="T173" s="363">
        <f>Таблица18[[#This Row],[Вес нетто]]-Таблица18[[#This Row],[Зачетный вес]]</f>
        <v>3087</v>
      </c>
      <c r="U173" s="365">
        <f>Таблица18[[#This Row],[Отход]]/Таблица18[[#This Row],[Вес нетто]]</f>
        <v>0.22500000000000001</v>
      </c>
      <c r="V173" s="121">
        <f>MONTH(Таблица18[[#This Row],[Дата акта]])</f>
        <v>6</v>
      </c>
      <c r="W173" s="121">
        <v>11</v>
      </c>
      <c r="X173" s="148">
        <f>DATE(1900,Таблица18[[#This Row],[Месяц]],Таблица18[[#This Row],[Число]])</f>
        <v>163</v>
      </c>
      <c r="Y173" s="121"/>
      <c r="Z173" s="121" t="str">
        <f>Таблица18[[#This Row],[Хар-ка]]</f>
        <v>высший</v>
      </c>
      <c r="AD173" s="459"/>
      <c r="AE173" s="391"/>
    </row>
    <row r="174" spans="1:31" s="325" customFormat="1" ht="15.6" hidden="1" customHeight="1" x14ac:dyDescent="0.2">
      <c r="A174" s="360" t="s">
        <v>2004</v>
      </c>
      <c r="B174" s="360" t="s">
        <v>511</v>
      </c>
      <c r="C174" s="361">
        <v>288</v>
      </c>
      <c r="D174" s="362">
        <v>76</v>
      </c>
      <c r="E174" s="360" t="s">
        <v>78</v>
      </c>
      <c r="F174" s="360" t="s">
        <v>212</v>
      </c>
      <c r="G174" s="360" t="s">
        <v>216</v>
      </c>
      <c r="H174" s="360" t="s">
        <v>1924</v>
      </c>
      <c r="I174" s="360" t="e">
        <f>VLOOKUP(Таблица18[[#This Row],[Номер акта]],$AB$1:$AF$1833,3,FALSE)</f>
        <v>#N/A</v>
      </c>
      <c r="J174" s="360" t="s">
        <v>747</v>
      </c>
      <c r="K174" s="360" t="s">
        <v>82</v>
      </c>
      <c r="L174" s="363">
        <v>27530</v>
      </c>
      <c r="M174" s="363">
        <v>14090</v>
      </c>
      <c r="N174" s="364">
        <v>23.5</v>
      </c>
      <c r="O174" s="363">
        <v>13440</v>
      </c>
      <c r="P174" s="363">
        <v>10281.6</v>
      </c>
      <c r="Q174" s="121">
        <v>2023</v>
      </c>
      <c r="R174" s="121"/>
      <c r="S174" s="148">
        <v>45089</v>
      </c>
      <c r="T174" s="363">
        <f>Таблица18[[#This Row],[Вес нетто]]-Таблица18[[#This Row],[Зачетный вес]]</f>
        <v>3158.3999999999996</v>
      </c>
      <c r="U174" s="365">
        <f>Таблица18[[#This Row],[Отход]]/Таблица18[[#This Row],[Вес нетто]]</f>
        <v>0.23499999999999999</v>
      </c>
      <c r="V174" s="121">
        <f>MONTH(Таблица18[[#This Row],[Дата акта]])</f>
        <v>6</v>
      </c>
      <c r="W174" s="121">
        <v>12</v>
      </c>
      <c r="X174" s="148">
        <f>DATE(1900,Таблица18[[#This Row],[Месяц]],Таблица18[[#This Row],[Число]])</f>
        <v>164</v>
      </c>
      <c r="Y174" s="121"/>
      <c r="Z174" s="121" t="str">
        <f>Таблица18[[#This Row],[Хар-ка]]</f>
        <v>высший</v>
      </c>
      <c r="AD174" s="459"/>
      <c r="AE174" s="391"/>
    </row>
    <row r="175" spans="1:31" s="325" customFormat="1" ht="15.6" hidden="1" customHeight="1" x14ac:dyDescent="0.2">
      <c r="A175" s="360" t="s">
        <v>2005</v>
      </c>
      <c r="B175" s="360" t="s">
        <v>511</v>
      </c>
      <c r="C175" s="361">
        <v>289</v>
      </c>
      <c r="D175" s="362">
        <v>77</v>
      </c>
      <c r="E175" s="360" t="s">
        <v>78</v>
      </c>
      <c r="F175" s="360" t="s">
        <v>1804</v>
      </c>
      <c r="G175" s="360" t="s">
        <v>536</v>
      </c>
      <c r="H175" s="360" t="s">
        <v>1924</v>
      </c>
      <c r="I175" s="360" t="e">
        <f>VLOOKUP(Таблица18[[#This Row],[Номер акта]],$AB$1:$AF$1833,3,FALSE)</f>
        <v>#N/A</v>
      </c>
      <c r="J175" s="360" t="s">
        <v>747</v>
      </c>
      <c r="K175" s="360" t="s">
        <v>82</v>
      </c>
      <c r="L175" s="363">
        <v>28130</v>
      </c>
      <c r="M175" s="363">
        <v>14550</v>
      </c>
      <c r="N175" s="364">
        <v>20.5</v>
      </c>
      <c r="O175" s="363">
        <v>13580</v>
      </c>
      <c r="P175" s="363">
        <v>10796.1</v>
      </c>
      <c r="Q175" s="121">
        <v>2023</v>
      </c>
      <c r="R175" s="121"/>
      <c r="S175" s="148">
        <v>45089</v>
      </c>
      <c r="T175" s="363">
        <f>Таблица18[[#This Row],[Вес нетто]]-Таблица18[[#This Row],[Зачетный вес]]</f>
        <v>2783.8999999999996</v>
      </c>
      <c r="U175" s="365">
        <f>Таблица18[[#This Row],[Отход]]/Таблица18[[#This Row],[Вес нетто]]</f>
        <v>0.20499999999999996</v>
      </c>
      <c r="V175" s="121">
        <f>MONTH(Таблица18[[#This Row],[Дата акта]])</f>
        <v>6</v>
      </c>
      <c r="W175" s="121">
        <v>12</v>
      </c>
      <c r="X175" s="148">
        <f>DATE(1900,Таблица18[[#This Row],[Месяц]],Таблица18[[#This Row],[Число]])</f>
        <v>164</v>
      </c>
      <c r="Y175" s="121"/>
      <c r="Z175" s="121" t="str">
        <f>Таблица18[[#This Row],[Хар-ка]]</f>
        <v>высший</v>
      </c>
      <c r="AD175" s="459"/>
      <c r="AE175" s="391"/>
    </row>
    <row r="176" spans="1:31" s="325" customFormat="1" ht="15.6" hidden="1" customHeight="1" x14ac:dyDescent="0.2">
      <c r="A176" s="360" t="s">
        <v>2006</v>
      </c>
      <c r="B176" s="360" t="s">
        <v>511</v>
      </c>
      <c r="C176" s="361">
        <v>290</v>
      </c>
      <c r="D176" s="362">
        <v>75</v>
      </c>
      <c r="E176" s="360" t="s">
        <v>78</v>
      </c>
      <c r="F176" s="360" t="s">
        <v>1792</v>
      </c>
      <c r="G176" s="360" t="s">
        <v>80</v>
      </c>
      <c r="H176" s="360" t="s">
        <v>1924</v>
      </c>
      <c r="I176" s="360" t="e">
        <f>VLOOKUP(Таблица18[[#This Row],[Номер акта]],$AB$1:$AF$1833,3,FALSE)</f>
        <v>#N/A</v>
      </c>
      <c r="J176" s="360" t="s">
        <v>747</v>
      </c>
      <c r="K176" s="360" t="s">
        <v>82</v>
      </c>
      <c r="L176" s="363">
        <v>27770</v>
      </c>
      <c r="M176" s="363">
        <v>14240</v>
      </c>
      <c r="N176" s="364">
        <v>19.5</v>
      </c>
      <c r="O176" s="363">
        <v>13530</v>
      </c>
      <c r="P176" s="363">
        <v>10891.6</v>
      </c>
      <c r="Q176" s="121">
        <v>2023</v>
      </c>
      <c r="R176" s="121"/>
      <c r="S176" s="148">
        <v>45088</v>
      </c>
      <c r="T176" s="363">
        <f>Таблица18[[#This Row],[Вес нетто]]-Таблица18[[#This Row],[Зачетный вес]]</f>
        <v>2638.3999999999996</v>
      </c>
      <c r="U176" s="365">
        <f>Таблица18[[#This Row],[Отход]]/Таблица18[[#This Row],[Вес нетто]]</f>
        <v>0.19500369549150035</v>
      </c>
      <c r="V176" s="121">
        <f>MONTH(Таблица18[[#This Row],[Дата акта]])</f>
        <v>6</v>
      </c>
      <c r="W176" s="121">
        <v>11</v>
      </c>
      <c r="X176" s="148">
        <f>DATE(1900,Таблица18[[#This Row],[Месяц]],Таблица18[[#This Row],[Число]])</f>
        <v>163</v>
      </c>
      <c r="Y176" s="121"/>
      <c r="Z176" s="121" t="str">
        <f>Таблица18[[#This Row],[Хар-ка]]</f>
        <v>высший</v>
      </c>
      <c r="AD176" s="459"/>
      <c r="AE176" s="391"/>
    </row>
    <row r="177" spans="1:31" s="325" customFormat="1" ht="15.6" hidden="1" customHeight="1" x14ac:dyDescent="0.2">
      <c r="A177" s="360" t="s">
        <v>2007</v>
      </c>
      <c r="B177" s="360" t="s">
        <v>511</v>
      </c>
      <c r="C177" s="361">
        <v>291</v>
      </c>
      <c r="D177" s="362">
        <v>78</v>
      </c>
      <c r="E177" s="360" t="s">
        <v>78</v>
      </c>
      <c r="F177" s="360" t="s">
        <v>1906</v>
      </c>
      <c r="G177" s="360" t="s">
        <v>1907</v>
      </c>
      <c r="H177" s="360" t="s">
        <v>1924</v>
      </c>
      <c r="I177" s="360" t="e">
        <f>VLOOKUP(Таблица18[[#This Row],[Номер акта]],$AB$1:$AF$1833,3,FALSE)</f>
        <v>#N/A</v>
      </c>
      <c r="J177" s="360" t="s">
        <v>747</v>
      </c>
      <c r="K177" s="360" t="s">
        <v>82</v>
      </c>
      <c r="L177" s="363">
        <v>28420</v>
      </c>
      <c r="M177" s="363">
        <v>15000</v>
      </c>
      <c r="N177" s="364">
        <v>22.5</v>
      </c>
      <c r="O177" s="363">
        <v>13420</v>
      </c>
      <c r="P177" s="363">
        <v>10400.5</v>
      </c>
      <c r="Q177" s="121">
        <v>2023</v>
      </c>
      <c r="R177" s="121"/>
      <c r="S177" s="148">
        <v>45089</v>
      </c>
      <c r="T177" s="363">
        <f>Таблица18[[#This Row],[Вес нетто]]-Таблица18[[#This Row],[Зачетный вес]]</f>
        <v>3019.5</v>
      </c>
      <c r="U177" s="365">
        <f>Таблица18[[#This Row],[Отход]]/Таблица18[[#This Row],[Вес нетто]]</f>
        <v>0.22500000000000001</v>
      </c>
      <c r="V177" s="121">
        <f>MONTH(Таблица18[[#This Row],[Дата акта]])</f>
        <v>6</v>
      </c>
      <c r="W177" s="121">
        <v>12</v>
      </c>
      <c r="X177" s="148">
        <f>DATE(1900,Таблица18[[#This Row],[Месяц]],Таблица18[[#This Row],[Число]])</f>
        <v>164</v>
      </c>
      <c r="Y177" s="121"/>
      <c r="Z177" s="121" t="str">
        <f>Таблица18[[#This Row],[Хар-ка]]</f>
        <v>высший</v>
      </c>
      <c r="AD177" s="459"/>
      <c r="AE177" s="391"/>
    </row>
    <row r="178" spans="1:31" s="325" customFormat="1" ht="15.6" hidden="1" customHeight="1" x14ac:dyDescent="0.2">
      <c r="A178" s="360" t="s">
        <v>2008</v>
      </c>
      <c r="B178" s="360" t="s">
        <v>511</v>
      </c>
      <c r="C178" s="361">
        <v>292</v>
      </c>
      <c r="D178" s="362">
        <v>79</v>
      </c>
      <c r="E178" s="360" t="s">
        <v>78</v>
      </c>
      <c r="F178" s="360" t="s">
        <v>1792</v>
      </c>
      <c r="G178" s="360" t="s">
        <v>80</v>
      </c>
      <c r="H178" s="360" t="s">
        <v>1924</v>
      </c>
      <c r="I178" s="360" t="e">
        <f>VLOOKUP(Таблица18[[#This Row],[Номер акта]],$AB$1:$AF$1833,3,FALSE)</f>
        <v>#N/A</v>
      </c>
      <c r="J178" s="360" t="s">
        <v>747</v>
      </c>
      <c r="K178" s="360" t="s">
        <v>82</v>
      </c>
      <c r="L178" s="363">
        <v>27890</v>
      </c>
      <c r="M178" s="363">
        <v>14290</v>
      </c>
      <c r="N178" s="364">
        <v>22.5</v>
      </c>
      <c r="O178" s="363">
        <v>13600</v>
      </c>
      <c r="P178" s="363">
        <v>10540</v>
      </c>
      <c r="Q178" s="121">
        <v>2023</v>
      </c>
      <c r="R178" s="121"/>
      <c r="S178" s="148">
        <v>45089</v>
      </c>
      <c r="T178" s="363">
        <f>Таблица18[[#This Row],[Вес нетто]]-Таблица18[[#This Row],[Зачетный вес]]</f>
        <v>3060</v>
      </c>
      <c r="U178" s="365">
        <f>Таблица18[[#This Row],[Отход]]/Таблица18[[#This Row],[Вес нетто]]</f>
        <v>0.22500000000000001</v>
      </c>
      <c r="V178" s="121">
        <f>MONTH(Таблица18[[#This Row],[Дата акта]])</f>
        <v>6</v>
      </c>
      <c r="W178" s="121">
        <v>12</v>
      </c>
      <c r="X178" s="148">
        <f>DATE(1900,Таблица18[[#This Row],[Месяц]],Таблица18[[#This Row],[Число]])</f>
        <v>164</v>
      </c>
      <c r="Y178" s="121"/>
      <c r="Z178" s="121" t="str">
        <f>Таблица18[[#This Row],[Хар-ка]]</f>
        <v>высший</v>
      </c>
      <c r="AD178" s="459"/>
      <c r="AE178" s="391"/>
    </row>
    <row r="179" spans="1:31" s="325" customFormat="1" ht="15.6" hidden="1" customHeight="1" x14ac:dyDescent="0.2">
      <c r="A179" s="360" t="s">
        <v>2009</v>
      </c>
      <c r="B179" s="360" t="s">
        <v>511</v>
      </c>
      <c r="C179" s="361">
        <v>293</v>
      </c>
      <c r="D179" s="362">
        <v>80</v>
      </c>
      <c r="E179" s="360" t="s">
        <v>78</v>
      </c>
      <c r="F179" s="360" t="s">
        <v>212</v>
      </c>
      <c r="G179" s="360" t="s">
        <v>216</v>
      </c>
      <c r="H179" s="360" t="s">
        <v>1924</v>
      </c>
      <c r="I179" s="360" t="e">
        <f>VLOOKUP(Таблица18[[#This Row],[Номер акта]],$AB$1:$AF$1833,3,FALSE)</f>
        <v>#N/A</v>
      </c>
      <c r="J179" s="360" t="s">
        <v>747</v>
      </c>
      <c r="K179" s="360" t="s">
        <v>82</v>
      </c>
      <c r="L179" s="363">
        <v>27670</v>
      </c>
      <c r="M179" s="363">
        <v>14120</v>
      </c>
      <c r="N179" s="364">
        <v>21.5</v>
      </c>
      <c r="O179" s="363">
        <v>13550</v>
      </c>
      <c r="P179" s="363">
        <v>10636.7</v>
      </c>
      <c r="Q179" s="121">
        <v>2023</v>
      </c>
      <c r="R179" s="121"/>
      <c r="S179" s="148">
        <v>45089</v>
      </c>
      <c r="T179" s="363">
        <f>Таблица18[[#This Row],[Вес нетто]]-Таблица18[[#This Row],[Зачетный вес]]</f>
        <v>2913.2999999999993</v>
      </c>
      <c r="U179" s="365">
        <f>Таблица18[[#This Row],[Отход]]/Таблица18[[#This Row],[Вес нетто]]</f>
        <v>0.21500369003690031</v>
      </c>
      <c r="V179" s="121">
        <f>MONTH(Таблица18[[#This Row],[Дата акта]])</f>
        <v>6</v>
      </c>
      <c r="W179" s="121">
        <v>12</v>
      </c>
      <c r="X179" s="148">
        <f>DATE(1900,Таблица18[[#This Row],[Месяц]],Таблица18[[#This Row],[Число]])</f>
        <v>164</v>
      </c>
      <c r="Y179" s="121"/>
      <c r="Z179" s="121" t="str">
        <f>Таблица18[[#This Row],[Хар-ка]]</f>
        <v>высший</v>
      </c>
      <c r="AD179" s="459"/>
      <c r="AE179" s="391"/>
    </row>
    <row r="180" spans="1:31" s="325" customFormat="1" ht="15.6" hidden="1" customHeight="1" x14ac:dyDescent="0.2">
      <c r="A180" s="360" t="s">
        <v>2010</v>
      </c>
      <c r="B180" s="360" t="s">
        <v>511</v>
      </c>
      <c r="C180" s="361">
        <v>294</v>
      </c>
      <c r="D180" s="362">
        <v>81</v>
      </c>
      <c r="E180" s="360" t="s">
        <v>78</v>
      </c>
      <c r="F180" s="360" t="s">
        <v>133</v>
      </c>
      <c r="G180" s="360" t="s">
        <v>137</v>
      </c>
      <c r="H180" s="360" t="s">
        <v>1924</v>
      </c>
      <c r="I180" s="360" t="e">
        <f>VLOOKUP(Таблица18[[#This Row],[Номер акта]],$AB$1:$AF$1833,3,FALSE)</f>
        <v>#N/A</v>
      </c>
      <c r="J180" s="360" t="s">
        <v>747</v>
      </c>
      <c r="K180" s="360" t="s">
        <v>82</v>
      </c>
      <c r="L180" s="363">
        <v>33680</v>
      </c>
      <c r="M180" s="363">
        <v>17450</v>
      </c>
      <c r="N180" s="364">
        <v>20.5</v>
      </c>
      <c r="O180" s="363">
        <v>16230</v>
      </c>
      <c r="P180" s="363">
        <v>12902.8</v>
      </c>
      <c r="Q180" s="121">
        <v>2023</v>
      </c>
      <c r="R180" s="121"/>
      <c r="S180" s="148">
        <v>45089</v>
      </c>
      <c r="T180" s="363">
        <f>Таблица18[[#This Row],[Вес нетто]]-Таблица18[[#This Row],[Зачетный вес]]</f>
        <v>3327.2000000000007</v>
      </c>
      <c r="U180" s="365">
        <f>Таблица18[[#This Row],[Отход]]/Таблица18[[#This Row],[Вес нетто]]</f>
        <v>0.20500308071472587</v>
      </c>
      <c r="V180" s="121">
        <f>MONTH(Таблица18[[#This Row],[Дата акта]])</f>
        <v>6</v>
      </c>
      <c r="W180" s="121">
        <v>12</v>
      </c>
      <c r="X180" s="148">
        <f>DATE(1900,Таблица18[[#This Row],[Месяц]],Таблица18[[#This Row],[Число]])</f>
        <v>164</v>
      </c>
      <c r="Y180" s="121"/>
      <c r="Z180" s="121" t="str">
        <f>Таблица18[[#This Row],[Хар-ка]]</f>
        <v>высший</v>
      </c>
      <c r="AD180" s="459"/>
      <c r="AE180" s="391"/>
    </row>
    <row r="181" spans="1:31" s="325" customFormat="1" ht="15.6" hidden="1" customHeight="1" x14ac:dyDescent="0.2">
      <c r="A181" s="360" t="s">
        <v>2011</v>
      </c>
      <c r="B181" s="360" t="s">
        <v>511</v>
      </c>
      <c r="C181" s="361">
        <v>295</v>
      </c>
      <c r="D181" s="362">
        <v>82</v>
      </c>
      <c r="E181" s="360" t="s">
        <v>78</v>
      </c>
      <c r="F181" s="360" t="s">
        <v>1880</v>
      </c>
      <c r="G181" s="360" t="s">
        <v>1802</v>
      </c>
      <c r="H181" s="360" t="s">
        <v>1924</v>
      </c>
      <c r="I181" s="360" t="e">
        <f>VLOOKUP(Таблица18[[#This Row],[Номер акта]],$AB$1:$AF$1833,3,FALSE)</f>
        <v>#N/A</v>
      </c>
      <c r="J181" s="360" t="s">
        <v>747</v>
      </c>
      <c r="K181" s="360" t="s">
        <v>82</v>
      </c>
      <c r="L181" s="363">
        <v>28420</v>
      </c>
      <c r="M181" s="363">
        <v>14740</v>
      </c>
      <c r="N181" s="364">
        <v>22.5</v>
      </c>
      <c r="O181" s="363">
        <v>13680</v>
      </c>
      <c r="P181" s="363">
        <v>10602</v>
      </c>
      <c r="Q181" s="121">
        <v>2023</v>
      </c>
      <c r="R181" s="121"/>
      <c r="S181" s="148">
        <v>45089</v>
      </c>
      <c r="T181" s="363">
        <f>Таблица18[[#This Row],[Вес нетто]]-Таблица18[[#This Row],[Зачетный вес]]</f>
        <v>3078</v>
      </c>
      <c r="U181" s="365">
        <f>Таблица18[[#This Row],[Отход]]/Таблица18[[#This Row],[Вес нетто]]</f>
        <v>0.22500000000000001</v>
      </c>
      <c r="V181" s="121">
        <f>MONTH(Таблица18[[#This Row],[Дата акта]])</f>
        <v>6</v>
      </c>
      <c r="W181" s="121">
        <v>12</v>
      </c>
      <c r="X181" s="148">
        <f>DATE(1900,Таблица18[[#This Row],[Месяц]],Таблица18[[#This Row],[Число]])</f>
        <v>164</v>
      </c>
      <c r="Y181" s="121"/>
      <c r="Z181" s="121" t="str">
        <f>Таблица18[[#This Row],[Хар-ка]]</f>
        <v>высший</v>
      </c>
      <c r="AD181" s="459"/>
      <c r="AE181" s="391"/>
    </row>
    <row r="182" spans="1:31" s="325" customFormat="1" ht="15.6" hidden="1" customHeight="1" x14ac:dyDescent="0.2">
      <c r="A182" s="360" t="s">
        <v>2012</v>
      </c>
      <c r="B182" s="360" t="s">
        <v>511</v>
      </c>
      <c r="C182" s="361">
        <v>296</v>
      </c>
      <c r="D182" s="362">
        <v>83</v>
      </c>
      <c r="E182" s="360" t="s">
        <v>78</v>
      </c>
      <c r="F182" s="360" t="s">
        <v>1788</v>
      </c>
      <c r="G182" s="360" t="s">
        <v>131</v>
      </c>
      <c r="H182" s="360" t="s">
        <v>1924</v>
      </c>
      <c r="I182" s="360" t="e">
        <f>VLOOKUP(Таблица18[[#This Row],[Номер акта]],$AB$1:$AF$1833,3,FALSE)</f>
        <v>#N/A</v>
      </c>
      <c r="J182" s="360" t="s">
        <v>747</v>
      </c>
      <c r="K182" s="360" t="s">
        <v>82</v>
      </c>
      <c r="L182" s="363">
        <v>28290</v>
      </c>
      <c r="M182" s="121"/>
      <c r="N182" s="364">
        <v>22.5</v>
      </c>
      <c r="O182" s="363">
        <v>13580</v>
      </c>
      <c r="P182" s="363">
        <v>10524.5</v>
      </c>
      <c r="Q182" s="121">
        <v>2023</v>
      </c>
      <c r="R182" s="121"/>
      <c r="S182" s="148">
        <v>45089</v>
      </c>
      <c r="T182" s="363">
        <f>Таблица18[[#This Row],[Вес нетто]]-Таблица18[[#This Row],[Зачетный вес]]</f>
        <v>3055.5</v>
      </c>
      <c r="U182" s="365">
        <f>Таблица18[[#This Row],[Отход]]/Таблица18[[#This Row],[Вес нетто]]</f>
        <v>0.22500000000000001</v>
      </c>
      <c r="V182" s="121">
        <f>MONTH(Таблица18[[#This Row],[Дата акта]])</f>
        <v>6</v>
      </c>
      <c r="W182" s="121">
        <v>12</v>
      </c>
      <c r="X182" s="148">
        <f>DATE(1900,Таблица18[[#This Row],[Месяц]],Таблица18[[#This Row],[Число]])</f>
        <v>164</v>
      </c>
      <c r="Y182" s="121"/>
      <c r="Z182" s="121" t="str">
        <f>Таблица18[[#This Row],[Хар-ка]]</f>
        <v>высший</v>
      </c>
      <c r="AD182" s="459"/>
      <c r="AE182" s="391"/>
    </row>
    <row r="183" spans="1:31" s="325" customFormat="1" ht="15.6" hidden="1" customHeight="1" x14ac:dyDescent="0.2">
      <c r="A183" s="360" t="s">
        <v>2013</v>
      </c>
      <c r="B183" s="360" t="s">
        <v>511</v>
      </c>
      <c r="C183" s="361">
        <v>301</v>
      </c>
      <c r="D183" s="362">
        <v>84</v>
      </c>
      <c r="E183" s="360" t="s">
        <v>78</v>
      </c>
      <c r="F183" s="360" t="s">
        <v>1792</v>
      </c>
      <c r="G183" s="360" t="s">
        <v>80</v>
      </c>
      <c r="H183" s="360" t="s">
        <v>1924</v>
      </c>
      <c r="I183" s="360" t="e">
        <f>VLOOKUP(Таблица18[[#This Row],[Номер акта]],$AB$1:$AF$1833,3,FALSE)</f>
        <v>#N/A</v>
      </c>
      <c r="J183" s="360" t="s">
        <v>747</v>
      </c>
      <c r="K183" s="360" t="s">
        <v>82</v>
      </c>
      <c r="L183" s="363">
        <v>28020</v>
      </c>
      <c r="M183" s="121"/>
      <c r="N183" s="364">
        <v>14.5</v>
      </c>
      <c r="O183" s="363">
        <v>13290</v>
      </c>
      <c r="P183" s="363">
        <v>11362.9</v>
      </c>
      <c r="Q183" s="121">
        <v>2023</v>
      </c>
      <c r="R183" s="121"/>
      <c r="S183" s="148">
        <v>45091</v>
      </c>
      <c r="T183" s="363">
        <f>Таблица18[[#This Row],[Вес нетто]]-Таблица18[[#This Row],[Зачетный вес]]</f>
        <v>1927.1000000000004</v>
      </c>
      <c r="U183" s="365">
        <f>Таблица18[[#This Row],[Отход]]/Таблица18[[#This Row],[Вес нетто]]</f>
        <v>0.14500376222723854</v>
      </c>
      <c r="V183" s="121">
        <f>MONTH(Таблица18[[#This Row],[Дата акта]])</f>
        <v>6</v>
      </c>
      <c r="W183" s="121">
        <v>14</v>
      </c>
      <c r="X183" s="148">
        <f>DATE(1900,Таблица18[[#This Row],[Месяц]],Таблица18[[#This Row],[Число]])</f>
        <v>166</v>
      </c>
      <c r="Y183" s="121"/>
      <c r="Z183" s="121" t="str">
        <f>Таблица18[[#This Row],[Хар-ка]]</f>
        <v>высший</v>
      </c>
      <c r="AD183" s="459"/>
      <c r="AE183" s="391"/>
    </row>
    <row r="184" spans="1:31" s="325" customFormat="1" ht="15.6" hidden="1" customHeight="1" x14ac:dyDescent="0.2">
      <c r="A184" s="360" t="s">
        <v>2014</v>
      </c>
      <c r="B184" s="360" t="s">
        <v>511</v>
      </c>
      <c r="C184" s="361">
        <v>302</v>
      </c>
      <c r="D184" s="362">
        <v>85</v>
      </c>
      <c r="E184" s="360" t="s">
        <v>78</v>
      </c>
      <c r="F184" s="360" t="s">
        <v>1880</v>
      </c>
      <c r="G184" s="360" t="s">
        <v>1802</v>
      </c>
      <c r="H184" s="360" t="s">
        <v>1924</v>
      </c>
      <c r="I184" s="360" t="e">
        <f>VLOOKUP(Таблица18[[#This Row],[Номер акта]],$AB$1:$AF$1833,3,FALSE)</f>
        <v>#N/A</v>
      </c>
      <c r="J184" s="360" t="s">
        <v>747</v>
      </c>
      <c r="K184" s="360" t="s">
        <v>82</v>
      </c>
      <c r="L184" s="363">
        <v>28530</v>
      </c>
      <c r="M184" s="121"/>
      <c r="N184" s="364">
        <v>14.5</v>
      </c>
      <c r="O184" s="363">
        <v>13600</v>
      </c>
      <c r="P184" s="363">
        <v>11628</v>
      </c>
      <c r="Q184" s="121">
        <v>2023</v>
      </c>
      <c r="R184" s="121"/>
      <c r="S184" s="148">
        <v>45091</v>
      </c>
      <c r="T184" s="363">
        <f>Таблица18[[#This Row],[Вес нетто]]-Таблица18[[#This Row],[Зачетный вес]]</f>
        <v>1972</v>
      </c>
      <c r="U184" s="365">
        <f>Таблица18[[#This Row],[Отход]]/Таблица18[[#This Row],[Вес нетто]]</f>
        <v>0.14499999999999999</v>
      </c>
      <c r="V184" s="121">
        <f>MONTH(Таблица18[[#This Row],[Дата акта]])</f>
        <v>6</v>
      </c>
      <c r="W184" s="121">
        <v>14</v>
      </c>
      <c r="X184" s="148">
        <f>DATE(1900,Таблица18[[#This Row],[Месяц]],Таблица18[[#This Row],[Число]])</f>
        <v>166</v>
      </c>
      <c r="Y184" s="121"/>
      <c r="Z184" s="121" t="str">
        <f>Таблица18[[#This Row],[Хар-ка]]</f>
        <v>высший</v>
      </c>
      <c r="AD184" s="459"/>
      <c r="AE184" s="391"/>
    </row>
    <row r="185" spans="1:31" s="325" customFormat="1" ht="15.6" hidden="1" customHeight="1" x14ac:dyDescent="0.2">
      <c r="A185" s="360" t="s">
        <v>2015</v>
      </c>
      <c r="B185" s="360" t="s">
        <v>511</v>
      </c>
      <c r="C185" s="361">
        <v>303</v>
      </c>
      <c r="D185" s="362">
        <v>86</v>
      </c>
      <c r="E185" s="360" t="s">
        <v>78</v>
      </c>
      <c r="F185" s="360" t="s">
        <v>1794</v>
      </c>
      <c r="G185" s="360" t="s">
        <v>1795</v>
      </c>
      <c r="H185" s="360" t="s">
        <v>1924</v>
      </c>
      <c r="I185" s="360" t="e">
        <f>VLOOKUP(Таблица18[[#This Row],[Номер акта]],$AB$1:$AF$1833,3,FALSE)</f>
        <v>#N/A</v>
      </c>
      <c r="J185" s="360" t="s">
        <v>747</v>
      </c>
      <c r="K185" s="360" t="s">
        <v>82</v>
      </c>
      <c r="L185" s="363">
        <v>27490</v>
      </c>
      <c r="M185" s="121"/>
      <c r="N185" s="364">
        <v>13.5</v>
      </c>
      <c r="O185" s="363">
        <v>13940</v>
      </c>
      <c r="P185" s="363">
        <v>12058.1</v>
      </c>
      <c r="Q185" s="121">
        <v>2023</v>
      </c>
      <c r="R185" s="121"/>
      <c r="S185" s="148">
        <v>45091</v>
      </c>
      <c r="T185" s="363">
        <f>Таблица18[[#This Row],[Вес нетто]]-Таблица18[[#This Row],[Зачетный вес]]</f>
        <v>1881.8999999999996</v>
      </c>
      <c r="U185" s="365">
        <f>Таблица18[[#This Row],[Отход]]/Таблица18[[#This Row],[Вес нетто]]</f>
        <v>0.13499999999999998</v>
      </c>
      <c r="V185" s="121">
        <f>MONTH(Таблица18[[#This Row],[Дата акта]])</f>
        <v>6</v>
      </c>
      <c r="W185" s="121">
        <v>14</v>
      </c>
      <c r="X185" s="148">
        <f>DATE(1900,Таблица18[[#This Row],[Месяц]],Таблица18[[#This Row],[Число]])</f>
        <v>166</v>
      </c>
      <c r="Y185" s="121"/>
      <c r="Z185" s="121" t="str">
        <f>Таблица18[[#This Row],[Хар-ка]]</f>
        <v>высший</v>
      </c>
      <c r="AD185" s="459"/>
      <c r="AE185" s="391"/>
    </row>
    <row r="186" spans="1:31" s="325" customFormat="1" ht="15.6" hidden="1" customHeight="1" x14ac:dyDescent="0.2">
      <c r="A186" s="360" t="s">
        <v>2016</v>
      </c>
      <c r="B186" s="360" t="s">
        <v>511</v>
      </c>
      <c r="C186" s="361">
        <v>304</v>
      </c>
      <c r="D186" s="362">
        <v>87</v>
      </c>
      <c r="E186" s="360" t="s">
        <v>78</v>
      </c>
      <c r="F186" s="360" t="s">
        <v>1792</v>
      </c>
      <c r="G186" s="360" t="s">
        <v>80</v>
      </c>
      <c r="H186" s="360" t="s">
        <v>1924</v>
      </c>
      <c r="I186" s="360" t="e">
        <f>VLOOKUP(Таблица18[[#This Row],[Номер акта]],$AB$1:$AF$1833,3,FALSE)</f>
        <v>#N/A</v>
      </c>
      <c r="J186" s="360" t="s">
        <v>747</v>
      </c>
      <c r="K186" s="360" t="s">
        <v>82</v>
      </c>
      <c r="L186" s="363">
        <v>18770</v>
      </c>
      <c r="M186" s="121"/>
      <c r="N186" s="364">
        <v>13.5</v>
      </c>
      <c r="O186" s="363">
        <v>9010</v>
      </c>
      <c r="P186" s="363">
        <v>7793.6</v>
      </c>
      <c r="Q186" s="121">
        <v>2023</v>
      </c>
      <c r="R186" s="121"/>
      <c r="S186" s="148">
        <v>45091</v>
      </c>
      <c r="T186" s="363">
        <f>Таблица18[[#This Row],[Вес нетто]]-Таблица18[[#This Row],[Зачетный вес]]</f>
        <v>1216.3999999999996</v>
      </c>
      <c r="U186" s="365">
        <f>Таблица18[[#This Row],[Отход]]/Таблица18[[#This Row],[Вес нетто]]</f>
        <v>0.1350055493895671</v>
      </c>
      <c r="V186" s="121">
        <f>MONTH(Таблица18[[#This Row],[Дата акта]])</f>
        <v>6</v>
      </c>
      <c r="W186" s="121">
        <v>14</v>
      </c>
      <c r="X186" s="148">
        <f>DATE(1900,Таблица18[[#This Row],[Месяц]],Таблица18[[#This Row],[Число]])</f>
        <v>166</v>
      </c>
      <c r="Y186" s="121"/>
      <c r="Z186" s="121" t="str">
        <f>Таблица18[[#This Row],[Хар-ка]]</f>
        <v>высший</v>
      </c>
      <c r="AD186" s="459"/>
      <c r="AE186" s="391"/>
    </row>
    <row r="187" spans="1:31" s="325" customFormat="1" ht="15.6" hidden="1" customHeight="1" x14ac:dyDescent="0.2">
      <c r="A187" s="360" t="s">
        <v>2017</v>
      </c>
      <c r="B187" s="360" t="s">
        <v>511</v>
      </c>
      <c r="C187" s="361">
        <v>305</v>
      </c>
      <c r="D187" s="362">
        <v>88</v>
      </c>
      <c r="E187" s="360" t="s">
        <v>78</v>
      </c>
      <c r="F187" s="360" t="s">
        <v>1880</v>
      </c>
      <c r="G187" s="360" t="s">
        <v>1802</v>
      </c>
      <c r="H187" s="360" t="s">
        <v>1924</v>
      </c>
      <c r="I187" s="360" t="e">
        <f>VLOOKUP(Таблица18[[#This Row],[Номер акта]],$AB$1:$AF$1833,3,FALSE)</f>
        <v>#N/A</v>
      </c>
      <c r="J187" s="360" t="s">
        <v>747</v>
      </c>
      <c r="K187" s="360" t="s">
        <v>82</v>
      </c>
      <c r="L187" s="363">
        <v>28410</v>
      </c>
      <c r="M187" s="121"/>
      <c r="N187" s="364">
        <v>11.5</v>
      </c>
      <c r="O187" s="363">
        <v>13570</v>
      </c>
      <c r="P187" s="363">
        <v>12009.4</v>
      </c>
      <c r="Q187" s="121">
        <v>2023</v>
      </c>
      <c r="R187" s="121"/>
      <c r="S187" s="148">
        <v>45091</v>
      </c>
      <c r="T187" s="363">
        <f>Таблица18[[#This Row],[Вес нетто]]-Таблица18[[#This Row],[Зачетный вес]]</f>
        <v>1560.6000000000004</v>
      </c>
      <c r="U187" s="365">
        <f>Таблица18[[#This Row],[Отход]]/Таблица18[[#This Row],[Вес нетто]]</f>
        <v>0.1150036845983788</v>
      </c>
      <c r="V187" s="121">
        <f>MONTH(Таблица18[[#This Row],[Дата акта]])</f>
        <v>6</v>
      </c>
      <c r="W187" s="121">
        <v>14</v>
      </c>
      <c r="X187" s="148">
        <f>DATE(1900,Таблица18[[#This Row],[Месяц]],Таблица18[[#This Row],[Число]])</f>
        <v>166</v>
      </c>
      <c r="Y187" s="121"/>
      <c r="Z187" s="121" t="str">
        <f>Таблица18[[#This Row],[Хар-ка]]</f>
        <v>высший</v>
      </c>
      <c r="AD187" s="459"/>
      <c r="AE187" s="391"/>
    </row>
    <row r="188" spans="1:31" s="325" customFormat="1" ht="15.6" hidden="1" customHeight="1" x14ac:dyDescent="0.2">
      <c r="A188" s="360" t="s">
        <v>2018</v>
      </c>
      <c r="B188" s="360" t="s">
        <v>511</v>
      </c>
      <c r="C188" s="361">
        <v>306</v>
      </c>
      <c r="D188" s="362">
        <v>89</v>
      </c>
      <c r="E188" s="360" t="s">
        <v>78</v>
      </c>
      <c r="F188" s="360" t="s">
        <v>1794</v>
      </c>
      <c r="G188" s="360" t="s">
        <v>1795</v>
      </c>
      <c r="H188" s="360" t="s">
        <v>1924</v>
      </c>
      <c r="I188" s="360" t="e">
        <f>VLOOKUP(Таблица18[[#This Row],[Номер акта]],$AB$1:$AF$1833,3,FALSE)</f>
        <v>#N/A</v>
      </c>
      <c r="J188" s="360" t="s">
        <v>747</v>
      </c>
      <c r="K188" s="360" t="s">
        <v>82</v>
      </c>
      <c r="L188" s="363">
        <v>26830</v>
      </c>
      <c r="M188" s="121"/>
      <c r="N188" s="364">
        <v>9.5</v>
      </c>
      <c r="O188" s="363">
        <v>13380</v>
      </c>
      <c r="P188" s="363">
        <v>12108.9</v>
      </c>
      <c r="Q188" s="121">
        <v>2023</v>
      </c>
      <c r="R188" s="121"/>
      <c r="S188" s="148">
        <v>45091</v>
      </c>
      <c r="T188" s="363">
        <f>Таблица18[[#This Row],[Вес нетто]]-Таблица18[[#This Row],[Зачетный вес]]</f>
        <v>1271.1000000000004</v>
      </c>
      <c r="U188" s="365">
        <f>Таблица18[[#This Row],[Отход]]/Таблица18[[#This Row],[Вес нетто]]</f>
        <v>9.5000000000000029E-2</v>
      </c>
      <c r="V188" s="121">
        <f>MONTH(Таблица18[[#This Row],[Дата акта]])</f>
        <v>6</v>
      </c>
      <c r="W188" s="121">
        <v>14</v>
      </c>
      <c r="X188" s="148">
        <f>DATE(1900,Таблица18[[#This Row],[Месяц]],Таблица18[[#This Row],[Число]])</f>
        <v>166</v>
      </c>
      <c r="Y188" s="121"/>
      <c r="Z188" s="121" t="str">
        <f>Таблица18[[#This Row],[Хар-ка]]</f>
        <v>высший</v>
      </c>
      <c r="AD188" s="459"/>
      <c r="AE188" s="391"/>
    </row>
    <row r="189" spans="1:31" s="325" customFormat="1" ht="15.6" hidden="1" customHeight="1" x14ac:dyDescent="0.2">
      <c r="A189" s="360" t="s">
        <v>2019</v>
      </c>
      <c r="B189" s="360" t="s">
        <v>511</v>
      </c>
      <c r="C189" s="361">
        <v>307</v>
      </c>
      <c r="D189" s="362">
        <v>90</v>
      </c>
      <c r="E189" s="360" t="s">
        <v>78</v>
      </c>
      <c r="F189" s="360" t="s">
        <v>1792</v>
      </c>
      <c r="G189" s="360" t="s">
        <v>80</v>
      </c>
      <c r="H189" s="360" t="s">
        <v>1924</v>
      </c>
      <c r="I189" s="360" t="e">
        <f>VLOOKUP(Таблица18[[#This Row],[Номер акта]],$AB$1:$AF$1833,3,FALSE)</f>
        <v>#N/A</v>
      </c>
      <c r="J189" s="360" t="s">
        <v>747</v>
      </c>
      <c r="K189" s="360" t="s">
        <v>82</v>
      </c>
      <c r="L189" s="363">
        <v>18680</v>
      </c>
      <c r="M189" s="121"/>
      <c r="N189" s="364">
        <v>10.5</v>
      </c>
      <c r="O189" s="363">
        <v>8960</v>
      </c>
      <c r="P189" s="363">
        <v>8019.2</v>
      </c>
      <c r="Q189" s="121">
        <v>2023</v>
      </c>
      <c r="R189" s="121"/>
      <c r="S189" s="148">
        <v>45091</v>
      </c>
      <c r="T189" s="363">
        <f>Таблица18[[#This Row],[Вес нетто]]-Таблица18[[#This Row],[Зачетный вес]]</f>
        <v>940.80000000000018</v>
      </c>
      <c r="U189" s="365">
        <f>Таблица18[[#This Row],[Отход]]/Таблица18[[#This Row],[Вес нетто]]</f>
        <v>0.10500000000000002</v>
      </c>
      <c r="V189" s="121">
        <f>MONTH(Таблица18[[#This Row],[Дата акта]])</f>
        <v>6</v>
      </c>
      <c r="W189" s="121">
        <v>14</v>
      </c>
      <c r="X189" s="148">
        <f>DATE(1900,Таблица18[[#This Row],[Месяц]],Таблица18[[#This Row],[Число]])</f>
        <v>166</v>
      </c>
      <c r="Y189" s="121"/>
      <c r="Z189" s="121" t="str">
        <f>Таблица18[[#This Row],[Хар-ка]]</f>
        <v>высший</v>
      </c>
      <c r="AD189" s="459"/>
      <c r="AE189" s="391"/>
    </row>
    <row r="190" spans="1:31" s="325" customFormat="1" ht="15.6" hidden="1" customHeight="1" x14ac:dyDescent="0.2">
      <c r="A190" s="360" t="s">
        <v>2020</v>
      </c>
      <c r="B190" s="360" t="s">
        <v>511</v>
      </c>
      <c r="C190" s="361">
        <v>308</v>
      </c>
      <c r="D190" s="362">
        <v>91</v>
      </c>
      <c r="E190" s="360" t="s">
        <v>78</v>
      </c>
      <c r="F190" s="360" t="s">
        <v>1880</v>
      </c>
      <c r="G190" s="360" t="s">
        <v>1802</v>
      </c>
      <c r="H190" s="360" t="s">
        <v>1924</v>
      </c>
      <c r="I190" s="360" t="e">
        <f>VLOOKUP(Таблица18[[#This Row],[Номер акта]],$AB$1:$AF$1833,3,FALSE)</f>
        <v>#N/A</v>
      </c>
      <c r="J190" s="360" t="s">
        <v>747</v>
      </c>
      <c r="K190" s="360" t="s">
        <v>82</v>
      </c>
      <c r="L190" s="363">
        <v>28170</v>
      </c>
      <c r="M190" s="121"/>
      <c r="N190" s="364">
        <v>11.5</v>
      </c>
      <c r="O190" s="363">
        <v>13330</v>
      </c>
      <c r="P190" s="363">
        <v>11797</v>
      </c>
      <c r="Q190" s="121">
        <v>2023</v>
      </c>
      <c r="R190" s="121"/>
      <c r="S190" s="148">
        <v>45091</v>
      </c>
      <c r="T190" s="363">
        <f>Таблица18[[#This Row],[Вес нетто]]-Таблица18[[#This Row],[Зачетный вес]]</f>
        <v>1533</v>
      </c>
      <c r="U190" s="365">
        <f>Таблица18[[#This Row],[Отход]]/Таблица18[[#This Row],[Вес нетто]]</f>
        <v>0.11500375093773443</v>
      </c>
      <c r="V190" s="121">
        <f>MONTH(Таблица18[[#This Row],[Дата акта]])</f>
        <v>6</v>
      </c>
      <c r="W190" s="121">
        <v>14</v>
      </c>
      <c r="X190" s="148">
        <f>DATE(1900,Таблица18[[#This Row],[Месяц]],Таблица18[[#This Row],[Число]])</f>
        <v>166</v>
      </c>
      <c r="Y190" s="121"/>
      <c r="Z190" s="121" t="str">
        <f>Таблица18[[#This Row],[Хар-ка]]</f>
        <v>высший</v>
      </c>
      <c r="AD190" s="459"/>
      <c r="AE190" s="391"/>
    </row>
    <row r="191" spans="1:31" s="325" customFormat="1" ht="15.6" hidden="1" customHeight="1" x14ac:dyDescent="0.2">
      <c r="A191" s="360" t="s">
        <v>2021</v>
      </c>
      <c r="B191" s="360" t="s">
        <v>511</v>
      </c>
      <c r="C191" s="361">
        <v>309</v>
      </c>
      <c r="D191" s="362">
        <v>92</v>
      </c>
      <c r="E191" s="360" t="s">
        <v>78</v>
      </c>
      <c r="F191" s="360" t="s">
        <v>1794</v>
      </c>
      <c r="G191" s="360" t="s">
        <v>1795</v>
      </c>
      <c r="H191" s="360" t="s">
        <v>1924</v>
      </c>
      <c r="I191" s="360" t="e">
        <f>VLOOKUP(Таблица18[[#This Row],[Номер акта]],$AB$1:$AF$1833,3,FALSE)</f>
        <v>#N/A</v>
      </c>
      <c r="J191" s="360" t="s">
        <v>747</v>
      </c>
      <c r="K191" s="360" t="s">
        <v>82</v>
      </c>
      <c r="L191" s="363">
        <v>26860</v>
      </c>
      <c r="M191" s="363">
        <v>13590</v>
      </c>
      <c r="N191" s="364">
        <v>10.5</v>
      </c>
      <c r="O191" s="363">
        <v>13270</v>
      </c>
      <c r="P191" s="363">
        <v>11876.7</v>
      </c>
      <c r="Q191" s="121">
        <v>2023</v>
      </c>
      <c r="R191" s="121"/>
      <c r="S191" s="148">
        <v>45092</v>
      </c>
      <c r="T191" s="363">
        <f>Таблица18[[#This Row],[Вес нетто]]-Таблица18[[#This Row],[Зачетный вес]]</f>
        <v>1393.2999999999993</v>
      </c>
      <c r="U191" s="365">
        <f>Таблица18[[#This Row],[Отход]]/Таблица18[[#This Row],[Вес нетто]]</f>
        <v>0.10499623210248676</v>
      </c>
      <c r="V191" s="121">
        <f>MONTH(Таблица18[[#This Row],[Дата акта]])</f>
        <v>6</v>
      </c>
      <c r="W191" s="121">
        <v>15</v>
      </c>
      <c r="X191" s="148">
        <f>DATE(1900,Таблица18[[#This Row],[Месяц]],Таблица18[[#This Row],[Число]])</f>
        <v>167</v>
      </c>
      <c r="Y191" s="121"/>
      <c r="Z191" s="121" t="str">
        <f>Таблица18[[#This Row],[Хар-ка]]</f>
        <v>высший</v>
      </c>
      <c r="AD191" s="459"/>
      <c r="AE191" s="391"/>
    </row>
    <row r="192" spans="1:31" s="325" customFormat="1" ht="15.6" hidden="1" customHeight="1" x14ac:dyDescent="0.2">
      <c r="A192" s="360" t="s">
        <v>2022</v>
      </c>
      <c r="B192" s="360" t="s">
        <v>511</v>
      </c>
      <c r="C192" s="361">
        <v>310</v>
      </c>
      <c r="D192" s="362">
        <v>93</v>
      </c>
      <c r="E192" s="360" t="s">
        <v>78</v>
      </c>
      <c r="F192" s="360" t="s">
        <v>1792</v>
      </c>
      <c r="G192" s="360" t="s">
        <v>80</v>
      </c>
      <c r="H192" s="360" t="s">
        <v>1924</v>
      </c>
      <c r="I192" s="360" t="e">
        <f>VLOOKUP(Таблица18[[#This Row],[Номер акта]],$AB$1:$AF$1833,3,FALSE)</f>
        <v>#N/A</v>
      </c>
      <c r="J192" s="360" t="s">
        <v>747</v>
      </c>
      <c r="K192" s="360" t="s">
        <v>82</v>
      </c>
      <c r="L192" s="363">
        <v>18590</v>
      </c>
      <c r="M192" s="363">
        <v>9710</v>
      </c>
      <c r="N192" s="364">
        <v>10.5</v>
      </c>
      <c r="O192" s="363">
        <v>8880</v>
      </c>
      <c r="P192" s="363">
        <v>7947.6</v>
      </c>
      <c r="Q192" s="121">
        <v>2023</v>
      </c>
      <c r="R192" s="121"/>
      <c r="S192" s="148">
        <v>45092</v>
      </c>
      <c r="T192" s="363">
        <f>Таблица18[[#This Row],[Вес нетто]]-Таблица18[[#This Row],[Зачетный вес]]</f>
        <v>932.39999999999964</v>
      </c>
      <c r="U192" s="365">
        <f>Таблица18[[#This Row],[Отход]]/Таблица18[[#This Row],[Вес нетто]]</f>
        <v>0.10499999999999995</v>
      </c>
      <c r="V192" s="121">
        <f>MONTH(Таблица18[[#This Row],[Дата акта]])</f>
        <v>6</v>
      </c>
      <c r="W192" s="121">
        <v>15</v>
      </c>
      <c r="X192" s="148">
        <f>DATE(1900,Таблица18[[#This Row],[Месяц]],Таблица18[[#This Row],[Число]])</f>
        <v>167</v>
      </c>
      <c r="Y192" s="121"/>
      <c r="Z192" s="121" t="str">
        <f>Таблица18[[#This Row],[Хар-ка]]</f>
        <v>высший</v>
      </c>
      <c r="AD192" s="459"/>
      <c r="AE192" s="391"/>
    </row>
    <row r="193" spans="1:31" s="325" customFormat="1" ht="15.6" hidden="1" customHeight="1" x14ac:dyDescent="0.2">
      <c r="A193" s="360" t="s">
        <v>2023</v>
      </c>
      <c r="B193" s="360" t="s">
        <v>511</v>
      </c>
      <c r="C193" s="361">
        <v>311</v>
      </c>
      <c r="D193" s="362">
        <v>94</v>
      </c>
      <c r="E193" s="360" t="s">
        <v>78</v>
      </c>
      <c r="F193" s="360" t="s">
        <v>1880</v>
      </c>
      <c r="G193" s="360" t="s">
        <v>1802</v>
      </c>
      <c r="H193" s="360" t="s">
        <v>1924</v>
      </c>
      <c r="I193" s="360" t="e">
        <f>VLOOKUP(Таблица18[[#This Row],[Номер акта]],$AB$1:$AF$1833,3,FALSE)</f>
        <v>#N/A</v>
      </c>
      <c r="J193" s="360" t="s">
        <v>747</v>
      </c>
      <c r="K193" s="360" t="s">
        <v>82</v>
      </c>
      <c r="L193" s="363">
        <v>28260</v>
      </c>
      <c r="M193" s="363">
        <v>14830</v>
      </c>
      <c r="N193" s="364">
        <v>11.5</v>
      </c>
      <c r="O193" s="363">
        <v>13430</v>
      </c>
      <c r="P193" s="363">
        <v>11885.5</v>
      </c>
      <c r="Q193" s="121">
        <v>2023</v>
      </c>
      <c r="R193" s="121"/>
      <c r="S193" s="148">
        <v>45092</v>
      </c>
      <c r="T193" s="363">
        <f>Таблица18[[#This Row],[Вес нетто]]-Таблица18[[#This Row],[Зачетный вес]]</f>
        <v>1544.5</v>
      </c>
      <c r="U193" s="365">
        <f>Таблица18[[#This Row],[Отход]]/Таблица18[[#This Row],[Вес нетто]]</f>
        <v>0.11500372300819062</v>
      </c>
      <c r="V193" s="121">
        <f>MONTH(Таблица18[[#This Row],[Дата акта]])</f>
        <v>6</v>
      </c>
      <c r="W193" s="121">
        <v>15</v>
      </c>
      <c r="X193" s="148">
        <f>DATE(1900,Таблица18[[#This Row],[Месяц]],Таблица18[[#This Row],[Число]])</f>
        <v>167</v>
      </c>
      <c r="Y193" s="121"/>
      <c r="Z193" s="121" t="str">
        <f>Таблица18[[#This Row],[Хар-ка]]</f>
        <v>высший</v>
      </c>
      <c r="AD193" s="459"/>
      <c r="AE193" s="391"/>
    </row>
    <row r="194" spans="1:31" s="325" customFormat="1" ht="15.6" hidden="1" customHeight="1" x14ac:dyDescent="0.2">
      <c r="A194" s="360" t="s">
        <v>2024</v>
      </c>
      <c r="B194" s="360" t="s">
        <v>511</v>
      </c>
      <c r="C194" s="361">
        <v>312</v>
      </c>
      <c r="D194" s="362">
        <v>95</v>
      </c>
      <c r="E194" s="360" t="s">
        <v>78</v>
      </c>
      <c r="F194" s="360" t="s">
        <v>1794</v>
      </c>
      <c r="G194" s="360" t="s">
        <v>1795</v>
      </c>
      <c r="H194" s="360" t="s">
        <v>1924</v>
      </c>
      <c r="I194" s="360" t="e">
        <f>VLOOKUP(Таблица18[[#This Row],[Номер акта]],$AB$1:$AF$1833,3,FALSE)</f>
        <v>#N/A</v>
      </c>
      <c r="J194" s="360" t="s">
        <v>747</v>
      </c>
      <c r="K194" s="360" t="s">
        <v>82</v>
      </c>
      <c r="L194" s="363">
        <v>27010</v>
      </c>
      <c r="M194" s="363">
        <v>13580</v>
      </c>
      <c r="N194" s="364">
        <v>11.5</v>
      </c>
      <c r="O194" s="363">
        <v>13430</v>
      </c>
      <c r="P194" s="363">
        <v>11885.5</v>
      </c>
      <c r="Q194" s="121">
        <v>2023</v>
      </c>
      <c r="R194" s="121"/>
      <c r="S194" s="148">
        <v>45092</v>
      </c>
      <c r="T194" s="363">
        <f>Таблица18[[#This Row],[Вес нетто]]-Таблица18[[#This Row],[Зачетный вес]]</f>
        <v>1544.5</v>
      </c>
      <c r="U194" s="365">
        <f>Таблица18[[#This Row],[Отход]]/Таблица18[[#This Row],[Вес нетто]]</f>
        <v>0.11500372300819062</v>
      </c>
      <c r="V194" s="121">
        <f>MONTH(Таблица18[[#This Row],[Дата акта]])</f>
        <v>6</v>
      </c>
      <c r="W194" s="121">
        <v>15</v>
      </c>
      <c r="X194" s="148">
        <f>DATE(1900,Таблица18[[#This Row],[Месяц]],Таблица18[[#This Row],[Число]])</f>
        <v>167</v>
      </c>
      <c r="Y194" s="121"/>
      <c r="Z194" s="121" t="str">
        <f>Таблица18[[#This Row],[Хар-ка]]</f>
        <v>высший</v>
      </c>
      <c r="AD194" s="459"/>
      <c r="AE194" s="391"/>
    </row>
    <row r="195" spans="1:31" s="325" customFormat="1" ht="15.6" hidden="1" customHeight="1" x14ac:dyDescent="0.2">
      <c r="A195" s="360" t="s">
        <v>2025</v>
      </c>
      <c r="B195" s="360" t="s">
        <v>511</v>
      </c>
      <c r="C195" s="361">
        <v>313</v>
      </c>
      <c r="D195" s="362">
        <v>96</v>
      </c>
      <c r="E195" s="360" t="s">
        <v>78</v>
      </c>
      <c r="F195" s="360" t="s">
        <v>1792</v>
      </c>
      <c r="G195" s="360" t="s">
        <v>80</v>
      </c>
      <c r="H195" s="360" t="s">
        <v>1924</v>
      </c>
      <c r="I195" s="360" t="e">
        <f>VLOOKUP(Таблица18[[#This Row],[Номер акта]],$AB$1:$AF$1833,3,FALSE)</f>
        <v>#N/A</v>
      </c>
      <c r="J195" s="360" t="s">
        <v>747</v>
      </c>
      <c r="K195" s="360" t="s">
        <v>82</v>
      </c>
      <c r="L195" s="363">
        <v>18710</v>
      </c>
      <c r="M195" s="363">
        <v>9730</v>
      </c>
      <c r="N195" s="364">
        <v>12.5</v>
      </c>
      <c r="O195" s="363">
        <v>8980</v>
      </c>
      <c r="P195" s="363">
        <v>7857.5</v>
      </c>
      <c r="Q195" s="121">
        <v>2023</v>
      </c>
      <c r="R195" s="121"/>
      <c r="S195" s="148">
        <v>45092</v>
      </c>
      <c r="T195" s="363">
        <f>Таблица18[[#This Row],[Вес нетто]]-Таблица18[[#This Row],[Зачетный вес]]</f>
        <v>1122.5</v>
      </c>
      <c r="U195" s="365">
        <f>Таблица18[[#This Row],[Отход]]/Таблица18[[#This Row],[Вес нетто]]</f>
        <v>0.125</v>
      </c>
      <c r="V195" s="121">
        <f>MONTH(Таблица18[[#This Row],[Дата акта]])</f>
        <v>6</v>
      </c>
      <c r="W195" s="121">
        <v>15</v>
      </c>
      <c r="X195" s="148">
        <f>DATE(1900,Таблица18[[#This Row],[Месяц]],Таблица18[[#This Row],[Число]])</f>
        <v>167</v>
      </c>
      <c r="Y195" s="121"/>
      <c r="Z195" s="121" t="str">
        <f>Таблица18[[#This Row],[Хар-ка]]</f>
        <v>высший</v>
      </c>
      <c r="AD195" s="459"/>
      <c r="AE195" s="391"/>
    </row>
    <row r="196" spans="1:31" s="325" customFormat="1" ht="15.6" hidden="1" customHeight="1" x14ac:dyDescent="0.2">
      <c r="A196" s="360" t="s">
        <v>2026</v>
      </c>
      <c r="B196" s="360" t="s">
        <v>511</v>
      </c>
      <c r="C196" s="361">
        <v>316</v>
      </c>
      <c r="D196" s="362">
        <v>97</v>
      </c>
      <c r="E196" s="360" t="s">
        <v>78</v>
      </c>
      <c r="F196" s="360" t="s">
        <v>133</v>
      </c>
      <c r="G196" s="360" t="s">
        <v>137</v>
      </c>
      <c r="H196" s="360" t="s">
        <v>1924</v>
      </c>
      <c r="I196" s="360" t="e">
        <f>VLOOKUP(Таблица18[[#This Row],[Номер акта]],$AB$1:$AF$1833,3,FALSE)</f>
        <v>#N/A</v>
      </c>
      <c r="J196" s="360" t="s">
        <v>747</v>
      </c>
      <c r="K196" s="360" t="s">
        <v>82</v>
      </c>
      <c r="L196" s="363">
        <v>32600</v>
      </c>
      <c r="M196" s="121"/>
      <c r="N196" s="364">
        <v>9.5</v>
      </c>
      <c r="O196" s="363">
        <v>15190</v>
      </c>
      <c r="P196" s="363">
        <v>13746.9</v>
      </c>
      <c r="Q196" s="121">
        <v>2023</v>
      </c>
      <c r="R196" s="121"/>
      <c r="S196" s="148">
        <v>45092</v>
      </c>
      <c r="T196" s="363">
        <f>Таблица18[[#This Row],[Вес нетто]]-Таблица18[[#This Row],[Зачетный вес]]</f>
        <v>1443.1000000000004</v>
      </c>
      <c r="U196" s="365">
        <f>Таблица18[[#This Row],[Отход]]/Таблица18[[#This Row],[Вес нетто]]</f>
        <v>9.5003291639236362E-2</v>
      </c>
      <c r="V196" s="121">
        <f>MONTH(Таблица18[[#This Row],[Дата акта]])</f>
        <v>6</v>
      </c>
      <c r="W196" s="121">
        <v>15</v>
      </c>
      <c r="X196" s="148">
        <f>DATE(1900,Таблица18[[#This Row],[Месяц]],Таблица18[[#This Row],[Число]])</f>
        <v>167</v>
      </c>
      <c r="Y196" s="121"/>
      <c r="Z196" s="121" t="str">
        <f>Таблица18[[#This Row],[Хар-ка]]</f>
        <v>высший</v>
      </c>
      <c r="AD196" s="459"/>
      <c r="AE196" s="391"/>
    </row>
    <row r="197" spans="1:31" s="325" customFormat="1" ht="15.6" hidden="1" customHeight="1" x14ac:dyDescent="0.2">
      <c r="A197" s="360" t="s">
        <v>2027</v>
      </c>
      <c r="B197" s="360" t="s">
        <v>511</v>
      </c>
      <c r="C197" s="361">
        <v>318</v>
      </c>
      <c r="D197" s="362">
        <v>98</v>
      </c>
      <c r="E197" s="360" t="s">
        <v>78</v>
      </c>
      <c r="F197" s="360" t="s">
        <v>311</v>
      </c>
      <c r="G197" s="360" t="s">
        <v>315</v>
      </c>
      <c r="H197" s="360" t="s">
        <v>1924</v>
      </c>
      <c r="I197" s="360" t="e">
        <f>VLOOKUP(Таблица18[[#This Row],[Номер акта]],$AB$1:$AF$1833,3,FALSE)</f>
        <v>#N/A</v>
      </c>
      <c r="J197" s="360" t="s">
        <v>747</v>
      </c>
      <c r="K197" s="360" t="s">
        <v>82</v>
      </c>
      <c r="L197" s="363">
        <v>28120</v>
      </c>
      <c r="M197" s="363">
        <v>15090</v>
      </c>
      <c r="N197" s="364">
        <v>10.5</v>
      </c>
      <c r="O197" s="363">
        <v>13030</v>
      </c>
      <c r="P197" s="363">
        <v>11661.8</v>
      </c>
      <c r="Q197" s="121">
        <v>2023</v>
      </c>
      <c r="R197" s="121"/>
      <c r="S197" s="148">
        <v>45092</v>
      </c>
      <c r="T197" s="363">
        <f>Таблица18[[#This Row],[Вес нетто]]-Таблица18[[#This Row],[Зачетный вес]]</f>
        <v>1368.2000000000007</v>
      </c>
      <c r="U197" s="365">
        <f>Таблица18[[#This Row],[Отход]]/Таблица18[[#This Row],[Вес нетто]]</f>
        <v>0.10500383729854189</v>
      </c>
      <c r="V197" s="121">
        <f>MONTH(Таблица18[[#This Row],[Дата акта]])</f>
        <v>6</v>
      </c>
      <c r="W197" s="121">
        <v>15</v>
      </c>
      <c r="X197" s="148">
        <f>DATE(1900,Таблица18[[#This Row],[Месяц]],Таблица18[[#This Row],[Число]])</f>
        <v>167</v>
      </c>
      <c r="Y197" s="121"/>
      <c r="Z197" s="121" t="str">
        <f>Таблица18[[#This Row],[Хар-ка]]</f>
        <v>высший</v>
      </c>
      <c r="AD197" s="459"/>
      <c r="AE197" s="391"/>
    </row>
    <row r="198" spans="1:31" s="325" customFormat="1" ht="15.6" hidden="1" customHeight="1" x14ac:dyDescent="0.2">
      <c r="A198" s="360" t="s">
        <v>2028</v>
      </c>
      <c r="B198" s="360" t="s">
        <v>511</v>
      </c>
      <c r="C198" s="361">
        <v>319</v>
      </c>
      <c r="D198" s="362">
        <v>99</v>
      </c>
      <c r="E198" s="360" t="s">
        <v>78</v>
      </c>
      <c r="F198" s="360" t="s">
        <v>1935</v>
      </c>
      <c r="G198" s="360" t="s">
        <v>1813</v>
      </c>
      <c r="H198" s="360" t="s">
        <v>1924</v>
      </c>
      <c r="I198" s="360" t="e">
        <f>VLOOKUP(Таблица18[[#This Row],[Номер акта]],$AB$1:$AF$1833,3,FALSE)</f>
        <v>#N/A</v>
      </c>
      <c r="J198" s="360" t="s">
        <v>747</v>
      </c>
      <c r="K198" s="360" t="s">
        <v>82</v>
      </c>
      <c r="L198" s="363">
        <v>27410</v>
      </c>
      <c r="M198" s="363">
        <v>14240</v>
      </c>
      <c r="N198" s="364">
        <v>10.5</v>
      </c>
      <c r="O198" s="363">
        <v>13170</v>
      </c>
      <c r="P198" s="363">
        <v>11787.1</v>
      </c>
      <c r="Q198" s="121">
        <v>2023</v>
      </c>
      <c r="R198" s="121"/>
      <c r="S198" s="148">
        <v>45092</v>
      </c>
      <c r="T198" s="363">
        <f>Таблица18[[#This Row],[Вес нетто]]-Таблица18[[#This Row],[Зачетный вес]]</f>
        <v>1382.8999999999996</v>
      </c>
      <c r="U198" s="365">
        <f>Таблица18[[#This Row],[Отход]]/Таблица18[[#This Row],[Вес нетто]]</f>
        <v>0.10500379650721334</v>
      </c>
      <c r="V198" s="121">
        <f>MONTH(Таблица18[[#This Row],[Дата акта]])</f>
        <v>6</v>
      </c>
      <c r="W198" s="121">
        <v>15</v>
      </c>
      <c r="X198" s="148">
        <f>DATE(1900,Таблица18[[#This Row],[Месяц]],Таблица18[[#This Row],[Число]])</f>
        <v>167</v>
      </c>
      <c r="Y198" s="121"/>
      <c r="Z198" s="121" t="str">
        <f>Таблица18[[#This Row],[Хар-ка]]</f>
        <v>высший</v>
      </c>
      <c r="AD198" s="459"/>
      <c r="AE198" s="391"/>
    </row>
    <row r="199" spans="1:31" s="325" customFormat="1" ht="15.6" hidden="1" customHeight="1" x14ac:dyDescent="0.2">
      <c r="A199" s="360" t="s">
        <v>2029</v>
      </c>
      <c r="B199" s="360" t="s">
        <v>511</v>
      </c>
      <c r="C199" s="361">
        <v>320</v>
      </c>
      <c r="D199" s="362">
        <v>100</v>
      </c>
      <c r="E199" s="360" t="s">
        <v>78</v>
      </c>
      <c r="F199" s="360" t="s">
        <v>133</v>
      </c>
      <c r="G199" s="360" t="s">
        <v>137</v>
      </c>
      <c r="H199" s="360" t="s">
        <v>1924</v>
      </c>
      <c r="I199" s="360" t="e">
        <f>VLOOKUP(Таблица18[[#This Row],[Номер акта]],$AB$1:$AF$1833,3,FALSE)</f>
        <v>#N/A</v>
      </c>
      <c r="J199" s="360" t="s">
        <v>747</v>
      </c>
      <c r="K199" s="360" t="s">
        <v>82</v>
      </c>
      <c r="L199" s="363">
        <v>32840</v>
      </c>
      <c r="M199" s="363">
        <v>17380</v>
      </c>
      <c r="N199" s="364">
        <v>11.5</v>
      </c>
      <c r="O199" s="363">
        <v>15460</v>
      </c>
      <c r="P199" s="363">
        <v>13682.1</v>
      </c>
      <c r="Q199" s="121">
        <v>2023</v>
      </c>
      <c r="R199" s="121"/>
      <c r="S199" s="148">
        <v>45092</v>
      </c>
      <c r="T199" s="363">
        <f>Таблица18[[#This Row],[Вес нетто]]-Таблица18[[#This Row],[Зачетный вес]]</f>
        <v>1777.8999999999996</v>
      </c>
      <c r="U199" s="365">
        <f>Таблица18[[#This Row],[Отход]]/Таблица18[[#This Row],[Вес нетто]]</f>
        <v>0.11499999999999998</v>
      </c>
      <c r="V199" s="121">
        <f>MONTH(Таблица18[[#This Row],[Дата акта]])</f>
        <v>6</v>
      </c>
      <c r="W199" s="121">
        <v>15</v>
      </c>
      <c r="X199" s="148">
        <f>DATE(1900,Таблица18[[#This Row],[Месяц]],Таблица18[[#This Row],[Число]])</f>
        <v>167</v>
      </c>
      <c r="Y199" s="121"/>
      <c r="Z199" s="121" t="str">
        <f>Таблица18[[#This Row],[Хар-ка]]</f>
        <v>высший</v>
      </c>
      <c r="AD199" s="459"/>
      <c r="AE199" s="391"/>
    </row>
    <row r="200" spans="1:31" s="325" customFormat="1" ht="15.6" hidden="1" customHeight="1" x14ac:dyDescent="0.2">
      <c r="A200" s="360" t="s">
        <v>2030</v>
      </c>
      <c r="B200" s="360" t="s">
        <v>511</v>
      </c>
      <c r="C200" s="361">
        <v>321</v>
      </c>
      <c r="D200" s="362">
        <v>101</v>
      </c>
      <c r="E200" s="360" t="s">
        <v>78</v>
      </c>
      <c r="F200" s="360" t="s">
        <v>311</v>
      </c>
      <c r="G200" s="360" t="s">
        <v>315</v>
      </c>
      <c r="H200" s="360" t="s">
        <v>1924</v>
      </c>
      <c r="I200" s="360" t="e">
        <f>VLOOKUP(Таблица18[[#This Row],[Номер акта]],$AB$1:$AF$1833,3,FALSE)</f>
        <v>#N/A</v>
      </c>
      <c r="J200" s="360" t="s">
        <v>747</v>
      </c>
      <c r="K200" s="360" t="s">
        <v>82</v>
      </c>
      <c r="L200" s="363">
        <v>28350</v>
      </c>
      <c r="M200" s="363">
        <v>15080</v>
      </c>
      <c r="N200" s="364">
        <v>10.5</v>
      </c>
      <c r="O200" s="363">
        <v>13270</v>
      </c>
      <c r="P200" s="363">
        <v>11876.6</v>
      </c>
      <c r="Q200" s="121">
        <v>2023</v>
      </c>
      <c r="R200" s="121"/>
      <c r="S200" s="148">
        <v>45092</v>
      </c>
      <c r="T200" s="363">
        <f>Таблица18[[#This Row],[Вес нетто]]-Таблица18[[#This Row],[Зачетный вес]]</f>
        <v>1393.3999999999996</v>
      </c>
      <c r="U200" s="365">
        <f>Таблица18[[#This Row],[Отход]]/Таблица18[[#This Row],[Вес нетто]]</f>
        <v>0.10500376789751316</v>
      </c>
      <c r="V200" s="121">
        <f>MONTH(Таблица18[[#This Row],[Дата акта]])</f>
        <v>6</v>
      </c>
      <c r="W200" s="121">
        <v>15</v>
      </c>
      <c r="X200" s="148">
        <f>DATE(1900,Таблица18[[#This Row],[Месяц]],Таблица18[[#This Row],[Число]])</f>
        <v>167</v>
      </c>
      <c r="Y200" s="121"/>
      <c r="Z200" s="121" t="str">
        <f>Таблица18[[#This Row],[Хар-ка]]</f>
        <v>высший</v>
      </c>
      <c r="AD200" s="459"/>
      <c r="AE200" s="391"/>
    </row>
    <row r="201" spans="1:31" s="325" customFormat="1" ht="15.6" hidden="1" customHeight="1" x14ac:dyDescent="0.2">
      <c r="A201" s="360" t="s">
        <v>2031</v>
      </c>
      <c r="B201" s="360" t="s">
        <v>511</v>
      </c>
      <c r="C201" s="361">
        <v>322</v>
      </c>
      <c r="D201" s="362">
        <v>102</v>
      </c>
      <c r="E201" s="360" t="s">
        <v>78</v>
      </c>
      <c r="F201" s="360" t="s">
        <v>1935</v>
      </c>
      <c r="G201" s="360" t="s">
        <v>1813</v>
      </c>
      <c r="H201" s="360" t="s">
        <v>1924</v>
      </c>
      <c r="I201" s="360" t="e">
        <f>VLOOKUP(Таблица18[[#This Row],[Номер акта]],$AB$1:$AF$1833,3,FALSE)</f>
        <v>#N/A</v>
      </c>
      <c r="J201" s="360" t="s">
        <v>747</v>
      </c>
      <c r="K201" s="360" t="s">
        <v>82</v>
      </c>
      <c r="L201" s="363">
        <v>27550</v>
      </c>
      <c r="M201" s="363">
        <v>14260</v>
      </c>
      <c r="N201" s="364">
        <v>11.5</v>
      </c>
      <c r="O201" s="363">
        <v>13290</v>
      </c>
      <c r="P201" s="363">
        <v>11761.6</v>
      </c>
      <c r="Q201" s="121">
        <v>2023</v>
      </c>
      <c r="R201" s="121"/>
      <c r="S201" s="148">
        <v>45092</v>
      </c>
      <c r="T201" s="363">
        <f>Таблица18[[#This Row],[Вес нетто]]-Таблица18[[#This Row],[Зачетный вес]]</f>
        <v>1528.3999999999996</v>
      </c>
      <c r="U201" s="365">
        <f>Таблица18[[#This Row],[Отход]]/Таблица18[[#This Row],[Вес нетто]]</f>
        <v>0.1150037622272385</v>
      </c>
      <c r="V201" s="121">
        <f>MONTH(Таблица18[[#This Row],[Дата акта]])</f>
        <v>6</v>
      </c>
      <c r="W201" s="121">
        <v>15</v>
      </c>
      <c r="X201" s="148">
        <f>DATE(1900,Таблица18[[#This Row],[Месяц]],Таблица18[[#This Row],[Число]])</f>
        <v>167</v>
      </c>
      <c r="Y201" s="121"/>
      <c r="Z201" s="121" t="str">
        <f>Таблица18[[#This Row],[Хар-ка]]</f>
        <v>высший</v>
      </c>
      <c r="AD201" s="459"/>
      <c r="AE201" s="391"/>
    </row>
    <row r="202" spans="1:31" s="325" customFormat="1" ht="15.6" hidden="1" customHeight="1" x14ac:dyDescent="0.2">
      <c r="A202" s="360" t="s">
        <v>2032</v>
      </c>
      <c r="B202" s="360" t="s">
        <v>511</v>
      </c>
      <c r="C202" s="361">
        <v>323</v>
      </c>
      <c r="D202" s="362">
        <v>103</v>
      </c>
      <c r="E202" s="360" t="s">
        <v>78</v>
      </c>
      <c r="F202" s="360" t="s">
        <v>133</v>
      </c>
      <c r="G202" s="360" t="s">
        <v>137</v>
      </c>
      <c r="H202" s="360" t="s">
        <v>1924</v>
      </c>
      <c r="I202" s="360" t="e">
        <f>VLOOKUP(Таблица18[[#This Row],[Номер акта]],$AB$1:$AF$1833,3,FALSE)</f>
        <v>#N/A</v>
      </c>
      <c r="J202" s="360" t="s">
        <v>747</v>
      </c>
      <c r="K202" s="360" t="s">
        <v>82</v>
      </c>
      <c r="L202" s="363">
        <v>32800</v>
      </c>
      <c r="M202" s="363">
        <v>17370</v>
      </c>
      <c r="N202" s="364">
        <v>13.5</v>
      </c>
      <c r="O202" s="363">
        <v>15430</v>
      </c>
      <c r="P202" s="363">
        <v>13346.9</v>
      </c>
      <c r="Q202" s="121">
        <v>2023</v>
      </c>
      <c r="R202" s="121"/>
      <c r="S202" s="148">
        <v>45092</v>
      </c>
      <c r="T202" s="363">
        <f>Таблица18[[#This Row],[Вес нетто]]-Таблица18[[#This Row],[Зачетный вес]]</f>
        <v>2083.1000000000004</v>
      </c>
      <c r="U202" s="365">
        <f>Таблица18[[#This Row],[Отход]]/Таблица18[[#This Row],[Вес нетто]]</f>
        <v>0.13500324044069995</v>
      </c>
      <c r="V202" s="121">
        <f>MONTH(Таблица18[[#This Row],[Дата акта]])</f>
        <v>6</v>
      </c>
      <c r="W202" s="121">
        <v>15</v>
      </c>
      <c r="X202" s="148">
        <f>DATE(1900,Таблица18[[#This Row],[Месяц]],Таблица18[[#This Row],[Число]])</f>
        <v>167</v>
      </c>
      <c r="Y202" s="121"/>
      <c r="Z202" s="121" t="str">
        <f>Таблица18[[#This Row],[Хар-ка]]</f>
        <v>высший</v>
      </c>
      <c r="AD202" s="459"/>
      <c r="AE202" s="391"/>
    </row>
    <row r="203" spans="1:31" s="325" customFormat="1" ht="15.6" hidden="1" customHeight="1" x14ac:dyDescent="0.2">
      <c r="A203" s="360" t="s">
        <v>2033</v>
      </c>
      <c r="B203" s="360" t="s">
        <v>511</v>
      </c>
      <c r="C203" s="361">
        <v>324</v>
      </c>
      <c r="D203" s="362">
        <v>104</v>
      </c>
      <c r="E203" s="360" t="s">
        <v>78</v>
      </c>
      <c r="F203" s="360" t="s">
        <v>311</v>
      </c>
      <c r="G203" s="360" t="s">
        <v>315</v>
      </c>
      <c r="H203" s="360" t="s">
        <v>1924</v>
      </c>
      <c r="I203" s="360" t="e">
        <f>VLOOKUP(Таблица18[[#This Row],[Номер акта]],$AB$1:$AF$1833,3,FALSE)</f>
        <v>#N/A</v>
      </c>
      <c r="J203" s="360" t="s">
        <v>747</v>
      </c>
      <c r="K203" s="360" t="s">
        <v>82</v>
      </c>
      <c r="L203" s="363">
        <v>28170</v>
      </c>
      <c r="M203" s="363">
        <v>15050</v>
      </c>
      <c r="N203" s="364">
        <v>11.5</v>
      </c>
      <c r="O203" s="363">
        <v>13120</v>
      </c>
      <c r="P203" s="363">
        <v>11611.2</v>
      </c>
      <c r="Q203" s="121">
        <v>2023</v>
      </c>
      <c r="R203" s="121"/>
      <c r="S203" s="148">
        <v>45092</v>
      </c>
      <c r="T203" s="363">
        <f>Таблица18[[#This Row],[Вес нетто]]-Таблица18[[#This Row],[Зачетный вес]]</f>
        <v>1508.7999999999993</v>
      </c>
      <c r="U203" s="365">
        <f>Таблица18[[#This Row],[Отход]]/Таблица18[[#This Row],[Вес нетто]]</f>
        <v>0.11499999999999995</v>
      </c>
      <c r="V203" s="121">
        <f>MONTH(Таблица18[[#This Row],[Дата акта]])</f>
        <v>6</v>
      </c>
      <c r="W203" s="121">
        <v>15</v>
      </c>
      <c r="X203" s="148">
        <f>DATE(1900,Таблица18[[#This Row],[Месяц]],Таблица18[[#This Row],[Число]])</f>
        <v>167</v>
      </c>
      <c r="Y203" s="121"/>
      <c r="Z203" s="121" t="str">
        <f>Таблица18[[#This Row],[Хар-ка]]</f>
        <v>высший</v>
      </c>
      <c r="AD203" s="459"/>
      <c r="AE203" s="391"/>
    </row>
    <row r="204" spans="1:31" s="325" customFormat="1" ht="15.6" hidden="1" customHeight="1" x14ac:dyDescent="0.2">
      <c r="A204" s="360" t="s">
        <v>2034</v>
      </c>
      <c r="B204" s="360" t="s">
        <v>511</v>
      </c>
      <c r="C204" s="361">
        <v>325</v>
      </c>
      <c r="D204" s="362">
        <v>105</v>
      </c>
      <c r="E204" s="360" t="s">
        <v>78</v>
      </c>
      <c r="F204" s="360" t="s">
        <v>1935</v>
      </c>
      <c r="G204" s="360" t="s">
        <v>1813</v>
      </c>
      <c r="H204" s="360" t="s">
        <v>1924</v>
      </c>
      <c r="I204" s="360" t="e">
        <f>VLOOKUP(Таблица18[[#This Row],[Номер акта]],$AB$1:$AF$1833,3,FALSE)</f>
        <v>#N/A</v>
      </c>
      <c r="J204" s="360" t="s">
        <v>747</v>
      </c>
      <c r="K204" s="360" t="s">
        <v>82</v>
      </c>
      <c r="L204" s="363">
        <v>27350</v>
      </c>
      <c r="M204" s="363">
        <v>14380</v>
      </c>
      <c r="N204" s="364">
        <v>11.5</v>
      </c>
      <c r="O204" s="363">
        <v>12970</v>
      </c>
      <c r="P204" s="363">
        <v>11478.4</v>
      </c>
      <c r="Q204" s="121">
        <v>2023</v>
      </c>
      <c r="R204" s="121"/>
      <c r="S204" s="148">
        <v>45092</v>
      </c>
      <c r="T204" s="363">
        <f>Таблица18[[#This Row],[Вес нетто]]-Таблица18[[#This Row],[Зачетный вес]]</f>
        <v>1491.6000000000004</v>
      </c>
      <c r="U204" s="365">
        <f>Таблица18[[#This Row],[Отход]]/Таблица18[[#This Row],[Вес нетто]]</f>
        <v>0.11500385505011568</v>
      </c>
      <c r="V204" s="121">
        <f>MONTH(Таблица18[[#This Row],[Дата акта]])</f>
        <v>6</v>
      </c>
      <c r="W204" s="121">
        <v>15</v>
      </c>
      <c r="X204" s="148">
        <f>DATE(1900,Таблица18[[#This Row],[Месяц]],Таблица18[[#This Row],[Число]])</f>
        <v>167</v>
      </c>
      <c r="Y204" s="121"/>
      <c r="Z204" s="121" t="str">
        <f>Таблица18[[#This Row],[Хар-ка]]</f>
        <v>высший</v>
      </c>
      <c r="AD204" s="459"/>
      <c r="AE204" s="391"/>
    </row>
    <row r="205" spans="1:31" s="325" customFormat="1" ht="15.6" hidden="1" customHeight="1" x14ac:dyDescent="0.2">
      <c r="A205" s="360" t="s">
        <v>2035</v>
      </c>
      <c r="B205" s="360" t="s">
        <v>511</v>
      </c>
      <c r="C205" s="361">
        <v>326</v>
      </c>
      <c r="D205" s="362">
        <v>106</v>
      </c>
      <c r="E205" s="360" t="s">
        <v>78</v>
      </c>
      <c r="F205" s="360" t="s">
        <v>133</v>
      </c>
      <c r="G205" s="360" t="s">
        <v>137</v>
      </c>
      <c r="H205" s="360" t="s">
        <v>1924</v>
      </c>
      <c r="I205" s="360" t="e">
        <f>VLOOKUP(Таблица18[[#This Row],[Номер акта]],$AB$1:$AF$1833,3,FALSE)</f>
        <v>#N/A</v>
      </c>
      <c r="J205" s="360" t="s">
        <v>747</v>
      </c>
      <c r="K205" s="360" t="s">
        <v>82</v>
      </c>
      <c r="L205" s="363">
        <v>32610</v>
      </c>
      <c r="M205" s="363">
        <v>17350</v>
      </c>
      <c r="N205" s="364">
        <v>12.5</v>
      </c>
      <c r="O205" s="363">
        <v>15260</v>
      </c>
      <c r="P205" s="363">
        <v>13352.5</v>
      </c>
      <c r="Q205" s="121">
        <v>2023</v>
      </c>
      <c r="R205" s="121"/>
      <c r="S205" s="148">
        <v>45092</v>
      </c>
      <c r="T205" s="363">
        <f>Таблица18[[#This Row],[Вес нетто]]-Таблица18[[#This Row],[Зачетный вес]]</f>
        <v>1907.5</v>
      </c>
      <c r="U205" s="365">
        <f>Таблица18[[#This Row],[Отход]]/Таблица18[[#This Row],[Вес нетто]]</f>
        <v>0.125</v>
      </c>
      <c r="V205" s="121">
        <f>MONTH(Таблица18[[#This Row],[Дата акта]])</f>
        <v>6</v>
      </c>
      <c r="W205" s="121">
        <v>15</v>
      </c>
      <c r="X205" s="148">
        <f>DATE(1900,Таблица18[[#This Row],[Месяц]],Таблица18[[#This Row],[Число]])</f>
        <v>167</v>
      </c>
      <c r="Y205" s="121"/>
      <c r="Z205" s="121" t="str">
        <f>Таблица18[[#This Row],[Хар-ка]]</f>
        <v>высший</v>
      </c>
      <c r="AD205" s="459"/>
      <c r="AE205" s="391"/>
    </row>
    <row r="206" spans="1:31" s="325" customFormat="1" ht="15.6" hidden="1" customHeight="1" x14ac:dyDescent="0.2">
      <c r="A206" s="360" t="s">
        <v>2036</v>
      </c>
      <c r="B206" s="360" t="s">
        <v>511</v>
      </c>
      <c r="C206" s="361">
        <v>327</v>
      </c>
      <c r="D206" s="362">
        <v>107</v>
      </c>
      <c r="E206" s="360" t="s">
        <v>78</v>
      </c>
      <c r="F206" s="360" t="s">
        <v>311</v>
      </c>
      <c r="G206" s="360" t="s">
        <v>315</v>
      </c>
      <c r="H206" s="360" t="s">
        <v>1924</v>
      </c>
      <c r="I206" s="360" t="e">
        <f>VLOOKUP(Таблица18[[#This Row],[Номер акта]],$AB$1:$AF$1833,3,FALSE)</f>
        <v>#N/A</v>
      </c>
      <c r="J206" s="360" t="s">
        <v>747</v>
      </c>
      <c r="K206" s="360" t="s">
        <v>82</v>
      </c>
      <c r="L206" s="363">
        <v>28220</v>
      </c>
      <c r="M206" s="363">
        <v>15090</v>
      </c>
      <c r="N206" s="364">
        <v>11.5</v>
      </c>
      <c r="O206" s="363">
        <v>13130</v>
      </c>
      <c r="P206" s="363">
        <v>11620</v>
      </c>
      <c r="Q206" s="121">
        <v>2023</v>
      </c>
      <c r="R206" s="121"/>
      <c r="S206" s="148">
        <v>45093</v>
      </c>
      <c r="T206" s="363">
        <f>Таблица18[[#This Row],[Вес нетто]]-Таблица18[[#This Row],[Зачетный вес]]</f>
        <v>1510</v>
      </c>
      <c r="U206" s="365">
        <f>Таблица18[[#This Row],[Отход]]/Таблица18[[#This Row],[Вес нетто]]</f>
        <v>0.115003808073115</v>
      </c>
      <c r="V206" s="121">
        <f>MONTH(Таблица18[[#This Row],[Дата акта]])</f>
        <v>6</v>
      </c>
      <c r="W206" s="121">
        <v>16</v>
      </c>
      <c r="X206" s="148">
        <f>DATE(1900,Таблица18[[#This Row],[Месяц]],Таблица18[[#This Row],[Число]])</f>
        <v>168</v>
      </c>
      <c r="Y206" s="121"/>
      <c r="Z206" s="121" t="str">
        <f>Таблица18[[#This Row],[Хар-ка]]</f>
        <v>высший</v>
      </c>
      <c r="AD206" s="459"/>
      <c r="AE206" s="391"/>
    </row>
    <row r="207" spans="1:31" s="325" customFormat="1" ht="15.6" hidden="1" customHeight="1" x14ac:dyDescent="0.2">
      <c r="A207" s="360" t="s">
        <v>2037</v>
      </c>
      <c r="B207" s="360" t="s">
        <v>511</v>
      </c>
      <c r="C207" s="361">
        <v>328</v>
      </c>
      <c r="D207" s="362">
        <v>108</v>
      </c>
      <c r="E207" s="360" t="s">
        <v>78</v>
      </c>
      <c r="F207" s="360" t="s">
        <v>1935</v>
      </c>
      <c r="G207" s="360" t="s">
        <v>1813</v>
      </c>
      <c r="H207" s="360" t="s">
        <v>1924</v>
      </c>
      <c r="I207" s="360" t="e">
        <f>VLOOKUP(Таблица18[[#This Row],[Номер акта]],$AB$1:$AF$1833,3,FALSE)</f>
        <v>#N/A</v>
      </c>
      <c r="J207" s="360" t="s">
        <v>747</v>
      </c>
      <c r="K207" s="360" t="s">
        <v>82</v>
      </c>
      <c r="L207" s="363">
        <v>27390</v>
      </c>
      <c r="M207" s="363">
        <v>14430</v>
      </c>
      <c r="N207" s="364">
        <v>11.5</v>
      </c>
      <c r="O207" s="363">
        <v>12960</v>
      </c>
      <c r="P207" s="363">
        <v>11469.6</v>
      </c>
      <c r="Q207" s="121">
        <v>2023</v>
      </c>
      <c r="R207" s="121"/>
      <c r="S207" s="148">
        <v>45093</v>
      </c>
      <c r="T207" s="363">
        <f>Таблица18[[#This Row],[Вес нетто]]-Таблица18[[#This Row],[Зачетный вес]]</f>
        <v>1490.3999999999996</v>
      </c>
      <c r="U207" s="365">
        <f>Таблица18[[#This Row],[Отход]]/Таблица18[[#This Row],[Вес нетто]]</f>
        <v>0.11499999999999998</v>
      </c>
      <c r="V207" s="121">
        <f>MONTH(Таблица18[[#This Row],[Дата акта]])</f>
        <v>6</v>
      </c>
      <c r="W207" s="121">
        <v>16</v>
      </c>
      <c r="X207" s="148">
        <f>DATE(1900,Таблица18[[#This Row],[Месяц]],Таблица18[[#This Row],[Число]])</f>
        <v>168</v>
      </c>
      <c r="Y207" s="121"/>
      <c r="Z207" s="121" t="str">
        <f>Таблица18[[#This Row],[Хар-ка]]</f>
        <v>высший</v>
      </c>
      <c r="AD207" s="459"/>
      <c r="AE207" s="391"/>
    </row>
    <row r="208" spans="1:31" s="325" customFormat="1" ht="15.6" hidden="1" customHeight="1" x14ac:dyDescent="0.2">
      <c r="A208" s="360" t="s">
        <v>2038</v>
      </c>
      <c r="B208" s="360" t="s">
        <v>511</v>
      </c>
      <c r="C208" s="361">
        <v>329</v>
      </c>
      <c r="D208" s="362">
        <v>109</v>
      </c>
      <c r="E208" s="360" t="s">
        <v>78</v>
      </c>
      <c r="F208" s="360" t="s">
        <v>133</v>
      </c>
      <c r="G208" s="360" t="s">
        <v>137</v>
      </c>
      <c r="H208" s="360" t="s">
        <v>1924</v>
      </c>
      <c r="I208" s="360" t="e">
        <f>VLOOKUP(Таблица18[[#This Row],[Номер акта]],$AB$1:$AF$1833,3,FALSE)</f>
        <v>#N/A</v>
      </c>
      <c r="J208" s="360" t="s">
        <v>747</v>
      </c>
      <c r="K208" s="360" t="s">
        <v>82</v>
      </c>
      <c r="L208" s="363">
        <v>32260</v>
      </c>
      <c r="M208" s="363">
        <v>17350</v>
      </c>
      <c r="N208" s="364">
        <v>12.5</v>
      </c>
      <c r="O208" s="363">
        <v>14910</v>
      </c>
      <c r="P208" s="363">
        <v>13046.2</v>
      </c>
      <c r="Q208" s="121">
        <v>2023</v>
      </c>
      <c r="R208" s="121"/>
      <c r="S208" s="148">
        <v>45093</v>
      </c>
      <c r="T208" s="363">
        <f>Таблица18[[#This Row],[Вес нетто]]-Таблица18[[#This Row],[Зачетный вес]]</f>
        <v>1863.7999999999993</v>
      </c>
      <c r="U208" s="365">
        <f>Таблица18[[#This Row],[Отход]]/Таблица18[[#This Row],[Вес нетто]]</f>
        <v>0.12500335345405764</v>
      </c>
      <c r="V208" s="121">
        <f>MONTH(Таблица18[[#This Row],[Дата акта]])</f>
        <v>6</v>
      </c>
      <c r="W208" s="121">
        <v>16</v>
      </c>
      <c r="X208" s="148">
        <f>DATE(1900,Таблица18[[#This Row],[Месяц]],Таблица18[[#This Row],[Число]])</f>
        <v>168</v>
      </c>
      <c r="Y208" s="121"/>
      <c r="Z208" s="121" t="str">
        <f>Таблица18[[#This Row],[Хар-ка]]</f>
        <v>высший</v>
      </c>
      <c r="AD208" s="459"/>
      <c r="AE208" s="391"/>
    </row>
    <row r="209" spans="1:31" s="325" customFormat="1" ht="15.6" hidden="1" customHeight="1" x14ac:dyDescent="0.2">
      <c r="A209" s="360" t="s">
        <v>2039</v>
      </c>
      <c r="B209" s="360" t="s">
        <v>511</v>
      </c>
      <c r="C209" s="361">
        <v>330</v>
      </c>
      <c r="D209" s="362">
        <v>107</v>
      </c>
      <c r="E209" s="360" t="s">
        <v>78</v>
      </c>
      <c r="F209" s="360" t="s">
        <v>311</v>
      </c>
      <c r="G209" s="360" t="s">
        <v>315</v>
      </c>
      <c r="H209" s="360" t="s">
        <v>1924</v>
      </c>
      <c r="I209" s="360" t="e">
        <f>VLOOKUP(Таблица18[[#This Row],[Номер акта]],$AB$1:$AF$1833,3,FALSE)</f>
        <v>#N/A</v>
      </c>
      <c r="J209" s="360" t="s">
        <v>747</v>
      </c>
      <c r="K209" s="360" t="s">
        <v>82</v>
      </c>
      <c r="L209" s="363">
        <v>28260</v>
      </c>
      <c r="M209" s="363">
        <v>15080</v>
      </c>
      <c r="N209" s="364">
        <v>10.5</v>
      </c>
      <c r="O209" s="363">
        <v>13180</v>
      </c>
      <c r="P209" s="363">
        <v>11796.1</v>
      </c>
      <c r="Q209" s="121">
        <v>2023</v>
      </c>
      <c r="R209" s="121"/>
      <c r="S209" s="148">
        <v>45093</v>
      </c>
      <c r="T209" s="363">
        <f>Таблица18[[#This Row],[Вес нетто]]-Таблица18[[#This Row],[Зачетный вес]]</f>
        <v>1383.8999999999996</v>
      </c>
      <c r="U209" s="365">
        <f>Таблица18[[#This Row],[Отход]]/Таблица18[[#This Row],[Вес нетто]]</f>
        <v>0.10499999999999997</v>
      </c>
      <c r="V209" s="121">
        <f>MONTH(Таблица18[[#This Row],[Дата акта]])</f>
        <v>6</v>
      </c>
      <c r="W209" s="121">
        <v>16</v>
      </c>
      <c r="X209" s="148">
        <f>DATE(1900,Таблица18[[#This Row],[Месяц]],Таблица18[[#This Row],[Число]])</f>
        <v>168</v>
      </c>
      <c r="Y209" s="121"/>
      <c r="Z209" s="121" t="str">
        <f>Таблица18[[#This Row],[Хар-ка]]</f>
        <v>высший</v>
      </c>
      <c r="AD209" s="459"/>
      <c r="AE209" s="391"/>
    </row>
    <row r="210" spans="1:31" s="325" customFormat="1" ht="15.6" hidden="1" customHeight="1" x14ac:dyDescent="0.2">
      <c r="A210" s="360" t="s">
        <v>2040</v>
      </c>
      <c r="B210" s="360" t="s">
        <v>511</v>
      </c>
      <c r="C210" s="361">
        <v>331</v>
      </c>
      <c r="D210" s="362">
        <v>111</v>
      </c>
      <c r="E210" s="360" t="s">
        <v>78</v>
      </c>
      <c r="F210" s="360" t="s">
        <v>1935</v>
      </c>
      <c r="G210" s="360" t="s">
        <v>1813</v>
      </c>
      <c r="H210" s="360" t="s">
        <v>1924</v>
      </c>
      <c r="I210" s="360" t="e">
        <f>VLOOKUP(Таблица18[[#This Row],[Номер акта]],$AB$1:$AF$1833,3,FALSE)</f>
        <v>#N/A</v>
      </c>
      <c r="J210" s="360" t="s">
        <v>747</v>
      </c>
      <c r="K210" s="360" t="s">
        <v>82</v>
      </c>
      <c r="L210" s="363">
        <v>27520</v>
      </c>
      <c r="M210" s="363">
        <v>14500</v>
      </c>
      <c r="N210" s="364">
        <v>9.5</v>
      </c>
      <c r="O210" s="363">
        <v>13020</v>
      </c>
      <c r="P210" s="363">
        <v>11783.1</v>
      </c>
      <c r="Q210" s="121">
        <v>2023</v>
      </c>
      <c r="R210" s="121"/>
      <c r="S210" s="148">
        <v>45093</v>
      </c>
      <c r="T210" s="363">
        <f>Таблица18[[#This Row],[Вес нетто]]-Таблица18[[#This Row],[Зачетный вес]]</f>
        <v>1236.8999999999996</v>
      </c>
      <c r="U210" s="365">
        <f>Таблица18[[#This Row],[Отход]]/Таблица18[[#This Row],[Вес нетто]]</f>
        <v>9.4999999999999973E-2</v>
      </c>
      <c r="V210" s="121">
        <f>MONTH(Таблица18[[#This Row],[Дата акта]])</f>
        <v>6</v>
      </c>
      <c r="W210" s="121">
        <v>16</v>
      </c>
      <c r="X210" s="148">
        <f>DATE(1900,Таблица18[[#This Row],[Месяц]],Таблица18[[#This Row],[Число]])</f>
        <v>168</v>
      </c>
      <c r="Y210" s="121"/>
      <c r="Z210" s="121" t="str">
        <f>Таблица18[[#This Row],[Хар-ка]]</f>
        <v>высший</v>
      </c>
      <c r="AD210" s="459"/>
      <c r="AE210" s="391"/>
    </row>
    <row r="211" spans="1:31" s="325" customFormat="1" ht="15.6" hidden="1" customHeight="1" x14ac:dyDescent="0.2">
      <c r="A211" s="360" t="s">
        <v>2041</v>
      </c>
      <c r="B211" s="360" t="s">
        <v>511</v>
      </c>
      <c r="C211" s="361">
        <v>332</v>
      </c>
      <c r="D211" s="362">
        <v>112</v>
      </c>
      <c r="E211" s="360" t="s">
        <v>78</v>
      </c>
      <c r="F211" s="360" t="s">
        <v>133</v>
      </c>
      <c r="G211" s="360" t="s">
        <v>137</v>
      </c>
      <c r="H211" s="360" t="s">
        <v>1924</v>
      </c>
      <c r="I211" s="360" t="e">
        <f>VLOOKUP(Таблица18[[#This Row],[Номер акта]],$AB$1:$AF$1833,3,FALSE)</f>
        <v>#N/A</v>
      </c>
      <c r="J211" s="360" t="s">
        <v>747</v>
      </c>
      <c r="K211" s="360" t="s">
        <v>82</v>
      </c>
      <c r="L211" s="363">
        <v>32560</v>
      </c>
      <c r="M211" s="363">
        <v>17350</v>
      </c>
      <c r="N211" s="364">
        <v>11.5</v>
      </c>
      <c r="O211" s="363">
        <v>15210</v>
      </c>
      <c r="P211" s="363">
        <v>13460.8</v>
      </c>
      <c r="Q211" s="121">
        <v>2023</v>
      </c>
      <c r="R211" s="121"/>
      <c r="S211" s="148">
        <v>45093</v>
      </c>
      <c r="T211" s="363">
        <f>Таблица18[[#This Row],[Вес нетто]]-Таблица18[[#This Row],[Зачетный вес]]</f>
        <v>1749.2000000000007</v>
      </c>
      <c r="U211" s="365">
        <f>Таблица18[[#This Row],[Отход]]/Таблица18[[#This Row],[Вес нетто]]</f>
        <v>0.11500328731097967</v>
      </c>
      <c r="V211" s="121">
        <f>MONTH(Таблица18[[#This Row],[Дата акта]])</f>
        <v>6</v>
      </c>
      <c r="W211" s="121">
        <v>16</v>
      </c>
      <c r="X211" s="148">
        <f>DATE(1900,Таблица18[[#This Row],[Месяц]],Таблица18[[#This Row],[Число]])</f>
        <v>168</v>
      </c>
      <c r="Y211" s="121"/>
      <c r="Z211" s="121" t="str">
        <f>Таблица18[[#This Row],[Хар-ка]]</f>
        <v>высший</v>
      </c>
      <c r="AD211" s="459"/>
      <c r="AE211" s="391"/>
    </row>
    <row r="212" spans="1:31" s="325" customFormat="1" ht="15.6" hidden="1" customHeight="1" x14ac:dyDescent="0.2">
      <c r="A212" s="360" t="s">
        <v>2042</v>
      </c>
      <c r="B212" s="360" t="s">
        <v>511</v>
      </c>
      <c r="C212" s="361">
        <v>333</v>
      </c>
      <c r="D212" s="362">
        <v>113</v>
      </c>
      <c r="E212" s="360" t="s">
        <v>78</v>
      </c>
      <c r="F212" s="360" t="s">
        <v>1906</v>
      </c>
      <c r="G212" s="360" t="s">
        <v>1907</v>
      </c>
      <c r="H212" s="360" t="s">
        <v>1924</v>
      </c>
      <c r="I212" s="360" t="e">
        <f>VLOOKUP(Таблица18[[#This Row],[Номер акта]],$AB$1:$AF$1833,3,FALSE)</f>
        <v>#N/A</v>
      </c>
      <c r="J212" s="360" t="s">
        <v>747</v>
      </c>
      <c r="K212" s="360" t="s">
        <v>82</v>
      </c>
      <c r="L212" s="363">
        <v>28310</v>
      </c>
      <c r="M212" s="363">
        <v>15050</v>
      </c>
      <c r="N212" s="364">
        <v>8</v>
      </c>
      <c r="O212" s="363">
        <v>13260</v>
      </c>
      <c r="P212" s="363">
        <v>12199.2</v>
      </c>
      <c r="Q212" s="121">
        <v>2023</v>
      </c>
      <c r="R212" s="121"/>
      <c r="S212" s="148">
        <v>45093</v>
      </c>
      <c r="T212" s="363">
        <f>Таблица18[[#This Row],[Вес нетто]]-Таблица18[[#This Row],[Зачетный вес]]</f>
        <v>1060.7999999999993</v>
      </c>
      <c r="U212" s="365">
        <f>Таблица18[[#This Row],[Отход]]/Таблица18[[#This Row],[Вес нетто]]</f>
        <v>7.9999999999999946E-2</v>
      </c>
      <c r="V212" s="121">
        <f>MONTH(Таблица18[[#This Row],[Дата акта]])</f>
        <v>6</v>
      </c>
      <c r="W212" s="121">
        <v>16</v>
      </c>
      <c r="X212" s="148">
        <f>DATE(1900,Таблица18[[#This Row],[Месяц]],Таблица18[[#This Row],[Число]])</f>
        <v>168</v>
      </c>
      <c r="Y212" s="121"/>
      <c r="Z212" s="121" t="str">
        <f>Таблица18[[#This Row],[Хар-ка]]</f>
        <v>высший</v>
      </c>
      <c r="AD212" s="459"/>
      <c r="AE212" s="391"/>
    </row>
    <row r="213" spans="1:31" s="325" customFormat="1" ht="15.6" hidden="1" customHeight="1" x14ac:dyDescent="0.2">
      <c r="A213" s="360" t="s">
        <v>2043</v>
      </c>
      <c r="B213" s="360" t="s">
        <v>511</v>
      </c>
      <c r="C213" s="361">
        <v>334</v>
      </c>
      <c r="D213" s="362">
        <v>114</v>
      </c>
      <c r="E213" s="360" t="s">
        <v>78</v>
      </c>
      <c r="F213" s="360" t="s">
        <v>212</v>
      </c>
      <c r="G213" s="360" t="s">
        <v>216</v>
      </c>
      <c r="H213" s="360" t="s">
        <v>1924</v>
      </c>
      <c r="I213" s="360" t="e">
        <f>VLOOKUP(Таблица18[[#This Row],[Номер акта]],$AB$1:$AF$1833,3,FALSE)</f>
        <v>#N/A</v>
      </c>
      <c r="J213" s="360" t="s">
        <v>747</v>
      </c>
      <c r="K213" s="360" t="s">
        <v>82</v>
      </c>
      <c r="L213" s="363">
        <v>27250</v>
      </c>
      <c r="M213" s="363">
        <v>14040</v>
      </c>
      <c r="N213" s="364">
        <v>9.5</v>
      </c>
      <c r="O213" s="363">
        <v>13210</v>
      </c>
      <c r="P213" s="363">
        <v>11955</v>
      </c>
      <c r="Q213" s="121">
        <v>2023</v>
      </c>
      <c r="R213" s="121"/>
      <c r="S213" s="148">
        <v>45093</v>
      </c>
      <c r="T213" s="363">
        <f>Таблица18[[#This Row],[Вес нетто]]-Таблица18[[#This Row],[Зачетный вес]]</f>
        <v>1255</v>
      </c>
      <c r="U213" s="365">
        <f>Таблица18[[#This Row],[Отход]]/Таблица18[[#This Row],[Вес нетто]]</f>
        <v>9.5003785011355035E-2</v>
      </c>
      <c r="V213" s="121">
        <f>MONTH(Таблица18[[#This Row],[Дата акта]])</f>
        <v>6</v>
      </c>
      <c r="W213" s="121">
        <v>16</v>
      </c>
      <c r="X213" s="148">
        <f>DATE(1900,Таблица18[[#This Row],[Месяц]],Таблица18[[#This Row],[Число]])</f>
        <v>168</v>
      </c>
      <c r="Y213" s="121"/>
      <c r="Z213" s="121" t="str">
        <f>Таблица18[[#This Row],[Хар-ка]]</f>
        <v>высший</v>
      </c>
      <c r="AD213" s="459"/>
      <c r="AE213" s="391"/>
    </row>
    <row r="214" spans="1:31" s="325" customFormat="1" ht="15.6" hidden="1" customHeight="1" x14ac:dyDescent="0.2">
      <c r="A214" s="360" t="s">
        <v>2044</v>
      </c>
      <c r="B214" s="360" t="s">
        <v>511</v>
      </c>
      <c r="C214" s="361">
        <v>335</v>
      </c>
      <c r="D214" s="362">
        <v>115</v>
      </c>
      <c r="E214" s="360" t="s">
        <v>78</v>
      </c>
      <c r="F214" s="360" t="s">
        <v>1804</v>
      </c>
      <c r="G214" s="360" t="s">
        <v>536</v>
      </c>
      <c r="H214" s="360" t="s">
        <v>1924</v>
      </c>
      <c r="I214" s="360" t="e">
        <f>VLOOKUP(Таблица18[[#This Row],[Номер акта]],$AB$1:$AF$1833,3,FALSE)</f>
        <v>#N/A</v>
      </c>
      <c r="J214" s="360" t="s">
        <v>747</v>
      </c>
      <c r="K214" s="360" t="s">
        <v>82</v>
      </c>
      <c r="L214" s="363">
        <v>27880</v>
      </c>
      <c r="M214" s="363">
        <v>14630</v>
      </c>
      <c r="N214" s="364">
        <v>8.5</v>
      </c>
      <c r="O214" s="363">
        <v>13250</v>
      </c>
      <c r="P214" s="363">
        <v>12123.7</v>
      </c>
      <c r="Q214" s="121">
        <v>2023</v>
      </c>
      <c r="R214" s="121"/>
      <c r="S214" s="148">
        <v>45093</v>
      </c>
      <c r="T214" s="363">
        <f>Таблица18[[#This Row],[Вес нетто]]-Таблица18[[#This Row],[Зачетный вес]]</f>
        <v>1126.2999999999993</v>
      </c>
      <c r="U214" s="365">
        <f>Таблица18[[#This Row],[Отход]]/Таблица18[[#This Row],[Вес нетто]]</f>
        <v>8.5003773584905601E-2</v>
      </c>
      <c r="V214" s="121">
        <f>MONTH(Таблица18[[#This Row],[Дата акта]])</f>
        <v>6</v>
      </c>
      <c r="W214" s="121">
        <v>16</v>
      </c>
      <c r="X214" s="148">
        <f>DATE(1900,Таблица18[[#This Row],[Месяц]],Таблица18[[#This Row],[Число]])</f>
        <v>168</v>
      </c>
      <c r="Y214" s="121"/>
      <c r="Z214" s="121" t="str">
        <f>Таблица18[[#This Row],[Хар-ка]]</f>
        <v>высший</v>
      </c>
      <c r="AD214" s="459"/>
      <c r="AE214" s="391"/>
    </row>
    <row r="215" spans="1:31" s="325" customFormat="1" ht="15.6" hidden="1" customHeight="1" x14ac:dyDescent="0.2">
      <c r="A215" s="360" t="s">
        <v>2045</v>
      </c>
      <c r="B215" s="360" t="s">
        <v>511</v>
      </c>
      <c r="C215" s="361">
        <v>336</v>
      </c>
      <c r="D215" s="362">
        <v>116</v>
      </c>
      <c r="E215" s="360" t="s">
        <v>78</v>
      </c>
      <c r="F215" s="360" t="s">
        <v>1880</v>
      </c>
      <c r="G215" s="360" t="s">
        <v>1802</v>
      </c>
      <c r="H215" s="360" t="s">
        <v>1924</v>
      </c>
      <c r="I215" s="360" t="e">
        <f>VLOOKUP(Таблица18[[#This Row],[Номер акта]],$AB$1:$AF$1833,3,FALSE)</f>
        <v>#N/A</v>
      </c>
      <c r="J215" s="360" t="s">
        <v>747</v>
      </c>
      <c r="K215" s="360" t="s">
        <v>82</v>
      </c>
      <c r="L215" s="363">
        <v>28080</v>
      </c>
      <c r="M215" s="363">
        <v>14770</v>
      </c>
      <c r="N215" s="364">
        <v>9</v>
      </c>
      <c r="O215" s="363">
        <v>13310</v>
      </c>
      <c r="P215" s="363">
        <v>12112.1</v>
      </c>
      <c r="Q215" s="121">
        <v>2023</v>
      </c>
      <c r="R215" s="121"/>
      <c r="S215" s="148">
        <v>45093</v>
      </c>
      <c r="T215" s="363">
        <f>Таблица18[[#This Row],[Вес нетто]]-Таблица18[[#This Row],[Зачетный вес]]</f>
        <v>1197.8999999999996</v>
      </c>
      <c r="U215" s="365">
        <f>Таблица18[[#This Row],[Отход]]/Таблица18[[#This Row],[Вес нетто]]</f>
        <v>8.9999999999999969E-2</v>
      </c>
      <c r="V215" s="121">
        <f>MONTH(Таблица18[[#This Row],[Дата акта]])</f>
        <v>6</v>
      </c>
      <c r="W215" s="121">
        <v>16</v>
      </c>
      <c r="X215" s="148">
        <f>DATE(1900,Таблица18[[#This Row],[Месяц]],Таблица18[[#This Row],[Число]])</f>
        <v>168</v>
      </c>
      <c r="Y215" s="121"/>
      <c r="Z215" s="121" t="str">
        <f>Таблица18[[#This Row],[Хар-ка]]</f>
        <v>высший</v>
      </c>
      <c r="AD215" s="459"/>
      <c r="AE215" s="391"/>
    </row>
    <row r="216" spans="1:31" s="325" customFormat="1" ht="15.6" hidden="1" customHeight="1" x14ac:dyDescent="0.2">
      <c r="A216" s="360" t="s">
        <v>2046</v>
      </c>
      <c r="B216" s="360" t="s">
        <v>550</v>
      </c>
      <c r="C216" s="361">
        <v>338</v>
      </c>
      <c r="D216" s="362">
        <v>117</v>
      </c>
      <c r="E216" s="360" t="s">
        <v>78</v>
      </c>
      <c r="F216" s="360" t="s">
        <v>1906</v>
      </c>
      <c r="G216" s="360" t="s">
        <v>1907</v>
      </c>
      <c r="H216" s="360" t="s">
        <v>1924</v>
      </c>
      <c r="I216" s="360" t="e">
        <f>VLOOKUP(Таблица18[[#This Row],[Номер акта]],$AB$1:$AF$1833,3,FALSE)</f>
        <v>#N/A</v>
      </c>
      <c r="J216" s="360" t="s">
        <v>747</v>
      </c>
      <c r="K216" s="360" t="s">
        <v>82</v>
      </c>
      <c r="L216" s="363">
        <v>28260</v>
      </c>
      <c r="M216" s="363">
        <v>15030</v>
      </c>
      <c r="N216" s="364">
        <v>10.5</v>
      </c>
      <c r="O216" s="363">
        <v>13230</v>
      </c>
      <c r="P216" s="363">
        <v>11840.8</v>
      </c>
      <c r="Q216" s="121">
        <v>2023</v>
      </c>
      <c r="R216" s="121"/>
      <c r="S216" s="148">
        <v>45093</v>
      </c>
      <c r="T216" s="363">
        <f>Таблица18[[#This Row],[Вес нетто]]-Таблица18[[#This Row],[Зачетный вес]]</f>
        <v>1389.2000000000007</v>
      </c>
      <c r="U216" s="365">
        <f>Таблица18[[#This Row],[Отход]]/Таблица18[[#This Row],[Вес нетто]]</f>
        <v>0.10500377928949363</v>
      </c>
      <c r="V216" s="121">
        <f>MONTH(Таблица18[[#This Row],[Дата акта]])</f>
        <v>6</v>
      </c>
      <c r="W216" s="121">
        <v>16</v>
      </c>
      <c r="X216" s="148">
        <f>DATE(1900,Таблица18[[#This Row],[Месяц]],Таблица18[[#This Row],[Число]])</f>
        <v>168</v>
      </c>
      <c r="Y216" s="121"/>
      <c r="Z216" s="121" t="str">
        <f>Таблица18[[#This Row],[Хар-ка]]</f>
        <v>первый</v>
      </c>
      <c r="AD216" s="459"/>
      <c r="AE216" s="391"/>
    </row>
    <row r="217" spans="1:31" s="325" customFormat="1" ht="15.6" hidden="1" customHeight="1" x14ac:dyDescent="0.2">
      <c r="A217" s="360" t="s">
        <v>2047</v>
      </c>
      <c r="B217" s="360" t="s">
        <v>511</v>
      </c>
      <c r="C217" s="361">
        <v>340</v>
      </c>
      <c r="D217" s="362">
        <v>118</v>
      </c>
      <c r="E217" s="360" t="s">
        <v>78</v>
      </c>
      <c r="F217" s="360" t="s">
        <v>212</v>
      </c>
      <c r="G217" s="360" t="s">
        <v>216</v>
      </c>
      <c r="H217" s="360" t="s">
        <v>1924</v>
      </c>
      <c r="I217" s="360" t="e">
        <f>VLOOKUP(Таблица18[[#This Row],[Номер акта]],$AB$1:$AF$1833,3,FALSE)</f>
        <v>#N/A</v>
      </c>
      <c r="J217" s="360" t="s">
        <v>747</v>
      </c>
      <c r="K217" s="360" t="s">
        <v>82</v>
      </c>
      <c r="L217" s="363">
        <v>32110</v>
      </c>
      <c r="M217" s="363">
        <v>14020</v>
      </c>
      <c r="N217" s="364">
        <v>9.5</v>
      </c>
      <c r="O217" s="363">
        <v>18090</v>
      </c>
      <c r="P217" s="363">
        <v>16371.4</v>
      </c>
      <c r="Q217" s="121">
        <v>2023</v>
      </c>
      <c r="R217" s="121"/>
      <c r="S217" s="148">
        <v>45093</v>
      </c>
      <c r="T217" s="363">
        <f>Таблица18[[#This Row],[Вес нетто]]-Таблица18[[#This Row],[Зачетный вес]]</f>
        <v>1718.6000000000004</v>
      </c>
      <c r="U217" s="365">
        <f>Таблица18[[#This Row],[Отход]]/Таблица18[[#This Row],[Вес нетто]]</f>
        <v>9.500276395798786E-2</v>
      </c>
      <c r="V217" s="121">
        <f>MONTH(Таблица18[[#This Row],[Дата акта]])</f>
        <v>6</v>
      </c>
      <c r="W217" s="121">
        <v>16</v>
      </c>
      <c r="X217" s="148">
        <f>DATE(1900,Таблица18[[#This Row],[Месяц]],Таблица18[[#This Row],[Число]])</f>
        <v>168</v>
      </c>
      <c r="Y217" s="121"/>
      <c r="Z217" s="121" t="str">
        <f>Таблица18[[#This Row],[Хар-ка]]</f>
        <v>высший</v>
      </c>
      <c r="AD217" s="459"/>
      <c r="AE217" s="391"/>
    </row>
    <row r="218" spans="1:31" s="325" customFormat="1" ht="15.6" hidden="1" customHeight="1" x14ac:dyDescent="0.2">
      <c r="A218" s="360" t="s">
        <v>2048</v>
      </c>
      <c r="B218" s="360" t="s">
        <v>550</v>
      </c>
      <c r="C218" s="361">
        <v>341</v>
      </c>
      <c r="D218" s="362">
        <v>119</v>
      </c>
      <c r="E218" s="360" t="s">
        <v>78</v>
      </c>
      <c r="F218" s="360" t="s">
        <v>1804</v>
      </c>
      <c r="G218" s="360" t="s">
        <v>536</v>
      </c>
      <c r="H218" s="360" t="s">
        <v>1924</v>
      </c>
      <c r="I218" s="360" t="e">
        <f>VLOOKUP(Таблица18[[#This Row],[Номер акта]],$AB$1:$AF$1833,3,FALSE)</f>
        <v>#N/A</v>
      </c>
      <c r="J218" s="360" t="s">
        <v>747</v>
      </c>
      <c r="K218" s="360" t="s">
        <v>82</v>
      </c>
      <c r="L218" s="363">
        <v>27380</v>
      </c>
      <c r="M218" s="363">
        <v>14610</v>
      </c>
      <c r="N218" s="364">
        <v>8.5</v>
      </c>
      <c r="O218" s="363">
        <v>12770</v>
      </c>
      <c r="P218" s="363">
        <v>11684.5</v>
      </c>
      <c r="Q218" s="121">
        <v>2023</v>
      </c>
      <c r="R218" s="121"/>
      <c r="S218" s="148">
        <v>45093</v>
      </c>
      <c r="T218" s="363">
        <f>Таблица18[[#This Row],[Вес нетто]]-Таблица18[[#This Row],[Зачетный вес]]</f>
        <v>1085.5</v>
      </c>
      <c r="U218" s="365">
        <f>Таблица18[[#This Row],[Отход]]/Таблица18[[#This Row],[Вес нетто]]</f>
        <v>8.5003915426781526E-2</v>
      </c>
      <c r="V218" s="121">
        <f>MONTH(Таблица18[[#This Row],[Дата акта]])</f>
        <v>6</v>
      </c>
      <c r="W218" s="121">
        <v>16</v>
      </c>
      <c r="X218" s="148">
        <f>DATE(1900,Таблица18[[#This Row],[Месяц]],Таблица18[[#This Row],[Число]])</f>
        <v>168</v>
      </c>
      <c r="Y218" s="121"/>
      <c r="Z218" s="121" t="str">
        <f>Таблица18[[#This Row],[Хар-ка]]</f>
        <v>первый</v>
      </c>
      <c r="AD218" s="459"/>
      <c r="AE218" s="391"/>
    </row>
    <row r="219" spans="1:31" s="325" customFormat="1" ht="15.6" hidden="1" customHeight="1" x14ac:dyDescent="0.2">
      <c r="A219" s="360" t="s">
        <v>2049</v>
      </c>
      <c r="B219" s="360" t="s">
        <v>511</v>
      </c>
      <c r="C219" s="361">
        <v>342</v>
      </c>
      <c r="D219" s="362">
        <v>120</v>
      </c>
      <c r="E219" s="360" t="s">
        <v>78</v>
      </c>
      <c r="F219" s="360" t="s">
        <v>1880</v>
      </c>
      <c r="G219" s="360" t="s">
        <v>1802</v>
      </c>
      <c r="H219" s="360" t="s">
        <v>2050</v>
      </c>
      <c r="I219" s="360" t="e">
        <f>VLOOKUP(Таблица18[[#This Row],[Номер акта]],$AB$1:$AF$1833,3,FALSE)</f>
        <v>#N/A</v>
      </c>
      <c r="J219" s="360" t="s">
        <v>747</v>
      </c>
      <c r="K219" s="360" t="s">
        <v>82</v>
      </c>
      <c r="L219" s="363">
        <v>28340</v>
      </c>
      <c r="M219" s="121"/>
      <c r="N219" s="364">
        <v>11.5</v>
      </c>
      <c r="O219" s="363">
        <v>13590</v>
      </c>
      <c r="P219" s="363">
        <v>12027.1</v>
      </c>
      <c r="Q219" s="121">
        <v>2023</v>
      </c>
      <c r="R219" s="121"/>
      <c r="S219" s="148">
        <v>45093</v>
      </c>
      <c r="T219" s="363">
        <f>Таблица18[[#This Row],[Вес нетто]]-Таблица18[[#This Row],[Зачетный вес]]</f>
        <v>1562.8999999999996</v>
      </c>
      <c r="U219" s="365">
        <f>Таблица18[[#This Row],[Отход]]/Таблица18[[#This Row],[Вес нетто]]</f>
        <v>0.11500367917586458</v>
      </c>
      <c r="V219" s="121">
        <f>MONTH(Таблица18[[#This Row],[Дата акта]])</f>
        <v>6</v>
      </c>
      <c r="W219" s="121">
        <v>16</v>
      </c>
      <c r="X219" s="148">
        <f>DATE(1900,Таблица18[[#This Row],[Месяц]],Таблица18[[#This Row],[Число]])</f>
        <v>168</v>
      </c>
      <c r="Y219" s="121"/>
      <c r="Z219" s="121" t="str">
        <f>Таблица18[[#This Row],[Хар-ка]]</f>
        <v>высший</v>
      </c>
      <c r="AD219" s="459"/>
      <c r="AE219" s="391"/>
    </row>
    <row r="220" spans="1:31" s="325" customFormat="1" ht="15.6" hidden="1" customHeight="1" x14ac:dyDescent="0.2">
      <c r="A220" s="360" t="s">
        <v>2051</v>
      </c>
      <c r="B220" s="360" t="s">
        <v>511</v>
      </c>
      <c r="C220" s="361">
        <v>343</v>
      </c>
      <c r="D220" s="362">
        <v>121</v>
      </c>
      <c r="E220" s="360" t="s">
        <v>78</v>
      </c>
      <c r="F220" s="360" t="s">
        <v>1906</v>
      </c>
      <c r="G220" s="360" t="s">
        <v>1907</v>
      </c>
      <c r="H220" s="360" t="s">
        <v>2050</v>
      </c>
      <c r="I220" s="360" t="e">
        <f>VLOOKUP(Таблица18[[#This Row],[Номер акта]],$AB$1:$AF$1833,3,FALSE)</f>
        <v>#N/A</v>
      </c>
      <c r="J220" s="360" t="s">
        <v>747</v>
      </c>
      <c r="K220" s="360" t="s">
        <v>82</v>
      </c>
      <c r="L220" s="363">
        <v>28630</v>
      </c>
      <c r="M220" s="363">
        <v>15020</v>
      </c>
      <c r="N220" s="364">
        <v>10.5</v>
      </c>
      <c r="O220" s="363">
        <v>13610</v>
      </c>
      <c r="P220" s="363">
        <v>12180.9</v>
      </c>
      <c r="Q220" s="121">
        <v>2023</v>
      </c>
      <c r="R220" s="121"/>
      <c r="S220" s="148">
        <v>45093</v>
      </c>
      <c r="T220" s="363">
        <f>Таблица18[[#This Row],[Вес нетто]]-Таблица18[[#This Row],[Зачетный вес]]</f>
        <v>1429.1000000000004</v>
      </c>
      <c r="U220" s="365">
        <f>Таблица18[[#This Row],[Отход]]/Таблица18[[#This Row],[Вес нетто]]</f>
        <v>0.10500367376928732</v>
      </c>
      <c r="V220" s="121">
        <f>MONTH(Таблица18[[#This Row],[Дата акта]])</f>
        <v>6</v>
      </c>
      <c r="W220" s="121">
        <v>16</v>
      </c>
      <c r="X220" s="148">
        <f>DATE(1900,Таблица18[[#This Row],[Месяц]],Таблица18[[#This Row],[Число]])</f>
        <v>168</v>
      </c>
      <c r="Y220" s="121"/>
      <c r="Z220" s="121" t="str">
        <f>Таблица18[[#This Row],[Хар-ка]]</f>
        <v>высший</v>
      </c>
      <c r="AD220" s="459"/>
      <c r="AE220" s="391"/>
    </row>
    <row r="221" spans="1:31" s="325" customFormat="1" ht="15.6" hidden="1" customHeight="1" x14ac:dyDescent="0.2">
      <c r="A221" s="360" t="s">
        <v>2052</v>
      </c>
      <c r="B221" s="360" t="s">
        <v>511</v>
      </c>
      <c r="C221" s="361">
        <v>344</v>
      </c>
      <c r="D221" s="362">
        <v>122</v>
      </c>
      <c r="E221" s="360" t="s">
        <v>78</v>
      </c>
      <c r="F221" s="360" t="s">
        <v>212</v>
      </c>
      <c r="G221" s="360" t="s">
        <v>216</v>
      </c>
      <c r="H221" s="360" t="s">
        <v>2050</v>
      </c>
      <c r="I221" s="360" t="e">
        <f>VLOOKUP(Таблица18[[#This Row],[Номер акта]],$AB$1:$AF$1833,3,FALSE)</f>
        <v>#N/A</v>
      </c>
      <c r="J221" s="360" t="s">
        <v>747</v>
      </c>
      <c r="K221" s="360" t="s">
        <v>82</v>
      </c>
      <c r="L221" s="363">
        <v>27590</v>
      </c>
      <c r="M221" s="363">
        <v>14180</v>
      </c>
      <c r="N221" s="364">
        <v>10.5</v>
      </c>
      <c r="O221" s="363">
        <v>13410</v>
      </c>
      <c r="P221" s="363">
        <v>12001.9</v>
      </c>
      <c r="Q221" s="121">
        <v>2023</v>
      </c>
      <c r="R221" s="121"/>
      <c r="S221" s="148">
        <v>45093</v>
      </c>
      <c r="T221" s="363">
        <f>Таблица18[[#This Row],[Вес нетто]]-Таблица18[[#This Row],[Зачетный вес]]</f>
        <v>1408.1000000000004</v>
      </c>
      <c r="U221" s="365">
        <f>Таблица18[[#This Row],[Отход]]/Таблица18[[#This Row],[Вес нетто]]</f>
        <v>0.10500372856077557</v>
      </c>
      <c r="V221" s="121">
        <f>MONTH(Таблица18[[#This Row],[Дата акта]])</f>
        <v>6</v>
      </c>
      <c r="W221" s="121">
        <v>16</v>
      </c>
      <c r="X221" s="148">
        <f>DATE(1900,Таблица18[[#This Row],[Месяц]],Таблица18[[#This Row],[Число]])</f>
        <v>168</v>
      </c>
      <c r="Y221" s="121"/>
      <c r="Z221" s="121" t="str">
        <f>Таблица18[[#This Row],[Хар-ка]]</f>
        <v>высший</v>
      </c>
      <c r="AD221" s="459"/>
      <c r="AE221" s="391"/>
    </row>
    <row r="222" spans="1:31" s="325" customFormat="1" ht="15.6" hidden="1" customHeight="1" x14ac:dyDescent="0.2">
      <c r="A222" s="360" t="s">
        <v>2053</v>
      </c>
      <c r="B222" s="360" t="s">
        <v>833</v>
      </c>
      <c r="C222" s="361">
        <v>345</v>
      </c>
      <c r="D222" s="362">
        <v>123</v>
      </c>
      <c r="E222" s="360" t="s">
        <v>78</v>
      </c>
      <c r="F222" s="360" t="s">
        <v>1804</v>
      </c>
      <c r="G222" s="360" t="s">
        <v>536</v>
      </c>
      <c r="H222" s="360" t="s">
        <v>2050</v>
      </c>
      <c r="I222" s="360" t="e">
        <f>VLOOKUP(Таблица18[[#This Row],[Номер акта]],$AB$1:$AF$1833,3,FALSE)</f>
        <v>#N/A</v>
      </c>
      <c r="J222" s="360" t="s">
        <v>747</v>
      </c>
      <c r="K222" s="360" t="s">
        <v>82</v>
      </c>
      <c r="L222" s="363">
        <v>27850</v>
      </c>
      <c r="M222" s="363">
        <v>14590</v>
      </c>
      <c r="N222" s="364">
        <v>8.5</v>
      </c>
      <c r="O222" s="363">
        <v>13260</v>
      </c>
      <c r="P222" s="363">
        <v>12132.9</v>
      </c>
      <c r="Q222" s="121">
        <v>2023</v>
      </c>
      <c r="R222" s="121"/>
      <c r="S222" s="148">
        <v>45094</v>
      </c>
      <c r="T222" s="363">
        <f>Таблица18[[#This Row],[Вес нетто]]-Таблица18[[#This Row],[Зачетный вес]]</f>
        <v>1127.1000000000004</v>
      </c>
      <c r="U222" s="365">
        <f>Таблица18[[#This Row],[Отход]]/Таблица18[[#This Row],[Вес нетто]]</f>
        <v>8.5000000000000034E-2</v>
      </c>
      <c r="V222" s="121">
        <f>MONTH(Таблица18[[#This Row],[Дата акта]])</f>
        <v>6</v>
      </c>
      <c r="W222" s="121">
        <v>17</v>
      </c>
      <c r="X222" s="148">
        <f>DATE(1900,Таблица18[[#This Row],[Месяц]],Таблица18[[#This Row],[Число]])</f>
        <v>169</v>
      </c>
      <c r="Y222" s="121"/>
      <c r="Z222" s="121" t="str">
        <f>Таблица18[[#This Row],[Хар-ка]]</f>
        <v>второй</v>
      </c>
      <c r="AD222" s="459"/>
      <c r="AE222" s="391"/>
    </row>
    <row r="223" spans="1:31" s="325" customFormat="1" ht="15.6" hidden="1" customHeight="1" x14ac:dyDescent="0.2">
      <c r="A223" s="360" t="s">
        <v>2054</v>
      </c>
      <c r="B223" s="360" t="s">
        <v>833</v>
      </c>
      <c r="C223" s="361">
        <v>346</v>
      </c>
      <c r="D223" s="362">
        <v>124</v>
      </c>
      <c r="E223" s="360" t="s">
        <v>78</v>
      </c>
      <c r="F223" s="360" t="s">
        <v>1880</v>
      </c>
      <c r="G223" s="360" t="s">
        <v>1802</v>
      </c>
      <c r="H223" s="360" t="s">
        <v>2050</v>
      </c>
      <c r="I223" s="360" t="e">
        <f>VLOOKUP(Таблица18[[#This Row],[Номер акта]],$AB$1:$AF$1833,3,FALSE)</f>
        <v>#N/A</v>
      </c>
      <c r="J223" s="360" t="s">
        <v>747</v>
      </c>
      <c r="K223" s="360" t="s">
        <v>82</v>
      </c>
      <c r="L223" s="363">
        <v>28020</v>
      </c>
      <c r="M223" s="363">
        <v>14640</v>
      </c>
      <c r="N223" s="364">
        <v>7.5</v>
      </c>
      <c r="O223" s="363">
        <v>13380</v>
      </c>
      <c r="P223" s="363">
        <v>12376.5</v>
      </c>
      <c r="Q223" s="121">
        <v>2023</v>
      </c>
      <c r="R223" s="121"/>
      <c r="S223" s="148">
        <v>45094</v>
      </c>
      <c r="T223" s="363">
        <f>Таблица18[[#This Row],[Вес нетто]]-Таблица18[[#This Row],[Зачетный вес]]</f>
        <v>1003.5</v>
      </c>
      <c r="U223" s="365">
        <f>Таблица18[[#This Row],[Отход]]/Таблица18[[#This Row],[Вес нетто]]</f>
        <v>7.4999999999999997E-2</v>
      </c>
      <c r="V223" s="121">
        <f>MONTH(Таблица18[[#This Row],[Дата акта]])</f>
        <v>6</v>
      </c>
      <c r="W223" s="121">
        <v>17</v>
      </c>
      <c r="X223" s="148">
        <f>DATE(1900,Таблица18[[#This Row],[Месяц]],Таблица18[[#This Row],[Число]])</f>
        <v>169</v>
      </c>
      <c r="Y223" s="121"/>
      <c r="Z223" s="121" t="str">
        <f>Таблица18[[#This Row],[Хар-ка]]</f>
        <v>второй</v>
      </c>
      <c r="AD223" s="459"/>
      <c r="AE223" s="391"/>
    </row>
    <row r="224" spans="1:31" s="325" customFormat="1" ht="15.6" hidden="1" customHeight="1" x14ac:dyDescent="0.2">
      <c r="A224" s="360" t="s">
        <v>2055</v>
      </c>
      <c r="B224" s="360" t="s">
        <v>833</v>
      </c>
      <c r="C224" s="361">
        <v>347</v>
      </c>
      <c r="D224" s="362">
        <v>125</v>
      </c>
      <c r="E224" s="360" t="s">
        <v>78</v>
      </c>
      <c r="F224" s="360" t="s">
        <v>1906</v>
      </c>
      <c r="G224" s="360" t="s">
        <v>1907</v>
      </c>
      <c r="H224" s="360" t="s">
        <v>2050</v>
      </c>
      <c r="I224" s="360" t="e">
        <f>VLOOKUP(Таблица18[[#This Row],[Номер акта]],$AB$1:$AF$1833,3,FALSE)</f>
        <v>#N/A</v>
      </c>
      <c r="J224" s="360" t="s">
        <v>747</v>
      </c>
      <c r="K224" s="360" t="s">
        <v>82</v>
      </c>
      <c r="L224" s="363">
        <v>28260</v>
      </c>
      <c r="M224" s="363">
        <v>15000</v>
      </c>
      <c r="N224" s="364">
        <v>7.5</v>
      </c>
      <c r="O224" s="363">
        <v>13260</v>
      </c>
      <c r="P224" s="363">
        <v>12265.5</v>
      </c>
      <c r="Q224" s="121">
        <v>2023</v>
      </c>
      <c r="R224" s="121"/>
      <c r="S224" s="148">
        <v>45094</v>
      </c>
      <c r="T224" s="363">
        <f>Таблица18[[#This Row],[Вес нетто]]-Таблица18[[#This Row],[Зачетный вес]]</f>
        <v>994.5</v>
      </c>
      <c r="U224" s="365">
        <f>Таблица18[[#This Row],[Отход]]/Таблица18[[#This Row],[Вес нетто]]</f>
        <v>7.4999999999999997E-2</v>
      </c>
      <c r="V224" s="121">
        <f>MONTH(Таблица18[[#This Row],[Дата акта]])</f>
        <v>6</v>
      </c>
      <c r="W224" s="121">
        <v>17</v>
      </c>
      <c r="X224" s="148">
        <f>DATE(1900,Таблица18[[#This Row],[Месяц]],Таблица18[[#This Row],[Число]])</f>
        <v>169</v>
      </c>
      <c r="Y224" s="121"/>
      <c r="Z224" s="121" t="str">
        <f>Таблица18[[#This Row],[Хар-ка]]</f>
        <v>второй</v>
      </c>
      <c r="AD224" s="459"/>
      <c r="AE224" s="391"/>
    </row>
    <row r="225" spans="1:31" s="325" customFormat="1" ht="15.6" hidden="1" customHeight="1" x14ac:dyDescent="0.2">
      <c r="A225" s="360" t="s">
        <v>2056</v>
      </c>
      <c r="B225" s="360" t="s">
        <v>833</v>
      </c>
      <c r="C225" s="361">
        <v>348</v>
      </c>
      <c r="D225" s="362">
        <v>126</v>
      </c>
      <c r="E225" s="360" t="s">
        <v>78</v>
      </c>
      <c r="F225" s="360" t="s">
        <v>212</v>
      </c>
      <c r="G225" s="360" t="s">
        <v>216</v>
      </c>
      <c r="H225" s="360" t="s">
        <v>2050</v>
      </c>
      <c r="I225" s="360" t="e">
        <f>VLOOKUP(Таблица18[[#This Row],[Номер акта]],$AB$1:$AF$1833,3,FALSE)</f>
        <v>#N/A</v>
      </c>
      <c r="J225" s="360" t="s">
        <v>747</v>
      </c>
      <c r="K225" s="360" t="s">
        <v>82</v>
      </c>
      <c r="L225" s="363">
        <v>27400</v>
      </c>
      <c r="M225" s="363">
        <v>14160</v>
      </c>
      <c r="N225" s="364">
        <v>7.5</v>
      </c>
      <c r="O225" s="363">
        <v>13240</v>
      </c>
      <c r="P225" s="363">
        <v>12247</v>
      </c>
      <c r="Q225" s="121">
        <v>2023</v>
      </c>
      <c r="R225" s="121"/>
      <c r="S225" s="148">
        <v>45094</v>
      </c>
      <c r="T225" s="363">
        <f>Таблица18[[#This Row],[Вес нетто]]-Таблица18[[#This Row],[Зачетный вес]]</f>
        <v>993</v>
      </c>
      <c r="U225" s="365">
        <f>Таблица18[[#This Row],[Отход]]/Таблица18[[#This Row],[Вес нетто]]</f>
        <v>7.4999999999999997E-2</v>
      </c>
      <c r="V225" s="121">
        <f>MONTH(Таблица18[[#This Row],[Дата акта]])</f>
        <v>6</v>
      </c>
      <c r="W225" s="121">
        <v>17</v>
      </c>
      <c r="X225" s="148">
        <f>DATE(1900,Таблица18[[#This Row],[Месяц]],Таблица18[[#This Row],[Число]])</f>
        <v>169</v>
      </c>
      <c r="Y225" s="121"/>
      <c r="Z225" s="121" t="str">
        <f>Таблица18[[#This Row],[Хар-ка]]</f>
        <v>второй</v>
      </c>
      <c r="AD225" s="459"/>
      <c r="AE225" s="391"/>
    </row>
    <row r="226" spans="1:31" s="325" customFormat="1" ht="15.6" hidden="1" customHeight="1" x14ac:dyDescent="0.2">
      <c r="A226" s="360" t="s">
        <v>2057</v>
      </c>
      <c r="B226" s="360" t="s">
        <v>833</v>
      </c>
      <c r="C226" s="361">
        <v>349</v>
      </c>
      <c r="D226" s="362">
        <v>127</v>
      </c>
      <c r="E226" s="360" t="s">
        <v>78</v>
      </c>
      <c r="F226" s="360" t="s">
        <v>1792</v>
      </c>
      <c r="G226" s="360" t="s">
        <v>80</v>
      </c>
      <c r="H226" s="360" t="s">
        <v>2058</v>
      </c>
      <c r="I226" s="360" t="e">
        <f>VLOOKUP(Таблица18[[#This Row],[Номер акта]],$AB$1:$AF$1833,3,FALSE)</f>
        <v>#N/A</v>
      </c>
      <c r="J226" s="360" t="s">
        <v>747</v>
      </c>
      <c r="K226" s="360" t="s">
        <v>82</v>
      </c>
      <c r="L226" s="363">
        <v>27360</v>
      </c>
      <c r="M226" s="363">
        <v>14350</v>
      </c>
      <c r="N226" s="364">
        <v>7.5</v>
      </c>
      <c r="O226" s="363">
        <v>13010</v>
      </c>
      <c r="P226" s="363">
        <v>12034.2</v>
      </c>
      <c r="Q226" s="121">
        <v>2023</v>
      </c>
      <c r="R226" s="121"/>
      <c r="S226" s="148">
        <v>45094</v>
      </c>
      <c r="T226" s="363">
        <f>Таблица18[[#This Row],[Вес нетто]]-Таблица18[[#This Row],[Зачетный вес]]</f>
        <v>975.79999999999927</v>
      </c>
      <c r="U226" s="365">
        <f>Таблица18[[#This Row],[Отход]]/Таблица18[[#This Row],[Вес нетто]]</f>
        <v>7.5003843197540304E-2</v>
      </c>
      <c r="V226" s="121">
        <f>MONTH(Таблица18[[#This Row],[Дата акта]])</f>
        <v>6</v>
      </c>
      <c r="W226" s="121">
        <v>17</v>
      </c>
      <c r="X226" s="148">
        <f>DATE(1900,Таблица18[[#This Row],[Месяц]],Таблица18[[#This Row],[Число]])</f>
        <v>169</v>
      </c>
      <c r="Y226" s="121"/>
      <c r="Z226" s="121" t="str">
        <f>Таблица18[[#This Row],[Хар-ка]]</f>
        <v>второй</v>
      </c>
      <c r="AD226" s="459"/>
      <c r="AE226" s="391"/>
    </row>
    <row r="227" spans="1:31" s="325" customFormat="1" ht="15.6" hidden="1" customHeight="1" x14ac:dyDescent="0.2">
      <c r="A227" s="360" t="s">
        <v>2059</v>
      </c>
      <c r="B227" s="360" t="s">
        <v>833</v>
      </c>
      <c r="C227" s="361">
        <v>350</v>
      </c>
      <c r="D227" s="362">
        <v>128</v>
      </c>
      <c r="E227" s="360" t="s">
        <v>78</v>
      </c>
      <c r="F227" s="360" t="s">
        <v>311</v>
      </c>
      <c r="G227" s="360" t="s">
        <v>315</v>
      </c>
      <c r="H227" s="360" t="s">
        <v>2058</v>
      </c>
      <c r="I227" s="360" t="e">
        <f>VLOOKUP(Таблица18[[#This Row],[Номер акта]],$AB$1:$AF$1833,3,FALSE)</f>
        <v>#N/A</v>
      </c>
      <c r="J227" s="360" t="s">
        <v>747</v>
      </c>
      <c r="K227" s="360" t="s">
        <v>82</v>
      </c>
      <c r="L227" s="363">
        <v>27930</v>
      </c>
      <c r="M227" s="363">
        <v>15100</v>
      </c>
      <c r="N227" s="364">
        <v>7.7</v>
      </c>
      <c r="O227" s="363">
        <v>12830</v>
      </c>
      <c r="P227" s="363">
        <v>11847.7</v>
      </c>
      <c r="Q227" s="121">
        <v>2023</v>
      </c>
      <c r="R227" s="121"/>
      <c r="S227" s="148">
        <v>45094</v>
      </c>
      <c r="T227" s="363">
        <f>Таблица18[[#This Row],[Вес нетто]]-Таблица18[[#This Row],[Зачетный вес]]</f>
        <v>982.29999999999927</v>
      </c>
      <c r="U227" s="365">
        <f>Таблица18[[#This Row],[Отход]]/Таблица18[[#This Row],[Вес нетто]]</f>
        <v>7.6562743569758326E-2</v>
      </c>
      <c r="V227" s="121">
        <f>MONTH(Таблица18[[#This Row],[Дата акта]])</f>
        <v>6</v>
      </c>
      <c r="W227" s="121">
        <v>17</v>
      </c>
      <c r="X227" s="148">
        <f>DATE(1900,Таблица18[[#This Row],[Месяц]],Таблица18[[#This Row],[Число]])</f>
        <v>169</v>
      </c>
      <c r="Y227" s="121"/>
      <c r="Z227" s="121" t="str">
        <f>Таблица18[[#This Row],[Хар-ка]]</f>
        <v>второй</v>
      </c>
      <c r="AD227" s="459"/>
      <c r="AE227" s="391"/>
    </row>
    <row r="228" spans="1:31" s="325" customFormat="1" ht="15.6" hidden="1" customHeight="1" x14ac:dyDescent="0.2">
      <c r="A228" s="360" t="s">
        <v>2060</v>
      </c>
      <c r="B228" s="360" t="s">
        <v>550</v>
      </c>
      <c r="C228" s="361">
        <v>351</v>
      </c>
      <c r="D228" s="362">
        <v>129</v>
      </c>
      <c r="E228" s="360" t="s">
        <v>78</v>
      </c>
      <c r="F228" s="360" t="s">
        <v>1935</v>
      </c>
      <c r="G228" s="360" t="s">
        <v>1813</v>
      </c>
      <c r="H228" s="360" t="s">
        <v>2058</v>
      </c>
      <c r="I228" s="360" t="e">
        <f>VLOOKUP(Таблица18[[#This Row],[Номер акта]],$AB$1:$AF$1833,3,FALSE)</f>
        <v>#N/A</v>
      </c>
      <c r="J228" s="360" t="s">
        <v>747</v>
      </c>
      <c r="K228" s="360" t="s">
        <v>82</v>
      </c>
      <c r="L228" s="363">
        <v>27260</v>
      </c>
      <c r="M228" s="363">
        <v>14380</v>
      </c>
      <c r="N228" s="364">
        <v>7.5</v>
      </c>
      <c r="O228" s="363">
        <v>12880</v>
      </c>
      <c r="P228" s="363">
        <v>11914</v>
      </c>
      <c r="Q228" s="121">
        <v>2023</v>
      </c>
      <c r="R228" s="121"/>
      <c r="S228" s="148">
        <v>45094</v>
      </c>
      <c r="T228" s="363">
        <f>Таблица18[[#This Row],[Вес нетто]]-Таблица18[[#This Row],[Зачетный вес]]</f>
        <v>966</v>
      </c>
      <c r="U228" s="365">
        <f>Таблица18[[#This Row],[Отход]]/Таблица18[[#This Row],[Вес нетто]]</f>
        <v>7.4999999999999997E-2</v>
      </c>
      <c r="V228" s="121">
        <f>MONTH(Таблица18[[#This Row],[Дата акта]])</f>
        <v>6</v>
      </c>
      <c r="W228" s="121">
        <v>17</v>
      </c>
      <c r="X228" s="148">
        <f>DATE(1900,Таблица18[[#This Row],[Месяц]],Таблица18[[#This Row],[Число]])</f>
        <v>169</v>
      </c>
      <c r="Y228" s="121"/>
      <c r="Z228" s="121" t="str">
        <f>Таблица18[[#This Row],[Хар-ка]]</f>
        <v>первый</v>
      </c>
      <c r="AD228" s="459"/>
      <c r="AE228" s="391"/>
    </row>
    <row r="229" spans="1:31" s="325" customFormat="1" ht="15.6" hidden="1" customHeight="1" x14ac:dyDescent="0.2">
      <c r="A229" s="360" t="s">
        <v>2061</v>
      </c>
      <c r="B229" s="360" t="s">
        <v>550</v>
      </c>
      <c r="C229" s="361">
        <v>352</v>
      </c>
      <c r="D229" s="362">
        <v>130</v>
      </c>
      <c r="E229" s="360" t="s">
        <v>78</v>
      </c>
      <c r="F229" s="360" t="s">
        <v>1792</v>
      </c>
      <c r="G229" s="360" t="s">
        <v>80</v>
      </c>
      <c r="H229" s="360" t="s">
        <v>2058</v>
      </c>
      <c r="I229" s="360" t="e">
        <f>VLOOKUP(Таблица18[[#This Row],[Номер акта]],$AB$1:$AF$1833,3,FALSE)</f>
        <v>#N/A</v>
      </c>
      <c r="J229" s="360" t="s">
        <v>747</v>
      </c>
      <c r="K229" s="360" t="s">
        <v>82</v>
      </c>
      <c r="L229" s="363">
        <v>27390</v>
      </c>
      <c r="M229" s="363">
        <v>14300</v>
      </c>
      <c r="N229" s="364">
        <v>8.5</v>
      </c>
      <c r="O229" s="363">
        <v>13090</v>
      </c>
      <c r="P229" s="363">
        <v>11977.3</v>
      </c>
      <c r="Q229" s="121">
        <v>2023</v>
      </c>
      <c r="R229" s="121"/>
      <c r="S229" s="148">
        <v>45094</v>
      </c>
      <c r="T229" s="363">
        <f>Таблица18[[#This Row],[Вес нетто]]-Таблица18[[#This Row],[Зачетный вес]]</f>
        <v>1112.7000000000007</v>
      </c>
      <c r="U229" s="365">
        <f>Таблица18[[#This Row],[Отход]]/Таблица18[[#This Row],[Вес нетто]]</f>
        <v>8.5003819709702125E-2</v>
      </c>
      <c r="V229" s="121">
        <f>MONTH(Таблица18[[#This Row],[Дата акта]])</f>
        <v>6</v>
      </c>
      <c r="W229" s="121">
        <v>17</v>
      </c>
      <c r="X229" s="148">
        <f>DATE(1900,Таблица18[[#This Row],[Месяц]],Таблица18[[#This Row],[Число]])</f>
        <v>169</v>
      </c>
      <c r="Y229" s="121"/>
      <c r="Z229" s="121" t="str">
        <f>Таблица18[[#This Row],[Хар-ка]]</f>
        <v>первый</v>
      </c>
      <c r="AD229" s="459"/>
      <c r="AE229" s="391"/>
    </row>
    <row r="230" spans="1:31" s="325" customFormat="1" ht="15.6" hidden="1" customHeight="1" x14ac:dyDescent="0.2">
      <c r="A230" s="360" t="s">
        <v>2062</v>
      </c>
      <c r="B230" s="360" t="s">
        <v>550</v>
      </c>
      <c r="C230" s="361">
        <v>353</v>
      </c>
      <c r="D230" s="362">
        <v>131</v>
      </c>
      <c r="E230" s="360" t="s">
        <v>78</v>
      </c>
      <c r="F230" s="360" t="s">
        <v>311</v>
      </c>
      <c r="G230" s="360" t="s">
        <v>315</v>
      </c>
      <c r="H230" s="360" t="s">
        <v>2058</v>
      </c>
      <c r="I230" s="360" t="e">
        <f>VLOOKUP(Таблица18[[#This Row],[Номер акта]],$AB$1:$AF$1833,3,FALSE)</f>
        <v>#N/A</v>
      </c>
      <c r="J230" s="360" t="s">
        <v>747</v>
      </c>
      <c r="K230" s="360" t="s">
        <v>82</v>
      </c>
      <c r="L230" s="363">
        <v>28100</v>
      </c>
      <c r="M230" s="363">
        <v>15090</v>
      </c>
      <c r="N230" s="364">
        <v>6.5</v>
      </c>
      <c r="O230" s="363">
        <v>13010</v>
      </c>
      <c r="P230" s="363">
        <v>12164.3</v>
      </c>
      <c r="Q230" s="121">
        <v>2023</v>
      </c>
      <c r="R230" s="121"/>
      <c r="S230" s="148">
        <v>45094</v>
      </c>
      <c r="T230" s="363">
        <f>Таблица18[[#This Row],[Вес нетто]]-Таблица18[[#This Row],[Зачетный вес]]</f>
        <v>845.70000000000073</v>
      </c>
      <c r="U230" s="365">
        <f>Таблица18[[#This Row],[Отход]]/Таблица18[[#This Row],[Вес нетто]]</f>
        <v>6.5003843197540406E-2</v>
      </c>
      <c r="V230" s="121">
        <f>MONTH(Таблица18[[#This Row],[Дата акта]])</f>
        <v>6</v>
      </c>
      <c r="W230" s="121">
        <v>17</v>
      </c>
      <c r="X230" s="148">
        <f>DATE(1900,Таблица18[[#This Row],[Месяц]],Таблица18[[#This Row],[Число]])</f>
        <v>169</v>
      </c>
      <c r="Y230" s="121"/>
      <c r="Z230" s="121" t="str">
        <f>Таблица18[[#This Row],[Хар-ка]]</f>
        <v>первый</v>
      </c>
      <c r="AD230" s="459"/>
      <c r="AE230" s="391"/>
    </row>
    <row r="231" spans="1:31" s="325" customFormat="1" ht="15.6" hidden="1" customHeight="1" x14ac:dyDescent="0.2">
      <c r="A231" s="360" t="s">
        <v>2063</v>
      </c>
      <c r="B231" s="360" t="s">
        <v>550</v>
      </c>
      <c r="C231" s="361">
        <v>354</v>
      </c>
      <c r="D231" s="362">
        <v>132</v>
      </c>
      <c r="E231" s="360" t="s">
        <v>78</v>
      </c>
      <c r="F231" s="360" t="s">
        <v>1935</v>
      </c>
      <c r="G231" s="360" t="s">
        <v>1813</v>
      </c>
      <c r="H231" s="360" t="s">
        <v>2058</v>
      </c>
      <c r="I231" s="360" t="e">
        <f>VLOOKUP(Таблица18[[#This Row],[Номер акта]],$AB$1:$AF$1833,3,FALSE)</f>
        <v>#N/A</v>
      </c>
      <c r="J231" s="360" t="s">
        <v>747</v>
      </c>
      <c r="K231" s="360" t="s">
        <v>82</v>
      </c>
      <c r="L231" s="363">
        <v>27690</v>
      </c>
      <c r="M231" s="363">
        <v>14350</v>
      </c>
      <c r="N231" s="364">
        <v>5.5</v>
      </c>
      <c r="O231" s="363">
        <v>13340</v>
      </c>
      <c r="P231" s="363">
        <v>12606.3</v>
      </c>
      <c r="Q231" s="121">
        <v>2023</v>
      </c>
      <c r="R231" s="121"/>
      <c r="S231" s="148">
        <v>45094</v>
      </c>
      <c r="T231" s="363">
        <f>Таблица18[[#This Row],[Вес нетто]]-Таблица18[[#This Row],[Зачетный вес]]</f>
        <v>733.70000000000073</v>
      </c>
      <c r="U231" s="365">
        <f>Таблица18[[#This Row],[Отход]]/Таблица18[[#This Row],[Вес нетто]]</f>
        <v>5.5000000000000056E-2</v>
      </c>
      <c r="V231" s="121">
        <f>MONTH(Таблица18[[#This Row],[Дата акта]])</f>
        <v>6</v>
      </c>
      <c r="W231" s="121">
        <v>17</v>
      </c>
      <c r="X231" s="148">
        <f>DATE(1900,Таблица18[[#This Row],[Месяц]],Таблица18[[#This Row],[Число]])</f>
        <v>169</v>
      </c>
      <c r="Y231" s="121"/>
      <c r="Z231" s="121" t="str">
        <f>Таблица18[[#This Row],[Хар-ка]]</f>
        <v>первый</v>
      </c>
      <c r="AD231" s="459"/>
      <c r="AE231" s="391"/>
    </row>
    <row r="232" spans="1:31" s="325" customFormat="1" ht="15.6" hidden="1" customHeight="1" x14ac:dyDescent="0.2">
      <c r="A232" s="360" t="s">
        <v>2064</v>
      </c>
      <c r="B232" s="360" t="s">
        <v>550</v>
      </c>
      <c r="C232" s="361">
        <v>355</v>
      </c>
      <c r="D232" s="362">
        <v>133</v>
      </c>
      <c r="E232" s="360" t="s">
        <v>78</v>
      </c>
      <c r="F232" s="360" t="s">
        <v>311</v>
      </c>
      <c r="G232" s="360" t="s">
        <v>315</v>
      </c>
      <c r="H232" s="360" t="s">
        <v>2058</v>
      </c>
      <c r="I232" s="360" t="e">
        <f>VLOOKUP(Таблица18[[#This Row],[Номер акта]],$AB$1:$AF$1833,3,FALSE)</f>
        <v>#N/A</v>
      </c>
      <c r="J232" s="360" t="s">
        <v>747</v>
      </c>
      <c r="K232" s="360" t="s">
        <v>82</v>
      </c>
      <c r="L232" s="363">
        <v>28260</v>
      </c>
      <c r="M232" s="363">
        <v>15070</v>
      </c>
      <c r="N232" s="364">
        <v>6.5</v>
      </c>
      <c r="O232" s="363">
        <v>13190</v>
      </c>
      <c r="P232" s="363">
        <v>12332.6</v>
      </c>
      <c r="Q232" s="121">
        <v>2023</v>
      </c>
      <c r="R232" s="121"/>
      <c r="S232" s="148">
        <v>45094</v>
      </c>
      <c r="T232" s="363">
        <f>Таблица18[[#This Row],[Вес нетто]]-Таблица18[[#This Row],[Зачетный вес]]</f>
        <v>857.39999999999964</v>
      </c>
      <c r="U232" s="365">
        <f>Таблица18[[#This Row],[Отход]]/Таблица18[[#This Row],[Вес нетто]]</f>
        <v>6.5003790750568585E-2</v>
      </c>
      <c r="V232" s="121">
        <f>MONTH(Таблица18[[#This Row],[Дата акта]])</f>
        <v>6</v>
      </c>
      <c r="W232" s="121">
        <v>17</v>
      </c>
      <c r="X232" s="148">
        <f>DATE(1900,Таблица18[[#This Row],[Месяц]],Таблица18[[#This Row],[Число]])</f>
        <v>169</v>
      </c>
      <c r="Y232" s="121"/>
      <c r="Z232" s="121" t="str">
        <f>Таблица18[[#This Row],[Хар-ка]]</f>
        <v>первый</v>
      </c>
      <c r="AD232" s="459"/>
      <c r="AE232" s="391"/>
    </row>
    <row r="233" spans="1:31" s="325" customFormat="1" ht="15.6" hidden="1" customHeight="1" x14ac:dyDescent="0.2">
      <c r="A233" s="360" t="s">
        <v>2065</v>
      </c>
      <c r="B233" s="360" t="s">
        <v>550</v>
      </c>
      <c r="C233" s="361">
        <v>356</v>
      </c>
      <c r="D233" s="362">
        <v>134</v>
      </c>
      <c r="E233" s="360" t="s">
        <v>78</v>
      </c>
      <c r="F233" s="360" t="s">
        <v>1792</v>
      </c>
      <c r="G233" s="360" t="s">
        <v>80</v>
      </c>
      <c r="H233" s="360" t="s">
        <v>2058</v>
      </c>
      <c r="I233" s="360" t="e">
        <f>VLOOKUP(Таблица18[[#This Row],[Номер акта]],$AB$1:$AF$1833,3,FALSE)</f>
        <v>#N/A</v>
      </c>
      <c r="J233" s="360" t="s">
        <v>747</v>
      </c>
      <c r="K233" s="360" t="s">
        <v>82</v>
      </c>
      <c r="L233" s="363">
        <v>27390</v>
      </c>
      <c r="M233" s="363">
        <v>14280</v>
      </c>
      <c r="N233" s="364">
        <v>7.5</v>
      </c>
      <c r="O233" s="363">
        <v>13110</v>
      </c>
      <c r="P233" s="363">
        <v>12126.7</v>
      </c>
      <c r="Q233" s="121">
        <v>2023</v>
      </c>
      <c r="R233" s="121"/>
      <c r="S233" s="148">
        <v>45094</v>
      </c>
      <c r="T233" s="363">
        <f>Таблица18[[#This Row],[Вес нетто]]-Таблица18[[#This Row],[Зачетный вес]]</f>
        <v>983.29999999999927</v>
      </c>
      <c r="U233" s="365">
        <f>Таблица18[[#This Row],[Отход]]/Таблица18[[#This Row],[Вес нетто]]</f>
        <v>7.5003813882532369E-2</v>
      </c>
      <c r="V233" s="121">
        <f>MONTH(Таблица18[[#This Row],[Дата акта]])</f>
        <v>6</v>
      </c>
      <c r="W233" s="121">
        <v>17</v>
      </c>
      <c r="X233" s="148">
        <f>DATE(1900,Таблица18[[#This Row],[Месяц]],Таблица18[[#This Row],[Число]])</f>
        <v>169</v>
      </c>
      <c r="Y233" s="121"/>
      <c r="Z233" s="121" t="str">
        <f>Таблица18[[#This Row],[Хар-ка]]</f>
        <v>первый</v>
      </c>
      <c r="AD233" s="459"/>
      <c r="AE233" s="391"/>
    </row>
    <row r="234" spans="1:31" s="325" customFormat="1" ht="15.6" hidden="1" customHeight="1" x14ac:dyDescent="0.2">
      <c r="A234" s="360" t="s">
        <v>2066</v>
      </c>
      <c r="B234" s="360" t="s">
        <v>550</v>
      </c>
      <c r="C234" s="361">
        <v>357</v>
      </c>
      <c r="D234" s="362">
        <v>135</v>
      </c>
      <c r="E234" s="360" t="s">
        <v>78</v>
      </c>
      <c r="F234" s="360" t="s">
        <v>1935</v>
      </c>
      <c r="G234" s="360" t="s">
        <v>1813</v>
      </c>
      <c r="H234" s="360" t="s">
        <v>2058</v>
      </c>
      <c r="I234" s="360" t="e">
        <f>VLOOKUP(Таблица18[[#This Row],[Номер акта]],$AB$1:$AF$1833,3,FALSE)</f>
        <v>#N/A</v>
      </c>
      <c r="J234" s="360" t="s">
        <v>747</v>
      </c>
      <c r="K234" s="360" t="s">
        <v>82</v>
      </c>
      <c r="L234" s="363">
        <v>27470</v>
      </c>
      <c r="M234" s="363">
        <v>14350</v>
      </c>
      <c r="N234" s="364">
        <v>7</v>
      </c>
      <c r="O234" s="363">
        <v>13120</v>
      </c>
      <c r="P234" s="363">
        <v>12201.6</v>
      </c>
      <c r="Q234" s="121">
        <v>2023</v>
      </c>
      <c r="R234" s="121"/>
      <c r="S234" s="148">
        <v>45094</v>
      </c>
      <c r="T234" s="363">
        <f>Таблица18[[#This Row],[Вес нетто]]-Таблица18[[#This Row],[Зачетный вес]]</f>
        <v>918.39999999999964</v>
      </c>
      <c r="U234" s="365">
        <f>Таблица18[[#This Row],[Отход]]/Таблица18[[#This Row],[Вес нетто]]</f>
        <v>6.9999999999999979E-2</v>
      </c>
      <c r="V234" s="121">
        <f>MONTH(Таблица18[[#This Row],[Дата акта]])</f>
        <v>6</v>
      </c>
      <c r="W234" s="121">
        <v>17</v>
      </c>
      <c r="X234" s="148">
        <f>DATE(1900,Таблица18[[#This Row],[Месяц]],Таблица18[[#This Row],[Число]])</f>
        <v>169</v>
      </c>
      <c r="Y234" s="121"/>
      <c r="Z234" s="121" t="str">
        <f>Таблица18[[#This Row],[Хар-ка]]</f>
        <v>первый</v>
      </c>
      <c r="AD234" s="459"/>
      <c r="AE234" s="391"/>
    </row>
    <row r="235" spans="1:31" s="325" customFormat="1" ht="15.6" hidden="1" customHeight="1" x14ac:dyDescent="0.2">
      <c r="A235" s="360" t="s">
        <v>2067</v>
      </c>
      <c r="B235" s="360" t="s">
        <v>550</v>
      </c>
      <c r="C235" s="361">
        <v>358</v>
      </c>
      <c r="D235" s="362">
        <v>136</v>
      </c>
      <c r="E235" s="360" t="s">
        <v>78</v>
      </c>
      <c r="F235" s="360" t="s">
        <v>311</v>
      </c>
      <c r="G235" s="360" t="s">
        <v>315</v>
      </c>
      <c r="H235" s="360" t="s">
        <v>2058</v>
      </c>
      <c r="I235" s="360" t="e">
        <f>VLOOKUP(Таблица18[[#This Row],[Номер акта]],$AB$1:$AF$1833,3,FALSE)</f>
        <v>#N/A</v>
      </c>
      <c r="J235" s="360" t="s">
        <v>747</v>
      </c>
      <c r="K235" s="360" t="s">
        <v>82</v>
      </c>
      <c r="L235" s="363">
        <v>28140</v>
      </c>
      <c r="M235" s="363">
        <v>15060</v>
      </c>
      <c r="N235" s="364">
        <v>7.5</v>
      </c>
      <c r="O235" s="363">
        <v>13080</v>
      </c>
      <c r="P235" s="363">
        <v>12099</v>
      </c>
      <c r="Q235" s="121">
        <v>2023</v>
      </c>
      <c r="R235" s="121"/>
      <c r="S235" s="148">
        <v>45094</v>
      </c>
      <c r="T235" s="363">
        <f>Таблица18[[#This Row],[Вес нетто]]-Таблица18[[#This Row],[Зачетный вес]]</f>
        <v>981</v>
      </c>
      <c r="U235" s="365">
        <f>Таблица18[[#This Row],[Отход]]/Таблица18[[#This Row],[Вес нетто]]</f>
        <v>7.4999999999999997E-2</v>
      </c>
      <c r="V235" s="121">
        <f>MONTH(Таблица18[[#This Row],[Дата акта]])</f>
        <v>6</v>
      </c>
      <c r="W235" s="121">
        <v>17</v>
      </c>
      <c r="X235" s="148">
        <f>DATE(1900,Таблица18[[#This Row],[Месяц]],Таблица18[[#This Row],[Число]])</f>
        <v>169</v>
      </c>
      <c r="Y235" s="121"/>
      <c r="Z235" s="121" t="str">
        <f>Таблица18[[#This Row],[Хар-ка]]</f>
        <v>первый</v>
      </c>
      <c r="AD235" s="459"/>
      <c r="AE235" s="391"/>
    </row>
    <row r="236" spans="1:31" s="325" customFormat="1" ht="15.6" hidden="1" customHeight="1" x14ac:dyDescent="0.2">
      <c r="A236" s="360" t="s">
        <v>2068</v>
      </c>
      <c r="B236" s="360" t="s">
        <v>550</v>
      </c>
      <c r="C236" s="361">
        <v>359</v>
      </c>
      <c r="D236" s="362">
        <v>137</v>
      </c>
      <c r="E236" s="360" t="s">
        <v>78</v>
      </c>
      <c r="F236" s="360" t="s">
        <v>1792</v>
      </c>
      <c r="G236" s="360" t="s">
        <v>80</v>
      </c>
      <c r="H236" s="360" t="s">
        <v>2058</v>
      </c>
      <c r="I236" s="360" t="e">
        <f>VLOOKUP(Таблица18[[#This Row],[Номер акта]],$AB$1:$AF$1833,3,FALSE)</f>
        <v>#N/A</v>
      </c>
      <c r="J236" s="360" t="s">
        <v>747</v>
      </c>
      <c r="K236" s="360" t="s">
        <v>82</v>
      </c>
      <c r="L236" s="363">
        <v>27200</v>
      </c>
      <c r="M236" s="363">
        <v>14270</v>
      </c>
      <c r="N236" s="364">
        <v>7.5</v>
      </c>
      <c r="O236" s="363">
        <v>12930</v>
      </c>
      <c r="P236" s="363">
        <v>11960.2</v>
      </c>
      <c r="Q236" s="121">
        <v>2023</v>
      </c>
      <c r="R236" s="121"/>
      <c r="S236" s="148">
        <v>45095</v>
      </c>
      <c r="T236" s="363">
        <f>Таблица18[[#This Row],[Вес нетто]]-Таблица18[[#This Row],[Зачетный вес]]</f>
        <v>969.79999999999927</v>
      </c>
      <c r="U236" s="365">
        <f>Таблица18[[#This Row],[Отход]]/Таблица18[[#This Row],[Вес нетто]]</f>
        <v>7.5003866976024694E-2</v>
      </c>
      <c r="V236" s="121">
        <f>MONTH(Таблица18[[#This Row],[Дата акта]])</f>
        <v>6</v>
      </c>
      <c r="W236" s="121">
        <v>18</v>
      </c>
      <c r="X236" s="148">
        <f>DATE(1900,Таблица18[[#This Row],[Месяц]],Таблица18[[#This Row],[Число]])</f>
        <v>170</v>
      </c>
      <c r="Y236" s="121"/>
      <c r="Z236" s="121" t="str">
        <f>Таблица18[[#This Row],[Хар-ка]]</f>
        <v>первый</v>
      </c>
      <c r="AD236" s="459"/>
      <c r="AE236" s="391"/>
    </row>
    <row r="237" spans="1:31" s="325" customFormat="1" ht="15.6" hidden="1" customHeight="1" x14ac:dyDescent="0.2">
      <c r="A237" s="360" t="s">
        <v>2069</v>
      </c>
      <c r="B237" s="360" t="s">
        <v>550</v>
      </c>
      <c r="C237" s="361">
        <v>360</v>
      </c>
      <c r="D237" s="362">
        <v>138</v>
      </c>
      <c r="E237" s="360" t="s">
        <v>78</v>
      </c>
      <c r="F237" s="360" t="s">
        <v>1935</v>
      </c>
      <c r="G237" s="360" t="s">
        <v>1813</v>
      </c>
      <c r="H237" s="360" t="s">
        <v>2058</v>
      </c>
      <c r="I237" s="360" t="e">
        <f>VLOOKUP(Таблица18[[#This Row],[Номер акта]],$AB$1:$AF$1833,3,FALSE)</f>
        <v>#N/A</v>
      </c>
      <c r="J237" s="360" t="s">
        <v>747</v>
      </c>
      <c r="K237" s="360" t="s">
        <v>82</v>
      </c>
      <c r="L237" s="363">
        <v>27350</v>
      </c>
      <c r="M237" s="363">
        <v>14480</v>
      </c>
      <c r="N237" s="364">
        <v>7.5</v>
      </c>
      <c r="O237" s="363">
        <v>12870</v>
      </c>
      <c r="P237" s="363">
        <v>11904.7</v>
      </c>
      <c r="Q237" s="121">
        <v>2023</v>
      </c>
      <c r="R237" s="121"/>
      <c r="S237" s="148">
        <v>45095</v>
      </c>
      <c r="T237" s="363">
        <f>Таблица18[[#This Row],[Вес нетто]]-Таблица18[[#This Row],[Зачетный вес]]</f>
        <v>965.29999999999927</v>
      </c>
      <c r="U237" s="365">
        <f>Таблица18[[#This Row],[Отход]]/Таблица18[[#This Row],[Вес нетто]]</f>
        <v>7.5003885003884954E-2</v>
      </c>
      <c r="V237" s="121">
        <f>MONTH(Таблица18[[#This Row],[Дата акта]])</f>
        <v>6</v>
      </c>
      <c r="W237" s="121">
        <v>18</v>
      </c>
      <c r="X237" s="148">
        <f>DATE(1900,Таблица18[[#This Row],[Месяц]],Таблица18[[#This Row],[Число]])</f>
        <v>170</v>
      </c>
      <c r="Y237" s="121"/>
      <c r="Z237" s="121" t="str">
        <f>Таблица18[[#This Row],[Хар-ка]]</f>
        <v>первый</v>
      </c>
      <c r="AD237" s="459"/>
      <c r="AE237" s="391"/>
    </row>
    <row r="238" spans="1:31" s="325" customFormat="1" ht="15.6" hidden="1" customHeight="1" x14ac:dyDescent="0.2">
      <c r="A238" s="360" t="s">
        <v>2070</v>
      </c>
      <c r="B238" s="360" t="s">
        <v>550</v>
      </c>
      <c r="C238" s="361">
        <v>361</v>
      </c>
      <c r="D238" s="362">
        <v>139</v>
      </c>
      <c r="E238" s="360" t="s">
        <v>78</v>
      </c>
      <c r="F238" s="360" t="s">
        <v>311</v>
      </c>
      <c r="G238" s="360" t="s">
        <v>315</v>
      </c>
      <c r="H238" s="360" t="s">
        <v>2058</v>
      </c>
      <c r="I238" s="360" t="e">
        <f>VLOOKUP(Таблица18[[#This Row],[Номер акта]],$AB$1:$AF$1833,3,FALSE)</f>
        <v>#N/A</v>
      </c>
      <c r="J238" s="360" t="s">
        <v>747</v>
      </c>
      <c r="K238" s="360" t="s">
        <v>82</v>
      </c>
      <c r="L238" s="363">
        <v>28210</v>
      </c>
      <c r="M238" s="363">
        <v>15060</v>
      </c>
      <c r="N238" s="364">
        <v>5.5</v>
      </c>
      <c r="O238" s="363">
        <v>13150</v>
      </c>
      <c r="P238" s="363">
        <v>12426.7</v>
      </c>
      <c r="Q238" s="121">
        <v>2023</v>
      </c>
      <c r="R238" s="121"/>
      <c r="S238" s="148">
        <v>45095</v>
      </c>
      <c r="T238" s="363">
        <f>Таблица18[[#This Row],[Вес нетто]]-Таблица18[[#This Row],[Зачетный вес]]</f>
        <v>723.29999999999927</v>
      </c>
      <c r="U238" s="365">
        <f>Таблица18[[#This Row],[Отход]]/Таблица18[[#This Row],[Вес нетто]]</f>
        <v>5.5003802281368766E-2</v>
      </c>
      <c r="V238" s="121">
        <f>MONTH(Таблица18[[#This Row],[Дата акта]])</f>
        <v>6</v>
      </c>
      <c r="W238" s="121">
        <v>18</v>
      </c>
      <c r="X238" s="148">
        <f>DATE(1900,Таблица18[[#This Row],[Месяц]],Таблица18[[#This Row],[Число]])</f>
        <v>170</v>
      </c>
      <c r="Y238" s="121"/>
      <c r="Z238" s="121" t="str">
        <f>Таблица18[[#This Row],[Хар-ка]]</f>
        <v>первый</v>
      </c>
      <c r="AD238" s="459"/>
      <c r="AE238" s="391"/>
    </row>
    <row r="239" spans="1:31" s="325" customFormat="1" ht="15.6" hidden="1" customHeight="1" x14ac:dyDescent="0.2">
      <c r="A239" s="360" t="s">
        <v>2071</v>
      </c>
      <c r="B239" s="360" t="s">
        <v>550</v>
      </c>
      <c r="C239" s="361">
        <v>362</v>
      </c>
      <c r="D239" s="362">
        <v>140</v>
      </c>
      <c r="E239" s="360" t="s">
        <v>78</v>
      </c>
      <c r="F239" s="360" t="s">
        <v>1792</v>
      </c>
      <c r="G239" s="360" t="s">
        <v>80</v>
      </c>
      <c r="H239" s="360" t="s">
        <v>2072</v>
      </c>
      <c r="I239" s="360" t="e">
        <f>VLOOKUP(Таблица18[[#This Row],[Номер акта]],$AB$1:$AF$1833,3,FALSE)</f>
        <v>#N/A</v>
      </c>
      <c r="J239" s="360" t="s">
        <v>747</v>
      </c>
      <c r="K239" s="360" t="s">
        <v>82</v>
      </c>
      <c r="L239" s="363">
        <v>27190</v>
      </c>
      <c r="M239" s="363">
        <v>14270</v>
      </c>
      <c r="N239" s="364">
        <v>8.5</v>
      </c>
      <c r="O239" s="363">
        <v>12920</v>
      </c>
      <c r="P239" s="363">
        <v>11821.8</v>
      </c>
      <c r="Q239" s="121">
        <v>2023</v>
      </c>
      <c r="R239" s="121"/>
      <c r="S239" s="148">
        <v>45095</v>
      </c>
      <c r="T239" s="363">
        <f>Таблица18[[#This Row],[Вес нетто]]-Таблица18[[#This Row],[Зачетный вес]]</f>
        <v>1098.2000000000007</v>
      </c>
      <c r="U239" s="365">
        <f>Таблица18[[#This Row],[Отход]]/Таблица18[[#This Row],[Вес нетто]]</f>
        <v>8.5000000000000062E-2</v>
      </c>
      <c r="V239" s="121">
        <f>MONTH(Таблица18[[#This Row],[Дата акта]])</f>
        <v>6</v>
      </c>
      <c r="W239" s="121">
        <v>18</v>
      </c>
      <c r="X239" s="148">
        <f>DATE(1900,Таблица18[[#This Row],[Месяц]],Таблица18[[#This Row],[Число]])</f>
        <v>170</v>
      </c>
      <c r="Y239" s="121"/>
      <c r="Z239" s="121" t="str">
        <f>Таблица18[[#This Row],[Хар-ка]]</f>
        <v>первый</v>
      </c>
      <c r="AD239" s="459"/>
      <c r="AE239" s="391"/>
    </row>
    <row r="240" spans="1:31" s="325" customFormat="1" ht="15.6" hidden="1" customHeight="1" x14ac:dyDescent="0.2">
      <c r="A240" s="360" t="s">
        <v>2073</v>
      </c>
      <c r="B240" s="360" t="s">
        <v>550</v>
      </c>
      <c r="C240" s="361">
        <v>363</v>
      </c>
      <c r="D240" s="362">
        <v>141</v>
      </c>
      <c r="E240" s="360" t="s">
        <v>78</v>
      </c>
      <c r="F240" s="360" t="s">
        <v>1935</v>
      </c>
      <c r="G240" s="360" t="s">
        <v>1813</v>
      </c>
      <c r="H240" s="360" t="s">
        <v>2072</v>
      </c>
      <c r="I240" s="360" t="e">
        <f>VLOOKUP(Таблица18[[#This Row],[Номер акта]],$AB$1:$AF$1833,3,FALSE)</f>
        <v>#N/A</v>
      </c>
      <c r="J240" s="360" t="s">
        <v>747</v>
      </c>
      <c r="K240" s="360" t="s">
        <v>82</v>
      </c>
      <c r="L240" s="363">
        <v>28120</v>
      </c>
      <c r="M240" s="363">
        <v>14490</v>
      </c>
      <c r="N240" s="364">
        <v>6.5</v>
      </c>
      <c r="O240" s="363">
        <v>13630</v>
      </c>
      <c r="P240" s="363">
        <v>12744</v>
      </c>
      <c r="Q240" s="121">
        <v>2023</v>
      </c>
      <c r="R240" s="121"/>
      <c r="S240" s="148">
        <v>45095</v>
      </c>
      <c r="T240" s="363">
        <f>Таблица18[[#This Row],[Вес нетто]]-Таблица18[[#This Row],[Зачетный вес]]</f>
        <v>886</v>
      </c>
      <c r="U240" s="365">
        <f>Таблица18[[#This Row],[Отход]]/Таблица18[[#This Row],[Вес нетто]]</f>
        <v>6.5003668378576671E-2</v>
      </c>
      <c r="V240" s="121">
        <f>MONTH(Таблица18[[#This Row],[Дата акта]])</f>
        <v>6</v>
      </c>
      <c r="W240" s="121">
        <v>18</v>
      </c>
      <c r="X240" s="148">
        <f>DATE(1900,Таблица18[[#This Row],[Месяц]],Таблица18[[#This Row],[Число]])</f>
        <v>170</v>
      </c>
      <c r="Y240" s="121"/>
      <c r="Z240" s="121" t="str">
        <f>Таблица18[[#This Row],[Хар-ка]]</f>
        <v>первый</v>
      </c>
      <c r="AD240" s="459"/>
      <c r="AE240" s="391"/>
    </row>
    <row r="241" spans="1:31" s="325" customFormat="1" ht="15.6" hidden="1" customHeight="1" x14ac:dyDescent="0.2">
      <c r="A241" s="360" t="s">
        <v>2074</v>
      </c>
      <c r="B241" s="360" t="s">
        <v>833</v>
      </c>
      <c r="C241" s="361">
        <v>364</v>
      </c>
      <c r="D241" s="362">
        <v>142</v>
      </c>
      <c r="E241" s="360" t="s">
        <v>78</v>
      </c>
      <c r="F241" s="360" t="s">
        <v>1804</v>
      </c>
      <c r="G241" s="360" t="s">
        <v>536</v>
      </c>
      <c r="H241" s="360" t="s">
        <v>2072</v>
      </c>
      <c r="I241" s="360" t="e">
        <f>VLOOKUP(Таблица18[[#This Row],[Номер акта]],$AB$1:$AF$1833,3,FALSE)</f>
        <v>#N/A</v>
      </c>
      <c r="J241" s="360" t="s">
        <v>747</v>
      </c>
      <c r="K241" s="360" t="s">
        <v>82</v>
      </c>
      <c r="L241" s="363">
        <v>27970</v>
      </c>
      <c r="M241" s="363">
        <v>14570</v>
      </c>
      <c r="N241" s="364">
        <v>6.5</v>
      </c>
      <c r="O241" s="363">
        <v>13400</v>
      </c>
      <c r="P241" s="363">
        <v>12529</v>
      </c>
      <c r="Q241" s="121">
        <v>2023</v>
      </c>
      <c r="R241" s="121"/>
      <c r="S241" s="148">
        <v>45095</v>
      </c>
      <c r="T241" s="363">
        <f>Таблица18[[#This Row],[Вес нетто]]-Таблица18[[#This Row],[Зачетный вес]]</f>
        <v>871</v>
      </c>
      <c r="U241" s="365">
        <f>Таблица18[[#This Row],[Отход]]/Таблица18[[#This Row],[Вес нетто]]</f>
        <v>6.5000000000000002E-2</v>
      </c>
      <c r="V241" s="121">
        <f>MONTH(Таблица18[[#This Row],[Дата акта]])</f>
        <v>6</v>
      </c>
      <c r="W241" s="121">
        <v>18</v>
      </c>
      <c r="X241" s="148">
        <f>DATE(1900,Таблица18[[#This Row],[Месяц]],Таблица18[[#This Row],[Число]])</f>
        <v>170</v>
      </c>
      <c r="Y241" s="121"/>
      <c r="Z241" s="121" t="str">
        <f>Таблица18[[#This Row],[Хар-ка]]</f>
        <v>второй</v>
      </c>
      <c r="AD241" s="459"/>
      <c r="AE241" s="391"/>
    </row>
    <row r="242" spans="1:31" s="325" customFormat="1" ht="15.6" hidden="1" customHeight="1" x14ac:dyDescent="0.2">
      <c r="A242" s="360" t="s">
        <v>2075</v>
      </c>
      <c r="B242" s="360" t="s">
        <v>833</v>
      </c>
      <c r="C242" s="361">
        <v>365</v>
      </c>
      <c r="D242" s="362">
        <v>143</v>
      </c>
      <c r="E242" s="360" t="s">
        <v>78</v>
      </c>
      <c r="F242" s="360" t="s">
        <v>212</v>
      </c>
      <c r="G242" s="360" t="s">
        <v>216</v>
      </c>
      <c r="H242" s="360" t="s">
        <v>2072</v>
      </c>
      <c r="I242" s="360" t="e">
        <f>VLOOKUP(Таблица18[[#This Row],[Номер акта]],$AB$1:$AF$1833,3,FALSE)</f>
        <v>#N/A</v>
      </c>
      <c r="J242" s="360" t="s">
        <v>747</v>
      </c>
      <c r="K242" s="360" t="s">
        <v>82</v>
      </c>
      <c r="L242" s="363">
        <v>27540</v>
      </c>
      <c r="M242" s="363">
        <v>14030</v>
      </c>
      <c r="N242" s="364">
        <v>5.5</v>
      </c>
      <c r="O242" s="363">
        <v>13510</v>
      </c>
      <c r="P242" s="363">
        <v>12766.9</v>
      </c>
      <c r="Q242" s="121">
        <v>2023</v>
      </c>
      <c r="R242" s="121"/>
      <c r="S242" s="148">
        <v>45095</v>
      </c>
      <c r="T242" s="363">
        <f>Таблица18[[#This Row],[Вес нетто]]-Таблица18[[#This Row],[Зачетный вес]]</f>
        <v>743.10000000000036</v>
      </c>
      <c r="U242" s="365">
        <f>Таблица18[[#This Row],[Отход]]/Таблица18[[#This Row],[Вес нетто]]</f>
        <v>5.5003700962250213E-2</v>
      </c>
      <c r="V242" s="121">
        <f>MONTH(Таблица18[[#This Row],[Дата акта]])</f>
        <v>6</v>
      </c>
      <c r="W242" s="121">
        <v>18</v>
      </c>
      <c r="X242" s="148">
        <f>DATE(1900,Таблица18[[#This Row],[Месяц]],Таблица18[[#This Row],[Число]])</f>
        <v>170</v>
      </c>
      <c r="Y242" s="121"/>
      <c r="Z242" s="121" t="str">
        <f>Таблица18[[#This Row],[Хар-ка]]</f>
        <v>второй</v>
      </c>
      <c r="AD242" s="459"/>
      <c r="AE242" s="391"/>
    </row>
    <row r="243" spans="1:31" s="325" customFormat="1" ht="15.6" hidden="1" customHeight="1" x14ac:dyDescent="0.2">
      <c r="A243" s="360" t="s">
        <v>2076</v>
      </c>
      <c r="B243" s="360" t="s">
        <v>550</v>
      </c>
      <c r="C243" s="361">
        <v>366</v>
      </c>
      <c r="D243" s="362">
        <v>144</v>
      </c>
      <c r="E243" s="360" t="s">
        <v>78</v>
      </c>
      <c r="F243" s="360" t="s">
        <v>1906</v>
      </c>
      <c r="G243" s="360" t="s">
        <v>1907</v>
      </c>
      <c r="H243" s="360" t="s">
        <v>2072</v>
      </c>
      <c r="I243" s="360" t="e">
        <f>VLOOKUP(Таблица18[[#This Row],[Номер акта]],$AB$1:$AF$1833,3,FALSE)</f>
        <v>#N/A</v>
      </c>
      <c r="J243" s="360" t="s">
        <v>747</v>
      </c>
      <c r="K243" s="360" t="s">
        <v>82</v>
      </c>
      <c r="L243" s="363">
        <v>28640</v>
      </c>
      <c r="M243" s="363">
        <v>14980</v>
      </c>
      <c r="N243" s="364">
        <v>7.5</v>
      </c>
      <c r="O243" s="363">
        <v>13660</v>
      </c>
      <c r="P243" s="363">
        <v>12635.5</v>
      </c>
      <c r="Q243" s="121">
        <v>2023</v>
      </c>
      <c r="R243" s="121"/>
      <c r="S243" s="148">
        <v>45095</v>
      </c>
      <c r="T243" s="363">
        <f>Таблица18[[#This Row],[Вес нетто]]-Таблица18[[#This Row],[Зачетный вес]]</f>
        <v>1024.5</v>
      </c>
      <c r="U243" s="365">
        <f>Таблица18[[#This Row],[Отход]]/Таблица18[[#This Row],[Вес нетто]]</f>
        <v>7.4999999999999997E-2</v>
      </c>
      <c r="V243" s="121">
        <f>MONTH(Таблица18[[#This Row],[Дата акта]])</f>
        <v>6</v>
      </c>
      <c r="W243" s="121">
        <v>18</v>
      </c>
      <c r="X243" s="148">
        <f>DATE(1900,Таблица18[[#This Row],[Месяц]],Таблица18[[#This Row],[Число]])</f>
        <v>170</v>
      </c>
      <c r="Y243" s="121"/>
      <c r="Z243" s="121" t="str">
        <f>Таблица18[[#This Row],[Хар-ка]]</f>
        <v>первый</v>
      </c>
      <c r="AD243" s="459"/>
      <c r="AE243" s="391"/>
    </row>
    <row r="244" spans="1:31" s="325" customFormat="1" ht="15.6" hidden="1" customHeight="1" x14ac:dyDescent="0.2">
      <c r="A244" s="360" t="s">
        <v>2077</v>
      </c>
      <c r="B244" s="360" t="s">
        <v>550</v>
      </c>
      <c r="C244" s="361">
        <v>367</v>
      </c>
      <c r="D244" s="362">
        <v>145</v>
      </c>
      <c r="E244" s="360" t="s">
        <v>78</v>
      </c>
      <c r="F244" s="360" t="s">
        <v>1880</v>
      </c>
      <c r="G244" s="360" t="s">
        <v>1802</v>
      </c>
      <c r="H244" s="360" t="s">
        <v>2072</v>
      </c>
      <c r="I244" s="360" t="e">
        <f>VLOOKUP(Таблица18[[#This Row],[Номер акта]],$AB$1:$AF$1833,3,FALSE)</f>
        <v>#N/A</v>
      </c>
      <c r="J244" s="360" t="s">
        <v>747</v>
      </c>
      <c r="K244" s="360" t="s">
        <v>82</v>
      </c>
      <c r="L244" s="363">
        <v>28460</v>
      </c>
      <c r="M244" s="363">
        <v>14720</v>
      </c>
      <c r="N244" s="364">
        <v>6.5</v>
      </c>
      <c r="O244" s="363">
        <v>13740</v>
      </c>
      <c r="P244" s="363">
        <v>12846.9</v>
      </c>
      <c r="Q244" s="121">
        <v>2023</v>
      </c>
      <c r="R244" s="121"/>
      <c r="S244" s="148">
        <v>45095</v>
      </c>
      <c r="T244" s="363">
        <f>Таблица18[[#This Row],[Вес нетто]]-Таблица18[[#This Row],[Зачетный вес]]</f>
        <v>893.10000000000036</v>
      </c>
      <c r="U244" s="365">
        <f>Таблица18[[#This Row],[Отход]]/Таблица18[[#This Row],[Вес нетто]]</f>
        <v>6.500000000000003E-2</v>
      </c>
      <c r="V244" s="121">
        <f>MONTH(Таблица18[[#This Row],[Дата акта]])</f>
        <v>6</v>
      </c>
      <c r="W244" s="121">
        <v>18</v>
      </c>
      <c r="X244" s="148">
        <f>DATE(1900,Таблица18[[#This Row],[Месяц]],Таблица18[[#This Row],[Число]])</f>
        <v>170</v>
      </c>
      <c r="Y244" s="121"/>
      <c r="Z244" s="121" t="str">
        <f>Таблица18[[#This Row],[Хар-ка]]</f>
        <v>первый</v>
      </c>
      <c r="AD244" s="459"/>
      <c r="AE244" s="391"/>
    </row>
    <row r="245" spans="1:31" s="325" customFormat="1" ht="15.6" hidden="1" customHeight="1" x14ac:dyDescent="0.2">
      <c r="A245" s="360" t="s">
        <v>2078</v>
      </c>
      <c r="B245" s="360" t="s">
        <v>550</v>
      </c>
      <c r="C245" s="361">
        <v>368</v>
      </c>
      <c r="D245" s="362">
        <v>146</v>
      </c>
      <c r="E245" s="360" t="s">
        <v>78</v>
      </c>
      <c r="F245" s="360" t="s">
        <v>1804</v>
      </c>
      <c r="G245" s="360" t="s">
        <v>536</v>
      </c>
      <c r="H245" s="360" t="s">
        <v>2072</v>
      </c>
      <c r="I245" s="360" t="e">
        <f>VLOOKUP(Таблица18[[#This Row],[Номер акта]],$AB$1:$AF$1833,3,FALSE)</f>
        <v>#N/A</v>
      </c>
      <c r="J245" s="360" t="s">
        <v>747</v>
      </c>
      <c r="K245" s="360" t="s">
        <v>82</v>
      </c>
      <c r="L245" s="363">
        <v>28440</v>
      </c>
      <c r="M245" s="363">
        <v>14630</v>
      </c>
      <c r="N245" s="364">
        <v>6.5</v>
      </c>
      <c r="O245" s="363">
        <v>13810</v>
      </c>
      <c r="P245" s="363">
        <v>12912.3</v>
      </c>
      <c r="Q245" s="121">
        <v>2023</v>
      </c>
      <c r="R245" s="121"/>
      <c r="S245" s="148">
        <v>45095</v>
      </c>
      <c r="T245" s="363">
        <f>Таблица18[[#This Row],[Вес нетто]]-Таблица18[[#This Row],[Зачетный вес]]</f>
        <v>897.70000000000073</v>
      </c>
      <c r="U245" s="365">
        <f>Таблица18[[#This Row],[Отход]]/Таблица18[[#This Row],[Вес нетто]]</f>
        <v>6.5003620564808157E-2</v>
      </c>
      <c r="V245" s="121">
        <f>MONTH(Таблица18[[#This Row],[Дата акта]])</f>
        <v>6</v>
      </c>
      <c r="W245" s="121">
        <v>18</v>
      </c>
      <c r="X245" s="148">
        <f>DATE(1900,Таблица18[[#This Row],[Месяц]],Таблица18[[#This Row],[Число]])</f>
        <v>170</v>
      </c>
      <c r="Y245" s="121"/>
      <c r="Z245" s="121" t="str">
        <f>Таблица18[[#This Row],[Хар-ка]]</f>
        <v>первый</v>
      </c>
      <c r="AD245" s="459"/>
      <c r="AE245" s="391"/>
    </row>
    <row r="246" spans="1:31" s="325" customFormat="1" ht="15.6" hidden="1" customHeight="1" x14ac:dyDescent="0.2">
      <c r="A246" s="360" t="s">
        <v>2079</v>
      </c>
      <c r="B246" s="360" t="s">
        <v>550</v>
      </c>
      <c r="C246" s="361">
        <v>369</v>
      </c>
      <c r="D246" s="362">
        <v>147</v>
      </c>
      <c r="E246" s="360" t="s">
        <v>78</v>
      </c>
      <c r="F246" s="360" t="s">
        <v>212</v>
      </c>
      <c r="G246" s="360" t="s">
        <v>216</v>
      </c>
      <c r="H246" s="360" t="s">
        <v>2072</v>
      </c>
      <c r="I246" s="360" t="e">
        <f>VLOOKUP(Таблица18[[#This Row],[Номер акта]],$AB$1:$AF$1833,3,FALSE)</f>
        <v>#N/A</v>
      </c>
      <c r="J246" s="360" t="s">
        <v>747</v>
      </c>
      <c r="K246" s="360" t="s">
        <v>82</v>
      </c>
      <c r="L246" s="363">
        <v>27640</v>
      </c>
      <c r="M246" s="363">
        <v>14000</v>
      </c>
      <c r="N246" s="364">
        <v>6.5</v>
      </c>
      <c r="O246" s="363">
        <v>13640</v>
      </c>
      <c r="P246" s="363">
        <v>12753.4</v>
      </c>
      <c r="Q246" s="121">
        <v>2023</v>
      </c>
      <c r="R246" s="121"/>
      <c r="S246" s="148">
        <v>45095</v>
      </c>
      <c r="T246" s="363">
        <f>Таблица18[[#This Row],[Вес нетто]]-Таблица18[[#This Row],[Зачетный вес]]</f>
        <v>886.60000000000036</v>
      </c>
      <c r="U246" s="365">
        <f>Таблица18[[#This Row],[Отход]]/Таблица18[[#This Row],[Вес нетто]]</f>
        <v>6.500000000000003E-2</v>
      </c>
      <c r="V246" s="121">
        <f>MONTH(Таблица18[[#This Row],[Дата акта]])</f>
        <v>6</v>
      </c>
      <c r="W246" s="121">
        <v>18</v>
      </c>
      <c r="X246" s="148">
        <f>DATE(1900,Таблица18[[#This Row],[Месяц]],Таблица18[[#This Row],[Число]])</f>
        <v>170</v>
      </c>
      <c r="Y246" s="121"/>
      <c r="Z246" s="121" t="str">
        <f>Таблица18[[#This Row],[Хар-ка]]</f>
        <v>первый</v>
      </c>
      <c r="AD246" s="459"/>
      <c r="AE246" s="391"/>
    </row>
    <row r="247" spans="1:31" s="325" customFormat="1" ht="15.6" hidden="1" customHeight="1" x14ac:dyDescent="0.2">
      <c r="A247" s="360" t="s">
        <v>2080</v>
      </c>
      <c r="B247" s="360" t="s">
        <v>550</v>
      </c>
      <c r="C247" s="361">
        <v>370</v>
      </c>
      <c r="D247" s="362">
        <v>148</v>
      </c>
      <c r="E247" s="360" t="s">
        <v>78</v>
      </c>
      <c r="F247" s="360" t="s">
        <v>1906</v>
      </c>
      <c r="G247" s="360" t="s">
        <v>1907</v>
      </c>
      <c r="H247" s="360" t="s">
        <v>2072</v>
      </c>
      <c r="I247" s="360" t="e">
        <f>VLOOKUP(Таблица18[[#This Row],[Номер акта]],$AB$1:$AF$1833,3,FALSE)</f>
        <v>#N/A</v>
      </c>
      <c r="J247" s="360" t="s">
        <v>747</v>
      </c>
      <c r="K247" s="360" t="s">
        <v>82</v>
      </c>
      <c r="L247" s="363">
        <v>28430</v>
      </c>
      <c r="M247" s="363">
        <v>14970</v>
      </c>
      <c r="N247" s="364">
        <v>7.5</v>
      </c>
      <c r="O247" s="363">
        <v>13460</v>
      </c>
      <c r="P247" s="363">
        <v>12450.5</v>
      </c>
      <c r="Q247" s="121">
        <v>2023</v>
      </c>
      <c r="R247" s="121"/>
      <c r="S247" s="148">
        <v>45095</v>
      </c>
      <c r="T247" s="363">
        <f>Таблица18[[#This Row],[Вес нетто]]-Таблица18[[#This Row],[Зачетный вес]]</f>
        <v>1009.5</v>
      </c>
      <c r="U247" s="365">
        <f>Таблица18[[#This Row],[Отход]]/Таблица18[[#This Row],[Вес нетто]]</f>
        <v>7.4999999999999997E-2</v>
      </c>
      <c r="V247" s="121">
        <f>MONTH(Таблица18[[#This Row],[Дата акта]])</f>
        <v>6</v>
      </c>
      <c r="W247" s="121">
        <v>18</v>
      </c>
      <c r="X247" s="148">
        <f>DATE(1900,Таблица18[[#This Row],[Месяц]],Таблица18[[#This Row],[Число]])</f>
        <v>170</v>
      </c>
      <c r="Y247" s="121"/>
      <c r="Z247" s="121" t="str">
        <f>Таблица18[[#This Row],[Хар-ка]]</f>
        <v>первый</v>
      </c>
      <c r="AD247" s="459"/>
      <c r="AE247" s="391"/>
    </row>
    <row r="248" spans="1:31" s="325" customFormat="1" ht="15.6" hidden="1" customHeight="1" x14ac:dyDescent="0.2">
      <c r="A248" s="360" t="s">
        <v>2081</v>
      </c>
      <c r="B248" s="360" t="s">
        <v>550</v>
      </c>
      <c r="C248" s="361">
        <v>371</v>
      </c>
      <c r="D248" s="362">
        <v>149</v>
      </c>
      <c r="E248" s="360" t="s">
        <v>78</v>
      </c>
      <c r="F248" s="360" t="s">
        <v>1822</v>
      </c>
      <c r="G248" s="360" t="s">
        <v>1802</v>
      </c>
      <c r="H248" s="360" t="s">
        <v>2072</v>
      </c>
      <c r="I248" s="360" t="e">
        <f>VLOOKUP(Таблица18[[#This Row],[Номер акта]],$AB$1:$AF$1833,3,FALSE)</f>
        <v>#N/A</v>
      </c>
      <c r="J248" s="360" t="s">
        <v>747</v>
      </c>
      <c r="K248" s="360" t="s">
        <v>82</v>
      </c>
      <c r="L248" s="363">
        <v>28240</v>
      </c>
      <c r="M248" s="363">
        <v>14680</v>
      </c>
      <c r="N248" s="364">
        <v>5.5</v>
      </c>
      <c r="O248" s="363">
        <v>13560</v>
      </c>
      <c r="P248" s="363">
        <v>12814.2</v>
      </c>
      <c r="Q248" s="121">
        <v>2023</v>
      </c>
      <c r="R248" s="121"/>
      <c r="S248" s="148">
        <v>45095</v>
      </c>
      <c r="T248" s="363">
        <f>Таблица18[[#This Row],[Вес нетто]]-Таблица18[[#This Row],[Зачетный вес]]</f>
        <v>745.79999999999927</v>
      </c>
      <c r="U248" s="365">
        <f>Таблица18[[#This Row],[Отход]]/Таблица18[[#This Row],[Вес нетто]]</f>
        <v>5.4999999999999945E-2</v>
      </c>
      <c r="V248" s="121">
        <f>MONTH(Таблица18[[#This Row],[Дата акта]])</f>
        <v>6</v>
      </c>
      <c r="W248" s="121">
        <v>18</v>
      </c>
      <c r="X248" s="148">
        <f>DATE(1900,Таблица18[[#This Row],[Месяц]],Таблица18[[#This Row],[Число]])</f>
        <v>170</v>
      </c>
      <c r="Y248" s="121"/>
      <c r="Z248" s="121" t="str">
        <f>Таблица18[[#This Row],[Хар-ка]]</f>
        <v>первый</v>
      </c>
      <c r="AD248" s="459"/>
      <c r="AE248" s="391"/>
    </row>
    <row r="249" spans="1:31" s="325" customFormat="1" ht="15.6" hidden="1" customHeight="1" x14ac:dyDescent="0.2">
      <c r="A249" s="360" t="s">
        <v>2082</v>
      </c>
      <c r="B249" s="360" t="s">
        <v>833</v>
      </c>
      <c r="C249" s="361">
        <v>372</v>
      </c>
      <c r="D249" s="362">
        <v>150</v>
      </c>
      <c r="E249" s="360" t="s">
        <v>78</v>
      </c>
      <c r="F249" s="360" t="s">
        <v>1804</v>
      </c>
      <c r="G249" s="360" t="s">
        <v>536</v>
      </c>
      <c r="H249" s="360" t="s">
        <v>2072</v>
      </c>
      <c r="I249" s="360" t="e">
        <f>VLOOKUP(Таблица18[[#This Row],[Номер акта]],$AB$1:$AF$1833,3,FALSE)</f>
        <v>#N/A</v>
      </c>
      <c r="J249" s="360" t="s">
        <v>747</v>
      </c>
      <c r="K249" s="360" t="s">
        <v>82</v>
      </c>
      <c r="L249" s="363">
        <v>27960</v>
      </c>
      <c r="M249" s="363">
        <v>14620</v>
      </c>
      <c r="N249" s="364">
        <v>6.5</v>
      </c>
      <c r="O249" s="363">
        <v>13340</v>
      </c>
      <c r="P249" s="363">
        <v>12472.9</v>
      </c>
      <c r="Q249" s="121">
        <v>2023</v>
      </c>
      <c r="R249" s="121"/>
      <c r="S249" s="148">
        <v>45095</v>
      </c>
      <c r="T249" s="363">
        <f>Таблица18[[#This Row],[Вес нетто]]-Таблица18[[#This Row],[Зачетный вес]]</f>
        <v>867.10000000000036</v>
      </c>
      <c r="U249" s="365">
        <f>Таблица18[[#This Row],[Отход]]/Таблица18[[#This Row],[Вес нетто]]</f>
        <v>6.500000000000003E-2</v>
      </c>
      <c r="V249" s="121">
        <f>MONTH(Таблица18[[#This Row],[Дата акта]])</f>
        <v>6</v>
      </c>
      <c r="W249" s="121">
        <v>18</v>
      </c>
      <c r="X249" s="148">
        <f>DATE(1900,Таблица18[[#This Row],[Месяц]],Таблица18[[#This Row],[Число]])</f>
        <v>170</v>
      </c>
      <c r="Y249" s="121"/>
      <c r="Z249" s="121" t="str">
        <f>Таблица18[[#This Row],[Хар-ка]]</f>
        <v>второй</v>
      </c>
      <c r="AD249" s="459"/>
      <c r="AE249" s="391"/>
    </row>
    <row r="250" spans="1:31" s="325" customFormat="1" ht="15.6" hidden="1" customHeight="1" x14ac:dyDescent="0.2">
      <c r="A250" s="360" t="s">
        <v>2083</v>
      </c>
      <c r="B250" s="360" t="s">
        <v>833</v>
      </c>
      <c r="C250" s="361">
        <v>374</v>
      </c>
      <c r="D250" s="362">
        <v>151</v>
      </c>
      <c r="E250" s="360" t="s">
        <v>78</v>
      </c>
      <c r="F250" s="360" t="s">
        <v>212</v>
      </c>
      <c r="G250" s="360" t="s">
        <v>216</v>
      </c>
      <c r="H250" s="360" t="s">
        <v>2072</v>
      </c>
      <c r="I250" s="360" t="e">
        <f>VLOOKUP(Таблица18[[#This Row],[Номер акта]],$AB$1:$AF$1833,3,FALSE)</f>
        <v>#N/A</v>
      </c>
      <c r="J250" s="360" t="s">
        <v>747</v>
      </c>
      <c r="K250" s="360" t="s">
        <v>82</v>
      </c>
      <c r="L250" s="363">
        <v>27480</v>
      </c>
      <c r="M250" s="363">
        <v>14140</v>
      </c>
      <c r="N250" s="364">
        <v>5.5</v>
      </c>
      <c r="O250" s="363">
        <v>13340</v>
      </c>
      <c r="P250" s="363">
        <v>12606.3</v>
      </c>
      <c r="Q250" s="121">
        <v>2023</v>
      </c>
      <c r="R250" s="121"/>
      <c r="S250" s="148">
        <v>45095</v>
      </c>
      <c r="T250" s="363">
        <f>Таблица18[[#This Row],[Вес нетто]]-Таблица18[[#This Row],[Зачетный вес]]</f>
        <v>733.70000000000073</v>
      </c>
      <c r="U250" s="365">
        <f>Таблица18[[#This Row],[Отход]]/Таблица18[[#This Row],[Вес нетто]]</f>
        <v>5.5000000000000056E-2</v>
      </c>
      <c r="V250" s="121">
        <f>MONTH(Таблица18[[#This Row],[Дата акта]])</f>
        <v>6</v>
      </c>
      <c r="W250" s="121">
        <v>18</v>
      </c>
      <c r="X250" s="148">
        <f>DATE(1900,Таблица18[[#This Row],[Месяц]],Таблица18[[#This Row],[Число]])</f>
        <v>170</v>
      </c>
      <c r="Y250" s="121"/>
      <c r="Z250" s="121" t="str">
        <f>Таблица18[[#This Row],[Хар-ка]]</f>
        <v>второй</v>
      </c>
      <c r="AD250" s="459"/>
      <c r="AE250" s="391"/>
    </row>
    <row r="251" spans="1:31" s="325" customFormat="1" ht="15.6" hidden="1" customHeight="1" x14ac:dyDescent="0.2">
      <c r="A251" s="360" t="s">
        <v>2084</v>
      </c>
      <c r="B251" s="360" t="s">
        <v>833</v>
      </c>
      <c r="C251" s="361">
        <v>375</v>
      </c>
      <c r="D251" s="362">
        <v>152</v>
      </c>
      <c r="E251" s="360" t="s">
        <v>78</v>
      </c>
      <c r="F251" s="360" t="s">
        <v>1906</v>
      </c>
      <c r="G251" s="360" t="s">
        <v>1907</v>
      </c>
      <c r="H251" s="360" t="s">
        <v>2072</v>
      </c>
      <c r="I251" s="360" t="e">
        <f>VLOOKUP(Таблица18[[#This Row],[Номер акта]],$AB$1:$AF$1833,3,FALSE)</f>
        <v>#N/A</v>
      </c>
      <c r="J251" s="360" t="s">
        <v>747</v>
      </c>
      <c r="K251" s="360" t="s">
        <v>82</v>
      </c>
      <c r="L251" s="363">
        <v>28300</v>
      </c>
      <c r="M251" s="363">
        <v>15020</v>
      </c>
      <c r="N251" s="364">
        <v>6.5</v>
      </c>
      <c r="O251" s="363">
        <v>13280</v>
      </c>
      <c r="P251" s="363">
        <v>12416.8</v>
      </c>
      <c r="Q251" s="121">
        <v>2023</v>
      </c>
      <c r="R251" s="121"/>
      <c r="S251" s="148">
        <v>45096</v>
      </c>
      <c r="T251" s="363">
        <f>Таблица18[[#This Row],[Вес нетто]]-Таблица18[[#This Row],[Зачетный вес]]</f>
        <v>863.20000000000073</v>
      </c>
      <c r="U251" s="365">
        <f>Таблица18[[#This Row],[Отход]]/Таблица18[[#This Row],[Вес нетто]]</f>
        <v>6.5000000000000058E-2</v>
      </c>
      <c r="V251" s="121">
        <f>MONTH(Таблица18[[#This Row],[Дата акта]])</f>
        <v>6</v>
      </c>
      <c r="W251" s="121">
        <v>19</v>
      </c>
      <c r="X251" s="148">
        <f>DATE(1900,Таблица18[[#This Row],[Месяц]],Таблица18[[#This Row],[Число]])</f>
        <v>171</v>
      </c>
      <c r="Y251" s="121"/>
      <c r="Z251" s="121" t="str">
        <f>Таблица18[[#This Row],[Хар-ка]]</f>
        <v>второй</v>
      </c>
      <c r="AD251" s="459"/>
      <c r="AE251" s="391"/>
    </row>
    <row r="252" spans="1:31" s="325" customFormat="1" ht="15.6" hidden="1" customHeight="1" x14ac:dyDescent="0.2">
      <c r="A252" s="360" t="s">
        <v>2085</v>
      </c>
      <c r="B252" s="360" t="s">
        <v>833</v>
      </c>
      <c r="C252" s="361">
        <v>376</v>
      </c>
      <c r="D252" s="362">
        <v>153</v>
      </c>
      <c r="E252" s="360" t="s">
        <v>78</v>
      </c>
      <c r="F252" s="360" t="s">
        <v>1880</v>
      </c>
      <c r="G252" s="360" t="s">
        <v>1802</v>
      </c>
      <c r="H252" s="360" t="s">
        <v>2072</v>
      </c>
      <c r="I252" s="360" t="e">
        <f>VLOOKUP(Таблица18[[#This Row],[Номер акта]],$AB$1:$AF$1833,3,FALSE)</f>
        <v>#N/A</v>
      </c>
      <c r="J252" s="360" t="s">
        <v>747</v>
      </c>
      <c r="K252" s="360" t="s">
        <v>82</v>
      </c>
      <c r="L252" s="363">
        <v>27960</v>
      </c>
      <c r="M252" s="363">
        <v>14230</v>
      </c>
      <c r="N252" s="364">
        <v>7.5</v>
      </c>
      <c r="O252" s="363">
        <v>13730</v>
      </c>
      <c r="P252" s="363">
        <v>12700.2</v>
      </c>
      <c r="Q252" s="121">
        <v>2023</v>
      </c>
      <c r="R252" s="121"/>
      <c r="S252" s="148">
        <v>45096</v>
      </c>
      <c r="T252" s="363">
        <f>Таблица18[[#This Row],[Вес нетто]]-Таблица18[[#This Row],[Зачетный вес]]</f>
        <v>1029.7999999999993</v>
      </c>
      <c r="U252" s="365">
        <f>Таблица18[[#This Row],[Отход]]/Таблица18[[#This Row],[Вес нетто]]</f>
        <v>7.5003641660597184E-2</v>
      </c>
      <c r="V252" s="121">
        <f>MONTH(Таблица18[[#This Row],[Дата акта]])</f>
        <v>6</v>
      </c>
      <c r="W252" s="121">
        <v>19</v>
      </c>
      <c r="X252" s="148">
        <f>DATE(1900,Таблица18[[#This Row],[Месяц]],Таблица18[[#This Row],[Число]])</f>
        <v>171</v>
      </c>
      <c r="Y252" s="121"/>
      <c r="Z252" s="121" t="str">
        <f>Таблица18[[#This Row],[Хар-ка]]</f>
        <v>второй</v>
      </c>
      <c r="AD252" s="459"/>
      <c r="AE252" s="391"/>
    </row>
    <row r="253" spans="1:31" s="325" customFormat="1" ht="15.6" hidden="1" customHeight="1" x14ac:dyDescent="0.2">
      <c r="A253" s="360" t="s">
        <v>2086</v>
      </c>
      <c r="B253" s="360" t="s">
        <v>511</v>
      </c>
      <c r="C253" s="361">
        <v>377</v>
      </c>
      <c r="D253" s="362">
        <v>154</v>
      </c>
      <c r="E253" s="360" t="s">
        <v>78</v>
      </c>
      <c r="F253" s="360" t="s">
        <v>1804</v>
      </c>
      <c r="G253" s="360" t="s">
        <v>536</v>
      </c>
      <c r="H253" s="360" t="s">
        <v>2087</v>
      </c>
      <c r="I253" s="360" t="e">
        <f>VLOOKUP(Таблица18[[#This Row],[Номер акта]],$AB$1:$AF$1833,3,FALSE)</f>
        <v>#N/A</v>
      </c>
      <c r="J253" s="360" t="s">
        <v>747</v>
      </c>
      <c r="K253" s="360" t="s">
        <v>82</v>
      </c>
      <c r="L253" s="363">
        <v>28100</v>
      </c>
      <c r="M253" s="363">
        <v>14530</v>
      </c>
      <c r="N253" s="364">
        <v>19.5</v>
      </c>
      <c r="O253" s="363">
        <v>13570</v>
      </c>
      <c r="P253" s="363">
        <v>10923.8</v>
      </c>
      <c r="Q253" s="121">
        <v>2023</v>
      </c>
      <c r="R253" s="121"/>
      <c r="S253" s="148">
        <v>45096</v>
      </c>
      <c r="T253" s="363">
        <f>Таблица18[[#This Row],[Вес нетто]]-Таблица18[[#This Row],[Зачетный вес]]</f>
        <v>2646.2000000000007</v>
      </c>
      <c r="U253" s="365">
        <f>Таблица18[[#This Row],[Отход]]/Таблица18[[#This Row],[Вес нетто]]</f>
        <v>0.19500368459837883</v>
      </c>
      <c r="V253" s="121">
        <f>MONTH(Таблица18[[#This Row],[Дата акта]])</f>
        <v>6</v>
      </c>
      <c r="W253" s="121">
        <v>19</v>
      </c>
      <c r="X253" s="148">
        <f>DATE(1900,Таблица18[[#This Row],[Месяц]],Таблица18[[#This Row],[Число]])</f>
        <v>171</v>
      </c>
      <c r="Y253" s="121"/>
      <c r="Z253" s="121" t="str">
        <f>Таблица18[[#This Row],[Хар-ка]]</f>
        <v>высший</v>
      </c>
      <c r="AD253" s="459"/>
      <c r="AE253" s="391"/>
    </row>
    <row r="254" spans="1:31" s="325" customFormat="1" ht="15.6" hidden="1" customHeight="1" x14ac:dyDescent="0.2">
      <c r="A254" s="360" t="s">
        <v>2088</v>
      </c>
      <c r="B254" s="360" t="s">
        <v>511</v>
      </c>
      <c r="C254" s="361">
        <v>378</v>
      </c>
      <c r="D254" s="362">
        <v>151</v>
      </c>
      <c r="E254" s="360" t="s">
        <v>78</v>
      </c>
      <c r="F254" s="360" t="s">
        <v>212</v>
      </c>
      <c r="G254" s="360" t="s">
        <v>216</v>
      </c>
      <c r="H254" s="360" t="s">
        <v>2087</v>
      </c>
      <c r="I254" s="360" t="e">
        <f>VLOOKUP(Таблица18[[#This Row],[Номер акта]],$AB$1:$AF$1833,3,FALSE)</f>
        <v>#N/A</v>
      </c>
      <c r="J254" s="360" t="s">
        <v>747</v>
      </c>
      <c r="K254" s="360" t="s">
        <v>82</v>
      </c>
      <c r="L254" s="363">
        <v>27670</v>
      </c>
      <c r="M254" s="363">
        <v>14030</v>
      </c>
      <c r="N254" s="364">
        <v>15.5</v>
      </c>
      <c r="O254" s="363">
        <v>13640</v>
      </c>
      <c r="P254" s="363">
        <v>11525.8</v>
      </c>
      <c r="Q254" s="121">
        <v>2023</v>
      </c>
      <c r="R254" s="121"/>
      <c r="S254" s="148">
        <v>45096</v>
      </c>
      <c r="T254" s="363">
        <f>Таблица18[[#This Row],[Вес нетто]]-Таблица18[[#This Row],[Зачетный вес]]</f>
        <v>2114.2000000000007</v>
      </c>
      <c r="U254" s="365">
        <f>Таблица18[[#This Row],[Отход]]/Таблица18[[#This Row],[Вес нетто]]</f>
        <v>0.15500000000000005</v>
      </c>
      <c r="V254" s="121">
        <f>MONTH(Таблица18[[#This Row],[Дата акта]])</f>
        <v>6</v>
      </c>
      <c r="W254" s="121">
        <v>19</v>
      </c>
      <c r="X254" s="148">
        <f>DATE(1900,Таблица18[[#This Row],[Месяц]],Таблица18[[#This Row],[Число]])</f>
        <v>171</v>
      </c>
      <c r="Y254" s="121"/>
      <c r="Z254" s="121" t="str">
        <f>Таблица18[[#This Row],[Хар-ка]]</f>
        <v>высший</v>
      </c>
      <c r="AD254" s="459"/>
      <c r="AE254" s="391"/>
    </row>
    <row r="255" spans="1:31" s="325" customFormat="1" ht="15.6" hidden="1" customHeight="1" x14ac:dyDescent="0.2">
      <c r="A255" s="360" t="s">
        <v>2089</v>
      </c>
      <c r="B255" s="360" t="s">
        <v>511</v>
      </c>
      <c r="C255" s="361">
        <v>381</v>
      </c>
      <c r="D255" s="362">
        <v>156</v>
      </c>
      <c r="E255" s="360" t="s">
        <v>78</v>
      </c>
      <c r="F255" s="360" t="s">
        <v>311</v>
      </c>
      <c r="G255" s="360" t="s">
        <v>315</v>
      </c>
      <c r="H255" s="360" t="s">
        <v>2087</v>
      </c>
      <c r="I255" s="360" t="e">
        <f>VLOOKUP(Таблица18[[#This Row],[Номер акта]],$AB$1:$AF$1833,3,FALSE)</f>
        <v>#N/A</v>
      </c>
      <c r="J255" s="360" t="s">
        <v>747</v>
      </c>
      <c r="K255" s="360" t="s">
        <v>82</v>
      </c>
      <c r="L255" s="363">
        <v>25590</v>
      </c>
      <c r="M255" s="363">
        <v>15080</v>
      </c>
      <c r="N255" s="364">
        <v>12.2</v>
      </c>
      <c r="O255" s="363">
        <v>10510</v>
      </c>
      <c r="P255" s="363">
        <v>9230.9</v>
      </c>
      <c r="Q255" s="121">
        <v>2023</v>
      </c>
      <c r="R255" s="121"/>
      <c r="S255" s="148">
        <v>45096</v>
      </c>
      <c r="T255" s="363">
        <f>Таблица18[[#This Row],[Вес нетто]]-Таблица18[[#This Row],[Зачетный вес]]</f>
        <v>1279.1000000000004</v>
      </c>
      <c r="U255" s="365">
        <f>Таблица18[[#This Row],[Отход]]/Таблица18[[#This Row],[Вес нетто]]</f>
        <v>0.12170313986679357</v>
      </c>
      <c r="V255" s="121">
        <f>MONTH(Таблица18[[#This Row],[Дата акта]])</f>
        <v>6</v>
      </c>
      <c r="W255" s="121">
        <v>19</v>
      </c>
      <c r="X255" s="148">
        <f>DATE(1900,Таблица18[[#This Row],[Месяц]],Таблица18[[#This Row],[Число]])</f>
        <v>171</v>
      </c>
      <c r="Y255" s="121"/>
      <c r="Z255" s="121" t="str">
        <f>Таблица18[[#This Row],[Хар-ка]]</f>
        <v>высший</v>
      </c>
      <c r="AD255" s="459"/>
      <c r="AE255" s="391"/>
    </row>
    <row r="256" spans="1:31" s="325" customFormat="1" ht="15.6" hidden="1" customHeight="1" x14ac:dyDescent="0.2">
      <c r="A256" s="360" t="s">
        <v>2090</v>
      </c>
      <c r="B256" s="360" t="s">
        <v>511</v>
      </c>
      <c r="C256" s="361">
        <v>382</v>
      </c>
      <c r="D256" s="362">
        <v>157</v>
      </c>
      <c r="E256" s="360" t="s">
        <v>78</v>
      </c>
      <c r="F256" s="360" t="s">
        <v>1792</v>
      </c>
      <c r="G256" s="360" t="s">
        <v>80</v>
      </c>
      <c r="H256" s="360" t="s">
        <v>2091</v>
      </c>
      <c r="I256" s="360" t="e">
        <f>VLOOKUP(Таблица18[[#This Row],[Номер акта]],$AB$1:$AF$1833,3,FALSE)</f>
        <v>#N/A</v>
      </c>
      <c r="J256" s="360" t="s">
        <v>747</v>
      </c>
      <c r="K256" s="360" t="s">
        <v>82</v>
      </c>
      <c r="L256" s="363">
        <v>28450</v>
      </c>
      <c r="M256" s="363">
        <v>14270</v>
      </c>
      <c r="N256" s="364">
        <v>12.5</v>
      </c>
      <c r="O256" s="363">
        <v>14180</v>
      </c>
      <c r="P256" s="363">
        <v>12407.5</v>
      </c>
      <c r="Q256" s="121">
        <v>2023</v>
      </c>
      <c r="R256" s="121"/>
      <c r="S256" s="148">
        <v>45096</v>
      </c>
      <c r="T256" s="363">
        <f>Таблица18[[#This Row],[Вес нетто]]-Таблица18[[#This Row],[Зачетный вес]]</f>
        <v>1772.5</v>
      </c>
      <c r="U256" s="365">
        <f>Таблица18[[#This Row],[Отход]]/Таблица18[[#This Row],[Вес нетто]]</f>
        <v>0.125</v>
      </c>
      <c r="V256" s="121">
        <f>MONTH(Таблица18[[#This Row],[Дата акта]])</f>
        <v>6</v>
      </c>
      <c r="W256" s="121">
        <v>19</v>
      </c>
      <c r="X256" s="148">
        <f>DATE(1900,Таблица18[[#This Row],[Месяц]],Таблица18[[#This Row],[Число]])</f>
        <v>171</v>
      </c>
      <c r="Y256" s="121"/>
      <c r="Z256" s="121" t="str">
        <f>Таблица18[[#This Row],[Хар-ка]]</f>
        <v>высший</v>
      </c>
      <c r="AD256" s="459"/>
      <c r="AE256" s="391"/>
    </row>
    <row r="257" spans="1:31" s="325" customFormat="1" ht="15.6" hidden="1" customHeight="1" x14ac:dyDescent="0.2">
      <c r="A257" s="360" t="s">
        <v>2092</v>
      </c>
      <c r="B257" s="360" t="s">
        <v>511</v>
      </c>
      <c r="C257" s="361">
        <v>383</v>
      </c>
      <c r="D257" s="362">
        <v>158</v>
      </c>
      <c r="E257" s="360" t="s">
        <v>78</v>
      </c>
      <c r="F257" s="360" t="s">
        <v>311</v>
      </c>
      <c r="G257" s="360" t="s">
        <v>315</v>
      </c>
      <c r="H257" s="360" t="s">
        <v>2091</v>
      </c>
      <c r="I257" s="360" t="e">
        <f>VLOOKUP(Таблица18[[#This Row],[Номер акта]],$AB$1:$AF$1833,3,FALSE)</f>
        <v>#N/A</v>
      </c>
      <c r="J257" s="360" t="s">
        <v>747</v>
      </c>
      <c r="K257" s="360" t="s">
        <v>82</v>
      </c>
      <c r="L257" s="363">
        <v>28870</v>
      </c>
      <c r="M257" s="363">
        <v>15080</v>
      </c>
      <c r="N257" s="364">
        <v>10.5</v>
      </c>
      <c r="O257" s="363">
        <v>13790</v>
      </c>
      <c r="P257" s="363">
        <v>12342</v>
      </c>
      <c r="Q257" s="121">
        <v>2023</v>
      </c>
      <c r="R257" s="121"/>
      <c r="S257" s="148">
        <v>45096</v>
      </c>
      <c r="T257" s="363">
        <f>Таблица18[[#This Row],[Вес нетто]]-Таблица18[[#This Row],[Зачетный вес]]</f>
        <v>1448</v>
      </c>
      <c r="U257" s="365">
        <f>Таблица18[[#This Row],[Отход]]/Таблица18[[#This Row],[Вес нетто]]</f>
        <v>0.10500362581580856</v>
      </c>
      <c r="V257" s="121">
        <f>MONTH(Таблица18[[#This Row],[Дата акта]])</f>
        <v>6</v>
      </c>
      <c r="W257" s="121">
        <v>19</v>
      </c>
      <c r="X257" s="148">
        <f>DATE(1900,Таблица18[[#This Row],[Месяц]],Таблица18[[#This Row],[Число]])</f>
        <v>171</v>
      </c>
      <c r="Y257" s="121"/>
      <c r="Z257" s="121" t="str">
        <f>Таблица18[[#This Row],[Хар-ка]]</f>
        <v>высший</v>
      </c>
      <c r="AD257" s="459"/>
      <c r="AE257" s="391"/>
    </row>
    <row r="258" spans="1:31" s="325" customFormat="1" ht="15.6" hidden="1" customHeight="1" x14ac:dyDescent="0.2">
      <c r="A258" s="360" t="s">
        <v>2093</v>
      </c>
      <c r="B258" s="360" t="s">
        <v>511</v>
      </c>
      <c r="C258" s="361">
        <v>384</v>
      </c>
      <c r="D258" s="362">
        <v>159</v>
      </c>
      <c r="E258" s="360" t="s">
        <v>78</v>
      </c>
      <c r="F258" s="360" t="s">
        <v>1935</v>
      </c>
      <c r="G258" s="360" t="s">
        <v>1813</v>
      </c>
      <c r="H258" s="360" t="s">
        <v>2091</v>
      </c>
      <c r="I258" s="360" t="e">
        <f>VLOOKUP(Таблица18[[#This Row],[Номер акта]],$AB$1:$AF$1833,3,FALSE)</f>
        <v>#N/A</v>
      </c>
      <c r="J258" s="360" t="s">
        <v>747</v>
      </c>
      <c r="K258" s="360" t="s">
        <v>82</v>
      </c>
      <c r="L258" s="363">
        <v>28210</v>
      </c>
      <c r="M258" s="363">
        <v>14410</v>
      </c>
      <c r="N258" s="364">
        <v>12.5</v>
      </c>
      <c r="O258" s="363">
        <v>13800</v>
      </c>
      <c r="P258" s="363">
        <v>12075</v>
      </c>
      <c r="Q258" s="121">
        <v>2023</v>
      </c>
      <c r="R258" s="121"/>
      <c r="S258" s="148">
        <v>45096</v>
      </c>
      <c r="T258" s="363">
        <f>Таблица18[[#This Row],[Вес нетто]]-Таблица18[[#This Row],[Зачетный вес]]</f>
        <v>1725</v>
      </c>
      <c r="U258" s="365">
        <f>Таблица18[[#This Row],[Отход]]/Таблица18[[#This Row],[Вес нетто]]</f>
        <v>0.125</v>
      </c>
      <c r="V258" s="121">
        <f>MONTH(Таблица18[[#This Row],[Дата акта]])</f>
        <v>6</v>
      </c>
      <c r="W258" s="121">
        <v>19</v>
      </c>
      <c r="X258" s="148">
        <f>DATE(1900,Таблица18[[#This Row],[Месяц]],Таблица18[[#This Row],[Число]])</f>
        <v>171</v>
      </c>
      <c r="Y258" s="121"/>
      <c r="Z258" s="121" t="str">
        <f>Таблица18[[#This Row],[Хар-ка]]</f>
        <v>высший</v>
      </c>
      <c r="AD258" s="459"/>
      <c r="AE258" s="391"/>
    </row>
    <row r="259" spans="1:31" s="325" customFormat="1" ht="15.6" hidden="1" customHeight="1" x14ac:dyDescent="0.2">
      <c r="A259" s="360" t="s">
        <v>2094</v>
      </c>
      <c r="B259" s="360" t="s">
        <v>511</v>
      </c>
      <c r="C259" s="361">
        <v>385</v>
      </c>
      <c r="D259" s="362">
        <v>160</v>
      </c>
      <c r="E259" s="360" t="s">
        <v>78</v>
      </c>
      <c r="F259" s="360" t="s">
        <v>1792</v>
      </c>
      <c r="G259" s="360" t="s">
        <v>80</v>
      </c>
      <c r="H259" s="360" t="s">
        <v>2091</v>
      </c>
      <c r="I259" s="360" t="e">
        <f>VLOOKUP(Таблица18[[#This Row],[Номер акта]],$AB$1:$AF$1833,3,FALSE)</f>
        <v>#N/A</v>
      </c>
      <c r="J259" s="360" t="s">
        <v>747</v>
      </c>
      <c r="K259" s="360" t="s">
        <v>82</v>
      </c>
      <c r="L259" s="363">
        <v>28140</v>
      </c>
      <c r="M259" s="363">
        <v>14250</v>
      </c>
      <c r="N259" s="364">
        <v>11.5</v>
      </c>
      <c r="O259" s="363">
        <v>13890</v>
      </c>
      <c r="P259" s="363">
        <v>12292.6</v>
      </c>
      <c r="Q259" s="121">
        <v>2023</v>
      </c>
      <c r="R259" s="121"/>
      <c r="S259" s="148">
        <v>45096</v>
      </c>
      <c r="T259" s="363">
        <f>Таблица18[[#This Row],[Вес нетто]]-Таблица18[[#This Row],[Зачетный вес]]</f>
        <v>1597.3999999999996</v>
      </c>
      <c r="U259" s="365">
        <f>Таблица18[[#This Row],[Отход]]/Таблица18[[#This Row],[Вес нетто]]</f>
        <v>0.11500359971202301</v>
      </c>
      <c r="V259" s="121">
        <f>MONTH(Таблица18[[#This Row],[Дата акта]])</f>
        <v>6</v>
      </c>
      <c r="W259" s="121">
        <v>19</v>
      </c>
      <c r="X259" s="148">
        <f>DATE(1900,Таблица18[[#This Row],[Месяц]],Таблица18[[#This Row],[Число]])</f>
        <v>171</v>
      </c>
      <c r="Y259" s="121"/>
      <c r="Z259" s="121" t="str">
        <f>Таблица18[[#This Row],[Хар-ка]]</f>
        <v>высший</v>
      </c>
      <c r="AD259" s="459"/>
      <c r="AE259" s="391"/>
    </row>
    <row r="260" spans="1:31" s="325" customFormat="1" ht="15.6" hidden="1" customHeight="1" x14ac:dyDescent="0.2">
      <c r="A260" s="360" t="s">
        <v>2095</v>
      </c>
      <c r="B260" s="360" t="s">
        <v>511</v>
      </c>
      <c r="C260" s="361">
        <v>386</v>
      </c>
      <c r="D260" s="362">
        <v>112</v>
      </c>
      <c r="E260" s="360" t="s">
        <v>78</v>
      </c>
      <c r="F260" s="360" t="s">
        <v>133</v>
      </c>
      <c r="G260" s="360" t="s">
        <v>137</v>
      </c>
      <c r="H260" s="360" t="s">
        <v>2091</v>
      </c>
      <c r="I260" s="360" t="e">
        <f>VLOOKUP(Таблица18[[#This Row],[Номер акта]],$AB$1:$AF$1833,3,FALSE)</f>
        <v>#N/A</v>
      </c>
      <c r="J260" s="360" t="s">
        <v>747</v>
      </c>
      <c r="K260" s="360" t="s">
        <v>82</v>
      </c>
      <c r="L260" s="363">
        <v>33710</v>
      </c>
      <c r="M260" s="363">
        <v>17550</v>
      </c>
      <c r="N260" s="364">
        <v>13.5</v>
      </c>
      <c r="O260" s="363">
        <v>16160</v>
      </c>
      <c r="P260" s="363">
        <v>13978.4</v>
      </c>
      <c r="Q260" s="121">
        <v>2023</v>
      </c>
      <c r="R260" s="121"/>
      <c r="S260" s="148">
        <v>45096</v>
      </c>
      <c r="T260" s="363">
        <f>Таблица18[[#This Row],[Вес нетто]]-Таблица18[[#This Row],[Зачетный вес]]</f>
        <v>2181.6000000000004</v>
      </c>
      <c r="U260" s="365">
        <f>Таблица18[[#This Row],[Отход]]/Таблица18[[#This Row],[Вес нетто]]</f>
        <v>0.13500000000000001</v>
      </c>
      <c r="V260" s="121">
        <f>MONTH(Таблица18[[#This Row],[Дата акта]])</f>
        <v>6</v>
      </c>
      <c r="W260" s="121">
        <v>19</v>
      </c>
      <c r="X260" s="148">
        <f>DATE(1900,Таблица18[[#This Row],[Месяц]],Таблица18[[#This Row],[Число]])</f>
        <v>171</v>
      </c>
      <c r="Y260" s="121"/>
      <c r="Z260" s="121" t="str">
        <f>Таблица18[[#This Row],[Хар-ка]]</f>
        <v>высший</v>
      </c>
      <c r="AD260" s="459"/>
      <c r="AE260" s="391"/>
    </row>
    <row r="261" spans="1:31" s="325" customFormat="1" ht="15.6" hidden="1" customHeight="1" x14ac:dyDescent="0.2">
      <c r="A261" s="360" t="s">
        <v>2096</v>
      </c>
      <c r="B261" s="360" t="s">
        <v>511</v>
      </c>
      <c r="C261" s="361">
        <v>387</v>
      </c>
      <c r="D261" s="362">
        <v>162</v>
      </c>
      <c r="E261" s="360" t="s">
        <v>78</v>
      </c>
      <c r="F261" s="360" t="s">
        <v>311</v>
      </c>
      <c r="G261" s="360" t="s">
        <v>315</v>
      </c>
      <c r="H261" s="360" t="s">
        <v>2091</v>
      </c>
      <c r="I261" s="360" t="e">
        <f>VLOOKUP(Таблица18[[#This Row],[Номер акта]],$AB$1:$AF$1833,3,FALSE)</f>
        <v>#N/A</v>
      </c>
      <c r="J261" s="360" t="s">
        <v>747</v>
      </c>
      <c r="K261" s="360" t="s">
        <v>82</v>
      </c>
      <c r="L261" s="363">
        <v>29010</v>
      </c>
      <c r="M261" s="363">
        <v>15060</v>
      </c>
      <c r="N261" s="364">
        <v>14.5</v>
      </c>
      <c r="O261" s="363">
        <v>13950</v>
      </c>
      <c r="P261" s="363">
        <v>11927.2</v>
      </c>
      <c r="Q261" s="121">
        <v>2023</v>
      </c>
      <c r="R261" s="121"/>
      <c r="S261" s="148">
        <v>45096</v>
      </c>
      <c r="T261" s="363">
        <f>Таблица18[[#This Row],[Вес нетто]]-Таблица18[[#This Row],[Зачетный вес]]</f>
        <v>2022.7999999999993</v>
      </c>
      <c r="U261" s="365">
        <f>Таблица18[[#This Row],[Отход]]/Таблица18[[#This Row],[Вес нетто]]</f>
        <v>0.14500358422939064</v>
      </c>
      <c r="V261" s="121">
        <f>MONTH(Таблица18[[#This Row],[Дата акта]])</f>
        <v>6</v>
      </c>
      <c r="W261" s="121">
        <v>19</v>
      </c>
      <c r="X261" s="148">
        <f>DATE(1900,Таблица18[[#This Row],[Месяц]],Таблица18[[#This Row],[Число]])</f>
        <v>171</v>
      </c>
      <c r="Y261" s="121"/>
      <c r="Z261" s="121" t="str">
        <f>Таблица18[[#This Row],[Хар-ка]]</f>
        <v>высший</v>
      </c>
      <c r="AD261" s="459"/>
      <c r="AE261" s="391"/>
    </row>
    <row r="262" spans="1:31" s="325" customFormat="1" ht="15.6" hidden="1" customHeight="1" x14ac:dyDescent="0.2">
      <c r="A262" s="360" t="s">
        <v>2097</v>
      </c>
      <c r="B262" s="360" t="s">
        <v>511</v>
      </c>
      <c r="C262" s="361">
        <v>388</v>
      </c>
      <c r="D262" s="362">
        <v>163</v>
      </c>
      <c r="E262" s="360" t="s">
        <v>78</v>
      </c>
      <c r="F262" s="360" t="s">
        <v>1935</v>
      </c>
      <c r="G262" s="360" t="s">
        <v>1813</v>
      </c>
      <c r="H262" s="360" t="s">
        <v>2091</v>
      </c>
      <c r="I262" s="360" t="e">
        <f>VLOOKUP(Таблица18[[#This Row],[Номер акта]],$AB$1:$AF$1833,3,FALSE)</f>
        <v>#N/A</v>
      </c>
      <c r="J262" s="360" t="s">
        <v>747</v>
      </c>
      <c r="K262" s="360" t="s">
        <v>82</v>
      </c>
      <c r="L262" s="363">
        <v>28390</v>
      </c>
      <c r="M262" s="363">
        <v>14530</v>
      </c>
      <c r="N262" s="364">
        <v>11.5</v>
      </c>
      <c r="O262" s="363">
        <v>13860</v>
      </c>
      <c r="P262" s="363">
        <v>12266.1</v>
      </c>
      <c r="Q262" s="121">
        <v>2023</v>
      </c>
      <c r="R262" s="121"/>
      <c r="S262" s="148">
        <v>45097</v>
      </c>
      <c r="T262" s="363">
        <f>Таблица18[[#This Row],[Вес нетто]]-Таблица18[[#This Row],[Зачетный вес]]</f>
        <v>1593.8999999999996</v>
      </c>
      <c r="U262" s="365">
        <f>Таблица18[[#This Row],[Отход]]/Таблица18[[#This Row],[Вес нетто]]</f>
        <v>0.11499999999999998</v>
      </c>
      <c r="V262" s="121">
        <f>MONTH(Таблица18[[#This Row],[Дата акта]])</f>
        <v>6</v>
      </c>
      <c r="W262" s="121">
        <v>20</v>
      </c>
      <c r="X262" s="148">
        <f>DATE(1900,Таблица18[[#This Row],[Месяц]],Таблица18[[#This Row],[Число]])</f>
        <v>172</v>
      </c>
      <c r="Y262" s="121"/>
      <c r="Z262" s="121" t="str">
        <f>Таблица18[[#This Row],[Хар-ка]]</f>
        <v>высший</v>
      </c>
      <c r="AD262" s="459"/>
      <c r="AE262" s="391"/>
    </row>
    <row r="263" spans="1:31" s="325" customFormat="1" ht="15.6" hidden="1" customHeight="1" x14ac:dyDescent="0.2">
      <c r="A263" s="360" t="s">
        <v>2098</v>
      </c>
      <c r="B263" s="360" t="s">
        <v>511</v>
      </c>
      <c r="C263" s="361">
        <v>389</v>
      </c>
      <c r="D263" s="362">
        <v>164</v>
      </c>
      <c r="E263" s="360" t="s">
        <v>78</v>
      </c>
      <c r="F263" s="360" t="s">
        <v>1792</v>
      </c>
      <c r="G263" s="360" t="s">
        <v>80</v>
      </c>
      <c r="H263" s="360" t="s">
        <v>2091</v>
      </c>
      <c r="I263" s="360" t="e">
        <f>VLOOKUP(Таблица18[[#This Row],[Номер акта]],$AB$1:$AF$1833,3,FALSE)</f>
        <v>#N/A</v>
      </c>
      <c r="J263" s="360" t="s">
        <v>747</v>
      </c>
      <c r="K263" s="360" t="s">
        <v>82</v>
      </c>
      <c r="L263" s="363">
        <v>28020</v>
      </c>
      <c r="M263" s="363">
        <v>14240</v>
      </c>
      <c r="N263" s="364">
        <v>12.5</v>
      </c>
      <c r="O263" s="363">
        <v>13780</v>
      </c>
      <c r="P263" s="363">
        <v>12057.5</v>
      </c>
      <c r="Q263" s="121">
        <v>2023</v>
      </c>
      <c r="R263" s="121"/>
      <c r="S263" s="148">
        <v>45097</v>
      </c>
      <c r="T263" s="363">
        <f>Таблица18[[#This Row],[Вес нетто]]-Таблица18[[#This Row],[Зачетный вес]]</f>
        <v>1722.5</v>
      </c>
      <c r="U263" s="365">
        <f>Таблица18[[#This Row],[Отход]]/Таблица18[[#This Row],[Вес нетто]]</f>
        <v>0.125</v>
      </c>
      <c r="V263" s="121">
        <f>MONTH(Таблица18[[#This Row],[Дата акта]])</f>
        <v>6</v>
      </c>
      <c r="W263" s="121">
        <v>20</v>
      </c>
      <c r="X263" s="148">
        <f>DATE(1900,Таблица18[[#This Row],[Месяц]],Таблица18[[#This Row],[Число]])</f>
        <v>172</v>
      </c>
      <c r="Y263" s="121"/>
      <c r="Z263" s="121" t="str">
        <f>Таблица18[[#This Row],[Хар-ка]]</f>
        <v>высший</v>
      </c>
      <c r="AD263" s="459"/>
      <c r="AE263" s="391"/>
    </row>
    <row r="264" spans="1:31" s="325" customFormat="1" ht="15.6" hidden="1" customHeight="1" x14ac:dyDescent="0.2">
      <c r="A264" s="360" t="s">
        <v>2099</v>
      </c>
      <c r="B264" s="360" t="s">
        <v>511</v>
      </c>
      <c r="C264" s="361">
        <v>390</v>
      </c>
      <c r="D264" s="362">
        <v>165</v>
      </c>
      <c r="E264" s="360" t="s">
        <v>78</v>
      </c>
      <c r="F264" s="360" t="s">
        <v>133</v>
      </c>
      <c r="G264" s="360" t="s">
        <v>137</v>
      </c>
      <c r="H264" s="360" t="s">
        <v>2091</v>
      </c>
      <c r="I264" s="360" t="e">
        <f>VLOOKUP(Таблица18[[#This Row],[Номер акта]],$AB$1:$AF$1833,3,FALSE)</f>
        <v>#N/A</v>
      </c>
      <c r="J264" s="360" t="s">
        <v>747</v>
      </c>
      <c r="K264" s="360" t="s">
        <v>82</v>
      </c>
      <c r="L264" s="363">
        <v>33710</v>
      </c>
      <c r="M264" s="363">
        <v>17530</v>
      </c>
      <c r="N264" s="364">
        <v>10.5</v>
      </c>
      <c r="O264" s="363">
        <v>16180</v>
      </c>
      <c r="P264" s="363">
        <v>14481.1</v>
      </c>
      <c r="Q264" s="121">
        <v>2023</v>
      </c>
      <c r="R264" s="121"/>
      <c r="S264" s="148">
        <v>45097</v>
      </c>
      <c r="T264" s="363">
        <f>Таблица18[[#This Row],[Вес нетто]]-Таблица18[[#This Row],[Зачетный вес]]</f>
        <v>1698.8999999999996</v>
      </c>
      <c r="U264" s="365">
        <f>Таблица18[[#This Row],[Отход]]/Таблица18[[#This Row],[Вес нетто]]</f>
        <v>0.10499999999999998</v>
      </c>
      <c r="V264" s="121">
        <f>MONTH(Таблица18[[#This Row],[Дата акта]])</f>
        <v>6</v>
      </c>
      <c r="W264" s="121">
        <v>20</v>
      </c>
      <c r="X264" s="148">
        <f>DATE(1900,Таблица18[[#This Row],[Месяц]],Таблица18[[#This Row],[Число]])</f>
        <v>172</v>
      </c>
      <c r="Y264" s="121"/>
      <c r="Z264" s="121" t="str">
        <f>Таблица18[[#This Row],[Хар-ка]]</f>
        <v>высший</v>
      </c>
      <c r="AD264" s="459"/>
      <c r="AE264" s="391"/>
    </row>
    <row r="265" spans="1:31" s="325" customFormat="1" ht="15.6" hidden="1" customHeight="1" x14ac:dyDescent="0.2">
      <c r="A265" s="360" t="s">
        <v>2100</v>
      </c>
      <c r="B265" s="360" t="s">
        <v>511</v>
      </c>
      <c r="C265" s="361">
        <v>391</v>
      </c>
      <c r="D265" s="362">
        <v>166</v>
      </c>
      <c r="E265" s="360" t="s">
        <v>78</v>
      </c>
      <c r="F265" s="360" t="s">
        <v>311</v>
      </c>
      <c r="G265" s="360" t="s">
        <v>315</v>
      </c>
      <c r="H265" s="360" t="s">
        <v>2091</v>
      </c>
      <c r="I265" s="360" t="e">
        <f>VLOOKUP(Таблица18[[#This Row],[Номер акта]],$AB$1:$AF$1833,3,FALSE)</f>
        <v>#N/A</v>
      </c>
      <c r="J265" s="360" t="s">
        <v>747</v>
      </c>
      <c r="K265" s="360" t="s">
        <v>82</v>
      </c>
      <c r="L265" s="363">
        <v>29310</v>
      </c>
      <c r="M265" s="363">
        <v>15040</v>
      </c>
      <c r="N265" s="364">
        <v>12.5</v>
      </c>
      <c r="O265" s="363">
        <v>14270</v>
      </c>
      <c r="P265" s="363">
        <v>12486.2</v>
      </c>
      <c r="Q265" s="121">
        <v>2023</v>
      </c>
      <c r="R265" s="121"/>
      <c r="S265" s="148">
        <v>45097</v>
      </c>
      <c r="T265" s="363">
        <f>Таблица18[[#This Row],[Вес нетто]]-Таблица18[[#This Row],[Зачетный вес]]</f>
        <v>1783.7999999999993</v>
      </c>
      <c r="U265" s="365">
        <f>Таблица18[[#This Row],[Отход]]/Таблица18[[#This Row],[Вес нетто]]</f>
        <v>0.12500350385423961</v>
      </c>
      <c r="V265" s="121">
        <f>MONTH(Таблица18[[#This Row],[Дата акта]])</f>
        <v>6</v>
      </c>
      <c r="W265" s="121">
        <v>20</v>
      </c>
      <c r="X265" s="148">
        <f>DATE(1900,Таблица18[[#This Row],[Месяц]],Таблица18[[#This Row],[Число]])</f>
        <v>172</v>
      </c>
      <c r="Y265" s="121"/>
      <c r="Z265" s="121" t="str">
        <f>Таблица18[[#This Row],[Хар-ка]]</f>
        <v>высший</v>
      </c>
      <c r="AD265" s="459"/>
      <c r="AE265" s="391"/>
    </row>
    <row r="266" spans="1:31" s="325" customFormat="1" ht="15.6" hidden="1" customHeight="1" x14ac:dyDescent="0.2">
      <c r="A266" s="360" t="s">
        <v>2101</v>
      </c>
      <c r="B266" s="360" t="s">
        <v>511</v>
      </c>
      <c r="C266" s="361">
        <v>395</v>
      </c>
      <c r="D266" s="362">
        <v>167</v>
      </c>
      <c r="E266" s="360" t="s">
        <v>78</v>
      </c>
      <c r="F266" s="360" t="s">
        <v>1935</v>
      </c>
      <c r="G266" s="360" t="s">
        <v>1813</v>
      </c>
      <c r="H266" s="360" t="s">
        <v>2091</v>
      </c>
      <c r="I266" s="360" t="e">
        <f>VLOOKUP(Таблица18[[#This Row],[Номер акта]],$AB$1:$AF$1833,3,FALSE)</f>
        <v>#N/A</v>
      </c>
      <c r="J266" s="360" t="s">
        <v>747</v>
      </c>
      <c r="K266" s="360" t="s">
        <v>82</v>
      </c>
      <c r="L266" s="363">
        <v>17970</v>
      </c>
      <c r="M266" s="363">
        <v>14510</v>
      </c>
      <c r="N266" s="364">
        <v>12.5</v>
      </c>
      <c r="O266" s="363">
        <v>3460</v>
      </c>
      <c r="P266" s="363">
        <v>3027.5</v>
      </c>
      <c r="Q266" s="121">
        <v>2023</v>
      </c>
      <c r="R266" s="121"/>
      <c r="S266" s="148">
        <v>45097</v>
      </c>
      <c r="T266" s="363">
        <f>Таблица18[[#This Row],[Вес нетто]]-Таблица18[[#This Row],[Зачетный вес]]</f>
        <v>432.5</v>
      </c>
      <c r="U266" s="365">
        <f>Таблица18[[#This Row],[Отход]]/Таблица18[[#This Row],[Вес нетто]]</f>
        <v>0.125</v>
      </c>
      <c r="V266" s="121">
        <f>MONTH(Таблица18[[#This Row],[Дата акта]])</f>
        <v>6</v>
      </c>
      <c r="W266" s="121">
        <v>20</v>
      </c>
      <c r="X266" s="148">
        <f>DATE(1900,Таблица18[[#This Row],[Месяц]],Таблица18[[#This Row],[Число]])</f>
        <v>172</v>
      </c>
      <c r="Y266" s="121"/>
      <c r="Z266" s="121" t="str">
        <f>Таблица18[[#This Row],[Хар-ка]]</f>
        <v>высший</v>
      </c>
      <c r="AD266" s="459"/>
      <c r="AE266" s="391"/>
    </row>
    <row r="267" spans="1:31" s="325" customFormat="1" ht="15.6" hidden="1" customHeight="1" x14ac:dyDescent="0.2">
      <c r="A267" s="360" t="s">
        <v>2102</v>
      </c>
      <c r="B267" s="360" t="s">
        <v>511</v>
      </c>
      <c r="C267" s="361">
        <v>398</v>
      </c>
      <c r="D267" s="362">
        <v>168</v>
      </c>
      <c r="E267" s="360" t="s">
        <v>78</v>
      </c>
      <c r="F267" s="360" t="s">
        <v>1906</v>
      </c>
      <c r="G267" s="360" t="s">
        <v>1907</v>
      </c>
      <c r="H267" s="360" t="s">
        <v>2091</v>
      </c>
      <c r="I267" s="360" t="e">
        <f>VLOOKUP(Таблица18[[#This Row],[Номер акта]],$AB$1:$AF$1833,3,FALSE)</f>
        <v>#N/A</v>
      </c>
      <c r="J267" s="360" t="s">
        <v>747</v>
      </c>
      <c r="K267" s="360" t="s">
        <v>82</v>
      </c>
      <c r="L267" s="363">
        <v>27000</v>
      </c>
      <c r="M267" s="363">
        <v>14990</v>
      </c>
      <c r="N267" s="364">
        <v>11.5</v>
      </c>
      <c r="O267" s="363">
        <v>12010</v>
      </c>
      <c r="P267" s="363">
        <v>10628.8</v>
      </c>
      <c r="Q267" s="121">
        <v>2023</v>
      </c>
      <c r="R267" s="121"/>
      <c r="S267" s="148">
        <v>45097</v>
      </c>
      <c r="T267" s="363">
        <f>Таблица18[[#This Row],[Вес нетто]]-Таблица18[[#This Row],[Зачетный вес]]</f>
        <v>1381.2000000000007</v>
      </c>
      <c r="U267" s="365">
        <f>Таблица18[[#This Row],[Отход]]/Таблица18[[#This Row],[Вес нетто]]</f>
        <v>0.11500416319733561</v>
      </c>
      <c r="V267" s="121">
        <f>MONTH(Таблица18[[#This Row],[Дата акта]])</f>
        <v>6</v>
      </c>
      <c r="W267" s="121">
        <v>20</v>
      </c>
      <c r="X267" s="148">
        <f>DATE(1900,Таблица18[[#This Row],[Месяц]],Таблица18[[#This Row],[Число]])</f>
        <v>172</v>
      </c>
      <c r="Y267" s="121"/>
      <c r="Z267" s="121" t="str">
        <f>Таблица18[[#This Row],[Хар-ка]]</f>
        <v>высший</v>
      </c>
      <c r="AD267" s="459"/>
      <c r="AE267" s="391"/>
    </row>
    <row r="268" spans="1:31" s="325" customFormat="1" ht="15.6" hidden="1" customHeight="1" x14ac:dyDescent="0.2">
      <c r="A268" s="360" t="s">
        <v>2103</v>
      </c>
      <c r="B268" s="360" t="s">
        <v>511</v>
      </c>
      <c r="C268" s="361">
        <v>399</v>
      </c>
      <c r="D268" s="362">
        <v>169</v>
      </c>
      <c r="E268" s="360" t="s">
        <v>78</v>
      </c>
      <c r="F268" s="360" t="s">
        <v>212</v>
      </c>
      <c r="G268" s="360" t="s">
        <v>216</v>
      </c>
      <c r="H268" s="360" t="s">
        <v>2091</v>
      </c>
      <c r="I268" s="360" t="e">
        <f>VLOOKUP(Таблица18[[#This Row],[Номер акта]],$AB$1:$AF$1833,3,FALSE)</f>
        <v>#N/A</v>
      </c>
      <c r="J268" s="360" t="s">
        <v>747</v>
      </c>
      <c r="K268" s="360" t="s">
        <v>82</v>
      </c>
      <c r="L268" s="363">
        <v>28550</v>
      </c>
      <c r="M268" s="363">
        <v>14010</v>
      </c>
      <c r="N268" s="364">
        <v>13.5</v>
      </c>
      <c r="O268" s="363">
        <v>14540</v>
      </c>
      <c r="P268" s="363">
        <v>12577.1</v>
      </c>
      <c r="Q268" s="121">
        <v>2023</v>
      </c>
      <c r="R268" s="121"/>
      <c r="S268" s="148">
        <v>45097</v>
      </c>
      <c r="T268" s="363">
        <f>Таблица18[[#This Row],[Вес нетто]]-Таблица18[[#This Row],[Зачетный вес]]</f>
        <v>1962.8999999999996</v>
      </c>
      <c r="U268" s="365">
        <f>Таблица18[[#This Row],[Отход]]/Таблица18[[#This Row],[Вес нетто]]</f>
        <v>0.13499999999999998</v>
      </c>
      <c r="V268" s="121">
        <f>MONTH(Таблица18[[#This Row],[Дата акта]])</f>
        <v>6</v>
      </c>
      <c r="W268" s="121">
        <v>20</v>
      </c>
      <c r="X268" s="148">
        <f>DATE(1900,Таблица18[[#This Row],[Месяц]],Таблица18[[#This Row],[Число]])</f>
        <v>172</v>
      </c>
      <c r="Y268" s="121"/>
      <c r="Z268" s="121" t="str">
        <f>Таблица18[[#This Row],[Хар-ка]]</f>
        <v>высший</v>
      </c>
      <c r="AD268" s="459"/>
      <c r="AE268" s="391"/>
    </row>
    <row r="269" spans="1:31" s="325" customFormat="1" ht="15.6" hidden="1" customHeight="1" x14ac:dyDescent="0.2">
      <c r="A269" s="360" t="s">
        <v>2104</v>
      </c>
      <c r="B269" s="360" t="s">
        <v>511</v>
      </c>
      <c r="C269" s="361">
        <v>400</v>
      </c>
      <c r="D269" s="362">
        <v>170</v>
      </c>
      <c r="E269" s="360" t="s">
        <v>78</v>
      </c>
      <c r="F269" s="360" t="s">
        <v>1804</v>
      </c>
      <c r="G269" s="360" t="s">
        <v>536</v>
      </c>
      <c r="H269" s="360" t="s">
        <v>2091</v>
      </c>
      <c r="I269" s="360" t="e">
        <f>VLOOKUP(Таблица18[[#This Row],[Номер акта]],$AB$1:$AF$1833,3,FALSE)</f>
        <v>#N/A</v>
      </c>
      <c r="J269" s="360" t="s">
        <v>747</v>
      </c>
      <c r="K269" s="360" t="s">
        <v>82</v>
      </c>
      <c r="L269" s="363">
        <v>28980</v>
      </c>
      <c r="M269" s="363">
        <v>14560</v>
      </c>
      <c r="N269" s="364">
        <v>15.5</v>
      </c>
      <c r="O269" s="363">
        <v>14420</v>
      </c>
      <c r="P269" s="363">
        <v>12184.9</v>
      </c>
      <c r="Q269" s="121">
        <v>2023</v>
      </c>
      <c r="R269" s="121"/>
      <c r="S269" s="148">
        <v>45097</v>
      </c>
      <c r="T269" s="363">
        <f>Таблица18[[#This Row],[Вес нетто]]-Таблица18[[#This Row],[Зачетный вес]]</f>
        <v>2235.1000000000004</v>
      </c>
      <c r="U269" s="365">
        <f>Таблица18[[#This Row],[Отход]]/Таблица18[[#This Row],[Вес нетто]]</f>
        <v>0.15500000000000003</v>
      </c>
      <c r="V269" s="121">
        <f>MONTH(Таблица18[[#This Row],[Дата акта]])</f>
        <v>6</v>
      </c>
      <c r="W269" s="121">
        <v>20</v>
      </c>
      <c r="X269" s="148">
        <f>DATE(1900,Таблица18[[#This Row],[Месяц]],Таблица18[[#This Row],[Число]])</f>
        <v>172</v>
      </c>
      <c r="Y269" s="121"/>
      <c r="Z269" s="121" t="str">
        <f>Таблица18[[#This Row],[Хар-ка]]</f>
        <v>высший</v>
      </c>
      <c r="AD269" s="459"/>
      <c r="AE269" s="391"/>
    </row>
    <row r="270" spans="1:31" s="325" customFormat="1" ht="15.6" hidden="1" customHeight="1" x14ac:dyDescent="0.2">
      <c r="A270" s="360" t="s">
        <v>2105</v>
      </c>
      <c r="B270" s="360" t="s">
        <v>511</v>
      </c>
      <c r="C270" s="361">
        <v>402</v>
      </c>
      <c r="D270" s="362">
        <v>171</v>
      </c>
      <c r="E270" s="360" t="s">
        <v>78</v>
      </c>
      <c r="F270" s="360" t="s">
        <v>1906</v>
      </c>
      <c r="G270" s="360" t="s">
        <v>1907</v>
      </c>
      <c r="H270" s="360" t="s">
        <v>2091</v>
      </c>
      <c r="I270" s="360" t="e">
        <f>VLOOKUP(Таблица18[[#This Row],[Номер акта]],$AB$1:$AF$1833,3,FALSE)</f>
        <v>#N/A</v>
      </c>
      <c r="J270" s="360" t="s">
        <v>747</v>
      </c>
      <c r="K270" s="360" t="s">
        <v>82</v>
      </c>
      <c r="L270" s="363">
        <v>29440</v>
      </c>
      <c r="M270" s="363">
        <v>14970</v>
      </c>
      <c r="N270" s="364">
        <v>11.5</v>
      </c>
      <c r="O270" s="363">
        <v>14470</v>
      </c>
      <c r="P270" s="363">
        <v>12805.9</v>
      </c>
      <c r="Q270" s="121">
        <v>2023</v>
      </c>
      <c r="R270" s="121"/>
      <c r="S270" s="148">
        <v>45097</v>
      </c>
      <c r="T270" s="363">
        <f>Таблица18[[#This Row],[Вес нетто]]-Таблица18[[#This Row],[Зачетный вес]]</f>
        <v>1664.1000000000004</v>
      </c>
      <c r="U270" s="365">
        <f>Таблица18[[#This Row],[Отход]]/Таблица18[[#This Row],[Вес нетто]]</f>
        <v>0.1150034554250173</v>
      </c>
      <c r="V270" s="121">
        <f>MONTH(Таблица18[[#This Row],[Дата акта]])</f>
        <v>6</v>
      </c>
      <c r="W270" s="121">
        <v>20</v>
      </c>
      <c r="X270" s="148">
        <f>DATE(1900,Таблица18[[#This Row],[Месяц]],Таблица18[[#This Row],[Число]])</f>
        <v>172</v>
      </c>
      <c r="Y270" s="121"/>
      <c r="Z270" s="121" t="str">
        <f>Таблица18[[#This Row],[Хар-ка]]</f>
        <v>высший</v>
      </c>
      <c r="AD270" s="459"/>
      <c r="AE270" s="391"/>
    </row>
    <row r="271" spans="1:31" s="325" customFormat="1" ht="15.6" hidden="1" customHeight="1" x14ac:dyDescent="0.2">
      <c r="A271" s="360" t="s">
        <v>2106</v>
      </c>
      <c r="B271" s="360" t="s">
        <v>511</v>
      </c>
      <c r="C271" s="361">
        <v>403</v>
      </c>
      <c r="D271" s="362">
        <v>172</v>
      </c>
      <c r="E271" s="360" t="s">
        <v>78</v>
      </c>
      <c r="F271" s="360" t="s">
        <v>212</v>
      </c>
      <c r="G271" s="360" t="s">
        <v>216</v>
      </c>
      <c r="H271" s="360" t="s">
        <v>2091</v>
      </c>
      <c r="I271" s="360" t="e">
        <f>VLOOKUP(Таблица18[[#This Row],[Номер акта]],$AB$1:$AF$1833,3,FALSE)</f>
        <v>#N/A</v>
      </c>
      <c r="J271" s="360" t="s">
        <v>747</v>
      </c>
      <c r="K271" s="360" t="s">
        <v>82</v>
      </c>
      <c r="L271" s="363">
        <v>28490</v>
      </c>
      <c r="M271" s="363">
        <v>14010</v>
      </c>
      <c r="N271" s="364">
        <v>20.5</v>
      </c>
      <c r="O271" s="363">
        <v>14480</v>
      </c>
      <c r="P271" s="363">
        <v>11511.6</v>
      </c>
      <c r="Q271" s="121">
        <v>2023</v>
      </c>
      <c r="R271" s="121"/>
      <c r="S271" s="148">
        <v>45097</v>
      </c>
      <c r="T271" s="363">
        <f>Таблица18[[#This Row],[Вес нетто]]-Таблица18[[#This Row],[Зачетный вес]]</f>
        <v>2968.3999999999996</v>
      </c>
      <c r="U271" s="365">
        <f>Таблица18[[#This Row],[Отход]]/Таблица18[[#This Row],[Вес нетто]]</f>
        <v>0.20499999999999999</v>
      </c>
      <c r="V271" s="121">
        <f>MONTH(Таблица18[[#This Row],[Дата акта]])</f>
        <v>6</v>
      </c>
      <c r="W271" s="121">
        <v>20</v>
      </c>
      <c r="X271" s="148">
        <f>DATE(1900,Таблица18[[#This Row],[Месяц]],Таблица18[[#This Row],[Число]])</f>
        <v>172</v>
      </c>
      <c r="Y271" s="121"/>
      <c r="Z271" s="121" t="str">
        <f>Таблица18[[#This Row],[Хар-ка]]</f>
        <v>высший</v>
      </c>
      <c r="AD271" s="459"/>
      <c r="AE271" s="391"/>
    </row>
    <row r="272" spans="1:31" s="325" customFormat="1" ht="15.6" hidden="1" customHeight="1" x14ac:dyDescent="0.2">
      <c r="A272" s="360" t="s">
        <v>2107</v>
      </c>
      <c r="B272" s="360" t="s">
        <v>511</v>
      </c>
      <c r="C272" s="361">
        <v>404</v>
      </c>
      <c r="D272" s="362">
        <v>173</v>
      </c>
      <c r="E272" s="360" t="s">
        <v>78</v>
      </c>
      <c r="F272" s="360" t="s">
        <v>1804</v>
      </c>
      <c r="G272" s="360" t="s">
        <v>536</v>
      </c>
      <c r="H272" s="360" t="s">
        <v>2091</v>
      </c>
      <c r="I272" s="360" t="e">
        <f>VLOOKUP(Таблица18[[#This Row],[Номер акта]],$AB$1:$AF$1833,3,FALSE)</f>
        <v>#N/A</v>
      </c>
      <c r="J272" s="360" t="s">
        <v>747</v>
      </c>
      <c r="K272" s="360" t="s">
        <v>82</v>
      </c>
      <c r="L272" s="363">
        <v>29230</v>
      </c>
      <c r="M272" s="363">
        <v>14550</v>
      </c>
      <c r="N272" s="364">
        <v>19.5</v>
      </c>
      <c r="O272" s="363">
        <v>14680</v>
      </c>
      <c r="P272" s="363">
        <v>11817.4</v>
      </c>
      <c r="Q272" s="121">
        <v>2023</v>
      </c>
      <c r="R272" s="121"/>
      <c r="S272" s="148">
        <v>45097</v>
      </c>
      <c r="T272" s="363">
        <f>Таблица18[[#This Row],[Вес нетто]]-Таблица18[[#This Row],[Зачетный вес]]</f>
        <v>2862.6000000000004</v>
      </c>
      <c r="U272" s="365">
        <f>Таблица18[[#This Row],[Отход]]/Таблица18[[#This Row],[Вес нетто]]</f>
        <v>0.19500000000000003</v>
      </c>
      <c r="V272" s="121">
        <f>MONTH(Таблица18[[#This Row],[Дата акта]])</f>
        <v>6</v>
      </c>
      <c r="W272" s="121">
        <v>20</v>
      </c>
      <c r="X272" s="148">
        <f>DATE(1900,Таблица18[[#This Row],[Месяц]],Таблица18[[#This Row],[Число]])</f>
        <v>172</v>
      </c>
      <c r="Y272" s="121"/>
      <c r="Z272" s="121" t="str">
        <f>Таблица18[[#This Row],[Хар-ка]]</f>
        <v>высший</v>
      </c>
      <c r="AD272" s="459"/>
      <c r="AE272" s="391"/>
    </row>
    <row r="273" spans="1:31" s="325" customFormat="1" ht="15.6" hidden="1" customHeight="1" x14ac:dyDescent="0.2">
      <c r="A273" s="360" t="s">
        <v>2108</v>
      </c>
      <c r="B273" s="360" t="s">
        <v>511</v>
      </c>
      <c r="C273" s="361">
        <v>406</v>
      </c>
      <c r="D273" s="362">
        <v>174</v>
      </c>
      <c r="E273" s="360" t="s">
        <v>78</v>
      </c>
      <c r="F273" s="360" t="s">
        <v>1906</v>
      </c>
      <c r="G273" s="360" t="s">
        <v>1907</v>
      </c>
      <c r="H273" s="360" t="s">
        <v>2091</v>
      </c>
      <c r="I273" s="360" t="e">
        <f>VLOOKUP(Таблица18[[#This Row],[Номер акта]],$AB$1:$AF$1833,3,FALSE)</f>
        <v>#N/A</v>
      </c>
      <c r="J273" s="360" t="s">
        <v>747</v>
      </c>
      <c r="K273" s="360" t="s">
        <v>82</v>
      </c>
      <c r="L273" s="363">
        <v>29390</v>
      </c>
      <c r="M273" s="363">
        <v>15030</v>
      </c>
      <c r="N273" s="364">
        <v>20.5</v>
      </c>
      <c r="O273" s="363">
        <v>14360</v>
      </c>
      <c r="P273" s="363">
        <v>11416.2</v>
      </c>
      <c r="Q273" s="121">
        <v>2023</v>
      </c>
      <c r="R273" s="121"/>
      <c r="S273" s="148">
        <v>45097</v>
      </c>
      <c r="T273" s="363">
        <f>Таблица18[[#This Row],[Вес нетто]]-Таблица18[[#This Row],[Зачетный вес]]</f>
        <v>2943.7999999999993</v>
      </c>
      <c r="U273" s="365">
        <f>Таблица18[[#This Row],[Отход]]/Таблица18[[#This Row],[Вес нетто]]</f>
        <v>0.20499999999999996</v>
      </c>
      <c r="V273" s="121">
        <f>MONTH(Таблица18[[#This Row],[Дата акта]])</f>
        <v>6</v>
      </c>
      <c r="W273" s="121">
        <v>20</v>
      </c>
      <c r="X273" s="148">
        <f>DATE(1900,Таблица18[[#This Row],[Месяц]],Таблица18[[#This Row],[Число]])</f>
        <v>172</v>
      </c>
      <c r="Y273" s="121"/>
      <c r="Z273" s="121" t="str">
        <f>Таблица18[[#This Row],[Хар-ка]]</f>
        <v>высший</v>
      </c>
      <c r="AD273" s="459"/>
      <c r="AE273" s="391"/>
    </row>
    <row r="274" spans="1:31" s="325" customFormat="1" ht="15.6" hidden="1" customHeight="1" x14ac:dyDescent="0.2">
      <c r="A274" s="360" t="s">
        <v>2109</v>
      </c>
      <c r="B274" s="360" t="s">
        <v>511</v>
      </c>
      <c r="C274" s="361">
        <v>407</v>
      </c>
      <c r="D274" s="362">
        <v>175</v>
      </c>
      <c r="E274" s="360" t="s">
        <v>78</v>
      </c>
      <c r="F274" s="360" t="s">
        <v>212</v>
      </c>
      <c r="G274" s="360" t="s">
        <v>216</v>
      </c>
      <c r="H274" s="360" t="s">
        <v>2091</v>
      </c>
      <c r="I274" s="360" t="e">
        <f>VLOOKUP(Таблица18[[#This Row],[Номер акта]],$AB$1:$AF$1833,3,FALSE)</f>
        <v>#N/A</v>
      </c>
      <c r="J274" s="360" t="s">
        <v>1755</v>
      </c>
      <c r="K274" s="360" t="s">
        <v>82</v>
      </c>
      <c r="L274" s="363">
        <v>28210</v>
      </c>
      <c r="M274" s="363">
        <v>14060</v>
      </c>
      <c r="N274" s="364">
        <v>19.5</v>
      </c>
      <c r="O274" s="363">
        <v>14150</v>
      </c>
      <c r="P274" s="363">
        <v>11390.7</v>
      </c>
      <c r="Q274" s="121">
        <v>2023</v>
      </c>
      <c r="R274" s="121"/>
      <c r="S274" s="148">
        <v>45098</v>
      </c>
      <c r="T274" s="363">
        <f>Таблица18[[#This Row],[Вес нетто]]-Таблица18[[#This Row],[Зачетный вес]]</f>
        <v>2759.2999999999993</v>
      </c>
      <c r="U274" s="365">
        <f>Таблица18[[#This Row],[Отход]]/Таблица18[[#This Row],[Вес нетто]]</f>
        <v>0.19500353356890454</v>
      </c>
      <c r="V274" s="121">
        <f>MONTH(Таблица18[[#This Row],[Дата акта]])</f>
        <v>6</v>
      </c>
      <c r="W274" s="121">
        <v>21</v>
      </c>
      <c r="X274" s="148">
        <f>DATE(1900,Таблица18[[#This Row],[Месяц]],Таблица18[[#This Row],[Число]])</f>
        <v>173</v>
      </c>
      <c r="Y274" s="121"/>
      <c r="Z274" s="121" t="str">
        <f>Таблица18[[#This Row],[Хар-ка]]</f>
        <v>высший</v>
      </c>
      <c r="AD274" s="459"/>
      <c r="AE274" s="391"/>
    </row>
    <row r="275" spans="1:31" s="325" customFormat="1" ht="15.6" hidden="1" customHeight="1" x14ac:dyDescent="0.2">
      <c r="A275" s="360" t="s">
        <v>2110</v>
      </c>
      <c r="B275" s="360" t="s">
        <v>511</v>
      </c>
      <c r="C275" s="361">
        <v>409</v>
      </c>
      <c r="D275" s="362">
        <v>176</v>
      </c>
      <c r="E275" s="360" t="s">
        <v>78</v>
      </c>
      <c r="F275" s="360" t="s">
        <v>1804</v>
      </c>
      <c r="G275" s="360" t="s">
        <v>536</v>
      </c>
      <c r="H275" s="360" t="s">
        <v>2087</v>
      </c>
      <c r="I275" s="360" t="e">
        <f>VLOOKUP(Таблица18[[#This Row],[Номер акта]],$AB$1:$AF$1833,3,FALSE)</f>
        <v>#N/A</v>
      </c>
      <c r="J275" s="360" t="s">
        <v>1755</v>
      </c>
      <c r="K275" s="360" t="s">
        <v>82</v>
      </c>
      <c r="L275" s="363">
        <v>28440</v>
      </c>
      <c r="M275" s="363">
        <v>14610</v>
      </c>
      <c r="N275" s="364">
        <v>20.5</v>
      </c>
      <c r="O275" s="363">
        <v>13830</v>
      </c>
      <c r="P275" s="363">
        <v>10994.8</v>
      </c>
      <c r="Q275" s="121">
        <v>2023</v>
      </c>
      <c r="R275" s="121"/>
      <c r="S275" s="148">
        <v>45098</v>
      </c>
      <c r="T275" s="363">
        <f>Таблица18[[#This Row],[Вес нетто]]-Таблица18[[#This Row],[Зачетный вес]]</f>
        <v>2835.2000000000007</v>
      </c>
      <c r="U275" s="365">
        <f>Таблица18[[#This Row],[Отход]]/Таблица18[[#This Row],[Вес нетто]]</f>
        <v>0.205003615328995</v>
      </c>
      <c r="V275" s="121">
        <f>MONTH(Таблица18[[#This Row],[Дата акта]])</f>
        <v>6</v>
      </c>
      <c r="W275" s="121">
        <v>21</v>
      </c>
      <c r="X275" s="148">
        <f>DATE(1900,Таблица18[[#This Row],[Месяц]],Таблица18[[#This Row],[Число]])</f>
        <v>173</v>
      </c>
      <c r="Y275" s="121"/>
      <c r="Z275" s="121" t="str">
        <f>Таблица18[[#This Row],[Хар-ка]]</f>
        <v>высший</v>
      </c>
      <c r="AD275" s="459"/>
      <c r="AE275" s="391"/>
    </row>
    <row r="276" spans="1:31" s="325" customFormat="1" ht="15.6" hidden="1" customHeight="1" x14ac:dyDescent="0.2">
      <c r="A276" s="360" t="s">
        <v>2111</v>
      </c>
      <c r="B276" s="360" t="s">
        <v>511</v>
      </c>
      <c r="C276" s="361">
        <v>410</v>
      </c>
      <c r="D276" s="362">
        <v>177</v>
      </c>
      <c r="E276" s="360" t="s">
        <v>78</v>
      </c>
      <c r="F276" s="360" t="s">
        <v>1906</v>
      </c>
      <c r="G276" s="360" t="s">
        <v>1907</v>
      </c>
      <c r="H276" s="360" t="s">
        <v>2087</v>
      </c>
      <c r="I276" s="360" t="e">
        <f>VLOOKUP(Таблица18[[#This Row],[Номер акта]],$AB$1:$AF$1833,3,FALSE)</f>
        <v>#N/A</v>
      </c>
      <c r="J276" s="360" t="s">
        <v>1755</v>
      </c>
      <c r="K276" s="360" t="s">
        <v>82</v>
      </c>
      <c r="L276" s="363">
        <v>28820</v>
      </c>
      <c r="M276" s="363">
        <v>15000</v>
      </c>
      <c r="N276" s="364">
        <v>20.5</v>
      </c>
      <c r="O276" s="363">
        <v>13820</v>
      </c>
      <c r="P276" s="363">
        <v>10986.9</v>
      </c>
      <c r="Q276" s="121">
        <v>2023</v>
      </c>
      <c r="R276" s="121"/>
      <c r="S276" s="148">
        <v>45098</v>
      </c>
      <c r="T276" s="363">
        <f>Таблица18[[#This Row],[Вес нетто]]-Таблица18[[#This Row],[Зачетный вес]]</f>
        <v>2833.1000000000004</v>
      </c>
      <c r="U276" s="365">
        <f>Таблица18[[#This Row],[Отход]]/Таблица18[[#This Row],[Вес нетто]]</f>
        <v>0.20500000000000002</v>
      </c>
      <c r="V276" s="121">
        <f>MONTH(Таблица18[[#This Row],[Дата акта]])</f>
        <v>6</v>
      </c>
      <c r="W276" s="121">
        <v>21</v>
      </c>
      <c r="X276" s="148">
        <f>DATE(1900,Таблица18[[#This Row],[Месяц]],Таблица18[[#This Row],[Число]])</f>
        <v>173</v>
      </c>
      <c r="Y276" s="121"/>
      <c r="Z276" s="121" t="str">
        <f>Таблица18[[#This Row],[Хар-ка]]</f>
        <v>высший</v>
      </c>
      <c r="AD276" s="459"/>
      <c r="AE276" s="391"/>
    </row>
    <row r="277" spans="1:31" s="325" customFormat="1" ht="15.6" hidden="1" customHeight="1" x14ac:dyDescent="0.2">
      <c r="A277" s="360" t="s">
        <v>2112</v>
      </c>
      <c r="B277" s="360" t="s">
        <v>511</v>
      </c>
      <c r="C277" s="361">
        <v>411</v>
      </c>
      <c r="D277" s="362">
        <v>178</v>
      </c>
      <c r="E277" s="360" t="s">
        <v>78</v>
      </c>
      <c r="F277" s="360" t="s">
        <v>212</v>
      </c>
      <c r="G277" s="360" t="s">
        <v>216</v>
      </c>
      <c r="H277" s="360" t="s">
        <v>2087</v>
      </c>
      <c r="I277" s="360" t="e">
        <f>VLOOKUP(Таблица18[[#This Row],[Номер акта]],$AB$1:$AF$1833,3,FALSE)</f>
        <v>#N/A</v>
      </c>
      <c r="J277" s="360" t="s">
        <v>1755</v>
      </c>
      <c r="K277" s="360" t="s">
        <v>82</v>
      </c>
      <c r="L277" s="363">
        <v>27930</v>
      </c>
      <c r="M277" s="363">
        <v>14060</v>
      </c>
      <c r="N277" s="364">
        <v>16.5</v>
      </c>
      <c r="O277" s="363">
        <v>13870</v>
      </c>
      <c r="P277" s="363">
        <v>11581.4</v>
      </c>
      <c r="Q277" s="121">
        <v>2023</v>
      </c>
      <c r="R277" s="121"/>
      <c r="S277" s="148">
        <v>45098</v>
      </c>
      <c r="T277" s="363">
        <f>Таблица18[[#This Row],[Вес нетто]]-Таблица18[[#This Row],[Зачетный вес]]</f>
        <v>2288.6000000000004</v>
      </c>
      <c r="U277" s="365">
        <f>Таблица18[[#This Row],[Отход]]/Таблица18[[#This Row],[Вес нетто]]</f>
        <v>0.16500360490266766</v>
      </c>
      <c r="V277" s="121">
        <f>MONTH(Таблица18[[#This Row],[Дата акта]])</f>
        <v>6</v>
      </c>
      <c r="W277" s="121">
        <v>21</v>
      </c>
      <c r="X277" s="148">
        <f>DATE(1900,Таблица18[[#This Row],[Месяц]],Таблица18[[#This Row],[Число]])</f>
        <v>173</v>
      </c>
      <c r="Y277" s="121"/>
      <c r="Z277" s="121" t="str">
        <f>Таблица18[[#This Row],[Хар-ка]]</f>
        <v>высший</v>
      </c>
      <c r="AD277" s="459"/>
      <c r="AE277" s="391"/>
    </row>
    <row r="278" spans="1:31" s="325" customFormat="1" ht="15.6" hidden="1" customHeight="1" x14ac:dyDescent="0.2">
      <c r="A278" s="360" t="s">
        <v>2113</v>
      </c>
      <c r="B278" s="360" t="s">
        <v>511</v>
      </c>
      <c r="C278" s="361">
        <v>412</v>
      </c>
      <c r="D278" s="362">
        <v>179</v>
      </c>
      <c r="E278" s="360" t="s">
        <v>78</v>
      </c>
      <c r="F278" s="360" t="s">
        <v>1935</v>
      </c>
      <c r="G278" s="360" t="s">
        <v>1813</v>
      </c>
      <c r="H278" s="360" t="s">
        <v>2087</v>
      </c>
      <c r="I278" s="360" t="e">
        <f>VLOOKUP(Таблица18[[#This Row],[Номер акта]],$AB$1:$AF$1833,3,FALSE)</f>
        <v>#N/A</v>
      </c>
      <c r="J278" s="360" t="s">
        <v>1755</v>
      </c>
      <c r="K278" s="360" t="s">
        <v>82</v>
      </c>
      <c r="L278" s="363">
        <v>28500</v>
      </c>
      <c r="M278" s="363">
        <v>14500</v>
      </c>
      <c r="N278" s="364">
        <v>19.5</v>
      </c>
      <c r="O278" s="363">
        <v>14000</v>
      </c>
      <c r="P278" s="363">
        <v>11270</v>
      </c>
      <c r="Q278" s="121">
        <v>2023</v>
      </c>
      <c r="R278" s="121"/>
      <c r="S278" s="148">
        <v>45098</v>
      </c>
      <c r="T278" s="363">
        <f>Таблица18[[#This Row],[Вес нетто]]-Таблица18[[#This Row],[Зачетный вес]]</f>
        <v>2730</v>
      </c>
      <c r="U278" s="365">
        <f>Таблица18[[#This Row],[Отход]]/Таблица18[[#This Row],[Вес нетто]]</f>
        <v>0.19500000000000001</v>
      </c>
      <c r="V278" s="121">
        <f>MONTH(Таблица18[[#This Row],[Дата акта]])</f>
        <v>6</v>
      </c>
      <c r="W278" s="121">
        <v>21</v>
      </c>
      <c r="X278" s="148">
        <f>DATE(1900,Таблица18[[#This Row],[Месяц]],Таблица18[[#This Row],[Число]])</f>
        <v>173</v>
      </c>
      <c r="Y278" s="121"/>
      <c r="Z278" s="121" t="str">
        <f>Таблица18[[#This Row],[Хар-ка]]</f>
        <v>высший</v>
      </c>
      <c r="AD278" s="459"/>
      <c r="AE278" s="391"/>
    </row>
    <row r="279" spans="1:31" s="325" customFormat="1" ht="15.6" hidden="1" customHeight="1" x14ac:dyDescent="0.2">
      <c r="A279" s="360" t="s">
        <v>2114</v>
      </c>
      <c r="B279" s="360" t="s">
        <v>511</v>
      </c>
      <c r="C279" s="361">
        <v>413</v>
      </c>
      <c r="D279" s="362">
        <v>180</v>
      </c>
      <c r="E279" s="360" t="s">
        <v>78</v>
      </c>
      <c r="F279" s="360" t="s">
        <v>133</v>
      </c>
      <c r="G279" s="360" t="s">
        <v>137</v>
      </c>
      <c r="H279" s="360" t="s">
        <v>2087</v>
      </c>
      <c r="I279" s="360" t="e">
        <f>VLOOKUP(Таблица18[[#This Row],[Номер акта]],$AB$1:$AF$1833,3,FALSE)</f>
        <v>#N/A</v>
      </c>
      <c r="J279" s="360" t="s">
        <v>1755</v>
      </c>
      <c r="K279" s="360" t="s">
        <v>82</v>
      </c>
      <c r="L279" s="363">
        <v>33660</v>
      </c>
      <c r="M279" s="363">
        <v>17370</v>
      </c>
      <c r="N279" s="364">
        <v>16.5</v>
      </c>
      <c r="O279" s="363">
        <v>16290</v>
      </c>
      <c r="P279" s="363">
        <v>13602.1</v>
      </c>
      <c r="Q279" s="121">
        <v>2023</v>
      </c>
      <c r="R279" s="121"/>
      <c r="S279" s="148">
        <v>45098</v>
      </c>
      <c r="T279" s="363">
        <f>Таблица18[[#This Row],[Вес нетто]]-Таблица18[[#This Row],[Зачетный вес]]</f>
        <v>2687.8999999999996</v>
      </c>
      <c r="U279" s="365">
        <f>Таблица18[[#This Row],[Отход]]/Таблица18[[#This Row],[Вес нетто]]</f>
        <v>0.16500306936771023</v>
      </c>
      <c r="V279" s="121">
        <f>MONTH(Таблица18[[#This Row],[Дата акта]])</f>
        <v>6</v>
      </c>
      <c r="W279" s="121">
        <v>21</v>
      </c>
      <c r="X279" s="148">
        <f>DATE(1900,Таблица18[[#This Row],[Месяц]],Таблица18[[#This Row],[Число]])</f>
        <v>173</v>
      </c>
      <c r="Y279" s="121"/>
      <c r="Z279" s="121" t="str">
        <f>Таблица18[[#This Row],[Хар-ка]]</f>
        <v>высший</v>
      </c>
      <c r="AD279" s="459"/>
      <c r="AE279" s="391"/>
    </row>
    <row r="280" spans="1:31" s="325" customFormat="1" ht="15.6" hidden="1" customHeight="1" x14ac:dyDescent="0.2">
      <c r="A280" s="360" t="s">
        <v>2115</v>
      </c>
      <c r="B280" s="360" t="s">
        <v>511</v>
      </c>
      <c r="C280" s="361">
        <v>415</v>
      </c>
      <c r="D280" s="362">
        <v>181</v>
      </c>
      <c r="E280" s="360" t="s">
        <v>78</v>
      </c>
      <c r="F280" s="360" t="s">
        <v>1792</v>
      </c>
      <c r="G280" s="360" t="s">
        <v>80</v>
      </c>
      <c r="H280" s="360" t="s">
        <v>2087</v>
      </c>
      <c r="I280" s="360" t="e">
        <f>VLOOKUP(Таблица18[[#This Row],[Номер акта]],$AB$1:$AF$1833,3,FALSE)</f>
        <v>#N/A</v>
      </c>
      <c r="J280" s="360" t="s">
        <v>1755</v>
      </c>
      <c r="K280" s="360" t="s">
        <v>82</v>
      </c>
      <c r="L280" s="363">
        <v>28290</v>
      </c>
      <c r="M280" s="363">
        <v>14270</v>
      </c>
      <c r="N280" s="364">
        <v>22.5</v>
      </c>
      <c r="O280" s="363">
        <v>14020</v>
      </c>
      <c r="P280" s="363">
        <v>10865.5</v>
      </c>
      <c r="Q280" s="121">
        <v>2023</v>
      </c>
      <c r="R280" s="121"/>
      <c r="S280" s="148">
        <v>45098</v>
      </c>
      <c r="T280" s="363">
        <f>Таблица18[[#This Row],[Вес нетто]]-Таблица18[[#This Row],[Зачетный вес]]</f>
        <v>3154.5</v>
      </c>
      <c r="U280" s="365">
        <f>Таблица18[[#This Row],[Отход]]/Таблица18[[#This Row],[Вес нетто]]</f>
        <v>0.22500000000000001</v>
      </c>
      <c r="V280" s="121">
        <f>MONTH(Таблица18[[#This Row],[Дата акта]])</f>
        <v>6</v>
      </c>
      <c r="W280" s="121">
        <v>21</v>
      </c>
      <c r="X280" s="148">
        <f>DATE(1900,Таблица18[[#This Row],[Месяц]],Таблица18[[#This Row],[Число]])</f>
        <v>173</v>
      </c>
      <c r="Y280" s="121"/>
      <c r="Z280" s="121" t="str">
        <f>Таблица18[[#This Row],[Хар-ка]]</f>
        <v>высший</v>
      </c>
      <c r="AD280" s="459"/>
      <c r="AE280" s="391"/>
    </row>
    <row r="281" spans="1:31" s="325" customFormat="1" ht="15.6" hidden="1" customHeight="1" x14ac:dyDescent="0.2">
      <c r="A281" s="360" t="s">
        <v>2116</v>
      </c>
      <c r="B281" s="360" t="s">
        <v>511</v>
      </c>
      <c r="C281" s="361">
        <v>417</v>
      </c>
      <c r="D281" s="362">
        <v>182</v>
      </c>
      <c r="E281" s="360" t="s">
        <v>78</v>
      </c>
      <c r="F281" s="360" t="s">
        <v>1935</v>
      </c>
      <c r="G281" s="360" t="s">
        <v>1813</v>
      </c>
      <c r="H281" s="360" t="s">
        <v>2087</v>
      </c>
      <c r="I281" s="360" t="e">
        <f>VLOOKUP(Таблица18[[#This Row],[Номер акта]],$AB$1:$AF$1833,3,FALSE)</f>
        <v>#N/A</v>
      </c>
      <c r="J281" s="360" t="s">
        <v>1755</v>
      </c>
      <c r="K281" s="360" t="s">
        <v>82</v>
      </c>
      <c r="L281" s="363">
        <v>29130</v>
      </c>
      <c r="M281" s="363">
        <v>14490</v>
      </c>
      <c r="N281" s="364">
        <v>18.5</v>
      </c>
      <c r="O281" s="363">
        <v>14640</v>
      </c>
      <c r="P281" s="363">
        <v>11931.6</v>
      </c>
      <c r="Q281" s="121">
        <v>2023</v>
      </c>
      <c r="R281" s="121"/>
      <c r="S281" s="148">
        <v>45098</v>
      </c>
      <c r="T281" s="363">
        <f>Таблица18[[#This Row],[Вес нетто]]-Таблица18[[#This Row],[Зачетный вес]]</f>
        <v>2708.3999999999996</v>
      </c>
      <c r="U281" s="365">
        <f>Таблица18[[#This Row],[Отход]]/Таблица18[[#This Row],[Вес нетто]]</f>
        <v>0.18499999999999997</v>
      </c>
      <c r="V281" s="121">
        <f>MONTH(Таблица18[[#This Row],[Дата акта]])</f>
        <v>6</v>
      </c>
      <c r="W281" s="121">
        <v>21</v>
      </c>
      <c r="X281" s="148">
        <f>DATE(1900,Таблица18[[#This Row],[Месяц]],Таблица18[[#This Row],[Число]])</f>
        <v>173</v>
      </c>
      <c r="Y281" s="121"/>
      <c r="Z281" s="121" t="str">
        <f>Таблица18[[#This Row],[Хар-ка]]</f>
        <v>высший</v>
      </c>
      <c r="AD281" s="459"/>
      <c r="AE281" s="391"/>
    </row>
    <row r="282" spans="1:31" s="325" customFormat="1" ht="15.6" hidden="1" customHeight="1" x14ac:dyDescent="0.2">
      <c r="A282" s="360" t="s">
        <v>2117</v>
      </c>
      <c r="B282" s="360" t="s">
        <v>511</v>
      </c>
      <c r="C282" s="361">
        <v>418</v>
      </c>
      <c r="D282" s="362">
        <v>183</v>
      </c>
      <c r="E282" s="360" t="s">
        <v>78</v>
      </c>
      <c r="F282" s="360" t="s">
        <v>133</v>
      </c>
      <c r="G282" s="360" t="s">
        <v>137</v>
      </c>
      <c r="H282" s="360" t="s">
        <v>2087</v>
      </c>
      <c r="I282" s="360" t="e">
        <f>VLOOKUP(Таблица18[[#This Row],[Номер акта]],$AB$1:$AF$1833,3,FALSE)</f>
        <v>#N/A</v>
      </c>
      <c r="J282" s="360" t="s">
        <v>1755</v>
      </c>
      <c r="K282" s="360" t="s">
        <v>82</v>
      </c>
      <c r="L282" s="363">
        <v>33590</v>
      </c>
      <c r="M282" s="363">
        <v>17360</v>
      </c>
      <c r="N282" s="364">
        <v>18.5</v>
      </c>
      <c r="O282" s="363">
        <v>16230</v>
      </c>
      <c r="P282" s="363">
        <v>13227.4</v>
      </c>
      <c r="Q282" s="121">
        <v>2023</v>
      </c>
      <c r="R282" s="121"/>
      <c r="S282" s="148">
        <v>45098</v>
      </c>
      <c r="T282" s="363">
        <f>Таблица18[[#This Row],[Вес нетто]]-Таблица18[[#This Row],[Зачетный вес]]</f>
        <v>3002.6000000000004</v>
      </c>
      <c r="U282" s="365">
        <f>Таблица18[[#This Row],[Отход]]/Таблица18[[#This Row],[Вес нетто]]</f>
        <v>0.18500308071472585</v>
      </c>
      <c r="V282" s="121">
        <f>MONTH(Таблица18[[#This Row],[Дата акта]])</f>
        <v>6</v>
      </c>
      <c r="W282" s="121">
        <v>21</v>
      </c>
      <c r="X282" s="148">
        <f>DATE(1900,Таблица18[[#This Row],[Месяц]],Таблица18[[#This Row],[Число]])</f>
        <v>173</v>
      </c>
      <c r="Y282" s="121"/>
      <c r="Z282" s="121" t="str">
        <f>Таблица18[[#This Row],[Хар-ка]]</f>
        <v>высший</v>
      </c>
      <c r="AD282" s="459"/>
      <c r="AE282" s="391"/>
    </row>
    <row r="283" spans="1:31" s="325" customFormat="1" ht="15.6" hidden="1" customHeight="1" x14ac:dyDescent="0.2">
      <c r="A283" s="360" t="s">
        <v>2118</v>
      </c>
      <c r="B283" s="360" t="s">
        <v>511</v>
      </c>
      <c r="C283" s="361">
        <v>419</v>
      </c>
      <c r="D283" s="362">
        <v>184</v>
      </c>
      <c r="E283" s="360" t="s">
        <v>78</v>
      </c>
      <c r="F283" s="360" t="s">
        <v>1792</v>
      </c>
      <c r="G283" s="360" t="s">
        <v>80</v>
      </c>
      <c r="H283" s="360" t="s">
        <v>2087</v>
      </c>
      <c r="I283" s="360" t="e">
        <f>VLOOKUP(Таблица18[[#This Row],[Номер акта]],$AB$1:$AF$1833,3,FALSE)</f>
        <v>#N/A</v>
      </c>
      <c r="J283" s="360" t="s">
        <v>1755</v>
      </c>
      <c r="K283" s="360" t="s">
        <v>82</v>
      </c>
      <c r="L283" s="363">
        <v>24060</v>
      </c>
      <c r="M283" s="363">
        <v>14160</v>
      </c>
      <c r="N283" s="364">
        <v>20.5</v>
      </c>
      <c r="O283" s="363">
        <v>9900</v>
      </c>
      <c r="P283" s="363">
        <v>7870.5</v>
      </c>
      <c r="Q283" s="121">
        <v>2023</v>
      </c>
      <c r="R283" s="121"/>
      <c r="S283" s="148">
        <v>45098</v>
      </c>
      <c r="T283" s="363">
        <f>Таблица18[[#This Row],[Вес нетто]]-Таблица18[[#This Row],[Зачетный вес]]</f>
        <v>2029.5</v>
      </c>
      <c r="U283" s="365">
        <f>Таблица18[[#This Row],[Отход]]/Таблица18[[#This Row],[Вес нетто]]</f>
        <v>0.20499999999999999</v>
      </c>
      <c r="V283" s="121">
        <f>MONTH(Таблица18[[#This Row],[Дата акта]])</f>
        <v>6</v>
      </c>
      <c r="W283" s="121">
        <v>21</v>
      </c>
      <c r="X283" s="148">
        <f>DATE(1900,Таблица18[[#This Row],[Месяц]],Таблица18[[#This Row],[Число]])</f>
        <v>173</v>
      </c>
      <c r="Y283" s="121"/>
      <c r="Z283" s="121" t="str">
        <f>Таблица18[[#This Row],[Хар-ка]]</f>
        <v>высший</v>
      </c>
      <c r="AD283" s="459"/>
      <c r="AE283" s="391"/>
    </row>
    <row r="284" spans="1:31" s="325" customFormat="1" ht="15.6" hidden="1" customHeight="1" x14ac:dyDescent="0.2">
      <c r="A284" s="360" t="s">
        <v>2119</v>
      </c>
      <c r="B284" s="360" t="s">
        <v>511</v>
      </c>
      <c r="C284" s="361">
        <v>420</v>
      </c>
      <c r="D284" s="362">
        <v>185</v>
      </c>
      <c r="E284" s="360" t="s">
        <v>78</v>
      </c>
      <c r="F284" s="360" t="s">
        <v>1935</v>
      </c>
      <c r="G284" s="360" t="s">
        <v>1813</v>
      </c>
      <c r="H284" s="360" t="s">
        <v>2087</v>
      </c>
      <c r="I284" s="360" t="e">
        <f>VLOOKUP(Таблица18[[#This Row],[Номер акта]],$AB$1:$AF$1833,3,FALSE)</f>
        <v>#N/A</v>
      </c>
      <c r="J284" s="360" t="s">
        <v>1755</v>
      </c>
      <c r="K284" s="360" t="s">
        <v>82</v>
      </c>
      <c r="L284" s="363">
        <v>28430</v>
      </c>
      <c r="M284" s="363">
        <v>14480</v>
      </c>
      <c r="N284" s="364">
        <v>20.5</v>
      </c>
      <c r="O284" s="363">
        <v>13950</v>
      </c>
      <c r="P284" s="363">
        <v>11090.2</v>
      </c>
      <c r="Q284" s="121">
        <v>2023</v>
      </c>
      <c r="R284" s="121"/>
      <c r="S284" s="148">
        <v>45098</v>
      </c>
      <c r="T284" s="363">
        <f>Таблица18[[#This Row],[Вес нетто]]-Таблица18[[#This Row],[Зачетный вес]]</f>
        <v>2859.7999999999993</v>
      </c>
      <c r="U284" s="365">
        <f>Таблица18[[#This Row],[Отход]]/Таблица18[[#This Row],[Вес нетто]]</f>
        <v>0.20500358422939063</v>
      </c>
      <c r="V284" s="121">
        <f>MONTH(Таблица18[[#This Row],[Дата акта]])</f>
        <v>6</v>
      </c>
      <c r="W284" s="121">
        <v>21</v>
      </c>
      <c r="X284" s="148">
        <f>DATE(1900,Таблица18[[#This Row],[Месяц]],Таблица18[[#This Row],[Число]])</f>
        <v>173</v>
      </c>
      <c r="Y284" s="121"/>
      <c r="Z284" s="121" t="str">
        <f>Таблица18[[#This Row],[Хар-ка]]</f>
        <v>высший</v>
      </c>
      <c r="AD284" s="459"/>
      <c r="AE284" s="391"/>
    </row>
    <row r="285" spans="1:31" s="325" customFormat="1" ht="15.6" hidden="1" customHeight="1" x14ac:dyDescent="0.2">
      <c r="A285" s="360" t="s">
        <v>2120</v>
      </c>
      <c r="B285" s="360" t="s">
        <v>511</v>
      </c>
      <c r="C285" s="361">
        <v>421</v>
      </c>
      <c r="D285" s="362">
        <v>186</v>
      </c>
      <c r="E285" s="360" t="s">
        <v>78</v>
      </c>
      <c r="F285" s="360" t="s">
        <v>133</v>
      </c>
      <c r="G285" s="360" t="s">
        <v>137</v>
      </c>
      <c r="H285" s="360" t="s">
        <v>2087</v>
      </c>
      <c r="I285" s="360" t="e">
        <f>VLOOKUP(Таблица18[[#This Row],[Номер акта]],$AB$1:$AF$1833,3,FALSE)</f>
        <v>#N/A</v>
      </c>
      <c r="J285" s="360" t="s">
        <v>1755</v>
      </c>
      <c r="K285" s="360" t="s">
        <v>82</v>
      </c>
      <c r="L285" s="363">
        <v>33500</v>
      </c>
      <c r="M285" s="363">
        <v>17340</v>
      </c>
      <c r="N285" s="364">
        <v>17.5</v>
      </c>
      <c r="O285" s="363">
        <v>16160</v>
      </c>
      <c r="P285" s="363">
        <v>13332</v>
      </c>
      <c r="Q285" s="121">
        <v>2023</v>
      </c>
      <c r="R285" s="121"/>
      <c r="S285" s="148">
        <v>45098</v>
      </c>
      <c r="T285" s="363">
        <f>Таблица18[[#This Row],[Вес нетто]]-Таблица18[[#This Row],[Зачетный вес]]</f>
        <v>2828</v>
      </c>
      <c r="U285" s="365">
        <f>Таблица18[[#This Row],[Отход]]/Таблица18[[#This Row],[Вес нетто]]</f>
        <v>0.17499999999999999</v>
      </c>
      <c r="V285" s="121">
        <f>MONTH(Таблица18[[#This Row],[Дата акта]])</f>
        <v>6</v>
      </c>
      <c r="W285" s="121">
        <v>21</v>
      </c>
      <c r="X285" s="148">
        <f>DATE(1900,Таблица18[[#This Row],[Месяц]],Таблица18[[#This Row],[Число]])</f>
        <v>173</v>
      </c>
      <c r="Y285" s="121"/>
      <c r="Z285" s="121" t="str">
        <f>Таблица18[[#This Row],[Хар-ка]]</f>
        <v>высший</v>
      </c>
      <c r="AD285" s="459"/>
      <c r="AE285" s="391"/>
    </row>
    <row r="286" spans="1:31" s="325" customFormat="1" ht="15.6" hidden="1" customHeight="1" x14ac:dyDescent="0.2">
      <c r="A286" s="360" t="s">
        <v>2121</v>
      </c>
      <c r="B286" s="360" t="s">
        <v>511</v>
      </c>
      <c r="C286" s="361">
        <v>422</v>
      </c>
      <c r="D286" s="362">
        <v>187</v>
      </c>
      <c r="E286" s="360" t="s">
        <v>78</v>
      </c>
      <c r="F286" s="360" t="s">
        <v>1792</v>
      </c>
      <c r="G286" s="360" t="s">
        <v>80</v>
      </c>
      <c r="H286" s="360" t="s">
        <v>2091</v>
      </c>
      <c r="I286" s="360" t="e">
        <f>VLOOKUP(Таблица18[[#This Row],[Номер акта]],$AB$1:$AF$1833,3,FALSE)</f>
        <v>#N/A</v>
      </c>
      <c r="J286" s="360" t="s">
        <v>1755</v>
      </c>
      <c r="K286" s="360" t="s">
        <v>82</v>
      </c>
      <c r="L286" s="363">
        <v>28050</v>
      </c>
      <c r="M286" s="363">
        <v>14250</v>
      </c>
      <c r="N286" s="364">
        <v>14.5</v>
      </c>
      <c r="O286" s="363">
        <v>13800</v>
      </c>
      <c r="P286" s="363">
        <v>11799</v>
      </c>
      <c r="Q286" s="121">
        <v>2023</v>
      </c>
      <c r="R286" s="121"/>
      <c r="S286" s="148">
        <v>45098</v>
      </c>
      <c r="T286" s="363">
        <f>Таблица18[[#This Row],[Вес нетто]]-Таблица18[[#This Row],[Зачетный вес]]</f>
        <v>2001</v>
      </c>
      <c r="U286" s="365">
        <f>Таблица18[[#This Row],[Отход]]/Таблица18[[#This Row],[Вес нетто]]</f>
        <v>0.14499999999999999</v>
      </c>
      <c r="V286" s="121">
        <f>MONTH(Таблица18[[#This Row],[Дата акта]])</f>
        <v>6</v>
      </c>
      <c r="W286" s="121">
        <v>21</v>
      </c>
      <c r="X286" s="148">
        <f>DATE(1900,Таблица18[[#This Row],[Месяц]],Таблица18[[#This Row],[Число]])</f>
        <v>173</v>
      </c>
      <c r="Y286" s="121"/>
      <c r="Z286" s="121" t="str">
        <f>Таблица18[[#This Row],[Хар-ка]]</f>
        <v>высший</v>
      </c>
      <c r="AD286" s="459"/>
      <c r="AE286" s="391"/>
    </row>
    <row r="287" spans="1:31" s="325" customFormat="1" ht="15.6" hidden="1" customHeight="1" x14ac:dyDescent="0.2">
      <c r="A287" s="360" t="s">
        <v>2122</v>
      </c>
      <c r="B287" s="360" t="s">
        <v>511</v>
      </c>
      <c r="C287" s="361">
        <v>423</v>
      </c>
      <c r="D287" s="362">
        <v>188</v>
      </c>
      <c r="E287" s="360" t="s">
        <v>78</v>
      </c>
      <c r="F287" s="360" t="s">
        <v>1935</v>
      </c>
      <c r="G287" s="360" t="s">
        <v>1813</v>
      </c>
      <c r="H287" s="360" t="s">
        <v>2091</v>
      </c>
      <c r="I287" s="360" t="e">
        <f>VLOOKUP(Таблица18[[#This Row],[Номер акта]],$AB$1:$AF$1833,3,FALSE)</f>
        <v>#N/A</v>
      </c>
      <c r="J287" s="360" t="s">
        <v>1755</v>
      </c>
      <c r="K287" s="360" t="s">
        <v>82</v>
      </c>
      <c r="L287" s="363">
        <v>28310</v>
      </c>
      <c r="M287" s="363">
        <v>14560</v>
      </c>
      <c r="N287" s="364">
        <v>15.5</v>
      </c>
      <c r="O287" s="363">
        <v>13750</v>
      </c>
      <c r="P287" s="363">
        <v>11618.7</v>
      </c>
      <c r="Q287" s="121">
        <v>2023</v>
      </c>
      <c r="R287" s="121"/>
      <c r="S287" s="148">
        <v>45098</v>
      </c>
      <c r="T287" s="363">
        <f>Таблица18[[#This Row],[Вес нетто]]-Таблица18[[#This Row],[Зачетный вес]]</f>
        <v>2131.2999999999993</v>
      </c>
      <c r="U287" s="365">
        <f>Таблица18[[#This Row],[Отход]]/Таблица18[[#This Row],[Вес нетто]]</f>
        <v>0.15500363636363632</v>
      </c>
      <c r="V287" s="121">
        <f>MONTH(Таблица18[[#This Row],[Дата акта]])</f>
        <v>6</v>
      </c>
      <c r="W287" s="121">
        <v>21</v>
      </c>
      <c r="X287" s="148">
        <f>DATE(1900,Таблица18[[#This Row],[Месяц]],Таблица18[[#This Row],[Число]])</f>
        <v>173</v>
      </c>
      <c r="Y287" s="121"/>
      <c r="Z287" s="121" t="str">
        <f>Таблица18[[#This Row],[Хар-ка]]</f>
        <v>высший</v>
      </c>
      <c r="AD287" s="459"/>
      <c r="AE287" s="391"/>
    </row>
    <row r="288" spans="1:31" s="325" customFormat="1" ht="15.6" hidden="1" customHeight="1" x14ac:dyDescent="0.2">
      <c r="A288" s="360" t="s">
        <v>2123</v>
      </c>
      <c r="B288" s="360" t="s">
        <v>511</v>
      </c>
      <c r="C288" s="361">
        <v>424</v>
      </c>
      <c r="D288" s="362">
        <v>189</v>
      </c>
      <c r="E288" s="360" t="s">
        <v>78</v>
      </c>
      <c r="F288" s="360" t="s">
        <v>133</v>
      </c>
      <c r="G288" s="360" t="s">
        <v>137</v>
      </c>
      <c r="H288" s="360" t="s">
        <v>2091</v>
      </c>
      <c r="I288" s="360" t="e">
        <f>VLOOKUP(Таблица18[[#This Row],[Номер акта]],$AB$1:$AF$1833,3,FALSE)</f>
        <v>#N/A</v>
      </c>
      <c r="J288" s="360" t="s">
        <v>1755</v>
      </c>
      <c r="K288" s="360" t="s">
        <v>82</v>
      </c>
      <c r="L288" s="363">
        <v>33250</v>
      </c>
      <c r="M288" s="363">
        <v>17340</v>
      </c>
      <c r="N288" s="364">
        <v>17.5</v>
      </c>
      <c r="O288" s="363">
        <v>15910</v>
      </c>
      <c r="P288" s="363">
        <v>13125.7</v>
      </c>
      <c r="Q288" s="121">
        <v>2023</v>
      </c>
      <c r="R288" s="121"/>
      <c r="S288" s="148">
        <v>45099</v>
      </c>
      <c r="T288" s="363">
        <f>Таблица18[[#This Row],[Вес нетто]]-Таблица18[[#This Row],[Зачетный вес]]</f>
        <v>2784.2999999999993</v>
      </c>
      <c r="U288" s="365">
        <f>Таблица18[[#This Row],[Отход]]/Таблица18[[#This Row],[Вес нетто]]</f>
        <v>0.17500314267756123</v>
      </c>
      <c r="V288" s="121">
        <f>MONTH(Таблица18[[#This Row],[Дата акта]])</f>
        <v>6</v>
      </c>
      <c r="W288" s="121">
        <v>22</v>
      </c>
      <c r="X288" s="148">
        <f>DATE(1900,Таблица18[[#This Row],[Месяц]],Таблица18[[#This Row],[Число]])</f>
        <v>174</v>
      </c>
      <c r="Y288" s="121"/>
      <c r="Z288" s="121" t="str">
        <f>Таблица18[[#This Row],[Хар-ка]]</f>
        <v>высший</v>
      </c>
      <c r="AD288" s="459"/>
      <c r="AE288" s="391"/>
    </row>
    <row r="289" spans="1:31" s="325" customFormat="1" ht="15.6" hidden="1" customHeight="1" x14ac:dyDescent="0.2">
      <c r="A289" s="360" t="s">
        <v>2124</v>
      </c>
      <c r="B289" s="360" t="s">
        <v>511</v>
      </c>
      <c r="C289" s="361">
        <v>425</v>
      </c>
      <c r="D289" s="362">
        <v>190</v>
      </c>
      <c r="E289" s="360" t="s">
        <v>78</v>
      </c>
      <c r="F289" s="360" t="s">
        <v>1792</v>
      </c>
      <c r="G289" s="360" t="s">
        <v>80</v>
      </c>
      <c r="H289" s="360" t="s">
        <v>2091</v>
      </c>
      <c r="I289" s="360" t="e">
        <f>VLOOKUP(Таблица18[[#This Row],[Номер акта]],$AB$1:$AF$1833,3,FALSE)</f>
        <v>#N/A</v>
      </c>
      <c r="J289" s="360" t="s">
        <v>1755</v>
      </c>
      <c r="K289" s="360" t="s">
        <v>82</v>
      </c>
      <c r="L289" s="363">
        <v>27910</v>
      </c>
      <c r="M289" s="363">
        <v>14180</v>
      </c>
      <c r="N289" s="364">
        <v>15.5</v>
      </c>
      <c r="O289" s="363">
        <v>13730</v>
      </c>
      <c r="P289" s="363">
        <v>11601.8</v>
      </c>
      <c r="Q289" s="121">
        <v>2023</v>
      </c>
      <c r="R289" s="121"/>
      <c r="S289" s="148">
        <v>45099</v>
      </c>
      <c r="T289" s="363">
        <f>Таблица18[[#This Row],[Вес нетто]]-Таблица18[[#This Row],[Зачетный вес]]</f>
        <v>2128.2000000000007</v>
      </c>
      <c r="U289" s="365">
        <f>Таблица18[[#This Row],[Отход]]/Таблица18[[#This Row],[Вес нетто]]</f>
        <v>0.1550036416605973</v>
      </c>
      <c r="V289" s="121">
        <f>MONTH(Таблица18[[#This Row],[Дата акта]])</f>
        <v>6</v>
      </c>
      <c r="W289" s="121">
        <v>22</v>
      </c>
      <c r="X289" s="148">
        <f>DATE(1900,Таблица18[[#This Row],[Месяц]],Таблица18[[#This Row],[Число]])</f>
        <v>174</v>
      </c>
      <c r="Y289" s="121"/>
      <c r="Z289" s="121" t="str">
        <f>Таблица18[[#This Row],[Хар-ка]]</f>
        <v>высший</v>
      </c>
      <c r="AD289" s="459"/>
      <c r="AE289" s="391"/>
    </row>
    <row r="290" spans="1:31" s="325" customFormat="1" ht="15.6" hidden="1" customHeight="1" x14ac:dyDescent="0.2">
      <c r="A290" s="360" t="s">
        <v>2125</v>
      </c>
      <c r="B290" s="360" t="s">
        <v>511</v>
      </c>
      <c r="C290" s="361">
        <v>427</v>
      </c>
      <c r="D290" s="362">
        <v>191</v>
      </c>
      <c r="E290" s="360" t="s">
        <v>78</v>
      </c>
      <c r="F290" s="360" t="s">
        <v>1935</v>
      </c>
      <c r="G290" s="360" t="s">
        <v>1813</v>
      </c>
      <c r="H290" s="360" t="s">
        <v>2126</v>
      </c>
      <c r="I290" s="360" t="e">
        <f>VLOOKUP(Таблица18[[#This Row],[Номер акта]],$AB$1:$AF$1833,3,FALSE)</f>
        <v>#N/A</v>
      </c>
      <c r="J290" s="360" t="s">
        <v>747</v>
      </c>
      <c r="K290" s="360" t="s">
        <v>82</v>
      </c>
      <c r="L290" s="363">
        <v>28700</v>
      </c>
      <c r="M290" s="363">
        <v>14560</v>
      </c>
      <c r="N290" s="364">
        <v>17.5</v>
      </c>
      <c r="O290" s="363">
        <v>14140</v>
      </c>
      <c r="P290" s="363">
        <v>11665.5</v>
      </c>
      <c r="Q290" s="121">
        <v>2023</v>
      </c>
      <c r="R290" s="121"/>
      <c r="S290" s="148">
        <v>45099</v>
      </c>
      <c r="T290" s="363">
        <f>Таблица18[[#This Row],[Вес нетто]]-Таблица18[[#This Row],[Зачетный вес]]</f>
        <v>2474.5</v>
      </c>
      <c r="U290" s="365">
        <f>Таблица18[[#This Row],[Отход]]/Таблица18[[#This Row],[Вес нетто]]</f>
        <v>0.17499999999999999</v>
      </c>
      <c r="V290" s="121">
        <f>MONTH(Таблица18[[#This Row],[Дата акта]])</f>
        <v>6</v>
      </c>
      <c r="W290" s="121">
        <v>22</v>
      </c>
      <c r="X290" s="148">
        <f>DATE(1900,Таблица18[[#This Row],[Месяц]],Таблица18[[#This Row],[Число]])</f>
        <v>174</v>
      </c>
      <c r="Y290" s="121"/>
      <c r="Z290" s="121" t="str">
        <f>Таблица18[[#This Row],[Хар-ка]]</f>
        <v>высший</v>
      </c>
      <c r="AD290" s="459"/>
      <c r="AE290" s="391"/>
    </row>
    <row r="291" spans="1:31" s="325" customFormat="1" ht="15.6" hidden="1" customHeight="1" x14ac:dyDescent="0.2">
      <c r="A291" s="360" t="s">
        <v>2127</v>
      </c>
      <c r="B291" s="360" t="s">
        <v>511</v>
      </c>
      <c r="C291" s="361">
        <v>430</v>
      </c>
      <c r="D291" s="362">
        <v>192</v>
      </c>
      <c r="E291" s="360" t="s">
        <v>78</v>
      </c>
      <c r="F291" s="360" t="s">
        <v>133</v>
      </c>
      <c r="G291" s="360" t="s">
        <v>137</v>
      </c>
      <c r="H291" s="360" t="s">
        <v>2128</v>
      </c>
      <c r="I291" s="360" t="e">
        <f>VLOOKUP(Таблица18[[#This Row],[Номер акта]],$AB$1:$AF$1833,3,FALSE)</f>
        <v>#N/A</v>
      </c>
      <c r="J291" s="360" t="s">
        <v>747</v>
      </c>
      <c r="K291" s="360" t="s">
        <v>82</v>
      </c>
      <c r="L291" s="363">
        <v>34070</v>
      </c>
      <c r="M291" s="363">
        <v>17230</v>
      </c>
      <c r="N291" s="364">
        <v>16.5</v>
      </c>
      <c r="O291" s="363">
        <v>16840</v>
      </c>
      <c r="P291" s="363">
        <v>14061.4</v>
      </c>
      <c r="Q291" s="121">
        <v>2023</v>
      </c>
      <c r="R291" s="121"/>
      <c r="S291" s="148">
        <v>45099</v>
      </c>
      <c r="T291" s="363">
        <f>Таблица18[[#This Row],[Вес нетто]]-Таблица18[[#This Row],[Зачетный вес]]</f>
        <v>2778.6000000000004</v>
      </c>
      <c r="U291" s="365">
        <f>Таблица18[[#This Row],[Отход]]/Таблица18[[#This Row],[Вес нетто]]</f>
        <v>0.16500000000000001</v>
      </c>
      <c r="V291" s="121">
        <f>MONTH(Таблица18[[#This Row],[Дата акта]])</f>
        <v>6</v>
      </c>
      <c r="W291" s="121">
        <v>22</v>
      </c>
      <c r="X291" s="148">
        <f>DATE(1900,Таблица18[[#This Row],[Месяц]],Таблица18[[#This Row],[Число]])</f>
        <v>174</v>
      </c>
      <c r="Y291" s="121"/>
      <c r="Z291" s="121" t="str">
        <f>Таблица18[[#This Row],[Хар-ка]]</f>
        <v>высший</v>
      </c>
      <c r="AD291" s="459"/>
      <c r="AE291" s="391"/>
    </row>
    <row r="292" spans="1:31" s="325" customFormat="1" ht="15.6" hidden="1" customHeight="1" x14ac:dyDescent="0.2">
      <c r="A292" s="360" t="s">
        <v>2129</v>
      </c>
      <c r="B292" s="360" t="s">
        <v>511</v>
      </c>
      <c r="C292" s="361">
        <v>433</v>
      </c>
      <c r="D292" s="362">
        <v>193</v>
      </c>
      <c r="E292" s="360" t="s">
        <v>78</v>
      </c>
      <c r="F292" s="360" t="s">
        <v>1804</v>
      </c>
      <c r="G292" s="360" t="s">
        <v>536</v>
      </c>
      <c r="H292" s="362">
        <v>106</v>
      </c>
      <c r="I292" s="362" t="e">
        <f>VLOOKUP(Таблица18[[#This Row],[Номер акта]],$AB$1:$AF$1833,3,FALSE)</f>
        <v>#N/A</v>
      </c>
      <c r="J292" s="360" t="s">
        <v>747</v>
      </c>
      <c r="K292" s="360" t="s">
        <v>82</v>
      </c>
      <c r="L292" s="363">
        <v>28630</v>
      </c>
      <c r="M292" s="363">
        <v>14570</v>
      </c>
      <c r="N292" s="364">
        <v>19.5</v>
      </c>
      <c r="O292" s="363">
        <v>14060</v>
      </c>
      <c r="P292" s="363">
        <v>11318.3</v>
      </c>
      <c r="Q292" s="121">
        <v>2023</v>
      </c>
      <c r="R292" s="121"/>
      <c r="S292" s="148">
        <v>45099</v>
      </c>
      <c r="T292" s="363">
        <f>Таблица18[[#This Row],[Вес нетто]]-Таблица18[[#This Row],[Зачетный вес]]</f>
        <v>2741.7000000000007</v>
      </c>
      <c r="U292" s="365">
        <f>Таблица18[[#This Row],[Отход]]/Таблица18[[#This Row],[Вес нетто]]</f>
        <v>0.19500000000000006</v>
      </c>
      <c r="V292" s="121">
        <f>MONTH(Таблица18[[#This Row],[Дата акта]])</f>
        <v>6</v>
      </c>
      <c r="W292" s="121">
        <v>22</v>
      </c>
      <c r="X292" s="148">
        <f>DATE(1900,Таблица18[[#This Row],[Месяц]],Таблица18[[#This Row],[Число]])</f>
        <v>174</v>
      </c>
      <c r="Y292" s="121"/>
      <c r="Z292" s="121" t="str">
        <f>Таблица18[[#This Row],[Хар-ка]]</f>
        <v>высший</v>
      </c>
      <c r="AD292" s="459"/>
      <c r="AE292" s="391"/>
    </row>
    <row r="293" spans="1:31" s="325" customFormat="1" ht="15.6" hidden="1" customHeight="1" x14ac:dyDescent="0.2">
      <c r="A293" s="360" t="s">
        <v>2130</v>
      </c>
      <c r="B293" s="360" t="s">
        <v>511</v>
      </c>
      <c r="C293" s="361">
        <v>434</v>
      </c>
      <c r="D293" s="362">
        <v>194</v>
      </c>
      <c r="E293" s="360" t="s">
        <v>78</v>
      </c>
      <c r="F293" s="360" t="s">
        <v>212</v>
      </c>
      <c r="G293" s="360" t="s">
        <v>216</v>
      </c>
      <c r="H293" s="362">
        <v>106</v>
      </c>
      <c r="I293" s="362" t="e">
        <f>VLOOKUP(Таблица18[[#This Row],[Номер акта]],$AB$1:$AF$1833,3,FALSE)</f>
        <v>#N/A</v>
      </c>
      <c r="J293" s="360" t="s">
        <v>747</v>
      </c>
      <c r="K293" s="360" t="s">
        <v>82</v>
      </c>
      <c r="L293" s="363">
        <v>28190</v>
      </c>
      <c r="M293" s="363">
        <v>14030</v>
      </c>
      <c r="N293" s="364">
        <v>18.5</v>
      </c>
      <c r="O293" s="363">
        <v>14160</v>
      </c>
      <c r="P293" s="363">
        <v>11540.4</v>
      </c>
      <c r="Q293" s="121">
        <v>2023</v>
      </c>
      <c r="R293" s="121"/>
      <c r="S293" s="148">
        <v>45099</v>
      </c>
      <c r="T293" s="363">
        <f>Таблица18[[#This Row],[Вес нетто]]-Таблица18[[#This Row],[Зачетный вес]]</f>
        <v>2619.6000000000004</v>
      </c>
      <c r="U293" s="365">
        <f>Таблица18[[#This Row],[Отход]]/Таблица18[[#This Row],[Вес нетто]]</f>
        <v>0.18500000000000003</v>
      </c>
      <c r="V293" s="121">
        <f>MONTH(Таблица18[[#This Row],[Дата акта]])</f>
        <v>6</v>
      </c>
      <c r="W293" s="121">
        <v>22</v>
      </c>
      <c r="X293" s="148">
        <f>DATE(1900,Таблица18[[#This Row],[Месяц]],Таблица18[[#This Row],[Число]])</f>
        <v>174</v>
      </c>
      <c r="Y293" s="121"/>
      <c r="Z293" s="121" t="str">
        <f>Таблица18[[#This Row],[Хар-ка]]</f>
        <v>высший</v>
      </c>
      <c r="AD293" s="459"/>
      <c r="AE293" s="391"/>
    </row>
    <row r="294" spans="1:31" s="325" customFormat="1" ht="15.6" hidden="1" customHeight="1" x14ac:dyDescent="0.2">
      <c r="A294" s="360" t="s">
        <v>2131</v>
      </c>
      <c r="B294" s="360" t="s">
        <v>511</v>
      </c>
      <c r="C294" s="361">
        <v>436</v>
      </c>
      <c r="D294" s="362">
        <v>195</v>
      </c>
      <c r="E294" s="360" t="s">
        <v>78</v>
      </c>
      <c r="F294" s="360" t="s">
        <v>1788</v>
      </c>
      <c r="G294" s="360" t="s">
        <v>131</v>
      </c>
      <c r="H294" s="362">
        <v>106</v>
      </c>
      <c r="I294" s="362" t="e">
        <f>VLOOKUP(Таблица18[[#This Row],[Номер акта]],$AB$1:$AF$1833,3,FALSE)</f>
        <v>#N/A</v>
      </c>
      <c r="J294" s="360" t="s">
        <v>747</v>
      </c>
      <c r="K294" s="360" t="s">
        <v>82</v>
      </c>
      <c r="L294" s="363">
        <v>28790</v>
      </c>
      <c r="M294" s="363">
        <v>14410</v>
      </c>
      <c r="N294" s="364">
        <v>17.5</v>
      </c>
      <c r="O294" s="363">
        <v>14380</v>
      </c>
      <c r="P294" s="363">
        <v>11863.5</v>
      </c>
      <c r="Q294" s="121">
        <v>2023</v>
      </c>
      <c r="R294" s="121"/>
      <c r="S294" s="148">
        <v>45099</v>
      </c>
      <c r="T294" s="363">
        <f>Таблица18[[#This Row],[Вес нетто]]-Таблица18[[#This Row],[Зачетный вес]]</f>
        <v>2516.5</v>
      </c>
      <c r="U294" s="365">
        <f>Таблица18[[#This Row],[Отход]]/Таблица18[[#This Row],[Вес нетто]]</f>
        <v>0.17499999999999999</v>
      </c>
      <c r="V294" s="121">
        <f>MONTH(Таблица18[[#This Row],[Дата акта]])</f>
        <v>6</v>
      </c>
      <c r="W294" s="121">
        <v>22</v>
      </c>
      <c r="X294" s="148">
        <f>DATE(1900,Таблица18[[#This Row],[Месяц]],Таблица18[[#This Row],[Число]])</f>
        <v>174</v>
      </c>
      <c r="Y294" s="121"/>
      <c r="Z294" s="121" t="str">
        <f>Таблица18[[#This Row],[Хар-ка]]</f>
        <v>высший</v>
      </c>
      <c r="AD294" s="459"/>
      <c r="AE294" s="391"/>
    </row>
    <row r="295" spans="1:31" s="325" customFormat="1" ht="15.6" hidden="1" customHeight="1" x14ac:dyDescent="0.2">
      <c r="A295" s="360" t="s">
        <v>2132</v>
      </c>
      <c r="B295" s="360" t="s">
        <v>511</v>
      </c>
      <c r="C295" s="361">
        <v>438</v>
      </c>
      <c r="D295" s="362">
        <v>194</v>
      </c>
      <c r="E295" s="360" t="s">
        <v>78</v>
      </c>
      <c r="F295" s="360" t="s">
        <v>212</v>
      </c>
      <c r="G295" s="360" t="s">
        <v>216</v>
      </c>
      <c r="H295" s="362">
        <v>106</v>
      </c>
      <c r="I295" s="362" t="e">
        <f>VLOOKUP(Таблица18[[#This Row],[Номер акта]],$AB$1:$AF$1833,3,FALSE)</f>
        <v>#N/A</v>
      </c>
      <c r="J295" s="360" t="s">
        <v>747</v>
      </c>
      <c r="K295" s="360" t="s">
        <v>82</v>
      </c>
      <c r="L295" s="363">
        <v>28250</v>
      </c>
      <c r="M295" s="363">
        <v>14010</v>
      </c>
      <c r="N295" s="364">
        <v>14.5</v>
      </c>
      <c r="O295" s="363">
        <v>14240</v>
      </c>
      <c r="P295" s="363">
        <v>12175.2</v>
      </c>
      <c r="Q295" s="121">
        <v>2023</v>
      </c>
      <c r="R295" s="121"/>
      <c r="S295" s="148">
        <v>45099</v>
      </c>
      <c r="T295" s="363">
        <f>Таблица18[[#This Row],[Вес нетто]]-Таблица18[[#This Row],[Зачетный вес]]</f>
        <v>2064.7999999999993</v>
      </c>
      <c r="U295" s="365">
        <f>Таблица18[[#This Row],[Отход]]/Таблица18[[#This Row],[Вес нетто]]</f>
        <v>0.14499999999999996</v>
      </c>
      <c r="V295" s="121">
        <f>MONTH(Таблица18[[#This Row],[Дата акта]])</f>
        <v>6</v>
      </c>
      <c r="W295" s="121">
        <v>22</v>
      </c>
      <c r="X295" s="148">
        <f>DATE(1900,Таблица18[[#This Row],[Месяц]],Таблица18[[#This Row],[Число]])</f>
        <v>174</v>
      </c>
      <c r="Y295" s="121"/>
      <c r="Z295" s="121" t="str">
        <f>Таблица18[[#This Row],[Хар-ка]]</f>
        <v>высший</v>
      </c>
      <c r="AD295" s="459"/>
      <c r="AE295" s="391"/>
    </row>
    <row r="296" spans="1:31" s="325" customFormat="1" ht="15.6" hidden="1" customHeight="1" x14ac:dyDescent="0.2">
      <c r="A296" s="360" t="s">
        <v>2133</v>
      </c>
      <c r="B296" s="360" t="s">
        <v>511</v>
      </c>
      <c r="C296" s="361">
        <v>440</v>
      </c>
      <c r="D296" s="362">
        <v>197</v>
      </c>
      <c r="E296" s="360" t="s">
        <v>78</v>
      </c>
      <c r="F296" s="360" t="s">
        <v>1788</v>
      </c>
      <c r="G296" s="360" t="s">
        <v>131</v>
      </c>
      <c r="H296" s="362">
        <v>106</v>
      </c>
      <c r="I296" s="362" t="e">
        <f>VLOOKUP(Таблица18[[#This Row],[Номер акта]],$AB$1:$AF$1833,3,FALSE)</f>
        <v>#N/A</v>
      </c>
      <c r="J296" s="360" t="s">
        <v>747</v>
      </c>
      <c r="K296" s="360" t="s">
        <v>82</v>
      </c>
      <c r="L296" s="363">
        <v>28500</v>
      </c>
      <c r="M296" s="363">
        <v>14400</v>
      </c>
      <c r="N296" s="364">
        <v>16</v>
      </c>
      <c r="O296" s="363">
        <v>14100</v>
      </c>
      <c r="P296" s="363">
        <v>11844</v>
      </c>
      <c r="Q296" s="121">
        <v>2023</v>
      </c>
      <c r="R296" s="121"/>
      <c r="S296" s="148">
        <v>45099</v>
      </c>
      <c r="T296" s="363">
        <f>Таблица18[[#This Row],[Вес нетто]]-Таблица18[[#This Row],[Зачетный вес]]</f>
        <v>2256</v>
      </c>
      <c r="U296" s="365">
        <f>Таблица18[[#This Row],[Отход]]/Таблица18[[#This Row],[Вес нетто]]</f>
        <v>0.16</v>
      </c>
      <c r="V296" s="121">
        <f>MONTH(Таблица18[[#This Row],[Дата акта]])</f>
        <v>6</v>
      </c>
      <c r="W296" s="121">
        <v>22</v>
      </c>
      <c r="X296" s="148">
        <f>DATE(1900,Таблица18[[#This Row],[Месяц]],Таблица18[[#This Row],[Число]])</f>
        <v>174</v>
      </c>
      <c r="Y296" s="121"/>
      <c r="Z296" s="121" t="str">
        <f>Таблица18[[#This Row],[Хар-ка]]</f>
        <v>высший</v>
      </c>
      <c r="AD296" s="459"/>
      <c r="AE296" s="391"/>
    </row>
    <row r="297" spans="1:31" s="325" customFormat="1" ht="15.6" hidden="1" customHeight="1" x14ac:dyDescent="0.2">
      <c r="A297" s="360" t="s">
        <v>2134</v>
      </c>
      <c r="B297" s="360" t="s">
        <v>511</v>
      </c>
      <c r="C297" s="361">
        <v>441</v>
      </c>
      <c r="D297" s="362">
        <v>198</v>
      </c>
      <c r="E297" s="360" t="s">
        <v>78</v>
      </c>
      <c r="F297" s="360" t="s">
        <v>212</v>
      </c>
      <c r="G297" s="360" t="s">
        <v>216</v>
      </c>
      <c r="H297" s="362">
        <v>106</v>
      </c>
      <c r="I297" s="362" t="e">
        <f>VLOOKUP(Таблица18[[#This Row],[Номер акта]],$AB$1:$AF$1833,3,FALSE)</f>
        <v>#N/A</v>
      </c>
      <c r="J297" s="360" t="s">
        <v>747</v>
      </c>
      <c r="K297" s="360" t="s">
        <v>82</v>
      </c>
      <c r="L297" s="363">
        <v>28200</v>
      </c>
      <c r="M297" s="363">
        <v>13990</v>
      </c>
      <c r="N297" s="364">
        <v>15</v>
      </c>
      <c r="O297" s="363">
        <v>14210</v>
      </c>
      <c r="P297" s="363">
        <v>12078.5</v>
      </c>
      <c r="Q297" s="121">
        <v>2023</v>
      </c>
      <c r="R297" s="121"/>
      <c r="S297" s="148">
        <v>45099</v>
      </c>
      <c r="T297" s="363">
        <f>Таблица18[[#This Row],[Вес нетто]]-Таблица18[[#This Row],[Зачетный вес]]</f>
        <v>2131.5</v>
      </c>
      <c r="U297" s="365">
        <f>Таблица18[[#This Row],[Отход]]/Таблица18[[#This Row],[Вес нетто]]</f>
        <v>0.15</v>
      </c>
      <c r="V297" s="121">
        <f>MONTH(Таблица18[[#This Row],[Дата акта]])</f>
        <v>6</v>
      </c>
      <c r="W297" s="121">
        <v>22</v>
      </c>
      <c r="X297" s="148">
        <f>DATE(1900,Таблица18[[#This Row],[Месяц]],Таблица18[[#This Row],[Число]])</f>
        <v>174</v>
      </c>
      <c r="Y297" s="121"/>
      <c r="Z297" s="121" t="str">
        <f>Таблица18[[#This Row],[Хар-ка]]</f>
        <v>высший</v>
      </c>
      <c r="AD297" s="459"/>
      <c r="AE297" s="391"/>
    </row>
    <row r="298" spans="1:31" s="325" customFormat="1" ht="15.6" hidden="1" customHeight="1" x14ac:dyDescent="0.2">
      <c r="A298" s="360" t="s">
        <v>2135</v>
      </c>
      <c r="B298" s="360" t="s">
        <v>511</v>
      </c>
      <c r="C298" s="361">
        <v>443</v>
      </c>
      <c r="D298" s="362">
        <v>199</v>
      </c>
      <c r="E298" s="360" t="s">
        <v>78</v>
      </c>
      <c r="F298" s="360" t="s">
        <v>1788</v>
      </c>
      <c r="G298" s="360" t="s">
        <v>131</v>
      </c>
      <c r="H298" s="362">
        <v>106</v>
      </c>
      <c r="I298" s="362" t="e">
        <f>VLOOKUP(Таблица18[[#This Row],[Номер акта]],$AB$1:$AF$1833,3,FALSE)</f>
        <v>#N/A</v>
      </c>
      <c r="J298" s="360" t="s">
        <v>747</v>
      </c>
      <c r="K298" s="360" t="s">
        <v>82</v>
      </c>
      <c r="L298" s="363">
        <v>27890</v>
      </c>
      <c r="M298" s="363">
        <v>14390</v>
      </c>
      <c r="N298" s="364">
        <v>15.5</v>
      </c>
      <c r="O298" s="363">
        <v>13500</v>
      </c>
      <c r="P298" s="363">
        <v>11407.5</v>
      </c>
      <c r="Q298" s="121">
        <v>2023</v>
      </c>
      <c r="R298" s="121"/>
      <c r="S298" s="148">
        <v>45099</v>
      </c>
      <c r="T298" s="363">
        <f>Таблица18[[#This Row],[Вес нетто]]-Таблица18[[#This Row],[Зачетный вес]]</f>
        <v>2092.5</v>
      </c>
      <c r="U298" s="365">
        <f>Таблица18[[#This Row],[Отход]]/Таблица18[[#This Row],[Вес нетто]]</f>
        <v>0.155</v>
      </c>
      <c r="V298" s="121">
        <f>MONTH(Таблица18[[#This Row],[Дата акта]])</f>
        <v>6</v>
      </c>
      <c r="W298" s="121">
        <v>22</v>
      </c>
      <c r="X298" s="148">
        <f>DATE(1900,Таблица18[[#This Row],[Месяц]],Таблица18[[#This Row],[Число]])</f>
        <v>174</v>
      </c>
      <c r="Y298" s="121"/>
      <c r="Z298" s="121" t="str">
        <f>Таблица18[[#This Row],[Хар-ка]]</f>
        <v>высший</v>
      </c>
      <c r="AD298" s="459"/>
      <c r="AE298" s="391"/>
    </row>
    <row r="299" spans="1:31" s="325" customFormat="1" ht="15.6" hidden="1" customHeight="1" x14ac:dyDescent="0.2">
      <c r="A299" s="360" t="s">
        <v>2136</v>
      </c>
      <c r="B299" s="360" t="s">
        <v>511</v>
      </c>
      <c r="C299" s="361">
        <v>444</v>
      </c>
      <c r="D299" s="362">
        <v>200</v>
      </c>
      <c r="E299" s="360" t="s">
        <v>78</v>
      </c>
      <c r="F299" s="360" t="s">
        <v>212</v>
      </c>
      <c r="G299" s="360" t="s">
        <v>216</v>
      </c>
      <c r="H299" s="362">
        <v>106</v>
      </c>
      <c r="I299" s="362" t="e">
        <f>VLOOKUP(Таблица18[[#This Row],[Номер акта]],$AB$1:$AF$1833,3,FALSE)</f>
        <v>#N/A</v>
      </c>
      <c r="J299" s="360" t="s">
        <v>747</v>
      </c>
      <c r="K299" s="360" t="s">
        <v>82</v>
      </c>
      <c r="L299" s="363">
        <v>29480</v>
      </c>
      <c r="M299" s="363">
        <v>14050</v>
      </c>
      <c r="N299" s="364">
        <v>15.5</v>
      </c>
      <c r="O299" s="363">
        <v>15430</v>
      </c>
      <c r="P299" s="363">
        <v>13038.3</v>
      </c>
      <c r="Q299" s="121">
        <v>2023</v>
      </c>
      <c r="R299" s="121"/>
      <c r="S299" s="148">
        <v>45100</v>
      </c>
      <c r="T299" s="363">
        <f>Таблица18[[#This Row],[Вес нетто]]-Таблица18[[#This Row],[Зачетный вес]]</f>
        <v>2391.7000000000007</v>
      </c>
      <c r="U299" s="365">
        <f>Таблица18[[#This Row],[Отход]]/Таблица18[[#This Row],[Вес нетто]]</f>
        <v>0.15500324044069999</v>
      </c>
      <c r="V299" s="121">
        <f>MONTH(Таблица18[[#This Row],[Дата акта]])</f>
        <v>6</v>
      </c>
      <c r="W299" s="121">
        <v>23</v>
      </c>
      <c r="X299" s="148">
        <f>DATE(1900,Таблица18[[#This Row],[Месяц]],Таблица18[[#This Row],[Число]])</f>
        <v>175</v>
      </c>
      <c r="Y299" s="121"/>
      <c r="Z299" s="121" t="str">
        <f>Таблица18[[#This Row],[Хар-ка]]</f>
        <v>высший</v>
      </c>
      <c r="AD299" s="459"/>
      <c r="AE299" s="391"/>
    </row>
    <row r="300" spans="1:31" s="325" customFormat="1" ht="15.6" hidden="1" customHeight="1" x14ac:dyDescent="0.2">
      <c r="A300" s="360" t="s">
        <v>2137</v>
      </c>
      <c r="B300" s="360" t="s">
        <v>511</v>
      </c>
      <c r="C300" s="361">
        <v>445</v>
      </c>
      <c r="D300" s="362">
        <v>201</v>
      </c>
      <c r="E300" s="360" t="s">
        <v>78</v>
      </c>
      <c r="F300" s="360" t="s">
        <v>1788</v>
      </c>
      <c r="G300" s="360" t="s">
        <v>131</v>
      </c>
      <c r="H300" s="362">
        <v>106</v>
      </c>
      <c r="I300" s="362" t="e">
        <f>VLOOKUP(Таблица18[[#This Row],[Номер акта]],$AB$1:$AF$1833,3,FALSE)</f>
        <v>#N/A</v>
      </c>
      <c r="J300" s="360" t="s">
        <v>747</v>
      </c>
      <c r="K300" s="360" t="s">
        <v>82</v>
      </c>
      <c r="L300" s="363">
        <v>28290</v>
      </c>
      <c r="M300" s="363">
        <v>14380</v>
      </c>
      <c r="N300" s="364">
        <v>15.5</v>
      </c>
      <c r="O300" s="363">
        <v>13910</v>
      </c>
      <c r="P300" s="363">
        <v>11753.9</v>
      </c>
      <c r="Q300" s="121">
        <v>2023</v>
      </c>
      <c r="R300" s="121"/>
      <c r="S300" s="148">
        <v>45100</v>
      </c>
      <c r="T300" s="363">
        <f>Таблица18[[#This Row],[Вес нетто]]-Таблица18[[#This Row],[Зачетный вес]]</f>
        <v>2156.1000000000004</v>
      </c>
      <c r="U300" s="365">
        <f>Таблица18[[#This Row],[Отход]]/Таблица18[[#This Row],[Вес нетто]]</f>
        <v>0.15500359453630486</v>
      </c>
      <c r="V300" s="121">
        <f>MONTH(Таблица18[[#This Row],[Дата акта]])</f>
        <v>6</v>
      </c>
      <c r="W300" s="121">
        <v>23</v>
      </c>
      <c r="X300" s="148">
        <f>DATE(1900,Таблица18[[#This Row],[Месяц]],Таблица18[[#This Row],[Число]])</f>
        <v>175</v>
      </c>
      <c r="Y300" s="121"/>
      <c r="Z300" s="121" t="str">
        <f>Таблица18[[#This Row],[Хар-ка]]</f>
        <v>высший</v>
      </c>
      <c r="AD300" s="459"/>
      <c r="AE300" s="391"/>
    </row>
    <row r="301" spans="1:31" s="325" customFormat="1" ht="15.6" hidden="1" customHeight="1" x14ac:dyDescent="0.2">
      <c r="A301" s="360" t="s">
        <v>2138</v>
      </c>
      <c r="B301" s="360" t="s">
        <v>511</v>
      </c>
      <c r="C301" s="361">
        <v>446</v>
      </c>
      <c r="D301" s="362">
        <v>202</v>
      </c>
      <c r="E301" s="360" t="s">
        <v>78</v>
      </c>
      <c r="F301" s="360" t="s">
        <v>212</v>
      </c>
      <c r="G301" s="360" t="s">
        <v>216</v>
      </c>
      <c r="H301" s="362">
        <v>106</v>
      </c>
      <c r="I301" s="362" t="e">
        <f>VLOOKUP(Таблица18[[#This Row],[Номер акта]],$AB$1:$AF$1833,3,FALSE)</f>
        <v>#N/A</v>
      </c>
      <c r="J301" s="360" t="s">
        <v>747</v>
      </c>
      <c r="K301" s="360" t="s">
        <v>82</v>
      </c>
      <c r="L301" s="363">
        <v>27840</v>
      </c>
      <c r="M301" s="363">
        <v>14040</v>
      </c>
      <c r="N301" s="364">
        <v>17.5</v>
      </c>
      <c r="O301" s="363">
        <v>13800</v>
      </c>
      <c r="P301" s="363">
        <v>11385</v>
      </c>
      <c r="Q301" s="121">
        <v>2023</v>
      </c>
      <c r="R301" s="121"/>
      <c r="S301" s="148">
        <v>45100</v>
      </c>
      <c r="T301" s="363">
        <f>Таблица18[[#This Row],[Вес нетто]]-Таблица18[[#This Row],[Зачетный вес]]</f>
        <v>2415</v>
      </c>
      <c r="U301" s="365">
        <f>Таблица18[[#This Row],[Отход]]/Таблица18[[#This Row],[Вес нетто]]</f>
        <v>0.17499999999999999</v>
      </c>
      <c r="V301" s="121">
        <f>MONTH(Таблица18[[#This Row],[Дата акта]])</f>
        <v>6</v>
      </c>
      <c r="W301" s="121">
        <v>23</v>
      </c>
      <c r="X301" s="148">
        <f>DATE(1900,Таблица18[[#This Row],[Месяц]],Таблица18[[#This Row],[Число]])</f>
        <v>175</v>
      </c>
      <c r="Y301" s="121"/>
      <c r="Z301" s="121" t="str">
        <f>Таблица18[[#This Row],[Хар-ка]]</f>
        <v>высший</v>
      </c>
      <c r="AD301" s="459"/>
      <c r="AE301" s="391"/>
    </row>
    <row r="302" spans="1:31" s="325" customFormat="1" ht="15.6" hidden="1" customHeight="1" x14ac:dyDescent="0.2">
      <c r="A302" s="360" t="s">
        <v>2139</v>
      </c>
      <c r="B302" s="360" t="s">
        <v>511</v>
      </c>
      <c r="C302" s="361">
        <v>448</v>
      </c>
      <c r="D302" s="362">
        <v>203</v>
      </c>
      <c r="E302" s="360" t="s">
        <v>78</v>
      </c>
      <c r="F302" s="360" t="s">
        <v>1788</v>
      </c>
      <c r="G302" s="360" t="s">
        <v>131</v>
      </c>
      <c r="H302" s="362">
        <v>106</v>
      </c>
      <c r="I302" s="362" t="e">
        <f>VLOOKUP(Таблица18[[#This Row],[Номер акта]],$AB$1:$AF$1833,3,FALSE)</f>
        <v>#N/A</v>
      </c>
      <c r="J302" s="360" t="s">
        <v>747</v>
      </c>
      <c r="K302" s="360" t="s">
        <v>82</v>
      </c>
      <c r="L302" s="363">
        <v>27590</v>
      </c>
      <c r="M302" s="363">
        <v>14370</v>
      </c>
      <c r="N302" s="364">
        <v>16.5</v>
      </c>
      <c r="O302" s="363">
        <v>13220</v>
      </c>
      <c r="P302" s="363">
        <v>11038.7</v>
      </c>
      <c r="Q302" s="121">
        <v>2023</v>
      </c>
      <c r="R302" s="121"/>
      <c r="S302" s="148">
        <v>45100</v>
      </c>
      <c r="T302" s="363">
        <f>Таблица18[[#This Row],[Вес нетто]]-Таблица18[[#This Row],[Зачетный вес]]</f>
        <v>2181.2999999999993</v>
      </c>
      <c r="U302" s="365">
        <f>Таблица18[[#This Row],[Отход]]/Таблица18[[#This Row],[Вес нетто]]</f>
        <v>0.16499999999999995</v>
      </c>
      <c r="V302" s="121">
        <f>MONTH(Таблица18[[#This Row],[Дата акта]])</f>
        <v>6</v>
      </c>
      <c r="W302" s="121">
        <v>23</v>
      </c>
      <c r="X302" s="148">
        <f>DATE(1900,Таблица18[[#This Row],[Месяц]],Таблица18[[#This Row],[Число]])</f>
        <v>175</v>
      </c>
      <c r="Y302" s="121"/>
      <c r="Z302" s="121" t="str">
        <f>Таблица18[[#This Row],[Хар-ка]]</f>
        <v>высший</v>
      </c>
      <c r="AD302" s="459"/>
      <c r="AE302" s="391"/>
    </row>
    <row r="303" spans="1:31" s="325" customFormat="1" ht="15.6" hidden="1" customHeight="1" x14ac:dyDescent="0.2">
      <c r="A303" s="360" t="s">
        <v>2140</v>
      </c>
      <c r="B303" s="360" t="s">
        <v>511</v>
      </c>
      <c r="C303" s="361">
        <v>455</v>
      </c>
      <c r="D303" s="362">
        <v>204</v>
      </c>
      <c r="E303" s="360" t="s">
        <v>78</v>
      </c>
      <c r="F303" s="360" t="s">
        <v>1792</v>
      </c>
      <c r="G303" s="360" t="s">
        <v>80</v>
      </c>
      <c r="H303" s="360" t="s">
        <v>2128</v>
      </c>
      <c r="I303" s="360" t="e">
        <f>VLOOKUP(Таблица18[[#This Row],[Номер акта]],$AB$1:$AF$1833,3,FALSE)</f>
        <v>#N/A</v>
      </c>
      <c r="J303" s="360" t="s">
        <v>747</v>
      </c>
      <c r="K303" s="360" t="s">
        <v>82</v>
      </c>
      <c r="L303" s="363">
        <v>29270</v>
      </c>
      <c r="M303" s="363">
        <v>14300</v>
      </c>
      <c r="N303" s="364">
        <v>15.5</v>
      </c>
      <c r="O303" s="363">
        <v>14970</v>
      </c>
      <c r="P303" s="363">
        <v>12649.6</v>
      </c>
      <c r="Q303" s="121">
        <v>2023</v>
      </c>
      <c r="R303" s="121"/>
      <c r="S303" s="148">
        <v>45100</v>
      </c>
      <c r="T303" s="363">
        <f>Таблица18[[#This Row],[Вес нетто]]-Таблица18[[#This Row],[Зачетный вес]]</f>
        <v>2320.3999999999996</v>
      </c>
      <c r="U303" s="365">
        <f>Таблица18[[#This Row],[Отход]]/Таблица18[[#This Row],[Вес нетто]]</f>
        <v>0.15500334001336002</v>
      </c>
      <c r="V303" s="121">
        <f>MONTH(Таблица18[[#This Row],[Дата акта]])</f>
        <v>6</v>
      </c>
      <c r="W303" s="121">
        <v>23</v>
      </c>
      <c r="X303" s="148">
        <f>DATE(1900,Таблица18[[#This Row],[Месяц]],Таблица18[[#This Row],[Число]])</f>
        <v>175</v>
      </c>
      <c r="Y303" s="121"/>
      <c r="Z303" s="121" t="str">
        <f>Таблица18[[#This Row],[Хар-ка]]</f>
        <v>высший</v>
      </c>
      <c r="AD303" s="459"/>
      <c r="AE303" s="391"/>
    </row>
    <row r="304" spans="1:31" s="325" customFormat="1" ht="15.6" hidden="1" customHeight="1" x14ac:dyDescent="0.2">
      <c r="A304" s="360" t="s">
        <v>2141</v>
      </c>
      <c r="B304" s="360" t="s">
        <v>511</v>
      </c>
      <c r="C304" s="361">
        <v>456</v>
      </c>
      <c r="D304" s="362">
        <v>205</v>
      </c>
      <c r="E304" s="360" t="s">
        <v>78</v>
      </c>
      <c r="F304" s="360" t="s">
        <v>1788</v>
      </c>
      <c r="G304" s="360" t="s">
        <v>131</v>
      </c>
      <c r="H304" s="360" t="s">
        <v>2128</v>
      </c>
      <c r="I304" s="360" t="e">
        <f>VLOOKUP(Таблица18[[#This Row],[Номер акта]],$AB$1:$AF$1833,3,FALSE)</f>
        <v>#N/A</v>
      </c>
      <c r="J304" s="360" t="s">
        <v>747</v>
      </c>
      <c r="K304" s="360" t="s">
        <v>82</v>
      </c>
      <c r="L304" s="363">
        <v>26190</v>
      </c>
      <c r="M304" s="363">
        <v>14460</v>
      </c>
      <c r="N304" s="364">
        <v>18.5</v>
      </c>
      <c r="O304" s="363">
        <v>11730</v>
      </c>
      <c r="P304" s="363">
        <v>9559.9</v>
      </c>
      <c r="Q304" s="121">
        <v>2023</v>
      </c>
      <c r="R304" s="121"/>
      <c r="S304" s="148">
        <v>45100</v>
      </c>
      <c r="T304" s="363">
        <f>Таблица18[[#This Row],[Вес нетто]]-Таблица18[[#This Row],[Зачетный вес]]</f>
        <v>2170.1000000000004</v>
      </c>
      <c r="U304" s="365">
        <f>Таблица18[[#This Row],[Отход]]/Таблица18[[#This Row],[Вес нетто]]</f>
        <v>0.1850042625745951</v>
      </c>
      <c r="V304" s="121">
        <f>MONTH(Таблица18[[#This Row],[Дата акта]])</f>
        <v>6</v>
      </c>
      <c r="W304" s="121">
        <v>23</v>
      </c>
      <c r="X304" s="148">
        <f>DATE(1900,Таблица18[[#This Row],[Месяц]],Таблица18[[#This Row],[Число]])</f>
        <v>175</v>
      </c>
      <c r="Y304" s="121"/>
      <c r="Z304" s="121" t="str">
        <f>Таблица18[[#This Row],[Хар-ка]]</f>
        <v>высший</v>
      </c>
      <c r="AD304" s="459"/>
      <c r="AE304" s="391"/>
    </row>
    <row r="305" spans="1:31" s="325" customFormat="1" ht="15.6" hidden="1" customHeight="1" x14ac:dyDescent="0.2">
      <c r="A305" s="360" t="s">
        <v>2142</v>
      </c>
      <c r="B305" s="360" t="s">
        <v>511</v>
      </c>
      <c r="C305" s="361">
        <v>458</v>
      </c>
      <c r="D305" s="362">
        <v>206</v>
      </c>
      <c r="E305" s="360" t="s">
        <v>78</v>
      </c>
      <c r="F305" s="360" t="s">
        <v>1792</v>
      </c>
      <c r="G305" s="360" t="s">
        <v>80</v>
      </c>
      <c r="H305" s="360" t="s">
        <v>2128</v>
      </c>
      <c r="I305" s="360" t="e">
        <f>VLOOKUP(Таблица18[[#This Row],[Номер акта]],$AB$1:$AF$1833,3,FALSE)</f>
        <v>#N/A</v>
      </c>
      <c r="J305" s="360" t="s">
        <v>747</v>
      </c>
      <c r="K305" s="360" t="s">
        <v>82</v>
      </c>
      <c r="L305" s="363">
        <v>22460</v>
      </c>
      <c r="M305" s="363">
        <v>14170</v>
      </c>
      <c r="N305" s="364">
        <v>16.5</v>
      </c>
      <c r="O305" s="363">
        <v>8290</v>
      </c>
      <c r="P305" s="363">
        <v>6922.1</v>
      </c>
      <c r="Q305" s="121">
        <v>2023</v>
      </c>
      <c r="R305" s="121"/>
      <c r="S305" s="148">
        <v>45100</v>
      </c>
      <c r="T305" s="363">
        <f>Таблица18[[#This Row],[Вес нетто]]-Таблица18[[#This Row],[Зачетный вес]]</f>
        <v>1367.8999999999996</v>
      </c>
      <c r="U305" s="365">
        <f>Таблица18[[#This Row],[Отход]]/Таблица18[[#This Row],[Вес нетто]]</f>
        <v>0.165006031363088</v>
      </c>
      <c r="V305" s="121">
        <f>MONTH(Таблица18[[#This Row],[Дата акта]])</f>
        <v>6</v>
      </c>
      <c r="W305" s="121">
        <v>23</v>
      </c>
      <c r="X305" s="148">
        <f>DATE(1900,Таблица18[[#This Row],[Месяц]],Таблица18[[#This Row],[Число]])</f>
        <v>175</v>
      </c>
      <c r="Y305" s="121"/>
      <c r="Z305" s="121" t="str">
        <f>Таблица18[[#This Row],[Хар-ка]]</f>
        <v>высший</v>
      </c>
      <c r="AD305" s="459"/>
      <c r="AE305" s="391"/>
    </row>
    <row r="306" spans="1:31" s="325" customFormat="1" ht="15.6" hidden="1" customHeight="1" x14ac:dyDescent="0.2">
      <c r="A306" s="360" t="s">
        <v>2143</v>
      </c>
      <c r="B306" s="360" t="s">
        <v>511</v>
      </c>
      <c r="C306" s="361">
        <v>459</v>
      </c>
      <c r="D306" s="362">
        <v>1</v>
      </c>
      <c r="E306" s="360" t="s">
        <v>1737</v>
      </c>
      <c r="F306" s="360" t="s">
        <v>311</v>
      </c>
      <c r="G306" s="360" t="s">
        <v>315</v>
      </c>
      <c r="H306" s="360" t="s">
        <v>2144</v>
      </c>
      <c r="I306" s="360" t="e">
        <f>VLOOKUP(Таблица18[[#This Row],[Номер акта]],$AB$1:$AF$1833,3,FALSE)</f>
        <v>#N/A</v>
      </c>
      <c r="J306" s="360" t="s">
        <v>1755</v>
      </c>
      <c r="K306" s="360" t="s">
        <v>82</v>
      </c>
      <c r="L306" s="363">
        <v>28530</v>
      </c>
      <c r="M306" s="363">
        <v>15010</v>
      </c>
      <c r="N306" s="364">
        <v>12.5</v>
      </c>
      <c r="O306" s="363">
        <v>13520</v>
      </c>
      <c r="P306" s="363">
        <v>11830</v>
      </c>
      <c r="Q306" s="121">
        <v>2023</v>
      </c>
      <c r="R306" s="121"/>
      <c r="S306" s="148">
        <v>45101</v>
      </c>
      <c r="T306" s="363">
        <f>Таблица18[[#This Row],[Вес нетто]]-Таблица18[[#This Row],[Зачетный вес]]</f>
        <v>1690</v>
      </c>
      <c r="U306" s="365">
        <f>Таблица18[[#This Row],[Отход]]/Таблица18[[#This Row],[Вес нетто]]</f>
        <v>0.125</v>
      </c>
      <c r="V306" s="121">
        <f>MONTH(Таблица18[[#This Row],[Дата акта]])</f>
        <v>6</v>
      </c>
      <c r="W306" s="121">
        <v>24</v>
      </c>
      <c r="X306" s="148">
        <f>DATE(1900,Таблица18[[#This Row],[Месяц]],Таблица18[[#This Row],[Число]])</f>
        <v>176</v>
      </c>
      <c r="Y306" s="121"/>
      <c r="Z306" s="121" t="str">
        <f>Таблица18[[#This Row],[Хар-ка]]</f>
        <v>высший</v>
      </c>
      <c r="AD306" s="459"/>
      <c r="AE306" s="391"/>
    </row>
    <row r="307" spans="1:31" s="325" customFormat="1" ht="15.6" hidden="1" customHeight="1" x14ac:dyDescent="0.2">
      <c r="A307" s="360" t="s">
        <v>2145</v>
      </c>
      <c r="B307" s="360" t="s">
        <v>511</v>
      </c>
      <c r="C307" s="361">
        <v>460</v>
      </c>
      <c r="D307" s="362">
        <v>2</v>
      </c>
      <c r="E307" s="360" t="s">
        <v>1737</v>
      </c>
      <c r="F307" s="360" t="s">
        <v>1843</v>
      </c>
      <c r="G307" s="360" t="s">
        <v>119</v>
      </c>
      <c r="H307" s="360" t="s">
        <v>2144</v>
      </c>
      <c r="I307" s="360" t="e">
        <f>VLOOKUP(Таблица18[[#This Row],[Номер акта]],$AB$1:$AF$1833,3,FALSE)</f>
        <v>#N/A</v>
      </c>
      <c r="J307" s="360" t="s">
        <v>1755</v>
      </c>
      <c r="K307" s="360" t="s">
        <v>82</v>
      </c>
      <c r="L307" s="363">
        <v>38530</v>
      </c>
      <c r="M307" s="363">
        <v>20940</v>
      </c>
      <c r="N307" s="364">
        <v>16.5</v>
      </c>
      <c r="O307" s="363">
        <v>17590</v>
      </c>
      <c r="P307" s="363">
        <v>14687.6</v>
      </c>
      <c r="Q307" s="121">
        <v>2023</v>
      </c>
      <c r="R307" s="121"/>
      <c r="S307" s="148">
        <v>45101</v>
      </c>
      <c r="T307" s="363">
        <f>Таблица18[[#This Row],[Вес нетто]]-Таблица18[[#This Row],[Зачетный вес]]</f>
        <v>2902.3999999999996</v>
      </c>
      <c r="U307" s="365">
        <f>Таблица18[[#This Row],[Отход]]/Таблица18[[#This Row],[Вес нетто]]</f>
        <v>0.16500284252416145</v>
      </c>
      <c r="V307" s="121">
        <f>MONTH(Таблица18[[#This Row],[Дата акта]])</f>
        <v>6</v>
      </c>
      <c r="W307" s="121">
        <v>24</v>
      </c>
      <c r="X307" s="148">
        <f>DATE(1900,Таблица18[[#This Row],[Месяц]],Таблица18[[#This Row],[Число]])</f>
        <v>176</v>
      </c>
      <c r="Y307" s="121"/>
      <c r="Z307" s="121" t="str">
        <f>Таблица18[[#This Row],[Хар-ка]]</f>
        <v>высший</v>
      </c>
      <c r="AD307" s="459"/>
      <c r="AE307" s="391"/>
    </row>
    <row r="308" spans="1:31" s="325" customFormat="1" ht="15.6" hidden="1" customHeight="1" x14ac:dyDescent="0.2">
      <c r="A308" s="360" t="s">
        <v>2146</v>
      </c>
      <c r="B308" s="360" t="s">
        <v>511</v>
      </c>
      <c r="C308" s="361">
        <v>461</v>
      </c>
      <c r="D308" s="362">
        <v>3</v>
      </c>
      <c r="E308" s="360" t="s">
        <v>1737</v>
      </c>
      <c r="F308" s="360" t="s">
        <v>212</v>
      </c>
      <c r="G308" s="360" t="s">
        <v>216</v>
      </c>
      <c r="H308" s="360" t="s">
        <v>2144</v>
      </c>
      <c r="I308" s="360" t="e">
        <f>VLOOKUP(Таблица18[[#This Row],[Номер акта]],$AB$1:$AF$1833,3,FALSE)</f>
        <v>#N/A</v>
      </c>
      <c r="J308" s="360" t="s">
        <v>1755</v>
      </c>
      <c r="K308" s="360" t="s">
        <v>82</v>
      </c>
      <c r="L308" s="363">
        <v>27070</v>
      </c>
      <c r="M308" s="363">
        <v>13930</v>
      </c>
      <c r="N308" s="364">
        <v>15.5</v>
      </c>
      <c r="O308" s="363">
        <v>13140</v>
      </c>
      <c r="P308" s="363">
        <v>11103.3</v>
      </c>
      <c r="Q308" s="121">
        <v>2023</v>
      </c>
      <c r="R308" s="121"/>
      <c r="S308" s="148">
        <v>45101</v>
      </c>
      <c r="T308" s="363">
        <f>Таблица18[[#This Row],[Вес нетто]]-Таблица18[[#This Row],[Зачетный вес]]</f>
        <v>2036.7000000000007</v>
      </c>
      <c r="U308" s="365">
        <f>Таблица18[[#This Row],[Отход]]/Таблица18[[#This Row],[Вес нетто]]</f>
        <v>0.15500000000000005</v>
      </c>
      <c r="V308" s="121">
        <f>MONTH(Таблица18[[#This Row],[Дата акта]])</f>
        <v>6</v>
      </c>
      <c r="W308" s="121">
        <v>24</v>
      </c>
      <c r="X308" s="148">
        <f>DATE(1900,Таблица18[[#This Row],[Месяц]],Таблица18[[#This Row],[Число]])</f>
        <v>176</v>
      </c>
      <c r="Y308" s="121"/>
      <c r="Z308" s="121" t="str">
        <f>Таблица18[[#This Row],[Хар-ка]]</f>
        <v>высший</v>
      </c>
      <c r="AD308" s="459"/>
      <c r="AE308" s="391"/>
    </row>
    <row r="309" spans="1:31" s="325" customFormat="1" ht="15.6" hidden="1" customHeight="1" x14ac:dyDescent="0.2">
      <c r="A309" s="360" t="s">
        <v>2147</v>
      </c>
      <c r="B309" s="360" t="s">
        <v>511</v>
      </c>
      <c r="C309" s="361">
        <v>462</v>
      </c>
      <c r="D309" s="362">
        <v>4</v>
      </c>
      <c r="E309" s="360" t="s">
        <v>1737</v>
      </c>
      <c r="F309" s="360" t="s">
        <v>283</v>
      </c>
      <c r="G309" s="360" t="s">
        <v>287</v>
      </c>
      <c r="H309" s="360" t="s">
        <v>2144</v>
      </c>
      <c r="I309" s="360" t="e">
        <f>VLOOKUP(Таблица18[[#This Row],[Номер акта]],$AB$1:$AF$1833,3,FALSE)</f>
        <v>#N/A</v>
      </c>
      <c r="J309" s="360" t="s">
        <v>1755</v>
      </c>
      <c r="K309" s="360" t="s">
        <v>82</v>
      </c>
      <c r="L309" s="363">
        <v>33350</v>
      </c>
      <c r="M309" s="363">
        <v>17920</v>
      </c>
      <c r="N309" s="364">
        <v>13.5</v>
      </c>
      <c r="O309" s="363">
        <v>15430</v>
      </c>
      <c r="P309" s="363">
        <v>13346.9</v>
      </c>
      <c r="Q309" s="121">
        <v>2023</v>
      </c>
      <c r="R309" s="121"/>
      <c r="S309" s="148">
        <v>45101</v>
      </c>
      <c r="T309" s="363">
        <f>Таблица18[[#This Row],[Вес нетто]]-Таблица18[[#This Row],[Зачетный вес]]</f>
        <v>2083.1000000000004</v>
      </c>
      <c r="U309" s="365">
        <f>Таблица18[[#This Row],[Отход]]/Таблица18[[#This Row],[Вес нетто]]</f>
        <v>0.13500324044069995</v>
      </c>
      <c r="V309" s="121">
        <f>MONTH(Таблица18[[#This Row],[Дата акта]])</f>
        <v>6</v>
      </c>
      <c r="W309" s="121">
        <v>24</v>
      </c>
      <c r="X309" s="148">
        <f>DATE(1900,Таблица18[[#This Row],[Месяц]],Таблица18[[#This Row],[Число]])</f>
        <v>176</v>
      </c>
      <c r="Y309" s="121"/>
      <c r="Z309" s="121" t="str">
        <f>Таблица18[[#This Row],[Хар-ка]]</f>
        <v>высший</v>
      </c>
      <c r="AD309" s="459"/>
      <c r="AE309" s="391"/>
    </row>
    <row r="310" spans="1:31" s="325" customFormat="1" ht="15.6" hidden="1" customHeight="1" x14ac:dyDescent="0.2">
      <c r="A310" s="360" t="s">
        <v>2148</v>
      </c>
      <c r="B310" s="360" t="s">
        <v>511</v>
      </c>
      <c r="C310" s="361">
        <v>463</v>
      </c>
      <c r="D310" s="362">
        <v>5</v>
      </c>
      <c r="E310" s="360" t="s">
        <v>1737</v>
      </c>
      <c r="F310" s="360" t="s">
        <v>289</v>
      </c>
      <c r="G310" s="360" t="s">
        <v>293</v>
      </c>
      <c r="H310" s="360" t="s">
        <v>2144</v>
      </c>
      <c r="I310" s="360" t="e">
        <f>VLOOKUP(Таблица18[[#This Row],[Номер акта]],$AB$1:$AF$1833,3,FALSE)</f>
        <v>#N/A</v>
      </c>
      <c r="J310" s="360" t="s">
        <v>1755</v>
      </c>
      <c r="K310" s="360" t="s">
        <v>82</v>
      </c>
      <c r="L310" s="363">
        <v>30450</v>
      </c>
      <c r="M310" s="363">
        <v>17070</v>
      </c>
      <c r="N310" s="364">
        <v>13.5</v>
      </c>
      <c r="O310" s="363">
        <v>13380</v>
      </c>
      <c r="P310" s="363">
        <v>11573.7</v>
      </c>
      <c r="Q310" s="121">
        <v>2023</v>
      </c>
      <c r="R310" s="121"/>
      <c r="S310" s="148">
        <v>45101</v>
      </c>
      <c r="T310" s="363">
        <f>Таблица18[[#This Row],[Вес нетто]]-Таблица18[[#This Row],[Зачетный вес]]</f>
        <v>1806.2999999999993</v>
      </c>
      <c r="U310" s="365">
        <f>Таблица18[[#This Row],[Отход]]/Таблица18[[#This Row],[Вес нетто]]</f>
        <v>0.13499999999999995</v>
      </c>
      <c r="V310" s="121">
        <f>MONTH(Таблица18[[#This Row],[Дата акта]])</f>
        <v>6</v>
      </c>
      <c r="W310" s="121">
        <v>24</v>
      </c>
      <c r="X310" s="148">
        <f>DATE(1900,Таблица18[[#This Row],[Месяц]],Таблица18[[#This Row],[Число]])</f>
        <v>176</v>
      </c>
      <c r="Y310" s="121"/>
      <c r="Z310" s="121" t="str">
        <f>Таблица18[[#This Row],[Хар-ка]]</f>
        <v>высший</v>
      </c>
      <c r="AD310" s="459"/>
      <c r="AE310" s="391"/>
    </row>
    <row r="311" spans="1:31" s="325" customFormat="1" ht="15.6" hidden="1" customHeight="1" x14ac:dyDescent="0.2">
      <c r="A311" s="360" t="s">
        <v>2149</v>
      </c>
      <c r="B311" s="360" t="s">
        <v>511</v>
      </c>
      <c r="C311" s="361">
        <v>464</v>
      </c>
      <c r="D311" s="362">
        <v>6</v>
      </c>
      <c r="E311" s="360" t="s">
        <v>1737</v>
      </c>
      <c r="F311" s="360" t="s">
        <v>2150</v>
      </c>
      <c r="G311" s="360" t="s">
        <v>2151</v>
      </c>
      <c r="H311" s="360" t="s">
        <v>2144</v>
      </c>
      <c r="I311" s="360" t="e">
        <f>VLOOKUP(Таблица18[[#This Row],[Номер акта]],$AB$1:$AF$1833,3,FALSE)</f>
        <v>#N/A</v>
      </c>
      <c r="J311" s="360" t="s">
        <v>1755</v>
      </c>
      <c r="K311" s="360" t="s">
        <v>82</v>
      </c>
      <c r="L311" s="363">
        <v>28580</v>
      </c>
      <c r="M311" s="363">
        <v>15380</v>
      </c>
      <c r="N311" s="364">
        <v>17.5</v>
      </c>
      <c r="O311" s="363">
        <v>13200</v>
      </c>
      <c r="P311" s="363">
        <v>10890</v>
      </c>
      <c r="Q311" s="121">
        <v>2023</v>
      </c>
      <c r="R311" s="121"/>
      <c r="S311" s="148">
        <v>45101</v>
      </c>
      <c r="T311" s="363">
        <f>Таблица18[[#This Row],[Вес нетто]]-Таблица18[[#This Row],[Зачетный вес]]</f>
        <v>2310</v>
      </c>
      <c r="U311" s="365">
        <f>Таблица18[[#This Row],[Отход]]/Таблица18[[#This Row],[Вес нетто]]</f>
        <v>0.17499999999999999</v>
      </c>
      <c r="V311" s="121">
        <f>MONTH(Таблица18[[#This Row],[Дата акта]])</f>
        <v>6</v>
      </c>
      <c r="W311" s="121">
        <v>24</v>
      </c>
      <c r="X311" s="148">
        <f>DATE(1900,Таблица18[[#This Row],[Месяц]],Таблица18[[#This Row],[Число]])</f>
        <v>176</v>
      </c>
      <c r="Y311" s="121"/>
      <c r="Z311" s="121" t="str">
        <f>Таблица18[[#This Row],[Хар-ка]]</f>
        <v>высший</v>
      </c>
      <c r="AD311" s="459"/>
      <c r="AE311" s="391"/>
    </row>
    <row r="312" spans="1:31" s="325" customFormat="1" ht="15.6" hidden="1" customHeight="1" x14ac:dyDescent="0.2">
      <c r="A312" s="360" t="s">
        <v>2152</v>
      </c>
      <c r="B312" s="360" t="s">
        <v>511</v>
      </c>
      <c r="C312" s="361">
        <v>465</v>
      </c>
      <c r="D312" s="362">
        <v>8</v>
      </c>
      <c r="E312" s="360" t="s">
        <v>1167</v>
      </c>
      <c r="F312" s="360" t="s">
        <v>1850</v>
      </c>
      <c r="G312" s="360" t="s">
        <v>333</v>
      </c>
      <c r="H312" s="360" t="s">
        <v>2144</v>
      </c>
      <c r="I312" s="360" t="e">
        <f>VLOOKUP(Таблица18[[#This Row],[Номер акта]],$AB$1:$AF$1833,3,FALSE)</f>
        <v>#N/A</v>
      </c>
      <c r="J312" s="360" t="s">
        <v>1755</v>
      </c>
      <c r="K312" s="360" t="s">
        <v>82</v>
      </c>
      <c r="L312" s="363">
        <v>28340</v>
      </c>
      <c r="M312" s="363">
        <v>14950</v>
      </c>
      <c r="N312" s="364">
        <v>15.5</v>
      </c>
      <c r="O312" s="363">
        <v>13390</v>
      </c>
      <c r="P312" s="363">
        <v>11314.5</v>
      </c>
      <c r="Q312" s="121">
        <v>2023</v>
      </c>
      <c r="R312" s="121"/>
      <c r="S312" s="148">
        <v>45101</v>
      </c>
      <c r="T312" s="363">
        <f>Таблица18[[#This Row],[Вес нетто]]-Таблица18[[#This Row],[Зачетный вес]]</f>
        <v>2075.5</v>
      </c>
      <c r="U312" s="365">
        <f>Таблица18[[#This Row],[Отход]]/Таблица18[[#This Row],[Вес нетто]]</f>
        <v>0.15500373412994772</v>
      </c>
      <c r="V312" s="121">
        <f>MONTH(Таблица18[[#This Row],[Дата акта]])</f>
        <v>6</v>
      </c>
      <c r="W312" s="121">
        <v>24</v>
      </c>
      <c r="X312" s="148">
        <f>DATE(1900,Таблица18[[#This Row],[Месяц]],Таблица18[[#This Row],[Число]])</f>
        <v>176</v>
      </c>
      <c r="Y312" s="121"/>
      <c r="Z312" s="121" t="str">
        <f>Таблица18[[#This Row],[Хар-ка]]</f>
        <v>высший</v>
      </c>
      <c r="AD312" s="459"/>
      <c r="AE312" s="391"/>
    </row>
    <row r="313" spans="1:31" s="325" customFormat="1" ht="15.6" hidden="1" customHeight="1" x14ac:dyDescent="0.2">
      <c r="A313" s="360" t="s">
        <v>2153</v>
      </c>
      <c r="B313" s="360" t="s">
        <v>511</v>
      </c>
      <c r="C313" s="361">
        <v>466</v>
      </c>
      <c r="D313" s="362">
        <v>7</v>
      </c>
      <c r="E313" s="360" t="s">
        <v>1737</v>
      </c>
      <c r="F313" s="360" t="s">
        <v>195</v>
      </c>
      <c r="G313" s="360" t="s">
        <v>199</v>
      </c>
      <c r="H313" s="360" t="s">
        <v>2144</v>
      </c>
      <c r="I313" s="360" t="e">
        <f>VLOOKUP(Таблица18[[#This Row],[Номер акта]],$AB$1:$AF$1833,3,FALSE)</f>
        <v>#N/A</v>
      </c>
      <c r="J313" s="360" t="s">
        <v>1755</v>
      </c>
      <c r="K313" s="360" t="s">
        <v>82</v>
      </c>
      <c r="L313" s="363">
        <v>28910</v>
      </c>
      <c r="M313" s="363">
        <v>15210</v>
      </c>
      <c r="N313" s="364">
        <v>15.5</v>
      </c>
      <c r="O313" s="363">
        <v>13700</v>
      </c>
      <c r="P313" s="363">
        <v>11576.5</v>
      </c>
      <c r="Q313" s="121">
        <v>2023</v>
      </c>
      <c r="R313" s="121"/>
      <c r="S313" s="148">
        <v>45101</v>
      </c>
      <c r="T313" s="363">
        <f>Таблица18[[#This Row],[Вес нетто]]-Таблица18[[#This Row],[Зачетный вес]]</f>
        <v>2123.5</v>
      </c>
      <c r="U313" s="365">
        <f>Таблица18[[#This Row],[Отход]]/Таблица18[[#This Row],[Вес нетто]]</f>
        <v>0.155</v>
      </c>
      <c r="V313" s="121">
        <f>MONTH(Таблица18[[#This Row],[Дата акта]])</f>
        <v>6</v>
      </c>
      <c r="W313" s="121">
        <v>24</v>
      </c>
      <c r="X313" s="148">
        <f>DATE(1900,Таблица18[[#This Row],[Месяц]],Таблица18[[#This Row],[Число]])</f>
        <v>176</v>
      </c>
      <c r="Y313" s="121"/>
      <c r="Z313" s="121" t="str">
        <f>Таблица18[[#This Row],[Хар-ка]]</f>
        <v>высший</v>
      </c>
      <c r="AD313" s="459"/>
      <c r="AE313" s="391"/>
    </row>
    <row r="314" spans="1:31" s="325" customFormat="1" ht="15.6" hidden="1" customHeight="1" x14ac:dyDescent="0.2">
      <c r="A314" s="360" t="s">
        <v>2154</v>
      </c>
      <c r="B314" s="360" t="s">
        <v>511</v>
      </c>
      <c r="C314" s="361">
        <v>467</v>
      </c>
      <c r="D314" s="362">
        <v>9</v>
      </c>
      <c r="E314" s="360" t="s">
        <v>1737</v>
      </c>
      <c r="F314" s="360" t="s">
        <v>2155</v>
      </c>
      <c r="G314" s="360" t="s">
        <v>320</v>
      </c>
      <c r="H314" s="360" t="s">
        <v>2144</v>
      </c>
      <c r="I314" s="360" t="e">
        <f>VLOOKUP(Таблица18[[#This Row],[Номер акта]],$AB$1:$AF$1833,3,FALSE)</f>
        <v>#N/A</v>
      </c>
      <c r="J314" s="360" t="s">
        <v>1755</v>
      </c>
      <c r="K314" s="360" t="s">
        <v>82</v>
      </c>
      <c r="L314" s="363">
        <v>28170</v>
      </c>
      <c r="M314" s="363">
        <v>14310</v>
      </c>
      <c r="N314" s="364">
        <v>12.5</v>
      </c>
      <c r="O314" s="363">
        <v>13860</v>
      </c>
      <c r="P314" s="363">
        <v>12127.5</v>
      </c>
      <c r="Q314" s="121">
        <v>2023</v>
      </c>
      <c r="R314" s="121"/>
      <c r="S314" s="148">
        <v>45101</v>
      </c>
      <c r="T314" s="363">
        <f>Таблица18[[#This Row],[Вес нетто]]-Таблица18[[#This Row],[Зачетный вес]]</f>
        <v>1732.5</v>
      </c>
      <c r="U314" s="365">
        <f>Таблица18[[#This Row],[Отход]]/Таблица18[[#This Row],[Вес нетто]]</f>
        <v>0.125</v>
      </c>
      <c r="V314" s="121">
        <f>MONTH(Таблица18[[#This Row],[Дата акта]])</f>
        <v>6</v>
      </c>
      <c r="W314" s="121">
        <v>24</v>
      </c>
      <c r="X314" s="148">
        <f>DATE(1900,Таблица18[[#This Row],[Месяц]],Таблица18[[#This Row],[Число]])</f>
        <v>176</v>
      </c>
      <c r="Y314" s="121"/>
      <c r="Z314" s="121" t="str">
        <f>Таблица18[[#This Row],[Хар-ка]]</f>
        <v>высший</v>
      </c>
      <c r="AD314" s="459"/>
      <c r="AE314" s="391"/>
    </row>
    <row r="315" spans="1:31" s="325" customFormat="1" ht="15.6" hidden="1" customHeight="1" x14ac:dyDescent="0.2">
      <c r="A315" s="360" t="s">
        <v>2156</v>
      </c>
      <c r="B315" s="360" t="s">
        <v>511</v>
      </c>
      <c r="C315" s="361">
        <v>468</v>
      </c>
      <c r="D315" s="362">
        <v>10</v>
      </c>
      <c r="E315" s="360" t="s">
        <v>1737</v>
      </c>
      <c r="F315" s="360" t="s">
        <v>1794</v>
      </c>
      <c r="G315" s="360" t="s">
        <v>1795</v>
      </c>
      <c r="H315" s="360" t="s">
        <v>2144</v>
      </c>
      <c r="I315" s="360" t="e">
        <f>VLOOKUP(Таблица18[[#This Row],[Номер акта]],$AB$1:$AF$1833,3,FALSE)</f>
        <v>#N/A</v>
      </c>
      <c r="J315" s="360" t="s">
        <v>1755</v>
      </c>
      <c r="K315" s="360" t="s">
        <v>82</v>
      </c>
      <c r="L315" s="363">
        <v>27290</v>
      </c>
      <c r="M315" s="363">
        <v>13250</v>
      </c>
      <c r="N315" s="364">
        <v>14</v>
      </c>
      <c r="O315" s="363">
        <v>14040</v>
      </c>
      <c r="P315" s="363">
        <v>12074.4</v>
      </c>
      <c r="Q315" s="121">
        <v>2023</v>
      </c>
      <c r="R315" s="121"/>
      <c r="S315" s="148">
        <v>45101</v>
      </c>
      <c r="T315" s="363">
        <f>Таблица18[[#This Row],[Вес нетто]]-Таблица18[[#This Row],[Зачетный вес]]</f>
        <v>1965.6000000000004</v>
      </c>
      <c r="U315" s="365">
        <f>Таблица18[[#This Row],[Отход]]/Таблица18[[#This Row],[Вес нетто]]</f>
        <v>0.14000000000000001</v>
      </c>
      <c r="V315" s="121">
        <f>MONTH(Таблица18[[#This Row],[Дата акта]])</f>
        <v>6</v>
      </c>
      <c r="W315" s="121">
        <v>24</v>
      </c>
      <c r="X315" s="148">
        <f>DATE(1900,Таблица18[[#This Row],[Месяц]],Таблица18[[#This Row],[Число]])</f>
        <v>176</v>
      </c>
      <c r="Y315" s="121"/>
      <c r="Z315" s="121" t="str">
        <f>Таблица18[[#This Row],[Хар-ка]]</f>
        <v>высший</v>
      </c>
      <c r="AD315" s="459"/>
      <c r="AE315" s="391"/>
    </row>
    <row r="316" spans="1:31" s="325" customFormat="1" ht="15.6" hidden="1" customHeight="1" x14ac:dyDescent="0.2">
      <c r="A316" s="360" t="s">
        <v>2157</v>
      </c>
      <c r="B316" s="360" t="s">
        <v>511</v>
      </c>
      <c r="C316" s="361">
        <v>469</v>
      </c>
      <c r="D316" s="362">
        <v>11</v>
      </c>
      <c r="E316" s="360" t="s">
        <v>1737</v>
      </c>
      <c r="F316" s="360" t="s">
        <v>2158</v>
      </c>
      <c r="G316" s="360" t="s">
        <v>299</v>
      </c>
      <c r="H316" s="360" t="s">
        <v>2144</v>
      </c>
      <c r="I316" s="360" t="e">
        <f>VLOOKUP(Таблица18[[#This Row],[Номер акта]],$AB$1:$AF$1833,3,FALSE)</f>
        <v>#N/A</v>
      </c>
      <c r="J316" s="360" t="s">
        <v>1755</v>
      </c>
      <c r="K316" s="360" t="s">
        <v>82</v>
      </c>
      <c r="L316" s="363">
        <v>33710</v>
      </c>
      <c r="M316" s="363">
        <v>17460</v>
      </c>
      <c r="N316" s="364">
        <v>12.5</v>
      </c>
      <c r="O316" s="363">
        <v>16250</v>
      </c>
      <c r="P316" s="363">
        <v>14218.7</v>
      </c>
      <c r="Q316" s="121">
        <v>2023</v>
      </c>
      <c r="R316" s="121"/>
      <c r="S316" s="148">
        <v>45101</v>
      </c>
      <c r="T316" s="363">
        <f>Таблица18[[#This Row],[Вес нетто]]-Таблица18[[#This Row],[Зачетный вес]]</f>
        <v>2031.2999999999993</v>
      </c>
      <c r="U316" s="365">
        <f>Таблица18[[#This Row],[Отход]]/Таблица18[[#This Row],[Вес нетто]]</f>
        <v>0.12500307692307688</v>
      </c>
      <c r="V316" s="121">
        <f>MONTH(Таблица18[[#This Row],[Дата акта]])</f>
        <v>6</v>
      </c>
      <c r="W316" s="121">
        <v>24</v>
      </c>
      <c r="X316" s="148">
        <f>DATE(1900,Таблица18[[#This Row],[Месяц]],Таблица18[[#This Row],[Число]])</f>
        <v>176</v>
      </c>
      <c r="Y316" s="121"/>
      <c r="Z316" s="121" t="str">
        <f>Таблица18[[#This Row],[Хар-ка]]</f>
        <v>высший</v>
      </c>
      <c r="AD316" s="459"/>
      <c r="AE316" s="391"/>
    </row>
    <row r="317" spans="1:31" s="325" customFormat="1" ht="15.6" hidden="1" customHeight="1" x14ac:dyDescent="0.2">
      <c r="A317" s="360" t="s">
        <v>2159</v>
      </c>
      <c r="B317" s="360" t="s">
        <v>511</v>
      </c>
      <c r="C317" s="361">
        <v>470</v>
      </c>
      <c r="D317" s="362">
        <v>12</v>
      </c>
      <c r="E317" s="360" t="s">
        <v>1737</v>
      </c>
      <c r="F317" s="360" t="s">
        <v>311</v>
      </c>
      <c r="G317" s="360" t="s">
        <v>315</v>
      </c>
      <c r="H317" s="360" t="s">
        <v>2144</v>
      </c>
      <c r="I317" s="360" t="e">
        <f>VLOOKUP(Таблица18[[#This Row],[Номер акта]],$AB$1:$AF$1833,3,FALSE)</f>
        <v>#N/A</v>
      </c>
      <c r="J317" s="360" t="s">
        <v>1755</v>
      </c>
      <c r="K317" s="360" t="s">
        <v>82</v>
      </c>
      <c r="L317" s="363">
        <v>29190</v>
      </c>
      <c r="M317" s="363">
        <v>15160</v>
      </c>
      <c r="N317" s="364">
        <v>11.5</v>
      </c>
      <c r="O317" s="363">
        <v>14030</v>
      </c>
      <c r="P317" s="363">
        <v>12416.5</v>
      </c>
      <c r="Q317" s="121">
        <v>2023</v>
      </c>
      <c r="R317" s="121"/>
      <c r="S317" s="148">
        <v>45101</v>
      </c>
      <c r="T317" s="363">
        <f>Таблица18[[#This Row],[Вес нетто]]-Таблица18[[#This Row],[Зачетный вес]]</f>
        <v>1613.5</v>
      </c>
      <c r="U317" s="365">
        <f>Таблица18[[#This Row],[Отход]]/Таблица18[[#This Row],[Вес нетто]]</f>
        <v>0.11500356379187456</v>
      </c>
      <c r="V317" s="121">
        <f>MONTH(Таблица18[[#This Row],[Дата акта]])</f>
        <v>6</v>
      </c>
      <c r="W317" s="121">
        <v>24</v>
      </c>
      <c r="X317" s="148">
        <f>DATE(1900,Таблица18[[#This Row],[Месяц]],Таблица18[[#This Row],[Число]])</f>
        <v>176</v>
      </c>
      <c r="Y317" s="121"/>
      <c r="Z317" s="121" t="str">
        <f>Таблица18[[#This Row],[Хар-ка]]</f>
        <v>высший</v>
      </c>
      <c r="AD317" s="459"/>
      <c r="AE317" s="391"/>
    </row>
    <row r="318" spans="1:31" s="325" customFormat="1" ht="15.6" hidden="1" customHeight="1" x14ac:dyDescent="0.2">
      <c r="A318" s="360" t="s">
        <v>2160</v>
      </c>
      <c r="B318" s="360" t="s">
        <v>511</v>
      </c>
      <c r="C318" s="361">
        <v>471</v>
      </c>
      <c r="D318" s="362">
        <v>13</v>
      </c>
      <c r="E318" s="360" t="s">
        <v>1167</v>
      </c>
      <c r="F318" s="360" t="s">
        <v>1804</v>
      </c>
      <c r="G318" s="360" t="s">
        <v>536</v>
      </c>
      <c r="H318" s="360" t="s">
        <v>2144</v>
      </c>
      <c r="I318" s="360" t="e">
        <f>VLOOKUP(Таблица18[[#This Row],[Номер акта]],$AB$1:$AF$1833,3,FALSE)</f>
        <v>#N/A</v>
      </c>
      <c r="J318" s="360" t="s">
        <v>1755</v>
      </c>
      <c r="K318" s="360" t="s">
        <v>82</v>
      </c>
      <c r="L318" s="363">
        <v>28500</v>
      </c>
      <c r="M318" s="363">
        <v>14530</v>
      </c>
      <c r="N318" s="364">
        <v>10.5</v>
      </c>
      <c r="O318" s="363">
        <v>13970</v>
      </c>
      <c r="P318" s="363">
        <v>12503.1</v>
      </c>
      <c r="Q318" s="121">
        <v>2023</v>
      </c>
      <c r="R318" s="121"/>
      <c r="S318" s="148">
        <v>45101</v>
      </c>
      <c r="T318" s="363">
        <f>Таблица18[[#This Row],[Вес нетто]]-Таблица18[[#This Row],[Зачетный вес]]</f>
        <v>1466.8999999999996</v>
      </c>
      <c r="U318" s="365">
        <f>Таблица18[[#This Row],[Отход]]/Таблица18[[#This Row],[Вес нетто]]</f>
        <v>0.10500357909806726</v>
      </c>
      <c r="V318" s="121">
        <f>MONTH(Таблица18[[#This Row],[Дата акта]])</f>
        <v>6</v>
      </c>
      <c r="W318" s="121">
        <v>24</v>
      </c>
      <c r="X318" s="148">
        <f>DATE(1900,Таблица18[[#This Row],[Месяц]],Таблица18[[#This Row],[Число]])</f>
        <v>176</v>
      </c>
      <c r="Y318" s="121"/>
      <c r="Z318" s="121" t="str">
        <f>Таблица18[[#This Row],[Хар-ка]]</f>
        <v>высший</v>
      </c>
      <c r="AD318" s="459"/>
      <c r="AE318" s="391"/>
    </row>
    <row r="319" spans="1:31" s="325" customFormat="1" ht="15.6" hidden="1" customHeight="1" x14ac:dyDescent="0.2">
      <c r="A319" s="360" t="s">
        <v>2161</v>
      </c>
      <c r="B319" s="360" t="s">
        <v>511</v>
      </c>
      <c r="C319" s="361">
        <v>472</v>
      </c>
      <c r="D319" s="362">
        <v>14</v>
      </c>
      <c r="E319" s="360" t="s">
        <v>1167</v>
      </c>
      <c r="F319" s="360" t="s">
        <v>1935</v>
      </c>
      <c r="G319" s="360" t="s">
        <v>1813</v>
      </c>
      <c r="H319" s="360" t="s">
        <v>2144</v>
      </c>
      <c r="I319" s="360" t="e">
        <f>VLOOKUP(Таблица18[[#This Row],[Номер акта]],$AB$1:$AF$1833,3,FALSE)</f>
        <v>#N/A</v>
      </c>
      <c r="J319" s="360" t="s">
        <v>1755</v>
      </c>
      <c r="K319" s="360" t="s">
        <v>82</v>
      </c>
      <c r="L319" s="363">
        <v>28490</v>
      </c>
      <c r="M319" s="363">
        <v>14400</v>
      </c>
      <c r="N319" s="364">
        <v>9.5</v>
      </c>
      <c r="O319" s="363">
        <v>14090</v>
      </c>
      <c r="P319" s="363">
        <v>12751.4</v>
      </c>
      <c r="Q319" s="121">
        <v>2023</v>
      </c>
      <c r="R319" s="121"/>
      <c r="S319" s="148">
        <v>45101</v>
      </c>
      <c r="T319" s="363">
        <f>Таблица18[[#This Row],[Вес нетто]]-Таблица18[[#This Row],[Зачетный вес]]</f>
        <v>1338.6000000000004</v>
      </c>
      <c r="U319" s="365">
        <f>Таблица18[[#This Row],[Отход]]/Таблица18[[#This Row],[Вес нетто]]</f>
        <v>9.5003548616039768E-2</v>
      </c>
      <c r="V319" s="121">
        <f>MONTH(Таблица18[[#This Row],[Дата акта]])</f>
        <v>6</v>
      </c>
      <c r="W319" s="121">
        <v>24</v>
      </c>
      <c r="X319" s="148">
        <f>DATE(1900,Таблица18[[#This Row],[Месяц]],Таблица18[[#This Row],[Число]])</f>
        <v>176</v>
      </c>
      <c r="Y319" s="121"/>
      <c r="Z319" s="121" t="str">
        <f>Таблица18[[#This Row],[Хар-ка]]</f>
        <v>высший</v>
      </c>
      <c r="AD319" s="459"/>
      <c r="AE319" s="391"/>
    </row>
    <row r="320" spans="1:31" s="325" customFormat="1" ht="15.6" hidden="1" customHeight="1" x14ac:dyDescent="0.2">
      <c r="A320" s="360" t="s">
        <v>2162</v>
      </c>
      <c r="B320" s="360" t="s">
        <v>511</v>
      </c>
      <c r="C320" s="361">
        <v>473</v>
      </c>
      <c r="D320" s="362">
        <v>15</v>
      </c>
      <c r="E320" s="360" t="s">
        <v>1737</v>
      </c>
      <c r="F320" s="360" t="s">
        <v>283</v>
      </c>
      <c r="G320" s="360" t="s">
        <v>287</v>
      </c>
      <c r="H320" s="360" t="s">
        <v>2144</v>
      </c>
      <c r="I320" s="360" t="e">
        <f>VLOOKUP(Таблица18[[#This Row],[Номер акта]],$AB$1:$AF$1833,3,FALSE)</f>
        <v>#N/A</v>
      </c>
      <c r="J320" s="360" t="s">
        <v>1755</v>
      </c>
      <c r="K320" s="360" t="s">
        <v>82</v>
      </c>
      <c r="L320" s="363">
        <v>34290</v>
      </c>
      <c r="M320" s="363">
        <v>17820</v>
      </c>
      <c r="N320" s="364">
        <v>9.5</v>
      </c>
      <c r="O320" s="363">
        <v>16470</v>
      </c>
      <c r="P320" s="363">
        <v>14905.3</v>
      </c>
      <c r="Q320" s="121">
        <v>2023</v>
      </c>
      <c r="R320" s="121"/>
      <c r="S320" s="148">
        <v>45101</v>
      </c>
      <c r="T320" s="363">
        <f>Таблица18[[#This Row],[Вес нетто]]-Таблица18[[#This Row],[Зачетный вес]]</f>
        <v>1564.7000000000007</v>
      </c>
      <c r="U320" s="365">
        <f>Таблица18[[#This Row],[Отход]]/Таблица18[[#This Row],[Вес нетто]]</f>
        <v>9.5003035822707999E-2</v>
      </c>
      <c r="V320" s="121">
        <f>MONTH(Таблица18[[#This Row],[Дата акта]])</f>
        <v>6</v>
      </c>
      <c r="W320" s="121">
        <v>24</v>
      </c>
      <c r="X320" s="148">
        <f>DATE(1900,Таблица18[[#This Row],[Месяц]],Таблица18[[#This Row],[Число]])</f>
        <v>176</v>
      </c>
      <c r="Y320" s="121"/>
      <c r="Z320" s="121" t="str">
        <f>Таблица18[[#This Row],[Хар-ка]]</f>
        <v>высший</v>
      </c>
      <c r="AD320" s="459"/>
      <c r="AE320" s="391"/>
    </row>
    <row r="321" spans="1:31" s="325" customFormat="1" ht="15.6" hidden="1" customHeight="1" x14ac:dyDescent="0.2">
      <c r="A321" s="360" t="s">
        <v>2163</v>
      </c>
      <c r="B321" s="360" t="s">
        <v>511</v>
      </c>
      <c r="C321" s="361">
        <v>474</v>
      </c>
      <c r="D321" s="362">
        <v>16</v>
      </c>
      <c r="E321" s="360" t="s">
        <v>1737</v>
      </c>
      <c r="F321" s="360" t="s">
        <v>289</v>
      </c>
      <c r="G321" s="360" t="s">
        <v>293</v>
      </c>
      <c r="H321" s="360" t="s">
        <v>2144</v>
      </c>
      <c r="I321" s="360" t="e">
        <f>VLOOKUP(Таблица18[[#This Row],[Номер акта]],$AB$1:$AF$1833,3,FALSE)</f>
        <v>#N/A</v>
      </c>
      <c r="J321" s="360" t="s">
        <v>1755</v>
      </c>
      <c r="K321" s="360" t="s">
        <v>82</v>
      </c>
      <c r="L321" s="363">
        <v>32840</v>
      </c>
      <c r="M321" s="363">
        <v>16970</v>
      </c>
      <c r="N321" s="364">
        <v>10.5</v>
      </c>
      <c r="O321" s="363">
        <v>15870</v>
      </c>
      <c r="P321" s="363">
        <v>14203.6</v>
      </c>
      <c r="Q321" s="121">
        <v>2023</v>
      </c>
      <c r="R321" s="121"/>
      <c r="S321" s="148">
        <v>45102</v>
      </c>
      <c r="T321" s="363">
        <f>Таблица18[[#This Row],[Вес нетто]]-Таблица18[[#This Row],[Зачетный вес]]</f>
        <v>1666.3999999999996</v>
      </c>
      <c r="U321" s="365">
        <f>Таблица18[[#This Row],[Отход]]/Таблица18[[#This Row],[Вес нетто]]</f>
        <v>0.10500315059861372</v>
      </c>
      <c r="V321" s="121">
        <f>MONTH(Таблица18[[#This Row],[Дата акта]])</f>
        <v>6</v>
      </c>
      <c r="W321" s="121">
        <v>25</v>
      </c>
      <c r="X321" s="148">
        <f>DATE(1900,Таблица18[[#This Row],[Месяц]],Таблица18[[#This Row],[Число]])</f>
        <v>177</v>
      </c>
      <c r="Y321" s="121"/>
      <c r="Z321" s="121" t="str">
        <f>Таблица18[[#This Row],[Хар-ка]]</f>
        <v>высший</v>
      </c>
      <c r="AD321" s="459"/>
      <c r="AE321" s="391"/>
    </row>
    <row r="322" spans="1:31" s="325" customFormat="1" ht="15.6" hidden="1" customHeight="1" x14ac:dyDescent="0.2">
      <c r="A322" s="360" t="s">
        <v>2164</v>
      </c>
      <c r="B322" s="360" t="s">
        <v>511</v>
      </c>
      <c r="C322" s="361">
        <v>475</v>
      </c>
      <c r="D322" s="362">
        <v>17</v>
      </c>
      <c r="E322" s="360" t="s">
        <v>1737</v>
      </c>
      <c r="F322" s="360" t="s">
        <v>212</v>
      </c>
      <c r="G322" s="360" t="s">
        <v>216</v>
      </c>
      <c r="H322" s="360" t="s">
        <v>2144</v>
      </c>
      <c r="I322" s="360" t="e">
        <f>VLOOKUP(Таблица18[[#This Row],[Номер акта]],$AB$1:$AF$1833,3,FALSE)</f>
        <v>#N/A</v>
      </c>
      <c r="J322" s="360" t="s">
        <v>1755</v>
      </c>
      <c r="K322" s="360" t="s">
        <v>82</v>
      </c>
      <c r="L322" s="363">
        <v>29710</v>
      </c>
      <c r="M322" s="363">
        <v>13930</v>
      </c>
      <c r="N322" s="364">
        <v>8.5</v>
      </c>
      <c r="O322" s="363">
        <v>15780</v>
      </c>
      <c r="P322" s="363">
        <v>14438.7</v>
      </c>
      <c r="Q322" s="121">
        <v>2023</v>
      </c>
      <c r="R322" s="121"/>
      <c r="S322" s="148">
        <v>45102</v>
      </c>
      <c r="T322" s="363">
        <f>Таблица18[[#This Row],[Вес нетто]]-Таблица18[[#This Row],[Зачетный вес]]</f>
        <v>1341.2999999999993</v>
      </c>
      <c r="U322" s="365">
        <f>Таблица18[[#This Row],[Отход]]/Таблица18[[#This Row],[Вес нетто]]</f>
        <v>8.4999999999999951E-2</v>
      </c>
      <c r="V322" s="121">
        <f>MONTH(Таблица18[[#This Row],[Дата акта]])</f>
        <v>6</v>
      </c>
      <c r="W322" s="121">
        <v>25</v>
      </c>
      <c r="X322" s="148">
        <f>DATE(1900,Таблица18[[#This Row],[Месяц]],Таблица18[[#This Row],[Число]])</f>
        <v>177</v>
      </c>
      <c r="Y322" s="121"/>
      <c r="Z322" s="121" t="str">
        <f>Таблица18[[#This Row],[Хар-ка]]</f>
        <v>высший</v>
      </c>
      <c r="AD322" s="459"/>
      <c r="AE322" s="391"/>
    </row>
    <row r="323" spans="1:31" s="325" customFormat="1" ht="15.6" hidden="1" customHeight="1" x14ac:dyDescent="0.2">
      <c r="A323" s="360" t="s">
        <v>2165</v>
      </c>
      <c r="B323" s="360" t="s">
        <v>511</v>
      </c>
      <c r="C323" s="361">
        <v>477</v>
      </c>
      <c r="D323" s="362">
        <v>18</v>
      </c>
      <c r="E323" s="360" t="s">
        <v>1737</v>
      </c>
      <c r="F323" s="360" t="s">
        <v>1843</v>
      </c>
      <c r="G323" s="360" t="s">
        <v>119</v>
      </c>
      <c r="H323" s="360" t="s">
        <v>2144</v>
      </c>
      <c r="I323" s="360" t="e">
        <f>VLOOKUP(Таблица18[[#This Row],[Номер акта]],$AB$1:$AF$1833,3,FALSE)</f>
        <v>#N/A</v>
      </c>
      <c r="J323" s="360" t="s">
        <v>1755</v>
      </c>
      <c r="K323" s="360" t="s">
        <v>82</v>
      </c>
      <c r="L323" s="363">
        <v>39000</v>
      </c>
      <c r="M323" s="363">
        <v>20770</v>
      </c>
      <c r="N323" s="364">
        <v>13.5</v>
      </c>
      <c r="O323" s="363">
        <v>18230</v>
      </c>
      <c r="P323" s="363">
        <v>15768.9</v>
      </c>
      <c r="Q323" s="121">
        <v>2023</v>
      </c>
      <c r="R323" s="121"/>
      <c r="S323" s="148">
        <v>45102</v>
      </c>
      <c r="T323" s="363">
        <f>Таблица18[[#This Row],[Вес нетто]]-Таблица18[[#This Row],[Зачетный вес]]</f>
        <v>2461.1000000000004</v>
      </c>
      <c r="U323" s="365">
        <f>Таблица18[[#This Row],[Отход]]/Таблица18[[#This Row],[Вес нетто]]</f>
        <v>0.13500274273176086</v>
      </c>
      <c r="V323" s="121">
        <f>MONTH(Таблица18[[#This Row],[Дата акта]])</f>
        <v>6</v>
      </c>
      <c r="W323" s="121">
        <v>25</v>
      </c>
      <c r="X323" s="148">
        <f>DATE(1900,Таблица18[[#This Row],[Месяц]],Таблица18[[#This Row],[Число]])</f>
        <v>177</v>
      </c>
      <c r="Y323" s="121"/>
      <c r="Z323" s="121" t="str">
        <f>Таблица18[[#This Row],[Хар-ка]]</f>
        <v>высший</v>
      </c>
      <c r="AD323" s="459"/>
      <c r="AE323" s="391"/>
    </row>
    <row r="324" spans="1:31" s="325" customFormat="1" ht="15.6" hidden="1" customHeight="1" x14ac:dyDescent="0.2">
      <c r="A324" s="360" t="s">
        <v>2166</v>
      </c>
      <c r="B324" s="360" t="s">
        <v>511</v>
      </c>
      <c r="C324" s="361">
        <v>478</v>
      </c>
      <c r="D324" s="362">
        <v>19</v>
      </c>
      <c r="E324" s="360" t="s">
        <v>1737</v>
      </c>
      <c r="F324" s="360" t="s">
        <v>2150</v>
      </c>
      <c r="G324" s="360" t="s">
        <v>2151</v>
      </c>
      <c r="H324" s="360" t="s">
        <v>2144</v>
      </c>
      <c r="I324" s="360" t="e">
        <f>VLOOKUP(Таблица18[[#This Row],[Номер акта]],$AB$1:$AF$1833,3,FALSE)</f>
        <v>#N/A</v>
      </c>
      <c r="J324" s="360" t="s">
        <v>1755</v>
      </c>
      <c r="K324" s="360" t="s">
        <v>82</v>
      </c>
      <c r="L324" s="363">
        <v>31060</v>
      </c>
      <c r="M324" s="363">
        <v>15330</v>
      </c>
      <c r="N324" s="364">
        <v>12.5</v>
      </c>
      <c r="O324" s="363">
        <v>15730</v>
      </c>
      <c r="P324" s="363">
        <v>13763.7</v>
      </c>
      <c r="Q324" s="121">
        <v>2023</v>
      </c>
      <c r="R324" s="121"/>
      <c r="S324" s="148">
        <v>45102</v>
      </c>
      <c r="T324" s="363">
        <f>Таблица18[[#This Row],[Вес нетто]]-Таблица18[[#This Row],[Зачетный вес]]</f>
        <v>1966.2999999999993</v>
      </c>
      <c r="U324" s="365">
        <f>Таблица18[[#This Row],[Отход]]/Таблица18[[#This Row],[Вес нетто]]</f>
        <v>0.12500317863954222</v>
      </c>
      <c r="V324" s="121">
        <f>MONTH(Таблица18[[#This Row],[Дата акта]])</f>
        <v>6</v>
      </c>
      <c r="W324" s="121">
        <v>25</v>
      </c>
      <c r="X324" s="148">
        <f>DATE(1900,Таблица18[[#This Row],[Месяц]],Таблица18[[#This Row],[Число]])</f>
        <v>177</v>
      </c>
      <c r="Y324" s="121"/>
      <c r="Z324" s="121" t="str">
        <f>Таблица18[[#This Row],[Хар-ка]]</f>
        <v>высший</v>
      </c>
      <c r="AD324" s="459"/>
      <c r="AE324" s="391"/>
    </row>
    <row r="325" spans="1:31" s="325" customFormat="1" ht="15.6" hidden="1" customHeight="1" x14ac:dyDescent="0.2">
      <c r="A325" s="360" t="s">
        <v>2167</v>
      </c>
      <c r="B325" s="360" t="s">
        <v>511</v>
      </c>
      <c r="C325" s="361">
        <v>479</v>
      </c>
      <c r="D325" s="362">
        <v>20</v>
      </c>
      <c r="E325" s="360" t="s">
        <v>1737</v>
      </c>
      <c r="F325" s="360" t="s">
        <v>1794</v>
      </c>
      <c r="G325" s="360" t="s">
        <v>1795</v>
      </c>
      <c r="H325" s="360" t="s">
        <v>2168</v>
      </c>
      <c r="I325" s="360" t="e">
        <f>VLOOKUP(Таблица18[[#This Row],[Номер акта]],$AB$1:$AF$1833,3,FALSE)</f>
        <v>#N/A</v>
      </c>
      <c r="J325" s="360" t="s">
        <v>1755</v>
      </c>
      <c r="K325" s="360" t="s">
        <v>82</v>
      </c>
      <c r="L325" s="363">
        <v>26650</v>
      </c>
      <c r="M325" s="363">
        <v>13450</v>
      </c>
      <c r="N325" s="364">
        <v>8.5</v>
      </c>
      <c r="O325" s="363">
        <v>13200</v>
      </c>
      <c r="P325" s="363">
        <v>12078</v>
      </c>
      <c r="Q325" s="121">
        <v>2023</v>
      </c>
      <c r="R325" s="121"/>
      <c r="S325" s="148">
        <v>45102</v>
      </c>
      <c r="T325" s="363">
        <f>Таблица18[[#This Row],[Вес нетто]]-Таблица18[[#This Row],[Зачетный вес]]</f>
        <v>1122</v>
      </c>
      <c r="U325" s="365">
        <f>Таблица18[[#This Row],[Отход]]/Таблица18[[#This Row],[Вес нетто]]</f>
        <v>8.5000000000000006E-2</v>
      </c>
      <c r="V325" s="121">
        <f>MONTH(Таблица18[[#This Row],[Дата акта]])</f>
        <v>6</v>
      </c>
      <c r="W325" s="121">
        <v>25</v>
      </c>
      <c r="X325" s="148">
        <f>DATE(1900,Таблица18[[#This Row],[Месяц]],Таблица18[[#This Row],[Число]])</f>
        <v>177</v>
      </c>
      <c r="Y325" s="121"/>
      <c r="Z325" s="121" t="str">
        <f>Таблица18[[#This Row],[Хар-ка]]</f>
        <v>высший</v>
      </c>
      <c r="AD325" s="459"/>
      <c r="AE325" s="391"/>
    </row>
    <row r="326" spans="1:31" s="325" customFormat="1" ht="15.6" hidden="1" customHeight="1" x14ac:dyDescent="0.2">
      <c r="A326" s="360" t="s">
        <v>2169</v>
      </c>
      <c r="B326" s="360" t="s">
        <v>511</v>
      </c>
      <c r="C326" s="361">
        <v>480</v>
      </c>
      <c r="D326" s="362">
        <v>21</v>
      </c>
      <c r="E326" s="360" t="s">
        <v>1737</v>
      </c>
      <c r="F326" s="360" t="s">
        <v>195</v>
      </c>
      <c r="G326" s="360" t="s">
        <v>199</v>
      </c>
      <c r="H326" s="360" t="s">
        <v>2168</v>
      </c>
      <c r="I326" s="360" t="e">
        <f>VLOOKUP(Таблица18[[#This Row],[Номер акта]],$AB$1:$AF$1833,3,FALSE)</f>
        <v>#N/A</v>
      </c>
      <c r="J326" s="360" t="s">
        <v>1755</v>
      </c>
      <c r="K326" s="360" t="s">
        <v>82</v>
      </c>
      <c r="L326" s="363">
        <v>30970</v>
      </c>
      <c r="M326" s="363">
        <v>15210</v>
      </c>
      <c r="N326" s="364">
        <v>10.5</v>
      </c>
      <c r="O326" s="363">
        <v>15760</v>
      </c>
      <c r="P326" s="363">
        <v>14105.2</v>
      </c>
      <c r="Q326" s="121">
        <v>2023</v>
      </c>
      <c r="R326" s="121"/>
      <c r="S326" s="148">
        <v>45102</v>
      </c>
      <c r="T326" s="363">
        <f>Таблица18[[#This Row],[Вес нетто]]-Таблица18[[#This Row],[Зачетный вес]]</f>
        <v>1654.7999999999993</v>
      </c>
      <c r="U326" s="365">
        <f>Таблица18[[#This Row],[Отход]]/Таблица18[[#This Row],[Вес нетто]]</f>
        <v>0.10499999999999995</v>
      </c>
      <c r="V326" s="121">
        <f>MONTH(Таблица18[[#This Row],[Дата акта]])</f>
        <v>6</v>
      </c>
      <c r="W326" s="121">
        <v>25</v>
      </c>
      <c r="X326" s="148">
        <f>DATE(1900,Таблица18[[#This Row],[Месяц]],Таблица18[[#This Row],[Число]])</f>
        <v>177</v>
      </c>
      <c r="Y326" s="121"/>
      <c r="Z326" s="121" t="str">
        <f>Таблица18[[#This Row],[Хар-ка]]</f>
        <v>высший</v>
      </c>
      <c r="AD326" s="459"/>
      <c r="AE326" s="391"/>
    </row>
    <row r="327" spans="1:31" s="325" customFormat="1" ht="15.6" hidden="1" customHeight="1" x14ac:dyDescent="0.2">
      <c r="A327" s="360" t="s">
        <v>2170</v>
      </c>
      <c r="B327" s="360" t="s">
        <v>511</v>
      </c>
      <c r="C327" s="361">
        <v>481</v>
      </c>
      <c r="D327" s="362">
        <v>22</v>
      </c>
      <c r="E327" s="360" t="s">
        <v>1737</v>
      </c>
      <c r="F327" s="360" t="s">
        <v>2158</v>
      </c>
      <c r="G327" s="360" t="s">
        <v>299</v>
      </c>
      <c r="H327" s="360" t="s">
        <v>2168</v>
      </c>
      <c r="I327" s="360" t="e">
        <f>VLOOKUP(Таблица18[[#This Row],[Номер акта]],$AB$1:$AF$1833,3,FALSE)</f>
        <v>#N/A</v>
      </c>
      <c r="J327" s="360" t="s">
        <v>1755</v>
      </c>
      <c r="K327" s="360" t="s">
        <v>82</v>
      </c>
      <c r="L327" s="363">
        <v>35480</v>
      </c>
      <c r="M327" s="363">
        <v>17360</v>
      </c>
      <c r="N327" s="364">
        <v>10.5</v>
      </c>
      <c r="O327" s="363">
        <v>18120</v>
      </c>
      <c r="P327" s="363">
        <v>16217.4</v>
      </c>
      <c r="Q327" s="121">
        <v>2023</v>
      </c>
      <c r="R327" s="121"/>
      <c r="S327" s="148">
        <v>45102</v>
      </c>
      <c r="T327" s="363">
        <f>Таблица18[[#This Row],[Вес нетто]]-Таблица18[[#This Row],[Зачетный вес]]</f>
        <v>1902.6000000000004</v>
      </c>
      <c r="U327" s="365">
        <f>Таблица18[[#This Row],[Отход]]/Таблица18[[#This Row],[Вес нетто]]</f>
        <v>0.10500000000000002</v>
      </c>
      <c r="V327" s="121">
        <f>MONTH(Таблица18[[#This Row],[Дата акта]])</f>
        <v>6</v>
      </c>
      <c r="W327" s="121">
        <v>25</v>
      </c>
      <c r="X327" s="148">
        <f>DATE(1900,Таблица18[[#This Row],[Месяц]],Таблица18[[#This Row],[Число]])</f>
        <v>177</v>
      </c>
      <c r="Y327" s="121"/>
      <c r="Z327" s="121" t="str">
        <f>Таблица18[[#This Row],[Хар-ка]]</f>
        <v>высший</v>
      </c>
      <c r="AD327" s="459"/>
      <c r="AE327" s="391"/>
    </row>
    <row r="328" spans="1:31" s="325" customFormat="1" ht="15.6" hidden="1" customHeight="1" x14ac:dyDescent="0.2">
      <c r="A328" s="360" t="s">
        <v>2171</v>
      </c>
      <c r="B328" s="360" t="s">
        <v>511</v>
      </c>
      <c r="C328" s="361">
        <v>483</v>
      </c>
      <c r="D328" s="362">
        <v>23</v>
      </c>
      <c r="E328" s="360" t="s">
        <v>1737</v>
      </c>
      <c r="F328" s="360" t="s">
        <v>2155</v>
      </c>
      <c r="G328" s="360" t="s">
        <v>320</v>
      </c>
      <c r="H328" s="360" t="s">
        <v>2168</v>
      </c>
      <c r="I328" s="360" t="e">
        <f>VLOOKUP(Таблица18[[#This Row],[Номер акта]],$AB$1:$AF$1833,3,FALSE)</f>
        <v>#N/A</v>
      </c>
      <c r="J328" s="360" t="s">
        <v>1755</v>
      </c>
      <c r="K328" s="360" t="s">
        <v>82</v>
      </c>
      <c r="L328" s="363">
        <v>30120</v>
      </c>
      <c r="M328" s="363">
        <v>14300</v>
      </c>
      <c r="N328" s="364">
        <v>9.5</v>
      </c>
      <c r="O328" s="363">
        <v>15820</v>
      </c>
      <c r="P328" s="363">
        <v>14317.1</v>
      </c>
      <c r="Q328" s="121">
        <v>2023</v>
      </c>
      <c r="R328" s="121"/>
      <c r="S328" s="148">
        <v>45102</v>
      </c>
      <c r="T328" s="363">
        <f>Таблица18[[#This Row],[Вес нетто]]-Таблица18[[#This Row],[Зачетный вес]]</f>
        <v>1502.8999999999996</v>
      </c>
      <c r="U328" s="365">
        <f>Таблица18[[#This Row],[Отход]]/Таблица18[[#This Row],[Вес нетто]]</f>
        <v>9.4999999999999973E-2</v>
      </c>
      <c r="V328" s="121">
        <f>MONTH(Таблица18[[#This Row],[Дата акта]])</f>
        <v>6</v>
      </c>
      <c r="W328" s="121">
        <v>25</v>
      </c>
      <c r="X328" s="148">
        <f>DATE(1900,Таблица18[[#This Row],[Месяц]],Таблица18[[#This Row],[Число]])</f>
        <v>177</v>
      </c>
      <c r="Y328" s="121"/>
      <c r="Z328" s="121" t="str">
        <f>Таблица18[[#This Row],[Хар-ка]]</f>
        <v>высший</v>
      </c>
      <c r="AD328" s="459"/>
      <c r="AE328" s="391"/>
    </row>
    <row r="329" spans="1:31" s="325" customFormat="1" ht="15.6" hidden="1" customHeight="1" x14ac:dyDescent="0.2">
      <c r="A329" s="360" t="s">
        <v>2172</v>
      </c>
      <c r="B329" s="360" t="s">
        <v>511</v>
      </c>
      <c r="C329" s="361">
        <v>484</v>
      </c>
      <c r="D329" s="362">
        <v>25</v>
      </c>
      <c r="E329" s="360" t="s">
        <v>1167</v>
      </c>
      <c r="F329" s="360" t="s">
        <v>305</v>
      </c>
      <c r="G329" s="360" t="s">
        <v>309</v>
      </c>
      <c r="H329" s="360" t="s">
        <v>2168</v>
      </c>
      <c r="I329" s="360" t="e">
        <f>VLOOKUP(Таблица18[[#This Row],[Номер акта]],$AB$1:$AF$1833,3,FALSE)</f>
        <v>#N/A</v>
      </c>
      <c r="J329" s="360" t="s">
        <v>1755</v>
      </c>
      <c r="K329" s="360" t="s">
        <v>82</v>
      </c>
      <c r="L329" s="363">
        <v>30570</v>
      </c>
      <c r="M329" s="363">
        <v>14370</v>
      </c>
      <c r="N329" s="364">
        <v>9.5</v>
      </c>
      <c r="O329" s="363">
        <v>16200</v>
      </c>
      <c r="P329" s="363">
        <v>14661</v>
      </c>
      <c r="Q329" s="121">
        <v>2023</v>
      </c>
      <c r="R329" s="121"/>
      <c r="S329" s="148">
        <v>45102</v>
      </c>
      <c r="T329" s="363">
        <f>Таблица18[[#This Row],[Вес нетто]]-Таблица18[[#This Row],[Зачетный вес]]</f>
        <v>1539</v>
      </c>
      <c r="U329" s="365">
        <f>Таблица18[[#This Row],[Отход]]/Таблица18[[#This Row],[Вес нетто]]</f>
        <v>9.5000000000000001E-2</v>
      </c>
      <c r="V329" s="121">
        <f>MONTH(Таблица18[[#This Row],[Дата акта]])</f>
        <v>6</v>
      </c>
      <c r="W329" s="121">
        <v>25</v>
      </c>
      <c r="X329" s="148">
        <f>DATE(1900,Таблица18[[#This Row],[Месяц]],Таблица18[[#This Row],[Число]])</f>
        <v>177</v>
      </c>
      <c r="Y329" s="121"/>
      <c r="Z329" s="121" t="str">
        <f>Таблица18[[#This Row],[Хар-ка]]</f>
        <v>высший</v>
      </c>
      <c r="AD329" s="459"/>
      <c r="AE329" s="391"/>
    </row>
    <row r="330" spans="1:31" s="325" customFormat="1" ht="15.6" hidden="1" customHeight="1" x14ac:dyDescent="0.2">
      <c r="A330" s="360" t="s">
        <v>2173</v>
      </c>
      <c r="B330" s="360" t="s">
        <v>511</v>
      </c>
      <c r="C330" s="361">
        <v>485</v>
      </c>
      <c r="D330" s="362">
        <v>24</v>
      </c>
      <c r="E330" s="360" t="s">
        <v>1737</v>
      </c>
      <c r="F330" s="360" t="s">
        <v>121</v>
      </c>
      <c r="G330" s="360" t="s">
        <v>125</v>
      </c>
      <c r="H330" s="360" t="s">
        <v>2168</v>
      </c>
      <c r="I330" s="360" t="e">
        <f>VLOOKUP(Таблица18[[#This Row],[Номер акта]],$AB$1:$AF$1833,3,FALSE)</f>
        <v>#N/A</v>
      </c>
      <c r="J330" s="360" t="s">
        <v>1755</v>
      </c>
      <c r="K330" s="360" t="s">
        <v>82</v>
      </c>
      <c r="L330" s="363">
        <v>30890</v>
      </c>
      <c r="M330" s="363">
        <v>14540</v>
      </c>
      <c r="N330" s="364">
        <v>9.5</v>
      </c>
      <c r="O330" s="363">
        <v>16350</v>
      </c>
      <c r="P330" s="363">
        <v>14796.7</v>
      </c>
      <c r="Q330" s="121">
        <v>2023</v>
      </c>
      <c r="R330" s="121"/>
      <c r="S330" s="148">
        <v>45102</v>
      </c>
      <c r="T330" s="363">
        <f>Таблица18[[#This Row],[Вес нетто]]-Таблица18[[#This Row],[Зачетный вес]]</f>
        <v>1553.2999999999993</v>
      </c>
      <c r="U330" s="365">
        <f>Таблица18[[#This Row],[Отход]]/Таблица18[[#This Row],[Вес нетто]]</f>
        <v>9.5003058103975496E-2</v>
      </c>
      <c r="V330" s="121">
        <f>MONTH(Таблица18[[#This Row],[Дата акта]])</f>
        <v>6</v>
      </c>
      <c r="W330" s="121">
        <v>25</v>
      </c>
      <c r="X330" s="148">
        <f>DATE(1900,Таблица18[[#This Row],[Месяц]],Таблица18[[#This Row],[Число]])</f>
        <v>177</v>
      </c>
      <c r="Y330" s="121"/>
      <c r="Z330" s="121" t="str">
        <f>Таблица18[[#This Row],[Хар-ка]]</f>
        <v>высший</v>
      </c>
      <c r="AD330" s="459"/>
      <c r="AE330" s="391"/>
    </row>
    <row r="331" spans="1:31" s="325" customFormat="1" ht="15.6" hidden="1" customHeight="1" x14ac:dyDescent="0.2">
      <c r="A331" s="360" t="s">
        <v>2174</v>
      </c>
      <c r="B331" s="360" t="s">
        <v>511</v>
      </c>
      <c r="C331" s="361">
        <v>486</v>
      </c>
      <c r="D331" s="362">
        <v>27</v>
      </c>
      <c r="E331" s="360" t="s">
        <v>1737</v>
      </c>
      <c r="F331" s="360" t="s">
        <v>1843</v>
      </c>
      <c r="G331" s="360" t="s">
        <v>2175</v>
      </c>
      <c r="H331" s="360" t="s">
        <v>2168</v>
      </c>
      <c r="I331" s="360" t="e">
        <f>VLOOKUP(Таблица18[[#This Row],[Номер акта]],$AB$1:$AF$1833,3,FALSE)</f>
        <v>#N/A</v>
      </c>
      <c r="J331" s="360" t="s">
        <v>1755</v>
      </c>
      <c r="K331" s="360" t="s">
        <v>82</v>
      </c>
      <c r="L331" s="363">
        <v>39460</v>
      </c>
      <c r="M331" s="363">
        <v>20930</v>
      </c>
      <c r="N331" s="364">
        <v>10.5</v>
      </c>
      <c r="O331" s="363">
        <v>18530</v>
      </c>
      <c r="P331" s="363">
        <v>16584.3</v>
      </c>
      <c r="Q331" s="121">
        <v>2023</v>
      </c>
      <c r="R331" s="121"/>
      <c r="S331" s="148">
        <v>45102</v>
      </c>
      <c r="T331" s="363">
        <f>Таблица18[[#This Row],[Вес нетто]]-Таблица18[[#This Row],[Зачетный вес]]</f>
        <v>1945.7000000000007</v>
      </c>
      <c r="U331" s="365">
        <f>Таблица18[[#This Row],[Отход]]/Таблица18[[#This Row],[Вес нетто]]</f>
        <v>0.10500269832703728</v>
      </c>
      <c r="V331" s="121">
        <f>MONTH(Таблица18[[#This Row],[Дата акта]])</f>
        <v>6</v>
      </c>
      <c r="W331" s="121">
        <v>25</v>
      </c>
      <c r="X331" s="148">
        <f>DATE(1900,Таблица18[[#This Row],[Месяц]],Таблица18[[#This Row],[Число]])</f>
        <v>177</v>
      </c>
      <c r="Y331" s="121"/>
      <c r="Z331" s="121" t="str">
        <f>Таблица18[[#This Row],[Хар-ка]]</f>
        <v>высший</v>
      </c>
      <c r="AD331" s="459"/>
      <c r="AE331" s="391"/>
    </row>
    <row r="332" spans="1:31" s="325" customFormat="1" ht="15.6" hidden="1" customHeight="1" x14ac:dyDescent="0.2">
      <c r="A332" s="360" t="s">
        <v>2176</v>
      </c>
      <c r="B332" s="360" t="s">
        <v>511</v>
      </c>
      <c r="C332" s="361">
        <v>487</v>
      </c>
      <c r="D332" s="362">
        <v>28</v>
      </c>
      <c r="E332" s="360" t="s">
        <v>1737</v>
      </c>
      <c r="F332" s="360" t="s">
        <v>1935</v>
      </c>
      <c r="G332" s="360" t="s">
        <v>1813</v>
      </c>
      <c r="H332" s="360" t="s">
        <v>2168</v>
      </c>
      <c r="I332" s="360" t="e">
        <f>VLOOKUP(Таблица18[[#This Row],[Номер акта]],$AB$1:$AF$1833,3,FALSE)</f>
        <v>#N/A</v>
      </c>
      <c r="J332" s="360" t="s">
        <v>1755</v>
      </c>
      <c r="K332" s="360" t="s">
        <v>82</v>
      </c>
      <c r="L332" s="363">
        <v>30300</v>
      </c>
      <c r="M332" s="363">
        <v>14490</v>
      </c>
      <c r="N332" s="364">
        <v>11.5</v>
      </c>
      <c r="O332" s="363">
        <v>15810</v>
      </c>
      <c r="P332" s="363">
        <v>13991.8</v>
      </c>
      <c r="Q332" s="121">
        <v>2023</v>
      </c>
      <c r="R332" s="121"/>
      <c r="S332" s="148">
        <v>45103</v>
      </c>
      <c r="T332" s="363">
        <f>Таблица18[[#This Row],[Вес нетто]]-Таблица18[[#This Row],[Зачетный вес]]</f>
        <v>1818.2000000000007</v>
      </c>
      <c r="U332" s="365">
        <f>Таблица18[[#This Row],[Отход]]/Таблица18[[#This Row],[Вес нетто]]</f>
        <v>0.11500316255534476</v>
      </c>
      <c r="V332" s="121">
        <f>MONTH(Таблица18[[#This Row],[Дата акта]])</f>
        <v>6</v>
      </c>
      <c r="W332" s="121">
        <v>26</v>
      </c>
      <c r="X332" s="148">
        <f>DATE(1900,Таблица18[[#This Row],[Месяц]],Таблица18[[#This Row],[Число]])</f>
        <v>178</v>
      </c>
      <c r="Y332" s="121"/>
      <c r="Z332" s="121" t="str">
        <f>Таблица18[[#This Row],[Хар-ка]]</f>
        <v>высший</v>
      </c>
      <c r="AD332" s="459"/>
      <c r="AE332" s="391"/>
    </row>
    <row r="333" spans="1:31" s="325" customFormat="1" ht="15.6" hidden="1" customHeight="1" x14ac:dyDescent="0.2">
      <c r="A333" s="360" t="s">
        <v>2177</v>
      </c>
      <c r="B333" s="360" t="s">
        <v>511</v>
      </c>
      <c r="C333" s="361">
        <v>488</v>
      </c>
      <c r="D333" s="362">
        <v>29</v>
      </c>
      <c r="E333" s="360" t="s">
        <v>1737</v>
      </c>
      <c r="F333" s="360" t="s">
        <v>311</v>
      </c>
      <c r="G333" s="360" t="s">
        <v>315</v>
      </c>
      <c r="H333" s="360" t="s">
        <v>2168</v>
      </c>
      <c r="I333" s="360" t="e">
        <f>VLOOKUP(Таблица18[[#This Row],[Номер акта]],$AB$1:$AF$1833,3,FALSE)</f>
        <v>#N/A</v>
      </c>
      <c r="J333" s="360" t="s">
        <v>1755</v>
      </c>
      <c r="K333" s="360" t="s">
        <v>82</v>
      </c>
      <c r="L333" s="363">
        <v>31040</v>
      </c>
      <c r="M333" s="363">
        <v>15060</v>
      </c>
      <c r="N333" s="364">
        <v>10.5</v>
      </c>
      <c r="O333" s="363">
        <v>15980</v>
      </c>
      <c r="P333" s="363">
        <v>14302.1</v>
      </c>
      <c r="Q333" s="121">
        <v>2023</v>
      </c>
      <c r="R333" s="121"/>
      <c r="S333" s="148">
        <v>45103</v>
      </c>
      <c r="T333" s="363">
        <f>Таблица18[[#This Row],[Вес нетто]]-Таблица18[[#This Row],[Зачетный вес]]</f>
        <v>1677.8999999999996</v>
      </c>
      <c r="U333" s="365">
        <f>Таблица18[[#This Row],[Отход]]/Таблица18[[#This Row],[Вес нетто]]</f>
        <v>0.10499999999999998</v>
      </c>
      <c r="V333" s="121">
        <f>MONTH(Таблица18[[#This Row],[Дата акта]])</f>
        <v>6</v>
      </c>
      <c r="W333" s="121">
        <v>26</v>
      </c>
      <c r="X333" s="148">
        <f>DATE(1900,Таблица18[[#This Row],[Месяц]],Таблица18[[#This Row],[Число]])</f>
        <v>178</v>
      </c>
      <c r="Y333" s="121"/>
      <c r="Z333" s="121" t="str">
        <f>Таблица18[[#This Row],[Хар-ка]]</f>
        <v>высший</v>
      </c>
      <c r="AD333" s="459"/>
      <c r="AE333" s="391"/>
    </row>
    <row r="334" spans="1:31" s="325" customFormat="1" ht="15.6" hidden="1" customHeight="1" x14ac:dyDescent="0.2">
      <c r="A334" s="360" t="s">
        <v>2178</v>
      </c>
      <c r="B334" s="360" t="s">
        <v>511</v>
      </c>
      <c r="C334" s="361">
        <v>489</v>
      </c>
      <c r="D334" s="360" t="s">
        <v>2179</v>
      </c>
      <c r="E334" s="360" t="s">
        <v>1737</v>
      </c>
      <c r="F334" s="360" t="s">
        <v>283</v>
      </c>
      <c r="G334" s="360" t="s">
        <v>287</v>
      </c>
      <c r="H334" s="360" t="s">
        <v>2168</v>
      </c>
      <c r="I334" s="360" t="e">
        <f>VLOOKUP(Таблица18[[#This Row],[Номер акта]],$AB$1:$AF$1833,3,FALSE)</f>
        <v>#N/A</v>
      </c>
      <c r="J334" s="360" t="s">
        <v>1755</v>
      </c>
      <c r="K334" s="360" t="s">
        <v>82</v>
      </c>
      <c r="L334" s="363">
        <v>36010</v>
      </c>
      <c r="M334" s="363">
        <v>19490</v>
      </c>
      <c r="N334" s="364">
        <v>100</v>
      </c>
      <c r="O334" s="363">
        <v>16520</v>
      </c>
      <c r="P334" s="121"/>
      <c r="Q334" s="121">
        <v>2023</v>
      </c>
      <c r="R334" s="121"/>
      <c r="S334" s="148">
        <v>45103</v>
      </c>
      <c r="T334" s="363">
        <f>Таблица18[[#This Row],[Вес нетто]]-Таблица18[[#This Row],[Зачетный вес]]</f>
        <v>16520</v>
      </c>
      <c r="U334" s="365">
        <f>Таблица18[[#This Row],[Отход]]/Таблица18[[#This Row],[Вес нетто]]</f>
        <v>1</v>
      </c>
      <c r="V334" s="121">
        <f>MONTH(Таблица18[[#This Row],[Дата акта]])</f>
        <v>6</v>
      </c>
      <c r="W334" s="121">
        <v>26</v>
      </c>
      <c r="X334" s="148">
        <f>DATE(1900,Таблица18[[#This Row],[Месяц]],Таблица18[[#This Row],[Число]])</f>
        <v>178</v>
      </c>
      <c r="Y334" s="121"/>
      <c r="Z334" s="121" t="str">
        <f>Таблица18[[#This Row],[Хар-ка]]</f>
        <v>высший</v>
      </c>
      <c r="AD334" s="459"/>
      <c r="AE334" s="391"/>
    </row>
    <row r="335" spans="1:31" s="325" customFormat="1" ht="15.6" hidden="1" customHeight="1" x14ac:dyDescent="0.2">
      <c r="A335" s="360" t="s">
        <v>2180</v>
      </c>
      <c r="B335" s="360" t="s">
        <v>511</v>
      </c>
      <c r="C335" s="361">
        <v>490</v>
      </c>
      <c r="D335" s="362">
        <v>30</v>
      </c>
      <c r="E335" s="360" t="s">
        <v>1737</v>
      </c>
      <c r="F335" s="360" t="s">
        <v>212</v>
      </c>
      <c r="G335" s="360" t="s">
        <v>216</v>
      </c>
      <c r="H335" s="360" t="s">
        <v>2168</v>
      </c>
      <c r="I335" s="360" t="e">
        <f>VLOOKUP(Таблица18[[#This Row],[Номер акта]],$AB$1:$AF$1833,3,FALSE)</f>
        <v>#N/A</v>
      </c>
      <c r="J335" s="360" t="s">
        <v>1755</v>
      </c>
      <c r="K335" s="360" t="s">
        <v>82</v>
      </c>
      <c r="L335" s="363">
        <v>29830</v>
      </c>
      <c r="M335" s="363">
        <v>13980</v>
      </c>
      <c r="N335" s="364">
        <v>10.5</v>
      </c>
      <c r="O335" s="363">
        <v>15850</v>
      </c>
      <c r="P335" s="363">
        <v>14185.7</v>
      </c>
      <c r="Q335" s="121">
        <v>2023</v>
      </c>
      <c r="R335" s="121"/>
      <c r="S335" s="148">
        <v>45103</v>
      </c>
      <c r="T335" s="363">
        <f>Таблица18[[#This Row],[Вес нетто]]-Таблица18[[#This Row],[Зачетный вес]]</f>
        <v>1664.2999999999993</v>
      </c>
      <c r="U335" s="365">
        <f>Таблица18[[#This Row],[Отход]]/Таблица18[[#This Row],[Вес нетто]]</f>
        <v>0.10500315457413245</v>
      </c>
      <c r="V335" s="121">
        <f>MONTH(Таблица18[[#This Row],[Дата акта]])</f>
        <v>6</v>
      </c>
      <c r="W335" s="121">
        <v>26</v>
      </c>
      <c r="X335" s="148">
        <f>DATE(1900,Таблица18[[#This Row],[Месяц]],Таблица18[[#This Row],[Число]])</f>
        <v>178</v>
      </c>
      <c r="Y335" s="121"/>
      <c r="Z335" s="121" t="str">
        <f>Таблица18[[#This Row],[Хар-ка]]</f>
        <v>высший</v>
      </c>
      <c r="AD335" s="459"/>
      <c r="AE335" s="391"/>
    </row>
    <row r="336" spans="1:31" s="325" customFormat="1" ht="15.6" hidden="1" customHeight="1" x14ac:dyDescent="0.2">
      <c r="A336" s="360" t="s">
        <v>2181</v>
      </c>
      <c r="B336" s="360" t="s">
        <v>511</v>
      </c>
      <c r="C336" s="361">
        <v>491</v>
      </c>
      <c r="D336" s="362">
        <v>31</v>
      </c>
      <c r="E336" s="360" t="s">
        <v>1737</v>
      </c>
      <c r="F336" s="360" t="s">
        <v>2150</v>
      </c>
      <c r="G336" s="360" t="s">
        <v>2151</v>
      </c>
      <c r="H336" s="360" t="s">
        <v>2168</v>
      </c>
      <c r="I336" s="360" t="e">
        <f>VLOOKUP(Таблица18[[#This Row],[Номер акта]],$AB$1:$AF$1833,3,FALSE)</f>
        <v>#N/A</v>
      </c>
      <c r="J336" s="360" t="s">
        <v>1755</v>
      </c>
      <c r="K336" s="360" t="s">
        <v>82</v>
      </c>
      <c r="L336" s="363">
        <v>31090</v>
      </c>
      <c r="M336" s="363">
        <v>15410</v>
      </c>
      <c r="N336" s="364">
        <v>12.5</v>
      </c>
      <c r="O336" s="363">
        <v>15680</v>
      </c>
      <c r="P336" s="363">
        <v>13720</v>
      </c>
      <c r="Q336" s="121">
        <v>2023</v>
      </c>
      <c r="R336" s="121"/>
      <c r="S336" s="148">
        <v>45103</v>
      </c>
      <c r="T336" s="363">
        <f>Таблица18[[#This Row],[Вес нетто]]-Таблица18[[#This Row],[Зачетный вес]]</f>
        <v>1960</v>
      </c>
      <c r="U336" s="365">
        <f>Таблица18[[#This Row],[Отход]]/Таблица18[[#This Row],[Вес нетто]]</f>
        <v>0.125</v>
      </c>
      <c r="V336" s="121">
        <f>MONTH(Таблица18[[#This Row],[Дата акта]])</f>
        <v>6</v>
      </c>
      <c r="W336" s="121">
        <v>26</v>
      </c>
      <c r="X336" s="148">
        <f>DATE(1900,Таблица18[[#This Row],[Месяц]],Таблица18[[#This Row],[Число]])</f>
        <v>178</v>
      </c>
      <c r="Y336" s="121"/>
      <c r="Z336" s="121" t="str">
        <f>Таблица18[[#This Row],[Хар-ка]]</f>
        <v>высший</v>
      </c>
      <c r="AD336" s="459"/>
      <c r="AE336" s="391"/>
    </row>
    <row r="337" spans="1:31" s="325" customFormat="1" ht="15.6" hidden="1" customHeight="1" x14ac:dyDescent="0.2">
      <c r="A337" s="360" t="s">
        <v>2182</v>
      </c>
      <c r="B337" s="360" t="s">
        <v>550</v>
      </c>
      <c r="C337" s="361">
        <v>492</v>
      </c>
      <c r="D337" s="362">
        <v>32</v>
      </c>
      <c r="E337" s="360" t="s">
        <v>1737</v>
      </c>
      <c r="F337" s="360" t="s">
        <v>1794</v>
      </c>
      <c r="G337" s="360" t="s">
        <v>1795</v>
      </c>
      <c r="H337" s="360" t="s">
        <v>2168</v>
      </c>
      <c r="I337" s="360" t="e">
        <f>VLOOKUP(Таблица18[[#This Row],[Номер акта]],$AB$1:$AF$1833,3,FALSE)</f>
        <v>#N/A</v>
      </c>
      <c r="J337" s="360" t="s">
        <v>1755</v>
      </c>
      <c r="K337" s="360" t="s">
        <v>82</v>
      </c>
      <c r="L337" s="363">
        <v>28950</v>
      </c>
      <c r="M337" s="363">
        <v>13360</v>
      </c>
      <c r="N337" s="364">
        <v>9.5</v>
      </c>
      <c r="O337" s="363">
        <v>15590</v>
      </c>
      <c r="P337" s="363">
        <v>14108.9</v>
      </c>
      <c r="Q337" s="121">
        <v>2023</v>
      </c>
      <c r="R337" s="121"/>
      <c r="S337" s="148">
        <v>45103</v>
      </c>
      <c r="T337" s="363">
        <f>Таблица18[[#This Row],[Вес нетто]]-Таблица18[[#This Row],[Зачетный вес]]</f>
        <v>1481.1000000000004</v>
      </c>
      <c r="U337" s="365">
        <f>Таблица18[[#This Row],[Отход]]/Таблица18[[#This Row],[Вес нетто]]</f>
        <v>9.5003207184092386E-2</v>
      </c>
      <c r="V337" s="121">
        <f>MONTH(Таблица18[[#This Row],[Дата акта]])</f>
        <v>6</v>
      </c>
      <c r="W337" s="121">
        <v>26</v>
      </c>
      <c r="X337" s="148">
        <f>DATE(1900,Таблица18[[#This Row],[Месяц]],Таблица18[[#This Row],[Число]])</f>
        <v>178</v>
      </c>
      <c r="Y337" s="121"/>
      <c r="Z337" s="121" t="str">
        <f>Таблица18[[#This Row],[Хар-ка]]</f>
        <v>первый</v>
      </c>
      <c r="AD337" s="459"/>
      <c r="AE337" s="391"/>
    </row>
    <row r="338" spans="1:31" s="325" customFormat="1" ht="15.6" hidden="1" customHeight="1" x14ac:dyDescent="0.2">
      <c r="A338" s="360" t="s">
        <v>2183</v>
      </c>
      <c r="B338" s="360" t="s">
        <v>511</v>
      </c>
      <c r="C338" s="361">
        <v>493</v>
      </c>
      <c r="D338" s="362">
        <v>33</v>
      </c>
      <c r="E338" s="360" t="s">
        <v>1737</v>
      </c>
      <c r="F338" s="360" t="s">
        <v>1804</v>
      </c>
      <c r="G338" s="360" t="s">
        <v>536</v>
      </c>
      <c r="H338" s="360" t="s">
        <v>2168</v>
      </c>
      <c r="I338" s="360" t="e">
        <f>VLOOKUP(Таблица18[[#This Row],[Номер акта]],$AB$1:$AF$1833,3,FALSE)</f>
        <v>#N/A</v>
      </c>
      <c r="J338" s="360" t="s">
        <v>1755</v>
      </c>
      <c r="K338" s="360" t="s">
        <v>82</v>
      </c>
      <c r="L338" s="363">
        <v>30190</v>
      </c>
      <c r="M338" s="363">
        <v>14560</v>
      </c>
      <c r="N338" s="364">
        <v>11.5</v>
      </c>
      <c r="O338" s="363">
        <v>15630</v>
      </c>
      <c r="P338" s="363">
        <v>13832.5</v>
      </c>
      <c r="Q338" s="121">
        <v>2023</v>
      </c>
      <c r="R338" s="121"/>
      <c r="S338" s="148">
        <v>45103</v>
      </c>
      <c r="T338" s="363">
        <f>Таблица18[[#This Row],[Вес нетто]]-Таблица18[[#This Row],[Зачетный вес]]</f>
        <v>1797.5</v>
      </c>
      <c r="U338" s="365">
        <f>Таблица18[[#This Row],[Отход]]/Таблица18[[#This Row],[Вес нетто]]</f>
        <v>0.11500319897632758</v>
      </c>
      <c r="V338" s="121">
        <f>MONTH(Таблица18[[#This Row],[Дата акта]])</f>
        <v>6</v>
      </c>
      <c r="W338" s="121">
        <v>26</v>
      </c>
      <c r="X338" s="148">
        <f>DATE(1900,Таблица18[[#This Row],[Месяц]],Таблица18[[#This Row],[Число]])</f>
        <v>178</v>
      </c>
      <c r="Y338" s="121"/>
      <c r="Z338" s="121" t="str">
        <f>Таблица18[[#This Row],[Хар-ка]]</f>
        <v>высший</v>
      </c>
      <c r="AD338" s="459"/>
      <c r="AE338" s="391"/>
    </row>
    <row r="339" spans="1:31" s="325" customFormat="1" ht="15.6" hidden="1" customHeight="1" x14ac:dyDescent="0.2">
      <c r="A339" s="360" t="s">
        <v>2184</v>
      </c>
      <c r="B339" s="360" t="s">
        <v>511</v>
      </c>
      <c r="C339" s="361">
        <v>496</v>
      </c>
      <c r="D339" s="362">
        <v>34</v>
      </c>
      <c r="E339" s="360" t="s">
        <v>1737</v>
      </c>
      <c r="F339" s="360" t="s">
        <v>289</v>
      </c>
      <c r="G339" s="360" t="s">
        <v>293</v>
      </c>
      <c r="H339" s="360" t="s">
        <v>2168</v>
      </c>
      <c r="I339" s="360" t="e">
        <f>VLOOKUP(Таблица18[[#This Row],[Номер акта]],$AB$1:$AF$1833,3,FALSE)</f>
        <v>#N/A</v>
      </c>
      <c r="J339" s="360" t="s">
        <v>1755</v>
      </c>
      <c r="K339" s="360" t="s">
        <v>82</v>
      </c>
      <c r="L339" s="363">
        <v>32970</v>
      </c>
      <c r="M339" s="363">
        <v>17070</v>
      </c>
      <c r="N339" s="364">
        <v>8.5</v>
      </c>
      <c r="O339" s="363">
        <v>15900</v>
      </c>
      <c r="P339" s="363">
        <v>14548.5</v>
      </c>
      <c r="Q339" s="121">
        <v>2023</v>
      </c>
      <c r="R339" s="121"/>
      <c r="S339" s="148">
        <v>45103</v>
      </c>
      <c r="T339" s="363">
        <f>Таблица18[[#This Row],[Вес нетто]]-Таблица18[[#This Row],[Зачетный вес]]</f>
        <v>1351.5</v>
      </c>
      <c r="U339" s="365">
        <f>Таблица18[[#This Row],[Отход]]/Таблица18[[#This Row],[Вес нетто]]</f>
        <v>8.5000000000000006E-2</v>
      </c>
      <c r="V339" s="121">
        <f>MONTH(Таблица18[[#This Row],[Дата акта]])</f>
        <v>6</v>
      </c>
      <c r="W339" s="121">
        <v>26</v>
      </c>
      <c r="X339" s="148">
        <f>DATE(1900,Таблица18[[#This Row],[Месяц]],Таблица18[[#This Row],[Число]])</f>
        <v>178</v>
      </c>
      <c r="Y339" s="121"/>
      <c r="Z339" s="121" t="str">
        <f>Таблица18[[#This Row],[Хар-ка]]</f>
        <v>высший</v>
      </c>
      <c r="AD339" s="459"/>
      <c r="AE339" s="391"/>
    </row>
    <row r="340" spans="1:31" s="325" customFormat="1" ht="15.6" hidden="1" customHeight="1" x14ac:dyDescent="0.2">
      <c r="A340" s="360" t="s">
        <v>2185</v>
      </c>
      <c r="B340" s="360" t="s">
        <v>511</v>
      </c>
      <c r="C340" s="361">
        <v>497</v>
      </c>
      <c r="D340" s="362">
        <v>35</v>
      </c>
      <c r="E340" s="360" t="s">
        <v>1737</v>
      </c>
      <c r="F340" s="360" t="s">
        <v>2158</v>
      </c>
      <c r="G340" s="360" t="s">
        <v>299</v>
      </c>
      <c r="H340" s="360" t="s">
        <v>2168</v>
      </c>
      <c r="I340" s="360" t="e">
        <f>VLOOKUP(Таблица18[[#This Row],[Номер акта]],$AB$1:$AF$1833,3,FALSE)</f>
        <v>#N/A</v>
      </c>
      <c r="J340" s="360" t="s">
        <v>1755</v>
      </c>
      <c r="K340" s="360" t="s">
        <v>82</v>
      </c>
      <c r="L340" s="363">
        <v>35860</v>
      </c>
      <c r="M340" s="363">
        <v>17620</v>
      </c>
      <c r="N340" s="364">
        <v>8.5</v>
      </c>
      <c r="O340" s="363">
        <v>18240</v>
      </c>
      <c r="P340" s="363">
        <v>16689.599999999999</v>
      </c>
      <c r="Q340" s="121">
        <v>2023</v>
      </c>
      <c r="R340" s="121"/>
      <c r="S340" s="148">
        <v>45103</v>
      </c>
      <c r="T340" s="363">
        <f>Таблица18[[#This Row],[Вес нетто]]-Таблица18[[#This Row],[Зачетный вес]]</f>
        <v>1550.4000000000015</v>
      </c>
      <c r="U340" s="365">
        <f>Таблица18[[#This Row],[Отход]]/Таблица18[[#This Row],[Вес нетто]]</f>
        <v>8.5000000000000075E-2</v>
      </c>
      <c r="V340" s="121">
        <f>MONTH(Таблица18[[#This Row],[Дата акта]])</f>
        <v>6</v>
      </c>
      <c r="W340" s="121">
        <v>26</v>
      </c>
      <c r="X340" s="148">
        <f>DATE(1900,Таблица18[[#This Row],[Месяц]],Таблица18[[#This Row],[Число]])</f>
        <v>178</v>
      </c>
      <c r="Y340" s="121"/>
      <c r="Z340" s="121" t="str">
        <f>Таблица18[[#This Row],[Хар-ка]]</f>
        <v>высший</v>
      </c>
      <c r="AD340" s="459"/>
      <c r="AE340" s="391"/>
    </row>
    <row r="341" spans="1:31" s="325" customFormat="1" ht="15.6" hidden="1" customHeight="1" x14ac:dyDescent="0.2">
      <c r="A341" s="360" t="s">
        <v>2186</v>
      </c>
      <c r="B341" s="360" t="s">
        <v>511</v>
      </c>
      <c r="C341" s="361">
        <v>498</v>
      </c>
      <c r="D341" s="362">
        <v>36</v>
      </c>
      <c r="E341" s="360" t="s">
        <v>1737</v>
      </c>
      <c r="F341" s="360" t="s">
        <v>305</v>
      </c>
      <c r="G341" s="360" t="s">
        <v>309</v>
      </c>
      <c r="H341" s="360" t="s">
        <v>2168</v>
      </c>
      <c r="I341" s="360" t="e">
        <f>VLOOKUP(Таблица18[[#This Row],[Номер акта]],$AB$1:$AF$1833,3,FALSE)</f>
        <v>#N/A</v>
      </c>
      <c r="J341" s="360" t="s">
        <v>1755</v>
      </c>
      <c r="K341" s="360" t="s">
        <v>82</v>
      </c>
      <c r="L341" s="363">
        <v>30770</v>
      </c>
      <c r="M341" s="363">
        <v>14360</v>
      </c>
      <c r="N341" s="364">
        <v>8.5</v>
      </c>
      <c r="O341" s="363">
        <v>16410</v>
      </c>
      <c r="P341" s="363">
        <v>15015.1</v>
      </c>
      <c r="Q341" s="121">
        <v>2023</v>
      </c>
      <c r="R341" s="121"/>
      <c r="S341" s="148">
        <v>45103</v>
      </c>
      <c r="T341" s="363">
        <f>Таблица18[[#This Row],[Вес нетто]]-Таблица18[[#This Row],[Зачетный вес]]</f>
        <v>1394.8999999999996</v>
      </c>
      <c r="U341" s="365">
        <f>Таблица18[[#This Row],[Отход]]/Таблица18[[#This Row],[Вес нетто]]</f>
        <v>8.5003046922608141E-2</v>
      </c>
      <c r="V341" s="121">
        <f>MONTH(Таблица18[[#This Row],[Дата акта]])</f>
        <v>6</v>
      </c>
      <c r="W341" s="121">
        <v>26</v>
      </c>
      <c r="X341" s="148">
        <f>DATE(1900,Таблица18[[#This Row],[Месяц]],Таблица18[[#This Row],[Число]])</f>
        <v>178</v>
      </c>
      <c r="Y341" s="121"/>
      <c r="Z341" s="121" t="str">
        <f>Таблица18[[#This Row],[Хар-ка]]</f>
        <v>высший</v>
      </c>
      <c r="AD341" s="459"/>
      <c r="AE341" s="391"/>
    </row>
    <row r="342" spans="1:31" s="325" customFormat="1" ht="15.6" hidden="1" customHeight="1" x14ac:dyDescent="0.2">
      <c r="A342" s="360" t="s">
        <v>2187</v>
      </c>
      <c r="B342" s="360" t="s">
        <v>511</v>
      </c>
      <c r="C342" s="361">
        <v>499</v>
      </c>
      <c r="D342" s="362">
        <v>37</v>
      </c>
      <c r="E342" s="360" t="s">
        <v>1737</v>
      </c>
      <c r="F342" s="360" t="s">
        <v>2150</v>
      </c>
      <c r="G342" s="360" t="s">
        <v>2151</v>
      </c>
      <c r="H342" s="360" t="s">
        <v>2168</v>
      </c>
      <c r="I342" s="360" t="e">
        <f>VLOOKUP(Таблица18[[#This Row],[Номер акта]],$AB$1:$AF$1833,3,FALSE)</f>
        <v>#N/A</v>
      </c>
      <c r="J342" s="360" t="s">
        <v>1755</v>
      </c>
      <c r="K342" s="360" t="s">
        <v>82</v>
      </c>
      <c r="L342" s="363">
        <v>29050</v>
      </c>
      <c r="M342" s="363">
        <v>15290</v>
      </c>
      <c r="N342" s="364">
        <v>11.5</v>
      </c>
      <c r="O342" s="363">
        <v>13760</v>
      </c>
      <c r="P342" s="363">
        <v>12177.6</v>
      </c>
      <c r="Q342" s="121">
        <v>2023</v>
      </c>
      <c r="R342" s="121"/>
      <c r="S342" s="148">
        <v>45103</v>
      </c>
      <c r="T342" s="363">
        <f>Таблица18[[#This Row],[Вес нетто]]-Таблица18[[#This Row],[Зачетный вес]]</f>
        <v>1582.3999999999996</v>
      </c>
      <c r="U342" s="365">
        <f>Таблица18[[#This Row],[Отход]]/Таблица18[[#This Row],[Вес нетто]]</f>
        <v>0.11499999999999998</v>
      </c>
      <c r="V342" s="121">
        <f>MONTH(Таблица18[[#This Row],[Дата акта]])</f>
        <v>6</v>
      </c>
      <c r="W342" s="121">
        <v>26</v>
      </c>
      <c r="X342" s="148">
        <f>DATE(1900,Таблица18[[#This Row],[Месяц]],Таблица18[[#This Row],[Число]])</f>
        <v>178</v>
      </c>
      <c r="Y342" s="121"/>
      <c r="Z342" s="121" t="str">
        <f>Таблица18[[#This Row],[Хар-ка]]</f>
        <v>высший</v>
      </c>
      <c r="AD342" s="459"/>
      <c r="AE342" s="391"/>
    </row>
    <row r="343" spans="1:31" s="325" customFormat="1" ht="15.6" hidden="1" customHeight="1" x14ac:dyDescent="0.2">
      <c r="A343" s="360" t="s">
        <v>2188</v>
      </c>
      <c r="B343" s="360" t="s">
        <v>550</v>
      </c>
      <c r="C343" s="361">
        <v>501</v>
      </c>
      <c r="D343" s="362">
        <v>21</v>
      </c>
      <c r="E343" s="360" t="s">
        <v>1737</v>
      </c>
      <c r="F343" s="360" t="s">
        <v>195</v>
      </c>
      <c r="G343" s="360" t="s">
        <v>199</v>
      </c>
      <c r="H343" s="360" t="s">
        <v>2168</v>
      </c>
      <c r="I343" s="360" t="e">
        <f>VLOOKUP(Таблица18[[#This Row],[Номер акта]],$AB$1:$AF$1833,3,FALSE)</f>
        <v>#N/A</v>
      </c>
      <c r="J343" s="360" t="s">
        <v>1755</v>
      </c>
      <c r="K343" s="360" t="s">
        <v>82</v>
      </c>
      <c r="L343" s="363">
        <v>31710</v>
      </c>
      <c r="M343" s="363">
        <v>15220</v>
      </c>
      <c r="N343" s="364">
        <v>8</v>
      </c>
      <c r="O343" s="363">
        <v>16490</v>
      </c>
      <c r="P343" s="363">
        <v>15170.8</v>
      </c>
      <c r="Q343" s="121">
        <v>2023</v>
      </c>
      <c r="R343" s="121"/>
      <c r="S343" s="148">
        <v>45103</v>
      </c>
      <c r="T343" s="363">
        <f>Таблица18[[#This Row],[Вес нетто]]-Таблица18[[#This Row],[Зачетный вес]]</f>
        <v>1319.2000000000007</v>
      </c>
      <c r="U343" s="365">
        <f>Таблица18[[#This Row],[Отход]]/Таблица18[[#This Row],[Вес нетто]]</f>
        <v>8.0000000000000043E-2</v>
      </c>
      <c r="V343" s="121">
        <f>MONTH(Таблица18[[#This Row],[Дата акта]])</f>
        <v>6</v>
      </c>
      <c r="W343" s="121">
        <v>26</v>
      </c>
      <c r="X343" s="148">
        <f>DATE(1900,Таблица18[[#This Row],[Месяц]],Таблица18[[#This Row],[Число]])</f>
        <v>178</v>
      </c>
      <c r="Y343" s="121"/>
      <c r="Z343" s="121" t="str">
        <f>Таблица18[[#This Row],[Хар-ка]]</f>
        <v>первый</v>
      </c>
      <c r="AD343" s="459"/>
      <c r="AE343" s="391"/>
    </row>
    <row r="344" spans="1:31" s="325" customFormat="1" ht="15.6" hidden="1" customHeight="1" x14ac:dyDescent="0.2">
      <c r="A344" s="360" t="s">
        <v>2189</v>
      </c>
      <c r="B344" s="360" t="s">
        <v>511</v>
      </c>
      <c r="C344" s="361">
        <v>502</v>
      </c>
      <c r="D344" s="362">
        <v>39</v>
      </c>
      <c r="E344" s="360" t="s">
        <v>1737</v>
      </c>
      <c r="F344" s="360" t="s">
        <v>121</v>
      </c>
      <c r="G344" s="360" t="s">
        <v>125</v>
      </c>
      <c r="H344" s="360" t="s">
        <v>2168</v>
      </c>
      <c r="I344" s="360" t="e">
        <f>VLOOKUP(Таблица18[[#This Row],[Номер акта]],$AB$1:$AF$1833,3,FALSE)</f>
        <v>#N/A</v>
      </c>
      <c r="J344" s="360" t="s">
        <v>1755</v>
      </c>
      <c r="K344" s="360" t="s">
        <v>82</v>
      </c>
      <c r="L344" s="363">
        <v>30920</v>
      </c>
      <c r="M344" s="363">
        <v>14560</v>
      </c>
      <c r="N344" s="364">
        <v>9.5</v>
      </c>
      <c r="O344" s="363">
        <v>16360</v>
      </c>
      <c r="P344" s="363">
        <v>14805.8</v>
      </c>
      <c r="Q344" s="121">
        <v>2023</v>
      </c>
      <c r="R344" s="121"/>
      <c r="S344" s="148">
        <v>45103</v>
      </c>
      <c r="T344" s="363">
        <f>Таблица18[[#This Row],[Вес нетто]]-Таблица18[[#This Row],[Зачетный вес]]</f>
        <v>1554.2000000000007</v>
      </c>
      <c r="U344" s="365">
        <f>Таблица18[[#This Row],[Отход]]/Таблица18[[#This Row],[Вес нетто]]</f>
        <v>9.5000000000000043E-2</v>
      </c>
      <c r="V344" s="121">
        <f>MONTH(Таблица18[[#This Row],[Дата акта]])</f>
        <v>6</v>
      </c>
      <c r="W344" s="121">
        <v>26</v>
      </c>
      <c r="X344" s="148">
        <f>DATE(1900,Таблица18[[#This Row],[Месяц]],Таблица18[[#This Row],[Число]])</f>
        <v>178</v>
      </c>
      <c r="Y344" s="121"/>
      <c r="Z344" s="121" t="str">
        <f>Таблица18[[#This Row],[Хар-ка]]</f>
        <v>высший</v>
      </c>
      <c r="AD344" s="459"/>
      <c r="AE344" s="391"/>
    </row>
    <row r="345" spans="1:31" s="325" customFormat="1" ht="15.6" hidden="1" customHeight="1" x14ac:dyDescent="0.2">
      <c r="A345" s="360" t="s">
        <v>2190</v>
      </c>
      <c r="B345" s="360" t="s">
        <v>550</v>
      </c>
      <c r="C345" s="361">
        <v>503</v>
      </c>
      <c r="D345" s="362">
        <v>40</v>
      </c>
      <c r="E345" s="360" t="s">
        <v>1737</v>
      </c>
      <c r="F345" s="360" t="s">
        <v>1794</v>
      </c>
      <c r="G345" s="360" t="s">
        <v>1795</v>
      </c>
      <c r="H345" s="360" t="s">
        <v>2168</v>
      </c>
      <c r="I345" s="360" t="e">
        <f>VLOOKUP(Таблица18[[#This Row],[Номер акта]],$AB$1:$AF$1833,3,FALSE)</f>
        <v>#N/A</v>
      </c>
      <c r="J345" s="360" t="s">
        <v>1755</v>
      </c>
      <c r="K345" s="360" t="s">
        <v>82</v>
      </c>
      <c r="L345" s="363">
        <v>30210</v>
      </c>
      <c r="M345" s="363">
        <v>13270</v>
      </c>
      <c r="N345" s="364">
        <v>8.5</v>
      </c>
      <c r="O345" s="363">
        <v>16940</v>
      </c>
      <c r="P345" s="363">
        <v>15500.1</v>
      </c>
      <c r="Q345" s="121">
        <v>2023</v>
      </c>
      <c r="R345" s="121"/>
      <c r="S345" s="148">
        <v>45103</v>
      </c>
      <c r="T345" s="363">
        <f>Таблица18[[#This Row],[Вес нетто]]-Таблица18[[#This Row],[Зачетный вес]]</f>
        <v>1439.8999999999996</v>
      </c>
      <c r="U345" s="365">
        <f>Таблица18[[#This Row],[Отход]]/Таблица18[[#This Row],[Вес нетто]]</f>
        <v>8.4999999999999978E-2</v>
      </c>
      <c r="V345" s="121">
        <f>MONTH(Таблица18[[#This Row],[Дата акта]])</f>
        <v>6</v>
      </c>
      <c r="W345" s="121">
        <v>26</v>
      </c>
      <c r="X345" s="148">
        <f>DATE(1900,Таблица18[[#This Row],[Месяц]],Таблица18[[#This Row],[Число]])</f>
        <v>178</v>
      </c>
      <c r="Y345" s="121"/>
      <c r="Z345" s="121" t="str">
        <f>Таблица18[[#This Row],[Хар-ка]]</f>
        <v>первый</v>
      </c>
      <c r="AD345" s="459"/>
      <c r="AE345" s="391"/>
    </row>
    <row r="346" spans="1:31" s="325" customFormat="1" ht="15.6" hidden="1" customHeight="1" x14ac:dyDescent="0.2">
      <c r="A346" s="360" t="s">
        <v>2191</v>
      </c>
      <c r="B346" s="360" t="s">
        <v>511</v>
      </c>
      <c r="C346" s="361">
        <v>505</v>
      </c>
      <c r="D346" s="362">
        <v>41</v>
      </c>
      <c r="E346" s="360" t="s">
        <v>1167</v>
      </c>
      <c r="F346" s="360" t="s">
        <v>1804</v>
      </c>
      <c r="G346" s="360" t="s">
        <v>536</v>
      </c>
      <c r="H346" s="360" t="s">
        <v>2168</v>
      </c>
      <c r="I346" s="360" t="e">
        <f>VLOOKUP(Таблица18[[#This Row],[Номер акта]],$AB$1:$AF$1833,3,FALSE)</f>
        <v>#N/A</v>
      </c>
      <c r="J346" s="360" t="s">
        <v>1755</v>
      </c>
      <c r="K346" s="360" t="s">
        <v>82</v>
      </c>
      <c r="L346" s="363">
        <v>33310</v>
      </c>
      <c r="M346" s="363">
        <v>14850</v>
      </c>
      <c r="N346" s="364">
        <v>9.5</v>
      </c>
      <c r="O346" s="363">
        <v>18460</v>
      </c>
      <c r="P346" s="363">
        <v>16706.3</v>
      </c>
      <c r="Q346" s="121">
        <v>2023</v>
      </c>
      <c r="R346" s="121"/>
      <c r="S346" s="148">
        <v>45104</v>
      </c>
      <c r="T346" s="363">
        <f>Таблица18[[#This Row],[Вес нетто]]-Таблица18[[#This Row],[Зачетный вес]]</f>
        <v>1753.7000000000007</v>
      </c>
      <c r="U346" s="365">
        <f>Таблица18[[#This Row],[Отход]]/Таблица18[[#This Row],[Вес нетто]]</f>
        <v>9.5000000000000043E-2</v>
      </c>
      <c r="V346" s="121">
        <f>MONTH(Таблица18[[#This Row],[Дата акта]])</f>
        <v>6</v>
      </c>
      <c r="W346" s="121">
        <v>27</v>
      </c>
      <c r="X346" s="148">
        <f>DATE(1900,Таблица18[[#This Row],[Месяц]],Таблица18[[#This Row],[Число]])</f>
        <v>179</v>
      </c>
      <c r="Y346" s="121"/>
      <c r="Z346" s="121" t="str">
        <f>Таблица18[[#This Row],[Хар-ка]]</f>
        <v>высший</v>
      </c>
      <c r="AD346" s="459"/>
      <c r="AE346" s="391"/>
    </row>
    <row r="347" spans="1:31" s="325" customFormat="1" ht="15.6" hidden="1" customHeight="1" x14ac:dyDescent="0.2">
      <c r="A347" s="360" t="s">
        <v>2192</v>
      </c>
      <c r="B347" s="360" t="s">
        <v>550</v>
      </c>
      <c r="C347" s="361">
        <v>506</v>
      </c>
      <c r="D347" s="362">
        <v>42</v>
      </c>
      <c r="E347" s="360" t="s">
        <v>1737</v>
      </c>
      <c r="F347" s="360" t="s">
        <v>2155</v>
      </c>
      <c r="G347" s="360" t="s">
        <v>320</v>
      </c>
      <c r="H347" s="360" t="s">
        <v>2193</v>
      </c>
      <c r="I347" s="360" t="e">
        <f>VLOOKUP(Таблица18[[#This Row],[Номер акта]],$AB$1:$AF$1833,3,FALSE)</f>
        <v>#N/A</v>
      </c>
      <c r="J347" s="360" t="s">
        <v>1755</v>
      </c>
      <c r="K347" s="360" t="s">
        <v>82</v>
      </c>
      <c r="L347" s="363">
        <v>30100</v>
      </c>
      <c r="M347" s="363">
        <v>14450</v>
      </c>
      <c r="N347" s="364">
        <v>7.5</v>
      </c>
      <c r="O347" s="363">
        <v>15650</v>
      </c>
      <c r="P347" s="363">
        <v>14476.2</v>
      </c>
      <c r="Q347" s="121">
        <v>2023</v>
      </c>
      <c r="R347" s="121"/>
      <c r="S347" s="148">
        <v>45104</v>
      </c>
      <c r="T347" s="363">
        <f>Таблица18[[#This Row],[Вес нетто]]-Таблица18[[#This Row],[Зачетный вес]]</f>
        <v>1173.7999999999993</v>
      </c>
      <c r="U347" s="365">
        <f>Таблица18[[#This Row],[Отход]]/Таблица18[[#This Row],[Вес нетто]]</f>
        <v>7.5003194888178873E-2</v>
      </c>
      <c r="V347" s="121">
        <f>MONTH(Таблица18[[#This Row],[Дата акта]])</f>
        <v>6</v>
      </c>
      <c r="W347" s="121">
        <v>27</v>
      </c>
      <c r="X347" s="148">
        <f>DATE(1900,Таблица18[[#This Row],[Месяц]],Таблица18[[#This Row],[Число]])</f>
        <v>179</v>
      </c>
      <c r="Y347" s="121"/>
      <c r="Z347" s="121" t="str">
        <f>Таблица18[[#This Row],[Хар-ка]]</f>
        <v>первый</v>
      </c>
      <c r="AD347" s="459"/>
      <c r="AE347" s="391"/>
    </row>
    <row r="348" spans="1:31" s="325" customFormat="1" ht="15.6" hidden="1" customHeight="1" x14ac:dyDescent="0.2">
      <c r="A348" s="360" t="s">
        <v>2194</v>
      </c>
      <c r="B348" s="360" t="s">
        <v>550</v>
      </c>
      <c r="C348" s="361">
        <v>507</v>
      </c>
      <c r="D348" s="362">
        <v>43</v>
      </c>
      <c r="E348" s="360" t="s">
        <v>1737</v>
      </c>
      <c r="F348" s="360" t="s">
        <v>212</v>
      </c>
      <c r="G348" s="360" t="s">
        <v>216</v>
      </c>
      <c r="H348" s="360" t="s">
        <v>2168</v>
      </c>
      <c r="I348" s="360" t="e">
        <f>VLOOKUP(Таблица18[[#This Row],[Номер акта]],$AB$1:$AF$1833,3,FALSE)</f>
        <v>#N/A</v>
      </c>
      <c r="J348" s="360" t="s">
        <v>1755</v>
      </c>
      <c r="K348" s="360" t="s">
        <v>82</v>
      </c>
      <c r="L348" s="363">
        <v>29820</v>
      </c>
      <c r="M348" s="363">
        <v>14110</v>
      </c>
      <c r="N348" s="364">
        <v>8.5</v>
      </c>
      <c r="O348" s="363">
        <v>15710</v>
      </c>
      <c r="P348" s="363">
        <v>14374.6</v>
      </c>
      <c r="Q348" s="121">
        <v>2023</v>
      </c>
      <c r="R348" s="121"/>
      <c r="S348" s="148">
        <v>45104</v>
      </c>
      <c r="T348" s="363">
        <f>Таблица18[[#This Row],[Вес нетто]]-Таблица18[[#This Row],[Зачетный вес]]</f>
        <v>1335.3999999999996</v>
      </c>
      <c r="U348" s="365">
        <f>Таблица18[[#This Row],[Отход]]/Таблица18[[#This Row],[Вес нетто]]</f>
        <v>8.5003182686187118E-2</v>
      </c>
      <c r="V348" s="121">
        <f>MONTH(Таблица18[[#This Row],[Дата акта]])</f>
        <v>6</v>
      </c>
      <c r="W348" s="121">
        <v>27</v>
      </c>
      <c r="X348" s="148">
        <f>DATE(1900,Таблица18[[#This Row],[Месяц]],Таблица18[[#This Row],[Число]])</f>
        <v>179</v>
      </c>
      <c r="Y348" s="121"/>
      <c r="Z348" s="121" t="str">
        <f>Таблица18[[#This Row],[Хар-ка]]</f>
        <v>первый</v>
      </c>
      <c r="AD348" s="459"/>
      <c r="AE348" s="391"/>
    </row>
    <row r="349" spans="1:31" s="325" customFormat="1" ht="15.6" hidden="1" customHeight="1" x14ac:dyDescent="0.2">
      <c r="A349" s="360" t="s">
        <v>2195</v>
      </c>
      <c r="B349" s="360" t="s">
        <v>550</v>
      </c>
      <c r="C349" s="361">
        <v>508</v>
      </c>
      <c r="D349" s="362">
        <v>44</v>
      </c>
      <c r="E349" s="360" t="s">
        <v>1737</v>
      </c>
      <c r="F349" s="360" t="s">
        <v>133</v>
      </c>
      <c r="G349" s="360" t="s">
        <v>137</v>
      </c>
      <c r="H349" s="360" t="s">
        <v>2168</v>
      </c>
      <c r="I349" s="360" t="e">
        <f>VLOOKUP(Таблица18[[#This Row],[Номер акта]],$AB$1:$AF$1833,3,FALSE)</f>
        <v>#N/A</v>
      </c>
      <c r="J349" s="360" t="s">
        <v>1755</v>
      </c>
      <c r="K349" s="360" t="s">
        <v>82</v>
      </c>
      <c r="L349" s="363">
        <v>35430</v>
      </c>
      <c r="M349" s="363">
        <v>17550</v>
      </c>
      <c r="N349" s="364">
        <v>8.5</v>
      </c>
      <c r="O349" s="363">
        <v>17880</v>
      </c>
      <c r="P349" s="363">
        <v>16360.2</v>
      </c>
      <c r="Q349" s="121">
        <v>2023</v>
      </c>
      <c r="R349" s="121"/>
      <c r="S349" s="148">
        <v>45104</v>
      </c>
      <c r="T349" s="363">
        <f>Таблица18[[#This Row],[Вес нетто]]-Таблица18[[#This Row],[Зачетный вес]]</f>
        <v>1519.7999999999993</v>
      </c>
      <c r="U349" s="365">
        <f>Таблица18[[#This Row],[Отход]]/Таблица18[[#This Row],[Вес нетто]]</f>
        <v>8.4999999999999964E-2</v>
      </c>
      <c r="V349" s="121">
        <f>MONTH(Таблица18[[#This Row],[Дата акта]])</f>
        <v>6</v>
      </c>
      <c r="W349" s="121">
        <v>27</v>
      </c>
      <c r="X349" s="148">
        <f>DATE(1900,Таблица18[[#This Row],[Месяц]],Таблица18[[#This Row],[Число]])</f>
        <v>179</v>
      </c>
      <c r="Y349" s="121"/>
      <c r="Z349" s="121" t="str">
        <f>Таблица18[[#This Row],[Хар-ка]]</f>
        <v>первый</v>
      </c>
      <c r="AD349" s="459"/>
      <c r="AE349" s="391"/>
    </row>
    <row r="350" spans="1:31" s="325" customFormat="1" ht="15.6" hidden="1" customHeight="1" x14ac:dyDescent="0.2">
      <c r="A350" s="360" t="s">
        <v>2196</v>
      </c>
      <c r="B350" s="360" t="s">
        <v>550</v>
      </c>
      <c r="C350" s="361">
        <v>509</v>
      </c>
      <c r="D350" s="362">
        <v>45</v>
      </c>
      <c r="E350" s="360" t="s">
        <v>1737</v>
      </c>
      <c r="F350" s="360" t="s">
        <v>311</v>
      </c>
      <c r="G350" s="360" t="s">
        <v>315</v>
      </c>
      <c r="H350" s="360" t="s">
        <v>2168</v>
      </c>
      <c r="I350" s="360" t="e">
        <f>VLOOKUP(Таблица18[[#This Row],[Номер акта]],$AB$1:$AF$1833,3,FALSE)</f>
        <v>#N/A</v>
      </c>
      <c r="J350" s="360" t="s">
        <v>1755</v>
      </c>
      <c r="K350" s="360" t="s">
        <v>82</v>
      </c>
      <c r="L350" s="363">
        <v>30910</v>
      </c>
      <c r="M350" s="363">
        <v>15250</v>
      </c>
      <c r="N350" s="364">
        <v>6.5</v>
      </c>
      <c r="O350" s="363">
        <v>15660</v>
      </c>
      <c r="P350" s="363">
        <v>14642.1</v>
      </c>
      <c r="Q350" s="121">
        <v>2023</v>
      </c>
      <c r="R350" s="121"/>
      <c r="S350" s="148">
        <v>45104</v>
      </c>
      <c r="T350" s="363">
        <f>Таблица18[[#This Row],[Вес нетто]]-Таблица18[[#This Row],[Зачетный вес]]</f>
        <v>1017.8999999999996</v>
      </c>
      <c r="U350" s="365">
        <f>Таблица18[[#This Row],[Отход]]/Таблица18[[#This Row],[Вес нетто]]</f>
        <v>6.4999999999999974E-2</v>
      </c>
      <c r="V350" s="121">
        <f>MONTH(Таблица18[[#This Row],[Дата акта]])</f>
        <v>6</v>
      </c>
      <c r="W350" s="121">
        <v>27</v>
      </c>
      <c r="X350" s="148">
        <f>DATE(1900,Таблица18[[#This Row],[Месяц]],Таблица18[[#This Row],[Число]])</f>
        <v>179</v>
      </c>
      <c r="Y350" s="121"/>
      <c r="Z350" s="121" t="str">
        <f>Таблица18[[#This Row],[Хар-ка]]</f>
        <v>первый</v>
      </c>
      <c r="AD350" s="459"/>
      <c r="AE350" s="391"/>
    </row>
    <row r="351" spans="1:31" s="325" customFormat="1" ht="15.6" hidden="1" customHeight="1" x14ac:dyDescent="0.2">
      <c r="A351" s="360" t="s">
        <v>2197</v>
      </c>
      <c r="B351" s="360" t="s">
        <v>550</v>
      </c>
      <c r="C351" s="361">
        <v>510</v>
      </c>
      <c r="D351" s="362">
        <v>46</v>
      </c>
      <c r="E351" s="360" t="s">
        <v>1737</v>
      </c>
      <c r="F351" s="360" t="s">
        <v>1804</v>
      </c>
      <c r="G351" s="360" t="s">
        <v>536</v>
      </c>
      <c r="H351" s="360" t="s">
        <v>2168</v>
      </c>
      <c r="I351" s="360" t="e">
        <f>VLOOKUP(Таблица18[[#This Row],[Номер акта]],$AB$1:$AF$1833,3,FALSE)</f>
        <v>#N/A</v>
      </c>
      <c r="J351" s="360" t="s">
        <v>1755</v>
      </c>
      <c r="K351" s="360" t="s">
        <v>82</v>
      </c>
      <c r="L351" s="363">
        <v>32480</v>
      </c>
      <c r="M351" s="363">
        <v>14880</v>
      </c>
      <c r="N351" s="364">
        <v>9.5</v>
      </c>
      <c r="O351" s="363">
        <v>17600</v>
      </c>
      <c r="P351" s="363">
        <v>15928</v>
      </c>
      <c r="Q351" s="121">
        <v>2023</v>
      </c>
      <c r="R351" s="121"/>
      <c r="S351" s="148">
        <v>45105</v>
      </c>
      <c r="T351" s="363">
        <f>Таблица18[[#This Row],[Вес нетто]]-Таблица18[[#This Row],[Зачетный вес]]</f>
        <v>1672</v>
      </c>
      <c r="U351" s="365">
        <f>Таблица18[[#This Row],[Отход]]/Таблица18[[#This Row],[Вес нетто]]</f>
        <v>9.5000000000000001E-2</v>
      </c>
      <c r="V351" s="121">
        <f>MONTH(Таблица18[[#This Row],[Дата акта]])</f>
        <v>6</v>
      </c>
      <c r="W351" s="121">
        <v>28</v>
      </c>
      <c r="X351" s="148">
        <f>DATE(1900,Таблица18[[#This Row],[Месяц]],Таблица18[[#This Row],[Число]])</f>
        <v>180</v>
      </c>
      <c r="Y351" s="121"/>
      <c r="Z351" s="121" t="str">
        <f>Таблица18[[#This Row],[Хар-ка]]</f>
        <v>первый</v>
      </c>
      <c r="AD351" s="459"/>
      <c r="AE351" s="391"/>
    </row>
    <row r="352" spans="1:31" s="325" customFormat="1" ht="15.6" hidden="1" customHeight="1" x14ac:dyDescent="0.2">
      <c r="A352" s="360" t="s">
        <v>2198</v>
      </c>
      <c r="B352" s="360" t="s">
        <v>550</v>
      </c>
      <c r="C352" s="361">
        <v>511</v>
      </c>
      <c r="D352" s="362">
        <v>47</v>
      </c>
      <c r="E352" s="360" t="s">
        <v>1737</v>
      </c>
      <c r="F352" s="360" t="s">
        <v>1935</v>
      </c>
      <c r="G352" s="360" t="s">
        <v>1813</v>
      </c>
      <c r="H352" s="360" t="s">
        <v>2168</v>
      </c>
      <c r="I352" s="360" t="e">
        <f>VLOOKUP(Таблица18[[#This Row],[Номер акта]],$AB$1:$AF$1833,3,FALSE)</f>
        <v>#N/A</v>
      </c>
      <c r="J352" s="360" t="s">
        <v>1755</v>
      </c>
      <c r="K352" s="360" t="s">
        <v>82</v>
      </c>
      <c r="L352" s="363">
        <v>33200</v>
      </c>
      <c r="M352" s="363">
        <v>14470</v>
      </c>
      <c r="N352" s="364">
        <v>7.5</v>
      </c>
      <c r="O352" s="363">
        <v>18730</v>
      </c>
      <c r="P352" s="363">
        <v>17325.2</v>
      </c>
      <c r="Q352" s="121">
        <v>2023</v>
      </c>
      <c r="R352" s="121"/>
      <c r="S352" s="148">
        <v>45105</v>
      </c>
      <c r="T352" s="363">
        <f>Таблица18[[#This Row],[Вес нетто]]-Таблица18[[#This Row],[Зачетный вес]]</f>
        <v>1404.7999999999993</v>
      </c>
      <c r="U352" s="365">
        <f>Таблица18[[#This Row],[Отход]]/Таблица18[[#This Row],[Вес нетто]]</f>
        <v>7.5002669514148385E-2</v>
      </c>
      <c r="V352" s="121">
        <f>MONTH(Таблица18[[#This Row],[Дата акта]])</f>
        <v>6</v>
      </c>
      <c r="W352" s="121">
        <v>28</v>
      </c>
      <c r="X352" s="148">
        <f>DATE(1900,Таблица18[[#This Row],[Месяц]],Таблица18[[#This Row],[Число]])</f>
        <v>180</v>
      </c>
      <c r="Y352" s="121"/>
      <c r="Z352" s="121" t="str">
        <f>Таблица18[[#This Row],[Хар-ка]]</f>
        <v>первый</v>
      </c>
      <c r="AD352" s="459"/>
      <c r="AE352" s="391"/>
    </row>
    <row r="353" spans="1:31" s="325" customFormat="1" ht="15.6" hidden="1" customHeight="1" x14ac:dyDescent="0.2">
      <c r="A353" s="360" t="s">
        <v>2199</v>
      </c>
      <c r="B353" s="360" t="s">
        <v>511</v>
      </c>
      <c r="C353" s="361">
        <v>512</v>
      </c>
      <c r="D353" s="362">
        <v>48</v>
      </c>
      <c r="E353" s="360" t="s">
        <v>1737</v>
      </c>
      <c r="F353" s="360" t="s">
        <v>1794</v>
      </c>
      <c r="G353" s="360" t="s">
        <v>1795</v>
      </c>
      <c r="H353" s="360" t="s">
        <v>2200</v>
      </c>
      <c r="I353" s="360" t="e">
        <f>VLOOKUP(Таблица18[[#This Row],[Номер акта]],$AB$1:$AF$1833,3,FALSE)</f>
        <v>#N/A</v>
      </c>
      <c r="J353" s="360" t="s">
        <v>1760</v>
      </c>
      <c r="K353" s="360" t="s">
        <v>82</v>
      </c>
      <c r="L353" s="363">
        <v>29090</v>
      </c>
      <c r="M353" s="363">
        <v>13300</v>
      </c>
      <c r="N353" s="364">
        <v>15.5</v>
      </c>
      <c r="O353" s="363">
        <v>15790</v>
      </c>
      <c r="P353" s="363">
        <v>13342.5</v>
      </c>
      <c r="Q353" s="121">
        <v>2023</v>
      </c>
      <c r="R353" s="121"/>
      <c r="S353" s="148">
        <v>45105</v>
      </c>
      <c r="T353" s="363">
        <f>Таблица18[[#This Row],[Вес нетто]]-Таблица18[[#This Row],[Зачетный вес]]</f>
        <v>2447.5</v>
      </c>
      <c r="U353" s="365">
        <f>Таблица18[[#This Row],[Отход]]/Таблица18[[#This Row],[Вес нетто]]</f>
        <v>0.15500316656111462</v>
      </c>
      <c r="V353" s="121">
        <f>MONTH(Таблица18[[#This Row],[Дата акта]])</f>
        <v>6</v>
      </c>
      <c r="W353" s="121">
        <v>28</v>
      </c>
      <c r="X353" s="148">
        <f>DATE(1900,Таблица18[[#This Row],[Месяц]],Таблица18[[#This Row],[Число]])</f>
        <v>180</v>
      </c>
      <c r="Y353" s="121"/>
      <c r="Z353" s="121" t="str">
        <f>Таблица18[[#This Row],[Хар-ка]]</f>
        <v>высший</v>
      </c>
      <c r="AD353" s="459"/>
      <c r="AE353" s="391"/>
    </row>
    <row r="354" spans="1:31" s="325" customFormat="1" ht="15.6" hidden="1" customHeight="1" x14ac:dyDescent="0.2">
      <c r="A354" s="360" t="s">
        <v>2201</v>
      </c>
      <c r="B354" s="360" t="s">
        <v>511</v>
      </c>
      <c r="C354" s="361">
        <v>513</v>
      </c>
      <c r="D354" s="362">
        <v>49</v>
      </c>
      <c r="E354" s="360" t="s">
        <v>1737</v>
      </c>
      <c r="F354" s="360" t="s">
        <v>195</v>
      </c>
      <c r="G354" s="360" t="s">
        <v>199</v>
      </c>
      <c r="H354" s="360" t="s">
        <v>2200</v>
      </c>
      <c r="I354" s="360" t="e">
        <f>VLOOKUP(Таблица18[[#This Row],[Номер акта]],$AB$1:$AF$1833,3,FALSE)</f>
        <v>#N/A</v>
      </c>
      <c r="J354" s="360"/>
      <c r="K354" s="360" t="s">
        <v>82</v>
      </c>
      <c r="L354" s="363">
        <v>31080</v>
      </c>
      <c r="M354" s="363">
        <v>15360</v>
      </c>
      <c r="N354" s="364">
        <v>26</v>
      </c>
      <c r="O354" s="363">
        <v>15720</v>
      </c>
      <c r="P354" s="363">
        <v>11632.8</v>
      </c>
      <c r="Q354" s="121">
        <v>2023</v>
      </c>
      <c r="R354" s="121"/>
      <c r="S354" s="148">
        <v>45105</v>
      </c>
      <c r="T354" s="363">
        <f>Таблица18[[#This Row],[Вес нетто]]-Таблица18[[#This Row],[Зачетный вес]]</f>
        <v>4087.2000000000007</v>
      </c>
      <c r="U354" s="365">
        <f>Таблица18[[#This Row],[Отход]]/Таблица18[[#This Row],[Вес нетто]]</f>
        <v>0.26000000000000006</v>
      </c>
      <c r="V354" s="121">
        <f>MONTH(Таблица18[[#This Row],[Дата акта]])</f>
        <v>6</v>
      </c>
      <c r="W354" s="121">
        <v>28</v>
      </c>
      <c r="X354" s="148">
        <f>DATE(1900,Таблица18[[#This Row],[Месяц]],Таблица18[[#This Row],[Число]])</f>
        <v>180</v>
      </c>
      <c r="Y354" s="121"/>
      <c r="Z354" s="121" t="str">
        <f>Таблица18[[#This Row],[Хар-ка]]</f>
        <v>высший</v>
      </c>
      <c r="AD354" s="459"/>
      <c r="AE354" s="391"/>
    </row>
    <row r="355" spans="1:31" s="325" customFormat="1" ht="15.6" hidden="1" customHeight="1" x14ac:dyDescent="0.2">
      <c r="A355" s="360" t="s">
        <v>2202</v>
      </c>
      <c r="B355" s="360" t="s">
        <v>511</v>
      </c>
      <c r="C355" s="361">
        <v>516</v>
      </c>
      <c r="D355" s="362">
        <v>50</v>
      </c>
      <c r="E355" s="360" t="s">
        <v>1737</v>
      </c>
      <c r="F355" s="360" t="s">
        <v>1843</v>
      </c>
      <c r="G355" s="360" t="s">
        <v>119</v>
      </c>
      <c r="H355" s="360" t="s">
        <v>2200</v>
      </c>
      <c r="I355" s="360" t="e">
        <f>VLOOKUP(Таблица18[[#This Row],[Номер акта]],$AB$1:$AF$1833,3,FALSE)</f>
        <v>#N/A</v>
      </c>
      <c r="J355" s="360" t="s">
        <v>1760</v>
      </c>
      <c r="K355" s="360" t="s">
        <v>82</v>
      </c>
      <c r="L355" s="363">
        <v>39540</v>
      </c>
      <c r="M355" s="363">
        <v>20840</v>
      </c>
      <c r="N355" s="364">
        <v>16.5</v>
      </c>
      <c r="O355" s="363">
        <v>18700</v>
      </c>
      <c r="P355" s="363">
        <v>15614.5</v>
      </c>
      <c r="Q355" s="121">
        <v>2023</v>
      </c>
      <c r="R355" s="121"/>
      <c r="S355" s="148">
        <v>45105</v>
      </c>
      <c r="T355" s="363">
        <f>Таблица18[[#This Row],[Вес нетто]]-Таблица18[[#This Row],[Зачетный вес]]</f>
        <v>3085.5</v>
      </c>
      <c r="U355" s="365">
        <f>Таблица18[[#This Row],[Отход]]/Таблица18[[#This Row],[Вес нетто]]</f>
        <v>0.16500000000000001</v>
      </c>
      <c r="V355" s="121">
        <f>MONTH(Таблица18[[#This Row],[Дата акта]])</f>
        <v>6</v>
      </c>
      <c r="W355" s="121">
        <v>28</v>
      </c>
      <c r="X355" s="148">
        <f>DATE(1900,Таблица18[[#This Row],[Месяц]],Таблица18[[#This Row],[Число]])</f>
        <v>180</v>
      </c>
      <c r="Y355" s="121"/>
      <c r="Z355" s="121" t="str">
        <f>Таблица18[[#This Row],[Хар-ка]]</f>
        <v>высший</v>
      </c>
      <c r="AD355" s="459"/>
      <c r="AE355" s="391"/>
    </row>
    <row r="356" spans="1:31" s="325" customFormat="1" ht="15.6" hidden="1" customHeight="1" x14ac:dyDescent="0.2">
      <c r="A356" s="360" t="s">
        <v>2203</v>
      </c>
      <c r="B356" s="360" t="s">
        <v>833</v>
      </c>
      <c r="C356" s="361">
        <v>517</v>
      </c>
      <c r="D356" s="362">
        <v>51</v>
      </c>
      <c r="E356" s="360" t="s">
        <v>1737</v>
      </c>
      <c r="F356" s="360" t="s">
        <v>289</v>
      </c>
      <c r="G356" s="360" t="s">
        <v>293</v>
      </c>
      <c r="H356" s="360" t="s">
        <v>2193</v>
      </c>
      <c r="I356" s="360" t="e">
        <f>VLOOKUP(Таблица18[[#This Row],[Номер акта]],$AB$1:$AF$1833,3,FALSE)</f>
        <v>#N/A</v>
      </c>
      <c r="J356" s="360" t="s">
        <v>1755</v>
      </c>
      <c r="K356" s="360" t="s">
        <v>82</v>
      </c>
      <c r="L356" s="363">
        <v>32360</v>
      </c>
      <c r="M356" s="363">
        <v>16990</v>
      </c>
      <c r="N356" s="364">
        <v>6.5</v>
      </c>
      <c r="O356" s="363">
        <v>15370</v>
      </c>
      <c r="P356" s="363">
        <v>14370.9</v>
      </c>
      <c r="Q356" s="121">
        <v>2023</v>
      </c>
      <c r="R356" s="121"/>
      <c r="S356" s="148">
        <v>45105</v>
      </c>
      <c r="T356" s="363">
        <f>Таблица18[[#This Row],[Вес нетто]]-Таблица18[[#This Row],[Зачетный вес]]</f>
        <v>999.10000000000036</v>
      </c>
      <c r="U356" s="365">
        <f>Таблица18[[#This Row],[Отход]]/Таблица18[[#This Row],[Вес нетто]]</f>
        <v>6.5003253090435933E-2</v>
      </c>
      <c r="V356" s="121">
        <f>MONTH(Таблица18[[#This Row],[Дата акта]])</f>
        <v>6</v>
      </c>
      <c r="W356" s="121">
        <v>28</v>
      </c>
      <c r="X356" s="148">
        <f>DATE(1900,Таблица18[[#This Row],[Месяц]],Таблица18[[#This Row],[Число]])</f>
        <v>180</v>
      </c>
      <c r="Y356" s="121"/>
      <c r="Z356" s="121" t="str">
        <f>Таблица18[[#This Row],[Хар-ка]]</f>
        <v>второй</v>
      </c>
      <c r="AD356" s="459"/>
      <c r="AE356" s="391"/>
    </row>
    <row r="357" spans="1:31" s="325" customFormat="1" ht="15.6" hidden="1" customHeight="1" x14ac:dyDescent="0.2">
      <c r="A357" s="360" t="s">
        <v>2204</v>
      </c>
      <c r="B357" s="360" t="s">
        <v>833</v>
      </c>
      <c r="C357" s="361">
        <v>518</v>
      </c>
      <c r="D357" s="362">
        <v>52</v>
      </c>
      <c r="E357" s="360" t="s">
        <v>1737</v>
      </c>
      <c r="F357" s="360" t="s">
        <v>2150</v>
      </c>
      <c r="G357" s="360" t="s">
        <v>2151</v>
      </c>
      <c r="H357" s="360" t="s">
        <v>2193</v>
      </c>
      <c r="I357" s="360" t="e">
        <f>VLOOKUP(Таблица18[[#This Row],[Номер акта]],$AB$1:$AF$1833,3,FALSE)</f>
        <v>#N/A</v>
      </c>
      <c r="J357" s="360" t="s">
        <v>1755</v>
      </c>
      <c r="K357" s="360" t="s">
        <v>82</v>
      </c>
      <c r="L357" s="363">
        <v>30930</v>
      </c>
      <c r="M357" s="363">
        <v>15450</v>
      </c>
      <c r="N357" s="364">
        <v>5.5</v>
      </c>
      <c r="O357" s="363">
        <v>15480</v>
      </c>
      <c r="P357" s="363">
        <v>14628.6</v>
      </c>
      <c r="Q357" s="121">
        <v>2023</v>
      </c>
      <c r="R357" s="121"/>
      <c r="S357" s="148">
        <v>45105</v>
      </c>
      <c r="T357" s="363">
        <f>Таблица18[[#This Row],[Вес нетто]]-Таблица18[[#This Row],[Зачетный вес]]</f>
        <v>851.39999999999964</v>
      </c>
      <c r="U357" s="365">
        <f>Таблица18[[#This Row],[Отход]]/Таблица18[[#This Row],[Вес нетто]]</f>
        <v>5.4999999999999979E-2</v>
      </c>
      <c r="V357" s="121">
        <f>MONTH(Таблица18[[#This Row],[Дата акта]])</f>
        <v>6</v>
      </c>
      <c r="W357" s="121">
        <v>28</v>
      </c>
      <c r="X357" s="148">
        <f>DATE(1900,Таблица18[[#This Row],[Месяц]],Таблица18[[#This Row],[Число]])</f>
        <v>180</v>
      </c>
      <c r="Y357" s="121"/>
      <c r="Z357" s="121" t="str">
        <f>Таблица18[[#This Row],[Хар-ка]]</f>
        <v>второй</v>
      </c>
      <c r="AD357" s="459"/>
      <c r="AE357" s="391"/>
    </row>
    <row r="358" spans="1:31" s="325" customFormat="1" ht="15.6" hidden="1" customHeight="1" x14ac:dyDescent="0.2">
      <c r="A358" s="360" t="s">
        <v>2205</v>
      </c>
      <c r="B358" s="360" t="s">
        <v>550</v>
      </c>
      <c r="C358" s="361">
        <v>519</v>
      </c>
      <c r="D358" s="362">
        <v>53</v>
      </c>
      <c r="E358" s="360" t="s">
        <v>1737</v>
      </c>
      <c r="F358" s="360" t="s">
        <v>1841</v>
      </c>
      <c r="G358" s="360" t="s">
        <v>351</v>
      </c>
      <c r="H358" s="360" t="s">
        <v>2193</v>
      </c>
      <c r="I358" s="360" t="e">
        <f>VLOOKUP(Таблица18[[#This Row],[Номер акта]],$AB$1:$AF$1833,3,FALSE)</f>
        <v>#N/A</v>
      </c>
      <c r="J358" s="360" t="s">
        <v>1755</v>
      </c>
      <c r="K358" s="360" t="s">
        <v>82</v>
      </c>
      <c r="L358" s="363">
        <v>36460</v>
      </c>
      <c r="M358" s="363">
        <v>18680</v>
      </c>
      <c r="N358" s="364">
        <v>5.5</v>
      </c>
      <c r="O358" s="363">
        <v>17780</v>
      </c>
      <c r="P358" s="363">
        <v>16802.099999999999</v>
      </c>
      <c r="Q358" s="121">
        <v>2023</v>
      </c>
      <c r="R358" s="121"/>
      <c r="S358" s="148">
        <v>45105</v>
      </c>
      <c r="T358" s="363">
        <f>Таблица18[[#This Row],[Вес нетто]]-Таблица18[[#This Row],[Зачетный вес]]</f>
        <v>977.90000000000146</v>
      </c>
      <c r="U358" s="365">
        <f>Таблица18[[#This Row],[Отход]]/Таблица18[[#This Row],[Вес нетто]]</f>
        <v>5.5000000000000084E-2</v>
      </c>
      <c r="V358" s="121">
        <f>MONTH(Таблица18[[#This Row],[Дата акта]])</f>
        <v>6</v>
      </c>
      <c r="W358" s="121">
        <v>28</v>
      </c>
      <c r="X358" s="148">
        <f>DATE(1900,Таблица18[[#This Row],[Месяц]],Таблица18[[#This Row],[Число]])</f>
        <v>180</v>
      </c>
      <c r="Y358" s="121"/>
      <c r="Z358" s="121" t="str">
        <f>Таблица18[[#This Row],[Хар-ка]]</f>
        <v>первый</v>
      </c>
      <c r="AD358" s="459"/>
      <c r="AE358" s="391"/>
    </row>
    <row r="359" spans="1:31" s="325" customFormat="1" ht="15.6" hidden="1" customHeight="1" x14ac:dyDescent="0.2">
      <c r="A359" s="360" t="s">
        <v>2206</v>
      </c>
      <c r="B359" s="360" t="s">
        <v>833</v>
      </c>
      <c r="C359" s="361">
        <v>521</v>
      </c>
      <c r="D359" s="362">
        <v>54</v>
      </c>
      <c r="E359" s="360" t="s">
        <v>1737</v>
      </c>
      <c r="F359" s="360" t="s">
        <v>283</v>
      </c>
      <c r="G359" s="360" t="s">
        <v>287</v>
      </c>
      <c r="H359" s="360" t="s">
        <v>2193</v>
      </c>
      <c r="I359" s="360" t="e">
        <f>VLOOKUP(Таблица18[[#This Row],[Номер акта]],$AB$1:$AF$1833,3,FALSE)</f>
        <v>#N/A</v>
      </c>
      <c r="J359" s="360" t="s">
        <v>1755</v>
      </c>
      <c r="K359" s="360" t="s">
        <v>82</v>
      </c>
      <c r="L359" s="363">
        <v>35660</v>
      </c>
      <c r="M359" s="363">
        <v>17980</v>
      </c>
      <c r="N359" s="364">
        <v>7.5</v>
      </c>
      <c r="O359" s="363">
        <v>17680</v>
      </c>
      <c r="P359" s="363">
        <v>16354</v>
      </c>
      <c r="Q359" s="121">
        <v>2023</v>
      </c>
      <c r="R359" s="121"/>
      <c r="S359" s="148">
        <v>45105</v>
      </c>
      <c r="T359" s="363">
        <f>Таблица18[[#This Row],[Вес нетто]]-Таблица18[[#This Row],[Зачетный вес]]</f>
        <v>1326</v>
      </c>
      <c r="U359" s="365">
        <f>Таблица18[[#This Row],[Отход]]/Таблица18[[#This Row],[Вес нетто]]</f>
        <v>7.4999999999999997E-2</v>
      </c>
      <c r="V359" s="121">
        <f>MONTH(Таблица18[[#This Row],[Дата акта]])</f>
        <v>6</v>
      </c>
      <c r="W359" s="121">
        <v>28</v>
      </c>
      <c r="X359" s="148">
        <f>DATE(1900,Таблица18[[#This Row],[Месяц]],Таблица18[[#This Row],[Число]])</f>
        <v>180</v>
      </c>
      <c r="Y359" s="121"/>
      <c r="Z359" s="121" t="str">
        <f>Таблица18[[#This Row],[Хар-ка]]</f>
        <v>второй</v>
      </c>
      <c r="AD359" s="459"/>
      <c r="AE359" s="391"/>
    </row>
    <row r="360" spans="1:31" s="325" customFormat="1" ht="15.6" hidden="1" customHeight="1" x14ac:dyDescent="0.2">
      <c r="A360" s="360" t="s">
        <v>2207</v>
      </c>
      <c r="B360" s="360" t="s">
        <v>833</v>
      </c>
      <c r="C360" s="361">
        <v>522</v>
      </c>
      <c r="D360" s="362">
        <v>55</v>
      </c>
      <c r="E360" s="360" t="s">
        <v>1737</v>
      </c>
      <c r="F360" s="360" t="s">
        <v>311</v>
      </c>
      <c r="G360" s="360" t="s">
        <v>315</v>
      </c>
      <c r="H360" s="360" t="s">
        <v>2193</v>
      </c>
      <c r="I360" s="360" t="e">
        <f>VLOOKUP(Таблица18[[#This Row],[Номер акта]],$AB$1:$AF$1833,3,FALSE)</f>
        <v>#N/A</v>
      </c>
      <c r="J360" s="360" t="s">
        <v>1755</v>
      </c>
      <c r="K360" s="360" t="s">
        <v>82</v>
      </c>
      <c r="L360" s="363">
        <v>32700</v>
      </c>
      <c r="M360" s="363">
        <v>15090</v>
      </c>
      <c r="N360" s="364">
        <v>4.5</v>
      </c>
      <c r="O360" s="363">
        <v>17610</v>
      </c>
      <c r="P360" s="363">
        <v>16817.5</v>
      </c>
      <c r="Q360" s="121">
        <v>2023</v>
      </c>
      <c r="R360" s="121"/>
      <c r="S360" s="148">
        <v>45105</v>
      </c>
      <c r="T360" s="363">
        <f>Таблица18[[#This Row],[Вес нетто]]-Таблица18[[#This Row],[Зачетный вес]]</f>
        <v>792.5</v>
      </c>
      <c r="U360" s="365">
        <f>Таблица18[[#This Row],[Отход]]/Таблица18[[#This Row],[Вес нетто]]</f>
        <v>4.5002839295854628E-2</v>
      </c>
      <c r="V360" s="121">
        <f>MONTH(Таблица18[[#This Row],[Дата акта]])</f>
        <v>6</v>
      </c>
      <c r="W360" s="121">
        <v>28</v>
      </c>
      <c r="X360" s="148">
        <f>DATE(1900,Таблица18[[#This Row],[Месяц]],Таблица18[[#This Row],[Число]])</f>
        <v>180</v>
      </c>
      <c r="Y360" s="121"/>
      <c r="Z360" s="121" t="str">
        <f>Таблица18[[#This Row],[Хар-ка]]</f>
        <v>второй</v>
      </c>
      <c r="AD360" s="459"/>
      <c r="AE360" s="391"/>
    </row>
    <row r="361" spans="1:31" s="325" customFormat="1" ht="15.6" hidden="1" customHeight="1" x14ac:dyDescent="0.2">
      <c r="A361" s="360" t="s">
        <v>2208</v>
      </c>
      <c r="B361" s="360" t="s">
        <v>833</v>
      </c>
      <c r="C361" s="361">
        <v>523</v>
      </c>
      <c r="D361" s="362">
        <v>57</v>
      </c>
      <c r="E361" s="360" t="s">
        <v>1737</v>
      </c>
      <c r="F361" s="360" t="s">
        <v>133</v>
      </c>
      <c r="G361" s="360" t="s">
        <v>137</v>
      </c>
      <c r="H361" s="360" t="s">
        <v>2193</v>
      </c>
      <c r="I361" s="360" t="e">
        <f>VLOOKUP(Таблица18[[#This Row],[Номер акта]],$AB$1:$AF$1833,3,FALSE)</f>
        <v>#N/A</v>
      </c>
      <c r="J361" s="360" t="s">
        <v>1755</v>
      </c>
      <c r="K361" s="360" t="s">
        <v>82</v>
      </c>
      <c r="L361" s="363">
        <v>37070</v>
      </c>
      <c r="M361" s="363">
        <v>17360</v>
      </c>
      <c r="N361" s="364">
        <v>5.5</v>
      </c>
      <c r="O361" s="363">
        <v>19710</v>
      </c>
      <c r="P361" s="363">
        <v>18625.900000000001</v>
      </c>
      <c r="Q361" s="121">
        <v>2023</v>
      </c>
      <c r="R361" s="121"/>
      <c r="S361" s="148">
        <v>45106</v>
      </c>
      <c r="T361" s="363">
        <f>Таблица18[[#This Row],[Вес нетто]]-Таблица18[[#This Row],[Зачетный вес]]</f>
        <v>1084.0999999999985</v>
      </c>
      <c r="U361" s="365">
        <f>Таблица18[[#This Row],[Отход]]/Таблица18[[#This Row],[Вес нетто]]</f>
        <v>5.5002536783358626E-2</v>
      </c>
      <c r="V361" s="121">
        <f>MONTH(Таблица18[[#This Row],[Дата акта]])</f>
        <v>6</v>
      </c>
      <c r="W361" s="121">
        <v>29</v>
      </c>
      <c r="X361" s="148">
        <f>DATE(1900,Таблица18[[#This Row],[Месяц]],Таблица18[[#This Row],[Число]])</f>
        <v>181</v>
      </c>
      <c r="Y361" s="121"/>
      <c r="Z361" s="121" t="str">
        <f>Таблица18[[#This Row],[Хар-ка]]</f>
        <v>второй</v>
      </c>
      <c r="AD361" s="459"/>
      <c r="AE361" s="391"/>
    </row>
    <row r="362" spans="1:31" s="325" customFormat="1" ht="15.6" hidden="1" customHeight="1" x14ac:dyDescent="0.2">
      <c r="A362" s="360" t="s">
        <v>2209</v>
      </c>
      <c r="B362" s="360" t="s">
        <v>833</v>
      </c>
      <c r="C362" s="361">
        <v>524</v>
      </c>
      <c r="D362" s="362">
        <v>56</v>
      </c>
      <c r="E362" s="360" t="s">
        <v>1737</v>
      </c>
      <c r="F362" s="360" t="s">
        <v>121</v>
      </c>
      <c r="G362" s="360" t="s">
        <v>125</v>
      </c>
      <c r="H362" s="360" t="s">
        <v>2193</v>
      </c>
      <c r="I362" s="360" t="e">
        <f>VLOOKUP(Таблица18[[#This Row],[Номер акта]],$AB$1:$AF$1833,3,FALSE)</f>
        <v>#N/A</v>
      </c>
      <c r="J362" s="360" t="s">
        <v>1755</v>
      </c>
      <c r="K362" s="360" t="s">
        <v>82</v>
      </c>
      <c r="L362" s="363">
        <v>32070</v>
      </c>
      <c r="M362" s="363">
        <v>14620</v>
      </c>
      <c r="N362" s="364">
        <v>4.5</v>
      </c>
      <c r="O362" s="363">
        <v>17450</v>
      </c>
      <c r="P362" s="363">
        <v>16664.7</v>
      </c>
      <c r="Q362" s="121">
        <v>2023</v>
      </c>
      <c r="R362" s="121"/>
      <c r="S362" s="148">
        <v>45106</v>
      </c>
      <c r="T362" s="363">
        <f>Таблица18[[#This Row],[Вес нетто]]-Таблица18[[#This Row],[Зачетный вес]]</f>
        <v>785.29999999999927</v>
      </c>
      <c r="U362" s="365">
        <f>Таблица18[[#This Row],[Отход]]/Таблица18[[#This Row],[Вес нетто]]</f>
        <v>4.5002865329512851E-2</v>
      </c>
      <c r="V362" s="121">
        <f>MONTH(Таблица18[[#This Row],[Дата акта]])</f>
        <v>6</v>
      </c>
      <c r="W362" s="121">
        <v>29</v>
      </c>
      <c r="X362" s="148">
        <f>DATE(1900,Таблица18[[#This Row],[Месяц]],Таблица18[[#This Row],[Число]])</f>
        <v>181</v>
      </c>
      <c r="Y362" s="121"/>
      <c r="Z362" s="121" t="str">
        <f>Таблица18[[#This Row],[Хар-ка]]</f>
        <v>второй</v>
      </c>
      <c r="AD362" s="459"/>
      <c r="AE362" s="391"/>
    </row>
    <row r="363" spans="1:31" s="325" customFormat="1" ht="15.6" hidden="1" customHeight="1" x14ac:dyDescent="0.2">
      <c r="A363" s="360" t="s">
        <v>2210</v>
      </c>
      <c r="B363" s="360" t="s">
        <v>833</v>
      </c>
      <c r="C363" s="361">
        <v>525</v>
      </c>
      <c r="D363" s="362">
        <v>58</v>
      </c>
      <c r="E363" s="360" t="s">
        <v>1737</v>
      </c>
      <c r="F363" s="360" t="s">
        <v>212</v>
      </c>
      <c r="G363" s="360" t="s">
        <v>216</v>
      </c>
      <c r="H363" s="360" t="s">
        <v>2193</v>
      </c>
      <c r="I363" s="360" t="e">
        <f>VLOOKUP(Таблица18[[#This Row],[Номер акта]],$AB$1:$AF$1833,3,FALSE)</f>
        <v>#N/A</v>
      </c>
      <c r="J363" s="360" t="s">
        <v>1755</v>
      </c>
      <c r="K363" s="360" t="s">
        <v>82</v>
      </c>
      <c r="L363" s="363">
        <v>31760</v>
      </c>
      <c r="M363" s="363">
        <v>14170</v>
      </c>
      <c r="N363" s="364">
        <v>4.5</v>
      </c>
      <c r="O363" s="363">
        <v>17590</v>
      </c>
      <c r="P363" s="363">
        <v>16798.400000000001</v>
      </c>
      <c r="Q363" s="121">
        <v>2023</v>
      </c>
      <c r="R363" s="121"/>
      <c r="S363" s="148">
        <v>45106</v>
      </c>
      <c r="T363" s="363">
        <f>Таблица18[[#This Row],[Вес нетто]]-Таблица18[[#This Row],[Зачетный вес]]</f>
        <v>791.59999999999854</v>
      </c>
      <c r="U363" s="365">
        <f>Таблица18[[#This Row],[Отход]]/Таблица18[[#This Row],[Вес нетто]]</f>
        <v>4.5002842524161375E-2</v>
      </c>
      <c r="V363" s="121">
        <f>MONTH(Таблица18[[#This Row],[Дата акта]])</f>
        <v>6</v>
      </c>
      <c r="W363" s="121">
        <v>29</v>
      </c>
      <c r="X363" s="148">
        <f>DATE(1900,Таблица18[[#This Row],[Месяц]],Таблица18[[#This Row],[Число]])</f>
        <v>181</v>
      </c>
      <c r="Y363" s="121"/>
      <c r="Z363" s="121" t="str">
        <f>Таблица18[[#This Row],[Хар-ка]]</f>
        <v>второй</v>
      </c>
      <c r="AD363" s="459"/>
      <c r="AE363" s="391"/>
    </row>
    <row r="364" spans="1:31" s="325" customFormat="1" ht="15.6" hidden="1" customHeight="1" x14ac:dyDescent="0.2">
      <c r="A364" s="360" t="s">
        <v>2211</v>
      </c>
      <c r="B364" s="360" t="s">
        <v>833</v>
      </c>
      <c r="C364" s="361">
        <v>526</v>
      </c>
      <c r="D364" s="362">
        <v>59</v>
      </c>
      <c r="E364" s="360" t="s">
        <v>1737</v>
      </c>
      <c r="F364" s="360" t="s">
        <v>2155</v>
      </c>
      <c r="G364" s="360" t="s">
        <v>320</v>
      </c>
      <c r="H364" s="360" t="s">
        <v>2193</v>
      </c>
      <c r="I364" s="360" t="e">
        <f>VLOOKUP(Таблица18[[#This Row],[Номер акта]],$AB$1:$AF$1833,3,FALSE)</f>
        <v>#N/A</v>
      </c>
      <c r="J364" s="360" t="s">
        <v>1755</v>
      </c>
      <c r="K364" s="360" t="s">
        <v>82</v>
      </c>
      <c r="L364" s="363">
        <v>31870</v>
      </c>
      <c r="M364" s="363">
        <v>14390</v>
      </c>
      <c r="N364" s="364">
        <v>5.5</v>
      </c>
      <c r="O364" s="363">
        <v>17480</v>
      </c>
      <c r="P364" s="363">
        <v>16518.599999999999</v>
      </c>
      <c r="Q364" s="121">
        <v>2023</v>
      </c>
      <c r="R364" s="121"/>
      <c r="S364" s="148">
        <v>45106</v>
      </c>
      <c r="T364" s="363">
        <f>Таблица18[[#This Row],[Вес нетто]]-Таблица18[[#This Row],[Зачетный вес]]</f>
        <v>961.40000000000146</v>
      </c>
      <c r="U364" s="365">
        <f>Таблица18[[#This Row],[Отход]]/Таблица18[[#This Row],[Вес нетто]]</f>
        <v>5.5000000000000084E-2</v>
      </c>
      <c r="V364" s="121">
        <f>MONTH(Таблица18[[#This Row],[Дата акта]])</f>
        <v>6</v>
      </c>
      <c r="W364" s="121">
        <v>29</v>
      </c>
      <c r="X364" s="148">
        <f>DATE(1900,Таблица18[[#This Row],[Месяц]],Таблица18[[#This Row],[Число]])</f>
        <v>181</v>
      </c>
      <c r="Y364" s="121"/>
      <c r="Z364" s="121" t="str">
        <f>Таблица18[[#This Row],[Хар-ка]]</f>
        <v>второй</v>
      </c>
      <c r="AD364" s="459"/>
      <c r="AE364" s="391"/>
    </row>
    <row r="365" spans="1:31" s="325" customFormat="1" ht="15.6" hidden="1" customHeight="1" x14ac:dyDescent="0.2">
      <c r="A365" s="360" t="s">
        <v>2212</v>
      </c>
      <c r="B365" s="360" t="s">
        <v>833</v>
      </c>
      <c r="C365" s="361">
        <v>527</v>
      </c>
      <c r="D365" s="362">
        <v>60</v>
      </c>
      <c r="E365" s="360" t="s">
        <v>1737</v>
      </c>
      <c r="F365" s="360" t="s">
        <v>1935</v>
      </c>
      <c r="G365" s="360" t="s">
        <v>1813</v>
      </c>
      <c r="H365" s="360" t="s">
        <v>2193</v>
      </c>
      <c r="I365" s="360" t="e">
        <f>VLOOKUP(Таблица18[[#This Row],[Номер акта]],$AB$1:$AF$1833,3,FALSE)</f>
        <v>#N/A</v>
      </c>
      <c r="J365" s="360" t="s">
        <v>1755</v>
      </c>
      <c r="K365" s="360" t="s">
        <v>82</v>
      </c>
      <c r="L365" s="363">
        <v>31930</v>
      </c>
      <c r="M365" s="363">
        <v>14350</v>
      </c>
      <c r="N365" s="364">
        <v>4.5</v>
      </c>
      <c r="O365" s="363">
        <v>17580</v>
      </c>
      <c r="P365" s="363">
        <v>16788.900000000001</v>
      </c>
      <c r="Q365" s="121">
        <v>2023</v>
      </c>
      <c r="R365" s="121"/>
      <c r="S365" s="148">
        <v>45106</v>
      </c>
      <c r="T365" s="363">
        <f>Таблица18[[#This Row],[Вес нетто]]-Таблица18[[#This Row],[Зачетный вес]]</f>
        <v>791.09999999999854</v>
      </c>
      <c r="U365" s="365">
        <f>Таблица18[[#This Row],[Отход]]/Таблица18[[#This Row],[Вес нетто]]</f>
        <v>4.4999999999999915E-2</v>
      </c>
      <c r="V365" s="121">
        <f>MONTH(Таблица18[[#This Row],[Дата акта]])</f>
        <v>6</v>
      </c>
      <c r="W365" s="121">
        <v>29</v>
      </c>
      <c r="X365" s="148">
        <f>DATE(1900,Таблица18[[#This Row],[Месяц]],Таблица18[[#This Row],[Число]])</f>
        <v>181</v>
      </c>
      <c r="Y365" s="121"/>
      <c r="Z365" s="121" t="str">
        <f>Таблица18[[#This Row],[Хар-ка]]</f>
        <v>второй</v>
      </c>
      <c r="AD365" s="459"/>
      <c r="AE365" s="391"/>
    </row>
    <row r="366" spans="1:31" s="325" customFormat="1" ht="15.6" hidden="1" customHeight="1" x14ac:dyDescent="0.2">
      <c r="A366" s="360" t="s">
        <v>2213</v>
      </c>
      <c r="B366" s="360" t="s">
        <v>833</v>
      </c>
      <c r="C366" s="361">
        <v>528</v>
      </c>
      <c r="D366" s="362">
        <v>61</v>
      </c>
      <c r="E366" s="360" t="s">
        <v>1737</v>
      </c>
      <c r="F366" s="360" t="s">
        <v>2150</v>
      </c>
      <c r="G366" s="360" t="s">
        <v>2151</v>
      </c>
      <c r="H366" s="360" t="s">
        <v>2193</v>
      </c>
      <c r="I366" s="360" t="e">
        <f>VLOOKUP(Таблица18[[#This Row],[Номер акта]],$AB$1:$AF$1833,3,FALSE)</f>
        <v>#N/A</v>
      </c>
      <c r="J366" s="360" t="s">
        <v>1755</v>
      </c>
      <c r="K366" s="360" t="s">
        <v>82</v>
      </c>
      <c r="L366" s="363">
        <v>32870</v>
      </c>
      <c r="M366" s="363">
        <v>15370</v>
      </c>
      <c r="N366" s="364">
        <v>5.5</v>
      </c>
      <c r="O366" s="363">
        <v>17500</v>
      </c>
      <c r="P366" s="363">
        <v>16537.5</v>
      </c>
      <c r="Q366" s="121">
        <v>2023</v>
      </c>
      <c r="R366" s="121"/>
      <c r="S366" s="148">
        <v>45106</v>
      </c>
      <c r="T366" s="363">
        <f>Таблица18[[#This Row],[Вес нетто]]-Таблица18[[#This Row],[Зачетный вес]]</f>
        <v>962.5</v>
      </c>
      <c r="U366" s="365">
        <f>Таблица18[[#This Row],[Отход]]/Таблица18[[#This Row],[Вес нетто]]</f>
        <v>5.5E-2</v>
      </c>
      <c r="V366" s="121">
        <f>MONTH(Таблица18[[#This Row],[Дата акта]])</f>
        <v>6</v>
      </c>
      <c r="W366" s="121">
        <v>29</v>
      </c>
      <c r="X366" s="148">
        <f>DATE(1900,Таблица18[[#This Row],[Месяц]],Таблица18[[#This Row],[Число]])</f>
        <v>181</v>
      </c>
      <c r="Y366" s="121"/>
      <c r="Z366" s="121" t="str">
        <f>Таблица18[[#This Row],[Хар-ка]]</f>
        <v>второй</v>
      </c>
      <c r="AD366" s="459"/>
      <c r="AE366" s="391"/>
    </row>
    <row r="367" spans="1:31" s="325" customFormat="1" ht="15.6" hidden="1" customHeight="1" x14ac:dyDescent="0.2">
      <c r="A367" s="360" t="s">
        <v>2214</v>
      </c>
      <c r="B367" s="360" t="s">
        <v>833</v>
      </c>
      <c r="C367" s="361">
        <v>531</v>
      </c>
      <c r="D367" s="362">
        <v>62</v>
      </c>
      <c r="E367" s="360" t="s">
        <v>1737</v>
      </c>
      <c r="F367" s="360" t="s">
        <v>1843</v>
      </c>
      <c r="G367" s="360" t="s">
        <v>119</v>
      </c>
      <c r="H367" s="360" t="s">
        <v>2193</v>
      </c>
      <c r="I367" s="360" t="e">
        <f>VLOOKUP(Таблица18[[#This Row],[Номер акта]],$AB$1:$AF$1833,3,FALSE)</f>
        <v>#N/A</v>
      </c>
      <c r="J367" s="360" t="s">
        <v>1755</v>
      </c>
      <c r="K367" s="360" t="s">
        <v>82</v>
      </c>
      <c r="L367" s="363">
        <v>38730</v>
      </c>
      <c r="M367" s="363">
        <v>21070</v>
      </c>
      <c r="N367" s="364">
        <v>6.5</v>
      </c>
      <c r="O367" s="363">
        <v>17660</v>
      </c>
      <c r="P367" s="363">
        <v>16512.099999999999</v>
      </c>
      <c r="Q367" s="121">
        <v>2023</v>
      </c>
      <c r="R367" s="121"/>
      <c r="S367" s="148">
        <v>45106</v>
      </c>
      <c r="T367" s="363">
        <f>Таблица18[[#This Row],[Вес нетто]]-Таблица18[[#This Row],[Зачетный вес]]</f>
        <v>1147.9000000000015</v>
      </c>
      <c r="U367" s="365">
        <f>Таблица18[[#This Row],[Отход]]/Таблица18[[#This Row],[Вес нетто]]</f>
        <v>6.5000000000000085E-2</v>
      </c>
      <c r="V367" s="121">
        <f>MONTH(Таблица18[[#This Row],[Дата акта]])</f>
        <v>6</v>
      </c>
      <c r="W367" s="121">
        <v>29</v>
      </c>
      <c r="X367" s="148">
        <f>DATE(1900,Таблица18[[#This Row],[Месяц]],Таблица18[[#This Row],[Число]])</f>
        <v>181</v>
      </c>
      <c r="Y367" s="121"/>
      <c r="Z367" s="121" t="str">
        <f>Таблица18[[#This Row],[Хар-ка]]</f>
        <v>второй</v>
      </c>
      <c r="AD367" s="459"/>
      <c r="AE367" s="391"/>
    </row>
    <row r="368" spans="1:31" s="325" customFormat="1" ht="15.6" hidden="1" customHeight="1" x14ac:dyDescent="0.2">
      <c r="A368" s="360" t="s">
        <v>2215</v>
      </c>
      <c r="B368" s="360" t="s">
        <v>833</v>
      </c>
      <c r="C368" s="361">
        <v>534</v>
      </c>
      <c r="D368" s="362">
        <v>63</v>
      </c>
      <c r="E368" s="360" t="s">
        <v>1737</v>
      </c>
      <c r="F368" s="360" t="s">
        <v>289</v>
      </c>
      <c r="G368" s="360" t="s">
        <v>293</v>
      </c>
      <c r="H368" s="360" t="s">
        <v>2193</v>
      </c>
      <c r="I368" s="360" t="e">
        <f>VLOOKUP(Таблица18[[#This Row],[Номер акта]],$AB$1:$AF$1833,3,FALSE)</f>
        <v>#N/A</v>
      </c>
      <c r="J368" s="360" t="s">
        <v>1755</v>
      </c>
      <c r="K368" s="360" t="s">
        <v>82</v>
      </c>
      <c r="L368" s="363">
        <v>34510</v>
      </c>
      <c r="M368" s="363">
        <v>16890</v>
      </c>
      <c r="N368" s="364">
        <v>6.5</v>
      </c>
      <c r="O368" s="363">
        <v>17620</v>
      </c>
      <c r="P368" s="363">
        <v>16474.7</v>
      </c>
      <c r="Q368" s="121">
        <v>2023</v>
      </c>
      <c r="R368" s="121"/>
      <c r="S368" s="148">
        <v>45106</v>
      </c>
      <c r="T368" s="363">
        <f>Таблица18[[#This Row],[Вес нетто]]-Таблица18[[#This Row],[Зачетный вес]]</f>
        <v>1145.2999999999993</v>
      </c>
      <c r="U368" s="365">
        <f>Таблица18[[#This Row],[Отход]]/Таблица18[[#This Row],[Вес нетто]]</f>
        <v>6.4999999999999961E-2</v>
      </c>
      <c r="V368" s="121">
        <f>MONTH(Таблица18[[#This Row],[Дата акта]])</f>
        <v>6</v>
      </c>
      <c r="W368" s="121">
        <v>29</v>
      </c>
      <c r="X368" s="148">
        <f>DATE(1900,Таблица18[[#This Row],[Месяц]],Таблица18[[#This Row],[Число]])</f>
        <v>181</v>
      </c>
      <c r="Y368" s="121"/>
      <c r="Z368" s="121" t="str">
        <f>Таблица18[[#This Row],[Хар-ка]]</f>
        <v>второй</v>
      </c>
      <c r="AD368" s="459"/>
      <c r="AE368" s="391"/>
    </row>
    <row r="369" spans="1:31" s="325" customFormat="1" ht="15.6" hidden="1" customHeight="1" x14ac:dyDescent="0.2">
      <c r="A369" s="360" t="s">
        <v>2216</v>
      </c>
      <c r="B369" s="360" t="s">
        <v>833</v>
      </c>
      <c r="C369" s="361">
        <v>535</v>
      </c>
      <c r="D369" s="362">
        <v>64</v>
      </c>
      <c r="E369" s="360" t="s">
        <v>1737</v>
      </c>
      <c r="F369" s="360" t="s">
        <v>283</v>
      </c>
      <c r="G369" s="360" t="s">
        <v>287</v>
      </c>
      <c r="H369" s="360" t="s">
        <v>2193</v>
      </c>
      <c r="I369" s="360" t="e">
        <f>VLOOKUP(Таблица18[[#This Row],[Номер акта]],$AB$1:$AF$1833,3,FALSE)</f>
        <v>#N/A</v>
      </c>
      <c r="J369" s="360" t="s">
        <v>1755</v>
      </c>
      <c r="K369" s="360" t="s">
        <v>82</v>
      </c>
      <c r="L369" s="363">
        <v>37790</v>
      </c>
      <c r="M369" s="363">
        <v>17860</v>
      </c>
      <c r="N369" s="364">
        <v>8.5</v>
      </c>
      <c r="O369" s="363">
        <v>19930</v>
      </c>
      <c r="P369" s="363">
        <v>18235.900000000001</v>
      </c>
      <c r="Q369" s="121">
        <v>2023</v>
      </c>
      <c r="R369" s="121"/>
      <c r="S369" s="148">
        <v>45106</v>
      </c>
      <c r="T369" s="363">
        <f>Таблица18[[#This Row],[Вес нетто]]-Таблица18[[#This Row],[Зачетный вес]]</f>
        <v>1694.0999999999985</v>
      </c>
      <c r="U369" s="365">
        <f>Таблица18[[#This Row],[Отход]]/Таблица18[[#This Row],[Вес нетто]]</f>
        <v>8.5002508780732497E-2</v>
      </c>
      <c r="V369" s="121">
        <f>MONTH(Таблица18[[#This Row],[Дата акта]])</f>
        <v>6</v>
      </c>
      <c r="W369" s="121">
        <v>29</v>
      </c>
      <c r="X369" s="148">
        <f>DATE(1900,Таблица18[[#This Row],[Месяц]],Таблица18[[#This Row],[Число]])</f>
        <v>181</v>
      </c>
      <c r="Y369" s="121"/>
      <c r="Z369" s="121" t="str">
        <f>Таблица18[[#This Row],[Хар-ка]]</f>
        <v>второй</v>
      </c>
      <c r="AD369" s="459"/>
      <c r="AE369" s="391"/>
    </row>
    <row r="370" spans="1:31" s="325" customFormat="1" ht="15.6" hidden="1" customHeight="1" x14ac:dyDescent="0.2">
      <c r="A370" s="360" t="s">
        <v>2217</v>
      </c>
      <c r="B370" s="360" t="s">
        <v>833</v>
      </c>
      <c r="C370" s="361">
        <v>536</v>
      </c>
      <c r="D370" s="362">
        <v>65</v>
      </c>
      <c r="E370" s="360" t="s">
        <v>1737</v>
      </c>
      <c r="F370" s="360" t="s">
        <v>1841</v>
      </c>
      <c r="G370" s="360" t="s">
        <v>351</v>
      </c>
      <c r="H370" s="360" t="s">
        <v>2193</v>
      </c>
      <c r="I370" s="360" t="e">
        <f>VLOOKUP(Таблица18[[#This Row],[Номер акта]],$AB$1:$AF$1833,3,FALSE)</f>
        <v>#N/A</v>
      </c>
      <c r="J370" s="360" t="s">
        <v>1755</v>
      </c>
      <c r="K370" s="360" t="s">
        <v>82</v>
      </c>
      <c r="L370" s="363">
        <v>38440</v>
      </c>
      <c r="M370" s="363">
        <v>26790</v>
      </c>
      <c r="N370" s="364">
        <v>5.5</v>
      </c>
      <c r="O370" s="363">
        <v>11650</v>
      </c>
      <c r="P370" s="363">
        <v>11009.2</v>
      </c>
      <c r="Q370" s="121">
        <v>2023</v>
      </c>
      <c r="R370" s="121"/>
      <c r="S370" s="148">
        <v>45107</v>
      </c>
      <c r="T370" s="363">
        <f>Таблица18[[#This Row],[Вес нетто]]-Таблица18[[#This Row],[Зачетный вес]]</f>
        <v>640.79999999999927</v>
      </c>
      <c r="U370" s="365">
        <f>Таблица18[[#This Row],[Отход]]/Таблица18[[#This Row],[Вес нетто]]</f>
        <v>5.5004291845493498E-2</v>
      </c>
      <c r="V370" s="121">
        <f>MONTH(Таблица18[[#This Row],[Дата акта]])</f>
        <v>6</v>
      </c>
      <c r="W370" s="121">
        <v>30</v>
      </c>
      <c r="X370" s="148">
        <f>DATE(1900,Таблица18[[#This Row],[Месяц]],Таблица18[[#This Row],[Число]])</f>
        <v>182</v>
      </c>
      <c r="Y370" s="121"/>
      <c r="Z370" s="121" t="str">
        <f>Таблица18[[#This Row],[Хар-ка]]</f>
        <v>второй</v>
      </c>
      <c r="AD370" s="459"/>
      <c r="AE370" s="391"/>
    </row>
    <row r="371" spans="1:31" s="325" customFormat="1" ht="15.6" hidden="1" customHeight="1" x14ac:dyDescent="0.2">
      <c r="A371" s="360" t="s">
        <v>2218</v>
      </c>
      <c r="B371" s="360" t="s">
        <v>833</v>
      </c>
      <c r="C371" s="361">
        <v>537</v>
      </c>
      <c r="D371" s="362">
        <v>66</v>
      </c>
      <c r="E371" s="360" t="s">
        <v>1737</v>
      </c>
      <c r="F371" s="360" t="s">
        <v>1804</v>
      </c>
      <c r="G371" s="360" t="s">
        <v>536</v>
      </c>
      <c r="H371" s="360" t="s">
        <v>2193</v>
      </c>
      <c r="I371" s="360" t="e">
        <f>VLOOKUP(Таблица18[[#This Row],[Номер акта]],$AB$1:$AF$1833,3,FALSE)</f>
        <v>#N/A</v>
      </c>
      <c r="J371" s="360" t="s">
        <v>1755</v>
      </c>
      <c r="K371" s="360" t="s">
        <v>82</v>
      </c>
      <c r="L371" s="363">
        <v>32380</v>
      </c>
      <c r="M371" s="363">
        <v>14670</v>
      </c>
      <c r="N371" s="364">
        <v>4.5</v>
      </c>
      <c r="O371" s="363">
        <v>17710</v>
      </c>
      <c r="P371" s="363">
        <v>16913</v>
      </c>
      <c r="Q371" s="121">
        <v>2023</v>
      </c>
      <c r="R371" s="121"/>
      <c r="S371" s="148">
        <v>45106</v>
      </c>
      <c r="T371" s="363">
        <f>Таблица18[[#This Row],[Вес нетто]]-Таблица18[[#This Row],[Зачетный вес]]</f>
        <v>797</v>
      </c>
      <c r="U371" s="365">
        <f>Таблица18[[#This Row],[Отход]]/Таблица18[[#This Row],[Вес нетто]]</f>
        <v>4.5002823263692829E-2</v>
      </c>
      <c r="V371" s="121">
        <f>MONTH(Таблица18[[#This Row],[Дата акта]])</f>
        <v>6</v>
      </c>
      <c r="W371" s="121">
        <v>29</v>
      </c>
      <c r="X371" s="148">
        <f>DATE(1900,Таблица18[[#This Row],[Месяц]],Таблица18[[#This Row],[Число]])</f>
        <v>181</v>
      </c>
      <c r="Y371" s="121"/>
      <c r="Z371" s="121" t="str">
        <f>Таблица18[[#This Row],[Хар-ка]]</f>
        <v>второй</v>
      </c>
      <c r="AD371" s="459"/>
      <c r="AE371" s="391"/>
    </row>
    <row r="372" spans="1:31" s="325" customFormat="1" ht="15.6" hidden="1" customHeight="1" x14ac:dyDescent="0.2">
      <c r="A372" s="360" t="s">
        <v>2219</v>
      </c>
      <c r="B372" s="360" t="s">
        <v>833</v>
      </c>
      <c r="C372" s="361">
        <v>538</v>
      </c>
      <c r="D372" s="362">
        <v>67</v>
      </c>
      <c r="E372" s="360" t="s">
        <v>1737</v>
      </c>
      <c r="F372" s="360" t="s">
        <v>2220</v>
      </c>
      <c r="G372" s="360" t="s">
        <v>2221</v>
      </c>
      <c r="H372" s="360" t="s">
        <v>2193</v>
      </c>
      <c r="I372" s="360" t="e">
        <f>VLOOKUP(Таблица18[[#This Row],[Номер акта]],$AB$1:$AF$1833,3,FALSE)</f>
        <v>#N/A</v>
      </c>
      <c r="J372" s="360" t="s">
        <v>1755</v>
      </c>
      <c r="K372" s="360" t="s">
        <v>82</v>
      </c>
      <c r="L372" s="363">
        <v>33400</v>
      </c>
      <c r="M372" s="363">
        <v>15540</v>
      </c>
      <c r="N372" s="364">
        <v>6.5</v>
      </c>
      <c r="O372" s="363">
        <v>17860</v>
      </c>
      <c r="P372" s="363">
        <v>16699.099999999999</v>
      </c>
      <c r="Q372" s="121">
        <v>2023</v>
      </c>
      <c r="R372" s="121"/>
      <c r="S372" s="148">
        <v>45106</v>
      </c>
      <c r="T372" s="363">
        <f>Таблица18[[#This Row],[Вес нетто]]-Таблица18[[#This Row],[Зачетный вес]]</f>
        <v>1160.9000000000015</v>
      </c>
      <c r="U372" s="365">
        <f>Таблица18[[#This Row],[Отход]]/Таблица18[[#This Row],[Вес нетто]]</f>
        <v>6.5000000000000085E-2</v>
      </c>
      <c r="V372" s="121">
        <f>MONTH(Таблица18[[#This Row],[Дата акта]])</f>
        <v>6</v>
      </c>
      <c r="W372" s="121">
        <v>29</v>
      </c>
      <c r="X372" s="148">
        <f>DATE(1900,Таблица18[[#This Row],[Месяц]],Таблица18[[#This Row],[Число]])</f>
        <v>181</v>
      </c>
      <c r="Y372" s="121"/>
      <c r="Z372" s="121" t="str">
        <f>Таблица18[[#This Row],[Хар-ка]]</f>
        <v>второй</v>
      </c>
      <c r="AD372" s="459"/>
      <c r="AE372" s="391"/>
    </row>
    <row r="373" spans="1:31" s="325" customFormat="1" ht="15.6" hidden="1" customHeight="1" x14ac:dyDescent="0.2">
      <c r="A373" s="360" t="s">
        <v>2222</v>
      </c>
      <c r="B373" s="360" t="s">
        <v>833</v>
      </c>
      <c r="C373" s="361">
        <v>540</v>
      </c>
      <c r="D373" s="362">
        <v>68</v>
      </c>
      <c r="E373" s="360" t="s">
        <v>1737</v>
      </c>
      <c r="F373" s="360" t="s">
        <v>2223</v>
      </c>
      <c r="G373" s="360" t="s">
        <v>2224</v>
      </c>
      <c r="H373" s="360" t="s">
        <v>2193</v>
      </c>
      <c r="I373" s="360" t="e">
        <f>VLOOKUP(Таблица18[[#This Row],[Номер акта]],$AB$1:$AF$1833,3,FALSE)</f>
        <v>#N/A</v>
      </c>
      <c r="J373" s="360" t="s">
        <v>1762</v>
      </c>
      <c r="K373" s="360" t="s">
        <v>82</v>
      </c>
      <c r="L373" s="363">
        <v>31980</v>
      </c>
      <c r="M373" s="363">
        <v>14390</v>
      </c>
      <c r="N373" s="364">
        <v>4.5</v>
      </c>
      <c r="O373" s="363">
        <v>17590</v>
      </c>
      <c r="P373" s="363">
        <v>16798.400000000001</v>
      </c>
      <c r="Q373" s="121">
        <v>2023</v>
      </c>
      <c r="R373" s="121"/>
      <c r="S373" s="148">
        <v>45106</v>
      </c>
      <c r="T373" s="363">
        <f>Таблица18[[#This Row],[Вес нетто]]-Таблица18[[#This Row],[Зачетный вес]]</f>
        <v>791.59999999999854</v>
      </c>
      <c r="U373" s="365">
        <f>Таблица18[[#This Row],[Отход]]/Таблица18[[#This Row],[Вес нетто]]</f>
        <v>4.5002842524161375E-2</v>
      </c>
      <c r="V373" s="121">
        <f>MONTH(Таблица18[[#This Row],[Дата акта]])</f>
        <v>6</v>
      </c>
      <c r="W373" s="121">
        <v>29</v>
      </c>
      <c r="X373" s="148">
        <f>DATE(1900,Таблица18[[#This Row],[Месяц]],Таблица18[[#This Row],[Число]])</f>
        <v>181</v>
      </c>
      <c r="Y373" s="121"/>
      <c r="Z373" s="121" t="str">
        <f>Таблица18[[#This Row],[Хар-ка]]</f>
        <v>второй</v>
      </c>
      <c r="AD373" s="459"/>
      <c r="AE373" s="391"/>
    </row>
    <row r="374" spans="1:31" s="325" customFormat="1" ht="15.6" hidden="1" customHeight="1" x14ac:dyDescent="0.2">
      <c r="A374" s="360" t="s">
        <v>2225</v>
      </c>
      <c r="B374" s="360" t="s">
        <v>833</v>
      </c>
      <c r="C374" s="361">
        <v>541</v>
      </c>
      <c r="D374" s="362">
        <v>69</v>
      </c>
      <c r="E374" s="360" t="s">
        <v>1737</v>
      </c>
      <c r="F374" s="360" t="s">
        <v>2158</v>
      </c>
      <c r="G374" s="360" t="s">
        <v>299</v>
      </c>
      <c r="H374" s="360" t="s">
        <v>2193</v>
      </c>
      <c r="I374" s="360" t="e">
        <f>VLOOKUP(Таблица18[[#This Row],[Номер акта]],$AB$1:$AF$1833,3,FALSE)</f>
        <v>#N/A</v>
      </c>
      <c r="J374" s="360" t="s">
        <v>1755</v>
      </c>
      <c r="K374" s="360" t="s">
        <v>82</v>
      </c>
      <c r="L374" s="363">
        <v>37580</v>
      </c>
      <c r="M374" s="363">
        <v>17500</v>
      </c>
      <c r="N374" s="364">
        <v>6.5</v>
      </c>
      <c r="O374" s="363">
        <v>20080</v>
      </c>
      <c r="P374" s="363">
        <v>18774.8</v>
      </c>
      <c r="Q374" s="121">
        <v>2023</v>
      </c>
      <c r="R374" s="121"/>
      <c r="S374" s="148">
        <v>45106</v>
      </c>
      <c r="T374" s="363">
        <f>Таблица18[[#This Row],[Вес нетто]]-Таблица18[[#This Row],[Зачетный вес]]</f>
        <v>1305.2000000000007</v>
      </c>
      <c r="U374" s="365">
        <f>Таблица18[[#This Row],[Отход]]/Таблица18[[#This Row],[Вес нетто]]</f>
        <v>6.500000000000003E-2</v>
      </c>
      <c r="V374" s="121">
        <f>MONTH(Таблица18[[#This Row],[Дата акта]])</f>
        <v>6</v>
      </c>
      <c r="W374" s="121">
        <v>29</v>
      </c>
      <c r="X374" s="148">
        <f>DATE(1900,Таблица18[[#This Row],[Месяц]],Таблица18[[#This Row],[Число]])</f>
        <v>181</v>
      </c>
      <c r="Y374" s="121"/>
      <c r="Z374" s="121" t="str">
        <f>Таблица18[[#This Row],[Хар-ка]]</f>
        <v>второй</v>
      </c>
      <c r="AD374" s="459"/>
      <c r="AE374" s="391"/>
    </row>
    <row r="375" spans="1:31" s="325" customFormat="1" ht="15.6" hidden="1" customHeight="1" x14ac:dyDescent="0.2">
      <c r="A375" s="360" t="s">
        <v>2226</v>
      </c>
      <c r="B375" s="360" t="s">
        <v>833</v>
      </c>
      <c r="C375" s="361">
        <v>542</v>
      </c>
      <c r="D375" s="362">
        <v>70</v>
      </c>
      <c r="E375" s="360" t="s">
        <v>1737</v>
      </c>
      <c r="F375" s="360" t="s">
        <v>311</v>
      </c>
      <c r="G375" s="360" t="s">
        <v>315</v>
      </c>
      <c r="H375" s="360" t="s">
        <v>2193</v>
      </c>
      <c r="I375" s="360" t="e">
        <f>VLOOKUP(Таблица18[[#This Row],[Номер акта]],$AB$1:$AF$1833,3,FALSE)</f>
        <v>#N/A</v>
      </c>
      <c r="J375" s="360" t="s">
        <v>1755</v>
      </c>
      <c r="K375" s="360" t="s">
        <v>82</v>
      </c>
      <c r="L375" s="363">
        <v>32960</v>
      </c>
      <c r="M375" s="363">
        <v>15050</v>
      </c>
      <c r="N375" s="364">
        <v>5.5</v>
      </c>
      <c r="O375" s="363">
        <v>17910</v>
      </c>
      <c r="P375" s="363">
        <v>16924.900000000001</v>
      </c>
      <c r="Q375" s="121">
        <v>2023</v>
      </c>
      <c r="R375" s="121"/>
      <c r="S375" s="148">
        <v>45106</v>
      </c>
      <c r="T375" s="363">
        <f>Таблица18[[#This Row],[Вес нетто]]-Таблица18[[#This Row],[Зачетный вес]]</f>
        <v>985.09999999999854</v>
      </c>
      <c r="U375" s="365">
        <f>Таблица18[[#This Row],[Отход]]/Таблица18[[#This Row],[Вес нетто]]</f>
        <v>5.5002791736459999E-2</v>
      </c>
      <c r="V375" s="121">
        <f>MONTH(Таблица18[[#This Row],[Дата акта]])</f>
        <v>6</v>
      </c>
      <c r="W375" s="121">
        <v>29</v>
      </c>
      <c r="X375" s="148">
        <f>DATE(1900,Таблица18[[#This Row],[Месяц]],Таблица18[[#This Row],[Число]])</f>
        <v>181</v>
      </c>
      <c r="Y375" s="121"/>
      <c r="Z375" s="121" t="str">
        <f>Таблица18[[#This Row],[Хар-ка]]</f>
        <v>второй</v>
      </c>
      <c r="AD375" s="459"/>
      <c r="AE375" s="391"/>
    </row>
    <row r="376" spans="1:31" s="325" customFormat="1" ht="15.6" hidden="1" customHeight="1" x14ac:dyDescent="0.2">
      <c r="A376" s="360" t="s">
        <v>2227</v>
      </c>
      <c r="B376" s="360" t="s">
        <v>511</v>
      </c>
      <c r="C376" s="361">
        <v>543</v>
      </c>
      <c r="D376" s="362">
        <v>71</v>
      </c>
      <c r="E376" s="360" t="s">
        <v>1737</v>
      </c>
      <c r="F376" s="360" t="s">
        <v>133</v>
      </c>
      <c r="G376" s="360" t="s">
        <v>137</v>
      </c>
      <c r="H376" s="360" t="s">
        <v>2200</v>
      </c>
      <c r="I376" s="360" t="e">
        <f>VLOOKUP(Таблица18[[#This Row],[Номер акта]],$AB$1:$AF$1833,3,FALSE)</f>
        <v>#N/A</v>
      </c>
      <c r="J376" s="360" t="s">
        <v>1760</v>
      </c>
      <c r="K376" s="360" t="s">
        <v>82</v>
      </c>
      <c r="L376" s="363">
        <v>33020</v>
      </c>
      <c r="M376" s="363">
        <v>17340</v>
      </c>
      <c r="N376" s="364">
        <v>10.5</v>
      </c>
      <c r="O376" s="363">
        <v>15680</v>
      </c>
      <c r="P376" s="363">
        <v>14033.6</v>
      </c>
      <c r="Q376" s="121">
        <v>2023</v>
      </c>
      <c r="R376" s="121"/>
      <c r="S376" s="148">
        <v>45107</v>
      </c>
      <c r="T376" s="363">
        <f>Таблица18[[#This Row],[Вес нетто]]-Таблица18[[#This Row],[Зачетный вес]]</f>
        <v>1646.3999999999996</v>
      </c>
      <c r="U376" s="365">
        <f>Таблица18[[#This Row],[Отход]]/Таблица18[[#This Row],[Вес нетто]]</f>
        <v>0.10499999999999998</v>
      </c>
      <c r="V376" s="121">
        <f>MONTH(Таблица18[[#This Row],[Дата акта]])</f>
        <v>6</v>
      </c>
      <c r="W376" s="121">
        <v>30</v>
      </c>
      <c r="X376" s="148">
        <f>DATE(1900,Таблица18[[#This Row],[Месяц]],Таблица18[[#This Row],[Число]])</f>
        <v>182</v>
      </c>
      <c r="Y376" s="121"/>
      <c r="Z376" s="121" t="str">
        <f>Таблица18[[#This Row],[Хар-ка]]</f>
        <v>высший</v>
      </c>
      <c r="AD376" s="459"/>
      <c r="AE376" s="391"/>
    </row>
    <row r="377" spans="1:31" s="325" customFormat="1" ht="15.6" hidden="1" customHeight="1" x14ac:dyDescent="0.2">
      <c r="A377" s="360" t="s">
        <v>2228</v>
      </c>
      <c r="B377" s="360" t="s">
        <v>511</v>
      </c>
      <c r="C377" s="361">
        <v>544</v>
      </c>
      <c r="D377" s="362">
        <v>72</v>
      </c>
      <c r="E377" s="360" t="s">
        <v>1737</v>
      </c>
      <c r="F377" s="360" t="s">
        <v>212</v>
      </c>
      <c r="G377" s="360" t="s">
        <v>216</v>
      </c>
      <c r="H377" s="360" t="s">
        <v>2200</v>
      </c>
      <c r="I377" s="360" t="e">
        <f>VLOOKUP(Таблица18[[#This Row],[Номер акта]],$AB$1:$AF$1833,3,FALSE)</f>
        <v>#N/A</v>
      </c>
      <c r="J377" s="360" t="s">
        <v>1760</v>
      </c>
      <c r="K377" s="360" t="s">
        <v>82</v>
      </c>
      <c r="L377" s="363">
        <v>27430</v>
      </c>
      <c r="M377" s="363">
        <v>14180</v>
      </c>
      <c r="N377" s="364">
        <v>11.5</v>
      </c>
      <c r="O377" s="363">
        <v>13250</v>
      </c>
      <c r="P377" s="363">
        <v>11726.2</v>
      </c>
      <c r="Q377" s="121">
        <v>2023</v>
      </c>
      <c r="R377" s="121"/>
      <c r="S377" s="148">
        <v>45107</v>
      </c>
      <c r="T377" s="363">
        <f>Таблица18[[#This Row],[Вес нетто]]-Таблица18[[#This Row],[Зачетный вес]]</f>
        <v>1523.7999999999993</v>
      </c>
      <c r="U377" s="365">
        <f>Таблица18[[#This Row],[Отход]]/Таблица18[[#This Row],[Вес нетто]]</f>
        <v>0.1150037735849056</v>
      </c>
      <c r="V377" s="121">
        <f>MONTH(Таблица18[[#This Row],[Дата акта]])</f>
        <v>6</v>
      </c>
      <c r="W377" s="121">
        <v>30</v>
      </c>
      <c r="X377" s="148">
        <f>DATE(1900,Таблица18[[#This Row],[Месяц]],Таблица18[[#This Row],[Число]])</f>
        <v>182</v>
      </c>
      <c r="Y377" s="121"/>
      <c r="Z377" s="121" t="str">
        <f>Таблица18[[#This Row],[Хар-ка]]</f>
        <v>высший</v>
      </c>
      <c r="AD377" s="459"/>
      <c r="AE377" s="391"/>
    </row>
    <row r="378" spans="1:31" s="325" customFormat="1" ht="15.6" hidden="1" customHeight="1" x14ac:dyDescent="0.2">
      <c r="A378" s="360" t="s">
        <v>2229</v>
      </c>
      <c r="B378" s="360" t="s">
        <v>511</v>
      </c>
      <c r="C378" s="361">
        <v>545</v>
      </c>
      <c r="D378" s="362">
        <v>73</v>
      </c>
      <c r="E378" s="360" t="s">
        <v>1737</v>
      </c>
      <c r="F378" s="360" t="s">
        <v>1843</v>
      </c>
      <c r="G378" s="360" t="s">
        <v>119</v>
      </c>
      <c r="H378" s="360" t="s">
        <v>2200</v>
      </c>
      <c r="I378" s="360" t="e">
        <f>VLOOKUP(Таблица18[[#This Row],[Номер акта]],$AB$1:$AF$1833,3,FALSE)</f>
        <v>#N/A</v>
      </c>
      <c r="J378" s="360" t="s">
        <v>1760</v>
      </c>
      <c r="K378" s="360" t="s">
        <v>82</v>
      </c>
      <c r="L378" s="363">
        <v>38610</v>
      </c>
      <c r="M378" s="363">
        <v>20880</v>
      </c>
      <c r="N378" s="364">
        <v>12.5</v>
      </c>
      <c r="O378" s="363">
        <v>17730</v>
      </c>
      <c r="P378" s="363">
        <v>15513.7</v>
      </c>
      <c r="Q378" s="121">
        <v>2023</v>
      </c>
      <c r="R378" s="121"/>
      <c r="S378" s="148">
        <v>45107</v>
      </c>
      <c r="T378" s="363">
        <f>Таблица18[[#This Row],[Вес нетто]]-Таблица18[[#This Row],[Зачетный вес]]</f>
        <v>2216.2999999999993</v>
      </c>
      <c r="U378" s="365">
        <f>Таблица18[[#This Row],[Отход]]/Таблица18[[#This Row],[Вес нетто]]</f>
        <v>0.12500282007896216</v>
      </c>
      <c r="V378" s="121">
        <f>MONTH(Таблица18[[#This Row],[Дата акта]])</f>
        <v>6</v>
      </c>
      <c r="W378" s="121">
        <v>30</v>
      </c>
      <c r="X378" s="148">
        <f>DATE(1900,Таблица18[[#This Row],[Месяц]],Таблица18[[#This Row],[Число]])</f>
        <v>182</v>
      </c>
      <c r="Y378" s="121"/>
      <c r="Z378" s="121" t="str">
        <f>Таблица18[[#This Row],[Хар-ка]]</f>
        <v>высший</v>
      </c>
      <c r="AD378" s="459"/>
      <c r="AE378" s="391"/>
    </row>
    <row r="379" spans="1:31" s="325" customFormat="1" ht="15.6" hidden="1" customHeight="1" x14ac:dyDescent="0.2">
      <c r="A379" s="360" t="s">
        <v>2230</v>
      </c>
      <c r="B379" s="360" t="s">
        <v>511</v>
      </c>
      <c r="C379" s="361">
        <v>546</v>
      </c>
      <c r="D379" s="362">
        <v>74</v>
      </c>
      <c r="E379" s="360" t="s">
        <v>1737</v>
      </c>
      <c r="F379" s="360" t="s">
        <v>121</v>
      </c>
      <c r="G379" s="360" t="s">
        <v>125</v>
      </c>
      <c r="H379" s="360" t="s">
        <v>2200</v>
      </c>
      <c r="I379" s="360" t="e">
        <f>VLOOKUP(Таблица18[[#This Row],[Номер акта]],$AB$1:$AF$1833,3,FALSE)</f>
        <v>#N/A</v>
      </c>
      <c r="J379" s="360" t="s">
        <v>1760</v>
      </c>
      <c r="K379" s="360" t="s">
        <v>82</v>
      </c>
      <c r="L379" s="363">
        <v>28230</v>
      </c>
      <c r="M379" s="363">
        <v>14620</v>
      </c>
      <c r="N379" s="364">
        <v>9.5</v>
      </c>
      <c r="O379" s="363">
        <v>13610</v>
      </c>
      <c r="P379" s="363">
        <v>12317</v>
      </c>
      <c r="Q379" s="121">
        <v>2023</v>
      </c>
      <c r="R379" s="121"/>
      <c r="S379" s="148">
        <v>45107</v>
      </c>
      <c r="T379" s="363">
        <f>Таблица18[[#This Row],[Вес нетто]]-Таблица18[[#This Row],[Зачетный вес]]</f>
        <v>1293</v>
      </c>
      <c r="U379" s="365">
        <f>Таблица18[[#This Row],[Отход]]/Таблица18[[#This Row],[Вес нетто]]</f>
        <v>9.5003673769287283E-2</v>
      </c>
      <c r="V379" s="121">
        <f>MONTH(Таблица18[[#This Row],[Дата акта]])</f>
        <v>6</v>
      </c>
      <c r="W379" s="121">
        <v>30</v>
      </c>
      <c r="X379" s="148">
        <f>DATE(1900,Таблица18[[#This Row],[Месяц]],Таблица18[[#This Row],[Число]])</f>
        <v>182</v>
      </c>
      <c r="Y379" s="121"/>
      <c r="Z379" s="121" t="str">
        <f>Таблица18[[#This Row],[Хар-ка]]</f>
        <v>высший</v>
      </c>
      <c r="AD379" s="459"/>
      <c r="AE379" s="391"/>
    </row>
    <row r="380" spans="1:31" s="325" customFormat="1" ht="15.6" hidden="1" customHeight="1" x14ac:dyDescent="0.2">
      <c r="A380" s="360" t="s">
        <v>2231</v>
      </c>
      <c r="B380" s="360" t="s">
        <v>511</v>
      </c>
      <c r="C380" s="361">
        <v>549</v>
      </c>
      <c r="D380" s="362">
        <v>75</v>
      </c>
      <c r="E380" s="360" t="s">
        <v>1737</v>
      </c>
      <c r="F380" s="360" t="s">
        <v>2232</v>
      </c>
      <c r="G380" s="360" t="s">
        <v>2233</v>
      </c>
      <c r="H380" s="360" t="s">
        <v>2200</v>
      </c>
      <c r="I380" s="360" t="e">
        <f>VLOOKUP(Таблица18[[#This Row],[Номер акта]],$AB$1:$AF$1833,3,FALSE)</f>
        <v>#N/A</v>
      </c>
      <c r="J380" s="360" t="s">
        <v>1760</v>
      </c>
      <c r="K380" s="360" t="s">
        <v>82</v>
      </c>
      <c r="L380" s="363">
        <v>30380</v>
      </c>
      <c r="M380" s="363">
        <v>14720</v>
      </c>
      <c r="N380" s="364">
        <v>10.5</v>
      </c>
      <c r="O380" s="363">
        <v>15660</v>
      </c>
      <c r="P380" s="363">
        <v>14015.7</v>
      </c>
      <c r="Q380" s="121">
        <v>2023</v>
      </c>
      <c r="R380" s="121"/>
      <c r="S380" s="148">
        <v>45107</v>
      </c>
      <c r="T380" s="363">
        <f>Таблица18[[#This Row],[Вес нетто]]-Таблица18[[#This Row],[Зачетный вес]]</f>
        <v>1644.2999999999993</v>
      </c>
      <c r="U380" s="365">
        <f>Таблица18[[#This Row],[Отход]]/Таблица18[[#This Row],[Вес нетто]]</f>
        <v>0.10499999999999995</v>
      </c>
      <c r="V380" s="121">
        <f>MONTH(Таблица18[[#This Row],[Дата акта]])</f>
        <v>6</v>
      </c>
      <c r="W380" s="121">
        <v>30</v>
      </c>
      <c r="X380" s="148">
        <f>DATE(1900,Таблица18[[#This Row],[Месяц]],Таблица18[[#This Row],[Число]])</f>
        <v>182</v>
      </c>
      <c r="Y380" s="121"/>
      <c r="Z380" s="121" t="str">
        <f>Таблица18[[#This Row],[Хар-ка]]</f>
        <v>высший</v>
      </c>
      <c r="AD380" s="459"/>
      <c r="AE380" s="391"/>
    </row>
    <row r="381" spans="1:31" s="325" customFormat="1" ht="15.6" hidden="1" customHeight="1" x14ac:dyDescent="0.2">
      <c r="A381" s="360" t="s">
        <v>2234</v>
      </c>
      <c r="B381" s="360" t="s">
        <v>511</v>
      </c>
      <c r="C381" s="361">
        <v>550</v>
      </c>
      <c r="D381" s="362">
        <v>76</v>
      </c>
      <c r="E381" s="360" t="s">
        <v>1737</v>
      </c>
      <c r="F381" s="360" t="s">
        <v>283</v>
      </c>
      <c r="G381" s="360" t="s">
        <v>287</v>
      </c>
      <c r="H381" s="360" t="s">
        <v>2200</v>
      </c>
      <c r="I381" s="360" t="e">
        <f>VLOOKUP(Таблица18[[#This Row],[Номер акта]],$AB$1:$AF$1833,3,FALSE)</f>
        <v>#N/A</v>
      </c>
      <c r="J381" s="360" t="s">
        <v>1755</v>
      </c>
      <c r="K381" s="360" t="s">
        <v>82</v>
      </c>
      <c r="L381" s="363">
        <v>36090</v>
      </c>
      <c r="M381" s="363">
        <v>17930</v>
      </c>
      <c r="N381" s="364">
        <v>10.5</v>
      </c>
      <c r="O381" s="363">
        <v>18160</v>
      </c>
      <c r="P381" s="363">
        <v>16253.2</v>
      </c>
      <c r="Q381" s="121">
        <v>2023</v>
      </c>
      <c r="R381" s="121"/>
      <c r="S381" s="148">
        <v>45107</v>
      </c>
      <c r="T381" s="363">
        <f>Таблица18[[#This Row],[Вес нетто]]-Таблица18[[#This Row],[Зачетный вес]]</f>
        <v>1906.7999999999993</v>
      </c>
      <c r="U381" s="365">
        <f>Таблица18[[#This Row],[Отход]]/Таблица18[[#This Row],[Вес нетто]]</f>
        <v>0.10499999999999995</v>
      </c>
      <c r="V381" s="121">
        <f>MONTH(Таблица18[[#This Row],[Дата акта]])</f>
        <v>6</v>
      </c>
      <c r="W381" s="121">
        <v>30</v>
      </c>
      <c r="X381" s="148">
        <f>DATE(1900,Таблица18[[#This Row],[Месяц]],Таблица18[[#This Row],[Число]])</f>
        <v>182</v>
      </c>
      <c r="Y381" s="121"/>
      <c r="Z381" s="121" t="str">
        <f>Таблица18[[#This Row],[Хар-ка]]</f>
        <v>высший</v>
      </c>
      <c r="AD381" s="459"/>
      <c r="AE381" s="391"/>
    </row>
    <row r="382" spans="1:31" s="325" customFormat="1" ht="15.6" hidden="1" customHeight="1" x14ac:dyDescent="0.2">
      <c r="A382" s="360" t="s">
        <v>2235</v>
      </c>
      <c r="B382" s="360" t="s">
        <v>833</v>
      </c>
      <c r="C382" s="361">
        <v>552</v>
      </c>
      <c r="D382" s="360" t="s">
        <v>2236</v>
      </c>
      <c r="E382" s="360" t="s">
        <v>1737</v>
      </c>
      <c r="F382" s="360" t="s">
        <v>1841</v>
      </c>
      <c r="G382" s="360" t="s">
        <v>351</v>
      </c>
      <c r="H382" s="360" t="s">
        <v>2193</v>
      </c>
      <c r="I382" s="360" t="e">
        <f>VLOOKUP(Таблица18[[#This Row],[Номер акта]],$AB$1:$AF$1833,3,FALSE)</f>
        <v>#N/A</v>
      </c>
      <c r="J382" s="360" t="s">
        <v>1755</v>
      </c>
      <c r="K382" s="360" t="s">
        <v>82</v>
      </c>
      <c r="L382" s="363">
        <v>18660</v>
      </c>
      <c r="M382" s="363">
        <v>10730</v>
      </c>
      <c r="N382" s="121"/>
      <c r="O382" s="363">
        <v>7930</v>
      </c>
      <c r="P382" s="363">
        <v>7930</v>
      </c>
      <c r="Q382" s="121">
        <v>2023</v>
      </c>
      <c r="R382" s="121"/>
      <c r="S382" s="148">
        <v>45107</v>
      </c>
      <c r="T382" s="363">
        <f>Таблица18[[#This Row],[Вес нетто]]-Таблица18[[#This Row],[Зачетный вес]]</f>
        <v>0</v>
      </c>
      <c r="U382" s="365">
        <f>Таблица18[[#This Row],[Отход]]/Таблица18[[#This Row],[Вес нетто]]</f>
        <v>0</v>
      </c>
      <c r="V382" s="121">
        <f>MONTH(Таблица18[[#This Row],[Дата акта]])</f>
        <v>6</v>
      </c>
      <c r="W382" s="121">
        <v>30</v>
      </c>
      <c r="X382" s="148">
        <f>DATE(1900,Таблица18[[#This Row],[Месяц]],Таблица18[[#This Row],[Число]])</f>
        <v>182</v>
      </c>
      <c r="Y382" s="121"/>
      <c r="Z382" s="121" t="str">
        <f>Таблица18[[#This Row],[Хар-ка]]</f>
        <v>второй</v>
      </c>
      <c r="AD382" s="459"/>
      <c r="AE382" s="391"/>
    </row>
    <row r="383" spans="1:31" s="325" customFormat="1" ht="15.6" hidden="1" customHeight="1" x14ac:dyDescent="0.2">
      <c r="A383" s="360" t="s">
        <v>2237</v>
      </c>
      <c r="B383" s="360" t="s">
        <v>511</v>
      </c>
      <c r="C383" s="361">
        <v>553</v>
      </c>
      <c r="D383" s="362">
        <v>77</v>
      </c>
      <c r="E383" s="360" t="s">
        <v>1737</v>
      </c>
      <c r="F383" s="360" t="s">
        <v>289</v>
      </c>
      <c r="G383" s="360" t="s">
        <v>293</v>
      </c>
      <c r="H383" s="360" t="s">
        <v>2200</v>
      </c>
      <c r="I383" s="360" t="e">
        <f>VLOOKUP(Таблица18[[#This Row],[Номер акта]],$AB$1:$AF$1833,3,FALSE)</f>
        <v>#N/A</v>
      </c>
      <c r="J383" s="360" t="s">
        <v>1760</v>
      </c>
      <c r="K383" s="360" t="s">
        <v>82</v>
      </c>
      <c r="L383" s="363">
        <v>33140</v>
      </c>
      <c r="M383" s="363">
        <v>17070</v>
      </c>
      <c r="N383" s="364">
        <v>11.5</v>
      </c>
      <c r="O383" s="363">
        <v>16070</v>
      </c>
      <c r="P383" s="363">
        <v>14221.9</v>
      </c>
      <c r="Q383" s="121">
        <v>2023</v>
      </c>
      <c r="R383" s="121"/>
      <c r="S383" s="148">
        <v>45107</v>
      </c>
      <c r="T383" s="363">
        <f>Таблица18[[#This Row],[Вес нетто]]-Таблица18[[#This Row],[Зачетный вес]]</f>
        <v>1848.1000000000004</v>
      </c>
      <c r="U383" s="365">
        <f>Таблица18[[#This Row],[Отход]]/Таблица18[[#This Row],[Вес нетто]]</f>
        <v>0.11500311138767892</v>
      </c>
      <c r="V383" s="121">
        <f>MONTH(Таблица18[[#This Row],[Дата акта]])</f>
        <v>6</v>
      </c>
      <c r="W383" s="121">
        <v>30</v>
      </c>
      <c r="X383" s="148">
        <f>DATE(1900,Таблица18[[#This Row],[Месяц]],Таблица18[[#This Row],[Число]])</f>
        <v>182</v>
      </c>
      <c r="Y383" s="121"/>
      <c r="Z383" s="121" t="str">
        <f>Таблица18[[#This Row],[Хар-ка]]</f>
        <v>высший</v>
      </c>
      <c r="AD383" s="459"/>
      <c r="AE383" s="391"/>
    </row>
    <row r="384" spans="1:31" s="325" customFormat="1" ht="15.6" hidden="1" customHeight="1" x14ac:dyDescent="0.2">
      <c r="A384" s="360" t="s">
        <v>2238</v>
      </c>
      <c r="B384" s="360" t="s">
        <v>511</v>
      </c>
      <c r="C384" s="361">
        <v>555</v>
      </c>
      <c r="D384" s="362">
        <v>78</v>
      </c>
      <c r="E384" s="360" t="s">
        <v>1737</v>
      </c>
      <c r="F384" s="360" t="s">
        <v>2158</v>
      </c>
      <c r="G384" s="360" t="s">
        <v>299</v>
      </c>
      <c r="H384" s="360" t="s">
        <v>2200</v>
      </c>
      <c r="I384" s="360" t="e">
        <f>VLOOKUP(Таблица18[[#This Row],[Номер акта]],$AB$1:$AF$1833,3,FALSE)</f>
        <v>#N/A</v>
      </c>
      <c r="J384" s="360" t="s">
        <v>1760</v>
      </c>
      <c r="K384" s="360" t="s">
        <v>82</v>
      </c>
      <c r="L384" s="363">
        <v>35820</v>
      </c>
      <c r="M384" s="363">
        <v>17600</v>
      </c>
      <c r="N384" s="364">
        <v>10.5</v>
      </c>
      <c r="O384" s="363">
        <v>18220</v>
      </c>
      <c r="P384" s="363">
        <v>16306.9</v>
      </c>
      <c r="Q384" s="121">
        <v>2023</v>
      </c>
      <c r="R384" s="121"/>
      <c r="S384" s="148">
        <v>45107</v>
      </c>
      <c r="T384" s="363">
        <f>Таблица18[[#This Row],[Вес нетто]]-Таблица18[[#This Row],[Зачетный вес]]</f>
        <v>1913.1000000000004</v>
      </c>
      <c r="U384" s="365">
        <f>Таблица18[[#This Row],[Отход]]/Таблица18[[#This Row],[Вес нетто]]</f>
        <v>0.10500000000000002</v>
      </c>
      <c r="V384" s="121">
        <f>MONTH(Таблица18[[#This Row],[Дата акта]])</f>
        <v>6</v>
      </c>
      <c r="W384" s="121">
        <v>30</v>
      </c>
      <c r="X384" s="148">
        <f>DATE(1900,Таблица18[[#This Row],[Месяц]],Таблица18[[#This Row],[Число]])</f>
        <v>182</v>
      </c>
      <c r="Y384" s="121"/>
      <c r="Z384" s="121" t="str">
        <f>Таблица18[[#This Row],[Хар-ка]]</f>
        <v>высший</v>
      </c>
      <c r="AD384" s="459"/>
      <c r="AE384" s="391"/>
    </row>
    <row r="385" spans="1:31" s="325" customFormat="1" ht="15.6" hidden="1" customHeight="1" x14ac:dyDescent="0.2">
      <c r="A385" s="360" t="s">
        <v>2239</v>
      </c>
      <c r="B385" s="360" t="s">
        <v>550</v>
      </c>
      <c r="C385" s="361">
        <v>556</v>
      </c>
      <c r="D385" s="362">
        <v>79</v>
      </c>
      <c r="E385" s="360" t="s">
        <v>1737</v>
      </c>
      <c r="F385" s="360" t="s">
        <v>1794</v>
      </c>
      <c r="G385" s="360" t="s">
        <v>1795</v>
      </c>
      <c r="H385" s="360" t="s">
        <v>2200</v>
      </c>
      <c r="I385" s="360" t="e">
        <f>VLOOKUP(Таблица18[[#This Row],[Номер акта]],$AB$1:$AF$1833,3,FALSE)</f>
        <v>#N/A</v>
      </c>
      <c r="J385" s="360" t="s">
        <v>1760</v>
      </c>
      <c r="K385" s="360" t="s">
        <v>82</v>
      </c>
      <c r="L385" s="363">
        <v>29100</v>
      </c>
      <c r="M385" s="363">
        <v>13190</v>
      </c>
      <c r="N385" s="364">
        <v>8.5</v>
      </c>
      <c r="O385" s="363">
        <v>15910</v>
      </c>
      <c r="P385" s="363">
        <v>14557.6</v>
      </c>
      <c r="Q385" s="121">
        <v>2023</v>
      </c>
      <c r="R385" s="121"/>
      <c r="S385" s="148">
        <v>45107</v>
      </c>
      <c r="T385" s="363">
        <f>Таблица18[[#This Row],[Вес нетто]]-Таблица18[[#This Row],[Зачетный вес]]</f>
        <v>1352.3999999999996</v>
      </c>
      <c r="U385" s="365">
        <f>Таблица18[[#This Row],[Отход]]/Таблица18[[#This Row],[Вес нетто]]</f>
        <v>8.5003142677561261E-2</v>
      </c>
      <c r="V385" s="121">
        <f>MONTH(Таблица18[[#This Row],[Дата акта]])</f>
        <v>6</v>
      </c>
      <c r="W385" s="121">
        <v>30</v>
      </c>
      <c r="X385" s="148">
        <f>DATE(1900,Таблица18[[#This Row],[Месяц]],Таблица18[[#This Row],[Число]])</f>
        <v>182</v>
      </c>
      <c r="Y385" s="121"/>
      <c r="Z385" s="121" t="str">
        <f>Таблица18[[#This Row],[Хар-ка]]</f>
        <v>первый</v>
      </c>
      <c r="AD385" s="459"/>
      <c r="AE385" s="391"/>
    </row>
    <row r="386" spans="1:31" s="325" customFormat="1" ht="15.6" hidden="1" customHeight="1" x14ac:dyDescent="0.2">
      <c r="A386" s="360" t="s">
        <v>2240</v>
      </c>
      <c r="B386" s="360" t="s">
        <v>550</v>
      </c>
      <c r="C386" s="361">
        <v>557</v>
      </c>
      <c r="D386" s="362">
        <v>80</v>
      </c>
      <c r="E386" s="360" t="s">
        <v>1737</v>
      </c>
      <c r="F386" s="360" t="s">
        <v>2150</v>
      </c>
      <c r="G386" s="360" t="s">
        <v>2151</v>
      </c>
      <c r="H386" s="360" t="s">
        <v>2200</v>
      </c>
      <c r="I386" s="360" t="e">
        <f>VLOOKUP(Таблица18[[#This Row],[Номер акта]],$AB$1:$AF$1833,3,FALSE)</f>
        <v>#N/A</v>
      </c>
      <c r="J386" s="360" t="s">
        <v>1760</v>
      </c>
      <c r="K386" s="360" t="s">
        <v>82</v>
      </c>
      <c r="L386" s="363">
        <v>31210</v>
      </c>
      <c r="M386" s="363">
        <v>15420</v>
      </c>
      <c r="N386" s="364">
        <v>9.5</v>
      </c>
      <c r="O386" s="363">
        <v>15790</v>
      </c>
      <c r="P386" s="363">
        <v>14289.9</v>
      </c>
      <c r="Q386" s="121">
        <v>2023</v>
      </c>
      <c r="R386" s="121"/>
      <c r="S386" s="148">
        <v>45107</v>
      </c>
      <c r="T386" s="363">
        <f>Таблица18[[#This Row],[Вес нетто]]-Таблица18[[#This Row],[Зачетный вес]]</f>
        <v>1500.1000000000004</v>
      </c>
      <c r="U386" s="365">
        <f>Таблица18[[#This Row],[Отход]]/Таблица18[[#This Row],[Вес нетто]]</f>
        <v>9.5003166561114655E-2</v>
      </c>
      <c r="V386" s="121">
        <f>MONTH(Таблица18[[#This Row],[Дата акта]])</f>
        <v>6</v>
      </c>
      <c r="W386" s="121">
        <v>30</v>
      </c>
      <c r="X386" s="148">
        <f>DATE(1900,Таблица18[[#This Row],[Месяц]],Таблица18[[#This Row],[Число]])</f>
        <v>182</v>
      </c>
      <c r="Y386" s="121"/>
      <c r="Z386" s="121" t="str">
        <f>Таблица18[[#This Row],[Хар-ка]]</f>
        <v>первый</v>
      </c>
      <c r="AD386" s="459"/>
      <c r="AE386" s="391"/>
    </row>
    <row r="387" spans="1:31" s="325" customFormat="1" ht="15.6" hidden="1" customHeight="1" x14ac:dyDescent="0.2">
      <c r="A387" s="360" t="s">
        <v>2241</v>
      </c>
      <c r="B387" s="360" t="s">
        <v>550</v>
      </c>
      <c r="C387" s="361">
        <v>558</v>
      </c>
      <c r="D387" s="362">
        <v>81</v>
      </c>
      <c r="E387" s="360" t="s">
        <v>1737</v>
      </c>
      <c r="F387" s="360" t="s">
        <v>1843</v>
      </c>
      <c r="G387" s="360" t="s">
        <v>2242</v>
      </c>
      <c r="H387" s="360" t="s">
        <v>2200</v>
      </c>
      <c r="I387" s="360" t="e">
        <f>VLOOKUP(Таблица18[[#This Row],[Номер акта]],$AB$1:$AF$1833,3,FALSE)</f>
        <v>#N/A</v>
      </c>
      <c r="J387" s="360" t="s">
        <v>1760</v>
      </c>
      <c r="K387" s="360" t="s">
        <v>82</v>
      </c>
      <c r="L387" s="363">
        <v>38880</v>
      </c>
      <c r="M387" s="363">
        <v>21040</v>
      </c>
      <c r="N387" s="364">
        <v>7.5</v>
      </c>
      <c r="O387" s="363">
        <v>17840</v>
      </c>
      <c r="P387" s="363">
        <v>16502</v>
      </c>
      <c r="Q387" s="121">
        <v>2023</v>
      </c>
      <c r="R387" s="121"/>
      <c r="S387" s="148">
        <v>45107</v>
      </c>
      <c r="T387" s="363">
        <f>Таблица18[[#This Row],[Вес нетто]]-Таблица18[[#This Row],[Зачетный вес]]</f>
        <v>1338</v>
      </c>
      <c r="U387" s="365">
        <f>Таблица18[[#This Row],[Отход]]/Таблица18[[#This Row],[Вес нетто]]</f>
        <v>7.4999999999999997E-2</v>
      </c>
      <c r="V387" s="121">
        <f>MONTH(Таблица18[[#This Row],[Дата акта]])</f>
        <v>6</v>
      </c>
      <c r="W387" s="121">
        <v>30</v>
      </c>
      <c r="X387" s="148">
        <f>DATE(1900,Таблица18[[#This Row],[Месяц]],Таблица18[[#This Row],[Число]])</f>
        <v>182</v>
      </c>
      <c r="Y387" s="121"/>
      <c r="Z387" s="121" t="str">
        <f>Таблица18[[#This Row],[Хар-ка]]</f>
        <v>первый</v>
      </c>
      <c r="AD387" s="459"/>
      <c r="AE387" s="391"/>
    </row>
    <row r="388" spans="1:31" s="325" customFormat="1" ht="15.6" hidden="1" customHeight="1" x14ac:dyDescent="0.2">
      <c r="A388" s="360" t="s">
        <v>2243</v>
      </c>
      <c r="B388" s="360" t="s">
        <v>550</v>
      </c>
      <c r="C388" s="361">
        <v>560</v>
      </c>
      <c r="D388" s="362">
        <v>82</v>
      </c>
      <c r="E388" s="360" t="s">
        <v>1737</v>
      </c>
      <c r="F388" s="360" t="s">
        <v>311</v>
      </c>
      <c r="G388" s="360" t="s">
        <v>315</v>
      </c>
      <c r="H388" s="360" t="s">
        <v>2200</v>
      </c>
      <c r="I388" s="360" t="e">
        <f>VLOOKUP(Таблица18[[#This Row],[Номер акта]],$AB$1:$AF$1833,3,FALSE)</f>
        <v>#N/A</v>
      </c>
      <c r="J388" s="360" t="s">
        <v>1760</v>
      </c>
      <c r="K388" s="360" t="s">
        <v>82</v>
      </c>
      <c r="L388" s="363">
        <v>30610</v>
      </c>
      <c r="M388" s="363">
        <v>15020</v>
      </c>
      <c r="N388" s="364">
        <v>9.5</v>
      </c>
      <c r="O388" s="363">
        <v>15590</v>
      </c>
      <c r="P388" s="363">
        <v>14108.9</v>
      </c>
      <c r="Q388" s="121">
        <v>2023</v>
      </c>
      <c r="R388" s="121"/>
      <c r="S388" s="148">
        <v>45108</v>
      </c>
      <c r="T388" s="363">
        <f>Таблица18[[#This Row],[Вес нетто]]-Таблица18[[#This Row],[Зачетный вес]]</f>
        <v>1481.1000000000004</v>
      </c>
      <c r="U388" s="365">
        <f>Таблица18[[#This Row],[Отход]]/Таблица18[[#This Row],[Вес нетто]]</f>
        <v>9.5003207184092386E-2</v>
      </c>
      <c r="V388" s="121">
        <f>MONTH(Таблица18[[#This Row],[Дата акта]])</f>
        <v>7</v>
      </c>
      <c r="W388" s="121">
        <v>1</v>
      </c>
      <c r="X388" s="148">
        <f>DATE(1900,Таблица18[[#This Row],[Месяц]],Таблица18[[#This Row],[Число]])</f>
        <v>183</v>
      </c>
      <c r="Y388" s="121"/>
      <c r="Z388" s="121" t="str">
        <f>Таблица18[[#This Row],[Хар-ка]]</f>
        <v>первый</v>
      </c>
      <c r="AD388" s="459"/>
      <c r="AE388" s="391"/>
    </row>
    <row r="389" spans="1:31" s="325" customFormat="1" ht="15.6" hidden="1" customHeight="1" x14ac:dyDescent="0.2">
      <c r="A389" s="360" t="s">
        <v>2244</v>
      </c>
      <c r="B389" s="360" t="s">
        <v>550</v>
      </c>
      <c r="C389" s="361">
        <v>561</v>
      </c>
      <c r="D389" s="362">
        <v>83</v>
      </c>
      <c r="E389" s="360" t="s">
        <v>1737</v>
      </c>
      <c r="F389" s="360" t="s">
        <v>283</v>
      </c>
      <c r="G389" s="360" t="s">
        <v>287</v>
      </c>
      <c r="H389" s="360" t="s">
        <v>2200</v>
      </c>
      <c r="I389" s="360" t="e">
        <f>VLOOKUP(Таблица18[[#This Row],[Номер акта]],$AB$1:$AF$1833,3,FALSE)</f>
        <v>#N/A</v>
      </c>
      <c r="J389" s="360" t="s">
        <v>1760</v>
      </c>
      <c r="K389" s="360" t="s">
        <v>82</v>
      </c>
      <c r="L389" s="363">
        <v>35700</v>
      </c>
      <c r="M389" s="363">
        <v>17810</v>
      </c>
      <c r="N389" s="364">
        <v>10.5</v>
      </c>
      <c r="O389" s="363">
        <v>17890</v>
      </c>
      <c r="P389" s="363">
        <v>16011.5</v>
      </c>
      <c r="Q389" s="121">
        <v>2023</v>
      </c>
      <c r="R389" s="121"/>
      <c r="S389" s="148">
        <v>45108</v>
      </c>
      <c r="T389" s="363">
        <f>Таблица18[[#This Row],[Вес нетто]]-Таблица18[[#This Row],[Зачетный вес]]</f>
        <v>1878.5</v>
      </c>
      <c r="U389" s="365">
        <f>Таблица18[[#This Row],[Отход]]/Таблица18[[#This Row],[Вес нетто]]</f>
        <v>0.10500279485746226</v>
      </c>
      <c r="V389" s="121">
        <f>MONTH(Таблица18[[#This Row],[Дата акта]])</f>
        <v>7</v>
      </c>
      <c r="W389" s="121">
        <v>1</v>
      </c>
      <c r="X389" s="148">
        <f>DATE(1900,Таблица18[[#This Row],[Месяц]],Таблица18[[#This Row],[Число]])</f>
        <v>183</v>
      </c>
      <c r="Y389" s="121"/>
      <c r="Z389" s="121" t="str">
        <f>Таблица18[[#This Row],[Хар-ка]]</f>
        <v>первый</v>
      </c>
      <c r="AD389" s="459"/>
      <c r="AE389" s="391"/>
    </row>
    <row r="390" spans="1:31" s="325" customFormat="1" ht="15.6" hidden="1" customHeight="1" x14ac:dyDescent="0.2">
      <c r="A390" s="360" t="s">
        <v>2245</v>
      </c>
      <c r="B390" s="360" t="s">
        <v>550</v>
      </c>
      <c r="C390" s="361">
        <v>562</v>
      </c>
      <c r="D390" s="362">
        <v>84</v>
      </c>
      <c r="E390" s="360" t="s">
        <v>1737</v>
      </c>
      <c r="F390" s="360" t="s">
        <v>1804</v>
      </c>
      <c r="G390" s="360" t="s">
        <v>536</v>
      </c>
      <c r="H390" s="360" t="s">
        <v>2200</v>
      </c>
      <c r="I390" s="360" t="e">
        <f>VLOOKUP(Таблица18[[#This Row],[Номер акта]],$AB$1:$AF$1833,3,FALSE)</f>
        <v>#N/A</v>
      </c>
      <c r="J390" s="360" t="s">
        <v>1760</v>
      </c>
      <c r="K390" s="360" t="s">
        <v>82</v>
      </c>
      <c r="L390" s="363">
        <v>32540</v>
      </c>
      <c r="M390" s="363">
        <v>14660</v>
      </c>
      <c r="N390" s="364">
        <v>8.5</v>
      </c>
      <c r="O390" s="363">
        <v>17880</v>
      </c>
      <c r="P390" s="363">
        <v>16360.2</v>
      </c>
      <c r="Q390" s="121">
        <v>2023</v>
      </c>
      <c r="R390" s="121"/>
      <c r="S390" s="148">
        <v>45108</v>
      </c>
      <c r="T390" s="363">
        <f>Таблица18[[#This Row],[Вес нетто]]-Таблица18[[#This Row],[Зачетный вес]]</f>
        <v>1519.7999999999993</v>
      </c>
      <c r="U390" s="365">
        <f>Таблица18[[#This Row],[Отход]]/Таблица18[[#This Row],[Вес нетто]]</f>
        <v>8.4999999999999964E-2</v>
      </c>
      <c r="V390" s="121">
        <f>MONTH(Таблица18[[#This Row],[Дата акта]])</f>
        <v>7</v>
      </c>
      <c r="W390" s="121">
        <v>1</v>
      </c>
      <c r="X390" s="148">
        <f>DATE(1900,Таблица18[[#This Row],[Месяц]],Таблица18[[#This Row],[Число]])</f>
        <v>183</v>
      </c>
      <c r="Y390" s="121"/>
      <c r="Z390" s="121" t="str">
        <f>Таблица18[[#This Row],[Хар-ка]]</f>
        <v>первый</v>
      </c>
      <c r="AD390" s="459"/>
      <c r="AE390" s="391"/>
    </row>
    <row r="391" spans="1:31" s="325" customFormat="1" ht="15.6" hidden="1" customHeight="1" x14ac:dyDescent="0.2">
      <c r="A391" s="360" t="s">
        <v>2246</v>
      </c>
      <c r="B391" s="360" t="s">
        <v>550</v>
      </c>
      <c r="C391" s="361">
        <v>563</v>
      </c>
      <c r="D391" s="362">
        <v>85</v>
      </c>
      <c r="E391" s="360" t="s">
        <v>1737</v>
      </c>
      <c r="F391" s="360" t="s">
        <v>2223</v>
      </c>
      <c r="G391" s="360" t="s">
        <v>2224</v>
      </c>
      <c r="H391" s="360" t="s">
        <v>2200</v>
      </c>
      <c r="I391" s="360" t="e">
        <f>VLOOKUP(Таблица18[[#This Row],[Номер акта]],$AB$1:$AF$1833,3,FALSE)</f>
        <v>#N/A</v>
      </c>
      <c r="J391" s="360" t="s">
        <v>1760</v>
      </c>
      <c r="K391" s="360" t="s">
        <v>82</v>
      </c>
      <c r="L391" s="363">
        <v>32420</v>
      </c>
      <c r="M391" s="363">
        <v>14600</v>
      </c>
      <c r="N391" s="364">
        <v>8.5</v>
      </c>
      <c r="O391" s="363">
        <v>17820</v>
      </c>
      <c r="P391" s="363">
        <v>16305.3</v>
      </c>
      <c r="Q391" s="121">
        <v>2023</v>
      </c>
      <c r="R391" s="121"/>
      <c r="S391" s="148">
        <v>45108</v>
      </c>
      <c r="T391" s="363">
        <f>Таблица18[[#This Row],[Вес нетто]]-Таблица18[[#This Row],[Зачетный вес]]</f>
        <v>1514.7000000000007</v>
      </c>
      <c r="U391" s="365">
        <f>Таблица18[[#This Row],[Отход]]/Таблица18[[#This Row],[Вес нетто]]</f>
        <v>8.5000000000000048E-2</v>
      </c>
      <c r="V391" s="121">
        <f>MONTH(Таблица18[[#This Row],[Дата акта]])</f>
        <v>7</v>
      </c>
      <c r="W391" s="121">
        <v>1</v>
      </c>
      <c r="X391" s="148">
        <f>DATE(1900,Таблица18[[#This Row],[Месяц]],Таблица18[[#This Row],[Число]])</f>
        <v>183</v>
      </c>
      <c r="Y391" s="121"/>
      <c r="Z391" s="121" t="str">
        <f>Таблица18[[#This Row],[Хар-ка]]</f>
        <v>первый</v>
      </c>
      <c r="AD391" s="459"/>
      <c r="AE391" s="391"/>
    </row>
    <row r="392" spans="1:31" s="325" customFormat="1" ht="15.6" hidden="1" customHeight="1" x14ac:dyDescent="0.2">
      <c r="A392" s="360" t="s">
        <v>2247</v>
      </c>
      <c r="B392" s="360" t="s">
        <v>550</v>
      </c>
      <c r="C392" s="361">
        <v>564</v>
      </c>
      <c r="D392" s="362">
        <v>86</v>
      </c>
      <c r="E392" s="360" t="s">
        <v>1737</v>
      </c>
      <c r="F392" s="360" t="s">
        <v>289</v>
      </c>
      <c r="G392" s="360" t="s">
        <v>293</v>
      </c>
      <c r="H392" s="360" t="s">
        <v>2200</v>
      </c>
      <c r="I392" s="360" t="e">
        <f>VLOOKUP(Таблица18[[#This Row],[Номер акта]],$AB$1:$AF$1833,3,FALSE)</f>
        <v>#N/A</v>
      </c>
      <c r="J392" s="360" t="s">
        <v>1760</v>
      </c>
      <c r="K392" s="360" t="s">
        <v>82</v>
      </c>
      <c r="L392" s="363">
        <v>30950</v>
      </c>
      <c r="M392" s="363">
        <v>16960</v>
      </c>
      <c r="N392" s="364">
        <v>8.5</v>
      </c>
      <c r="O392" s="363">
        <v>13990</v>
      </c>
      <c r="P392" s="363">
        <v>12800.8</v>
      </c>
      <c r="Q392" s="121">
        <v>2023</v>
      </c>
      <c r="R392" s="121"/>
      <c r="S392" s="148">
        <v>45108</v>
      </c>
      <c r="T392" s="363">
        <f>Таблица18[[#This Row],[Вес нетто]]-Таблица18[[#This Row],[Зачетный вес]]</f>
        <v>1189.2000000000007</v>
      </c>
      <c r="U392" s="365">
        <f>Таблица18[[#This Row],[Отход]]/Таблица18[[#This Row],[Вес нетто]]</f>
        <v>8.5003573981415351E-2</v>
      </c>
      <c r="V392" s="121">
        <f>MONTH(Таблица18[[#This Row],[Дата акта]])</f>
        <v>7</v>
      </c>
      <c r="W392" s="121">
        <v>1</v>
      </c>
      <c r="X392" s="148">
        <f>DATE(1900,Таблица18[[#This Row],[Месяц]],Таблица18[[#This Row],[Число]])</f>
        <v>183</v>
      </c>
      <c r="Y392" s="121"/>
      <c r="Z392" s="121" t="str">
        <f>Таблица18[[#This Row],[Хар-ка]]</f>
        <v>первый</v>
      </c>
      <c r="AD392" s="459"/>
      <c r="AE392" s="391"/>
    </row>
    <row r="393" spans="1:31" s="325" customFormat="1" ht="15.6" hidden="1" customHeight="1" x14ac:dyDescent="0.2">
      <c r="A393" s="360" t="s">
        <v>2248</v>
      </c>
      <c r="B393" s="360" t="s">
        <v>833</v>
      </c>
      <c r="C393" s="361">
        <v>565</v>
      </c>
      <c r="D393" s="362">
        <v>87</v>
      </c>
      <c r="E393" s="360" t="s">
        <v>1737</v>
      </c>
      <c r="F393" s="360" t="s">
        <v>1841</v>
      </c>
      <c r="G393" s="360" t="s">
        <v>351</v>
      </c>
      <c r="H393" s="360" t="s">
        <v>2249</v>
      </c>
      <c r="I393" s="360" t="e">
        <f>VLOOKUP(Таблица18[[#This Row],[Номер акта]],$AB$1:$AF$1833,3,FALSE)</f>
        <v>#N/A</v>
      </c>
      <c r="J393" s="360" t="s">
        <v>1760</v>
      </c>
      <c r="K393" s="360" t="s">
        <v>82</v>
      </c>
      <c r="L393" s="363">
        <v>36580</v>
      </c>
      <c r="M393" s="363">
        <v>18620</v>
      </c>
      <c r="N393" s="364">
        <v>5</v>
      </c>
      <c r="O393" s="363">
        <v>17960</v>
      </c>
      <c r="P393" s="363">
        <v>17062</v>
      </c>
      <c r="Q393" s="121">
        <v>2023</v>
      </c>
      <c r="R393" s="121"/>
      <c r="S393" s="148">
        <v>45108</v>
      </c>
      <c r="T393" s="363">
        <f>Таблица18[[#This Row],[Вес нетто]]-Таблица18[[#This Row],[Зачетный вес]]</f>
        <v>898</v>
      </c>
      <c r="U393" s="365">
        <f>Таблица18[[#This Row],[Отход]]/Таблица18[[#This Row],[Вес нетто]]</f>
        <v>0.05</v>
      </c>
      <c r="V393" s="121">
        <f>MONTH(Таблица18[[#This Row],[Дата акта]])</f>
        <v>7</v>
      </c>
      <c r="W393" s="121">
        <v>1</v>
      </c>
      <c r="X393" s="148">
        <f>DATE(1900,Таблица18[[#This Row],[Месяц]],Таблица18[[#This Row],[Число]])</f>
        <v>183</v>
      </c>
      <c r="Y393" s="121"/>
      <c r="Z393" s="121" t="str">
        <f>Таблица18[[#This Row],[Хар-ка]]</f>
        <v>второй</v>
      </c>
      <c r="AD393" s="459"/>
      <c r="AE393" s="391"/>
    </row>
    <row r="394" spans="1:31" s="325" customFormat="1" ht="15.6" hidden="1" customHeight="1" x14ac:dyDescent="0.2">
      <c r="A394" s="360" t="s">
        <v>2250</v>
      </c>
      <c r="B394" s="360" t="s">
        <v>833</v>
      </c>
      <c r="C394" s="361">
        <v>566</v>
      </c>
      <c r="D394" s="362">
        <v>88</v>
      </c>
      <c r="E394" s="360" t="s">
        <v>1737</v>
      </c>
      <c r="F394" s="360" t="s">
        <v>133</v>
      </c>
      <c r="G394" s="360" t="s">
        <v>137</v>
      </c>
      <c r="H394" s="360" t="s">
        <v>2249</v>
      </c>
      <c r="I394" s="360" t="e">
        <f>VLOOKUP(Таблица18[[#This Row],[Номер акта]],$AB$1:$AF$1833,3,FALSE)</f>
        <v>#N/A</v>
      </c>
      <c r="J394" s="360" t="s">
        <v>1760</v>
      </c>
      <c r="K394" s="360" t="s">
        <v>82</v>
      </c>
      <c r="L394" s="363">
        <v>35110</v>
      </c>
      <c r="M394" s="363">
        <v>17430</v>
      </c>
      <c r="N394" s="364">
        <v>7</v>
      </c>
      <c r="O394" s="363">
        <v>17680</v>
      </c>
      <c r="P394" s="363">
        <v>16442.400000000001</v>
      </c>
      <c r="Q394" s="121">
        <v>2023</v>
      </c>
      <c r="R394" s="121"/>
      <c r="S394" s="148">
        <v>45108</v>
      </c>
      <c r="T394" s="363">
        <f>Таблица18[[#This Row],[Вес нетто]]-Таблица18[[#This Row],[Зачетный вес]]</f>
        <v>1237.5999999999985</v>
      </c>
      <c r="U394" s="365">
        <f>Таблица18[[#This Row],[Отход]]/Таблица18[[#This Row],[Вес нетто]]</f>
        <v>6.9999999999999923E-2</v>
      </c>
      <c r="V394" s="121">
        <f>MONTH(Таблица18[[#This Row],[Дата акта]])</f>
        <v>7</v>
      </c>
      <c r="W394" s="121">
        <v>1</v>
      </c>
      <c r="X394" s="148">
        <f>DATE(1900,Таблица18[[#This Row],[Месяц]],Таблица18[[#This Row],[Число]])</f>
        <v>183</v>
      </c>
      <c r="Y394" s="121"/>
      <c r="Z394" s="121" t="str">
        <f>Таблица18[[#This Row],[Хар-ка]]</f>
        <v>второй</v>
      </c>
      <c r="AD394" s="459"/>
      <c r="AE394" s="391"/>
    </row>
    <row r="395" spans="1:31" s="325" customFormat="1" ht="15.6" hidden="1" customHeight="1" x14ac:dyDescent="0.2">
      <c r="A395" s="360" t="s">
        <v>2251</v>
      </c>
      <c r="B395" s="360" t="s">
        <v>833</v>
      </c>
      <c r="C395" s="361">
        <v>567</v>
      </c>
      <c r="D395" s="362">
        <v>90</v>
      </c>
      <c r="E395" s="360" t="s">
        <v>1737</v>
      </c>
      <c r="F395" s="360" t="s">
        <v>311</v>
      </c>
      <c r="G395" s="360" t="s">
        <v>315</v>
      </c>
      <c r="H395" s="360" t="s">
        <v>2249</v>
      </c>
      <c r="I395" s="360" t="e">
        <f>VLOOKUP(Таблица18[[#This Row],[Номер акта]],$AB$1:$AF$1833,3,FALSE)</f>
        <v>#N/A</v>
      </c>
      <c r="J395" s="360" t="s">
        <v>1760</v>
      </c>
      <c r="K395" s="360" t="s">
        <v>82</v>
      </c>
      <c r="L395" s="363">
        <v>30740</v>
      </c>
      <c r="M395" s="363">
        <v>15030</v>
      </c>
      <c r="N395" s="364">
        <v>6</v>
      </c>
      <c r="O395" s="363">
        <v>15710</v>
      </c>
      <c r="P395" s="363">
        <v>14767.4</v>
      </c>
      <c r="Q395" s="121">
        <v>2023</v>
      </c>
      <c r="R395" s="121"/>
      <c r="S395" s="148">
        <v>45108</v>
      </c>
      <c r="T395" s="363">
        <f>Таблица18[[#This Row],[Вес нетто]]-Таблица18[[#This Row],[Зачетный вес]]</f>
        <v>942.60000000000036</v>
      </c>
      <c r="U395" s="365">
        <f>Таблица18[[#This Row],[Отход]]/Таблица18[[#This Row],[Вес нетто]]</f>
        <v>6.0000000000000026E-2</v>
      </c>
      <c r="V395" s="121">
        <f>MONTH(Таблица18[[#This Row],[Дата акта]])</f>
        <v>7</v>
      </c>
      <c r="W395" s="121">
        <v>1</v>
      </c>
      <c r="X395" s="148">
        <f>DATE(1900,Таблица18[[#This Row],[Месяц]],Таблица18[[#This Row],[Число]])</f>
        <v>183</v>
      </c>
      <c r="Y395" s="121"/>
      <c r="Z395" s="121" t="str">
        <f>Таблица18[[#This Row],[Хар-ка]]</f>
        <v>второй</v>
      </c>
      <c r="AD395" s="459"/>
      <c r="AE395" s="391"/>
    </row>
    <row r="396" spans="1:31" s="325" customFormat="1" ht="15.6" hidden="1" customHeight="1" x14ac:dyDescent="0.2">
      <c r="A396" s="360" t="s">
        <v>2252</v>
      </c>
      <c r="B396" s="360" t="s">
        <v>550</v>
      </c>
      <c r="C396" s="361">
        <v>568</v>
      </c>
      <c r="D396" s="362">
        <v>89</v>
      </c>
      <c r="E396" s="360" t="s">
        <v>1737</v>
      </c>
      <c r="F396" s="360" t="s">
        <v>1794</v>
      </c>
      <c r="G396" s="360" t="s">
        <v>1795</v>
      </c>
      <c r="H396" s="360" t="s">
        <v>2249</v>
      </c>
      <c r="I396" s="360" t="e">
        <f>VLOOKUP(Таблица18[[#This Row],[Номер акта]],$AB$1:$AF$1833,3,FALSE)</f>
        <v>#N/A</v>
      </c>
      <c r="J396" s="360" t="s">
        <v>1760</v>
      </c>
      <c r="K396" s="360" t="s">
        <v>82</v>
      </c>
      <c r="L396" s="363">
        <v>28850</v>
      </c>
      <c r="M396" s="363">
        <v>13130</v>
      </c>
      <c r="N396" s="364">
        <v>7</v>
      </c>
      <c r="O396" s="363">
        <v>15720</v>
      </c>
      <c r="P396" s="363">
        <v>14619.6</v>
      </c>
      <c r="Q396" s="121">
        <v>2023</v>
      </c>
      <c r="R396" s="121"/>
      <c r="S396" s="148">
        <v>45108</v>
      </c>
      <c r="T396" s="363">
        <f>Таблица18[[#This Row],[Вес нетто]]-Таблица18[[#This Row],[Зачетный вес]]</f>
        <v>1100.3999999999996</v>
      </c>
      <c r="U396" s="365">
        <f>Таблица18[[#This Row],[Отход]]/Таблица18[[#This Row],[Вес нетто]]</f>
        <v>6.9999999999999979E-2</v>
      </c>
      <c r="V396" s="121">
        <f>MONTH(Таблица18[[#This Row],[Дата акта]])</f>
        <v>7</v>
      </c>
      <c r="W396" s="121">
        <v>1</v>
      </c>
      <c r="X396" s="148">
        <f>DATE(1900,Таблица18[[#This Row],[Месяц]],Таблица18[[#This Row],[Число]])</f>
        <v>183</v>
      </c>
      <c r="Y396" s="121"/>
      <c r="Z396" s="121" t="str">
        <f>Таблица18[[#This Row],[Хар-ка]]</f>
        <v>первый</v>
      </c>
      <c r="AD396" s="459"/>
      <c r="AE396" s="391"/>
    </row>
    <row r="397" spans="1:31" s="325" customFormat="1" ht="15.6" hidden="1" customHeight="1" x14ac:dyDescent="0.2">
      <c r="A397" s="360" t="s">
        <v>2253</v>
      </c>
      <c r="B397" s="360" t="s">
        <v>550</v>
      </c>
      <c r="C397" s="361">
        <v>569</v>
      </c>
      <c r="D397" s="362">
        <v>91</v>
      </c>
      <c r="E397" s="360" t="s">
        <v>1737</v>
      </c>
      <c r="F397" s="360" t="s">
        <v>2158</v>
      </c>
      <c r="G397" s="360" t="s">
        <v>299</v>
      </c>
      <c r="H397" s="360" t="s">
        <v>2249</v>
      </c>
      <c r="I397" s="360" t="e">
        <f>VLOOKUP(Таблица18[[#This Row],[Номер акта]],$AB$1:$AF$1833,3,FALSE)</f>
        <v>#N/A</v>
      </c>
      <c r="J397" s="360" t="s">
        <v>1760</v>
      </c>
      <c r="K397" s="360" t="s">
        <v>82</v>
      </c>
      <c r="L397" s="363">
        <v>35230</v>
      </c>
      <c r="M397" s="363">
        <v>17490</v>
      </c>
      <c r="N397" s="364">
        <v>8</v>
      </c>
      <c r="O397" s="363">
        <v>17740</v>
      </c>
      <c r="P397" s="363">
        <v>16320.8</v>
      </c>
      <c r="Q397" s="121">
        <v>2023</v>
      </c>
      <c r="R397" s="121"/>
      <c r="S397" s="148">
        <v>45108</v>
      </c>
      <c r="T397" s="363">
        <f>Таблица18[[#This Row],[Вес нетто]]-Таблица18[[#This Row],[Зачетный вес]]</f>
        <v>1419.2000000000007</v>
      </c>
      <c r="U397" s="365">
        <f>Таблица18[[#This Row],[Отход]]/Таблица18[[#This Row],[Вес нетто]]</f>
        <v>8.0000000000000043E-2</v>
      </c>
      <c r="V397" s="121">
        <f>MONTH(Таблица18[[#This Row],[Дата акта]])</f>
        <v>7</v>
      </c>
      <c r="W397" s="121">
        <v>1</v>
      </c>
      <c r="X397" s="148">
        <f>DATE(1900,Таблица18[[#This Row],[Месяц]],Таблица18[[#This Row],[Число]])</f>
        <v>183</v>
      </c>
      <c r="Y397" s="121"/>
      <c r="Z397" s="121" t="str">
        <f>Таблица18[[#This Row],[Хар-ка]]</f>
        <v>первый</v>
      </c>
      <c r="AD397" s="459"/>
      <c r="AE397" s="391"/>
    </row>
    <row r="398" spans="1:31" s="325" customFormat="1" ht="15.6" hidden="1" customHeight="1" x14ac:dyDescent="0.2">
      <c r="A398" s="360" t="s">
        <v>2254</v>
      </c>
      <c r="B398" s="360" t="s">
        <v>833</v>
      </c>
      <c r="C398" s="361">
        <v>571</v>
      </c>
      <c r="D398" s="360" t="s">
        <v>2255</v>
      </c>
      <c r="E398" s="360" t="s">
        <v>1737</v>
      </c>
      <c r="F398" s="360" t="s">
        <v>212</v>
      </c>
      <c r="G398" s="360" t="s">
        <v>216</v>
      </c>
      <c r="H398" s="360" t="s">
        <v>2249</v>
      </c>
      <c r="I398" s="360" t="e">
        <f>VLOOKUP(Таблица18[[#This Row],[Номер акта]],$AB$1:$AF$1833,3,FALSE)</f>
        <v>#N/A</v>
      </c>
      <c r="J398" s="360" t="s">
        <v>1760</v>
      </c>
      <c r="K398" s="360" t="s">
        <v>82</v>
      </c>
      <c r="L398" s="363">
        <v>22960</v>
      </c>
      <c r="M398" s="363">
        <v>13950</v>
      </c>
      <c r="N398" s="364">
        <v>0.8</v>
      </c>
      <c r="O398" s="363">
        <v>9010</v>
      </c>
      <c r="P398" s="363">
        <v>8940</v>
      </c>
      <c r="Q398" s="121">
        <v>2023</v>
      </c>
      <c r="R398" s="121"/>
      <c r="S398" s="148">
        <v>45108</v>
      </c>
      <c r="T398" s="363">
        <f>Таблица18[[#This Row],[Вес нетто]]-Таблица18[[#This Row],[Зачетный вес]]</f>
        <v>70</v>
      </c>
      <c r="U398" s="365">
        <f>Таблица18[[#This Row],[Отход]]/Таблица18[[#This Row],[Вес нетто]]</f>
        <v>7.7691453940066596E-3</v>
      </c>
      <c r="V398" s="121">
        <f>MONTH(Таблица18[[#This Row],[Дата акта]])</f>
        <v>7</v>
      </c>
      <c r="W398" s="121">
        <v>1</v>
      </c>
      <c r="X398" s="148">
        <f>DATE(1900,Таблица18[[#This Row],[Месяц]],Таблица18[[#This Row],[Число]])</f>
        <v>183</v>
      </c>
      <c r="Y398" s="121"/>
      <c r="Z398" s="121" t="str">
        <f>Таблица18[[#This Row],[Хар-ка]]</f>
        <v>второй</v>
      </c>
      <c r="AD398" s="459"/>
      <c r="AE398" s="391"/>
    </row>
    <row r="399" spans="1:31" s="325" customFormat="1" ht="15.6" hidden="1" customHeight="1" x14ac:dyDescent="0.2">
      <c r="A399" s="360" t="s">
        <v>2256</v>
      </c>
      <c r="B399" s="360" t="s">
        <v>833</v>
      </c>
      <c r="C399" s="361">
        <v>572</v>
      </c>
      <c r="D399" s="360" t="s">
        <v>2257</v>
      </c>
      <c r="E399" s="360" t="s">
        <v>1737</v>
      </c>
      <c r="F399" s="360" t="s">
        <v>1843</v>
      </c>
      <c r="G399" s="360" t="s">
        <v>119</v>
      </c>
      <c r="H399" s="360" t="s">
        <v>2249</v>
      </c>
      <c r="I399" s="360" t="e">
        <f>VLOOKUP(Таблица18[[#This Row],[Номер акта]],$AB$1:$AF$1833,3,FALSE)</f>
        <v>#N/A</v>
      </c>
      <c r="J399" s="360" t="s">
        <v>1760</v>
      </c>
      <c r="K399" s="360" t="s">
        <v>82</v>
      </c>
      <c r="L399" s="363">
        <v>38810</v>
      </c>
      <c r="M399" s="363">
        <v>20810</v>
      </c>
      <c r="N399" s="121"/>
      <c r="O399" s="363">
        <v>18000</v>
      </c>
      <c r="P399" s="363">
        <v>18000</v>
      </c>
      <c r="Q399" s="121">
        <v>2023</v>
      </c>
      <c r="R399" s="121"/>
      <c r="S399" s="148">
        <v>45109</v>
      </c>
      <c r="T399" s="363">
        <f>Таблица18[[#This Row],[Вес нетто]]-Таблица18[[#This Row],[Зачетный вес]]</f>
        <v>0</v>
      </c>
      <c r="U399" s="365">
        <f>Таблица18[[#This Row],[Отход]]/Таблица18[[#This Row],[Вес нетто]]</f>
        <v>0</v>
      </c>
      <c r="V399" s="121">
        <f>MONTH(Таблица18[[#This Row],[Дата акта]])</f>
        <v>7</v>
      </c>
      <c r="W399" s="121">
        <v>2</v>
      </c>
      <c r="X399" s="148">
        <f>DATE(1900,Таблица18[[#This Row],[Месяц]],Таблица18[[#This Row],[Число]])</f>
        <v>184</v>
      </c>
      <c r="Y399" s="121"/>
      <c r="Z399" s="121" t="str">
        <f>Таблица18[[#This Row],[Хар-ка]]</f>
        <v>второй</v>
      </c>
      <c r="AD399" s="459"/>
      <c r="AE399" s="391"/>
    </row>
    <row r="400" spans="1:31" s="325" customFormat="1" ht="15.6" hidden="1" customHeight="1" x14ac:dyDescent="0.2">
      <c r="A400" s="360" t="s">
        <v>2258</v>
      </c>
      <c r="B400" s="360" t="s">
        <v>833</v>
      </c>
      <c r="C400" s="361">
        <v>573</v>
      </c>
      <c r="D400" s="360" t="s">
        <v>2259</v>
      </c>
      <c r="E400" s="360" t="s">
        <v>1167</v>
      </c>
      <c r="F400" s="360" t="s">
        <v>1880</v>
      </c>
      <c r="G400" s="360" t="s">
        <v>1802</v>
      </c>
      <c r="H400" s="360" t="s">
        <v>2249</v>
      </c>
      <c r="I400" s="360" t="e">
        <f>VLOOKUP(Таблица18[[#This Row],[Номер акта]],$AB$1:$AF$1833,3,FALSE)</f>
        <v>#N/A</v>
      </c>
      <c r="J400" s="360" t="s">
        <v>1760</v>
      </c>
      <c r="K400" s="360" t="s">
        <v>82</v>
      </c>
      <c r="L400" s="363">
        <v>30240</v>
      </c>
      <c r="M400" s="363">
        <v>14550</v>
      </c>
      <c r="N400" s="364">
        <v>2.9</v>
      </c>
      <c r="O400" s="363">
        <v>15690</v>
      </c>
      <c r="P400" s="363">
        <v>15240</v>
      </c>
      <c r="Q400" s="121">
        <v>2023</v>
      </c>
      <c r="R400" s="121"/>
      <c r="S400" s="148">
        <v>45109</v>
      </c>
      <c r="T400" s="363">
        <f>Таблица18[[#This Row],[Вес нетто]]-Таблица18[[#This Row],[Зачетный вес]]</f>
        <v>450</v>
      </c>
      <c r="U400" s="365">
        <f>Таблица18[[#This Row],[Отход]]/Таблица18[[#This Row],[Вес нетто]]</f>
        <v>2.8680688336520075E-2</v>
      </c>
      <c r="V400" s="121">
        <f>MONTH(Таблица18[[#This Row],[Дата акта]])</f>
        <v>7</v>
      </c>
      <c r="W400" s="121">
        <v>2</v>
      </c>
      <c r="X400" s="148">
        <f>DATE(1900,Таблица18[[#This Row],[Месяц]],Таблица18[[#This Row],[Число]])</f>
        <v>184</v>
      </c>
      <c r="Y400" s="121"/>
      <c r="Z400" s="121" t="str">
        <f>Таблица18[[#This Row],[Хар-ка]]</f>
        <v>второй</v>
      </c>
      <c r="AD400" s="459"/>
      <c r="AE400" s="391"/>
    </row>
    <row r="401" spans="1:31" s="325" customFormat="1" ht="15.6" hidden="1" customHeight="1" x14ac:dyDescent="0.2">
      <c r="A401" s="360" t="s">
        <v>2260</v>
      </c>
      <c r="B401" s="360" t="s">
        <v>833</v>
      </c>
      <c r="C401" s="361">
        <v>577</v>
      </c>
      <c r="D401" s="362">
        <v>99</v>
      </c>
      <c r="E401" s="360" t="s">
        <v>1737</v>
      </c>
      <c r="F401" s="360" t="s">
        <v>283</v>
      </c>
      <c r="G401" s="360" t="s">
        <v>287</v>
      </c>
      <c r="H401" s="360" t="s">
        <v>2249</v>
      </c>
      <c r="I401" s="360" t="e">
        <f>VLOOKUP(Таблица18[[#This Row],[Номер акта]],$AB$1:$AF$1833,3,FALSE)</f>
        <v>#N/A</v>
      </c>
      <c r="J401" s="360" t="s">
        <v>1760</v>
      </c>
      <c r="K401" s="360" t="s">
        <v>82</v>
      </c>
      <c r="L401" s="363">
        <v>35700</v>
      </c>
      <c r="M401" s="363">
        <v>17910</v>
      </c>
      <c r="N401" s="364">
        <v>4.5</v>
      </c>
      <c r="O401" s="363">
        <v>17790</v>
      </c>
      <c r="P401" s="363">
        <v>16989.400000000001</v>
      </c>
      <c r="Q401" s="121">
        <v>2023</v>
      </c>
      <c r="R401" s="121"/>
      <c r="S401" s="148">
        <v>45109</v>
      </c>
      <c r="T401" s="363">
        <f>Таблица18[[#This Row],[Вес нетто]]-Таблица18[[#This Row],[Зачетный вес]]</f>
        <v>800.59999999999854</v>
      </c>
      <c r="U401" s="365">
        <f>Таблица18[[#This Row],[Отход]]/Таблица18[[#This Row],[Вес нетто]]</f>
        <v>4.50028105677346E-2</v>
      </c>
      <c r="V401" s="121">
        <f>MONTH(Таблица18[[#This Row],[Дата акта]])</f>
        <v>7</v>
      </c>
      <c r="W401" s="121">
        <v>2</v>
      </c>
      <c r="X401" s="148">
        <f>DATE(1900,Таблица18[[#This Row],[Месяц]],Таблица18[[#This Row],[Число]])</f>
        <v>184</v>
      </c>
      <c r="Y401" s="121"/>
      <c r="Z401" s="121" t="str">
        <f>Таблица18[[#This Row],[Хар-ка]]</f>
        <v>второй</v>
      </c>
      <c r="AD401" s="459"/>
      <c r="AE401" s="391"/>
    </row>
    <row r="402" spans="1:31" s="325" customFormat="1" ht="15.6" hidden="1" customHeight="1" x14ac:dyDescent="0.2">
      <c r="A402" s="360" t="s">
        <v>2261</v>
      </c>
      <c r="B402" s="360" t="s">
        <v>833</v>
      </c>
      <c r="C402" s="361">
        <v>578</v>
      </c>
      <c r="D402" s="362">
        <v>100</v>
      </c>
      <c r="E402" s="360" t="s">
        <v>1737</v>
      </c>
      <c r="F402" s="360" t="s">
        <v>289</v>
      </c>
      <c r="G402" s="360" t="s">
        <v>293</v>
      </c>
      <c r="H402" s="360" t="s">
        <v>2249</v>
      </c>
      <c r="I402" s="360" t="e">
        <f>VLOOKUP(Таблица18[[#This Row],[Номер акта]],$AB$1:$AF$1833,3,FALSE)</f>
        <v>#N/A</v>
      </c>
      <c r="J402" s="360" t="s">
        <v>1760</v>
      </c>
      <c r="K402" s="360" t="s">
        <v>82</v>
      </c>
      <c r="L402" s="363">
        <v>32660</v>
      </c>
      <c r="M402" s="363">
        <v>17060</v>
      </c>
      <c r="N402" s="364">
        <v>4.5</v>
      </c>
      <c r="O402" s="363">
        <v>15600</v>
      </c>
      <c r="P402" s="363">
        <v>14898</v>
      </c>
      <c r="Q402" s="121">
        <v>2023</v>
      </c>
      <c r="R402" s="121"/>
      <c r="S402" s="148">
        <v>45109</v>
      </c>
      <c r="T402" s="363">
        <f>Таблица18[[#This Row],[Вес нетто]]-Таблица18[[#This Row],[Зачетный вес]]</f>
        <v>702</v>
      </c>
      <c r="U402" s="365">
        <f>Таблица18[[#This Row],[Отход]]/Таблица18[[#This Row],[Вес нетто]]</f>
        <v>4.4999999999999998E-2</v>
      </c>
      <c r="V402" s="121">
        <f>MONTH(Таблица18[[#This Row],[Дата акта]])</f>
        <v>7</v>
      </c>
      <c r="W402" s="121">
        <v>2</v>
      </c>
      <c r="X402" s="148">
        <f>DATE(1900,Таблица18[[#This Row],[Месяц]],Таблица18[[#This Row],[Число]])</f>
        <v>184</v>
      </c>
      <c r="Y402" s="121"/>
      <c r="Z402" s="121" t="str">
        <f>Таблица18[[#This Row],[Хар-ка]]</f>
        <v>второй</v>
      </c>
      <c r="AD402" s="459"/>
      <c r="AE402" s="391"/>
    </row>
    <row r="403" spans="1:31" s="325" customFormat="1" ht="15.6" hidden="1" customHeight="1" x14ac:dyDescent="0.2">
      <c r="A403" s="360" t="s">
        <v>2262</v>
      </c>
      <c r="B403" s="360" t="s">
        <v>833</v>
      </c>
      <c r="C403" s="361">
        <v>579</v>
      </c>
      <c r="D403" s="362">
        <v>80</v>
      </c>
      <c r="E403" s="360" t="s">
        <v>1737</v>
      </c>
      <c r="F403" s="360" t="s">
        <v>2150</v>
      </c>
      <c r="G403" s="360" t="s">
        <v>2151</v>
      </c>
      <c r="H403" s="360" t="s">
        <v>2249</v>
      </c>
      <c r="I403" s="360" t="e">
        <f>VLOOKUP(Таблица18[[#This Row],[Номер акта]],$AB$1:$AF$1833,3,FALSE)</f>
        <v>#N/A</v>
      </c>
      <c r="J403" s="360" t="s">
        <v>1760</v>
      </c>
      <c r="K403" s="360" t="s">
        <v>82</v>
      </c>
      <c r="L403" s="363">
        <v>31130</v>
      </c>
      <c r="M403" s="363">
        <v>15420</v>
      </c>
      <c r="N403" s="364">
        <v>4.5</v>
      </c>
      <c r="O403" s="363">
        <v>15710</v>
      </c>
      <c r="P403" s="363">
        <v>15003</v>
      </c>
      <c r="Q403" s="121">
        <v>2023</v>
      </c>
      <c r="R403" s="121"/>
      <c r="S403" s="148">
        <v>45109</v>
      </c>
      <c r="T403" s="363">
        <f>Таблица18[[#This Row],[Вес нетто]]-Таблица18[[#This Row],[Зачетный вес]]</f>
        <v>707</v>
      </c>
      <c r="U403" s="365">
        <f>Таблица18[[#This Row],[Отход]]/Таблица18[[#This Row],[Вес нетто]]</f>
        <v>4.5003182686187145E-2</v>
      </c>
      <c r="V403" s="121">
        <f>MONTH(Таблица18[[#This Row],[Дата акта]])</f>
        <v>7</v>
      </c>
      <c r="W403" s="121">
        <v>2</v>
      </c>
      <c r="X403" s="148">
        <f>DATE(1900,Таблица18[[#This Row],[Месяц]],Таблица18[[#This Row],[Число]])</f>
        <v>184</v>
      </c>
      <c r="Y403" s="121"/>
      <c r="Z403" s="121" t="str">
        <f>Таблица18[[#This Row],[Хар-ка]]</f>
        <v>второй</v>
      </c>
      <c r="AD403" s="459"/>
      <c r="AE403" s="391"/>
    </row>
    <row r="404" spans="1:31" s="325" customFormat="1" ht="15.6" hidden="1" customHeight="1" x14ac:dyDescent="0.2">
      <c r="A404" s="360" t="s">
        <v>2263</v>
      </c>
      <c r="B404" s="360" t="s">
        <v>833</v>
      </c>
      <c r="C404" s="361">
        <v>580</v>
      </c>
      <c r="D404" s="362">
        <v>106</v>
      </c>
      <c r="E404" s="360" t="s">
        <v>1737</v>
      </c>
      <c r="F404" s="360" t="s">
        <v>1804</v>
      </c>
      <c r="G404" s="360" t="s">
        <v>536</v>
      </c>
      <c r="H404" s="360" t="s">
        <v>2249</v>
      </c>
      <c r="I404" s="360" t="e">
        <f>VLOOKUP(Таблица18[[#This Row],[Номер акта]],$AB$1:$AF$1833,3,FALSE)</f>
        <v>#N/A</v>
      </c>
      <c r="J404" s="360" t="s">
        <v>1760</v>
      </c>
      <c r="K404" s="360" t="s">
        <v>82</v>
      </c>
      <c r="L404" s="363">
        <v>30250</v>
      </c>
      <c r="M404" s="363">
        <v>14680</v>
      </c>
      <c r="N404" s="364">
        <v>4.5</v>
      </c>
      <c r="O404" s="363">
        <v>15570</v>
      </c>
      <c r="P404" s="363">
        <v>14869.3</v>
      </c>
      <c r="Q404" s="121">
        <v>2023</v>
      </c>
      <c r="R404" s="121"/>
      <c r="S404" s="148">
        <v>45109</v>
      </c>
      <c r="T404" s="363">
        <f>Таблица18[[#This Row],[Вес нетто]]-Таблица18[[#This Row],[Зачетный вес]]</f>
        <v>700.70000000000073</v>
      </c>
      <c r="U404" s="365">
        <f>Таблица18[[#This Row],[Отход]]/Таблица18[[#This Row],[Вес нетто]]</f>
        <v>4.5003211303789384E-2</v>
      </c>
      <c r="V404" s="121">
        <f>MONTH(Таблица18[[#This Row],[Дата акта]])</f>
        <v>7</v>
      </c>
      <c r="W404" s="121">
        <v>2</v>
      </c>
      <c r="X404" s="148">
        <f>DATE(1900,Таблица18[[#This Row],[Месяц]],Таблица18[[#This Row],[Число]])</f>
        <v>184</v>
      </c>
      <c r="Y404" s="121"/>
      <c r="Z404" s="121" t="str">
        <f>Таблица18[[#This Row],[Хар-ка]]</f>
        <v>второй</v>
      </c>
      <c r="AD404" s="459"/>
      <c r="AE404" s="391"/>
    </row>
    <row r="405" spans="1:31" s="325" customFormat="1" ht="15.6" hidden="1" customHeight="1" x14ac:dyDescent="0.2">
      <c r="A405" s="360" t="s">
        <v>2264</v>
      </c>
      <c r="B405" s="360" t="s">
        <v>833</v>
      </c>
      <c r="C405" s="361">
        <v>581</v>
      </c>
      <c r="D405" s="362">
        <v>105</v>
      </c>
      <c r="E405" s="360" t="s">
        <v>1737</v>
      </c>
      <c r="F405" s="360" t="s">
        <v>2220</v>
      </c>
      <c r="G405" s="360" t="s">
        <v>2221</v>
      </c>
      <c r="H405" s="360" t="s">
        <v>2249</v>
      </c>
      <c r="I405" s="360" t="e">
        <f>VLOOKUP(Таблица18[[#This Row],[Номер акта]],$AB$1:$AF$1833,3,FALSE)</f>
        <v>#N/A</v>
      </c>
      <c r="J405" s="360" t="s">
        <v>1760</v>
      </c>
      <c r="K405" s="360" t="s">
        <v>82</v>
      </c>
      <c r="L405" s="363">
        <v>31250</v>
      </c>
      <c r="M405" s="363">
        <v>15540</v>
      </c>
      <c r="N405" s="364">
        <v>6.5</v>
      </c>
      <c r="O405" s="363">
        <v>15710</v>
      </c>
      <c r="P405" s="363">
        <v>14688.8</v>
      </c>
      <c r="Q405" s="121">
        <v>2023</v>
      </c>
      <c r="R405" s="121"/>
      <c r="S405" s="148">
        <v>45110</v>
      </c>
      <c r="T405" s="363">
        <f>Таблица18[[#This Row],[Вес нетто]]-Таблица18[[#This Row],[Зачетный вес]]</f>
        <v>1021.2000000000007</v>
      </c>
      <c r="U405" s="365">
        <f>Таблица18[[#This Row],[Отход]]/Таблица18[[#This Row],[Вес нетто]]</f>
        <v>6.5003182686187183E-2</v>
      </c>
      <c r="V405" s="121">
        <f>MONTH(Таблица18[[#This Row],[Дата акта]])</f>
        <v>7</v>
      </c>
      <c r="W405" s="121">
        <v>3</v>
      </c>
      <c r="X405" s="148">
        <f>DATE(1900,Таблица18[[#This Row],[Месяц]],Таблица18[[#This Row],[Число]])</f>
        <v>185</v>
      </c>
      <c r="Y405" s="121"/>
      <c r="Z405" s="121" t="str">
        <f>Таблица18[[#This Row],[Хар-ка]]</f>
        <v>второй</v>
      </c>
      <c r="AD405" s="459"/>
      <c r="AE405" s="391"/>
    </row>
    <row r="406" spans="1:31" s="325" customFormat="1" ht="15.6" hidden="1" customHeight="1" x14ac:dyDescent="0.2">
      <c r="A406" s="360" t="s">
        <v>2265</v>
      </c>
      <c r="B406" s="360" t="s">
        <v>833</v>
      </c>
      <c r="C406" s="361">
        <v>582</v>
      </c>
      <c r="D406" s="362">
        <v>107</v>
      </c>
      <c r="E406" s="360" t="s">
        <v>1737</v>
      </c>
      <c r="F406" s="360" t="s">
        <v>2223</v>
      </c>
      <c r="G406" s="360" t="s">
        <v>2224</v>
      </c>
      <c r="H406" s="360" t="s">
        <v>2249</v>
      </c>
      <c r="I406" s="360" t="e">
        <f>VLOOKUP(Таблица18[[#This Row],[Номер акта]],$AB$1:$AF$1833,3,FALSE)</f>
        <v>#N/A</v>
      </c>
      <c r="J406" s="360" t="s">
        <v>1760</v>
      </c>
      <c r="K406" s="360" t="s">
        <v>82</v>
      </c>
      <c r="L406" s="363">
        <v>32450</v>
      </c>
      <c r="M406" s="363">
        <v>14510</v>
      </c>
      <c r="N406" s="364">
        <v>5.5</v>
      </c>
      <c r="O406" s="363">
        <v>17940</v>
      </c>
      <c r="P406" s="363">
        <v>16953.3</v>
      </c>
      <c r="Q406" s="121">
        <v>2023</v>
      </c>
      <c r="R406" s="121"/>
      <c r="S406" s="148">
        <v>45110</v>
      </c>
      <c r="T406" s="363">
        <f>Таблица18[[#This Row],[Вес нетто]]-Таблица18[[#This Row],[Зачетный вес]]</f>
        <v>986.70000000000073</v>
      </c>
      <c r="U406" s="365">
        <f>Таблица18[[#This Row],[Отход]]/Таблица18[[#This Row],[Вес нетто]]</f>
        <v>5.5000000000000042E-2</v>
      </c>
      <c r="V406" s="121">
        <f>MONTH(Таблица18[[#This Row],[Дата акта]])</f>
        <v>7</v>
      </c>
      <c r="W406" s="121">
        <v>3</v>
      </c>
      <c r="X406" s="148">
        <f>DATE(1900,Таблица18[[#This Row],[Месяц]],Таблица18[[#This Row],[Число]])</f>
        <v>185</v>
      </c>
      <c r="Y406" s="121"/>
      <c r="Z406" s="121" t="str">
        <f>Таблица18[[#This Row],[Хар-ка]]</f>
        <v>второй</v>
      </c>
      <c r="AD406" s="459"/>
      <c r="AE406" s="391"/>
    </row>
    <row r="407" spans="1:31" s="325" customFormat="1" ht="15.6" hidden="1" customHeight="1" x14ac:dyDescent="0.2">
      <c r="A407" s="360" t="s">
        <v>2266</v>
      </c>
      <c r="B407" s="360" t="s">
        <v>511</v>
      </c>
      <c r="C407" s="361">
        <v>583</v>
      </c>
      <c r="D407" s="362">
        <v>104</v>
      </c>
      <c r="E407" s="360" t="s">
        <v>1737</v>
      </c>
      <c r="F407" s="360" t="s">
        <v>2155</v>
      </c>
      <c r="G407" s="360" t="s">
        <v>320</v>
      </c>
      <c r="H407" s="360" t="s">
        <v>2267</v>
      </c>
      <c r="I407" s="360" t="e">
        <f>VLOOKUP(Таблица18[[#This Row],[Номер акта]],$AB$1:$AF$1833,3,FALSE)</f>
        <v>#N/A</v>
      </c>
      <c r="J407" s="360" t="s">
        <v>2268</v>
      </c>
      <c r="K407" s="360" t="s">
        <v>82</v>
      </c>
      <c r="L407" s="363">
        <v>32020</v>
      </c>
      <c r="M407" s="363">
        <v>14380</v>
      </c>
      <c r="N407" s="364">
        <v>10.5</v>
      </c>
      <c r="O407" s="363">
        <v>17640</v>
      </c>
      <c r="P407" s="363">
        <v>15787.8</v>
      </c>
      <c r="Q407" s="121">
        <v>2023</v>
      </c>
      <c r="R407" s="121"/>
      <c r="S407" s="148">
        <v>45110</v>
      </c>
      <c r="T407" s="363">
        <f>Таблица18[[#This Row],[Вес нетто]]-Таблица18[[#This Row],[Зачетный вес]]</f>
        <v>1852.2000000000007</v>
      </c>
      <c r="U407" s="365">
        <f>Таблица18[[#This Row],[Отход]]/Таблица18[[#This Row],[Вес нетто]]</f>
        <v>0.10500000000000004</v>
      </c>
      <c r="V407" s="121">
        <f>MONTH(Таблица18[[#This Row],[Дата акта]])</f>
        <v>7</v>
      </c>
      <c r="W407" s="121">
        <v>3</v>
      </c>
      <c r="X407" s="148">
        <f>DATE(1900,Таблица18[[#This Row],[Месяц]],Таблица18[[#This Row],[Число]])</f>
        <v>185</v>
      </c>
      <c r="Y407" s="121"/>
      <c r="Z407" s="121" t="str">
        <f>Таблица18[[#This Row],[Хар-ка]]</f>
        <v>высший</v>
      </c>
      <c r="AD407" s="459"/>
      <c r="AE407" s="391"/>
    </row>
    <row r="408" spans="1:31" s="325" customFormat="1" ht="15.6" hidden="1" customHeight="1" x14ac:dyDescent="0.2">
      <c r="A408" s="360" t="s">
        <v>2269</v>
      </c>
      <c r="B408" s="360" t="s">
        <v>511</v>
      </c>
      <c r="C408" s="361">
        <v>584</v>
      </c>
      <c r="D408" s="362">
        <v>60</v>
      </c>
      <c r="E408" s="360" t="s">
        <v>1737</v>
      </c>
      <c r="F408" s="360" t="s">
        <v>1935</v>
      </c>
      <c r="G408" s="360" t="s">
        <v>1813</v>
      </c>
      <c r="H408" s="360" t="s">
        <v>2267</v>
      </c>
      <c r="I408" s="360" t="e">
        <f>VLOOKUP(Таблица18[[#This Row],[Номер акта]],$AB$1:$AF$1833,3,FALSE)</f>
        <v>#N/A</v>
      </c>
      <c r="J408" s="360" t="s">
        <v>2268</v>
      </c>
      <c r="K408" s="360" t="s">
        <v>82</v>
      </c>
      <c r="L408" s="363">
        <v>32140</v>
      </c>
      <c r="M408" s="363">
        <v>14380</v>
      </c>
      <c r="N408" s="364">
        <v>10.5</v>
      </c>
      <c r="O408" s="363">
        <v>17760</v>
      </c>
      <c r="P408" s="363">
        <v>15895.2</v>
      </c>
      <c r="Q408" s="121">
        <v>2023</v>
      </c>
      <c r="R408" s="121"/>
      <c r="S408" s="148">
        <v>45110</v>
      </c>
      <c r="T408" s="363">
        <f>Таблица18[[#This Row],[Вес нетто]]-Таблица18[[#This Row],[Зачетный вес]]</f>
        <v>1864.7999999999993</v>
      </c>
      <c r="U408" s="365">
        <f>Таблица18[[#This Row],[Отход]]/Таблица18[[#This Row],[Вес нетто]]</f>
        <v>0.10499999999999995</v>
      </c>
      <c r="V408" s="121">
        <f>MONTH(Таблица18[[#This Row],[Дата акта]])</f>
        <v>7</v>
      </c>
      <c r="W408" s="121">
        <v>3</v>
      </c>
      <c r="X408" s="148">
        <f>DATE(1900,Таблица18[[#This Row],[Месяц]],Таблица18[[#This Row],[Число]])</f>
        <v>185</v>
      </c>
      <c r="Y408" s="121"/>
      <c r="Z408" s="121" t="str">
        <f>Таблица18[[#This Row],[Хар-ка]]</f>
        <v>высший</v>
      </c>
      <c r="AD408" s="459"/>
      <c r="AE408" s="391"/>
    </row>
    <row r="409" spans="1:31" s="325" customFormat="1" ht="15.6" hidden="1" customHeight="1" x14ac:dyDescent="0.2">
      <c r="A409" s="360" t="s">
        <v>2270</v>
      </c>
      <c r="B409" s="360" t="s">
        <v>511</v>
      </c>
      <c r="C409" s="361">
        <v>586</v>
      </c>
      <c r="D409" s="362">
        <v>112</v>
      </c>
      <c r="E409" s="360" t="s">
        <v>1737</v>
      </c>
      <c r="F409" s="360" t="s">
        <v>283</v>
      </c>
      <c r="G409" s="360" t="s">
        <v>287</v>
      </c>
      <c r="H409" s="360" t="s">
        <v>2267</v>
      </c>
      <c r="I409" s="360" t="e">
        <f>VLOOKUP(Таблица18[[#This Row],[Номер акта]],$AB$1:$AF$1833,3,FALSE)</f>
        <v>#N/A</v>
      </c>
      <c r="J409" s="360" t="s">
        <v>2268</v>
      </c>
      <c r="K409" s="360" t="s">
        <v>82</v>
      </c>
      <c r="L409" s="363">
        <v>35400</v>
      </c>
      <c r="M409" s="363">
        <v>17800</v>
      </c>
      <c r="N409" s="364">
        <v>10.5</v>
      </c>
      <c r="O409" s="363">
        <v>17600</v>
      </c>
      <c r="P409" s="363">
        <v>15752</v>
      </c>
      <c r="Q409" s="121">
        <v>2023</v>
      </c>
      <c r="R409" s="121"/>
      <c r="S409" s="148">
        <v>45110</v>
      </c>
      <c r="T409" s="363">
        <f>Таблица18[[#This Row],[Вес нетто]]-Таблица18[[#This Row],[Зачетный вес]]</f>
        <v>1848</v>
      </c>
      <c r="U409" s="365">
        <f>Таблица18[[#This Row],[Отход]]/Таблица18[[#This Row],[Вес нетто]]</f>
        <v>0.105</v>
      </c>
      <c r="V409" s="121">
        <f>MONTH(Таблица18[[#This Row],[Дата акта]])</f>
        <v>7</v>
      </c>
      <c r="W409" s="121">
        <v>3</v>
      </c>
      <c r="X409" s="148">
        <f>DATE(1900,Таблица18[[#This Row],[Месяц]],Таблица18[[#This Row],[Число]])</f>
        <v>185</v>
      </c>
      <c r="Y409" s="121"/>
      <c r="Z409" s="121" t="str">
        <f>Таблица18[[#This Row],[Хар-ка]]</f>
        <v>высший</v>
      </c>
      <c r="AD409" s="459"/>
      <c r="AE409" s="391"/>
    </row>
    <row r="410" spans="1:31" s="325" customFormat="1" ht="15.6" hidden="1" customHeight="1" x14ac:dyDescent="0.2">
      <c r="A410" s="360" t="s">
        <v>2271</v>
      </c>
      <c r="B410" s="360" t="s">
        <v>511</v>
      </c>
      <c r="C410" s="361">
        <v>587</v>
      </c>
      <c r="D410" s="362">
        <v>110</v>
      </c>
      <c r="E410" s="360" t="s">
        <v>1737</v>
      </c>
      <c r="F410" s="360" t="s">
        <v>289</v>
      </c>
      <c r="G410" s="360" t="s">
        <v>293</v>
      </c>
      <c r="H410" s="360" t="s">
        <v>2267</v>
      </c>
      <c r="I410" s="360" t="e">
        <f>VLOOKUP(Таблица18[[#This Row],[Номер акта]],$AB$1:$AF$1833,3,FALSE)</f>
        <v>#N/A</v>
      </c>
      <c r="J410" s="360" t="s">
        <v>2268</v>
      </c>
      <c r="K410" s="360" t="s">
        <v>82</v>
      </c>
      <c r="L410" s="363">
        <v>30100</v>
      </c>
      <c r="M410" s="363">
        <v>16960</v>
      </c>
      <c r="N410" s="364">
        <v>12.5</v>
      </c>
      <c r="O410" s="363">
        <v>13140</v>
      </c>
      <c r="P410" s="363">
        <v>11497.5</v>
      </c>
      <c r="Q410" s="121">
        <v>2023</v>
      </c>
      <c r="R410" s="121"/>
      <c r="S410" s="148">
        <v>45110</v>
      </c>
      <c r="T410" s="363">
        <f>Таблица18[[#This Row],[Вес нетто]]-Таблица18[[#This Row],[Зачетный вес]]</f>
        <v>1642.5</v>
      </c>
      <c r="U410" s="365">
        <f>Таблица18[[#This Row],[Отход]]/Таблица18[[#This Row],[Вес нетто]]</f>
        <v>0.125</v>
      </c>
      <c r="V410" s="121">
        <f>MONTH(Таблица18[[#This Row],[Дата акта]])</f>
        <v>7</v>
      </c>
      <c r="W410" s="121">
        <v>3</v>
      </c>
      <c r="X410" s="148">
        <f>DATE(1900,Таблица18[[#This Row],[Месяц]],Таблица18[[#This Row],[Число]])</f>
        <v>185</v>
      </c>
      <c r="Y410" s="121"/>
      <c r="Z410" s="121" t="str">
        <f>Таблица18[[#This Row],[Хар-ка]]</f>
        <v>высший</v>
      </c>
      <c r="AD410" s="459"/>
      <c r="AE410" s="391"/>
    </row>
    <row r="411" spans="1:31" s="325" customFormat="1" ht="15.6" hidden="1" customHeight="1" x14ac:dyDescent="0.2">
      <c r="A411" s="360" t="s">
        <v>2272</v>
      </c>
      <c r="B411" s="360" t="s">
        <v>833</v>
      </c>
      <c r="C411" s="361">
        <v>588</v>
      </c>
      <c r="D411" s="362">
        <v>111</v>
      </c>
      <c r="E411" s="360" t="s">
        <v>1737</v>
      </c>
      <c r="F411" s="360" t="s">
        <v>2150</v>
      </c>
      <c r="G411" s="360" t="s">
        <v>2151</v>
      </c>
      <c r="H411" s="360" t="s">
        <v>2267</v>
      </c>
      <c r="I411" s="360" t="e">
        <f>VLOOKUP(Таблица18[[#This Row],[Номер акта]],$AB$1:$AF$1833,3,FALSE)</f>
        <v>#N/A</v>
      </c>
      <c r="J411" s="360" t="s">
        <v>2268</v>
      </c>
      <c r="K411" s="360" t="s">
        <v>82</v>
      </c>
      <c r="L411" s="363">
        <v>30700</v>
      </c>
      <c r="M411" s="363">
        <v>15290</v>
      </c>
      <c r="N411" s="364">
        <v>9.5</v>
      </c>
      <c r="O411" s="363">
        <v>15410</v>
      </c>
      <c r="P411" s="363">
        <v>13946</v>
      </c>
      <c r="Q411" s="121">
        <v>2023</v>
      </c>
      <c r="R411" s="121"/>
      <c r="S411" s="148">
        <v>45110</v>
      </c>
      <c r="T411" s="363">
        <f>Таблица18[[#This Row],[Вес нетто]]-Таблица18[[#This Row],[Зачетный вес]]</f>
        <v>1464</v>
      </c>
      <c r="U411" s="365">
        <f>Таблица18[[#This Row],[Отход]]/Таблица18[[#This Row],[Вес нетто]]</f>
        <v>9.5003244646333543E-2</v>
      </c>
      <c r="V411" s="121">
        <f>MONTH(Таблица18[[#This Row],[Дата акта]])</f>
        <v>7</v>
      </c>
      <c r="W411" s="121">
        <v>3</v>
      </c>
      <c r="X411" s="148">
        <f>DATE(1900,Таблица18[[#This Row],[Месяц]],Таблица18[[#This Row],[Число]])</f>
        <v>185</v>
      </c>
      <c r="Y411" s="121"/>
      <c r="Z411" s="121" t="str">
        <f>Таблица18[[#This Row],[Хар-ка]]</f>
        <v>второй</v>
      </c>
      <c r="AD411" s="459"/>
      <c r="AE411" s="391"/>
    </row>
    <row r="412" spans="1:31" s="325" customFormat="1" ht="15.6" hidden="1" customHeight="1" x14ac:dyDescent="0.2">
      <c r="A412" s="360" t="s">
        <v>2273</v>
      </c>
      <c r="B412" s="360" t="s">
        <v>550</v>
      </c>
      <c r="C412" s="361">
        <v>589</v>
      </c>
      <c r="D412" s="362">
        <v>113</v>
      </c>
      <c r="E412" s="360" t="s">
        <v>1737</v>
      </c>
      <c r="F412" s="360" t="s">
        <v>133</v>
      </c>
      <c r="G412" s="360" t="s">
        <v>137</v>
      </c>
      <c r="H412" s="360" t="s">
        <v>2249</v>
      </c>
      <c r="I412" s="360" t="e">
        <f>VLOOKUP(Таблица18[[#This Row],[Номер акта]],$AB$1:$AF$1833,3,FALSE)</f>
        <v>#N/A</v>
      </c>
      <c r="J412" s="360" t="s">
        <v>2268</v>
      </c>
      <c r="K412" s="360" t="s">
        <v>82</v>
      </c>
      <c r="L412" s="363">
        <v>32790</v>
      </c>
      <c r="M412" s="363">
        <v>17320</v>
      </c>
      <c r="N412" s="364">
        <v>7.5</v>
      </c>
      <c r="O412" s="363">
        <v>15470</v>
      </c>
      <c r="P412" s="363">
        <v>14309.7</v>
      </c>
      <c r="Q412" s="121">
        <v>2023</v>
      </c>
      <c r="R412" s="121"/>
      <c r="S412" s="148">
        <v>45110</v>
      </c>
      <c r="T412" s="363">
        <f>Таблица18[[#This Row],[Вес нетто]]-Таблица18[[#This Row],[Зачетный вес]]</f>
        <v>1160.2999999999993</v>
      </c>
      <c r="U412" s="365">
        <f>Таблица18[[#This Row],[Отход]]/Таблица18[[#This Row],[Вес нетто]]</f>
        <v>7.5003232062055544E-2</v>
      </c>
      <c r="V412" s="121">
        <f>MONTH(Таблица18[[#This Row],[Дата акта]])</f>
        <v>7</v>
      </c>
      <c r="W412" s="121">
        <v>3</v>
      </c>
      <c r="X412" s="148">
        <f>DATE(1900,Таблица18[[#This Row],[Месяц]],Таблица18[[#This Row],[Число]])</f>
        <v>185</v>
      </c>
      <c r="Y412" s="121"/>
      <c r="Z412" s="121" t="str">
        <f>Таблица18[[#This Row],[Хар-ка]]</f>
        <v>первый</v>
      </c>
      <c r="AD412" s="459"/>
      <c r="AE412" s="391"/>
    </row>
    <row r="413" spans="1:31" s="325" customFormat="1" ht="15.6" hidden="1" customHeight="1" x14ac:dyDescent="0.2">
      <c r="A413" s="360" t="s">
        <v>2274</v>
      </c>
      <c r="B413" s="360" t="s">
        <v>833</v>
      </c>
      <c r="C413" s="361">
        <v>590</v>
      </c>
      <c r="D413" s="362">
        <v>114</v>
      </c>
      <c r="E413" s="360" t="s">
        <v>1737</v>
      </c>
      <c r="F413" s="360" t="s">
        <v>1841</v>
      </c>
      <c r="G413" s="360" t="s">
        <v>351</v>
      </c>
      <c r="H413" s="360" t="s">
        <v>2249</v>
      </c>
      <c r="I413" s="360" t="e">
        <f>VLOOKUP(Таблица18[[#This Row],[Номер акта]],$AB$1:$AF$1833,3,FALSE)</f>
        <v>#N/A</v>
      </c>
      <c r="J413" s="360" t="s">
        <v>2275</v>
      </c>
      <c r="K413" s="360" t="s">
        <v>82</v>
      </c>
      <c r="L413" s="363">
        <v>34480</v>
      </c>
      <c r="M413" s="363">
        <v>18690</v>
      </c>
      <c r="N413" s="364">
        <v>5.5</v>
      </c>
      <c r="O413" s="363">
        <v>15790</v>
      </c>
      <c r="P413" s="363">
        <v>14921.5</v>
      </c>
      <c r="Q413" s="121">
        <v>2023</v>
      </c>
      <c r="R413" s="121"/>
      <c r="S413" s="148">
        <v>45110</v>
      </c>
      <c r="T413" s="363">
        <f>Таблица18[[#This Row],[Вес нетто]]-Таблица18[[#This Row],[Зачетный вес]]</f>
        <v>868.5</v>
      </c>
      <c r="U413" s="365">
        <f>Таблица18[[#This Row],[Отход]]/Таблица18[[#This Row],[Вес нетто]]</f>
        <v>5.5003166561114626E-2</v>
      </c>
      <c r="V413" s="121">
        <f>MONTH(Таблица18[[#This Row],[Дата акта]])</f>
        <v>7</v>
      </c>
      <c r="W413" s="121">
        <v>3</v>
      </c>
      <c r="X413" s="148">
        <f>DATE(1900,Таблица18[[#This Row],[Месяц]],Таблица18[[#This Row],[Число]])</f>
        <v>185</v>
      </c>
      <c r="Y413" s="121"/>
      <c r="Z413" s="121" t="str">
        <f>Таблица18[[#This Row],[Хар-ка]]</f>
        <v>второй</v>
      </c>
      <c r="AD413" s="459"/>
      <c r="AE413" s="391"/>
    </row>
    <row r="414" spans="1:31" s="325" customFormat="1" ht="15.6" hidden="1" customHeight="1" x14ac:dyDescent="0.2">
      <c r="A414" s="360" t="s">
        <v>2276</v>
      </c>
      <c r="B414" s="360" t="s">
        <v>833</v>
      </c>
      <c r="C414" s="361">
        <v>591</v>
      </c>
      <c r="D414" s="362">
        <v>115</v>
      </c>
      <c r="E414" s="360" t="s">
        <v>1737</v>
      </c>
      <c r="F414" s="360" t="s">
        <v>2158</v>
      </c>
      <c r="G414" s="360" t="s">
        <v>299</v>
      </c>
      <c r="H414" s="360" t="s">
        <v>2267</v>
      </c>
      <c r="I414" s="360" t="e">
        <f>VLOOKUP(Таблица18[[#This Row],[Номер акта]],$AB$1:$AF$1833,3,FALSE)</f>
        <v>#N/A</v>
      </c>
      <c r="J414" s="360" t="s">
        <v>2268</v>
      </c>
      <c r="K414" s="360" t="s">
        <v>82</v>
      </c>
      <c r="L414" s="363">
        <v>32820</v>
      </c>
      <c r="M414" s="363">
        <v>17370</v>
      </c>
      <c r="N414" s="364">
        <v>7.5</v>
      </c>
      <c r="O414" s="363">
        <v>15450</v>
      </c>
      <c r="P414" s="363">
        <v>14291.2</v>
      </c>
      <c r="Q414" s="121">
        <v>2023</v>
      </c>
      <c r="R414" s="121"/>
      <c r="S414" s="148">
        <v>45110</v>
      </c>
      <c r="T414" s="363">
        <f>Таблица18[[#This Row],[Вес нетто]]-Таблица18[[#This Row],[Зачетный вес]]</f>
        <v>1158.7999999999993</v>
      </c>
      <c r="U414" s="365">
        <f>Таблица18[[#This Row],[Отход]]/Таблица18[[#This Row],[Вес нетто]]</f>
        <v>7.5003236245954646E-2</v>
      </c>
      <c r="V414" s="121">
        <f>MONTH(Таблица18[[#This Row],[Дата акта]])</f>
        <v>7</v>
      </c>
      <c r="W414" s="121">
        <v>3</v>
      </c>
      <c r="X414" s="148">
        <f>DATE(1900,Таблица18[[#This Row],[Месяц]],Таблица18[[#This Row],[Число]])</f>
        <v>185</v>
      </c>
      <c r="Y414" s="121"/>
      <c r="Z414" s="121" t="str">
        <f>Таблица18[[#This Row],[Хар-ка]]</f>
        <v>второй</v>
      </c>
      <c r="AD414" s="459"/>
      <c r="AE414" s="391"/>
    </row>
    <row r="415" spans="1:31" s="325" customFormat="1" ht="15.6" hidden="1" customHeight="1" x14ac:dyDescent="0.2">
      <c r="A415" s="360" t="s">
        <v>2277</v>
      </c>
      <c r="B415" s="360" t="s">
        <v>833</v>
      </c>
      <c r="C415" s="361">
        <v>595</v>
      </c>
      <c r="D415" s="362">
        <v>116</v>
      </c>
      <c r="E415" s="360" t="s">
        <v>1167</v>
      </c>
      <c r="F415" s="360" t="s">
        <v>1880</v>
      </c>
      <c r="G415" s="360" t="s">
        <v>1802</v>
      </c>
      <c r="H415" s="360" t="s">
        <v>2249</v>
      </c>
      <c r="I415" s="360" t="e">
        <f>VLOOKUP(Таблица18[[#This Row],[Номер акта]],$AB$1:$AF$1833,3,FALSE)</f>
        <v>#N/A</v>
      </c>
      <c r="J415" s="360" t="s">
        <v>2275</v>
      </c>
      <c r="K415" s="360" t="s">
        <v>82</v>
      </c>
      <c r="L415" s="363">
        <v>30200</v>
      </c>
      <c r="M415" s="363">
        <v>14610</v>
      </c>
      <c r="N415" s="364">
        <v>6.5</v>
      </c>
      <c r="O415" s="363">
        <v>15590</v>
      </c>
      <c r="P415" s="363">
        <v>14576.6</v>
      </c>
      <c r="Q415" s="121">
        <v>2023</v>
      </c>
      <c r="R415" s="121"/>
      <c r="S415" s="148">
        <v>45110</v>
      </c>
      <c r="T415" s="363">
        <f>Таблица18[[#This Row],[Вес нетто]]-Таблица18[[#This Row],[Зачетный вес]]</f>
        <v>1013.3999999999996</v>
      </c>
      <c r="U415" s="365">
        <f>Таблица18[[#This Row],[Отход]]/Таблица18[[#This Row],[Вес нетто]]</f>
        <v>6.5003207184092346E-2</v>
      </c>
      <c r="V415" s="121">
        <f>MONTH(Таблица18[[#This Row],[Дата акта]])</f>
        <v>7</v>
      </c>
      <c r="W415" s="121">
        <v>3</v>
      </c>
      <c r="X415" s="148">
        <f>DATE(1900,Таблица18[[#This Row],[Месяц]],Таблица18[[#This Row],[Число]])</f>
        <v>185</v>
      </c>
      <c r="Y415" s="121"/>
      <c r="Z415" s="121" t="str">
        <f>Таблица18[[#This Row],[Хар-ка]]</f>
        <v>второй</v>
      </c>
      <c r="AD415" s="459"/>
      <c r="AE415" s="391"/>
    </row>
    <row r="416" spans="1:31" s="325" customFormat="1" ht="15.6" hidden="1" customHeight="1" x14ac:dyDescent="0.2">
      <c r="A416" s="360" t="s">
        <v>2278</v>
      </c>
      <c r="B416" s="360" t="s">
        <v>833</v>
      </c>
      <c r="C416" s="361">
        <v>596</v>
      </c>
      <c r="D416" s="362">
        <v>117</v>
      </c>
      <c r="E416" s="360" t="s">
        <v>1737</v>
      </c>
      <c r="F416" s="360" t="s">
        <v>212</v>
      </c>
      <c r="G416" s="360" t="s">
        <v>216</v>
      </c>
      <c r="H416" s="360" t="s">
        <v>2249</v>
      </c>
      <c r="I416" s="360" t="e">
        <f>VLOOKUP(Таблица18[[#This Row],[Номер акта]],$AB$1:$AF$1833,3,FALSE)</f>
        <v>#N/A</v>
      </c>
      <c r="J416" s="360" t="s">
        <v>2275</v>
      </c>
      <c r="K416" s="360" t="s">
        <v>82</v>
      </c>
      <c r="L416" s="363">
        <v>29470</v>
      </c>
      <c r="M416" s="363">
        <v>14010</v>
      </c>
      <c r="N416" s="364">
        <v>4.5</v>
      </c>
      <c r="O416" s="363">
        <v>15460</v>
      </c>
      <c r="P416" s="363">
        <v>14764.3</v>
      </c>
      <c r="Q416" s="121">
        <v>2023</v>
      </c>
      <c r="R416" s="121"/>
      <c r="S416" s="148">
        <v>45111</v>
      </c>
      <c r="T416" s="363">
        <f>Таблица18[[#This Row],[Вес нетто]]-Таблица18[[#This Row],[Зачетный вес]]</f>
        <v>695.70000000000073</v>
      </c>
      <c r="U416" s="365">
        <f>Таблица18[[#This Row],[Отход]]/Таблица18[[#This Row],[Вес нетто]]</f>
        <v>4.5000000000000047E-2</v>
      </c>
      <c r="V416" s="121">
        <f>MONTH(Таблица18[[#This Row],[Дата акта]])</f>
        <v>7</v>
      </c>
      <c r="W416" s="121">
        <v>4</v>
      </c>
      <c r="X416" s="148">
        <f>DATE(1900,Таблица18[[#This Row],[Месяц]],Таблица18[[#This Row],[Число]])</f>
        <v>186</v>
      </c>
      <c r="Y416" s="121"/>
      <c r="Z416" s="121" t="str">
        <f>Таблица18[[#This Row],[Хар-ка]]</f>
        <v>второй</v>
      </c>
      <c r="AD416" s="459"/>
      <c r="AE416" s="391"/>
    </row>
    <row r="417" spans="1:31" s="325" customFormat="1" ht="15.6" hidden="1" customHeight="1" x14ac:dyDescent="0.2">
      <c r="A417" s="360" t="s">
        <v>2279</v>
      </c>
      <c r="B417" s="360" t="s">
        <v>833</v>
      </c>
      <c r="C417" s="361">
        <v>597</v>
      </c>
      <c r="D417" s="362">
        <v>118</v>
      </c>
      <c r="E417" s="360" t="s">
        <v>1737</v>
      </c>
      <c r="F417" s="360" t="s">
        <v>1906</v>
      </c>
      <c r="G417" s="360" t="s">
        <v>1907</v>
      </c>
      <c r="H417" s="360" t="s">
        <v>2249</v>
      </c>
      <c r="I417" s="360" t="e">
        <f>VLOOKUP(Таблица18[[#This Row],[Номер акта]],$AB$1:$AF$1833,3,FALSE)</f>
        <v>#N/A</v>
      </c>
      <c r="J417" s="360" t="s">
        <v>2275</v>
      </c>
      <c r="K417" s="360" t="s">
        <v>82</v>
      </c>
      <c r="L417" s="363">
        <v>30420</v>
      </c>
      <c r="M417" s="363">
        <v>14980</v>
      </c>
      <c r="N417" s="364">
        <v>5.5</v>
      </c>
      <c r="O417" s="363">
        <v>15440</v>
      </c>
      <c r="P417" s="363">
        <v>14590.8</v>
      </c>
      <c r="Q417" s="121">
        <v>2023</v>
      </c>
      <c r="R417" s="121"/>
      <c r="S417" s="148">
        <v>45111</v>
      </c>
      <c r="T417" s="363">
        <f>Таблица18[[#This Row],[Вес нетто]]-Таблица18[[#This Row],[Зачетный вес]]</f>
        <v>849.20000000000073</v>
      </c>
      <c r="U417" s="365">
        <f>Таблица18[[#This Row],[Отход]]/Таблица18[[#This Row],[Вес нетто]]</f>
        <v>5.5000000000000049E-2</v>
      </c>
      <c r="V417" s="121">
        <f>MONTH(Таблица18[[#This Row],[Дата акта]])</f>
        <v>7</v>
      </c>
      <c r="W417" s="121">
        <v>4</v>
      </c>
      <c r="X417" s="148">
        <f>DATE(1900,Таблица18[[#This Row],[Месяц]],Таблица18[[#This Row],[Число]])</f>
        <v>186</v>
      </c>
      <c r="Y417" s="121"/>
      <c r="Z417" s="121" t="str">
        <f>Таблица18[[#This Row],[Хар-ка]]</f>
        <v>второй</v>
      </c>
      <c r="AD417" s="459"/>
      <c r="AE417" s="391"/>
    </row>
    <row r="418" spans="1:31" s="325" customFormat="1" ht="15.6" hidden="1" customHeight="1" x14ac:dyDescent="0.2">
      <c r="A418" s="360" t="s">
        <v>2280</v>
      </c>
      <c r="B418" s="360" t="s">
        <v>833</v>
      </c>
      <c r="C418" s="361">
        <v>598</v>
      </c>
      <c r="D418" s="362">
        <v>119</v>
      </c>
      <c r="E418" s="360" t="s">
        <v>1737</v>
      </c>
      <c r="F418" s="360" t="s">
        <v>1804</v>
      </c>
      <c r="G418" s="360" t="s">
        <v>536</v>
      </c>
      <c r="H418" s="360" t="s">
        <v>2249</v>
      </c>
      <c r="I418" s="360" t="e">
        <f>VLOOKUP(Таблица18[[#This Row],[Номер акта]],$AB$1:$AF$1833,3,FALSE)</f>
        <v>#N/A</v>
      </c>
      <c r="J418" s="360" t="s">
        <v>2275</v>
      </c>
      <c r="K418" s="360" t="s">
        <v>82</v>
      </c>
      <c r="L418" s="363">
        <v>30270</v>
      </c>
      <c r="M418" s="363">
        <v>14680</v>
      </c>
      <c r="N418" s="364">
        <v>5.5</v>
      </c>
      <c r="O418" s="363">
        <v>15590</v>
      </c>
      <c r="P418" s="363">
        <v>14732.5</v>
      </c>
      <c r="Q418" s="121">
        <v>2023</v>
      </c>
      <c r="R418" s="121"/>
      <c r="S418" s="148">
        <v>45111</v>
      </c>
      <c r="T418" s="363">
        <f>Таблица18[[#This Row],[Вес нетто]]-Таблица18[[#This Row],[Зачетный вес]]</f>
        <v>857.5</v>
      </c>
      <c r="U418" s="365">
        <f>Таблица18[[#This Row],[Отход]]/Таблица18[[#This Row],[Вес нетто]]</f>
        <v>5.5003207184092365E-2</v>
      </c>
      <c r="V418" s="121">
        <f>MONTH(Таблица18[[#This Row],[Дата акта]])</f>
        <v>7</v>
      </c>
      <c r="W418" s="121">
        <v>4</v>
      </c>
      <c r="X418" s="148">
        <f>DATE(1900,Таблица18[[#This Row],[Месяц]],Таблица18[[#This Row],[Число]])</f>
        <v>186</v>
      </c>
      <c r="Y418" s="121"/>
      <c r="Z418" s="121" t="str">
        <f>Таблица18[[#This Row],[Хар-ка]]</f>
        <v>второй</v>
      </c>
      <c r="AD418" s="459"/>
      <c r="AE418" s="391"/>
    </row>
    <row r="419" spans="1:31" s="325" customFormat="1" ht="15.6" hidden="1" customHeight="1" x14ac:dyDescent="0.2">
      <c r="A419" s="360" t="s">
        <v>2281</v>
      </c>
      <c r="B419" s="360" t="s">
        <v>833</v>
      </c>
      <c r="C419" s="361">
        <v>599</v>
      </c>
      <c r="D419" s="362">
        <v>120</v>
      </c>
      <c r="E419" s="360" t="s">
        <v>1737</v>
      </c>
      <c r="F419" s="360" t="s">
        <v>2220</v>
      </c>
      <c r="G419" s="360" t="s">
        <v>2221</v>
      </c>
      <c r="H419" s="360" t="s">
        <v>2249</v>
      </c>
      <c r="I419" s="360" t="e">
        <f>VLOOKUP(Таблица18[[#This Row],[Номер акта]],$AB$1:$AF$1833,3,FALSE)</f>
        <v>#N/A</v>
      </c>
      <c r="J419" s="360" t="s">
        <v>2275</v>
      </c>
      <c r="K419" s="360" t="s">
        <v>82</v>
      </c>
      <c r="L419" s="363">
        <v>31320</v>
      </c>
      <c r="M419" s="363">
        <v>15640</v>
      </c>
      <c r="N419" s="364">
        <v>5</v>
      </c>
      <c r="O419" s="363">
        <v>15680</v>
      </c>
      <c r="P419" s="363">
        <v>14896</v>
      </c>
      <c r="Q419" s="121">
        <v>2023</v>
      </c>
      <c r="R419" s="121"/>
      <c r="S419" s="148">
        <v>45111</v>
      </c>
      <c r="T419" s="363">
        <f>Таблица18[[#This Row],[Вес нетто]]-Таблица18[[#This Row],[Зачетный вес]]</f>
        <v>784</v>
      </c>
      <c r="U419" s="365">
        <f>Таблица18[[#This Row],[Отход]]/Таблица18[[#This Row],[Вес нетто]]</f>
        <v>0.05</v>
      </c>
      <c r="V419" s="121">
        <f>MONTH(Таблица18[[#This Row],[Дата акта]])</f>
        <v>7</v>
      </c>
      <c r="W419" s="121">
        <v>4</v>
      </c>
      <c r="X419" s="148">
        <f>DATE(1900,Таблица18[[#This Row],[Месяц]],Таблица18[[#This Row],[Число]])</f>
        <v>186</v>
      </c>
      <c r="Y419" s="121"/>
      <c r="Z419" s="121" t="str">
        <f>Таблица18[[#This Row],[Хар-ка]]</f>
        <v>второй</v>
      </c>
      <c r="AD419" s="459"/>
      <c r="AE419" s="391"/>
    </row>
    <row r="420" spans="1:31" s="325" customFormat="1" ht="15.6" hidden="1" customHeight="1" x14ac:dyDescent="0.2">
      <c r="A420" s="360" t="s">
        <v>2282</v>
      </c>
      <c r="B420" s="360" t="s">
        <v>833</v>
      </c>
      <c r="C420" s="361">
        <v>600</v>
      </c>
      <c r="D420" s="362">
        <v>121</v>
      </c>
      <c r="E420" s="360" t="s">
        <v>1737</v>
      </c>
      <c r="F420" s="360" t="s">
        <v>2223</v>
      </c>
      <c r="G420" s="360" t="s">
        <v>2224</v>
      </c>
      <c r="H420" s="360" t="s">
        <v>2267</v>
      </c>
      <c r="I420" s="360" t="e">
        <f>VLOOKUP(Таблица18[[#This Row],[Номер акта]],$AB$1:$AF$1833,3,FALSE)</f>
        <v>#N/A</v>
      </c>
      <c r="J420" s="360" t="s">
        <v>2268</v>
      </c>
      <c r="K420" s="360" t="s">
        <v>82</v>
      </c>
      <c r="L420" s="363">
        <v>30090</v>
      </c>
      <c r="M420" s="363">
        <v>14500</v>
      </c>
      <c r="N420" s="364">
        <v>9.5</v>
      </c>
      <c r="O420" s="363">
        <v>15590</v>
      </c>
      <c r="P420" s="363">
        <v>14108.9</v>
      </c>
      <c r="Q420" s="121">
        <v>2023</v>
      </c>
      <c r="R420" s="121"/>
      <c r="S420" s="148">
        <v>45111</v>
      </c>
      <c r="T420" s="363">
        <f>Таблица18[[#This Row],[Вес нетто]]-Таблица18[[#This Row],[Зачетный вес]]</f>
        <v>1481.1000000000004</v>
      </c>
      <c r="U420" s="365">
        <f>Таблица18[[#This Row],[Отход]]/Таблица18[[#This Row],[Вес нетто]]</f>
        <v>9.5003207184092386E-2</v>
      </c>
      <c r="V420" s="121">
        <f>MONTH(Таблица18[[#This Row],[Дата акта]])</f>
        <v>7</v>
      </c>
      <c r="W420" s="121">
        <v>4</v>
      </c>
      <c r="X420" s="148">
        <f>DATE(1900,Таблица18[[#This Row],[Месяц]],Таблица18[[#This Row],[Число]])</f>
        <v>186</v>
      </c>
      <c r="Y420" s="121"/>
      <c r="Z420" s="121" t="str">
        <f>Таблица18[[#This Row],[Хар-ка]]</f>
        <v>второй</v>
      </c>
      <c r="AD420" s="459"/>
      <c r="AE420" s="391"/>
    </row>
    <row r="421" spans="1:31" s="325" customFormat="1" ht="15.6" hidden="1" customHeight="1" x14ac:dyDescent="0.2">
      <c r="A421" s="360" t="s">
        <v>2283</v>
      </c>
      <c r="B421" s="360" t="s">
        <v>833</v>
      </c>
      <c r="C421" s="361">
        <v>601</v>
      </c>
      <c r="D421" s="362">
        <v>122</v>
      </c>
      <c r="E421" s="360" t="s">
        <v>1737</v>
      </c>
      <c r="F421" s="360" t="s">
        <v>2155</v>
      </c>
      <c r="G421" s="360" t="s">
        <v>320</v>
      </c>
      <c r="H421" s="360" t="s">
        <v>2267</v>
      </c>
      <c r="I421" s="360" t="e">
        <f>VLOOKUP(Таблица18[[#This Row],[Номер акта]],$AB$1:$AF$1833,3,FALSE)</f>
        <v>#N/A</v>
      </c>
      <c r="J421" s="360" t="s">
        <v>2268</v>
      </c>
      <c r="K421" s="360" t="s">
        <v>82</v>
      </c>
      <c r="L421" s="363">
        <v>29820</v>
      </c>
      <c r="M421" s="363">
        <v>22170</v>
      </c>
      <c r="N421" s="364">
        <v>7</v>
      </c>
      <c r="O421" s="363">
        <v>7650</v>
      </c>
      <c r="P421" s="363">
        <v>7114.5</v>
      </c>
      <c r="Q421" s="121">
        <v>2023</v>
      </c>
      <c r="R421" s="121"/>
      <c r="S421" s="148">
        <v>45111</v>
      </c>
      <c r="T421" s="363">
        <f>Таблица18[[#This Row],[Вес нетто]]-Таблица18[[#This Row],[Зачетный вес]]</f>
        <v>535.5</v>
      </c>
      <c r="U421" s="365">
        <f>Таблица18[[#This Row],[Отход]]/Таблица18[[#This Row],[Вес нетто]]</f>
        <v>7.0000000000000007E-2</v>
      </c>
      <c r="V421" s="121">
        <f>MONTH(Таблица18[[#This Row],[Дата акта]])</f>
        <v>7</v>
      </c>
      <c r="W421" s="121">
        <v>4</v>
      </c>
      <c r="X421" s="148">
        <f>DATE(1900,Таблица18[[#This Row],[Месяц]],Таблица18[[#This Row],[Число]])</f>
        <v>186</v>
      </c>
      <c r="Y421" s="121"/>
      <c r="Z421" s="121" t="str">
        <f>Таблица18[[#This Row],[Хар-ка]]</f>
        <v>второй</v>
      </c>
      <c r="AD421" s="459"/>
      <c r="AE421" s="391"/>
    </row>
    <row r="422" spans="1:31" s="325" customFormat="1" ht="15.6" hidden="1" customHeight="1" x14ac:dyDescent="0.2">
      <c r="A422" s="360" t="s">
        <v>2284</v>
      </c>
      <c r="B422" s="360" t="s">
        <v>833</v>
      </c>
      <c r="C422" s="361">
        <v>602</v>
      </c>
      <c r="D422" s="362">
        <v>123</v>
      </c>
      <c r="E422" s="360" t="s">
        <v>1737</v>
      </c>
      <c r="F422" s="360" t="s">
        <v>1843</v>
      </c>
      <c r="G422" s="360" t="s">
        <v>119</v>
      </c>
      <c r="H422" s="360" t="s">
        <v>2267</v>
      </c>
      <c r="I422" s="360" t="e">
        <f>VLOOKUP(Таблица18[[#This Row],[Номер акта]],$AB$1:$AF$1833,3,FALSE)</f>
        <v>#N/A</v>
      </c>
      <c r="J422" s="360" t="s">
        <v>2268</v>
      </c>
      <c r="K422" s="360" t="s">
        <v>82</v>
      </c>
      <c r="L422" s="363">
        <v>38770</v>
      </c>
      <c r="M422" s="363">
        <v>20940</v>
      </c>
      <c r="N422" s="364">
        <v>12.5</v>
      </c>
      <c r="O422" s="363">
        <v>17830</v>
      </c>
      <c r="P422" s="363">
        <v>15601.2</v>
      </c>
      <c r="Q422" s="121">
        <v>2023</v>
      </c>
      <c r="R422" s="121"/>
      <c r="S422" s="148">
        <v>45111</v>
      </c>
      <c r="T422" s="363">
        <f>Таблица18[[#This Row],[Вес нетто]]-Таблица18[[#This Row],[Зачетный вес]]</f>
        <v>2228.7999999999993</v>
      </c>
      <c r="U422" s="365">
        <f>Таблица18[[#This Row],[Отход]]/Таблица18[[#This Row],[Вес нетто]]</f>
        <v>0.12500280426247892</v>
      </c>
      <c r="V422" s="121">
        <f>MONTH(Таблица18[[#This Row],[Дата акта]])</f>
        <v>7</v>
      </c>
      <c r="W422" s="121">
        <v>4</v>
      </c>
      <c r="X422" s="148">
        <f>DATE(1900,Таблица18[[#This Row],[Месяц]],Таблица18[[#This Row],[Число]])</f>
        <v>186</v>
      </c>
      <c r="Y422" s="121"/>
      <c r="Z422" s="121" t="str">
        <f>Таблица18[[#This Row],[Хар-ка]]</f>
        <v>второй</v>
      </c>
      <c r="AD422" s="459"/>
      <c r="AE422" s="391"/>
    </row>
    <row r="423" spans="1:31" s="325" customFormat="1" ht="15.6" hidden="1" customHeight="1" x14ac:dyDescent="0.2">
      <c r="A423" s="360" t="s">
        <v>2285</v>
      </c>
      <c r="B423" s="360" t="s">
        <v>833</v>
      </c>
      <c r="C423" s="361">
        <v>603</v>
      </c>
      <c r="D423" s="360" t="s">
        <v>2286</v>
      </c>
      <c r="E423" s="360" t="s">
        <v>1737</v>
      </c>
      <c r="F423" s="360" t="s">
        <v>2155</v>
      </c>
      <c r="G423" s="360" t="s">
        <v>320</v>
      </c>
      <c r="H423" s="360" t="s">
        <v>2267</v>
      </c>
      <c r="I423" s="360" t="e">
        <f>VLOOKUP(Таблица18[[#This Row],[Номер акта]],$AB$1:$AF$1833,3,FALSE)</f>
        <v>#N/A</v>
      </c>
      <c r="J423" s="360" t="s">
        <v>2268</v>
      </c>
      <c r="K423" s="360" t="s">
        <v>82</v>
      </c>
      <c r="L423" s="363">
        <v>22170</v>
      </c>
      <c r="M423" s="363">
        <v>14370</v>
      </c>
      <c r="N423" s="121"/>
      <c r="O423" s="363">
        <v>7800</v>
      </c>
      <c r="P423" s="363">
        <v>7800</v>
      </c>
      <c r="Q423" s="121">
        <v>2023</v>
      </c>
      <c r="R423" s="121"/>
      <c r="S423" s="148">
        <v>45111</v>
      </c>
      <c r="T423" s="363">
        <f>Таблица18[[#This Row],[Вес нетто]]-Таблица18[[#This Row],[Зачетный вес]]</f>
        <v>0</v>
      </c>
      <c r="U423" s="365">
        <f>Таблица18[[#This Row],[Отход]]/Таблица18[[#This Row],[Вес нетто]]</f>
        <v>0</v>
      </c>
      <c r="V423" s="121">
        <f>MONTH(Таблица18[[#This Row],[Дата акта]])</f>
        <v>7</v>
      </c>
      <c r="W423" s="121">
        <v>4</v>
      </c>
      <c r="X423" s="148">
        <f>DATE(1900,Таблица18[[#This Row],[Месяц]],Таблица18[[#This Row],[Число]])</f>
        <v>186</v>
      </c>
      <c r="Y423" s="121"/>
      <c r="Z423" s="121" t="str">
        <f>Таблица18[[#This Row],[Хар-ка]]</f>
        <v>второй</v>
      </c>
      <c r="AD423" s="459"/>
      <c r="AE423" s="391"/>
    </row>
    <row r="424" spans="1:31" s="325" customFormat="1" ht="15.6" hidden="1" customHeight="1" x14ac:dyDescent="0.2">
      <c r="A424" s="360" t="s">
        <v>2287</v>
      </c>
      <c r="B424" s="360" t="s">
        <v>550</v>
      </c>
      <c r="C424" s="361">
        <v>606</v>
      </c>
      <c r="D424" s="362">
        <v>112</v>
      </c>
      <c r="E424" s="360" t="s">
        <v>1737</v>
      </c>
      <c r="F424" s="360" t="s">
        <v>283</v>
      </c>
      <c r="G424" s="360" t="s">
        <v>287</v>
      </c>
      <c r="H424" s="360" t="s">
        <v>2288</v>
      </c>
      <c r="I424" s="360" t="e">
        <f>VLOOKUP(Таблица18[[#This Row],[Номер акта]],$AB$1:$AF$1833,3,FALSE)</f>
        <v>#N/A</v>
      </c>
      <c r="J424" s="360" t="s">
        <v>2268</v>
      </c>
      <c r="K424" s="360" t="s">
        <v>82</v>
      </c>
      <c r="L424" s="363">
        <v>35930</v>
      </c>
      <c r="M424" s="363">
        <v>17900</v>
      </c>
      <c r="N424" s="364">
        <v>7.5</v>
      </c>
      <c r="O424" s="363">
        <v>18030</v>
      </c>
      <c r="P424" s="363">
        <v>16677.7</v>
      </c>
      <c r="Q424" s="121">
        <v>2023</v>
      </c>
      <c r="R424" s="121"/>
      <c r="S424" s="148">
        <v>45111</v>
      </c>
      <c r="T424" s="363">
        <f>Таблица18[[#This Row],[Вес нетто]]-Таблица18[[#This Row],[Зачетный вес]]</f>
        <v>1352.2999999999993</v>
      </c>
      <c r="U424" s="365">
        <f>Таблица18[[#This Row],[Отход]]/Таблица18[[#This Row],[Вес нетто]]</f>
        <v>7.5002773155851313E-2</v>
      </c>
      <c r="V424" s="121">
        <f>MONTH(Таблица18[[#This Row],[Дата акта]])</f>
        <v>7</v>
      </c>
      <c r="W424" s="121">
        <v>4</v>
      </c>
      <c r="X424" s="148">
        <f>DATE(1900,Таблица18[[#This Row],[Месяц]],Таблица18[[#This Row],[Число]])</f>
        <v>186</v>
      </c>
      <c r="Y424" s="121"/>
      <c r="Z424" s="121" t="str">
        <f>Таблица18[[#This Row],[Хар-ка]]</f>
        <v>первый</v>
      </c>
      <c r="AD424" s="459"/>
      <c r="AE424" s="391"/>
    </row>
    <row r="425" spans="1:31" s="325" customFormat="1" ht="15.6" hidden="1" customHeight="1" x14ac:dyDescent="0.2">
      <c r="A425" s="360" t="s">
        <v>2289</v>
      </c>
      <c r="B425" s="360" t="s">
        <v>833</v>
      </c>
      <c r="C425" s="361">
        <v>607</v>
      </c>
      <c r="D425" s="362">
        <v>124</v>
      </c>
      <c r="E425" s="360" t="s">
        <v>1737</v>
      </c>
      <c r="F425" s="360" t="s">
        <v>2150</v>
      </c>
      <c r="G425" s="360" t="s">
        <v>2151</v>
      </c>
      <c r="H425" s="360" t="s">
        <v>2267</v>
      </c>
      <c r="I425" s="360" t="e">
        <f>VLOOKUP(Таблица18[[#This Row],[Номер акта]],$AB$1:$AF$1833,3,FALSE)</f>
        <v>#N/A</v>
      </c>
      <c r="J425" s="360" t="s">
        <v>2268</v>
      </c>
      <c r="K425" s="360" t="s">
        <v>82</v>
      </c>
      <c r="L425" s="363">
        <v>31220</v>
      </c>
      <c r="M425" s="363">
        <v>15420</v>
      </c>
      <c r="N425" s="364">
        <v>7.5</v>
      </c>
      <c r="O425" s="363">
        <v>15800</v>
      </c>
      <c r="P425" s="363">
        <v>14615</v>
      </c>
      <c r="Q425" s="121">
        <v>2023</v>
      </c>
      <c r="R425" s="121"/>
      <c r="S425" s="148">
        <v>45111</v>
      </c>
      <c r="T425" s="363">
        <f>Таблица18[[#This Row],[Вес нетто]]-Таблица18[[#This Row],[Зачетный вес]]</f>
        <v>1185</v>
      </c>
      <c r="U425" s="365">
        <f>Таблица18[[#This Row],[Отход]]/Таблица18[[#This Row],[Вес нетто]]</f>
        <v>7.4999999999999997E-2</v>
      </c>
      <c r="V425" s="121">
        <f>MONTH(Таблица18[[#This Row],[Дата акта]])</f>
        <v>7</v>
      </c>
      <c r="W425" s="121">
        <v>4</v>
      </c>
      <c r="X425" s="148">
        <f>DATE(1900,Таблица18[[#This Row],[Месяц]],Таблица18[[#This Row],[Число]])</f>
        <v>186</v>
      </c>
      <c r="Y425" s="121"/>
      <c r="Z425" s="121" t="str">
        <f>Таблица18[[#This Row],[Хар-ка]]</f>
        <v>второй</v>
      </c>
      <c r="AD425" s="459"/>
      <c r="AE425" s="391"/>
    </row>
    <row r="426" spans="1:31" s="325" customFormat="1" ht="15.6" hidden="1" customHeight="1" x14ac:dyDescent="0.2">
      <c r="A426" s="360" t="s">
        <v>2290</v>
      </c>
      <c r="B426" s="360" t="s">
        <v>511</v>
      </c>
      <c r="C426" s="361">
        <v>608</v>
      </c>
      <c r="D426" s="362">
        <v>126</v>
      </c>
      <c r="E426" s="360" t="s">
        <v>1737</v>
      </c>
      <c r="F426" s="360" t="s">
        <v>289</v>
      </c>
      <c r="G426" s="360" t="s">
        <v>293</v>
      </c>
      <c r="H426" s="360" t="s">
        <v>2288</v>
      </c>
      <c r="I426" s="360" t="e">
        <f>VLOOKUP(Таблица18[[#This Row],[Номер акта]],$AB$1:$AF$1833,3,FALSE)</f>
        <v>#N/A</v>
      </c>
      <c r="J426" s="360" t="s">
        <v>2268</v>
      </c>
      <c r="K426" s="360" t="s">
        <v>82</v>
      </c>
      <c r="L426" s="363">
        <v>32890</v>
      </c>
      <c r="M426" s="363">
        <v>16860</v>
      </c>
      <c r="N426" s="364">
        <v>8.5</v>
      </c>
      <c r="O426" s="363">
        <v>16030</v>
      </c>
      <c r="P426" s="363">
        <v>14667.4</v>
      </c>
      <c r="Q426" s="121">
        <v>2023</v>
      </c>
      <c r="R426" s="121"/>
      <c r="S426" s="148">
        <v>45111</v>
      </c>
      <c r="T426" s="363">
        <f>Таблица18[[#This Row],[Вес нетто]]-Таблица18[[#This Row],[Зачетный вес]]</f>
        <v>1362.6000000000004</v>
      </c>
      <c r="U426" s="365">
        <f>Таблица18[[#This Row],[Отход]]/Таблица18[[#This Row],[Вес нетто]]</f>
        <v>8.5003119151590784E-2</v>
      </c>
      <c r="V426" s="121">
        <f>MONTH(Таблица18[[#This Row],[Дата акта]])</f>
        <v>7</v>
      </c>
      <c r="W426" s="121">
        <v>4</v>
      </c>
      <c r="X426" s="148">
        <f>DATE(1900,Таблица18[[#This Row],[Месяц]],Таблица18[[#This Row],[Число]])</f>
        <v>186</v>
      </c>
      <c r="Y426" s="121"/>
      <c r="Z426" s="121" t="str">
        <f>Таблица18[[#This Row],[Хар-ка]]</f>
        <v>высший</v>
      </c>
      <c r="AD426" s="459"/>
      <c r="AE426" s="391"/>
    </row>
    <row r="427" spans="1:31" s="325" customFormat="1" ht="15.6" hidden="1" customHeight="1" x14ac:dyDescent="0.2">
      <c r="A427" s="360" t="s">
        <v>2291</v>
      </c>
      <c r="B427" s="360" t="s">
        <v>550</v>
      </c>
      <c r="C427" s="361">
        <v>612</v>
      </c>
      <c r="D427" s="362">
        <v>127</v>
      </c>
      <c r="E427" s="360" t="s">
        <v>1737</v>
      </c>
      <c r="F427" s="360" t="s">
        <v>2158</v>
      </c>
      <c r="G427" s="360" t="s">
        <v>299</v>
      </c>
      <c r="H427" s="360" t="s">
        <v>2288</v>
      </c>
      <c r="I427" s="360" t="e">
        <f>VLOOKUP(Таблица18[[#This Row],[Номер акта]],$AB$1:$AF$1833,3,FALSE)</f>
        <v>#N/A</v>
      </c>
      <c r="J427" s="360" t="s">
        <v>2268</v>
      </c>
      <c r="K427" s="360" t="s">
        <v>82</v>
      </c>
      <c r="L427" s="363">
        <v>35910</v>
      </c>
      <c r="M427" s="363">
        <v>17600</v>
      </c>
      <c r="N427" s="364">
        <v>10.5</v>
      </c>
      <c r="O427" s="363">
        <v>18310</v>
      </c>
      <c r="P427" s="363">
        <v>16387.400000000001</v>
      </c>
      <c r="Q427" s="121">
        <v>2023</v>
      </c>
      <c r="R427" s="121"/>
      <c r="S427" s="148">
        <v>45111</v>
      </c>
      <c r="T427" s="363">
        <f>Таблица18[[#This Row],[Вес нетто]]-Таблица18[[#This Row],[Зачетный вес]]</f>
        <v>1922.5999999999985</v>
      </c>
      <c r="U427" s="365">
        <f>Таблица18[[#This Row],[Отход]]/Таблица18[[#This Row],[Вес нетто]]</f>
        <v>0.10500273074822493</v>
      </c>
      <c r="V427" s="121">
        <f>MONTH(Таблица18[[#This Row],[Дата акта]])</f>
        <v>7</v>
      </c>
      <c r="W427" s="121">
        <v>4</v>
      </c>
      <c r="X427" s="148">
        <f>DATE(1900,Таблица18[[#This Row],[Месяц]],Таблица18[[#This Row],[Число]])</f>
        <v>186</v>
      </c>
      <c r="Y427" s="121"/>
      <c r="Z427" s="121" t="str">
        <f>Таблица18[[#This Row],[Хар-ка]]</f>
        <v>первый</v>
      </c>
      <c r="AD427" s="459"/>
      <c r="AE427" s="391"/>
    </row>
    <row r="428" spans="1:31" s="325" customFormat="1" ht="15.6" hidden="1" customHeight="1" x14ac:dyDescent="0.2">
      <c r="A428" s="360" t="s">
        <v>2292</v>
      </c>
      <c r="B428" s="360" t="s">
        <v>511</v>
      </c>
      <c r="C428" s="361">
        <v>613</v>
      </c>
      <c r="D428" s="362">
        <v>128</v>
      </c>
      <c r="E428" s="360" t="s">
        <v>1737</v>
      </c>
      <c r="F428" s="360" t="s">
        <v>1841</v>
      </c>
      <c r="G428" s="360" t="s">
        <v>351</v>
      </c>
      <c r="H428" s="360" t="s">
        <v>2288</v>
      </c>
      <c r="I428" s="360" t="e">
        <f>VLOOKUP(Таблица18[[#This Row],[Номер акта]],$AB$1:$AF$1833,3,FALSE)</f>
        <v>#N/A</v>
      </c>
      <c r="J428" s="360" t="s">
        <v>2268</v>
      </c>
      <c r="K428" s="360" t="s">
        <v>82</v>
      </c>
      <c r="L428" s="363">
        <v>36970</v>
      </c>
      <c r="M428" s="363">
        <v>18730</v>
      </c>
      <c r="N428" s="364">
        <v>11.5</v>
      </c>
      <c r="O428" s="363">
        <v>18240</v>
      </c>
      <c r="P428" s="363">
        <v>16142.4</v>
      </c>
      <c r="Q428" s="121">
        <v>2023</v>
      </c>
      <c r="R428" s="121"/>
      <c r="S428" s="148">
        <v>45111</v>
      </c>
      <c r="T428" s="363">
        <f>Таблица18[[#This Row],[Вес нетто]]-Таблица18[[#This Row],[Зачетный вес]]</f>
        <v>2097.6000000000004</v>
      </c>
      <c r="U428" s="365">
        <f>Таблица18[[#This Row],[Отход]]/Таблица18[[#This Row],[Вес нетто]]</f>
        <v>0.11500000000000002</v>
      </c>
      <c r="V428" s="121">
        <f>MONTH(Таблица18[[#This Row],[Дата акта]])</f>
        <v>7</v>
      </c>
      <c r="W428" s="121">
        <v>4</v>
      </c>
      <c r="X428" s="148">
        <f>DATE(1900,Таблица18[[#This Row],[Месяц]],Таблица18[[#This Row],[Число]])</f>
        <v>186</v>
      </c>
      <c r="Y428" s="121"/>
      <c r="Z428" s="121" t="str">
        <f>Таблица18[[#This Row],[Хар-ка]]</f>
        <v>высший</v>
      </c>
      <c r="AD428" s="459"/>
      <c r="AE428" s="391"/>
    </row>
    <row r="429" spans="1:31" s="325" customFormat="1" ht="15.6" hidden="1" customHeight="1" x14ac:dyDescent="0.2">
      <c r="A429" s="360" t="s">
        <v>2293</v>
      </c>
      <c r="B429" s="360" t="s">
        <v>511</v>
      </c>
      <c r="C429" s="361">
        <v>614</v>
      </c>
      <c r="D429" s="362">
        <v>129</v>
      </c>
      <c r="E429" s="360" t="s">
        <v>1737</v>
      </c>
      <c r="F429" s="360" t="s">
        <v>133</v>
      </c>
      <c r="G429" s="360" t="s">
        <v>137</v>
      </c>
      <c r="H429" s="360" t="s">
        <v>2288</v>
      </c>
      <c r="I429" s="360" t="e">
        <f>VLOOKUP(Таблица18[[#This Row],[Номер акта]],$AB$1:$AF$1833,3,FALSE)</f>
        <v>#N/A</v>
      </c>
      <c r="J429" s="360" t="s">
        <v>2268</v>
      </c>
      <c r="K429" s="360" t="s">
        <v>82</v>
      </c>
      <c r="L429" s="363">
        <v>35470</v>
      </c>
      <c r="M429" s="363">
        <v>17450</v>
      </c>
      <c r="N429" s="364">
        <v>12.5</v>
      </c>
      <c r="O429" s="363">
        <v>18020</v>
      </c>
      <c r="P429" s="363">
        <v>15767.5</v>
      </c>
      <c r="Q429" s="121">
        <v>2023</v>
      </c>
      <c r="R429" s="121"/>
      <c r="S429" s="148">
        <v>45112</v>
      </c>
      <c r="T429" s="363">
        <f>Таблица18[[#This Row],[Вес нетто]]-Таблица18[[#This Row],[Зачетный вес]]</f>
        <v>2252.5</v>
      </c>
      <c r="U429" s="365">
        <f>Таблица18[[#This Row],[Отход]]/Таблица18[[#This Row],[Вес нетто]]</f>
        <v>0.125</v>
      </c>
      <c r="V429" s="121">
        <f>MONTH(Таблица18[[#This Row],[Дата акта]])</f>
        <v>7</v>
      </c>
      <c r="W429" s="121">
        <v>5</v>
      </c>
      <c r="X429" s="148">
        <f>DATE(1900,Таблица18[[#This Row],[Месяц]],Таблица18[[#This Row],[Число]])</f>
        <v>187</v>
      </c>
      <c r="Y429" s="121"/>
      <c r="Z429" s="121" t="str">
        <f>Таблица18[[#This Row],[Хар-ка]]</f>
        <v>высший</v>
      </c>
      <c r="AD429" s="459"/>
      <c r="AE429" s="391"/>
    </row>
    <row r="430" spans="1:31" s="325" customFormat="1" ht="15.6" hidden="1" customHeight="1" x14ac:dyDescent="0.2">
      <c r="A430" s="360" t="s">
        <v>2294</v>
      </c>
      <c r="B430" s="360" t="s">
        <v>511</v>
      </c>
      <c r="C430" s="361">
        <v>615</v>
      </c>
      <c r="D430" s="362">
        <v>130</v>
      </c>
      <c r="E430" s="360" t="s">
        <v>1737</v>
      </c>
      <c r="F430" s="360" t="s">
        <v>311</v>
      </c>
      <c r="G430" s="360" t="s">
        <v>315</v>
      </c>
      <c r="H430" s="360" t="s">
        <v>2288</v>
      </c>
      <c r="I430" s="360" t="e">
        <f>VLOOKUP(Таблица18[[#This Row],[Номер акта]],$AB$1:$AF$1833,3,FALSE)</f>
        <v>#N/A</v>
      </c>
      <c r="J430" s="360" t="s">
        <v>2268</v>
      </c>
      <c r="K430" s="360" t="s">
        <v>82</v>
      </c>
      <c r="L430" s="363">
        <v>30940</v>
      </c>
      <c r="M430" s="363">
        <v>15030</v>
      </c>
      <c r="N430" s="364">
        <v>13.5</v>
      </c>
      <c r="O430" s="363">
        <v>15910</v>
      </c>
      <c r="P430" s="363">
        <v>13762.1</v>
      </c>
      <c r="Q430" s="121">
        <v>2023</v>
      </c>
      <c r="R430" s="121"/>
      <c r="S430" s="148">
        <v>45112</v>
      </c>
      <c r="T430" s="363">
        <f>Таблица18[[#This Row],[Вес нетто]]-Таблица18[[#This Row],[Зачетный вес]]</f>
        <v>2147.8999999999996</v>
      </c>
      <c r="U430" s="365">
        <f>Таблица18[[#This Row],[Отход]]/Таблица18[[#This Row],[Вес нетто]]</f>
        <v>0.13500314267756125</v>
      </c>
      <c r="V430" s="121">
        <f>MONTH(Таблица18[[#This Row],[Дата акта]])</f>
        <v>7</v>
      </c>
      <c r="W430" s="121">
        <v>5</v>
      </c>
      <c r="X430" s="148">
        <f>DATE(1900,Таблица18[[#This Row],[Месяц]],Таблица18[[#This Row],[Число]])</f>
        <v>187</v>
      </c>
      <c r="Y430" s="121"/>
      <c r="Z430" s="121" t="str">
        <f>Таблица18[[#This Row],[Хар-ка]]</f>
        <v>высший</v>
      </c>
      <c r="AD430" s="459"/>
      <c r="AE430" s="391"/>
    </row>
    <row r="431" spans="1:31" s="325" customFormat="1" ht="15.6" hidden="1" customHeight="1" x14ac:dyDescent="0.2">
      <c r="A431" s="360" t="s">
        <v>2295</v>
      </c>
      <c r="B431" s="360" t="s">
        <v>511</v>
      </c>
      <c r="C431" s="361">
        <v>616</v>
      </c>
      <c r="D431" s="362">
        <v>131</v>
      </c>
      <c r="E431" s="360" t="s">
        <v>1737</v>
      </c>
      <c r="F431" s="360" t="s">
        <v>212</v>
      </c>
      <c r="G431" s="360" t="s">
        <v>216</v>
      </c>
      <c r="H431" s="360" t="s">
        <v>2288</v>
      </c>
      <c r="I431" s="360" t="e">
        <f>VLOOKUP(Таблица18[[#This Row],[Номер акта]],$AB$1:$AF$1833,3,FALSE)</f>
        <v>#N/A</v>
      </c>
      <c r="J431" s="360" t="s">
        <v>2268</v>
      </c>
      <c r="K431" s="360" t="s">
        <v>82</v>
      </c>
      <c r="L431" s="363">
        <v>29930</v>
      </c>
      <c r="M431" s="363">
        <v>14000</v>
      </c>
      <c r="N431" s="364">
        <v>12.5</v>
      </c>
      <c r="O431" s="363">
        <v>15930</v>
      </c>
      <c r="P431" s="363">
        <v>13938.7</v>
      </c>
      <c r="Q431" s="121">
        <v>2023</v>
      </c>
      <c r="R431" s="121"/>
      <c r="S431" s="148">
        <v>45112</v>
      </c>
      <c r="T431" s="363">
        <f>Таблица18[[#This Row],[Вес нетто]]-Таблица18[[#This Row],[Зачетный вес]]</f>
        <v>1991.2999999999993</v>
      </c>
      <c r="U431" s="365">
        <f>Таблица18[[#This Row],[Отход]]/Таблица18[[#This Row],[Вес нетто]]</f>
        <v>0.12500313873195223</v>
      </c>
      <c r="V431" s="121">
        <f>MONTH(Таблица18[[#This Row],[Дата акта]])</f>
        <v>7</v>
      </c>
      <c r="W431" s="121">
        <v>5</v>
      </c>
      <c r="X431" s="148">
        <f>DATE(1900,Таблица18[[#This Row],[Месяц]],Таблица18[[#This Row],[Число]])</f>
        <v>187</v>
      </c>
      <c r="Y431" s="121"/>
      <c r="Z431" s="121" t="str">
        <f>Таблица18[[#This Row],[Хар-ка]]</f>
        <v>высший</v>
      </c>
      <c r="AD431" s="459"/>
      <c r="AE431" s="391"/>
    </row>
    <row r="432" spans="1:31" s="325" customFormat="1" ht="15.6" hidden="1" customHeight="1" x14ac:dyDescent="0.2">
      <c r="A432" s="360" t="s">
        <v>2296</v>
      </c>
      <c r="B432" s="360" t="s">
        <v>511</v>
      </c>
      <c r="C432" s="361">
        <v>617</v>
      </c>
      <c r="D432" s="362">
        <v>132</v>
      </c>
      <c r="E432" s="360" t="s">
        <v>1737</v>
      </c>
      <c r="F432" s="360" t="s">
        <v>1906</v>
      </c>
      <c r="G432" s="360" t="s">
        <v>1907</v>
      </c>
      <c r="H432" s="360" t="s">
        <v>2288</v>
      </c>
      <c r="I432" s="360" t="e">
        <f>VLOOKUP(Таблица18[[#This Row],[Номер акта]],$AB$1:$AF$1833,3,FALSE)</f>
        <v>#N/A</v>
      </c>
      <c r="J432" s="360" t="s">
        <v>2268</v>
      </c>
      <c r="K432" s="360" t="s">
        <v>82</v>
      </c>
      <c r="L432" s="363">
        <v>30800</v>
      </c>
      <c r="M432" s="363">
        <v>15000</v>
      </c>
      <c r="N432" s="364">
        <v>12.5</v>
      </c>
      <c r="O432" s="363">
        <v>15800</v>
      </c>
      <c r="P432" s="363">
        <v>13825</v>
      </c>
      <c r="Q432" s="121">
        <v>2023</v>
      </c>
      <c r="R432" s="121"/>
      <c r="S432" s="148">
        <v>45112</v>
      </c>
      <c r="T432" s="363">
        <f>Таблица18[[#This Row],[Вес нетто]]-Таблица18[[#This Row],[Зачетный вес]]</f>
        <v>1975</v>
      </c>
      <c r="U432" s="365">
        <f>Таблица18[[#This Row],[Отход]]/Таблица18[[#This Row],[Вес нетто]]</f>
        <v>0.125</v>
      </c>
      <c r="V432" s="121">
        <f>MONTH(Таблица18[[#This Row],[Дата акта]])</f>
        <v>7</v>
      </c>
      <c r="W432" s="121">
        <v>5</v>
      </c>
      <c r="X432" s="148">
        <f>DATE(1900,Таблица18[[#This Row],[Месяц]],Таблица18[[#This Row],[Число]])</f>
        <v>187</v>
      </c>
      <c r="Y432" s="121"/>
      <c r="Z432" s="121" t="str">
        <f>Таблица18[[#This Row],[Хар-ка]]</f>
        <v>высший</v>
      </c>
      <c r="AD432" s="459"/>
      <c r="AE432" s="391"/>
    </row>
    <row r="433" spans="1:31" s="325" customFormat="1" ht="15.6" hidden="1" customHeight="1" x14ac:dyDescent="0.2">
      <c r="A433" s="360" t="s">
        <v>2297</v>
      </c>
      <c r="B433" s="360" t="s">
        <v>511</v>
      </c>
      <c r="C433" s="361">
        <v>618</v>
      </c>
      <c r="D433" s="362">
        <v>133</v>
      </c>
      <c r="E433" s="360" t="s">
        <v>1737</v>
      </c>
      <c r="F433" s="360" t="s">
        <v>1804</v>
      </c>
      <c r="G433" s="360" t="s">
        <v>536</v>
      </c>
      <c r="H433" s="360" t="s">
        <v>2288</v>
      </c>
      <c r="I433" s="360" t="e">
        <f>VLOOKUP(Таблица18[[#This Row],[Номер акта]],$AB$1:$AF$1833,3,FALSE)</f>
        <v>#N/A</v>
      </c>
      <c r="J433" s="360" t="s">
        <v>2268</v>
      </c>
      <c r="K433" s="360" t="s">
        <v>82</v>
      </c>
      <c r="L433" s="363">
        <v>30680</v>
      </c>
      <c r="M433" s="363">
        <v>14680</v>
      </c>
      <c r="N433" s="364">
        <v>16.5</v>
      </c>
      <c r="O433" s="363">
        <v>16000</v>
      </c>
      <c r="P433" s="363">
        <v>13360</v>
      </c>
      <c r="Q433" s="121">
        <v>2023</v>
      </c>
      <c r="R433" s="121"/>
      <c r="S433" s="148">
        <v>45112</v>
      </c>
      <c r="T433" s="363">
        <f>Таблица18[[#This Row],[Вес нетто]]-Таблица18[[#This Row],[Зачетный вес]]</f>
        <v>2640</v>
      </c>
      <c r="U433" s="365">
        <f>Таблица18[[#This Row],[Отход]]/Таблица18[[#This Row],[Вес нетто]]</f>
        <v>0.16500000000000001</v>
      </c>
      <c r="V433" s="121">
        <f>MONTH(Таблица18[[#This Row],[Дата акта]])</f>
        <v>7</v>
      </c>
      <c r="W433" s="121">
        <v>5</v>
      </c>
      <c r="X433" s="148">
        <f>DATE(1900,Таблица18[[#This Row],[Месяц]],Таблица18[[#This Row],[Число]])</f>
        <v>187</v>
      </c>
      <c r="Y433" s="121"/>
      <c r="Z433" s="121" t="str">
        <f>Таблица18[[#This Row],[Хар-ка]]</f>
        <v>высший</v>
      </c>
      <c r="AD433" s="459"/>
      <c r="AE433" s="391"/>
    </row>
    <row r="434" spans="1:31" s="325" customFormat="1" ht="15.6" hidden="1" customHeight="1" x14ac:dyDescent="0.2">
      <c r="A434" s="360" t="s">
        <v>2298</v>
      </c>
      <c r="B434" s="360" t="s">
        <v>511</v>
      </c>
      <c r="C434" s="361">
        <v>619</v>
      </c>
      <c r="D434" s="360" t="s">
        <v>2299</v>
      </c>
      <c r="E434" s="360" t="s">
        <v>1737</v>
      </c>
      <c r="F434" s="360" t="s">
        <v>2150</v>
      </c>
      <c r="G434" s="360" t="s">
        <v>2151</v>
      </c>
      <c r="H434" s="360" t="s">
        <v>2288</v>
      </c>
      <c r="I434" s="360" t="e">
        <f>VLOOKUP(Таблица18[[#This Row],[Номер акта]],$AB$1:$AF$1833,3,FALSE)</f>
        <v>#N/A</v>
      </c>
      <c r="J434" s="360" t="s">
        <v>2268</v>
      </c>
      <c r="K434" s="360" t="s">
        <v>82</v>
      </c>
      <c r="L434" s="363">
        <v>31230</v>
      </c>
      <c r="M434" s="363">
        <v>15330</v>
      </c>
      <c r="N434" s="364">
        <v>17.5</v>
      </c>
      <c r="O434" s="363">
        <v>15900</v>
      </c>
      <c r="P434" s="363">
        <v>13117.5</v>
      </c>
      <c r="Q434" s="121">
        <v>2023</v>
      </c>
      <c r="R434" s="121"/>
      <c r="S434" s="148">
        <v>45112</v>
      </c>
      <c r="T434" s="363">
        <f>Таблица18[[#This Row],[Вес нетто]]-Таблица18[[#This Row],[Зачетный вес]]</f>
        <v>2782.5</v>
      </c>
      <c r="U434" s="365">
        <f>Таблица18[[#This Row],[Отход]]/Таблица18[[#This Row],[Вес нетто]]</f>
        <v>0.17499999999999999</v>
      </c>
      <c r="V434" s="121">
        <f>MONTH(Таблица18[[#This Row],[Дата акта]])</f>
        <v>7</v>
      </c>
      <c r="W434" s="121">
        <v>5</v>
      </c>
      <c r="X434" s="148">
        <f>DATE(1900,Таблица18[[#This Row],[Месяц]],Таблица18[[#This Row],[Число]])</f>
        <v>187</v>
      </c>
      <c r="Y434" s="121"/>
      <c r="Z434" s="121" t="str">
        <f>Таблица18[[#This Row],[Хар-ка]]</f>
        <v>высший</v>
      </c>
      <c r="AD434" s="459"/>
      <c r="AE434" s="391"/>
    </row>
    <row r="435" spans="1:31" s="325" customFormat="1" ht="15.6" hidden="1" customHeight="1" x14ac:dyDescent="0.2">
      <c r="A435" s="360" t="s">
        <v>2300</v>
      </c>
      <c r="B435" s="360" t="s">
        <v>511</v>
      </c>
      <c r="C435" s="361">
        <v>621</v>
      </c>
      <c r="D435" s="360" t="s">
        <v>2301</v>
      </c>
      <c r="E435" s="360" t="s">
        <v>1737</v>
      </c>
      <c r="F435" s="360" t="s">
        <v>283</v>
      </c>
      <c r="G435" s="360" t="s">
        <v>287</v>
      </c>
      <c r="H435" s="360" t="s">
        <v>2288</v>
      </c>
      <c r="I435" s="360" t="e">
        <f>VLOOKUP(Таблица18[[#This Row],[Номер акта]],$AB$1:$AF$1833,3,FALSE)</f>
        <v>#N/A</v>
      </c>
      <c r="J435" s="360" t="s">
        <v>2268</v>
      </c>
      <c r="K435" s="360" t="s">
        <v>82</v>
      </c>
      <c r="L435" s="363">
        <v>33740</v>
      </c>
      <c r="M435" s="363">
        <v>17800</v>
      </c>
      <c r="N435" s="364">
        <v>10.5</v>
      </c>
      <c r="O435" s="363">
        <v>15940</v>
      </c>
      <c r="P435" s="363">
        <v>14266.3</v>
      </c>
      <c r="Q435" s="121">
        <v>2023</v>
      </c>
      <c r="R435" s="121"/>
      <c r="S435" s="148">
        <v>45112</v>
      </c>
      <c r="T435" s="363">
        <f>Таблица18[[#This Row],[Вес нетто]]-Таблица18[[#This Row],[Зачетный вес]]</f>
        <v>1673.7000000000007</v>
      </c>
      <c r="U435" s="365">
        <f>Таблица18[[#This Row],[Отход]]/Таблица18[[#This Row],[Вес нетто]]</f>
        <v>0.10500000000000005</v>
      </c>
      <c r="V435" s="121">
        <f>MONTH(Таблица18[[#This Row],[Дата акта]])</f>
        <v>7</v>
      </c>
      <c r="W435" s="121">
        <v>5</v>
      </c>
      <c r="X435" s="148">
        <f>DATE(1900,Таблица18[[#This Row],[Месяц]],Таблица18[[#This Row],[Число]])</f>
        <v>187</v>
      </c>
      <c r="Y435" s="121"/>
      <c r="Z435" s="121" t="str">
        <f>Таблица18[[#This Row],[Хар-ка]]</f>
        <v>высший</v>
      </c>
      <c r="AD435" s="459"/>
      <c r="AE435" s="391"/>
    </row>
    <row r="436" spans="1:31" s="325" customFormat="1" ht="15.6" hidden="1" customHeight="1" x14ac:dyDescent="0.2">
      <c r="A436" s="360" t="s">
        <v>2302</v>
      </c>
      <c r="B436" s="360" t="s">
        <v>511</v>
      </c>
      <c r="C436" s="361">
        <v>622</v>
      </c>
      <c r="D436" s="360" t="s">
        <v>2303</v>
      </c>
      <c r="E436" s="360" t="s">
        <v>1737</v>
      </c>
      <c r="F436" s="360" t="s">
        <v>289</v>
      </c>
      <c r="G436" s="360" t="s">
        <v>293</v>
      </c>
      <c r="H436" s="360" t="s">
        <v>2288</v>
      </c>
      <c r="I436" s="360" t="e">
        <f>VLOOKUP(Таблица18[[#This Row],[Номер акта]],$AB$1:$AF$1833,3,FALSE)</f>
        <v>#N/A</v>
      </c>
      <c r="J436" s="360" t="s">
        <v>1760</v>
      </c>
      <c r="K436" s="360" t="s">
        <v>82</v>
      </c>
      <c r="L436" s="363">
        <v>33240</v>
      </c>
      <c r="M436" s="363">
        <v>17060</v>
      </c>
      <c r="N436" s="364">
        <v>13.5</v>
      </c>
      <c r="O436" s="363">
        <v>16180</v>
      </c>
      <c r="P436" s="363">
        <v>13995.7</v>
      </c>
      <c r="Q436" s="121">
        <v>2023</v>
      </c>
      <c r="R436" s="121"/>
      <c r="S436" s="148">
        <v>45112</v>
      </c>
      <c r="T436" s="363">
        <f>Таблица18[[#This Row],[Вес нетто]]-Таблица18[[#This Row],[Зачетный вес]]</f>
        <v>2184.2999999999993</v>
      </c>
      <c r="U436" s="365">
        <f>Таблица18[[#This Row],[Отход]]/Таблица18[[#This Row],[Вес нетто]]</f>
        <v>0.13499999999999995</v>
      </c>
      <c r="V436" s="121">
        <f>MONTH(Таблица18[[#This Row],[Дата акта]])</f>
        <v>7</v>
      </c>
      <c r="W436" s="121">
        <v>5</v>
      </c>
      <c r="X436" s="148">
        <f>DATE(1900,Таблица18[[#This Row],[Месяц]],Таблица18[[#This Row],[Число]])</f>
        <v>187</v>
      </c>
      <c r="Y436" s="121"/>
      <c r="Z436" s="121" t="str">
        <f>Таблица18[[#This Row],[Хар-ка]]</f>
        <v>высший</v>
      </c>
      <c r="AD436" s="459"/>
      <c r="AE436" s="391"/>
    </row>
    <row r="437" spans="1:31" s="325" customFormat="1" ht="15.6" hidden="1" customHeight="1" x14ac:dyDescent="0.2">
      <c r="A437" s="360" t="s">
        <v>2304</v>
      </c>
      <c r="B437" s="360" t="s">
        <v>511</v>
      </c>
      <c r="C437" s="361">
        <v>623</v>
      </c>
      <c r="D437" s="360" t="s">
        <v>2305</v>
      </c>
      <c r="E437" s="360" t="s">
        <v>1737</v>
      </c>
      <c r="F437" s="360" t="s">
        <v>1843</v>
      </c>
      <c r="G437" s="360" t="s">
        <v>119</v>
      </c>
      <c r="H437" s="360" t="s">
        <v>2288</v>
      </c>
      <c r="I437" s="360" t="e">
        <f>VLOOKUP(Таблица18[[#This Row],[Номер акта]],$AB$1:$AF$1833,3,FALSE)</f>
        <v>#N/A</v>
      </c>
      <c r="J437" s="360" t="s">
        <v>1760</v>
      </c>
      <c r="K437" s="360" t="s">
        <v>82</v>
      </c>
      <c r="L437" s="363">
        <v>39010</v>
      </c>
      <c r="M437" s="363">
        <v>20840</v>
      </c>
      <c r="N437" s="364">
        <v>137</v>
      </c>
      <c r="O437" s="363">
        <v>18170</v>
      </c>
      <c r="P437" s="363">
        <v>18170</v>
      </c>
      <c r="Q437" s="121">
        <v>2023</v>
      </c>
      <c r="R437" s="121"/>
      <c r="S437" s="148">
        <v>45112</v>
      </c>
      <c r="T437" s="363">
        <f>Таблица18[[#This Row],[Вес нетто]]-Таблица18[[#This Row],[Зачетный вес]]</f>
        <v>0</v>
      </c>
      <c r="U437" s="365">
        <f>Таблица18[[#This Row],[Отход]]/Таблица18[[#This Row],[Вес нетто]]</f>
        <v>0</v>
      </c>
      <c r="V437" s="121">
        <f>MONTH(Таблица18[[#This Row],[Дата акта]])</f>
        <v>7</v>
      </c>
      <c r="W437" s="121">
        <v>5</v>
      </c>
      <c r="X437" s="148">
        <f>DATE(1900,Таблица18[[#This Row],[Месяц]],Таблица18[[#This Row],[Число]])</f>
        <v>187</v>
      </c>
      <c r="Y437" s="121"/>
      <c r="Z437" s="121" t="str">
        <f>Таблица18[[#This Row],[Хар-ка]]</f>
        <v>высший</v>
      </c>
      <c r="AD437" s="459"/>
      <c r="AE437" s="391"/>
    </row>
    <row r="438" spans="1:31" s="325" customFormat="1" ht="15.6" hidden="1" customHeight="1" x14ac:dyDescent="0.2">
      <c r="A438" s="360" t="s">
        <v>2306</v>
      </c>
      <c r="B438" s="360" t="s">
        <v>511</v>
      </c>
      <c r="C438" s="361">
        <v>623</v>
      </c>
      <c r="D438" s="360" t="s">
        <v>2307</v>
      </c>
      <c r="E438" s="360" t="s">
        <v>1737</v>
      </c>
      <c r="F438" s="360" t="s">
        <v>2308</v>
      </c>
      <c r="G438" s="362">
        <v>586</v>
      </c>
      <c r="H438" s="360" t="s">
        <v>2309</v>
      </c>
      <c r="I438" s="360" t="e">
        <f>VLOOKUP(Таблица18[[#This Row],[Номер акта]],$AB$1:$AF$1833,3,FALSE)</f>
        <v>#N/A</v>
      </c>
      <c r="J438" s="360" t="s">
        <v>1185</v>
      </c>
      <c r="K438" s="360" t="s">
        <v>82</v>
      </c>
      <c r="L438" s="363">
        <v>32180</v>
      </c>
      <c r="M438" s="363">
        <v>13740</v>
      </c>
      <c r="N438" s="121"/>
      <c r="O438" s="363">
        <v>18440</v>
      </c>
      <c r="P438" s="363">
        <v>18440</v>
      </c>
      <c r="Q438" s="121">
        <v>2023</v>
      </c>
      <c r="R438" s="121"/>
      <c r="S438" s="148">
        <v>45113</v>
      </c>
      <c r="T438" s="363">
        <f>Таблица18[[#This Row],[Вес нетто]]-Таблица18[[#This Row],[Зачетный вес]]</f>
        <v>0</v>
      </c>
      <c r="U438" s="365">
        <f>Таблица18[[#This Row],[Отход]]/Таблица18[[#This Row],[Вес нетто]]</f>
        <v>0</v>
      </c>
      <c r="V438" s="121">
        <f>MONTH(Таблица18[[#This Row],[Дата акта]])</f>
        <v>7</v>
      </c>
      <c r="W438" s="121">
        <v>6</v>
      </c>
      <c r="X438" s="148">
        <f>DATE(1900,Таблица18[[#This Row],[Месяц]],Таблица18[[#This Row],[Число]])</f>
        <v>188</v>
      </c>
      <c r="Y438" s="121"/>
      <c r="Z438" s="121" t="str">
        <f>Таблица18[[#This Row],[Хар-ка]]</f>
        <v>высший</v>
      </c>
      <c r="AD438" s="459"/>
      <c r="AE438" s="391"/>
    </row>
    <row r="439" spans="1:31" s="325" customFormat="1" ht="15.6" hidden="1" customHeight="1" x14ac:dyDescent="0.2">
      <c r="A439" s="360" t="s">
        <v>2310</v>
      </c>
      <c r="B439" s="360" t="s">
        <v>511</v>
      </c>
      <c r="C439" s="361">
        <v>623</v>
      </c>
      <c r="D439" s="360" t="s">
        <v>2311</v>
      </c>
      <c r="E439" s="360" t="s">
        <v>1737</v>
      </c>
      <c r="F439" s="360" t="s">
        <v>2312</v>
      </c>
      <c r="G439" s="362">
        <v>587</v>
      </c>
      <c r="H439" s="360" t="s">
        <v>2309</v>
      </c>
      <c r="I439" s="360" t="e">
        <f>VLOOKUP(Таблица18[[#This Row],[Номер акта]],$AB$1:$AF$1833,3,FALSE)</f>
        <v>#N/A</v>
      </c>
      <c r="J439" s="360" t="s">
        <v>1185</v>
      </c>
      <c r="K439" s="360" t="s">
        <v>82</v>
      </c>
      <c r="L439" s="363">
        <v>31920</v>
      </c>
      <c r="M439" s="363">
        <v>13920</v>
      </c>
      <c r="N439" s="121"/>
      <c r="O439" s="363">
        <v>18000</v>
      </c>
      <c r="P439" s="363">
        <v>18000</v>
      </c>
      <c r="Q439" s="121">
        <v>2023</v>
      </c>
      <c r="R439" s="121"/>
      <c r="S439" s="148">
        <v>45113</v>
      </c>
      <c r="T439" s="363">
        <f>Таблица18[[#This Row],[Вес нетто]]-Таблица18[[#This Row],[Зачетный вес]]</f>
        <v>0</v>
      </c>
      <c r="U439" s="365">
        <f>Таблица18[[#This Row],[Отход]]/Таблица18[[#This Row],[Вес нетто]]</f>
        <v>0</v>
      </c>
      <c r="V439" s="121">
        <f>MONTH(Таблица18[[#This Row],[Дата акта]])</f>
        <v>7</v>
      </c>
      <c r="W439" s="121">
        <v>6</v>
      </c>
      <c r="X439" s="148">
        <f>DATE(1900,Таблица18[[#This Row],[Месяц]],Таблица18[[#This Row],[Число]])</f>
        <v>188</v>
      </c>
      <c r="Y439" s="121"/>
      <c r="Z439" s="121" t="str">
        <f>Таблица18[[#This Row],[Хар-ка]]</f>
        <v>высший</v>
      </c>
      <c r="AD439" s="459"/>
      <c r="AE439" s="391"/>
    </row>
    <row r="440" spans="1:31" s="325" customFormat="1" ht="15.6" hidden="1" customHeight="1" x14ac:dyDescent="0.2">
      <c r="A440" s="360" t="s">
        <v>2313</v>
      </c>
      <c r="B440" s="360" t="s">
        <v>511</v>
      </c>
      <c r="C440" s="361">
        <v>623</v>
      </c>
      <c r="D440" s="360" t="s">
        <v>2314</v>
      </c>
      <c r="E440" s="360" t="s">
        <v>1737</v>
      </c>
      <c r="F440" s="360" t="s">
        <v>2315</v>
      </c>
      <c r="G440" s="360" t="s">
        <v>2316</v>
      </c>
      <c r="H440" s="360" t="s">
        <v>2309</v>
      </c>
      <c r="I440" s="360" t="e">
        <f>VLOOKUP(Таблица18[[#This Row],[Номер акта]],$AB$1:$AF$1833,3,FALSE)</f>
        <v>#N/A</v>
      </c>
      <c r="J440" s="360" t="s">
        <v>1185</v>
      </c>
      <c r="K440" s="360" t="s">
        <v>82</v>
      </c>
      <c r="L440" s="363">
        <v>31800</v>
      </c>
      <c r="M440" s="363">
        <v>13820</v>
      </c>
      <c r="N440" s="121"/>
      <c r="O440" s="363">
        <v>17980</v>
      </c>
      <c r="P440" s="363">
        <v>17980</v>
      </c>
      <c r="Q440" s="121">
        <v>2023</v>
      </c>
      <c r="R440" s="121"/>
      <c r="S440" s="148">
        <v>45113</v>
      </c>
      <c r="T440" s="363">
        <f>Таблица18[[#This Row],[Вес нетто]]-Таблица18[[#This Row],[Зачетный вес]]</f>
        <v>0</v>
      </c>
      <c r="U440" s="365">
        <f>Таблица18[[#This Row],[Отход]]/Таблица18[[#This Row],[Вес нетто]]</f>
        <v>0</v>
      </c>
      <c r="V440" s="121">
        <f>MONTH(Таблица18[[#This Row],[Дата акта]])</f>
        <v>7</v>
      </c>
      <c r="W440" s="121">
        <v>6</v>
      </c>
      <c r="X440" s="148">
        <f>DATE(1900,Таблица18[[#This Row],[Месяц]],Таблица18[[#This Row],[Число]])</f>
        <v>188</v>
      </c>
      <c r="Y440" s="121"/>
      <c r="Z440" s="121" t="str">
        <f>Таблица18[[#This Row],[Хар-ка]]</f>
        <v>высший</v>
      </c>
      <c r="AD440" s="459"/>
      <c r="AE440" s="391"/>
    </row>
    <row r="441" spans="1:31" s="325" customFormat="1" ht="15.6" hidden="1" customHeight="1" x14ac:dyDescent="0.2">
      <c r="A441" s="360" t="s">
        <v>2317</v>
      </c>
      <c r="B441" s="360" t="s">
        <v>511</v>
      </c>
      <c r="C441" s="360"/>
      <c r="D441" s="360" t="s">
        <v>2318</v>
      </c>
      <c r="E441" s="360" t="s">
        <v>1787</v>
      </c>
      <c r="F441" s="360" t="s">
        <v>311</v>
      </c>
      <c r="G441" s="360"/>
      <c r="H441" s="360" t="s">
        <v>1789</v>
      </c>
      <c r="I441" s="360" t="e">
        <f>VLOOKUP(Таблица18[[#This Row],[Номер акта]],$AB$1:$AF$1833,3,FALSE)</f>
        <v>#N/A</v>
      </c>
      <c r="J441" s="360" t="s">
        <v>21</v>
      </c>
      <c r="K441" s="360" t="s">
        <v>82</v>
      </c>
      <c r="L441" s="363">
        <v>32910</v>
      </c>
      <c r="M441" s="363">
        <v>15150</v>
      </c>
      <c r="N441" s="364">
        <v>9</v>
      </c>
      <c r="O441" s="363">
        <v>17760</v>
      </c>
      <c r="P441" s="363">
        <v>16160.6</v>
      </c>
      <c r="Q441" s="121">
        <v>2023</v>
      </c>
      <c r="R441" s="121"/>
      <c r="S441" s="148">
        <v>45079</v>
      </c>
      <c r="T441" s="363">
        <f>Таблица18[[#This Row],[Вес нетто]]-Таблица18[[#This Row],[Зачетный вес]]</f>
        <v>1599.3999999999996</v>
      </c>
      <c r="U441" s="365">
        <f>Таблица18[[#This Row],[Отход]]/Таблица18[[#This Row],[Вес нетто]]</f>
        <v>9.0056306306306289E-2</v>
      </c>
      <c r="V441" s="121">
        <f>MONTH(Таблица18[[#This Row],[Дата акта]])</f>
        <v>6</v>
      </c>
      <c r="W441" s="121">
        <v>2</v>
      </c>
      <c r="X441" s="148">
        <f>DATE(1900,Таблица18[[#This Row],[Месяц]],Таблица18[[#This Row],[Число]])</f>
        <v>154</v>
      </c>
      <c r="Y441" s="121"/>
      <c r="Z441" s="121" t="str">
        <f>Таблица18[[#This Row],[Хар-ка]]</f>
        <v>высший</v>
      </c>
      <c r="AD441" s="459"/>
      <c r="AE441" s="391"/>
    </row>
    <row r="442" spans="1:31" s="325" customFormat="1" ht="15.6" hidden="1" customHeight="1" x14ac:dyDescent="0.2">
      <c r="A442" s="360" t="s">
        <v>2319</v>
      </c>
      <c r="B442" s="360" t="s">
        <v>511</v>
      </c>
      <c r="C442" s="360"/>
      <c r="D442" s="360" t="s">
        <v>2320</v>
      </c>
      <c r="E442" s="360" t="s">
        <v>1787</v>
      </c>
      <c r="F442" s="360" t="s">
        <v>1846</v>
      </c>
      <c r="G442" s="360"/>
      <c r="H442" s="360" t="s">
        <v>1789</v>
      </c>
      <c r="I442" s="360" t="e">
        <f>VLOOKUP(Таблица18[[#This Row],[Номер акта]],$AB$1:$AF$1833,3,FALSE)</f>
        <v>#N/A</v>
      </c>
      <c r="J442" s="360" t="s">
        <v>21</v>
      </c>
      <c r="K442" s="360" t="s">
        <v>82</v>
      </c>
      <c r="L442" s="363">
        <v>33360</v>
      </c>
      <c r="M442" s="363">
        <v>15580</v>
      </c>
      <c r="N442" s="364">
        <v>9.1</v>
      </c>
      <c r="O442" s="363">
        <v>17780</v>
      </c>
      <c r="P442" s="363">
        <v>16161.1</v>
      </c>
      <c r="Q442" s="121">
        <v>2023</v>
      </c>
      <c r="R442" s="121"/>
      <c r="S442" s="148">
        <v>45079</v>
      </c>
      <c r="T442" s="363">
        <f>Таблица18[[#This Row],[Вес нетто]]-Таблица18[[#This Row],[Зачетный вес]]</f>
        <v>1618.8999999999996</v>
      </c>
      <c r="U442" s="365">
        <f>Таблица18[[#This Row],[Отход]]/Таблица18[[#This Row],[Вес нетто]]</f>
        <v>9.1051743532058471E-2</v>
      </c>
      <c r="V442" s="121">
        <f>MONTH(Таблица18[[#This Row],[Дата акта]])</f>
        <v>6</v>
      </c>
      <c r="W442" s="121">
        <v>2</v>
      </c>
      <c r="X442" s="148">
        <f>DATE(1900,Таблица18[[#This Row],[Месяц]],Таблица18[[#This Row],[Число]])</f>
        <v>154</v>
      </c>
      <c r="Y442" s="121"/>
      <c r="Z442" s="121" t="str">
        <f>Таблица18[[#This Row],[Хар-ка]]</f>
        <v>высший</v>
      </c>
      <c r="AD442" s="459"/>
      <c r="AE442" s="391"/>
    </row>
    <row r="443" spans="1:31" s="325" customFormat="1" ht="15.6" hidden="1" customHeight="1" x14ac:dyDescent="0.2">
      <c r="A443" s="360" t="s">
        <v>2321</v>
      </c>
      <c r="B443" s="360" t="s">
        <v>550</v>
      </c>
      <c r="C443" s="360"/>
      <c r="D443" s="360" t="s">
        <v>2322</v>
      </c>
      <c r="E443" s="360" t="s">
        <v>1787</v>
      </c>
      <c r="F443" s="360" t="s">
        <v>514</v>
      </c>
      <c r="G443" s="360" t="s">
        <v>2323</v>
      </c>
      <c r="H443" s="360" t="s">
        <v>1789</v>
      </c>
      <c r="I443" s="360" t="e">
        <f>VLOOKUP(Таблица18[[#This Row],[Номер акта]],$AB$1:$AF$1833,3,FALSE)</f>
        <v>#N/A</v>
      </c>
      <c r="J443" s="360" t="s">
        <v>1753</v>
      </c>
      <c r="K443" s="360" t="s">
        <v>82</v>
      </c>
      <c r="L443" s="363">
        <v>36240</v>
      </c>
      <c r="M443" s="363">
        <v>16200</v>
      </c>
      <c r="N443" s="364">
        <v>9.6</v>
      </c>
      <c r="O443" s="363">
        <v>20040</v>
      </c>
      <c r="P443" s="363">
        <v>18116.2</v>
      </c>
      <c r="Q443" s="121">
        <v>2023</v>
      </c>
      <c r="R443" s="121"/>
      <c r="S443" s="148">
        <v>45082</v>
      </c>
      <c r="T443" s="363">
        <f>Таблица18[[#This Row],[Вес нетто]]-Таблица18[[#This Row],[Зачетный вес]]</f>
        <v>1923.7999999999993</v>
      </c>
      <c r="U443" s="365">
        <f>Таблица18[[#This Row],[Отход]]/Таблица18[[#This Row],[Вес нетто]]</f>
        <v>9.5998003992015926E-2</v>
      </c>
      <c r="V443" s="121">
        <f>MONTH(Таблица18[[#This Row],[Дата акта]])</f>
        <v>6</v>
      </c>
      <c r="W443" s="121">
        <v>5</v>
      </c>
      <c r="X443" s="148">
        <f>DATE(1900,Таблица18[[#This Row],[Месяц]],Таблица18[[#This Row],[Число]])</f>
        <v>157</v>
      </c>
      <c r="Y443" s="121"/>
      <c r="Z443" s="121" t="str">
        <f>Таблица18[[#This Row],[Хар-ка]]</f>
        <v>первый</v>
      </c>
      <c r="AD443" s="459"/>
      <c r="AE443" s="391"/>
    </row>
    <row r="444" spans="1:31" s="325" customFormat="1" ht="15.6" hidden="1" customHeight="1" x14ac:dyDescent="0.2">
      <c r="A444" s="360" t="s">
        <v>2324</v>
      </c>
      <c r="B444" s="360" t="s">
        <v>550</v>
      </c>
      <c r="C444" s="360"/>
      <c r="D444" s="360" t="s">
        <v>2325</v>
      </c>
      <c r="E444" s="360" t="s">
        <v>1787</v>
      </c>
      <c r="F444" s="360" t="s">
        <v>521</v>
      </c>
      <c r="G444" s="360" t="s">
        <v>2326</v>
      </c>
      <c r="H444" s="360" t="s">
        <v>1789</v>
      </c>
      <c r="I444" s="360" t="e">
        <f>VLOOKUP(Таблица18[[#This Row],[Номер акта]],$AB$1:$AF$1833,3,FALSE)</f>
        <v>#N/A</v>
      </c>
      <c r="J444" s="360" t="s">
        <v>1753</v>
      </c>
      <c r="K444" s="360" t="s">
        <v>82</v>
      </c>
      <c r="L444" s="363">
        <v>33540</v>
      </c>
      <c r="M444" s="363">
        <v>16060</v>
      </c>
      <c r="N444" s="364">
        <v>10.1</v>
      </c>
      <c r="O444" s="363">
        <v>17480</v>
      </c>
      <c r="P444" s="363">
        <v>15714.5</v>
      </c>
      <c r="Q444" s="121">
        <v>2023</v>
      </c>
      <c r="R444" s="121"/>
      <c r="S444" s="148">
        <v>45082</v>
      </c>
      <c r="T444" s="363">
        <f>Таблица18[[#This Row],[Вес нетто]]-Таблица18[[#This Row],[Зачетный вес]]</f>
        <v>1765.5</v>
      </c>
      <c r="U444" s="365">
        <f>Таблица18[[#This Row],[Отход]]/Таблица18[[#This Row],[Вес нетто]]</f>
        <v>0.10100114416475972</v>
      </c>
      <c r="V444" s="121">
        <f>MONTH(Таблица18[[#This Row],[Дата акта]])</f>
        <v>6</v>
      </c>
      <c r="W444" s="121">
        <v>5</v>
      </c>
      <c r="X444" s="148">
        <f>DATE(1900,Таблица18[[#This Row],[Месяц]],Таблица18[[#This Row],[Число]])</f>
        <v>157</v>
      </c>
      <c r="Y444" s="121"/>
      <c r="Z444" s="121" t="str">
        <f>Таблица18[[#This Row],[Хар-ка]]</f>
        <v>первый</v>
      </c>
      <c r="AD444" s="459"/>
      <c r="AE444" s="391"/>
    </row>
    <row r="445" spans="1:31" s="325" customFormat="1" ht="15.6" hidden="1" customHeight="1" x14ac:dyDescent="0.2">
      <c r="A445" s="360" t="s">
        <v>2327</v>
      </c>
      <c r="B445" s="360" t="s">
        <v>550</v>
      </c>
      <c r="C445" s="360"/>
      <c r="D445" s="360" t="s">
        <v>2328</v>
      </c>
      <c r="E445" s="360" t="s">
        <v>1787</v>
      </c>
      <c r="F445" s="360" t="s">
        <v>514</v>
      </c>
      <c r="G445" s="366">
        <v>63375</v>
      </c>
      <c r="H445" s="360" t="s">
        <v>1789</v>
      </c>
      <c r="I445" s="360" t="e">
        <f>VLOOKUP(Таблица18[[#This Row],[Номер акта]],$AB$1:$AF$1833,3,FALSE)</f>
        <v>#N/A</v>
      </c>
      <c r="J445" s="360" t="s">
        <v>1753</v>
      </c>
      <c r="K445" s="360" t="s">
        <v>82</v>
      </c>
      <c r="L445" s="363">
        <v>33860</v>
      </c>
      <c r="M445" s="363">
        <v>16300</v>
      </c>
      <c r="N445" s="364">
        <v>9.1</v>
      </c>
      <c r="O445" s="363">
        <v>17560</v>
      </c>
      <c r="P445" s="363">
        <v>15962</v>
      </c>
      <c r="Q445" s="121">
        <v>2023</v>
      </c>
      <c r="R445" s="121"/>
      <c r="S445" s="148">
        <v>45082</v>
      </c>
      <c r="T445" s="363">
        <f>Таблица18[[#This Row],[Вес нетто]]-Таблица18[[#This Row],[Зачетный вес]]</f>
        <v>1598</v>
      </c>
      <c r="U445" s="365">
        <f>Таблица18[[#This Row],[Отход]]/Таблица18[[#This Row],[Вес нетто]]</f>
        <v>9.1002277904328022E-2</v>
      </c>
      <c r="V445" s="121">
        <f>MONTH(Таблица18[[#This Row],[Дата акта]])</f>
        <v>6</v>
      </c>
      <c r="W445" s="121">
        <v>5</v>
      </c>
      <c r="X445" s="148">
        <f>DATE(1900,Таблица18[[#This Row],[Месяц]],Таблица18[[#This Row],[Число]])</f>
        <v>157</v>
      </c>
      <c r="Y445" s="121"/>
      <c r="Z445" s="121" t="str">
        <f>Таблица18[[#This Row],[Хар-ка]]</f>
        <v>первый</v>
      </c>
      <c r="AD445" s="459"/>
      <c r="AE445" s="391"/>
    </row>
    <row r="446" spans="1:31" s="325" customFormat="1" ht="15.6" hidden="1" customHeight="1" x14ac:dyDescent="0.2">
      <c r="A446" s="360" t="s">
        <v>2329</v>
      </c>
      <c r="B446" s="360" t="s">
        <v>550</v>
      </c>
      <c r="C446" s="360"/>
      <c r="D446" s="360" t="s">
        <v>2330</v>
      </c>
      <c r="E446" s="360" t="s">
        <v>1787</v>
      </c>
      <c r="F446" s="360" t="s">
        <v>517</v>
      </c>
      <c r="G446" s="366">
        <v>63375</v>
      </c>
      <c r="H446" s="360" t="s">
        <v>1789</v>
      </c>
      <c r="I446" s="360" t="e">
        <f>VLOOKUP(Таблица18[[#This Row],[Номер акта]],$AB$1:$AF$1833,3,FALSE)</f>
        <v>#N/A</v>
      </c>
      <c r="J446" s="360" t="s">
        <v>1753</v>
      </c>
      <c r="K446" s="360" t="s">
        <v>82</v>
      </c>
      <c r="L446" s="363">
        <v>35980</v>
      </c>
      <c r="M446" s="363">
        <v>18320</v>
      </c>
      <c r="N446" s="364">
        <v>12.7</v>
      </c>
      <c r="O446" s="363">
        <v>17660</v>
      </c>
      <c r="P446" s="363">
        <v>15417.2</v>
      </c>
      <c r="Q446" s="121">
        <v>2023</v>
      </c>
      <c r="R446" s="121"/>
      <c r="S446" s="148">
        <v>45081</v>
      </c>
      <c r="T446" s="363">
        <f>Таблица18[[#This Row],[Вес нетто]]-Таблица18[[#This Row],[Зачетный вес]]</f>
        <v>2242.7999999999993</v>
      </c>
      <c r="U446" s="365">
        <f>Таблица18[[#This Row],[Отход]]/Таблица18[[#This Row],[Вес нетто]]</f>
        <v>0.12699886749716871</v>
      </c>
      <c r="V446" s="121">
        <f>MONTH(Таблица18[[#This Row],[Дата акта]])</f>
        <v>6</v>
      </c>
      <c r="W446" s="121">
        <v>4</v>
      </c>
      <c r="X446" s="148">
        <f>DATE(1900,Таблица18[[#This Row],[Месяц]],Таблица18[[#This Row],[Число]])</f>
        <v>156</v>
      </c>
      <c r="Y446" s="121"/>
      <c r="Z446" s="121" t="str">
        <f>Таблица18[[#This Row],[Хар-ка]]</f>
        <v>первый</v>
      </c>
      <c r="AD446" s="459"/>
      <c r="AE446" s="391"/>
    </row>
    <row r="447" spans="1:31" s="325" customFormat="1" ht="15.6" hidden="1" customHeight="1" x14ac:dyDescent="0.2">
      <c r="A447" s="360" t="s">
        <v>2331</v>
      </c>
      <c r="B447" s="360" t="s">
        <v>511</v>
      </c>
      <c r="C447" s="360"/>
      <c r="D447" s="360" t="s">
        <v>2332</v>
      </c>
      <c r="E447" s="360" t="s">
        <v>1736</v>
      </c>
      <c r="F447" s="360" t="s">
        <v>2333</v>
      </c>
      <c r="G447" s="360" t="s">
        <v>2334</v>
      </c>
      <c r="H447" s="362">
        <v>7</v>
      </c>
      <c r="I447" s="362" t="e">
        <f>VLOOKUP(Таблица18[[#This Row],[Номер акта]],$AB$1:$AF$1833,3,FALSE)</f>
        <v>#N/A</v>
      </c>
      <c r="J447" s="360" t="s">
        <v>1185</v>
      </c>
      <c r="K447" s="360" t="s">
        <v>82</v>
      </c>
      <c r="L447" s="363">
        <v>38740</v>
      </c>
      <c r="M447" s="363">
        <v>15820</v>
      </c>
      <c r="N447" s="121"/>
      <c r="O447" s="363">
        <v>22920</v>
      </c>
      <c r="P447" s="363">
        <v>22920</v>
      </c>
      <c r="Q447" s="121">
        <v>2023</v>
      </c>
      <c r="R447" s="121"/>
      <c r="S447" s="148">
        <v>45116</v>
      </c>
      <c r="T447" s="363">
        <f>Таблица18[[#This Row],[Вес нетто]]-Таблица18[[#This Row],[Зачетный вес]]</f>
        <v>0</v>
      </c>
      <c r="U447" s="365">
        <f>Таблица18[[#This Row],[Отход]]/Таблица18[[#This Row],[Вес нетто]]</f>
        <v>0</v>
      </c>
      <c r="V447" s="121">
        <f>MONTH(Таблица18[[#This Row],[Дата акта]])</f>
        <v>7</v>
      </c>
      <c r="W447" s="121">
        <v>9</v>
      </c>
      <c r="X447" s="148">
        <f>DATE(1900,Таблица18[[#This Row],[Месяц]],Таблица18[[#This Row],[Число]])</f>
        <v>191</v>
      </c>
      <c r="Y447" s="121"/>
      <c r="Z447" s="121" t="str">
        <f>Таблица18[[#This Row],[Хар-ка]]</f>
        <v>высший</v>
      </c>
      <c r="AD447" s="459"/>
      <c r="AE447" s="391"/>
    </row>
    <row r="448" spans="1:31" s="325" customFormat="1" ht="15.6" hidden="1" customHeight="1" x14ac:dyDescent="0.2">
      <c r="A448" s="360" t="s">
        <v>2335</v>
      </c>
      <c r="B448" s="360" t="s">
        <v>511</v>
      </c>
      <c r="C448" s="360"/>
      <c r="D448" s="360" t="s">
        <v>2336</v>
      </c>
      <c r="E448" s="360" t="s">
        <v>1736</v>
      </c>
      <c r="F448" s="360" t="s">
        <v>2337</v>
      </c>
      <c r="G448" s="360" t="s">
        <v>2338</v>
      </c>
      <c r="H448" s="362">
        <v>7</v>
      </c>
      <c r="I448" s="362" t="e">
        <f>VLOOKUP(Таблица18[[#This Row],[Номер акта]],$AB$1:$AF$1833,3,FALSE)</f>
        <v>#N/A</v>
      </c>
      <c r="J448" s="360" t="s">
        <v>1185</v>
      </c>
      <c r="K448" s="360" t="s">
        <v>82</v>
      </c>
      <c r="L448" s="363">
        <v>27920</v>
      </c>
      <c r="M448" s="363">
        <v>15160</v>
      </c>
      <c r="N448" s="121"/>
      <c r="O448" s="363">
        <v>12760</v>
      </c>
      <c r="P448" s="363">
        <v>12760</v>
      </c>
      <c r="Q448" s="121">
        <v>2023</v>
      </c>
      <c r="R448" s="121"/>
      <c r="S448" s="148">
        <v>45117</v>
      </c>
      <c r="T448" s="363">
        <f>Таблица18[[#This Row],[Вес нетто]]-Таблица18[[#This Row],[Зачетный вес]]</f>
        <v>0</v>
      </c>
      <c r="U448" s="365">
        <f>Таблица18[[#This Row],[Отход]]/Таблица18[[#This Row],[Вес нетто]]</f>
        <v>0</v>
      </c>
      <c r="V448" s="121">
        <f>MONTH(Таблица18[[#This Row],[Дата акта]])</f>
        <v>7</v>
      </c>
      <c r="W448" s="121">
        <v>10</v>
      </c>
      <c r="X448" s="148">
        <f>DATE(1900,Таблица18[[#This Row],[Месяц]],Таблица18[[#This Row],[Число]])</f>
        <v>192</v>
      </c>
      <c r="Y448" s="121"/>
      <c r="Z448" s="121" t="str">
        <f>Таблица18[[#This Row],[Хар-ка]]</f>
        <v>высший</v>
      </c>
      <c r="AD448" s="459"/>
      <c r="AE448" s="391"/>
    </row>
    <row r="449" spans="1:31" s="325" customFormat="1" ht="15.6" hidden="1" customHeight="1" x14ac:dyDescent="0.2">
      <c r="A449" s="360" t="s">
        <v>2339</v>
      </c>
      <c r="B449" s="360" t="s">
        <v>511</v>
      </c>
      <c r="C449" s="360"/>
      <c r="D449" s="360" t="s">
        <v>2340</v>
      </c>
      <c r="E449" s="360" t="s">
        <v>1737</v>
      </c>
      <c r="F449" s="360" t="s">
        <v>2341</v>
      </c>
      <c r="G449" s="360" t="s">
        <v>2342</v>
      </c>
      <c r="H449" s="360" t="s">
        <v>2343</v>
      </c>
      <c r="I449" s="360" t="e">
        <f>VLOOKUP(Таблица18[[#This Row],[Номер акта]],$AB$1:$AF$1833,3,FALSE)</f>
        <v>#N/A</v>
      </c>
      <c r="J449" s="360" t="s">
        <v>1185</v>
      </c>
      <c r="K449" s="360" t="s">
        <v>82</v>
      </c>
      <c r="L449" s="363">
        <v>33080</v>
      </c>
      <c r="M449" s="363">
        <v>15200</v>
      </c>
      <c r="N449" s="121"/>
      <c r="O449" s="363">
        <v>17880</v>
      </c>
      <c r="P449" s="363">
        <v>17880</v>
      </c>
      <c r="Q449" s="121">
        <v>2023</v>
      </c>
      <c r="R449" s="121"/>
      <c r="S449" s="148">
        <v>45115</v>
      </c>
      <c r="T449" s="363">
        <f>Таблица18[[#This Row],[Вес нетто]]-Таблица18[[#This Row],[Зачетный вес]]</f>
        <v>0</v>
      </c>
      <c r="U449" s="365">
        <f>Таблица18[[#This Row],[Отход]]/Таблица18[[#This Row],[Вес нетто]]</f>
        <v>0</v>
      </c>
      <c r="V449" s="121">
        <f>MONTH(Таблица18[[#This Row],[Дата акта]])</f>
        <v>7</v>
      </c>
      <c r="W449" s="121">
        <v>8</v>
      </c>
      <c r="X449" s="148">
        <f>DATE(1900,Таблица18[[#This Row],[Месяц]],Таблица18[[#This Row],[Число]])</f>
        <v>190</v>
      </c>
      <c r="Y449" s="121"/>
      <c r="Z449" s="121" t="str">
        <f>Таблица18[[#This Row],[Хар-ка]]</f>
        <v>высший</v>
      </c>
      <c r="AD449" s="459"/>
      <c r="AE449" s="391"/>
    </row>
    <row r="450" spans="1:31" s="325" customFormat="1" ht="15.6" hidden="1" customHeight="1" x14ac:dyDescent="0.2">
      <c r="A450" s="360" t="s">
        <v>2344</v>
      </c>
      <c r="B450" s="360" t="s">
        <v>511</v>
      </c>
      <c r="C450" s="360"/>
      <c r="D450" s="360" t="s">
        <v>2345</v>
      </c>
      <c r="E450" s="360" t="s">
        <v>1737</v>
      </c>
      <c r="F450" s="360" t="s">
        <v>2346</v>
      </c>
      <c r="G450" s="360" t="s">
        <v>2347</v>
      </c>
      <c r="H450" s="360" t="s">
        <v>2343</v>
      </c>
      <c r="I450" s="360" t="e">
        <f>VLOOKUP(Таблица18[[#This Row],[Номер акта]],$AB$1:$AF$1833,3,FALSE)</f>
        <v>#N/A</v>
      </c>
      <c r="J450" s="360" t="s">
        <v>1185</v>
      </c>
      <c r="K450" s="360" t="s">
        <v>82</v>
      </c>
      <c r="L450" s="363">
        <v>34180</v>
      </c>
      <c r="M450" s="363">
        <v>16300</v>
      </c>
      <c r="N450" s="121"/>
      <c r="O450" s="363">
        <v>17880</v>
      </c>
      <c r="P450" s="363">
        <v>17880</v>
      </c>
      <c r="Q450" s="121">
        <v>2023</v>
      </c>
      <c r="R450" s="121"/>
      <c r="S450" s="148">
        <v>45115</v>
      </c>
      <c r="T450" s="363">
        <f>Таблица18[[#This Row],[Вес нетто]]-Таблица18[[#This Row],[Зачетный вес]]</f>
        <v>0</v>
      </c>
      <c r="U450" s="365">
        <f>Таблица18[[#This Row],[Отход]]/Таблица18[[#This Row],[Вес нетто]]</f>
        <v>0</v>
      </c>
      <c r="V450" s="121">
        <f>MONTH(Таблица18[[#This Row],[Дата акта]])</f>
        <v>7</v>
      </c>
      <c r="W450" s="121">
        <v>8</v>
      </c>
      <c r="X450" s="148">
        <f>DATE(1900,Таблица18[[#This Row],[Месяц]],Таблица18[[#This Row],[Число]])</f>
        <v>190</v>
      </c>
      <c r="Y450" s="121"/>
      <c r="Z450" s="121" t="str">
        <f>Таблица18[[#This Row],[Хар-ка]]</f>
        <v>высший</v>
      </c>
      <c r="AD450" s="459"/>
      <c r="AE450" s="391"/>
    </row>
    <row r="451" spans="1:31" s="325" customFormat="1" ht="15.6" hidden="1" customHeight="1" x14ac:dyDescent="0.2">
      <c r="A451" s="360" t="s">
        <v>2348</v>
      </c>
      <c r="B451" s="360" t="s">
        <v>511</v>
      </c>
      <c r="C451" s="360"/>
      <c r="D451" s="360" t="s">
        <v>2349</v>
      </c>
      <c r="E451" s="360" t="s">
        <v>1737</v>
      </c>
      <c r="F451" s="360" t="s">
        <v>2350</v>
      </c>
      <c r="G451" s="360" t="s">
        <v>2351</v>
      </c>
      <c r="H451" s="360" t="s">
        <v>2343</v>
      </c>
      <c r="I451" s="360" t="e">
        <f>VLOOKUP(Таблица18[[#This Row],[Номер акта]],$AB$1:$AF$1833,3,FALSE)</f>
        <v>#N/A</v>
      </c>
      <c r="J451" s="360" t="s">
        <v>1185</v>
      </c>
      <c r="K451" s="360" t="s">
        <v>82</v>
      </c>
      <c r="L451" s="363">
        <v>33600</v>
      </c>
      <c r="M451" s="363">
        <v>15500</v>
      </c>
      <c r="N451" s="121"/>
      <c r="O451" s="363">
        <v>18100</v>
      </c>
      <c r="P451" s="363">
        <v>18100</v>
      </c>
      <c r="Q451" s="121">
        <v>2023</v>
      </c>
      <c r="R451" s="121"/>
      <c r="S451" s="148">
        <v>45115</v>
      </c>
      <c r="T451" s="363">
        <f>Таблица18[[#This Row],[Вес нетто]]-Таблица18[[#This Row],[Зачетный вес]]</f>
        <v>0</v>
      </c>
      <c r="U451" s="365">
        <f>Таблица18[[#This Row],[Отход]]/Таблица18[[#This Row],[Вес нетто]]</f>
        <v>0</v>
      </c>
      <c r="V451" s="121">
        <f>MONTH(Таблица18[[#This Row],[Дата акта]])</f>
        <v>7</v>
      </c>
      <c r="W451" s="121">
        <v>8</v>
      </c>
      <c r="X451" s="148">
        <f>DATE(1900,Таблица18[[#This Row],[Месяц]],Таблица18[[#This Row],[Число]])</f>
        <v>190</v>
      </c>
      <c r="Y451" s="121"/>
      <c r="Z451" s="121" t="str">
        <f>Таблица18[[#This Row],[Хар-ка]]</f>
        <v>высший</v>
      </c>
      <c r="AD451" s="459"/>
      <c r="AE451" s="391"/>
    </row>
    <row r="452" spans="1:31" s="325" customFormat="1" ht="15.6" hidden="1" customHeight="1" x14ac:dyDescent="0.2">
      <c r="A452" s="360" t="s">
        <v>2352</v>
      </c>
      <c r="B452" s="360" t="s">
        <v>511</v>
      </c>
      <c r="C452" s="360"/>
      <c r="D452" s="360" t="s">
        <v>2353</v>
      </c>
      <c r="E452" s="360" t="s">
        <v>1737</v>
      </c>
      <c r="F452" s="360" t="s">
        <v>2350</v>
      </c>
      <c r="G452" s="360" t="s">
        <v>2354</v>
      </c>
      <c r="H452" s="360" t="s">
        <v>2343</v>
      </c>
      <c r="I452" s="360" t="e">
        <f>VLOOKUP(Таблица18[[#This Row],[Номер акта]],$AB$1:$AF$1833,3,FALSE)</f>
        <v>#N/A</v>
      </c>
      <c r="J452" s="360" t="s">
        <v>1185</v>
      </c>
      <c r="K452" s="360" t="s">
        <v>82</v>
      </c>
      <c r="L452" s="363">
        <v>33200</v>
      </c>
      <c r="M452" s="363">
        <v>15340</v>
      </c>
      <c r="N452" s="121"/>
      <c r="O452" s="363">
        <v>17860</v>
      </c>
      <c r="P452" s="363">
        <v>17860</v>
      </c>
      <c r="Q452" s="121">
        <v>2023</v>
      </c>
      <c r="R452" s="121"/>
      <c r="S452" s="148">
        <v>45116</v>
      </c>
      <c r="T452" s="363">
        <f>Таблица18[[#This Row],[Вес нетто]]-Таблица18[[#This Row],[Зачетный вес]]</f>
        <v>0</v>
      </c>
      <c r="U452" s="365">
        <f>Таблица18[[#This Row],[Отход]]/Таблица18[[#This Row],[Вес нетто]]</f>
        <v>0</v>
      </c>
      <c r="V452" s="121">
        <f>MONTH(Таблица18[[#This Row],[Дата акта]])</f>
        <v>7</v>
      </c>
      <c r="W452" s="121">
        <v>9</v>
      </c>
      <c r="X452" s="148">
        <f>DATE(1900,Таблица18[[#This Row],[Месяц]],Таблица18[[#This Row],[Число]])</f>
        <v>191</v>
      </c>
      <c r="Y452" s="121"/>
      <c r="Z452" s="121" t="str">
        <f>Таблица18[[#This Row],[Хар-ка]]</f>
        <v>высший</v>
      </c>
      <c r="AD452" s="459"/>
      <c r="AE452" s="391"/>
    </row>
    <row r="453" spans="1:31" s="325" customFormat="1" ht="15.6" hidden="1" customHeight="1" x14ac:dyDescent="0.2">
      <c r="A453" s="360" t="s">
        <v>2355</v>
      </c>
      <c r="B453" s="360" t="s">
        <v>511</v>
      </c>
      <c r="C453" s="360"/>
      <c r="D453" s="360" t="s">
        <v>2356</v>
      </c>
      <c r="E453" s="360" t="s">
        <v>1737</v>
      </c>
      <c r="F453" s="360" t="s">
        <v>2341</v>
      </c>
      <c r="G453" s="360" t="s">
        <v>2342</v>
      </c>
      <c r="H453" s="360" t="s">
        <v>2343</v>
      </c>
      <c r="I453" s="360" t="e">
        <f>VLOOKUP(Таблица18[[#This Row],[Номер акта]],$AB$1:$AF$1833,3,FALSE)</f>
        <v>#N/A</v>
      </c>
      <c r="J453" s="360" t="s">
        <v>1185</v>
      </c>
      <c r="K453" s="360" t="s">
        <v>82</v>
      </c>
      <c r="L453" s="363">
        <v>32820</v>
      </c>
      <c r="M453" s="363">
        <v>15000</v>
      </c>
      <c r="N453" s="121"/>
      <c r="O453" s="363">
        <v>17820</v>
      </c>
      <c r="P453" s="363">
        <v>17820</v>
      </c>
      <c r="Q453" s="121">
        <v>2023</v>
      </c>
      <c r="R453" s="121"/>
      <c r="S453" s="148">
        <v>45116</v>
      </c>
      <c r="T453" s="363">
        <f>Таблица18[[#This Row],[Вес нетто]]-Таблица18[[#This Row],[Зачетный вес]]</f>
        <v>0</v>
      </c>
      <c r="U453" s="365">
        <f>Таблица18[[#This Row],[Отход]]/Таблица18[[#This Row],[Вес нетто]]</f>
        <v>0</v>
      </c>
      <c r="V453" s="121">
        <f>MONTH(Таблица18[[#This Row],[Дата акта]])</f>
        <v>7</v>
      </c>
      <c r="W453" s="121">
        <v>9</v>
      </c>
      <c r="X453" s="148">
        <f>DATE(1900,Таблица18[[#This Row],[Месяц]],Таблица18[[#This Row],[Число]])</f>
        <v>191</v>
      </c>
      <c r="Y453" s="121"/>
      <c r="Z453" s="121" t="str">
        <f>Таблица18[[#This Row],[Хар-ка]]</f>
        <v>высший</v>
      </c>
      <c r="AD453" s="459"/>
      <c r="AE453" s="391"/>
    </row>
    <row r="454" spans="1:31" s="325" customFormat="1" ht="15.6" hidden="1" customHeight="1" x14ac:dyDescent="0.2">
      <c r="A454" s="360" t="s">
        <v>2357</v>
      </c>
      <c r="B454" s="360" t="s">
        <v>511</v>
      </c>
      <c r="C454" s="360"/>
      <c r="D454" s="360" t="s">
        <v>2358</v>
      </c>
      <c r="E454" s="360" t="s">
        <v>1736</v>
      </c>
      <c r="F454" s="360" t="s">
        <v>2346</v>
      </c>
      <c r="G454" s="360" t="s">
        <v>2359</v>
      </c>
      <c r="H454" s="362">
        <v>7</v>
      </c>
      <c r="I454" s="362" t="e">
        <f>VLOOKUP(Таблица18[[#This Row],[Номер акта]],$AB$1:$AF$1833,3,FALSE)</f>
        <v>#N/A</v>
      </c>
      <c r="J454" s="360" t="s">
        <v>1185</v>
      </c>
      <c r="K454" s="360" t="s">
        <v>82</v>
      </c>
      <c r="L454" s="363">
        <v>31600</v>
      </c>
      <c r="M454" s="363">
        <v>16140</v>
      </c>
      <c r="N454" s="121"/>
      <c r="O454" s="363">
        <v>15460</v>
      </c>
      <c r="P454" s="363">
        <v>15460</v>
      </c>
      <c r="Q454" s="121">
        <v>2023</v>
      </c>
      <c r="R454" s="121"/>
      <c r="S454" s="148">
        <v>45116</v>
      </c>
      <c r="T454" s="363">
        <f>Таблица18[[#This Row],[Вес нетто]]-Таблица18[[#This Row],[Зачетный вес]]</f>
        <v>0</v>
      </c>
      <c r="U454" s="365">
        <f>Таблица18[[#This Row],[Отход]]/Таблица18[[#This Row],[Вес нетто]]</f>
        <v>0</v>
      </c>
      <c r="V454" s="121">
        <f>MONTH(Таблица18[[#This Row],[Дата акта]])</f>
        <v>7</v>
      </c>
      <c r="W454" s="121">
        <v>9</v>
      </c>
      <c r="X454" s="148">
        <f>DATE(1900,Таблица18[[#This Row],[Месяц]],Таблица18[[#This Row],[Число]])</f>
        <v>191</v>
      </c>
      <c r="Y454" s="121"/>
      <c r="Z454" s="121" t="str">
        <f>Таблица18[[#This Row],[Хар-ка]]</f>
        <v>высший</v>
      </c>
      <c r="AD454" s="459"/>
      <c r="AE454" s="391"/>
    </row>
    <row r="455" spans="1:31" s="325" customFormat="1" ht="15.6" hidden="1" customHeight="1" x14ac:dyDescent="0.2">
      <c r="A455" s="360" t="s">
        <v>2360</v>
      </c>
      <c r="B455" s="360" t="s">
        <v>511</v>
      </c>
      <c r="C455" s="360"/>
      <c r="D455" s="360" t="s">
        <v>2361</v>
      </c>
      <c r="E455" s="360" t="s">
        <v>1737</v>
      </c>
      <c r="F455" s="360" t="s">
        <v>311</v>
      </c>
      <c r="G455" s="362">
        <v>400</v>
      </c>
      <c r="H455" s="360" t="s">
        <v>2309</v>
      </c>
      <c r="I455" s="360" t="e">
        <f>VLOOKUP(Таблица18[[#This Row],[Номер акта]],$AB$1:$AF$1833,3,FALSE)</f>
        <v>#N/A</v>
      </c>
      <c r="J455" s="360" t="s">
        <v>1185</v>
      </c>
      <c r="K455" s="360" t="s">
        <v>82</v>
      </c>
      <c r="L455" s="363">
        <v>31100</v>
      </c>
      <c r="M455" s="363">
        <v>15160</v>
      </c>
      <c r="N455" s="364">
        <v>11.7</v>
      </c>
      <c r="O455" s="363">
        <v>15940</v>
      </c>
      <c r="P455" s="363">
        <v>14078</v>
      </c>
      <c r="Q455" s="121">
        <v>2023</v>
      </c>
      <c r="R455" s="121"/>
      <c r="S455" s="148">
        <v>45113</v>
      </c>
      <c r="T455" s="363">
        <f>Таблица18[[#This Row],[Вес нетто]]-Таблица18[[#This Row],[Зачетный вес]]</f>
        <v>1862</v>
      </c>
      <c r="U455" s="365">
        <f>Таблица18[[#This Row],[Отход]]/Таблица18[[#This Row],[Вес нетто]]</f>
        <v>0.11681304893350063</v>
      </c>
      <c r="V455" s="121">
        <f>MONTH(Таблица18[[#This Row],[Дата акта]])</f>
        <v>7</v>
      </c>
      <c r="W455" s="121">
        <v>6</v>
      </c>
      <c r="X455" s="148">
        <f>DATE(1900,Таблица18[[#This Row],[Месяц]],Таблица18[[#This Row],[Число]])</f>
        <v>188</v>
      </c>
      <c r="Y455" s="121"/>
      <c r="Z455" s="121" t="str">
        <f>Таблица18[[#This Row],[Хар-ка]]</f>
        <v>высший</v>
      </c>
      <c r="AD455" s="459"/>
      <c r="AE455" s="391"/>
    </row>
    <row r="456" spans="1:31" s="325" customFormat="1" ht="15.6" hidden="1" customHeight="1" x14ac:dyDescent="0.2">
      <c r="A456" s="360" t="s">
        <v>2362</v>
      </c>
      <c r="B456" s="360" t="s">
        <v>511</v>
      </c>
      <c r="C456" s="360"/>
      <c r="D456" s="360" t="s">
        <v>2363</v>
      </c>
      <c r="E456" s="360" t="s">
        <v>1737</v>
      </c>
      <c r="F456" s="360" t="s">
        <v>1906</v>
      </c>
      <c r="G456" s="362">
        <v>317</v>
      </c>
      <c r="H456" s="360" t="s">
        <v>2309</v>
      </c>
      <c r="I456" s="360" t="e">
        <f>VLOOKUP(Таблица18[[#This Row],[Номер акта]],$AB$1:$AF$1833,3,FALSE)</f>
        <v>#N/A</v>
      </c>
      <c r="J456" s="360" t="s">
        <v>1185</v>
      </c>
      <c r="K456" s="360" t="s">
        <v>82</v>
      </c>
      <c r="L456" s="363">
        <v>30760</v>
      </c>
      <c r="M456" s="363">
        <v>14940</v>
      </c>
      <c r="N456" s="364">
        <v>13.5</v>
      </c>
      <c r="O456" s="363">
        <v>15820</v>
      </c>
      <c r="P456" s="363">
        <v>13686</v>
      </c>
      <c r="Q456" s="121">
        <v>2023</v>
      </c>
      <c r="R456" s="121"/>
      <c r="S456" s="148">
        <v>45113</v>
      </c>
      <c r="T456" s="363">
        <f>Таблица18[[#This Row],[Вес нетто]]-Таблица18[[#This Row],[Зачетный вес]]</f>
        <v>2134</v>
      </c>
      <c r="U456" s="365">
        <f>Таблица18[[#This Row],[Отход]]/Таблица18[[#This Row],[Вес нетто]]</f>
        <v>0.13489254108723137</v>
      </c>
      <c r="V456" s="121">
        <f>MONTH(Таблица18[[#This Row],[Дата акта]])</f>
        <v>7</v>
      </c>
      <c r="W456" s="121">
        <v>6</v>
      </c>
      <c r="X456" s="148">
        <f>DATE(1900,Таблица18[[#This Row],[Месяц]],Таблица18[[#This Row],[Число]])</f>
        <v>188</v>
      </c>
      <c r="Y456" s="121"/>
      <c r="Z456" s="121" t="str">
        <f>Таблица18[[#This Row],[Хар-ка]]</f>
        <v>высший</v>
      </c>
      <c r="AD456" s="459"/>
      <c r="AE456" s="391"/>
    </row>
    <row r="457" spans="1:31" s="325" customFormat="1" ht="15.6" hidden="1" customHeight="1" x14ac:dyDescent="0.2">
      <c r="A457" s="360" t="s">
        <v>2364</v>
      </c>
      <c r="B457" s="360" t="s">
        <v>511</v>
      </c>
      <c r="C457" s="360"/>
      <c r="D457" s="360" t="s">
        <v>2365</v>
      </c>
      <c r="E457" s="360" t="s">
        <v>1737</v>
      </c>
      <c r="F457" s="360" t="s">
        <v>2150</v>
      </c>
      <c r="G457" s="362">
        <v>317</v>
      </c>
      <c r="H457" s="360" t="s">
        <v>2309</v>
      </c>
      <c r="I457" s="360" t="e">
        <f>VLOOKUP(Таблица18[[#This Row],[Номер акта]],$AB$1:$AF$1833,3,FALSE)</f>
        <v>#N/A</v>
      </c>
      <c r="J457" s="360" t="s">
        <v>1185</v>
      </c>
      <c r="K457" s="360" t="s">
        <v>82</v>
      </c>
      <c r="L457" s="363">
        <v>31380</v>
      </c>
      <c r="M457" s="363">
        <v>15460</v>
      </c>
      <c r="N457" s="364">
        <v>13.3</v>
      </c>
      <c r="O457" s="363">
        <v>15920</v>
      </c>
      <c r="P457" s="363">
        <v>13809</v>
      </c>
      <c r="Q457" s="121">
        <v>2023</v>
      </c>
      <c r="R457" s="121"/>
      <c r="S457" s="148">
        <v>45113</v>
      </c>
      <c r="T457" s="363">
        <f>Таблица18[[#This Row],[Вес нетто]]-Таблица18[[#This Row],[Зачетный вес]]</f>
        <v>2111</v>
      </c>
      <c r="U457" s="365">
        <f>Таблица18[[#This Row],[Отход]]/Таблица18[[#This Row],[Вес нетто]]</f>
        <v>0.13260050251256281</v>
      </c>
      <c r="V457" s="121">
        <f>MONTH(Таблица18[[#This Row],[Дата акта]])</f>
        <v>7</v>
      </c>
      <c r="W457" s="121">
        <v>6</v>
      </c>
      <c r="X457" s="148">
        <f>DATE(1900,Таблица18[[#This Row],[Месяц]],Таблица18[[#This Row],[Число]])</f>
        <v>188</v>
      </c>
      <c r="Y457" s="121"/>
      <c r="Z457" s="121" t="str">
        <f>Таблица18[[#This Row],[Хар-ка]]</f>
        <v>высший</v>
      </c>
      <c r="AD457" s="459"/>
      <c r="AE457" s="391"/>
    </row>
    <row r="458" spans="1:31" s="325" customFormat="1" ht="15.6" hidden="1" customHeight="1" x14ac:dyDescent="0.2">
      <c r="A458" s="360" t="s">
        <v>2366</v>
      </c>
      <c r="B458" s="360" t="s">
        <v>511</v>
      </c>
      <c r="C458" s="360"/>
      <c r="D458" s="360" t="s">
        <v>2367</v>
      </c>
      <c r="E458" s="360" t="s">
        <v>1737</v>
      </c>
      <c r="F458" s="360" t="s">
        <v>2368</v>
      </c>
      <c r="G458" s="360" t="s">
        <v>2369</v>
      </c>
      <c r="H458" s="360" t="s">
        <v>2309</v>
      </c>
      <c r="I458" s="360" t="e">
        <f>VLOOKUP(Таблица18[[#This Row],[Номер акта]],$AB$1:$AF$1833,3,FALSE)</f>
        <v>#N/A</v>
      </c>
      <c r="J458" s="360" t="s">
        <v>1185</v>
      </c>
      <c r="K458" s="360" t="s">
        <v>82</v>
      </c>
      <c r="L458" s="363">
        <v>30880</v>
      </c>
      <c r="M458" s="363">
        <v>13900</v>
      </c>
      <c r="N458" s="121"/>
      <c r="O458" s="363">
        <v>16980</v>
      </c>
      <c r="P458" s="363">
        <v>16980</v>
      </c>
      <c r="Q458" s="121">
        <v>2023</v>
      </c>
      <c r="R458" s="121"/>
      <c r="S458" s="148">
        <v>45113</v>
      </c>
      <c r="T458" s="363">
        <f>Таблица18[[#This Row],[Вес нетто]]-Таблица18[[#This Row],[Зачетный вес]]</f>
        <v>0</v>
      </c>
      <c r="U458" s="365">
        <f>Таблица18[[#This Row],[Отход]]/Таблица18[[#This Row],[Вес нетто]]</f>
        <v>0</v>
      </c>
      <c r="V458" s="121">
        <f>MONTH(Таблица18[[#This Row],[Дата акта]])</f>
        <v>7</v>
      </c>
      <c r="W458" s="121">
        <v>6</v>
      </c>
      <c r="X458" s="148">
        <f>DATE(1900,Таблица18[[#This Row],[Месяц]],Таблица18[[#This Row],[Число]])</f>
        <v>188</v>
      </c>
      <c r="Y458" s="121"/>
      <c r="Z458" s="121" t="str">
        <f>Таблица18[[#This Row],[Хар-ка]]</f>
        <v>высший</v>
      </c>
      <c r="AD458" s="459"/>
      <c r="AE458" s="391"/>
    </row>
    <row r="459" spans="1:31" s="325" customFormat="1" ht="15.6" hidden="1" customHeight="1" x14ac:dyDescent="0.2">
      <c r="A459" s="360" t="s">
        <v>2370</v>
      </c>
      <c r="B459" s="360" t="s">
        <v>511</v>
      </c>
      <c r="C459" s="360"/>
      <c r="D459" s="360" t="s">
        <v>2371</v>
      </c>
      <c r="E459" s="360" t="s">
        <v>1737</v>
      </c>
      <c r="F459" s="360" t="s">
        <v>2158</v>
      </c>
      <c r="G459" s="362">
        <v>688</v>
      </c>
      <c r="H459" s="360" t="s">
        <v>2309</v>
      </c>
      <c r="I459" s="360" t="e">
        <f>VLOOKUP(Таблица18[[#This Row],[Номер акта]],$AB$1:$AF$1833,3,FALSE)</f>
        <v>#N/A</v>
      </c>
      <c r="J459" s="360" t="s">
        <v>2372</v>
      </c>
      <c r="K459" s="360" t="s">
        <v>82</v>
      </c>
      <c r="L459" s="363">
        <v>33400</v>
      </c>
      <c r="M459" s="363">
        <v>17520</v>
      </c>
      <c r="N459" s="364">
        <v>12.3</v>
      </c>
      <c r="O459" s="363">
        <v>15880</v>
      </c>
      <c r="P459" s="363">
        <v>13934</v>
      </c>
      <c r="Q459" s="121">
        <v>2023</v>
      </c>
      <c r="R459" s="121"/>
      <c r="S459" s="148">
        <v>45114</v>
      </c>
      <c r="T459" s="363">
        <f>Таблица18[[#This Row],[Вес нетто]]-Таблица18[[#This Row],[Зачетный вес]]</f>
        <v>1946</v>
      </c>
      <c r="U459" s="365">
        <f>Таблица18[[#This Row],[Отход]]/Таблица18[[#This Row],[Вес нетто]]</f>
        <v>0.12254408060453401</v>
      </c>
      <c r="V459" s="121">
        <f>MONTH(Таблица18[[#This Row],[Дата акта]])</f>
        <v>7</v>
      </c>
      <c r="W459" s="121">
        <v>7</v>
      </c>
      <c r="X459" s="148">
        <f>DATE(1900,Таблица18[[#This Row],[Месяц]],Таблица18[[#This Row],[Число]])</f>
        <v>189</v>
      </c>
      <c r="Y459" s="121"/>
      <c r="Z459" s="121" t="str">
        <f>Таблица18[[#This Row],[Хар-ка]]</f>
        <v>высший</v>
      </c>
      <c r="AD459" s="459"/>
      <c r="AE459" s="391"/>
    </row>
    <row r="460" spans="1:31" s="325" customFormat="1" ht="15.6" hidden="1" customHeight="1" x14ac:dyDescent="0.2">
      <c r="A460" s="360" t="s">
        <v>2373</v>
      </c>
      <c r="B460" s="360" t="s">
        <v>511</v>
      </c>
      <c r="C460" s="360"/>
      <c r="D460" s="360" t="s">
        <v>2374</v>
      </c>
      <c r="E460" s="360" t="s">
        <v>1737</v>
      </c>
      <c r="F460" s="360" t="s">
        <v>283</v>
      </c>
      <c r="G460" s="360" t="s">
        <v>2375</v>
      </c>
      <c r="H460" s="360" t="s">
        <v>2309</v>
      </c>
      <c r="I460" s="360" t="e">
        <f>VLOOKUP(Таблица18[[#This Row],[Номер акта]],$AB$1:$AF$1833,3,FALSE)</f>
        <v>#N/A</v>
      </c>
      <c r="J460" s="360" t="s">
        <v>2372</v>
      </c>
      <c r="K460" s="360" t="s">
        <v>82</v>
      </c>
      <c r="L460" s="363">
        <v>34260</v>
      </c>
      <c r="M460" s="363">
        <v>17720</v>
      </c>
      <c r="N460" s="364">
        <v>5.9</v>
      </c>
      <c r="O460" s="363">
        <v>16540</v>
      </c>
      <c r="P460" s="363">
        <v>15564</v>
      </c>
      <c r="Q460" s="121">
        <v>2023</v>
      </c>
      <c r="R460" s="121"/>
      <c r="S460" s="148">
        <v>45114</v>
      </c>
      <c r="T460" s="363">
        <f>Таблица18[[#This Row],[Вес нетто]]-Таблица18[[#This Row],[Зачетный вес]]</f>
        <v>976</v>
      </c>
      <c r="U460" s="365">
        <f>Таблица18[[#This Row],[Отход]]/Таблица18[[#This Row],[Вес нетто]]</f>
        <v>5.900846432889964E-2</v>
      </c>
      <c r="V460" s="121">
        <f>MONTH(Таблица18[[#This Row],[Дата акта]])</f>
        <v>7</v>
      </c>
      <c r="W460" s="121">
        <v>7</v>
      </c>
      <c r="X460" s="148">
        <f>DATE(1900,Таблица18[[#This Row],[Месяц]],Таблица18[[#This Row],[Число]])</f>
        <v>189</v>
      </c>
      <c r="Y460" s="121"/>
      <c r="Z460" s="121" t="str">
        <f>Таблица18[[#This Row],[Хар-ка]]</f>
        <v>высший</v>
      </c>
      <c r="AD460" s="459"/>
      <c r="AE460" s="391"/>
    </row>
    <row r="461" spans="1:31" s="325" customFormat="1" ht="15.6" hidden="1" customHeight="1" x14ac:dyDescent="0.2">
      <c r="A461" s="360" t="s">
        <v>2376</v>
      </c>
      <c r="B461" s="360" t="s">
        <v>833</v>
      </c>
      <c r="C461" s="360"/>
      <c r="D461" s="360" t="s">
        <v>2377</v>
      </c>
      <c r="E461" s="360" t="s">
        <v>1737</v>
      </c>
      <c r="F461" s="360" t="s">
        <v>2341</v>
      </c>
      <c r="G461" s="360" t="s">
        <v>2378</v>
      </c>
      <c r="H461" s="360" t="s">
        <v>2249</v>
      </c>
      <c r="I461" s="360" t="e">
        <f>VLOOKUP(Таблица18[[#This Row],[Номер акта]],$AB$1:$AF$1833,3,FALSE)</f>
        <v>#N/A</v>
      </c>
      <c r="J461" s="360" t="s">
        <v>1760</v>
      </c>
      <c r="K461" s="360" t="s">
        <v>82</v>
      </c>
      <c r="L461" s="363">
        <v>30880</v>
      </c>
      <c r="M461" s="363">
        <v>15060</v>
      </c>
      <c r="N461" s="121"/>
      <c r="O461" s="363">
        <v>15820</v>
      </c>
      <c r="P461" s="363">
        <v>15820</v>
      </c>
      <c r="Q461" s="121">
        <v>2023</v>
      </c>
      <c r="R461" s="121"/>
      <c r="S461" s="148">
        <v>45109</v>
      </c>
      <c r="T461" s="363">
        <f>Таблица18[[#This Row],[Вес нетто]]-Таблица18[[#This Row],[Зачетный вес]]</f>
        <v>0</v>
      </c>
      <c r="U461" s="365">
        <f>Таблица18[[#This Row],[Отход]]/Таблица18[[#This Row],[Вес нетто]]</f>
        <v>0</v>
      </c>
      <c r="V461" s="121">
        <f>MONTH(Таблица18[[#This Row],[Дата акта]])</f>
        <v>7</v>
      </c>
      <c r="W461" s="121">
        <v>2</v>
      </c>
      <c r="X461" s="148">
        <f>DATE(1900,Таблица18[[#This Row],[Месяц]],Таблица18[[#This Row],[Число]])</f>
        <v>184</v>
      </c>
      <c r="Y461" s="121"/>
      <c r="Z461" s="121" t="str">
        <f>Таблица18[[#This Row],[Хар-ка]]</f>
        <v>второй</v>
      </c>
      <c r="AD461" s="459"/>
      <c r="AE461" s="391"/>
    </row>
    <row r="462" spans="1:31" s="325" customFormat="1" ht="15.6" hidden="1" customHeight="1" x14ac:dyDescent="0.2">
      <c r="A462" s="360" t="s">
        <v>2379</v>
      </c>
      <c r="B462" s="360" t="s">
        <v>833</v>
      </c>
      <c r="C462" s="360"/>
      <c r="D462" s="360" t="s">
        <v>2380</v>
      </c>
      <c r="E462" s="360" t="s">
        <v>1737</v>
      </c>
      <c r="F462" s="360" t="s">
        <v>2346</v>
      </c>
      <c r="G462" s="360" t="s">
        <v>2378</v>
      </c>
      <c r="H462" s="360" t="s">
        <v>2249</v>
      </c>
      <c r="I462" s="360" t="e">
        <f>VLOOKUP(Таблица18[[#This Row],[Номер акта]],$AB$1:$AF$1833,3,FALSE)</f>
        <v>#N/A</v>
      </c>
      <c r="J462" s="360" t="s">
        <v>1760</v>
      </c>
      <c r="K462" s="360" t="s">
        <v>82</v>
      </c>
      <c r="L462" s="363">
        <v>32420</v>
      </c>
      <c r="M462" s="363">
        <v>16780</v>
      </c>
      <c r="N462" s="121"/>
      <c r="O462" s="363">
        <v>15640</v>
      </c>
      <c r="P462" s="363">
        <v>15640</v>
      </c>
      <c r="Q462" s="121">
        <v>2023</v>
      </c>
      <c r="R462" s="121"/>
      <c r="S462" s="148">
        <v>45109</v>
      </c>
      <c r="T462" s="363">
        <f>Таблица18[[#This Row],[Вес нетто]]-Таблица18[[#This Row],[Зачетный вес]]</f>
        <v>0</v>
      </c>
      <c r="U462" s="365">
        <f>Таблица18[[#This Row],[Отход]]/Таблица18[[#This Row],[Вес нетто]]</f>
        <v>0</v>
      </c>
      <c r="V462" s="121">
        <f>MONTH(Таблица18[[#This Row],[Дата акта]])</f>
        <v>7</v>
      </c>
      <c r="W462" s="121">
        <v>2</v>
      </c>
      <c r="X462" s="148">
        <f>DATE(1900,Таблица18[[#This Row],[Месяц]],Таблица18[[#This Row],[Число]])</f>
        <v>184</v>
      </c>
      <c r="Y462" s="121"/>
      <c r="Z462" s="121" t="str">
        <f>Таблица18[[#This Row],[Хар-ка]]</f>
        <v>второй</v>
      </c>
      <c r="AD462" s="459"/>
      <c r="AE462" s="391"/>
    </row>
    <row r="463" spans="1:31" s="325" customFormat="1" ht="15.6" hidden="1" customHeight="1" x14ac:dyDescent="0.2">
      <c r="A463" s="360" t="s">
        <v>2381</v>
      </c>
      <c r="B463" s="360" t="s">
        <v>833</v>
      </c>
      <c r="C463" s="360"/>
      <c r="D463" s="360" t="s">
        <v>2382</v>
      </c>
      <c r="E463" s="360" t="s">
        <v>1737</v>
      </c>
      <c r="F463" s="360" t="s">
        <v>2383</v>
      </c>
      <c r="G463" s="360" t="s">
        <v>2384</v>
      </c>
      <c r="H463" s="360" t="s">
        <v>2249</v>
      </c>
      <c r="I463" s="360" t="e">
        <f>VLOOKUP(Таблица18[[#This Row],[Номер акта]],$AB$1:$AF$1833,3,FALSE)</f>
        <v>#N/A</v>
      </c>
      <c r="J463" s="360" t="s">
        <v>1760</v>
      </c>
      <c r="K463" s="360" t="s">
        <v>82</v>
      </c>
      <c r="L463" s="363">
        <v>30700</v>
      </c>
      <c r="M463" s="363">
        <v>15020</v>
      </c>
      <c r="N463" s="121"/>
      <c r="O463" s="363">
        <v>15680</v>
      </c>
      <c r="P463" s="363">
        <v>15680</v>
      </c>
      <c r="Q463" s="121">
        <v>2023</v>
      </c>
      <c r="R463" s="121"/>
      <c r="S463" s="148">
        <v>45109</v>
      </c>
      <c r="T463" s="363">
        <f>Таблица18[[#This Row],[Вес нетто]]-Таблица18[[#This Row],[Зачетный вес]]</f>
        <v>0</v>
      </c>
      <c r="U463" s="365">
        <f>Таблица18[[#This Row],[Отход]]/Таблица18[[#This Row],[Вес нетто]]</f>
        <v>0</v>
      </c>
      <c r="V463" s="121">
        <f>MONTH(Таблица18[[#This Row],[Дата акта]])</f>
        <v>7</v>
      </c>
      <c r="W463" s="121">
        <v>2</v>
      </c>
      <c r="X463" s="148">
        <f>DATE(1900,Таблица18[[#This Row],[Месяц]],Таблица18[[#This Row],[Число]])</f>
        <v>184</v>
      </c>
      <c r="Y463" s="121"/>
      <c r="Z463" s="121" t="str">
        <f>Таблица18[[#This Row],[Хар-ка]]</f>
        <v>второй</v>
      </c>
      <c r="AD463" s="459"/>
      <c r="AE463" s="391"/>
    </row>
    <row r="464" spans="1:31" s="325" customFormat="1" ht="15.6" hidden="1" customHeight="1" x14ac:dyDescent="0.2">
      <c r="A464" s="360" t="s">
        <v>2385</v>
      </c>
      <c r="B464" s="360" t="s">
        <v>833</v>
      </c>
      <c r="C464" s="360"/>
      <c r="D464" s="360" t="s">
        <v>2386</v>
      </c>
      <c r="E464" s="360" t="s">
        <v>1737</v>
      </c>
      <c r="F464" s="360" t="s">
        <v>2387</v>
      </c>
      <c r="G464" s="360" t="s">
        <v>2388</v>
      </c>
      <c r="H464" s="360" t="s">
        <v>2249</v>
      </c>
      <c r="I464" s="360" t="e">
        <f>VLOOKUP(Таблица18[[#This Row],[Номер акта]],$AB$1:$AF$1833,3,FALSE)</f>
        <v>#N/A</v>
      </c>
      <c r="J464" s="360" t="s">
        <v>1760</v>
      </c>
      <c r="K464" s="360" t="s">
        <v>82</v>
      </c>
      <c r="L464" s="363">
        <v>31060</v>
      </c>
      <c r="M464" s="363">
        <v>15480</v>
      </c>
      <c r="N464" s="121"/>
      <c r="O464" s="363">
        <v>15580</v>
      </c>
      <c r="P464" s="363">
        <v>15580</v>
      </c>
      <c r="Q464" s="121">
        <v>2023</v>
      </c>
      <c r="R464" s="121"/>
      <c r="S464" s="148">
        <v>45109</v>
      </c>
      <c r="T464" s="363">
        <f>Таблица18[[#This Row],[Вес нетто]]-Таблица18[[#This Row],[Зачетный вес]]</f>
        <v>0</v>
      </c>
      <c r="U464" s="365">
        <f>Таблица18[[#This Row],[Отход]]/Таблица18[[#This Row],[Вес нетто]]</f>
        <v>0</v>
      </c>
      <c r="V464" s="121">
        <f>MONTH(Таблица18[[#This Row],[Дата акта]])</f>
        <v>7</v>
      </c>
      <c r="W464" s="121">
        <v>2</v>
      </c>
      <c r="X464" s="148">
        <f>DATE(1900,Таблица18[[#This Row],[Месяц]],Таблица18[[#This Row],[Число]])</f>
        <v>184</v>
      </c>
      <c r="Y464" s="121"/>
      <c r="Z464" s="121" t="str">
        <f>Таблица18[[#This Row],[Хар-ка]]</f>
        <v>второй</v>
      </c>
      <c r="AD464" s="459"/>
      <c r="AE464" s="391"/>
    </row>
    <row r="465" spans="1:31" s="325" customFormat="1" ht="15.6" hidden="1" customHeight="1" x14ac:dyDescent="0.2">
      <c r="A465" s="360" t="s">
        <v>2389</v>
      </c>
      <c r="B465" s="360" t="s">
        <v>833</v>
      </c>
      <c r="C465" s="360"/>
      <c r="D465" s="360" t="s">
        <v>2390</v>
      </c>
      <c r="E465" s="360" t="s">
        <v>1737</v>
      </c>
      <c r="F465" s="360" t="s">
        <v>2391</v>
      </c>
      <c r="G465" s="360" t="s">
        <v>2378</v>
      </c>
      <c r="H465" s="360" t="s">
        <v>2249</v>
      </c>
      <c r="I465" s="360" t="e">
        <f>VLOOKUP(Таблица18[[#This Row],[Номер акта]],$AB$1:$AF$1833,3,FALSE)</f>
        <v>#N/A</v>
      </c>
      <c r="J465" s="360" t="s">
        <v>1760</v>
      </c>
      <c r="K465" s="360" t="s">
        <v>82</v>
      </c>
      <c r="L465" s="363">
        <v>30480</v>
      </c>
      <c r="M465" s="363">
        <v>14940</v>
      </c>
      <c r="N465" s="121"/>
      <c r="O465" s="363">
        <v>15540</v>
      </c>
      <c r="P465" s="363">
        <v>15540</v>
      </c>
      <c r="Q465" s="121">
        <v>2023</v>
      </c>
      <c r="R465" s="121"/>
      <c r="S465" s="148">
        <v>45109</v>
      </c>
      <c r="T465" s="363">
        <f>Таблица18[[#This Row],[Вес нетто]]-Таблица18[[#This Row],[Зачетный вес]]</f>
        <v>0</v>
      </c>
      <c r="U465" s="365">
        <f>Таблица18[[#This Row],[Отход]]/Таблица18[[#This Row],[Вес нетто]]</f>
        <v>0</v>
      </c>
      <c r="V465" s="121">
        <f>MONTH(Таблица18[[#This Row],[Дата акта]])</f>
        <v>7</v>
      </c>
      <c r="W465" s="121">
        <v>2</v>
      </c>
      <c r="X465" s="148">
        <f>DATE(1900,Таблица18[[#This Row],[Месяц]],Таблица18[[#This Row],[Число]])</f>
        <v>184</v>
      </c>
      <c r="Y465" s="121"/>
      <c r="Z465" s="121" t="str">
        <f>Таблица18[[#This Row],[Хар-ка]]</f>
        <v>второй</v>
      </c>
      <c r="AD465" s="459"/>
      <c r="AE465" s="391"/>
    </row>
    <row r="466" spans="1:31" s="325" customFormat="1" ht="15.6" hidden="1" customHeight="1" x14ac:dyDescent="0.2">
      <c r="A466" s="360" t="s">
        <v>2392</v>
      </c>
      <c r="B466" s="360" t="s">
        <v>511</v>
      </c>
      <c r="C466" s="360"/>
      <c r="D466" s="360" t="s">
        <v>2393</v>
      </c>
      <c r="E466" s="360" t="s">
        <v>1737</v>
      </c>
      <c r="F466" s="360" t="s">
        <v>1880</v>
      </c>
      <c r="G466" s="362">
        <v>688</v>
      </c>
      <c r="H466" s="360" t="s">
        <v>2288</v>
      </c>
      <c r="I466" s="360" t="e">
        <f>VLOOKUP(Таблица18[[#This Row],[Номер акта]],$AB$1:$AF$1833,3,FALSE)</f>
        <v>#N/A</v>
      </c>
      <c r="J466" s="360" t="s">
        <v>2268</v>
      </c>
      <c r="K466" s="360" t="s">
        <v>82</v>
      </c>
      <c r="L466" s="363">
        <v>30900</v>
      </c>
      <c r="M466" s="363">
        <v>14660</v>
      </c>
      <c r="N466" s="364">
        <v>12</v>
      </c>
      <c r="O466" s="363">
        <v>16240</v>
      </c>
      <c r="P466" s="363">
        <v>14288</v>
      </c>
      <c r="Q466" s="121">
        <v>2023</v>
      </c>
      <c r="R466" s="121"/>
      <c r="S466" s="148">
        <v>45112</v>
      </c>
      <c r="T466" s="363">
        <f>Таблица18[[#This Row],[Вес нетто]]-Таблица18[[#This Row],[Зачетный вес]]</f>
        <v>1952</v>
      </c>
      <c r="U466" s="365">
        <f>Таблица18[[#This Row],[Отход]]/Таблица18[[#This Row],[Вес нетто]]</f>
        <v>0.12019704433497537</v>
      </c>
      <c r="V466" s="121">
        <f>MONTH(Таблица18[[#This Row],[Дата акта]])</f>
        <v>7</v>
      </c>
      <c r="W466" s="121">
        <v>5</v>
      </c>
      <c r="X466" s="148">
        <f>DATE(1900,Таблица18[[#This Row],[Месяц]],Таблица18[[#This Row],[Число]])</f>
        <v>187</v>
      </c>
      <c r="Y466" s="121"/>
      <c r="Z466" s="121" t="str">
        <f>Таблица18[[#This Row],[Хар-ка]]</f>
        <v>высший</v>
      </c>
      <c r="AD466" s="459"/>
      <c r="AE466" s="391"/>
    </row>
    <row r="467" spans="1:31" s="325" customFormat="1" ht="15.6" hidden="1" customHeight="1" x14ac:dyDescent="0.2">
      <c r="A467" s="360" t="s">
        <v>2394</v>
      </c>
      <c r="B467" s="360" t="s">
        <v>511</v>
      </c>
      <c r="C467" s="360"/>
      <c r="D467" s="360" t="s">
        <v>2395</v>
      </c>
      <c r="E467" s="360" t="s">
        <v>78</v>
      </c>
      <c r="F467" s="360" t="s">
        <v>2396</v>
      </c>
      <c r="G467" s="360" t="s">
        <v>2397</v>
      </c>
      <c r="H467" s="360" t="s">
        <v>1871</v>
      </c>
      <c r="I467" s="360" t="e">
        <f>VLOOKUP(Таблица18[[#This Row],[Номер акта]],$AB$1:$AF$1833,3,FALSE)</f>
        <v>#N/A</v>
      </c>
      <c r="J467" s="360" t="s">
        <v>21</v>
      </c>
      <c r="K467" s="360" t="s">
        <v>82</v>
      </c>
      <c r="L467" s="363">
        <v>23850</v>
      </c>
      <c r="M467" s="363">
        <v>14460</v>
      </c>
      <c r="N467" s="121"/>
      <c r="O467" s="363">
        <v>9390</v>
      </c>
      <c r="P467" s="363">
        <v>9390</v>
      </c>
      <c r="Q467" s="121">
        <v>2023</v>
      </c>
      <c r="R467" s="121"/>
      <c r="S467" s="148">
        <v>45086</v>
      </c>
      <c r="T467" s="363">
        <f>Таблица18[[#This Row],[Вес нетто]]-Таблица18[[#This Row],[Зачетный вес]]</f>
        <v>0</v>
      </c>
      <c r="U467" s="365">
        <f>Таблица18[[#This Row],[Отход]]/Таблица18[[#This Row],[Вес нетто]]</f>
        <v>0</v>
      </c>
      <c r="V467" s="121">
        <f>MONTH(Таблица18[[#This Row],[Дата акта]])</f>
        <v>6</v>
      </c>
      <c r="W467" s="121">
        <v>9</v>
      </c>
      <c r="X467" s="148">
        <f>DATE(1900,Таблица18[[#This Row],[Месяц]],Таблица18[[#This Row],[Число]])</f>
        <v>161</v>
      </c>
      <c r="Y467" s="121"/>
      <c r="Z467" s="121" t="str">
        <f>Таблица18[[#This Row],[Хар-ка]]</f>
        <v>высший</v>
      </c>
      <c r="AD467" s="459"/>
      <c r="AE467" s="391"/>
    </row>
    <row r="468" spans="1:31" s="325" customFormat="1" ht="15.6" hidden="1" customHeight="1" x14ac:dyDescent="0.2">
      <c r="A468" s="360" t="s">
        <v>2398</v>
      </c>
      <c r="B468" s="360" t="s">
        <v>511</v>
      </c>
      <c r="C468" s="360"/>
      <c r="D468" s="360" t="s">
        <v>2399</v>
      </c>
      <c r="E468" s="360" t="s">
        <v>78</v>
      </c>
      <c r="F468" s="360" t="s">
        <v>2400</v>
      </c>
      <c r="G468" s="360" t="s">
        <v>2401</v>
      </c>
      <c r="H468" s="360" t="s">
        <v>1924</v>
      </c>
      <c r="I468" s="360" t="e">
        <f>VLOOKUP(Таблица18[[#This Row],[Номер акта]],$AB$1:$AF$1833,3,FALSE)</f>
        <v>#N/A</v>
      </c>
      <c r="J468" s="360" t="s">
        <v>747</v>
      </c>
      <c r="K468" s="360" t="s">
        <v>82</v>
      </c>
      <c r="L468" s="363">
        <v>35010</v>
      </c>
      <c r="M468" s="363">
        <v>17110</v>
      </c>
      <c r="N468" s="121"/>
      <c r="O468" s="363">
        <v>17900</v>
      </c>
      <c r="P468" s="363">
        <v>17900</v>
      </c>
      <c r="Q468" s="121">
        <v>2023</v>
      </c>
      <c r="R468" s="121"/>
      <c r="S468" s="148">
        <v>45088</v>
      </c>
      <c r="T468" s="363">
        <f>Таблица18[[#This Row],[Вес нетто]]-Таблица18[[#This Row],[Зачетный вес]]</f>
        <v>0</v>
      </c>
      <c r="U468" s="365">
        <f>Таблица18[[#This Row],[Отход]]/Таблица18[[#This Row],[Вес нетто]]</f>
        <v>0</v>
      </c>
      <c r="V468" s="121">
        <f>MONTH(Таблица18[[#This Row],[Дата акта]])</f>
        <v>6</v>
      </c>
      <c r="W468" s="121">
        <v>11</v>
      </c>
      <c r="X468" s="148">
        <f>DATE(1900,Таблица18[[#This Row],[Месяц]],Таблица18[[#This Row],[Число]])</f>
        <v>163</v>
      </c>
      <c r="Y468" s="121"/>
      <c r="Z468" s="121" t="str">
        <f>Таблица18[[#This Row],[Хар-ка]]</f>
        <v>высший</v>
      </c>
      <c r="AD468" s="459"/>
      <c r="AE468" s="391"/>
    </row>
    <row r="469" spans="1:31" s="325" customFormat="1" ht="15.6" hidden="1" customHeight="1" x14ac:dyDescent="0.2">
      <c r="A469" s="360" t="s">
        <v>2402</v>
      </c>
      <c r="B469" s="360" t="s">
        <v>511</v>
      </c>
      <c r="C469" s="360"/>
      <c r="D469" s="360" t="s">
        <v>2403</v>
      </c>
      <c r="E469" s="360" t="s">
        <v>78</v>
      </c>
      <c r="F469" s="360" t="s">
        <v>2404</v>
      </c>
      <c r="G469" s="360" t="s">
        <v>2405</v>
      </c>
      <c r="H469" s="360" t="s">
        <v>1924</v>
      </c>
      <c r="I469" s="360" t="e">
        <f>VLOOKUP(Таблица18[[#This Row],[Номер акта]],$AB$1:$AF$1833,3,FALSE)</f>
        <v>#N/A</v>
      </c>
      <c r="J469" s="360" t="s">
        <v>747</v>
      </c>
      <c r="K469" s="360" t="s">
        <v>82</v>
      </c>
      <c r="L469" s="363">
        <v>35220</v>
      </c>
      <c r="M469" s="363">
        <v>16940</v>
      </c>
      <c r="N469" s="121"/>
      <c r="O469" s="363">
        <v>18280</v>
      </c>
      <c r="P469" s="363">
        <v>18280</v>
      </c>
      <c r="Q469" s="121">
        <v>2023</v>
      </c>
      <c r="R469" s="121"/>
      <c r="S469" s="148">
        <v>45088</v>
      </c>
      <c r="T469" s="363">
        <f>Таблица18[[#This Row],[Вес нетто]]-Таблица18[[#This Row],[Зачетный вес]]</f>
        <v>0</v>
      </c>
      <c r="U469" s="365">
        <f>Таблица18[[#This Row],[Отход]]/Таблица18[[#This Row],[Вес нетто]]</f>
        <v>0</v>
      </c>
      <c r="V469" s="121">
        <f>MONTH(Таблица18[[#This Row],[Дата акта]])</f>
        <v>6</v>
      </c>
      <c r="W469" s="121">
        <v>11</v>
      </c>
      <c r="X469" s="148">
        <f>DATE(1900,Таблица18[[#This Row],[Месяц]],Таблица18[[#This Row],[Число]])</f>
        <v>163</v>
      </c>
      <c r="Y469" s="121"/>
      <c r="Z469" s="121" t="str">
        <f>Таблица18[[#This Row],[Хар-ка]]</f>
        <v>высший</v>
      </c>
      <c r="AD469" s="459"/>
      <c r="AE469" s="391"/>
    </row>
    <row r="470" spans="1:31" s="325" customFormat="1" ht="15.6" hidden="1" customHeight="1" x14ac:dyDescent="0.2">
      <c r="A470" s="360" t="s">
        <v>2406</v>
      </c>
      <c r="B470" s="360" t="s">
        <v>550</v>
      </c>
      <c r="C470" s="360"/>
      <c r="D470" s="360" t="s">
        <v>2407</v>
      </c>
      <c r="E470" s="360" t="s">
        <v>78</v>
      </c>
      <c r="F470" s="360" t="s">
        <v>1880</v>
      </c>
      <c r="G470" s="360" t="s">
        <v>2408</v>
      </c>
      <c r="H470" s="360" t="s">
        <v>1924</v>
      </c>
      <c r="I470" s="360" t="e">
        <f>VLOOKUP(Таблица18[[#This Row],[Номер акта]],$AB$1:$AF$1833,3,FALSE)</f>
        <v>#N/A</v>
      </c>
      <c r="J470" s="360" t="s">
        <v>21</v>
      </c>
      <c r="K470" s="360" t="s">
        <v>82</v>
      </c>
      <c r="L470" s="363">
        <v>27850</v>
      </c>
      <c r="M470" s="363">
        <v>14620</v>
      </c>
      <c r="N470" s="121"/>
      <c r="O470" s="363">
        <v>13230</v>
      </c>
      <c r="P470" s="363">
        <v>13230</v>
      </c>
      <c r="Q470" s="121">
        <v>2023</v>
      </c>
      <c r="R470" s="121"/>
      <c r="S470" s="148">
        <v>45086</v>
      </c>
      <c r="T470" s="363">
        <f>Таблица18[[#This Row],[Вес нетто]]-Таблица18[[#This Row],[Зачетный вес]]</f>
        <v>0</v>
      </c>
      <c r="U470" s="365">
        <f>Таблица18[[#This Row],[Отход]]/Таблица18[[#This Row],[Вес нетто]]</f>
        <v>0</v>
      </c>
      <c r="V470" s="121">
        <f>MONTH(Таблица18[[#This Row],[Дата акта]])</f>
        <v>6</v>
      </c>
      <c r="W470" s="121">
        <v>9</v>
      </c>
      <c r="X470" s="148">
        <f>DATE(1900,Таблица18[[#This Row],[Месяц]],Таблица18[[#This Row],[Число]])</f>
        <v>161</v>
      </c>
      <c r="Y470" s="121"/>
      <c r="Z470" s="121" t="str">
        <f>Таблица18[[#This Row],[Хар-ка]]</f>
        <v>первый</v>
      </c>
      <c r="AD470" s="459"/>
      <c r="AE470" s="391"/>
    </row>
    <row r="471" spans="1:31" s="325" customFormat="1" ht="15.6" hidden="1" customHeight="1" x14ac:dyDescent="0.2">
      <c r="A471" s="360" t="s">
        <v>2409</v>
      </c>
      <c r="B471" s="360" t="s">
        <v>833</v>
      </c>
      <c r="C471" s="360"/>
      <c r="D471" s="360" t="s">
        <v>2410</v>
      </c>
      <c r="E471" s="360" t="s">
        <v>1737</v>
      </c>
      <c r="F471" s="360" t="s">
        <v>2411</v>
      </c>
      <c r="G471" s="360" t="s">
        <v>2354</v>
      </c>
      <c r="H471" s="360" t="s">
        <v>2249</v>
      </c>
      <c r="I471" s="360" t="e">
        <f>VLOOKUP(Таблица18[[#This Row],[Номер акта]],$AB$1:$AF$1833,3,FALSE)</f>
        <v>#N/A</v>
      </c>
      <c r="J471" s="360" t="s">
        <v>1760</v>
      </c>
      <c r="K471" s="360" t="s">
        <v>82</v>
      </c>
      <c r="L471" s="363">
        <v>30960</v>
      </c>
      <c r="M471" s="363">
        <v>15320</v>
      </c>
      <c r="N471" s="121"/>
      <c r="O471" s="363">
        <v>15640</v>
      </c>
      <c r="P471" s="363">
        <v>15640</v>
      </c>
      <c r="Q471" s="121">
        <v>2023</v>
      </c>
      <c r="R471" s="121"/>
      <c r="S471" s="148">
        <v>45109</v>
      </c>
      <c r="T471" s="363">
        <f>Таблица18[[#This Row],[Вес нетто]]-Таблица18[[#This Row],[Зачетный вес]]</f>
        <v>0</v>
      </c>
      <c r="U471" s="365">
        <f>Таблица18[[#This Row],[Отход]]/Таблица18[[#This Row],[Вес нетто]]</f>
        <v>0</v>
      </c>
      <c r="V471" s="121">
        <f>MONTH(Таблица18[[#This Row],[Дата акта]])</f>
        <v>7</v>
      </c>
      <c r="W471" s="121">
        <v>2</v>
      </c>
      <c r="X471" s="148">
        <f>DATE(1900,Таблица18[[#This Row],[Месяц]],Таблица18[[#This Row],[Число]])</f>
        <v>184</v>
      </c>
      <c r="Y471" s="121"/>
      <c r="Z471" s="121" t="str">
        <f>Таблица18[[#This Row],[Хар-ка]]</f>
        <v>второй</v>
      </c>
      <c r="AD471" s="459"/>
      <c r="AE471" s="391"/>
    </row>
    <row r="472" spans="1:31" s="325" customFormat="1" ht="15.6" hidden="1" customHeight="1" x14ac:dyDescent="0.2">
      <c r="A472" s="360" t="s">
        <v>2412</v>
      </c>
      <c r="B472" s="360" t="s">
        <v>833</v>
      </c>
      <c r="C472" s="360"/>
      <c r="D472" s="360" t="s">
        <v>2413</v>
      </c>
      <c r="E472" s="360" t="s">
        <v>1737</v>
      </c>
      <c r="F472" s="360" t="s">
        <v>2414</v>
      </c>
      <c r="G472" s="360" t="s">
        <v>2347</v>
      </c>
      <c r="H472" s="360" t="s">
        <v>2249</v>
      </c>
      <c r="I472" s="360" t="e">
        <f>VLOOKUP(Таблица18[[#This Row],[Номер акта]],$AB$1:$AF$1833,3,FALSE)</f>
        <v>#N/A</v>
      </c>
      <c r="J472" s="360" t="s">
        <v>1760</v>
      </c>
      <c r="K472" s="360" t="s">
        <v>82</v>
      </c>
      <c r="L472" s="363">
        <v>30740</v>
      </c>
      <c r="M472" s="363">
        <v>15140</v>
      </c>
      <c r="N472" s="121"/>
      <c r="O472" s="363">
        <v>15600</v>
      </c>
      <c r="P472" s="363">
        <v>15600</v>
      </c>
      <c r="Q472" s="121">
        <v>2023</v>
      </c>
      <c r="R472" s="121"/>
      <c r="S472" s="148">
        <v>45109</v>
      </c>
      <c r="T472" s="363">
        <f>Таблица18[[#This Row],[Вес нетто]]-Таблица18[[#This Row],[Зачетный вес]]</f>
        <v>0</v>
      </c>
      <c r="U472" s="365">
        <f>Таблица18[[#This Row],[Отход]]/Таблица18[[#This Row],[Вес нетто]]</f>
        <v>0</v>
      </c>
      <c r="V472" s="121">
        <f>MONTH(Таблица18[[#This Row],[Дата акта]])</f>
        <v>7</v>
      </c>
      <c r="W472" s="121">
        <v>2</v>
      </c>
      <c r="X472" s="148">
        <f>DATE(1900,Таблица18[[#This Row],[Месяц]],Таблица18[[#This Row],[Число]])</f>
        <v>184</v>
      </c>
      <c r="Y472" s="121"/>
      <c r="Z472" s="121" t="str">
        <f>Таблица18[[#This Row],[Хар-ка]]</f>
        <v>второй</v>
      </c>
      <c r="AD472" s="459"/>
      <c r="AE472" s="391"/>
    </row>
    <row r="473" spans="1:31" s="325" customFormat="1" ht="15.6" hidden="1" customHeight="1" x14ac:dyDescent="0.2">
      <c r="A473" s="40" t="s">
        <v>2416</v>
      </c>
      <c r="B473" s="360" t="s">
        <v>511</v>
      </c>
      <c r="C473" s="40">
        <v>71</v>
      </c>
      <c r="D473" s="40">
        <v>77687</v>
      </c>
      <c r="E473" s="40" t="s">
        <v>105</v>
      </c>
      <c r="F473" s="40" t="s">
        <v>127</v>
      </c>
      <c r="G473" s="40" t="s">
        <v>131</v>
      </c>
      <c r="H473" s="40" t="s">
        <v>2745</v>
      </c>
      <c r="I473" s="360" t="e">
        <f>VLOOKUP(Таблица18[[#This Row],[Номер акта]],$AB$1:$AF$1833,3,FALSE)</f>
        <v>#N/A</v>
      </c>
      <c r="J473" s="40" t="s">
        <v>21</v>
      </c>
      <c r="K473" s="40" t="s">
        <v>82</v>
      </c>
      <c r="L473" s="121">
        <v>22110</v>
      </c>
      <c r="M473" s="121">
        <v>17530</v>
      </c>
      <c r="N473" s="121">
        <v>29.5</v>
      </c>
      <c r="O473" s="363">
        <v>4580</v>
      </c>
      <c r="P473" s="363">
        <v>3228.9</v>
      </c>
      <c r="Q473" s="121">
        <v>2024</v>
      </c>
      <c r="R473" s="121"/>
      <c r="S473" s="148">
        <v>45429</v>
      </c>
      <c r="T473" s="363">
        <f>Таблица18[[#This Row],[Вес нетто]]-Таблица18[[#This Row],[Зачетный вес]]</f>
        <v>1351.1</v>
      </c>
      <c r="U473" s="365">
        <f>Таблица18[[#This Row],[Отход]]/Таблица18[[#This Row],[Вес нетто]]</f>
        <v>0.29499999999999998</v>
      </c>
      <c r="V473" s="121">
        <f>MONTH(Таблица18[[#This Row],[Дата акта]])</f>
        <v>5</v>
      </c>
      <c r="W473" s="121">
        <v>17</v>
      </c>
      <c r="X473" s="148">
        <f>DATE(1900,Таблица18[[#This Row],[Месяц]],Таблица18[[#This Row],[Число]])</f>
        <v>138</v>
      </c>
      <c r="Y473" s="121"/>
      <c r="Z473" s="121" t="str">
        <f>Таблица18[[#This Row],[Хар-ка]]</f>
        <v>высший</v>
      </c>
      <c r="AD473" s="459"/>
      <c r="AE473" s="391"/>
    </row>
    <row r="474" spans="1:31" s="325" customFormat="1" ht="15.6" hidden="1" customHeight="1" x14ac:dyDescent="0.2">
      <c r="A474" s="40" t="s">
        <v>2417</v>
      </c>
      <c r="B474" s="360" t="s">
        <v>511</v>
      </c>
      <c r="C474" s="40">
        <v>72</v>
      </c>
      <c r="D474" s="40">
        <v>77687</v>
      </c>
      <c r="E474" s="40" t="s">
        <v>105</v>
      </c>
      <c r="F474" s="40" t="s">
        <v>127</v>
      </c>
      <c r="G474" s="40" t="s">
        <v>131</v>
      </c>
      <c r="H474" s="40" t="s">
        <v>2745</v>
      </c>
      <c r="I474" s="360" t="e">
        <f>VLOOKUP(Таблица18[[#This Row],[Номер акта]],$AB$1:$AF$1833,3,FALSE)</f>
        <v>#N/A</v>
      </c>
      <c r="J474" s="40" t="s">
        <v>1753</v>
      </c>
      <c r="K474" s="40" t="s">
        <v>82</v>
      </c>
      <c r="L474" s="121">
        <v>17530</v>
      </c>
      <c r="M474" s="121">
        <v>14180</v>
      </c>
      <c r="N474" s="121">
        <v>54</v>
      </c>
      <c r="O474" s="363">
        <v>3350</v>
      </c>
      <c r="P474" s="363">
        <v>1541</v>
      </c>
      <c r="Q474" s="121">
        <v>2024</v>
      </c>
      <c r="R474" s="121"/>
      <c r="S474" s="148">
        <v>45429</v>
      </c>
      <c r="T474" s="363">
        <f>Таблица18[[#This Row],[Вес нетто]]-Таблица18[[#This Row],[Зачетный вес]]</f>
        <v>1809</v>
      </c>
      <c r="U474" s="365">
        <f>Таблица18[[#This Row],[Отход]]/Таблица18[[#This Row],[Вес нетто]]</f>
        <v>0.54</v>
      </c>
      <c r="V474" s="121">
        <f>MONTH(Таблица18[[#This Row],[Дата акта]])</f>
        <v>5</v>
      </c>
      <c r="W474" s="121">
        <v>17</v>
      </c>
      <c r="X474" s="148">
        <f>DATE(1900,Таблица18[[#This Row],[Месяц]],Таблица18[[#This Row],[Число]])</f>
        <v>138</v>
      </c>
      <c r="Y474" s="121"/>
      <c r="Z474" s="121" t="str">
        <f>Таблица18[[#This Row],[Хар-ка]]</f>
        <v>высший</v>
      </c>
      <c r="AD474" s="459"/>
      <c r="AE474" s="391"/>
    </row>
    <row r="475" spans="1:31" s="325" customFormat="1" ht="15.6" hidden="1" customHeight="1" x14ac:dyDescent="0.2">
      <c r="A475" s="40" t="s">
        <v>2418</v>
      </c>
      <c r="B475" s="360" t="s">
        <v>511</v>
      </c>
      <c r="C475" s="40">
        <v>73</v>
      </c>
      <c r="D475" s="40">
        <v>77688</v>
      </c>
      <c r="E475" s="40" t="s">
        <v>105</v>
      </c>
      <c r="F475" s="40" t="s">
        <v>239</v>
      </c>
      <c r="G475" s="40" t="s">
        <v>243</v>
      </c>
      <c r="H475" s="40" t="s">
        <v>2745</v>
      </c>
      <c r="I475" s="360" t="e">
        <f>VLOOKUP(Таблица18[[#This Row],[Номер акта]],$AB$1:$AF$1833,3,FALSE)</f>
        <v>#N/A</v>
      </c>
      <c r="J475" s="40" t="s">
        <v>21</v>
      </c>
      <c r="K475" s="40" t="s">
        <v>82</v>
      </c>
      <c r="L475" s="121">
        <v>27580</v>
      </c>
      <c r="M475" s="121">
        <v>14430</v>
      </c>
      <c r="N475" s="121">
        <v>50</v>
      </c>
      <c r="O475" s="363">
        <v>13150</v>
      </c>
      <c r="P475" s="363">
        <v>6575</v>
      </c>
      <c r="Q475" s="121">
        <v>2024</v>
      </c>
      <c r="R475" s="121"/>
      <c r="S475" s="148">
        <v>45429</v>
      </c>
      <c r="T475" s="363">
        <f>Таблица18[[#This Row],[Вес нетто]]-Таблица18[[#This Row],[Зачетный вес]]</f>
        <v>6575</v>
      </c>
      <c r="U475" s="365">
        <f>Таблица18[[#This Row],[Отход]]/Таблица18[[#This Row],[Вес нетто]]</f>
        <v>0.5</v>
      </c>
      <c r="V475" s="121">
        <f>MONTH(Таблица18[[#This Row],[Дата акта]])</f>
        <v>5</v>
      </c>
      <c r="W475" s="121">
        <v>17</v>
      </c>
      <c r="X475" s="148">
        <f>DATE(1900,Таблица18[[#This Row],[Месяц]],Таблица18[[#This Row],[Число]])</f>
        <v>138</v>
      </c>
      <c r="Y475" s="121"/>
      <c r="Z475" s="121" t="str">
        <f>Таблица18[[#This Row],[Хар-ка]]</f>
        <v>высший</v>
      </c>
      <c r="AD475" s="459"/>
      <c r="AE475" s="391"/>
    </row>
    <row r="476" spans="1:31" s="325" customFormat="1" ht="15.6" hidden="1" customHeight="1" x14ac:dyDescent="0.2">
      <c r="A476" s="40" t="s">
        <v>2419</v>
      </c>
      <c r="B476" s="360" t="s">
        <v>511</v>
      </c>
      <c r="C476" s="40">
        <v>74</v>
      </c>
      <c r="D476" s="40">
        <v>77689</v>
      </c>
      <c r="E476" s="40" t="s">
        <v>105</v>
      </c>
      <c r="F476" s="40" t="s">
        <v>195</v>
      </c>
      <c r="G476" s="40" t="s">
        <v>199</v>
      </c>
      <c r="H476" s="40" t="s">
        <v>2745</v>
      </c>
      <c r="I476" s="360" t="e">
        <f>VLOOKUP(Таблица18[[#This Row],[Номер акта]],$AB$1:$AF$1833,3,FALSE)</f>
        <v>#N/A</v>
      </c>
      <c r="J476" s="40" t="s">
        <v>21</v>
      </c>
      <c r="K476" s="40" t="s">
        <v>82</v>
      </c>
      <c r="L476" s="121">
        <v>28410</v>
      </c>
      <c r="M476" s="121">
        <v>15150</v>
      </c>
      <c r="N476" s="121">
        <v>43.5</v>
      </c>
      <c r="O476" s="363">
        <v>13260</v>
      </c>
      <c r="P476" s="363">
        <v>7491.9</v>
      </c>
      <c r="Q476" s="121">
        <v>2024</v>
      </c>
      <c r="R476" s="121"/>
      <c r="S476" s="148">
        <v>45430</v>
      </c>
      <c r="T476" s="363">
        <f>Таблица18[[#This Row],[Вес нетто]]-Таблица18[[#This Row],[Зачетный вес]]</f>
        <v>5768.1</v>
      </c>
      <c r="U476" s="365">
        <f>Таблица18[[#This Row],[Отход]]/Таблица18[[#This Row],[Вес нетто]]</f>
        <v>0.43500000000000005</v>
      </c>
      <c r="V476" s="121">
        <f>MONTH(Таблица18[[#This Row],[Дата акта]])</f>
        <v>5</v>
      </c>
      <c r="W476" s="121">
        <v>18</v>
      </c>
      <c r="X476" s="148">
        <f>DATE(1900,Таблица18[[#This Row],[Месяц]],Таблица18[[#This Row],[Число]])</f>
        <v>139</v>
      </c>
      <c r="Y476" s="121"/>
      <c r="Z476" s="121" t="str">
        <f>Таблица18[[#This Row],[Хар-ка]]</f>
        <v>высший</v>
      </c>
      <c r="AD476" s="459"/>
      <c r="AE476" s="391"/>
    </row>
    <row r="477" spans="1:31" s="325" customFormat="1" ht="15.6" hidden="1" customHeight="1" x14ac:dyDescent="0.2">
      <c r="A477" s="40" t="s">
        <v>2420</v>
      </c>
      <c r="B477" s="360" t="s">
        <v>511</v>
      </c>
      <c r="C477" s="40">
        <v>76</v>
      </c>
      <c r="D477" s="40">
        <v>77690</v>
      </c>
      <c r="E477" s="40" t="s">
        <v>105</v>
      </c>
      <c r="F477" s="40" t="s">
        <v>1843</v>
      </c>
      <c r="G477" s="40" t="s">
        <v>119</v>
      </c>
      <c r="H477" s="40" t="s">
        <v>2745</v>
      </c>
      <c r="I477" s="360" t="e">
        <f>VLOOKUP(Таблица18[[#This Row],[Номер акта]],$AB$1:$AF$1833,3,FALSE)</f>
        <v>#N/A</v>
      </c>
      <c r="J477" s="40" t="s">
        <v>21</v>
      </c>
      <c r="K477" s="40" t="s">
        <v>82</v>
      </c>
      <c r="L477" s="121">
        <v>38340</v>
      </c>
      <c r="M477" s="121">
        <v>20920</v>
      </c>
      <c r="N477" s="121">
        <v>47</v>
      </c>
      <c r="O477" s="363">
        <v>17420</v>
      </c>
      <c r="P477" s="363">
        <v>9232.6</v>
      </c>
      <c r="Q477" s="121">
        <v>2024</v>
      </c>
      <c r="R477" s="121"/>
      <c r="S477" s="148">
        <v>45430</v>
      </c>
      <c r="T477" s="363">
        <f>Таблица18[[#This Row],[Вес нетто]]-Таблица18[[#This Row],[Зачетный вес]]</f>
        <v>8187.4</v>
      </c>
      <c r="U477" s="365">
        <f>Таблица18[[#This Row],[Отход]]/Таблица18[[#This Row],[Вес нетто]]</f>
        <v>0.47</v>
      </c>
      <c r="V477" s="121">
        <f>MONTH(Таблица18[[#This Row],[Дата акта]])</f>
        <v>5</v>
      </c>
      <c r="W477" s="121">
        <v>18</v>
      </c>
      <c r="X477" s="148">
        <f>DATE(1900,Таблица18[[#This Row],[Месяц]],Таблица18[[#This Row],[Число]])</f>
        <v>139</v>
      </c>
      <c r="Y477" s="121"/>
      <c r="Z477" s="121" t="str">
        <f>Таблица18[[#This Row],[Хар-ка]]</f>
        <v>высший</v>
      </c>
      <c r="AD477" s="459"/>
      <c r="AE477" s="391"/>
    </row>
    <row r="478" spans="1:31" s="325" customFormat="1" ht="15.6" hidden="1" customHeight="1" x14ac:dyDescent="0.2">
      <c r="A478" s="40" t="s">
        <v>2421</v>
      </c>
      <c r="B478" s="360" t="s">
        <v>511</v>
      </c>
      <c r="C478" s="40">
        <v>77</v>
      </c>
      <c r="D478" s="40">
        <v>77692</v>
      </c>
      <c r="E478" s="40" t="s">
        <v>105</v>
      </c>
      <c r="F478" s="40" t="s">
        <v>2220</v>
      </c>
      <c r="G478" s="40" t="s">
        <v>2221</v>
      </c>
      <c r="H478" s="40" t="s">
        <v>2745</v>
      </c>
      <c r="I478" s="360" t="e">
        <f>VLOOKUP(Таблица18[[#This Row],[Номер акта]],$AB$1:$AF$1833,3,FALSE)</f>
        <v>#N/A</v>
      </c>
      <c r="J478" s="40" t="s">
        <v>21</v>
      </c>
      <c r="K478" s="40" t="s">
        <v>82</v>
      </c>
      <c r="L478" s="121">
        <v>28730</v>
      </c>
      <c r="M478" s="121">
        <v>15600</v>
      </c>
      <c r="N478" s="121">
        <v>43.5</v>
      </c>
      <c r="O478" s="363">
        <v>13130</v>
      </c>
      <c r="P478" s="363">
        <v>7418.4</v>
      </c>
      <c r="Q478" s="121">
        <v>2024</v>
      </c>
      <c r="R478" s="121"/>
      <c r="S478" s="148">
        <v>45430</v>
      </c>
      <c r="T478" s="363">
        <f>Таблица18[[#This Row],[Вес нетто]]-Таблица18[[#This Row],[Зачетный вес]]</f>
        <v>5711.6</v>
      </c>
      <c r="U478" s="365">
        <f>Таблица18[[#This Row],[Отход]]/Таблица18[[#This Row],[Вес нетто]]</f>
        <v>0.43500380807311501</v>
      </c>
      <c r="V478" s="121">
        <f>MONTH(Таблица18[[#This Row],[Дата акта]])</f>
        <v>5</v>
      </c>
      <c r="W478" s="121">
        <v>18</v>
      </c>
      <c r="X478" s="148">
        <f>DATE(1900,Таблица18[[#This Row],[Месяц]],Таблица18[[#This Row],[Число]])</f>
        <v>139</v>
      </c>
      <c r="Y478" s="121"/>
      <c r="Z478" s="121" t="str">
        <f>Таблица18[[#This Row],[Хар-ка]]</f>
        <v>высший</v>
      </c>
      <c r="AD478" s="459"/>
      <c r="AE478" s="391"/>
    </row>
    <row r="479" spans="1:31" s="325" customFormat="1" ht="15.6" hidden="1" customHeight="1" x14ac:dyDescent="0.2">
      <c r="A479" s="40" t="s">
        <v>2422</v>
      </c>
      <c r="B479" s="360" t="s">
        <v>511</v>
      </c>
      <c r="C479" s="40">
        <v>78</v>
      </c>
      <c r="D479" s="40">
        <v>77691</v>
      </c>
      <c r="E479" s="40" t="s">
        <v>105</v>
      </c>
      <c r="F479" s="40" t="s">
        <v>2223</v>
      </c>
      <c r="G479" s="40" t="s">
        <v>2224</v>
      </c>
      <c r="H479" s="40" t="s">
        <v>2745</v>
      </c>
      <c r="I479" s="360" t="e">
        <f>VLOOKUP(Таблица18[[#This Row],[Номер акта]],$AB$1:$AF$1833,3,FALSE)</f>
        <v>#N/A</v>
      </c>
      <c r="J479" s="40" t="s">
        <v>21</v>
      </c>
      <c r="K479" s="40" t="s">
        <v>82</v>
      </c>
      <c r="L479" s="121">
        <v>27810</v>
      </c>
      <c r="M479" s="121">
        <v>14580</v>
      </c>
      <c r="N479" s="121">
        <v>42</v>
      </c>
      <c r="O479" s="363">
        <v>13230</v>
      </c>
      <c r="P479" s="363">
        <v>7673.4</v>
      </c>
      <c r="Q479" s="121">
        <v>2024</v>
      </c>
      <c r="R479" s="121"/>
      <c r="S479" s="148">
        <v>45430</v>
      </c>
      <c r="T479" s="363">
        <f>Таблица18[[#This Row],[Вес нетто]]-Таблица18[[#This Row],[Зачетный вес]]</f>
        <v>5556.6</v>
      </c>
      <c r="U479" s="365">
        <f>Таблица18[[#This Row],[Отход]]/Таблица18[[#This Row],[Вес нетто]]</f>
        <v>0.42000000000000004</v>
      </c>
      <c r="V479" s="121">
        <f>MONTH(Таблица18[[#This Row],[Дата акта]])</f>
        <v>5</v>
      </c>
      <c r="W479" s="121">
        <v>18</v>
      </c>
      <c r="X479" s="148">
        <f>DATE(1900,Таблица18[[#This Row],[Месяц]],Таблица18[[#This Row],[Число]])</f>
        <v>139</v>
      </c>
      <c r="Y479" s="121"/>
      <c r="Z479" s="121" t="str">
        <f>Таблица18[[#This Row],[Хар-ка]]</f>
        <v>высший</v>
      </c>
      <c r="AD479" s="459"/>
      <c r="AE479" s="391"/>
    </row>
    <row r="480" spans="1:31" s="325" customFormat="1" ht="15.6" hidden="1" customHeight="1" x14ac:dyDescent="0.2">
      <c r="A480" s="40" t="s">
        <v>2423</v>
      </c>
      <c r="B480" s="360" t="s">
        <v>511</v>
      </c>
      <c r="C480" s="40">
        <v>79</v>
      </c>
      <c r="D480" s="40">
        <v>77693</v>
      </c>
      <c r="E480" s="40" t="s">
        <v>105</v>
      </c>
      <c r="F480" s="40" t="s">
        <v>1935</v>
      </c>
      <c r="G480" s="40" t="s">
        <v>1813</v>
      </c>
      <c r="H480" s="40" t="s">
        <v>2745</v>
      </c>
      <c r="I480" s="360" t="e">
        <f>VLOOKUP(Таблица18[[#This Row],[Номер акта]],$AB$1:$AF$1833,3,FALSE)</f>
        <v>#N/A</v>
      </c>
      <c r="J480" s="40" t="s">
        <v>21</v>
      </c>
      <c r="K480" s="40" t="s">
        <v>82</v>
      </c>
      <c r="L480" s="121">
        <v>27840</v>
      </c>
      <c r="M480" s="121">
        <v>14340</v>
      </c>
      <c r="N480" s="121">
        <v>36.5</v>
      </c>
      <c r="O480" s="363">
        <v>13500</v>
      </c>
      <c r="P480" s="363">
        <v>8572.5</v>
      </c>
      <c r="Q480" s="121">
        <v>2024</v>
      </c>
      <c r="R480" s="121"/>
      <c r="S480" s="148">
        <v>45430</v>
      </c>
      <c r="T480" s="363">
        <f>Таблица18[[#This Row],[Вес нетто]]-Таблица18[[#This Row],[Зачетный вес]]</f>
        <v>4927.5</v>
      </c>
      <c r="U480" s="365">
        <f>Таблица18[[#This Row],[Отход]]/Таблица18[[#This Row],[Вес нетто]]</f>
        <v>0.36499999999999999</v>
      </c>
      <c r="V480" s="121">
        <f>MONTH(Таблица18[[#This Row],[Дата акта]])</f>
        <v>5</v>
      </c>
      <c r="W480" s="121">
        <v>18</v>
      </c>
      <c r="X480" s="148">
        <f>DATE(1900,Таблица18[[#This Row],[Месяц]],Таблица18[[#This Row],[Число]])</f>
        <v>139</v>
      </c>
      <c r="Y480" s="121"/>
      <c r="Z480" s="121" t="str">
        <f>Таблица18[[#This Row],[Хар-ка]]</f>
        <v>высший</v>
      </c>
      <c r="AD480" s="459"/>
      <c r="AE480" s="391"/>
    </row>
    <row r="481" spans="1:31" s="325" customFormat="1" ht="15.6" hidden="1" customHeight="1" x14ac:dyDescent="0.2">
      <c r="A481" s="40" t="s">
        <v>2424</v>
      </c>
      <c r="B481" s="360" t="s">
        <v>511</v>
      </c>
      <c r="C481" s="40">
        <v>81</v>
      </c>
      <c r="D481" s="40">
        <v>77694</v>
      </c>
      <c r="E481" s="40" t="s">
        <v>105</v>
      </c>
      <c r="F481" s="40" t="s">
        <v>127</v>
      </c>
      <c r="G481" s="40" t="s">
        <v>131</v>
      </c>
      <c r="H481" s="40" t="s">
        <v>2745</v>
      </c>
      <c r="I481" s="360" t="e">
        <f>VLOOKUP(Таблица18[[#This Row],[Номер акта]],$AB$1:$AF$1833,3,FALSE)</f>
        <v>#N/A</v>
      </c>
      <c r="J481" s="40" t="s">
        <v>1753</v>
      </c>
      <c r="K481" s="40" t="s">
        <v>82</v>
      </c>
      <c r="L481" s="121">
        <v>22900</v>
      </c>
      <c r="M481" s="121">
        <v>18630</v>
      </c>
      <c r="N481" s="121">
        <v>56.5</v>
      </c>
      <c r="O481" s="363">
        <v>4270</v>
      </c>
      <c r="P481" s="363">
        <v>1857.4</v>
      </c>
      <c r="Q481" s="121">
        <v>2024</v>
      </c>
      <c r="R481" s="121"/>
      <c r="S481" s="148">
        <v>45430</v>
      </c>
      <c r="T481" s="363">
        <f>Таблица18[[#This Row],[Вес нетто]]-Таблица18[[#This Row],[Зачетный вес]]</f>
        <v>2412.6</v>
      </c>
      <c r="U481" s="365">
        <f>Таблица18[[#This Row],[Отход]]/Таблица18[[#This Row],[Вес нетто]]</f>
        <v>0.56501170960187352</v>
      </c>
      <c r="V481" s="121">
        <f>MONTH(Таблица18[[#This Row],[Дата акта]])</f>
        <v>5</v>
      </c>
      <c r="W481" s="121">
        <v>18</v>
      </c>
      <c r="X481" s="148">
        <f>DATE(1900,Таблица18[[#This Row],[Месяц]],Таблица18[[#This Row],[Число]])</f>
        <v>139</v>
      </c>
      <c r="Y481" s="121"/>
      <c r="Z481" s="121" t="str">
        <f>Таблица18[[#This Row],[Хар-ка]]</f>
        <v>высший</v>
      </c>
      <c r="AD481" s="459"/>
      <c r="AE481" s="391"/>
    </row>
    <row r="482" spans="1:31" s="325" customFormat="1" ht="15.6" hidden="1" customHeight="1" x14ac:dyDescent="0.2">
      <c r="A482" s="40" t="s">
        <v>2425</v>
      </c>
      <c r="B482" s="360" t="s">
        <v>511</v>
      </c>
      <c r="C482" s="40">
        <v>82</v>
      </c>
      <c r="D482" s="40">
        <v>77694</v>
      </c>
      <c r="E482" s="40" t="s">
        <v>105</v>
      </c>
      <c r="F482" s="40" t="s">
        <v>127</v>
      </c>
      <c r="G482" s="40" t="s">
        <v>131</v>
      </c>
      <c r="H482" s="40" t="s">
        <v>2746</v>
      </c>
      <c r="I482" s="360" t="e">
        <f>VLOOKUP(Таблица18[[#This Row],[Номер акта]],$AB$1:$AF$1833,3,FALSE)</f>
        <v>#N/A</v>
      </c>
      <c r="J482" s="40" t="s">
        <v>1753</v>
      </c>
      <c r="K482" s="40" t="s">
        <v>82</v>
      </c>
      <c r="L482" s="121">
        <v>18630</v>
      </c>
      <c r="M482" s="121">
        <v>14170</v>
      </c>
      <c r="N482" s="121">
        <v>54.5</v>
      </c>
      <c r="O482" s="363">
        <v>4460</v>
      </c>
      <c r="P482" s="363">
        <v>2029.3</v>
      </c>
      <c r="Q482" s="121">
        <v>2024</v>
      </c>
      <c r="R482" s="121"/>
      <c r="S482" s="148">
        <v>45430</v>
      </c>
      <c r="T482" s="363">
        <f>Таблица18[[#This Row],[Вес нетто]]-Таблица18[[#This Row],[Зачетный вес]]</f>
        <v>2430.6999999999998</v>
      </c>
      <c r="U482" s="365">
        <f>Таблица18[[#This Row],[Отход]]/Таблица18[[#This Row],[Вес нетто]]</f>
        <v>0.54499999999999993</v>
      </c>
      <c r="V482" s="121">
        <f>MONTH(Таблица18[[#This Row],[Дата акта]])</f>
        <v>5</v>
      </c>
      <c r="W482" s="121">
        <v>18</v>
      </c>
      <c r="X482" s="148">
        <f>DATE(1900,Таблица18[[#This Row],[Месяц]],Таблица18[[#This Row],[Число]])</f>
        <v>139</v>
      </c>
      <c r="Y482" s="121"/>
      <c r="Z482" s="121" t="str">
        <f>Таблица18[[#This Row],[Хар-ка]]</f>
        <v>высший</v>
      </c>
      <c r="AD482" s="459"/>
      <c r="AE482" s="391"/>
    </row>
    <row r="483" spans="1:31" s="325" customFormat="1" ht="15.6" hidden="1" customHeight="1" x14ac:dyDescent="0.2">
      <c r="A483" s="40" t="s">
        <v>2426</v>
      </c>
      <c r="B483" s="360" t="s">
        <v>511</v>
      </c>
      <c r="C483" s="40">
        <v>84</v>
      </c>
      <c r="D483" s="40">
        <v>77696</v>
      </c>
      <c r="E483" s="40" t="s">
        <v>105</v>
      </c>
      <c r="F483" s="40" t="s">
        <v>272</v>
      </c>
      <c r="G483" s="40" t="s">
        <v>276</v>
      </c>
      <c r="H483" s="40" t="s">
        <v>2746</v>
      </c>
      <c r="I483" s="360" t="e">
        <f>VLOOKUP(Таблица18[[#This Row],[Номер акта]],$AB$1:$AF$1833,3,FALSE)</f>
        <v>#N/A</v>
      </c>
      <c r="J483" s="40" t="s">
        <v>1753</v>
      </c>
      <c r="K483" s="40" t="s">
        <v>82</v>
      </c>
      <c r="L483" s="121">
        <v>29180</v>
      </c>
      <c r="M483" s="121">
        <v>21660</v>
      </c>
      <c r="N483" s="121">
        <v>36.5</v>
      </c>
      <c r="O483" s="363">
        <v>7520</v>
      </c>
      <c r="P483" s="363">
        <v>4775.2</v>
      </c>
      <c r="Q483" s="121">
        <v>2024</v>
      </c>
      <c r="R483" s="121"/>
      <c r="S483" s="148">
        <v>45432</v>
      </c>
      <c r="T483" s="363">
        <f>Таблица18[[#This Row],[Вес нетто]]-Таблица18[[#This Row],[Зачетный вес]]</f>
        <v>2744.8</v>
      </c>
      <c r="U483" s="365">
        <f>Таблица18[[#This Row],[Отход]]/Таблица18[[#This Row],[Вес нетто]]</f>
        <v>0.36500000000000005</v>
      </c>
      <c r="V483" s="121">
        <f>MONTH(Таблица18[[#This Row],[Дата акта]])</f>
        <v>5</v>
      </c>
      <c r="W483" s="121">
        <v>20</v>
      </c>
      <c r="X483" s="148">
        <f>DATE(1900,Таблица18[[#This Row],[Месяц]],Таблица18[[#This Row],[Число]])</f>
        <v>141</v>
      </c>
      <c r="Y483" s="121"/>
      <c r="Z483" s="121" t="str">
        <f>Таблица18[[#This Row],[Хар-ка]]</f>
        <v>высший</v>
      </c>
      <c r="AD483" s="459"/>
      <c r="AE483" s="391"/>
    </row>
    <row r="484" spans="1:31" s="325" customFormat="1" ht="15.6" hidden="1" customHeight="1" x14ac:dyDescent="0.2">
      <c r="A484" s="40" t="s">
        <v>2427</v>
      </c>
      <c r="B484" s="360" t="s">
        <v>511</v>
      </c>
      <c r="C484" s="40">
        <v>85</v>
      </c>
      <c r="D484" s="40">
        <v>77696</v>
      </c>
      <c r="E484" s="40" t="s">
        <v>105</v>
      </c>
      <c r="F484" s="40" t="s">
        <v>272</v>
      </c>
      <c r="G484" s="40" t="s">
        <v>276</v>
      </c>
      <c r="H484" s="40" t="s">
        <v>2745</v>
      </c>
      <c r="I484" s="360" t="e">
        <f>VLOOKUP(Таблица18[[#This Row],[Номер акта]],$AB$1:$AF$1833,3,FALSE)</f>
        <v>#N/A</v>
      </c>
      <c r="J484" s="40" t="s">
        <v>1753</v>
      </c>
      <c r="K484" s="40" t="s">
        <v>82</v>
      </c>
      <c r="L484" s="121">
        <v>21660</v>
      </c>
      <c r="M484" s="121">
        <v>14550</v>
      </c>
      <c r="N484" s="121">
        <v>36</v>
      </c>
      <c r="O484" s="363">
        <v>7110</v>
      </c>
      <c r="P484" s="363">
        <v>4550.3999999999996</v>
      </c>
      <c r="Q484" s="121">
        <v>2024</v>
      </c>
      <c r="R484" s="121"/>
      <c r="S484" s="148">
        <v>45432</v>
      </c>
      <c r="T484" s="363">
        <f>Таблица18[[#This Row],[Вес нетто]]-Таблица18[[#This Row],[Зачетный вес]]</f>
        <v>2559.6000000000004</v>
      </c>
      <c r="U484" s="365">
        <f>Таблица18[[#This Row],[Отход]]/Таблица18[[#This Row],[Вес нетто]]</f>
        <v>0.36000000000000004</v>
      </c>
      <c r="V484" s="121">
        <f>MONTH(Таблица18[[#This Row],[Дата акта]])</f>
        <v>5</v>
      </c>
      <c r="W484" s="121">
        <v>20</v>
      </c>
      <c r="X484" s="148">
        <f>DATE(1900,Таблица18[[#This Row],[Месяц]],Таблица18[[#This Row],[Число]])</f>
        <v>141</v>
      </c>
      <c r="Y484" s="121"/>
      <c r="Z484" s="121" t="str">
        <f>Таблица18[[#This Row],[Хар-ка]]</f>
        <v>высший</v>
      </c>
      <c r="AD484" s="459"/>
      <c r="AE484" s="391"/>
    </row>
    <row r="485" spans="1:31" s="325" customFormat="1" ht="15.6" hidden="1" customHeight="1" x14ac:dyDescent="0.2">
      <c r="A485" s="40" t="s">
        <v>2428</v>
      </c>
      <c r="B485" s="360" t="s">
        <v>511</v>
      </c>
      <c r="C485" s="40">
        <v>86</v>
      </c>
      <c r="D485" s="40">
        <v>77695</v>
      </c>
      <c r="E485" s="40" t="s">
        <v>105</v>
      </c>
      <c r="F485" s="40" t="s">
        <v>2747</v>
      </c>
      <c r="G485" s="40" t="s">
        <v>2748</v>
      </c>
      <c r="H485" s="40" t="s">
        <v>2746</v>
      </c>
      <c r="I485" s="360" t="e">
        <f>VLOOKUP(Таблица18[[#This Row],[Номер акта]],$AB$1:$AF$1833,3,FALSE)</f>
        <v>#N/A</v>
      </c>
      <c r="J485" s="40" t="s">
        <v>1753</v>
      </c>
      <c r="K485" s="40" t="s">
        <v>82</v>
      </c>
      <c r="L485" s="121">
        <v>29030</v>
      </c>
      <c r="M485" s="121">
        <v>14980</v>
      </c>
      <c r="N485" s="121">
        <v>51</v>
      </c>
      <c r="O485" s="363">
        <v>14050</v>
      </c>
      <c r="P485" s="363">
        <v>6884.5</v>
      </c>
      <c r="Q485" s="121">
        <v>2024</v>
      </c>
      <c r="R485" s="121"/>
      <c r="S485" s="148">
        <v>45432</v>
      </c>
      <c r="T485" s="363">
        <f>Таблица18[[#This Row],[Вес нетто]]-Таблица18[[#This Row],[Зачетный вес]]</f>
        <v>7165.5</v>
      </c>
      <c r="U485" s="365">
        <f>Таблица18[[#This Row],[Отход]]/Таблица18[[#This Row],[Вес нетто]]</f>
        <v>0.51</v>
      </c>
      <c r="V485" s="121">
        <f>MONTH(Таблица18[[#This Row],[Дата акта]])</f>
        <v>5</v>
      </c>
      <c r="W485" s="121">
        <v>20</v>
      </c>
      <c r="X485" s="148">
        <f>DATE(1900,Таблица18[[#This Row],[Месяц]],Таблица18[[#This Row],[Число]])</f>
        <v>141</v>
      </c>
      <c r="Y485" s="121"/>
      <c r="Z485" s="121" t="str">
        <f>Таблица18[[#This Row],[Хар-ка]]</f>
        <v>высший</v>
      </c>
      <c r="AD485" s="459"/>
      <c r="AE485" s="391"/>
    </row>
    <row r="486" spans="1:31" s="325" customFormat="1" ht="15.6" hidden="1" customHeight="1" x14ac:dyDescent="0.2">
      <c r="A486" s="40" t="s">
        <v>2429</v>
      </c>
      <c r="B486" s="360" t="s">
        <v>511</v>
      </c>
      <c r="C486" s="40">
        <v>87</v>
      </c>
      <c r="D486" s="40">
        <v>77700</v>
      </c>
      <c r="E486" s="40" t="s">
        <v>105</v>
      </c>
      <c r="F486" s="40" t="s">
        <v>2749</v>
      </c>
      <c r="G486" s="40" t="s">
        <v>270</v>
      </c>
      <c r="H486" s="40" t="s">
        <v>2746</v>
      </c>
      <c r="I486" s="360" t="e">
        <f>VLOOKUP(Таблица18[[#This Row],[Номер акта]],$AB$1:$AF$1833,3,FALSE)</f>
        <v>#N/A</v>
      </c>
      <c r="J486" s="40" t="s">
        <v>1753</v>
      </c>
      <c r="K486" s="40" t="s">
        <v>82</v>
      </c>
      <c r="L486" s="121">
        <v>29070</v>
      </c>
      <c r="M486" s="121">
        <v>14890</v>
      </c>
      <c r="N486" s="121">
        <v>43.5</v>
      </c>
      <c r="O486" s="363">
        <v>14180</v>
      </c>
      <c r="P486" s="363">
        <v>8011.7</v>
      </c>
      <c r="Q486" s="121">
        <v>2024</v>
      </c>
      <c r="R486" s="121"/>
      <c r="S486" s="148">
        <v>45432</v>
      </c>
      <c r="T486" s="363">
        <f>Таблица18[[#This Row],[Вес нетто]]-Таблица18[[#This Row],[Зачетный вес]]</f>
        <v>6168.3</v>
      </c>
      <c r="U486" s="365">
        <f>Таблица18[[#This Row],[Отход]]/Таблица18[[#This Row],[Вес нетто]]</f>
        <v>0.435</v>
      </c>
      <c r="V486" s="121">
        <f>MONTH(Таблица18[[#This Row],[Дата акта]])</f>
        <v>5</v>
      </c>
      <c r="W486" s="121">
        <v>20</v>
      </c>
      <c r="X486" s="148">
        <f>DATE(1900,Таблица18[[#This Row],[Месяц]],Таблица18[[#This Row],[Число]])</f>
        <v>141</v>
      </c>
      <c r="Y486" s="121"/>
      <c r="Z486" s="121" t="str">
        <f>Таблица18[[#This Row],[Хар-ка]]</f>
        <v>высший</v>
      </c>
      <c r="AD486" s="459"/>
      <c r="AE486" s="391"/>
    </row>
    <row r="487" spans="1:31" s="325" customFormat="1" ht="15.6" hidden="1" customHeight="1" x14ac:dyDescent="0.2">
      <c r="A487" s="40" t="s">
        <v>2430</v>
      </c>
      <c r="B487" s="360" t="s">
        <v>511</v>
      </c>
      <c r="C487" s="40">
        <v>88</v>
      </c>
      <c r="D487" s="40">
        <v>117501</v>
      </c>
      <c r="E487" s="40" t="s">
        <v>105</v>
      </c>
      <c r="F487" s="40" t="s">
        <v>1367</v>
      </c>
      <c r="G487" s="40" t="s">
        <v>1368</v>
      </c>
      <c r="H487" s="40" t="s">
        <v>2746</v>
      </c>
      <c r="I487" s="360" t="e">
        <f>VLOOKUP(Таблица18[[#This Row],[Номер акта]],$AB$1:$AF$1833,3,FALSE)</f>
        <v>#N/A</v>
      </c>
      <c r="J487" s="40" t="s">
        <v>1753</v>
      </c>
      <c r="K487" s="40" t="s">
        <v>82</v>
      </c>
      <c r="L487" s="121">
        <v>29460</v>
      </c>
      <c r="M487" s="121">
        <v>14870</v>
      </c>
      <c r="N487" s="121">
        <v>40.5</v>
      </c>
      <c r="O487" s="363">
        <v>14590</v>
      </c>
      <c r="P487" s="363">
        <v>8681</v>
      </c>
      <c r="Q487" s="121">
        <v>2024</v>
      </c>
      <c r="R487" s="121"/>
      <c r="S487" s="148">
        <v>45433</v>
      </c>
      <c r="T487" s="363">
        <f>Таблица18[[#This Row],[Вес нетто]]-Таблица18[[#This Row],[Зачетный вес]]</f>
        <v>5909</v>
      </c>
      <c r="U487" s="365">
        <f>Таблица18[[#This Row],[Отход]]/Таблица18[[#This Row],[Вес нетто]]</f>
        <v>0.4050034270047978</v>
      </c>
      <c r="V487" s="121">
        <f>MONTH(Таблица18[[#This Row],[Дата акта]])</f>
        <v>5</v>
      </c>
      <c r="W487" s="121">
        <v>21</v>
      </c>
      <c r="X487" s="148">
        <f>DATE(1900,Таблица18[[#This Row],[Месяц]],Таблица18[[#This Row],[Число]])</f>
        <v>142</v>
      </c>
      <c r="Y487" s="121"/>
      <c r="Z487" s="121" t="str">
        <f>Таблица18[[#This Row],[Хар-ка]]</f>
        <v>высший</v>
      </c>
      <c r="AD487" s="459"/>
      <c r="AE487" s="391"/>
    </row>
    <row r="488" spans="1:31" s="325" customFormat="1" ht="15.6" hidden="1" customHeight="1" x14ac:dyDescent="0.2">
      <c r="A488" s="40" t="s">
        <v>2431</v>
      </c>
      <c r="B488" s="360" t="s">
        <v>511</v>
      </c>
      <c r="C488" s="40">
        <v>89</v>
      </c>
      <c r="D488" s="40">
        <v>117502</v>
      </c>
      <c r="E488" s="40" t="s">
        <v>105</v>
      </c>
      <c r="F488" s="40" t="s">
        <v>212</v>
      </c>
      <c r="G488" s="40" t="s">
        <v>216</v>
      </c>
      <c r="H488" s="40" t="s">
        <v>2745</v>
      </c>
      <c r="I488" s="360" t="e">
        <f>VLOOKUP(Таблица18[[#This Row],[Номер акта]],$AB$1:$AF$1833,3,FALSE)</f>
        <v>#N/A</v>
      </c>
      <c r="J488" s="40" t="s">
        <v>1753</v>
      </c>
      <c r="K488" s="40" t="s">
        <v>82</v>
      </c>
      <c r="L488" s="121">
        <v>27830</v>
      </c>
      <c r="M488" s="121">
        <v>20880</v>
      </c>
      <c r="N488" s="121">
        <v>34.5</v>
      </c>
      <c r="O488" s="363">
        <v>6950</v>
      </c>
      <c r="P488" s="363">
        <v>4552.2</v>
      </c>
      <c r="Q488" s="121">
        <v>2024</v>
      </c>
      <c r="R488" s="121"/>
      <c r="S488" s="148">
        <v>45433</v>
      </c>
      <c r="T488" s="363">
        <f>Таблица18[[#This Row],[Вес нетто]]-Таблица18[[#This Row],[Зачетный вес]]</f>
        <v>2397.8000000000002</v>
      </c>
      <c r="U488" s="365">
        <f>Таблица18[[#This Row],[Отход]]/Таблица18[[#This Row],[Вес нетто]]</f>
        <v>0.34500719424460435</v>
      </c>
      <c r="V488" s="121">
        <f>MONTH(Таблица18[[#This Row],[Дата акта]])</f>
        <v>5</v>
      </c>
      <c r="W488" s="121">
        <v>21</v>
      </c>
      <c r="X488" s="148">
        <f>DATE(1900,Таблица18[[#This Row],[Месяц]],Таблица18[[#This Row],[Число]])</f>
        <v>142</v>
      </c>
      <c r="Y488" s="121"/>
      <c r="Z488" s="121" t="str">
        <f>Таблица18[[#This Row],[Хар-ка]]</f>
        <v>высший</v>
      </c>
      <c r="AD488" s="459"/>
      <c r="AE488" s="391"/>
    </row>
    <row r="489" spans="1:31" s="325" customFormat="1" ht="15.6" hidden="1" customHeight="1" x14ac:dyDescent="0.2">
      <c r="A489" s="40" t="s">
        <v>2432</v>
      </c>
      <c r="B489" s="360" t="s">
        <v>511</v>
      </c>
      <c r="C489" s="40">
        <v>90</v>
      </c>
      <c r="D489" s="40">
        <v>117502</v>
      </c>
      <c r="E489" s="40" t="s">
        <v>105</v>
      </c>
      <c r="F489" s="40" t="s">
        <v>212</v>
      </c>
      <c r="G489" s="40" t="s">
        <v>216</v>
      </c>
      <c r="H489" s="40" t="s">
        <v>2746</v>
      </c>
      <c r="I489" s="360" t="e">
        <f>VLOOKUP(Таблица18[[#This Row],[Номер акта]],$AB$1:$AF$1833,3,FALSE)</f>
        <v>#N/A</v>
      </c>
      <c r="J489" s="40" t="s">
        <v>1753</v>
      </c>
      <c r="K489" s="40" t="s">
        <v>82</v>
      </c>
      <c r="L489" s="121">
        <v>20880</v>
      </c>
      <c r="M489" s="121">
        <v>13920</v>
      </c>
      <c r="N489" s="121">
        <v>37.5</v>
      </c>
      <c r="O489" s="363">
        <v>6960</v>
      </c>
      <c r="P489" s="363">
        <v>4350</v>
      </c>
      <c r="Q489" s="121">
        <v>2024</v>
      </c>
      <c r="R489" s="121"/>
      <c r="S489" s="148">
        <v>45433</v>
      </c>
      <c r="T489" s="363">
        <f>Таблица18[[#This Row],[Вес нетто]]-Таблица18[[#This Row],[Зачетный вес]]</f>
        <v>2610</v>
      </c>
      <c r="U489" s="365">
        <f>Таблица18[[#This Row],[Отход]]/Таблица18[[#This Row],[Вес нетто]]</f>
        <v>0.375</v>
      </c>
      <c r="V489" s="121">
        <f>MONTH(Таблица18[[#This Row],[Дата акта]])</f>
        <v>5</v>
      </c>
      <c r="W489" s="121">
        <v>21</v>
      </c>
      <c r="X489" s="148">
        <f>DATE(1900,Таблица18[[#This Row],[Месяц]],Таблица18[[#This Row],[Число]])</f>
        <v>142</v>
      </c>
      <c r="Y489" s="121"/>
      <c r="Z489" s="121" t="str">
        <f>Таблица18[[#This Row],[Хар-ка]]</f>
        <v>высший</v>
      </c>
      <c r="AD489" s="459"/>
      <c r="AE489" s="391"/>
    </row>
    <row r="490" spans="1:31" s="325" customFormat="1" ht="15.6" hidden="1" customHeight="1" x14ac:dyDescent="0.2">
      <c r="A490" s="40" t="s">
        <v>2433</v>
      </c>
      <c r="B490" s="360" t="s">
        <v>511</v>
      </c>
      <c r="C490" s="40">
        <v>91</v>
      </c>
      <c r="D490" s="40">
        <v>117503</v>
      </c>
      <c r="E490" s="40" t="s">
        <v>105</v>
      </c>
      <c r="F490" s="40" t="s">
        <v>239</v>
      </c>
      <c r="G490" s="40" t="s">
        <v>243</v>
      </c>
      <c r="H490" s="40" t="s">
        <v>2745</v>
      </c>
      <c r="I490" s="360" t="e">
        <f>VLOOKUP(Таблица18[[#This Row],[Номер акта]],$AB$1:$AF$1833,3,FALSE)</f>
        <v>#N/A</v>
      </c>
      <c r="J490" s="40" t="s">
        <v>1753</v>
      </c>
      <c r="K490" s="40" t="s">
        <v>82</v>
      </c>
      <c r="L490" s="121">
        <v>29630</v>
      </c>
      <c r="M490" s="121">
        <v>14390</v>
      </c>
      <c r="N490" s="121">
        <v>43.5</v>
      </c>
      <c r="O490" s="363">
        <v>15240</v>
      </c>
      <c r="P490" s="363">
        <v>8610.6</v>
      </c>
      <c r="Q490" s="121">
        <v>2024</v>
      </c>
      <c r="R490" s="121"/>
      <c r="S490" s="148">
        <v>45433</v>
      </c>
      <c r="T490" s="363">
        <f>Таблица18[[#This Row],[Вес нетто]]-Таблица18[[#This Row],[Зачетный вес]]</f>
        <v>6629.4</v>
      </c>
      <c r="U490" s="365">
        <f>Таблица18[[#This Row],[Отход]]/Таблица18[[#This Row],[Вес нетто]]</f>
        <v>0.435</v>
      </c>
      <c r="V490" s="121">
        <f>MONTH(Таблица18[[#This Row],[Дата акта]])</f>
        <v>5</v>
      </c>
      <c r="W490" s="121">
        <v>21</v>
      </c>
      <c r="X490" s="148">
        <f>DATE(1900,Таблица18[[#This Row],[Месяц]],Таблица18[[#This Row],[Число]])</f>
        <v>142</v>
      </c>
      <c r="Y490" s="121"/>
      <c r="Z490" s="121" t="str">
        <f>Таблица18[[#This Row],[Хар-ка]]</f>
        <v>высший</v>
      </c>
      <c r="AD490" s="459"/>
      <c r="AE490" s="391"/>
    </row>
    <row r="491" spans="1:31" s="325" customFormat="1" ht="15.6" hidden="1" customHeight="1" x14ac:dyDescent="0.2">
      <c r="A491" s="40" t="s">
        <v>2434</v>
      </c>
      <c r="B491" s="360" t="s">
        <v>511</v>
      </c>
      <c r="C491" s="40">
        <v>92</v>
      </c>
      <c r="D491" s="40">
        <v>117504</v>
      </c>
      <c r="E491" s="40" t="s">
        <v>105</v>
      </c>
      <c r="F491" s="40" t="s">
        <v>2750</v>
      </c>
      <c r="G491" s="40" t="s">
        <v>2751</v>
      </c>
      <c r="H491" s="40" t="s">
        <v>2745</v>
      </c>
      <c r="I491" s="360" t="e">
        <f>VLOOKUP(Таблица18[[#This Row],[Номер акта]],$AB$1:$AF$1833,3,FALSE)</f>
        <v>#N/A</v>
      </c>
      <c r="J491" s="40" t="s">
        <v>1753</v>
      </c>
      <c r="K491" s="40" t="s">
        <v>82</v>
      </c>
      <c r="L491" s="121">
        <v>33770</v>
      </c>
      <c r="M491" s="121">
        <v>17330</v>
      </c>
      <c r="N491" s="121">
        <v>29.5</v>
      </c>
      <c r="O491" s="363">
        <v>16440</v>
      </c>
      <c r="P491" s="363">
        <v>11590.2</v>
      </c>
      <c r="Q491" s="121">
        <v>2024</v>
      </c>
      <c r="R491" s="121"/>
      <c r="S491" s="148">
        <v>45433</v>
      </c>
      <c r="T491" s="363">
        <f>Таблица18[[#This Row],[Вес нетто]]-Таблица18[[#This Row],[Зачетный вес]]</f>
        <v>4849.7999999999993</v>
      </c>
      <c r="U491" s="365">
        <f>Таблица18[[#This Row],[Отход]]/Таблица18[[#This Row],[Вес нетто]]</f>
        <v>0.29499999999999993</v>
      </c>
      <c r="V491" s="121">
        <f>MONTH(Таблица18[[#This Row],[Дата акта]])</f>
        <v>5</v>
      </c>
      <c r="W491" s="121">
        <v>21</v>
      </c>
      <c r="X491" s="148">
        <f>DATE(1900,Таблица18[[#This Row],[Месяц]],Таблица18[[#This Row],[Число]])</f>
        <v>142</v>
      </c>
      <c r="Y491" s="121"/>
      <c r="Z491" s="121" t="str">
        <f>Таблица18[[#This Row],[Хар-ка]]</f>
        <v>высший</v>
      </c>
      <c r="AD491" s="459"/>
      <c r="AE491" s="391"/>
    </row>
    <row r="492" spans="1:31" s="325" customFormat="1" ht="15.6" hidden="1" customHeight="1" x14ac:dyDescent="0.2">
      <c r="A492" s="40" t="s">
        <v>2435</v>
      </c>
      <c r="B492" s="360" t="s">
        <v>511</v>
      </c>
      <c r="C492" s="40">
        <v>93</v>
      </c>
      <c r="D492" s="40">
        <v>117505</v>
      </c>
      <c r="E492" s="40" t="s">
        <v>105</v>
      </c>
      <c r="F492" s="40" t="s">
        <v>1935</v>
      </c>
      <c r="G492" s="40" t="s">
        <v>1813</v>
      </c>
      <c r="H492" s="40" t="s">
        <v>2745</v>
      </c>
      <c r="I492" s="360" t="e">
        <f>VLOOKUP(Таблица18[[#This Row],[Номер акта]],$AB$1:$AF$1833,3,FALSE)</f>
        <v>#N/A</v>
      </c>
      <c r="J492" s="40" t="s">
        <v>1753</v>
      </c>
      <c r="K492" s="40" t="s">
        <v>82</v>
      </c>
      <c r="L492" s="121">
        <v>28140</v>
      </c>
      <c r="M492" s="121">
        <v>14230</v>
      </c>
      <c r="N492" s="121">
        <v>35.5</v>
      </c>
      <c r="O492" s="363">
        <v>13910</v>
      </c>
      <c r="P492" s="363">
        <v>8971.9</v>
      </c>
      <c r="Q492" s="121">
        <v>2024</v>
      </c>
      <c r="R492" s="121"/>
      <c r="S492" s="148">
        <v>45433</v>
      </c>
      <c r="T492" s="363">
        <f>Таблица18[[#This Row],[Вес нетто]]-Таблица18[[#This Row],[Зачетный вес]]</f>
        <v>4938.1000000000004</v>
      </c>
      <c r="U492" s="365">
        <f>Таблица18[[#This Row],[Отход]]/Таблица18[[#This Row],[Вес нетто]]</f>
        <v>0.35500359453630487</v>
      </c>
      <c r="V492" s="121">
        <f>MONTH(Таблица18[[#This Row],[Дата акта]])</f>
        <v>5</v>
      </c>
      <c r="W492" s="121">
        <v>21</v>
      </c>
      <c r="X492" s="148">
        <f>DATE(1900,Таблица18[[#This Row],[Месяц]],Таблица18[[#This Row],[Число]])</f>
        <v>142</v>
      </c>
      <c r="Y492" s="121"/>
      <c r="Z492" s="121" t="str">
        <f>Таблица18[[#This Row],[Хар-ка]]</f>
        <v>высший</v>
      </c>
      <c r="AD492" s="459"/>
      <c r="AE492" s="391"/>
    </row>
    <row r="493" spans="1:31" s="325" customFormat="1" ht="15.6" hidden="1" customHeight="1" x14ac:dyDescent="0.2">
      <c r="A493" s="40" t="s">
        <v>2436</v>
      </c>
      <c r="B493" s="360" t="s">
        <v>511</v>
      </c>
      <c r="C493" s="40">
        <v>94</v>
      </c>
      <c r="D493" s="40">
        <v>1</v>
      </c>
      <c r="E493" s="40" t="s">
        <v>78</v>
      </c>
      <c r="F493" s="40" t="s">
        <v>127</v>
      </c>
      <c r="G493" s="40" t="s">
        <v>131</v>
      </c>
      <c r="H493" s="40" t="s">
        <v>1752</v>
      </c>
      <c r="I493" s="360" t="e">
        <f>VLOOKUP(Таблица18[[#This Row],[Номер акта]],$AB$1:$AF$1833,3,FALSE)</f>
        <v>#N/A</v>
      </c>
      <c r="J493" s="40" t="s">
        <v>21</v>
      </c>
      <c r="K493" s="40" t="s">
        <v>82</v>
      </c>
      <c r="L493" s="121">
        <v>14120</v>
      </c>
      <c r="M493" s="121">
        <v>9640</v>
      </c>
      <c r="N493" s="121">
        <v>40.5</v>
      </c>
      <c r="O493" s="363">
        <v>4480</v>
      </c>
      <c r="P493" s="363">
        <v>2665.6</v>
      </c>
      <c r="Q493" s="121">
        <v>2024</v>
      </c>
      <c r="R493" s="121"/>
      <c r="S493" s="148">
        <v>45433</v>
      </c>
      <c r="T493" s="363">
        <f>Таблица18[[#This Row],[Вес нетто]]-Таблица18[[#This Row],[Зачетный вес]]</f>
        <v>1814.4</v>
      </c>
      <c r="U493" s="365">
        <f>Таблица18[[#This Row],[Отход]]/Таблица18[[#This Row],[Вес нетто]]</f>
        <v>0.40500000000000003</v>
      </c>
      <c r="V493" s="121">
        <f>MONTH(Таблица18[[#This Row],[Дата акта]])</f>
        <v>5</v>
      </c>
      <c r="W493" s="121">
        <v>21</v>
      </c>
      <c r="X493" s="148">
        <f>DATE(1900,Таблица18[[#This Row],[Месяц]],Таблица18[[#This Row],[Число]])</f>
        <v>142</v>
      </c>
      <c r="Y493" s="121"/>
      <c r="Z493" s="121" t="str">
        <f>Таблица18[[#This Row],[Хар-ка]]</f>
        <v>высший</v>
      </c>
      <c r="AD493" s="459"/>
      <c r="AE493" s="391"/>
    </row>
    <row r="494" spans="1:31" s="325" customFormat="1" ht="15.6" hidden="1" customHeight="1" x14ac:dyDescent="0.2">
      <c r="A494" s="40" t="s">
        <v>2437</v>
      </c>
      <c r="B494" s="360" t="s">
        <v>511</v>
      </c>
      <c r="C494" s="40">
        <v>95</v>
      </c>
      <c r="D494" s="40">
        <v>117510</v>
      </c>
      <c r="E494" s="40" t="s">
        <v>105</v>
      </c>
      <c r="F494" s="40" t="s">
        <v>195</v>
      </c>
      <c r="G494" s="40" t="s">
        <v>199</v>
      </c>
      <c r="H494" s="40" t="s">
        <v>2752</v>
      </c>
      <c r="I494" s="360" t="e">
        <f>VLOOKUP(Таблица18[[#This Row],[Номер акта]],$AB$1:$AF$1833,3,FALSE)</f>
        <v>#N/A</v>
      </c>
      <c r="J494" s="40" t="s">
        <v>747</v>
      </c>
      <c r="K494" s="40" t="s">
        <v>82</v>
      </c>
      <c r="L494" s="121">
        <v>28980</v>
      </c>
      <c r="M494" s="121">
        <v>22350</v>
      </c>
      <c r="N494" s="121">
        <v>38.5</v>
      </c>
      <c r="O494" s="363">
        <v>6630</v>
      </c>
      <c r="P494" s="363">
        <v>4077.4</v>
      </c>
      <c r="Q494" s="121">
        <v>2024</v>
      </c>
      <c r="R494" s="121"/>
      <c r="S494" s="148">
        <v>45433</v>
      </c>
      <c r="T494" s="363">
        <f>Таблица18[[#This Row],[Вес нетто]]-Таблица18[[#This Row],[Зачетный вес]]</f>
        <v>2552.6</v>
      </c>
      <c r="U494" s="365">
        <f>Таблица18[[#This Row],[Отход]]/Таблица18[[#This Row],[Вес нетто]]</f>
        <v>0.38500754147812971</v>
      </c>
      <c r="V494" s="121">
        <f>MONTH(Таблица18[[#This Row],[Дата акта]])</f>
        <v>5</v>
      </c>
      <c r="W494" s="121">
        <v>21</v>
      </c>
      <c r="X494" s="148">
        <f>DATE(1900,Таблица18[[#This Row],[Месяц]],Таблица18[[#This Row],[Число]])</f>
        <v>142</v>
      </c>
      <c r="Y494" s="121"/>
      <c r="Z494" s="121" t="str">
        <f>Таблица18[[#This Row],[Хар-ка]]</f>
        <v>высший</v>
      </c>
      <c r="AD494" s="459"/>
      <c r="AE494" s="391"/>
    </row>
    <row r="495" spans="1:31" s="325" customFormat="1" ht="15.6" hidden="1" customHeight="1" x14ac:dyDescent="0.2">
      <c r="A495" s="40" t="s">
        <v>2438</v>
      </c>
      <c r="B495" s="360" t="s">
        <v>511</v>
      </c>
      <c r="C495" s="40">
        <v>96</v>
      </c>
      <c r="D495" s="40">
        <v>117510</v>
      </c>
      <c r="E495" s="40" t="s">
        <v>105</v>
      </c>
      <c r="F495" s="40" t="s">
        <v>195</v>
      </c>
      <c r="G495" s="40" t="s">
        <v>199</v>
      </c>
      <c r="H495" s="40" t="s">
        <v>2745</v>
      </c>
      <c r="I495" s="360" t="e">
        <f>VLOOKUP(Таблица18[[#This Row],[Номер акта]],$AB$1:$AF$1833,3,FALSE)</f>
        <v>#N/A</v>
      </c>
      <c r="J495" s="40" t="s">
        <v>1753</v>
      </c>
      <c r="K495" s="40" t="s">
        <v>82</v>
      </c>
      <c r="L495" s="121">
        <v>22350</v>
      </c>
      <c r="M495" s="121">
        <v>15140</v>
      </c>
      <c r="N495" s="121">
        <v>43</v>
      </c>
      <c r="O495" s="363">
        <v>7210</v>
      </c>
      <c r="P495" s="363">
        <v>4109.7</v>
      </c>
      <c r="Q495" s="121">
        <v>2024</v>
      </c>
      <c r="R495" s="121"/>
      <c r="S495" s="148">
        <v>45433</v>
      </c>
      <c r="T495" s="363">
        <f>Таблица18[[#This Row],[Вес нетто]]-Таблица18[[#This Row],[Зачетный вес]]</f>
        <v>3100.3</v>
      </c>
      <c r="U495" s="365">
        <f>Таблица18[[#This Row],[Отход]]/Таблица18[[#This Row],[Вес нетто]]</f>
        <v>0.43000000000000005</v>
      </c>
      <c r="V495" s="121">
        <f>MONTH(Таблица18[[#This Row],[Дата акта]])</f>
        <v>5</v>
      </c>
      <c r="W495" s="121">
        <v>21</v>
      </c>
      <c r="X495" s="148">
        <f>DATE(1900,Таблица18[[#This Row],[Месяц]],Таблица18[[#This Row],[Число]])</f>
        <v>142</v>
      </c>
      <c r="Y495" s="121"/>
      <c r="Z495" s="121" t="str">
        <f>Таблица18[[#This Row],[Хар-ка]]</f>
        <v>высший</v>
      </c>
      <c r="AD495" s="459"/>
      <c r="AE495" s="391"/>
    </row>
    <row r="496" spans="1:31" s="325" customFormat="1" ht="15.6" hidden="1" customHeight="1" x14ac:dyDescent="0.2">
      <c r="A496" s="40" t="s">
        <v>2439</v>
      </c>
      <c r="B496" s="360" t="s">
        <v>511</v>
      </c>
      <c r="C496" s="40">
        <v>97</v>
      </c>
      <c r="D496" s="40">
        <v>117512</v>
      </c>
      <c r="E496" s="40" t="s">
        <v>105</v>
      </c>
      <c r="F496" s="40" t="s">
        <v>2747</v>
      </c>
      <c r="G496" s="40" t="s">
        <v>2748</v>
      </c>
      <c r="H496" s="40" t="s">
        <v>2745</v>
      </c>
      <c r="I496" s="360" t="e">
        <f>VLOOKUP(Таблица18[[#This Row],[Номер акта]],$AB$1:$AF$1833,3,FALSE)</f>
        <v>#N/A</v>
      </c>
      <c r="J496" s="40" t="s">
        <v>1753</v>
      </c>
      <c r="K496" s="40" t="s">
        <v>82</v>
      </c>
      <c r="L496" s="121">
        <v>28850</v>
      </c>
      <c r="M496" s="121">
        <v>14910</v>
      </c>
      <c r="N496" s="121">
        <v>33</v>
      </c>
      <c r="O496" s="363">
        <v>13940</v>
      </c>
      <c r="P496" s="363">
        <v>9339.7999999999993</v>
      </c>
      <c r="Q496" s="121">
        <v>2024</v>
      </c>
      <c r="R496" s="121"/>
      <c r="S496" s="148">
        <v>45433</v>
      </c>
      <c r="T496" s="363">
        <f>Таблица18[[#This Row],[Вес нетто]]-Таблица18[[#This Row],[Зачетный вес]]</f>
        <v>4600.2000000000007</v>
      </c>
      <c r="U496" s="365">
        <f>Таблица18[[#This Row],[Отход]]/Таблица18[[#This Row],[Вес нетто]]</f>
        <v>0.33000000000000007</v>
      </c>
      <c r="V496" s="121">
        <f>MONTH(Таблица18[[#This Row],[Дата акта]])</f>
        <v>5</v>
      </c>
      <c r="W496" s="121">
        <v>21</v>
      </c>
      <c r="X496" s="148">
        <f>DATE(1900,Таблица18[[#This Row],[Месяц]],Таблица18[[#This Row],[Число]])</f>
        <v>142</v>
      </c>
      <c r="Y496" s="121"/>
      <c r="Z496" s="121" t="str">
        <f>Таблица18[[#This Row],[Хар-ка]]</f>
        <v>высший</v>
      </c>
      <c r="AD496" s="459"/>
      <c r="AE496" s="391"/>
    </row>
    <row r="497" spans="1:31" s="325" customFormat="1" ht="15.6" hidden="1" customHeight="1" x14ac:dyDescent="0.2">
      <c r="A497" s="40" t="s">
        <v>2440</v>
      </c>
      <c r="B497" s="360" t="s">
        <v>511</v>
      </c>
      <c r="C497" s="40">
        <v>98</v>
      </c>
      <c r="D497" s="40">
        <v>2</v>
      </c>
      <c r="E497" s="40" t="s">
        <v>78</v>
      </c>
      <c r="F497" s="40" t="s">
        <v>127</v>
      </c>
      <c r="G497" s="40" t="s">
        <v>131</v>
      </c>
      <c r="H497" s="40" t="s">
        <v>1752</v>
      </c>
      <c r="I497" s="360" t="e">
        <f>VLOOKUP(Таблица18[[#This Row],[Номер акта]],$AB$1:$AF$1833,3,FALSE)</f>
        <v>#N/A</v>
      </c>
      <c r="J497" s="40" t="s">
        <v>21</v>
      </c>
      <c r="K497" s="40" t="s">
        <v>82</v>
      </c>
      <c r="L497" s="121">
        <v>14010</v>
      </c>
      <c r="M497" s="121">
        <v>9620</v>
      </c>
      <c r="N497" s="121">
        <v>25</v>
      </c>
      <c r="O497" s="363">
        <v>4390</v>
      </c>
      <c r="P497" s="363">
        <v>3292.5</v>
      </c>
      <c r="Q497" s="121">
        <v>2024</v>
      </c>
      <c r="R497" s="121"/>
      <c r="S497" s="148">
        <v>45433</v>
      </c>
      <c r="T497" s="363">
        <f>Таблица18[[#This Row],[Вес нетто]]-Таблица18[[#This Row],[Зачетный вес]]</f>
        <v>1097.5</v>
      </c>
      <c r="U497" s="365">
        <f>Таблица18[[#This Row],[Отход]]/Таблица18[[#This Row],[Вес нетто]]</f>
        <v>0.25</v>
      </c>
      <c r="V497" s="121">
        <f>MONTH(Таблица18[[#This Row],[Дата акта]])</f>
        <v>5</v>
      </c>
      <c r="W497" s="121">
        <v>21</v>
      </c>
      <c r="X497" s="148">
        <f>DATE(1900,Таблица18[[#This Row],[Месяц]],Таблица18[[#This Row],[Число]])</f>
        <v>142</v>
      </c>
      <c r="Y497" s="121"/>
      <c r="Z497" s="121" t="str">
        <f>Таблица18[[#This Row],[Хар-ка]]</f>
        <v>высший</v>
      </c>
      <c r="AD497" s="459"/>
      <c r="AE497" s="391"/>
    </row>
    <row r="498" spans="1:31" s="325" customFormat="1" ht="15.6" hidden="1" customHeight="1" x14ac:dyDescent="0.2">
      <c r="A498" s="40" t="s">
        <v>2441</v>
      </c>
      <c r="B498" s="360" t="s">
        <v>511</v>
      </c>
      <c r="C498" s="40">
        <v>99</v>
      </c>
      <c r="D498" s="40">
        <v>117514</v>
      </c>
      <c r="E498" s="40" t="s">
        <v>105</v>
      </c>
      <c r="F498" s="40" t="s">
        <v>272</v>
      </c>
      <c r="G498" s="40" t="s">
        <v>276</v>
      </c>
      <c r="H498" s="40" t="s">
        <v>2745</v>
      </c>
      <c r="I498" s="360" t="e">
        <f>VLOOKUP(Таблица18[[#This Row],[Номер акта]],$AB$1:$AF$1833,3,FALSE)</f>
        <v>#N/A</v>
      </c>
      <c r="J498" s="40" t="s">
        <v>1753</v>
      </c>
      <c r="K498" s="40" t="s">
        <v>82</v>
      </c>
      <c r="L498" s="121">
        <v>28360</v>
      </c>
      <c r="M498" s="121">
        <v>14550</v>
      </c>
      <c r="N498" s="121">
        <v>41.5</v>
      </c>
      <c r="O498" s="363">
        <v>13810</v>
      </c>
      <c r="P498" s="363">
        <v>8078.8</v>
      </c>
      <c r="Q498" s="121">
        <v>2024</v>
      </c>
      <c r="R498" s="121"/>
      <c r="S498" s="148">
        <v>45434</v>
      </c>
      <c r="T498" s="363">
        <f>Таблица18[[#This Row],[Вес нетто]]-Таблица18[[#This Row],[Зачетный вес]]</f>
        <v>5731.2</v>
      </c>
      <c r="U498" s="365">
        <f>Таблица18[[#This Row],[Отход]]/Таблица18[[#This Row],[Вес нетто]]</f>
        <v>0.41500362056480811</v>
      </c>
      <c r="V498" s="121">
        <f>MONTH(Таблица18[[#This Row],[Дата акта]])</f>
        <v>5</v>
      </c>
      <c r="W498" s="121">
        <v>22</v>
      </c>
      <c r="X498" s="148">
        <f>DATE(1900,Таблица18[[#This Row],[Месяц]],Таблица18[[#This Row],[Число]])</f>
        <v>143</v>
      </c>
      <c r="Y498" s="121"/>
      <c r="Z498" s="121" t="str">
        <f>Таблица18[[#This Row],[Хар-ка]]</f>
        <v>высший</v>
      </c>
      <c r="AD498" s="459"/>
      <c r="AE498" s="391"/>
    </row>
    <row r="499" spans="1:31" s="325" customFormat="1" ht="15.6" hidden="1" customHeight="1" x14ac:dyDescent="0.2">
      <c r="A499" s="40" t="s">
        <v>2442</v>
      </c>
      <c r="B499" s="360" t="s">
        <v>511</v>
      </c>
      <c r="C499" s="40">
        <v>100</v>
      </c>
      <c r="D499" s="40">
        <v>117515</v>
      </c>
      <c r="E499" s="40" t="s">
        <v>105</v>
      </c>
      <c r="F499" s="40" t="s">
        <v>1367</v>
      </c>
      <c r="G499" s="40" t="s">
        <v>1368</v>
      </c>
      <c r="H499" s="40" t="s">
        <v>2745</v>
      </c>
      <c r="I499" s="360" t="e">
        <f>VLOOKUP(Таблица18[[#This Row],[Номер акта]],$AB$1:$AF$1833,3,FALSE)</f>
        <v>#N/A</v>
      </c>
      <c r="J499" s="40" t="s">
        <v>1753</v>
      </c>
      <c r="K499" s="40" t="s">
        <v>82</v>
      </c>
      <c r="L499" s="121">
        <v>28480</v>
      </c>
      <c r="M499" s="121">
        <v>14730</v>
      </c>
      <c r="N499" s="121">
        <v>38</v>
      </c>
      <c r="O499" s="363">
        <v>13750</v>
      </c>
      <c r="P499" s="363">
        <v>8525</v>
      </c>
      <c r="Q499" s="121">
        <v>2024</v>
      </c>
      <c r="R499" s="121"/>
      <c r="S499" s="148">
        <v>45434</v>
      </c>
      <c r="T499" s="363">
        <f>Таблица18[[#This Row],[Вес нетто]]-Таблица18[[#This Row],[Зачетный вес]]</f>
        <v>5225</v>
      </c>
      <c r="U499" s="365">
        <f>Таблица18[[#This Row],[Отход]]/Таблица18[[#This Row],[Вес нетто]]</f>
        <v>0.38</v>
      </c>
      <c r="V499" s="121">
        <f>MONTH(Таблица18[[#This Row],[Дата акта]])</f>
        <v>5</v>
      </c>
      <c r="W499" s="121">
        <v>22</v>
      </c>
      <c r="X499" s="148">
        <f>DATE(1900,Таблица18[[#This Row],[Месяц]],Таблица18[[#This Row],[Число]])</f>
        <v>143</v>
      </c>
      <c r="Y499" s="121"/>
      <c r="Z499" s="121" t="str">
        <f>Таблица18[[#This Row],[Хар-ка]]</f>
        <v>высший</v>
      </c>
      <c r="AD499" s="459"/>
      <c r="AE499" s="391"/>
    </row>
    <row r="500" spans="1:31" s="325" customFormat="1" ht="15.6" hidden="1" customHeight="1" x14ac:dyDescent="0.2">
      <c r="A500" s="40" t="s">
        <v>2443</v>
      </c>
      <c r="B500" s="360" t="s">
        <v>511</v>
      </c>
      <c r="C500" s="40">
        <v>101</v>
      </c>
      <c r="D500" s="40">
        <v>3</v>
      </c>
      <c r="E500" s="40" t="s">
        <v>78</v>
      </c>
      <c r="F500" s="40" t="s">
        <v>127</v>
      </c>
      <c r="G500" s="40" t="s">
        <v>131</v>
      </c>
      <c r="H500" s="40" t="s">
        <v>1752</v>
      </c>
      <c r="I500" s="360" t="e">
        <f>VLOOKUP(Таблица18[[#This Row],[Номер акта]],$AB$1:$AF$1833,3,FALSE)</f>
        <v>#N/A</v>
      </c>
      <c r="J500" s="40" t="s">
        <v>21</v>
      </c>
      <c r="K500" s="40" t="s">
        <v>82</v>
      </c>
      <c r="L500" s="121">
        <v>14130</v>
      </c>
      <c r="M500" s="121">
        <v>9610</v>
      </c>
      <c r="N500" s="121">
        <v>22</v>
      </c>
      <c r="O500" s="363">
        <v>4520</v>
      </c>
      <c r="P500" s="363">
        <v>3525.6</v>
      </c>
      <c r="Q500" s="121">
        <v>2024</v>
      </c>
      <c r="R500" s="121"/>
      <c r="S500" s="148">
        <v>45434</v>
      </c>
      <c r="T500" s="363">
        <f>Таблица18[[#This Row],[Вес нетто]]-Таблица18[[#This Row],[Зачетный вес]]</f>
        <v>994.40000000000009</v>
      </c>
      <c r="U500" s="365">
        <f>Таблица18[[#This Row],[Отход]]/Таблица18[[#This Row],[Вес нетто]]</f>
        <v>0.22000000000000003</v>
      </c>
      <c r="V500" s="121">
        <f>MONTH(Таблица18[[#This Row],[Дата акта]])</f>
        <v>5</v>
      </c>
      <c r="W500" s="121">
        <v>22</v>
      </c>
      <c r="X500" s="148">
        <f>DATE(1900,Таблица18[[#This Row],[Месяц]],Таблица18[[#This Row],[Число]])</f>
        <v>143</v>
      </c>
      <c r="Y500" s="121"/>
      <c r="Z500" s="121" t="str">
        <f>Таблица18[[#This Row],[Хар-ка]]</f>
        <v>высший</v>
      </c>
      <c r="AD500" s="459"/>
      <c r="AE500" s="391"/>
    </row>
    <row r="501" spans="1:31" s="325" customFormat="1" ht="15.6" hidden="1" customHeight="1" x14ac:dyDescent="0.2">
      <c r="A501" s="40" t="s">
        <v>2444</v>
      </c>
      <c r="B501" s="360" t="s">
        <v>511</v>
      </c>
      <c r="C501" s="40">
        <v>102</v>
      </c>
      <c r="D501" s="40">
        <v>117516</v>
      </c>
      <c r="E501" s="40" t="s">
        <v>105</v>
      </c>
      <c r="F501" s="40" t="s">
        <v>2155</v>
      </c>
      <c r="G501" s="40" t="s">
        <v>320</v>
      </c>
      <c r="H501" s="40" t="s">
        <v>2745</v>
      </c>
      <c r="I501" s="360" t="e">
        <f>VLOOKUP(Таблица18[[#This Row],[Номер акта]],$AB$1:$AF$1833,3,FALSE)</f>
        <v>#N/A</v>
      </c>
      <c r="J501" s="40" t="s">
        <v>1753</v>
      </c>
      <c r="K501" s="40" t="s">
        <v>82</v>
      </c>
      <c r="L501" s="121">
        <v>28180</v>
      </c>
      <c r="M501" s="121">
        <v>14360</v>
      </c>
      <c r="N501" s="121">
        <v>38</v>
      </c>
      <c r="O501" s="363">
        <v>13820</v>
      </c>
      <c r="P501" s="363">
        <v>8568.4</v>
      </c>
      <c r="Q501" s="121">
        <v>2024</v>
      </c>
      <c r="R501" s="121"/>
      <c r="S501" s="148">
        <v>45434</v>
      </c>
      <c r="T501" s="363">
        <f>Таблица18[[#This Row],[Вес нетто]]-Таблица18[[#This Row],[Зачетный вес]]</f>
        <v>5251.6</v>
      </c>
      <c r="U501" s="365">
        <f>Таблица18[[#This Row],[Отход]]/Таблица18[[#This Row],[Вес нетто]]</f>
        <v>0.38</v>
      </c>
      <c r="V501" s="121">
        <f>MONTH(Таблица18[[#This Row],[Дата акта]])</f>
        <v>5</v>
      </c>
      <c r="W501" s="121">
        <v>22</v>
      </c>
      <c r="X501" s="148">
        <f>DATE(1900,Таблица18[[#This Row],[Месяц]],Таблица18[[#This Row],[Число]])</f>
        <v>143</v>
      </c>
      <c r="Y501" s="121"/>
      <c r="Z501" s="121" t="str">
        <f>Таблица18[[#This Row],[Хар-ка]]</f>
        <v>высший</v>
      </c>
      <c r="AD501" s="459"/>
      <c r="AE501" s="391"/>
    </row>
    <row r="502" spans="1:31" s="325" customFormat="1" ht="15.6" hidden="1" customHeight="1" x14ac:dyDescent="0.2">
      <c r="A502" s="40" t="s">
        <v>2445</v>
      </c>
      <c r="B502" s="360" t="s">
        <v>511</v>
      </c>
      <c r="C502" s="40">
        <v>103</v>
      </c>
      <c r="D502" s="40">
        <v>117517</v>
      </c>
      <c r="E502" s="40" t="s">
        <v>105</v>
      </c>
      <c r="F502" s="40" t="s">
        <v>2220</v>
      </c>
      <c r="G502" s="40" t="s">
        <v>2221</v>
      </c>
      <c r="H502" s="40" t="s">
        <v>2752</v>
      </c>
      <c r="I502" s="360" t="e">
        <f>VLOOKUP(Таблица18[[#This Row],[Номер акта]],$AB$1:$AF$1833,3,FALSE)</f>
        <v>#N/A</v>
      </c>
      <c r="J502" s="40" t="s">
        <v>747</v>
      </c>
      <c r="K502" s="40" t="s">
        <v>82</v>
      </c>
      <c r="L502" s="121">
        <v>29260</v>
      </c>
      <c r="M502" s="121">
        <v>15640</v>
      </c>
      <c r="N502" s="121">
        <v>32.5</v>
      </c>
      <c r="O502" s="363">
        <v>13620</v>
      </c>
      <c r="P502" s="363">
        <v>9193.5</v>
      </c>
      <c r="Q502" s="121">
        <v>2024</v>
      </c>
      <c r="R502" s="121"/>
      <c r="S502" s="148">
        <v>45434</v>
      </c>
      <c r="T502" s="363">
        <f>Таблица18[[#This Row],[Вес нетто]]-Таблица18[[#This Row],[Зачетный вес]]</f>
        <v>4426.5</v>
      </c>
      <c r="U502" s="365">
        <f>Таблица18[[#This Row],[Отход]]/Таблица18[[#This Row],[Вес нетто]]</f>
        <v>0.32500000000000001</v>
      </c>
      <c r="V502" s="121">
        <f>MONTH(Таблица18[[#This Row],[Дата акта]])</f>
        <v>5</v>
      </c>
      <c r="W502" s="121">
        <v>22</v>
      </c>
      <c r="X502" s="148">
        <f>DATE(1900,Таблица18[[#This Row],[Месяц]],Таблица18[[#This Row],[Число]])</f>
        <v>143</v>
      </c>
      <c r="Y502" s="121"/>
      <c r="Z502" s="121" t="str">
        <f>Таблица18[[#This Row],[Хар-ка]]</f>
        <v>высший</v>
      </c>
      <c r="AD502" s="459"/>
      <c r="AE502" s="391"/>
    </row>
    <row r="503" spans="1:31" s="325" customFormat="1" ht="15.6" hidden="1" customHeight="1" x14ac:dyDescent="0.2">
      <c r="A503" s="40" t="s">
        <v>2446</v>
      </c>
      <c r="B503" s="360" t="s">
        <v>511</v>
      </c>
      <c r="C503" s="40">
        <v>104</v>
      </c>
      <c r="D503" s="40">
        <v>117518</v>
      </c>
      <c r="E503" s="40" t="s">
        <v>105</v>
      </c>
      <c r="F503" s="40" t="s">
        <v>2223</v>
      </c>
      <c r="G503" s="40" t="s">
        <v>2224</v>
      </c>
      <c r="H503" s="40" t="s">
        <v>2752</v>
      </c>
      <c r="I503" s="360" t="e">
        <f>VLOOKUP(Таблица18[[#This Row],[Номер акта]],$AB$1:$AF$1833,3,FALSE)</f>
        <v>#N/A</v>
      </c>
      <c r="J503" s="40" t="s">
        <v>747</v>
      </c>
      <c r="K503" s="40" t="s">
        <v>82</v>
      </c>
      <c r="L503" s="121">
        <v>28120</v>
      </c>
      <c r="M503" s="121">
        <v>14630</v>
      </c>
      <c r="N503" s="121">
        <v>35.5</v>
      </c>
      <c r="O503" s="363">
        <v>13490</v>
      </c>
      <c r="P503" s="363">
        <v>8701</v>
      </c>
      <c r="Q503" s="121">
        <v>2024</v>
      </c>
      <c r="R503" s="121"/>
      <c r="S503" s="148">
        <v>45434</v>
      </c>
      <c r="T503" s="363">
        <f>Таблица18[[#This Row],[Вес нетто]]-Таблица18[[#This Row],[Зачетный вес]]</f>
        <v>4789</v>
      </c>
      <c r="U503" s="365">
        <f>Таблица18[[#This Row],[Отход]]/Таблица18[[#This Row],[Вес нетто]]</f>
        <v>0.35500370644922163</v>
      </c>
      <c r="V503" s="121">
        <f>MONTH(Таблица18[[#This Row],[Дата акта]])</f>
        <v>5</v>
      </c>
      <c r="W503" s="121">
        <v>22</v>
      </c>
      <c r="X503" s="148">
        <f>DATE(1900,Таблица18[[#This Row],[Месяц]],Таблица18[[#This Row],[Число]])</f>
        <v>143</v>
      </c>
      <c r="Y503" s="121"/>
      <c r="Z503" s="121" t="str">
        <f>Таблица18[[#This Row],[Хар-ка]]</f>
        <v>высший</v>
      </c>
      <c r="AD503" s="459"/>
      <c r="AE503" s="391"/>
    </row>
    <row r="504" spans="1:31" s="325" customFormat="1" ht="15.6" hidden="1" customHeight="1" x14ac:dyDescent="0.2">
      <c r="A504" s="40" t="s">
        <v>2447</v>
      </c>
      <c r="B504" s="360" t="s">
        <v>511</v>
      </c>
      <c r="C504" s="40">
        <v>106</v>
      </c>
      <c r="D504" s="40">
        <v>117519</v>
      </c>
      <c r="E504" s="40" t="s">
        <v>105</v>
      </c>
      <c r="F504" s="40" t="s">
        <v>212</v>
      </c>
      <c r="G504" s="40" t="s">
        <v>216</v>
      </c>
      <c r="H504" s="40" t="s">
        <v>2752</v>
      </c>
      <c r="I504" s="360" t="e">
        <f>VLOOKUP(Таблица18[[#This Row],[Номер акта]],$AB$1:$AF$1833,3,FALSE)</f>
        <v>#N/A</v>
      </c>
      <c r="J504" s="40" t="s">
        <v>747</v>
      </c>
      <c r="K504" s="40" t="s">
        <v>82</v>
      </c>
      <c r="L504" s="121">
        <v>27770</v>
      </c>
      <c r="M504" s="121">
        <v>13920</v>
      </c>
      <c r="N504" s="121">
        <v>31.5</v>
      </c>
      <c r="O504" s="363">
        <v>13850</v>
      </c>
      <c r="P504" s="363">
        <v>9487.2000000000007</v>
      </c>
      <c r="Q504" s="121">
        <v>2024</v>
      </c>
      <c r="R504" s="121"/>
      <c r="S504" s="148">
        <v>45434</v>
      </c>
      <c r="T504" s="363">
        <f>Таблица18[[#This Row],[Вес нетто]]-Таблица18[[#This Row],[Зачетный вес]]</f>
        <v>4362.7999999999993</v>
      </c>
      <c r="U504" s="365">
        <f>Таблица18[[#This Row],[Отход]]/Таблица18[[#This Row],[Вес нетто]]</f>
        <v>0.31500361010830319</v>
      </c>
      <c r="V504" s="121">
        <f>MONTH(Таблица18[[#This Row],[Дата акта]])</f>
        <v>5</v>
      </c>
      <c r="W504" s="121">
        <v>22</v>
      </c>
      <c r="X504" s="148">
        <f>DATE(1900,Таблица18[[#This Row],[Месяц]],Таблица18[[#This Row],[Число]])</f>
        <v>143</v>
      </c>
      <c r="Y504" s="121"/>
      <c r="Z504" s="121" t="str">
        <f>Таблица18[[#This Row],[Хар-ка]]</f>
        <v>высший</v>
      </c>
      <c r="AD504" s="459"/>
      <c r="AE504" s="391"/>
    </row>
    <row r="505" spans="1:31" s="325" customFormat="1" ht="15.6" hidden="1" customHeight="1" x14ac:dyDescent="0.2">
      <c r="A505" s="40" t="s">
        <v>2448</v>
      </c>
      <c r="B505" s="360" t="s">
        <v>511</v>
      </c>
      <c r="C505" s="40">
        <v>108</v>
      </c>
      <c r="D505" s="40">
        <v>117522</v>
      </c>
      <c r="E505" s="40" t="s">
        <v>105</v>
      </c>
      <c r="F505" s="40" t="s">
        <v>1843</v>
      </c>
      <c r="G505" s="40" t="s">
        <v>119</v>
      </c>
      <c r="H505" s="40" t="s">
        <v>2752</v>
      </c>
      <c r="I505" s="360" t="e">
        <f>VLOOKUP(Таблица18[[#This Row],[Номер акта]],$AB$1:$AF$1833,3,FALSE)</f>
        <v>#N/A</v>
      </c>
      <c r="J505" s="40" t="s">
        <v>747</v>
      </c>
      <c r="K505" s="40" t="s">
        <v>82</v>
      </c>
      <c r="L505" s="121">
        <v>39750</v>
      </c>
      <c r="M505" s="121">
        <v>28210</v>
      </c>
      <c r="N505" s="121">
        <v>31</v>
      </c>
      <c r="O505" s="363">
        <v>11540</v>
      </c>
      <c r="P505" s="363">
        <v>7962.6</v>
      </c>
      <c r="Q505" s="121">
        <v>2024</v>
      </c>
      <c r="R505" s="121"/>
      <c r="S505" s="148">
        <v>45434</v>
      </c>
      <c r="T505" s="363">
        <f>Таблица18[[#This Row],[Вес нетто]]-Таблица18[[#This Row],[Зачетный вес]]</f>
        <v>3577.3999999999996</v>
      </c>
      <c r="U505" s="365">
        <f>Таблица18[[#This Row],[Отход]]/Таблица18[[#This Row],[Вес нетто]]</f>
        <v>0.30999999999999994</v>
      </c>
      <c r="V505" s="121">
        <f>MONTH(Таблица18[[#This Row],[Дата акта]])</f>
        <v>5</v>
      </c>
      <c r="W505" s="121">
        <v>22</v>
      </c>
      <c r="X505" s="148">
        <f>DATE(1900,Таблица18[[#This Row],[Месяц]],Таблица18[[#This Row],[Число]])</f>
        <v>143</v>
      </c>
      <c r="Y505" s="121"/>
      <c r="Z505" s="121" t="str">
        <f>Таблица18[[#This Row],[Хар-ка]]</f>
        <v>высший</v>
      </c>
      <c r="AD505" s="459"/>
      <c r="AE505" s="391"/>
    </row>
    <row r="506" spans="1:31" s="325" customFormat="1" ht="15.6" hidden="1" customHeight="1" x14ac:dyDescent="0.2">
      <c r="A506" s="40" t="s">
        <v>2449</v>
      </c>
      <c r="B506" s="360" t="s">
        <v>511</v>
      </c>
      <c r="C506" s="40">
        <v>109</v>
      </c>
      <c r="D506" s="40">
        <v>4</v>
      </c>
      <c r="E506" s="40" t="s">
        <v>78</v>
      </c>
      <c r="F506" s="40" t="s">
        <v>127</v>
      </c>
      <c r="G506" s="40" t="s">
        <v>131</v>
      </c>
      <c r="H506" s="40" t="s">
        <v>1752</v>
      </c>
      <c r="I506" s="360" t="e">
        <f>VLOOKUP(Таблица18[[#This Row],[Номер акта]],$AB$1:$AF$1833,3,FALSE)</f>
        <v>#N/A</v>
      </c>
      <c r="J506" s="40" t="s">
        <v>21</v>
      </c>
      <c r="K506" s="40" t="s">
        <v>82</v>
      </c>
      <c r="L506" s="121">
        <v>18690</v>
      </c>
      <c r="M506" s="121">
        <v>9610</v>
      </c>
      <c r="N506" s="121">
        <v>24.5</v>
      </c>
      <c r="O506" s="363">
        <v>9080</v>
      </c>
      <c r="P506" s="363">
        <v>6855.4</v>
      </c>
      <c r="Q506" s="121">
        <v>2024</v>
      </c>
      <c r="R506" s="121"/>
      <c r="S506" s="148">
        <v>45434</v>
      </c>
      <c r="T506" s="363">
        <f>Таблица18[[#This Row],[Вес нетто]]-Таблица18[[#This Row],[Зачетный вес]]</f>
        <v>2224.6000000000004</v>
      </c>
      <c r="U506" s="365">
        <f>Таблица18[[#This Row],[Отход]]/Таблица18[[#This Row],[Вес нетто]]</f>
        <v>0.24500000000000005</v>
      </c>
      <c r="V506" s="121">
        <f>MONTH(Таблица18[[#This Row],[Дата акта]])</f>
        <v>5</v>
      </c>
      <c r="W506" s="121">
        <v>22</v>
      </c>
      <c r="X506" s="148">
        <f>DATE(1900,Таблица18[[#This Row],[Месяц]],Таблица18[[#This Row],[Число]])</f>
        <v>143</v>
      </c>
      <c r="Y506" s="121"/>
      <c r="Z506" s="121" t="str">
        <f>Таблица18[[#This Row],[Хар-ка]]</f>
        <v>высший</v>
      </c>
      <c r="AD506" s="459"/>
      <c r="AE506" s="391"/>
    </row>
    <row r="507" spans="1:31" s="325" customFormat="1" ht="15.6" hidden="1" customHeight="1" x14ac:dyDescent="0.2">
      <c r="A507" s="40" t="s">
        <v>2450</v>
      </c>
      <c r="B507" s="360" t="s">
        <v>511</v>
      </c>
      <c r="C507" s="40">
        <v>110</v>
      </c>
      <c r="D507" s="40">
        <v>117523</v>
      </c>
      <c r="E507" s="40" t="s">
        <v>105</v>
      </c>
      <c r="F507" s="40" t="s">
        <v>2750</v>
      </c>
      <c r="G507" s="40" t="s">
        <v>2751</v>
      </c>
      <c r="H507" s="40" t="s">
        <v>2752</v>
      </c>
      <c r="I507" s="360" t="e">
        <f>VLOOKUP(Таблица18[[#This Row],[Номер акта]],$AB$1:$AF$1833,3,FALSE)</f>
        <v>#N/A</v>
      </c>
      <c r="J507" s="40" t="s">
        <v>747</v>
      </c>
      <c r="K507" s="40" t="s">
        <v>82</v>
      </c>
      <c r="L507" s="121">
        <v>34490</v>
      </c>
      <c r="M507" s="121">
        <v>17320</v>
      </c>
      <c r="N507" s="121">
        <v>28.5</v>
      </c>
      <c r="O507" s="363">
        <v>17170</v>
      </c>
      <c r="P507" s="363">
        <v>12276.5</v>
      </c>
      <c r="Q507" s="121">
        <v>2024</v>
      </c>
      <c r="R507" s="121"/>
      <c r="S507" s="148">
        <v>45434</v>
      </c>
      <c r="T507" s="363">
        <f>Таблица18[[#This Row],[Вес нетто]]-Таблица18[[#This Row],[Зачетный вес]]</f>
        <v>4893.5</v>
      </c>
      <c r="U507" s="365">
        <f>Таблица18[[#This Row],[Отход]]/Таблица18[[#This Row],[Вес нетто]]</f>
        <v>0.28500291205591149</v>
      </c>
      <c r="V507" s="121">
        <f>MONTH(Таблица18[[#This Row],[Дата акта]])</f>
        <v>5</v>
      </c>
      <c r="W507" s="121">
        <v>22</v>
      </c>
      <c r="X507" s="148">
        <f>DATE(1900,Таблица18[[#This Row],[Месяц]],Таблица18[[#This Row],[Число]])</f>
        <v>143</v>
      </c>
      <c r="Y507" s="121"/>
      <c r="Z507" s="121" t="str">
        <f>Таблица18[[#This Row],[Хар-ка]]</f>
        <v>высший</v>
      </c>
      <c r="AD507" s="459"/>
      <c r="AE507" s="391"/>
    </row>
    <row r="508" spans="1:31" s="325" customFormat="1" ht="15.6" hidden="1" customHeight="1" x14ac:dyDescent="0.2">
      <c r="A508" s="40" t="s">
        <v>2451</v>
      </c>
      <c r="B508" s="360" t="s">
        <v>511</v>
      </c>
      <c r="C508" s="40">
        <v>111</v>
      </c>
      <c r="D508" s="40">
        <v>5</v>
      </c>
      <c r="E508" s="40" t="s">
        <v>78</v>
      </c>
      <c r="F508" s="40" t="s">
        <v>1935</v>
      </c>
      <c r="G508" s="40" t="s">
        <v>1813</v>
      </c>
      <c r="H508" s="40" t="s">
        <v>1752</v>
      </c>
      <c r="I508" s="360" t="e">
        <f>VLOOKUP(Таблица18[[#This Row],[Номер акта]],$AB$1:$AF$1833,3,FALSE)</f>
        <v>#N/A</v>
      </c>
      <c r="J508" s="40" t="s">
        <v>21</v>
      </c>
      <c r="K508" s="40" t="s">
        <v>82</v>
      </c>
      <c r="L508" s="121">
        <v>29900</v>
      </c>
      <c r="M508" s="121">
        <v>14230</v>
      </c>
      <c r="N508" s="121">
        <v>22.5</v>
      </c>
      <c r="O508" s="363">
        <v>15670</v>
      </c>
      <c r="P508" s="363">
        <v>12144.2</v>
      </c>
      <c r="Q508" s="121">
        <v>2024</v>
      </c>
      <c r="R508" s="121"/>
      <c r="S508" s="148">
        <v>45434</v>
      </c>
      <c r="T508" s="363">
        <f>Таблица18[[#This Row],[Вес нетто]]-Таблица18[[#This Row],[Зачетный вес]]</f>
        <v>3525.7999999999993</v>
      </c>
      <c r="U508" s="365">
        <f>Таблица18[[#This Row],[Отход]]/Таблица18[[#This Row],[Вес нетто]]</f>
        <v>0.22500319081046583</v>
      </c>
      <c r="V508" s="121">
        <f>MONTH(Таблица18[[#This Row],[Дата акта]])</f>
        <v>5</v>
      </c>
      <c r="W508" s="121">
        <v>22</v>
      </c>
      <c r="X508" s="148">
        <f>DATE(1900,Таблица18[[#This Row],[Месяц]],Таблица18[[#This Row],[Число]])</f>
        <v>143</v>
      </c>
      <c r="Y508" s="121"/>
      <c r="Z508" s="121" t="str">
        <f>Таблица18[[#This Row],[Хар-ка]]</f>
        <v>высший</v>
      </c>
      <c r="AD508" s="459"/>
      <c r="AE508" s="391"/>
    </row>
    <row r="509" spans="1:31" s="325" customFormat="1" ht="15.6" hidden="1" customHeight="1" x14ac:dyDescent="0.2">
      <c r="A509" s="40" t="s">
        <v>2452</v>
      </c>
      <c r="B509" s="360" t="s">
        <v>511</v>
      </c>
      <c r="C509" s="40">
        <v>112</v>
      </c>
      <c r="D509" s="40">
        <v>117524</v>
      </c>
      <c r="E509" s="40" t="s">
        <v>105</v>
      </c>
      <c r="F509" s="40" t="s">
        <v>133</v>
      </c>
      <c r="G509" s="40" t="s">
        <v>137</v>
      </c>
      <c r="H509" s="40" t="s">
        <v>2752</v>
      </c>
      <c r="I509" s="360" t="e">
        <f>VLOOKUP(Таблица18[[#This Row],[Номер акта]],$AB$1:$AF$1833,3,FALSE)</f>
        <v>#N/A</v>
      </c>
      <c r="J509" s="40" t="s">
        <v>747</v>
      </c>
      <c r="K509" s="40" t="s">
        <v>82</v>
      </c>
      <c r="L509" s="121">
        <v>33990</v>
      </c>
      <c r="M509" s="121">
        <v>26720</v>
      </c>
      <c r="N509" s="121">
        <v>29.5</v>
      </c>
      <c r="O509" s="363">
        <v>7270</v>
      </c>
      <c r="P509" s="363">
        <v>5125.3</v>
      </c>
      <c r="Q509" s="121">
        <v>2024</v>
      </c>
      <c r="R509" s="121"/>
      <c r="S509" s="148">
        <v>45434</v>
      </c>
      <c r="T509" s="363">
        <f>Таблица18[[#This Row],[Вес нетто]]-Таблица18[[#This Row],[Зачетный вес]]</f>
        <v>2144.6999999999998</v>
      </c>
      <c r="U509" s="365">
        <f>Таблица18[[#This Row],[Отход]]/Таблица18[[#This Row],[Вес нетто]]</f>
        <v>0.29500687757909211</v>
      </c>
      <c r="V509" s="121">
        <f>MONTH(Таблица18[[#This Row],[Дата акта]])</f>
        <v>5</v>
      </c>
      <c r="W509" s="121">
        <v>22</v>
      </c>
      <c r="X509" s="148">
        <f>DATE(1900,Таблица18[[#This Row],[Месяц]],Таблица18[[#This Row],[Число]])</f>
        <v>143</v>
      </c>
      <c r="Y509" s="121"/>
      <c r="Z509" s="121" t="str">
        <f>Таблица18[[#This Row],[Хар-ка]]</f>
        <v>высший</v>
      </c>
      <c r="AD509" s="459"/>
      <c r="AE509" s="391"/>
    </row>
    <row r="510" spans="1:31" s="325" customFormat="1" ht="15.6" hidden="1" customHeight="1" x14ac:dyDescent="0.2">
      <c r="A510" s="40" t="s">
        <v>2453</v>
      </c>
      <c r="B510" s="360" t="s">
        <v>511</v>
      </c>
      <c r="C510" s="40">
        <v>113</v>
      </c>
      <c r="D510" s="40">
        <v>117524</v>
      </c>
      <c r="E510" s="40" t="s">
        <v>105</v>
      </c>
      <c r="F510" s="40" t="s">
        <v>133</v>
      </c>
      <c r="G510" s="40" t="s">
        <v>137</v>
      </c>
      <c r="H510" s="40" t="s">
        <v>2746</v>
      </c>
      <c r="I510" s="360" t="e">
        <f>VLOOKUP(Таблица18[[#This Row],[Номер акта]],$AB$1:$AF$1833,3,FALSE)</f>
        <v>#N/A</v>
      </c>
      <c r="J510" s="40" t="s">
        <v>747</v>
      </c>
      <c r="K510" s="40" t="s">
        <v>82</v>
      </c>
      <c r="L510" s="121">
        <v>26720</v>
      </c>
      <c r="M510" s="121">
        <v>17200</v>
      </c>
      <c r="N510" s="121">
        <v>39.5</v>
      </c>
      <c r="O510" s="363">
        <v>9520</v>
      </c>
      <c r="P510" s="363">
        <v>5759.6</v>
      </c>
      <c r="Q510" s="121">
        <v>2024</v>
      </c>
      <c r="R510" s="121"/>
      <c r="S510" s="148">
        <v>45434</v>
      </c>
      <c r="T510" s="363">
        <f>Таблица18[[#This Row],[Вес нетто]]-Таблица18[[#This Row],[Зачетный вес]]</f>
        <v>3760.3999999999996</v>
      </c>
      <c r="U510" s="365">
        <f>Таблица18[[#This Row],[Отход]]/Таблица18[[#This Row],[Вес нетто]]</f>
        <v>0.39499999999999996</v>
      </c>
      <c r="V510" s="121">
        <f>MONTH(Таблица18[[#This Row],[Дата акта]])</f>
        <v>5</v>
      </c>
      <c r="W510" s="121">
        <v>22</v>
      </c>
      <c r="X510" s="148">
        <f>DATE(1900,Таблица18[[#This Row],[Месяц]],Таблица18[[#This Row],[Число]])</f>
        <v>143</v>
      </c>
      <c r="Y510" s="121"/>
      <c r="Z510" s="121" t="str">
        <f>Таблица18[[#This Row],[Хар-ка]]</f>
        <v>высший</v>
      </c>
      <c r="AD510" s="459"/>
      <c r="AE510" s="391"/>
    </row>
    <row r="511" spans="1:31" s="325" customFormat="1" ht="15.6" hidden="1" customHeight="1" x14ac:dyDescent="0.2">
      <c r="A511" s="40" t="s">
        <v>2454</v>
      </c>
      <c r="B511" s="360" t="s">
        <v>511</v>
      </c>
      <c r="C511" s="40">
        <v>115</v>
      </c>
      <c r="D511" s="40">
        <v>117528</v>
      </c>
      <c r="E511" s="40" t="s">
        <v>105</v>
      </c>
      <c r="F511" s="40" t="s">
        <v>347</v>
      </c>
      <c r="G511" s="40" t="s">
        <v>351</v>
      </c>
      <c r="H511" s="40" t="s">
        <v>2746</v>
      </c>
      <c r="I511" s="360" t="e">
        <f>VLOOKUP(Таблица18[[#This Row],[Номер акта]],$AB$1:$AF$1833,3,FALSE)</f>
        <v>#N/A</v>
      </c>
      <c r="J511" s="40" t="s">
        <v>747</v>
      </c>
      <c r="K511" s="40" t="s">
        <v>82</v>
      </c>
      <c r="L511" s="121">
        <v>35190</v>
      </c>
      <c r="M511" s="121">
        <v>18530</v>
      </c>
      <c r="N511" s="121">
        <v>41.5</v>
      </c>
      <c r="O511" s="363">
        <v>16660</v>
      </c>
      <c r="P511" s="363">
        <v>9746.1</v>
      </c>
      <c r="Q511" s="121">
        <v>2024</v>
      </c>
      <c r="R511" s="121"/>
      <c r="S511" s="148">
        <v>45435</v>
      </c>
      <c r="T511" s="363">
        <f>Таблица18[[#This Row],[Вес нетто]]-Таблица18[[#This Row],[Зачетный вес]]</f>
        <v>6913.9</v>
      </c>
      <c r="U511" s="365">
        <f>Таблица18[[#This Row],[Отход]]/Таблица18[[#This Row],[Вес нетто]]</f>
        <v>0.41499999999999998</v>
      </c>
      <c r="V511" s="121">
        <f>MONTH(Таблица18[[#This Row],[Дата акта]])</f>
        <v>5</v>
      </c>
      <c r="W511" s="121">
        <v>23</v>
      </c>
      <c r="X511" s="148">
        <f>DATE(1900,Таблица18[[#This Row],[Месяц]],Таблица18[[#This Row],[Число]])</f>
        <v>144</v>
      </c>
      <c r="Y511" s="121"/>
      <c r="Z511" s="121" t="str">
        <f>Таблица18[[#This Row],[Хар-ка]]</f>
        <v>высший</v>
      </c>
      <c r="AD511" s="459"/>
      <c r="AE511" s="391"/>
    </row>
    <row r="512" spans="1:31" s="325" customFormat="1" ht="15.6" hidden="1" customHeight="1" x14ac:dyDescent="0.2">
      <c r="A512" s="40" t="s">
        <v>2455</v>
      </c>
      <c r="B512" s="360" t="s">
        <v>511</v>
      </c>
      <c r="C512" s="40">
        <v>116</v>
      </c>
      <c r="D512" s="40">
        <v>7</v>
      </c>
      <c r="E512" s="40" t="s">
        <v>78</v>
      </c>
      <c r="F512" s="40" t="s">
        <v>1935</v>
      </c>
      <c r="G512" s="40" t="s">
        <v>1813</v>
      </c>
      <c r="H512" s="40" t="s">
        <v>1752</v>
      </c>
      <c r="I512" s="360" t="e">
        <f>VLOOKUP(Таблица18[[#This Row],[Номер акта]],$AB$1:$AF$1833,3,FALSE)</f>
        <v>#N/A</v>
      </c>
      <c r="J512" s="40" t="s">
        <v>21</v>
      </c>
      <c r="K512" s="40" t="s">
        <v>82</v>
      </c>
      <c r="L512" s="121">
        <v>23290</v>
      </c>
      <c r="M512" s="121">
        <v>14210</v>
      </c>
      <c r="N512" s="121">
        <v>28.5</v>
      </c>
      <c r="O512" s="363">
        <v>9080</v>
      </c>
      <c r="P512" s="363">
        <v>6492.2</v>
      </c>
      <c r="Q512" s="121">
        <v>2024</v>
      </c>
      <c r="R512" s="121"/>
      <c r="S512" s="148">
        <v>45435</v>
      </c>
      <c r="T512" s="363">
        <f>Таблица18[[#This Row],[Вес нетто]]-Таблица18[[#This Row],[Зачетный вес]]</f>
        <v>2587.8000000000002</v>
      </c>
      <c r="U512" s="365">
        <f>Таблица18[[#This Row],[Отход]]/Таблица18[[#This Row],[Вес нетто]]</f>
        <v>0.28500000000000003</v>
      </c>
      <c r="V512" s="121">
        <f>MONTH(Таблица18[[#This Row],[Дата акта]])</f>
        <v>5</v>
      </c>
      <c r="W512" s="121">
        <v>23</v>
      </c>
      <c r="X512" s="148">
        <f>DATE(1900,Таблица18[[#This Row],[Месяц]],Таблица18[[#This Row],[Число]])</f>
        <v>144</v>
      </c>
      <c r="Y512" s="121"/>
      <c r="Z512" s="121" t="str">
        <f>Таблица18[[#This Row],[Хар-ка]]</f>
        <v>высший</v>
      </c>
      <c r="AD512" s="459"/>
      <c r="AE512" s="391"/>
    </row>
    <row r="513" spans="1:31" s="325" customFormat="1" ht="15.6" hidden="1" customHeight="1" x14ac:dyDescent="0.2">
      <c r="A513" s="40" t="s">
        <v>2456</v>
      </c>
      <c r="B513" s="360" t="s">
        <v>511</v>
      </c>
      <c r="C513" s="40">
        <v>117</v>
      </c>
      <c r="D513" s="40">
        <v>325</v>
      </c>
      <c r="E513" s="40" t="s">
        <v>105</v>
      </c>
      <c r="F513" s="40" t="s">
        <v>121</v>
      </c>
      <c r="G513" s="40" t="s">
        <v>125</v>
      </c>
      <c r="H513" s="40" t="s">
        <v>2746</v>
      </c>
      <c r="I513" s="360" t="e">
        <f>VLOOKUP(Таблица18[[#This Row],[Номер акта]],$AB$1:$AF$1833,3,FALSE)</f>
        <v>#N/A</v>
      </c>
      <c r="J513" s="40" t="s">
        <v>747</v>
      </c>
      <c r="K513" s="40" t="s">
        <v>82</v>
      </c>
      <c r="L513" s="121">
        <v>28810</v>
      </c>
      <c r="M513" s="121">
        <v>14490</v>
      </c>
      <c r="N513" s="121">
        <v>29.5</v>
      </c>
      <c r="O513" s="363">
        <v>14320</v>
      </c>
      <c r="P513" s="363">
        <v>10095.6</v>
      </c>
      <c r="Q513" s="121">
        <v>2024</v>
      </c>
      <c r="R513" s="121"/>
      <c r="S513" s="148">
        <v>45435</v>
      </c>
      <c r="T513" s="363">
        <f>Таблица18[[#This Row],[Вес нетто]]-Таблица18[[#This Row],[Зачетный вес]]</f>
        <v>4224.3999999999996</v>
      </c>
      <c r="U513" s="365">
        <f>Таблица18[[#This Row],[Отход]]/Таблица18[[#This Row],[Вес нетто]]</f>
        <v>0.29499999999999998</v>
      </c>
      <c r="V513" s="121">
        <f>MONTH(Таблица18[[#This Row],[Дата акта]])</f>
        <v>5</v>
      </c>
      <c r="W513" s="121">
        <v>23</v>
      </c>
      <c r="X513" s="148">
        <f>DATE(1900,Таблица18[[#This Row],[Месяц]],Таблица18[[#This Row],[Число]])</f>
        <v>144</v>
      </c>
      <c r="Y513" s="121"/>
      <c r="Z513" s="121" t="str">
        <f>Таблица18[[#This Row],[Хар-ка]]</f>
        <v>высший</v>
      </c>
      <c r="AD513" s="459"/>
      <c r="AE513" s="391"/>
    </row>
    <row r="514" spans="1:31" s="325" customFormat="1" ht="15.6" hidden="1" customHeight="1" x14ac:dyDescent="0.2">
      <c r="A514" s="40" t="s">
        <v>2457</v>
      </c>
      <c r="B514" s="360" t="s">
        <v>511</v>
      </c>
      <c r="C514" s="40">
        <v>118</v>
      </c>
      <c r="D514" s="40">
        <v>248</v>
      </c>
      <c r="E514" s="40" t="s">
        <v>105</v>
      </c>
      <c r="F514" s="40" t="s">
        <v>2232</v>
      </c>
      <c r="G514" s="40" t="s">
        <v>2233</v>
      </c>
      <c r="H514" s="40" t="s">
        <v>2746</v>
      </c>
      <c r="I514" s="360" t="e">
        <f>VLOOKUP(Таблица18[[#This Row],[Номер акта]],$AB$1:$AF$1833,3,FALSE)</f>
        <v>#N/A</v>
      </c>
      <c r="J514" s="40" t="s">
        <v>747</v>
      </c>
      <c r="K514" s="40" t="s">
        <v>82</v>
      </c>
      <c r="L514" s="121">
        <v>28880</v>
      </c>
      <c r="M514" s="121">
        <v>14720</v>
      </c>
      <c r="N514" s="121">
        <v>33.5</v>
      </c>
      <c r="O514" s="363">
        <v>14160</v>
      </c>
      <c r="P514" s="363">
        <v>9416.4</v>
      </c>
      <c r="Q514" s="121">
        <v>2024</v>
      </c>
      <c r="R514" s="121"/>
      <c r="S514" s="148">
        <v>45435</v>
      </c>
      <c r="T514" s="363">
        <f>Таблица18[[#This Row],[Вес нетто]]-Таблица18[[#This Row],[Зачетный вес]]</f>
        <v>4743.6000000000004</v>
      </c>
      <c r="U514" s="365">
        <f>Таблица18[[#This Row],[Отход]]/Таблица18[[#This Row],[Вес нетто]]</f>
        <v>0.33500000000000002</v>
      </c>
      <c r="V514" s="121">
        <f>MONTH(Таблица18[[#This Row],[Дата акта]])</f>
        <v>5</v>
      </c>
      <c r="W514" s="121">
        <v>23</v>
      </c>
      <c r="X514" s="148">
        <f>DATE(1900,Таблица18[[#This Row],[Месяц]],Таблица18[[#This Row],[Число]])</f>
        <v>144</v>
      </c>
      <c r="Y514" s="121"/>
      <c r="Z514" s="121" t="str">
        <f>Таблица18[[#This Row],[Хар-ка]]</f>
        <v>высший</v>
      </c>
      <c r="AD514" s="459"/>
      <c r="AE514" s="391"/>
    </row>
    <row r="515" spans="1:31" s="325" customFormat="1" ht="15.6" hidden="1" customHeight="1" x14ac:dyDescent="0.2">
      <c r="A515" s="40" t="s">
        <v>2458</v>
      </c>
      <c r="B515" s="360" t="s">
        <v>511</v>
      </c>
      <c r="C515" s="40">
        <v>119</v>
      </c>
      <c r="D515" s="40">
        <v>4</v>
      </c>
      <c r="E515" s="40" t="s">
        <v>78</v>
      </c>
      <c r="F515" s="40" t="s">
        <v>127</v>
      </c>
      <c r="G515" s="40" t="s">
        <v>131</v>
      </c>
      <c r="H515" s="40" t="s">
        <v>1752</v>
      </c>
      <c r="I515" s="360" t="e">
        <f>VLOOKUP(Таблица18[[#This Row],[Номер акта]],$AB$1:$AF$1833,3,FALSE)</f>
        <v>#N/A</v>
      </c>
      <c r="J515" s="40" t="s">
        <v>21</v>
      </c>
      <c r="K515" s="40" t="s">
        <v>82</v>
      </c>
      <c r="L515" s="121">
        <v>23180</v>
      </c>
      <c r="M515" s="121">
        <v>14160</v>
      </c>
      <c r="N515" s="121">
        <v>25.5</v>
      </c>
      <c r="O515" s="363">
        <v>9020</v>
      </c>
      <c r="P515" s="363">
        <v>6719.9</v>
      </c>
      <c r="Q515" s="121">
        <v>2024</v>
      </c>
      <c r="R515" s="121"/>
      <c r="S515" s="148">
        <v>45435</v>
      </c>
      <c r="T515" s="363">
        <f>Таблица18[[#This Row],[Вес нетто]]-Таблица18[[#This Row],[Зачетный вес]]</f>
        <v>2300.1000000000004</v>
      </c>
      <c r="U515" s="365">
        <f>Таблица18[[#This Row],[Отход]]/Таблица18[[#This Row],[Вес нетто]]</f>
        <v>0.25500000000000006</v>
      </c>
      <c r="V515" s="121">
        <f>MONTH(Таблица18[[#This Row],[Дата акта]])</f>
        <v>5</v>
      </c>
      <c r="W515" s="121">
        <v>23</v>
      </c>
      <c r="X515" s="148">
        <f>DATE(1900,Таблица18[[#This Row],[Месяц]],Таблица18[[#This Row],[Число]])</f>
        <v>144</v>
      </c>
      <c r="Y515" s="121"/>
      <c r="Z515" s="121" t="str">
        <f>Таблица18[[#This Row],[Хар-ка]]</f>
        <v>высший</v>
      </c>
      <c r="AD515" s="459"/>
      <c r="AE515" s="391"/>
    </row>
    <row r="516" spans="1:31" s="325" customFormat="1" ht="15.6" hidden="1" customHeight="1" x14ac:dyDescent="0.2">
      <c r="A516" s="40" t="s">
        <v>2459</v>
      </c>
      <c r="B516" s="360"/>
      <c r="C516" s="40">
        <v>120</v>
      </c>
      <c r="D516" s="40" t="s">
        <v>2753</v>
      </c>
      <c r="E516" s="40" t="s">
        <v>105</v>
      </c>
      <c r="F516" s="40" t="s">
        <v>1843</v>
      </c>
      <c r="G516" s="40" t="s">
        <v>119</v>
      </c>
      <c r="H516" s="40" t="s">
        <v>2752</v>
      </c>
      <c r="I516" s="360" t="e">
        <f>VLOOKUP(Таблица18[[#This Row],[Номер акта]],$AB$1:$AF$1833,3,FALSE)</f>
        <v>#N/A</v>
      </c>
      <c r="J516" s="40" t="s">
        <v>747</v>
      </c>
      <c r="K516" s="40" t="s">
        <v>82</v>
      </c>
      <c r="L516" s="121">
        <v>18770</v>
      </c>
      <c r="M516" s="121">
        <v>12250</v>
      </c>
      <c r="N516" s="121">
        <v>100</v>
      </c>
      <c r="O516" s="363">
        <v>6520</v>
      </c>
      <c r="P516" s="363"/>
      <c r="Q516" s="121">
        <v>2024</v>
      </c>
      <c r="R516" s="121"/>
      <c r="S516" s="148">
        <v>45434</v>
      </c>
      <c r="T516" s="363">
        <f>Таблица18[[#This Row],[Вес нетто]]-Таблица18[[#This Row],[Зачетный вес]]</f>
        <v>6520</v>
      </c>
      <c r="U516" s="365">
        <f>Таблица18[[#This Row],[Отход]]/Таблица18[[#This Row],[Вес нетто]]</f>
        <v>1</v>
      </c>
      <c r="V516" s="121">
        <f>MONTH(Таблица18[[#This Row],[Дата акта]])</f>
        <v>5</v>
      </c>
      <c r="W516" s="121">
        <v>22</v>
      </c>
      <c r="X516" s="148">
        <f>DATE(1900,Таблица18[[#This Row],[Месяц]],Таблица18[[#This Row],[Число]])</f>
        <v>143</v>
      </c>
      <c r="Y516" s="121"/>
      <c r="Z516" s="121">
        <f>Таблица18[[#This Row],[Хар-ка]]</f>
        <v>0</v>
      </c>
      <c r="AD516" s="459"/>
      <c r="AE516" s="391"/>
    </row>
    <row r="517" spans="1:31" s="325" customFormat="1" ht="15.6" hidden="1" customHeight="1" x14ac:dyDescent="0.2">
      <c r="A517" s="40" t="s">
        <v>2460</v>
      </c>
      <c r="B517" s="360" t="s">
        <v>511</v>
      </c>
      <c r="C517" s="40">
        <v>122</v>
      </c>
      <c r="D517" s="40">
        <v>8</v>
      </c>
      <c r="E517" s="40" t="s">
        <v>78</v>
      </c>
      <c r="F517" s="40" t="s">
        <v>212</v>
      </c>
      <c r="G517" s="40" t="s">
        <v>216</v>
      </c>
      <c r="H517" s="40" t="s">
        <v>1752</v>
      </c>
      <c r="I517" s="360" t="e">
        <f>VLOOKUP(Таблица18[[#This Row],[Номер акта]],$AB$1:$AF$1833,3,FALSE)</f>
        <v>#N/A</v>
      </c>
      <c r="J517" s="40" t="s">
        <v>21</v>
      </c>
      <c r="K517" s="40" t="s">
        <v>82</v>
      </c>
      <c r="L517" s="121">
        <v>23660</v>
      </c>
      <c r="M517" s="121">
        <v>13880</v>
      </c>
      <c r="N517" s="121">
        <v>24</v>
      </c>
      <c r="O517" s="363">
        <v>9780</v>
      </c>
      <c r="P517" s="363">
        <v>7432.8</v>
      </c>
      <c r="Q517" s="121">
        <v>2024</v>
      </c>
      <c r="R517" s="121"/>
      <c r="S517" s="148">
        <v>45435</v>
      </c>
      <c r="T517" s="363">
        <f>Таблица18[[#This Row],[Вес нетто]]-Таблица18[[#This Row],[Зачетный вес]]</f>
        <v>2347.1999999999998</v>
      </c>
      <c r="U517" s="365">
        <f>Таблица18[[#This Row],[Отход]]/Таблица18[[#This Row],[Вес нетто]]</f>
        <v>0.24</v>
      </c>
      <c r="V517" s="121">
        <f>MONTH(Таблица18[[#This Row],[Дата акта]])</f>
        <v>5</v>
      </c>
      <c r="W517" s="121">
        <v>23</v>
      </c>
      <c r="X517" s="148">
        <f>DATE(1900,Таблица18[[#This Row],[Месяц]],Таблица18[[#This Row],[Число]])</f>
        <v>144</v>
      </c>
      <c r="Y517" s="121"/>
      <c r="Z517" s="121" t="str">
        <f>Таблица18[[#This Row],[Хар-ка]]</f>
        <v>высший</v>
      </c>
      <c r="AD517" s="459"/>
      <c r="AE517" s="391"/>
    </row>
    <row r="518" spans="1:31" s="325" customFormat="1" ht="15.6" hidden="1" customHeight="1" x14ac:dyDescent="0.2">
      <c r="A518" s="40" t="s">
        <v>2461</v>
      </c>
      <c r="B518" s="360" t="s">
        <v>511</v>
      </c>
      <c r="C518" s="40">
        <v>123</v>
      </c>
      <c r="D518" s="40">
        <v>117529</v>
      </c>
      <c r="E518" s="40" t="s">
        <v>105</v>
      </c>
      <c r="F518" s="40" t="s">
        <v>790</v>
      </c>
      <c r="G518" s="40" t="s">
        <v>243</v>
      </c>
      <c r="H518" s="40" t="s">
        <v>2746</v>
      </c>
      <c r="I518" s="360" t="e">
        <f>VLOOKUP(Таблица18[[#This Row],[Номер акта]],$AB$1:$AF$1833,3,FALSE)</f>
        <v>#N/A</v>
      </c>
      <c r="J518" s="40" t="s">
        <v>747</v>
      </c>
      <c r="K518" s="40" t="s">
        <v>82</v>
      </c>
      <c r="L518" s="121">
        <v>28360</v>
      </c>
      <c r="M518" s="121">
        <v>14380</v>
      </c>
      <c r="N518" s="121">
        <v>31.5</v>
      </c>
      <c r="O518" s="363">
        <v>13980</v>
      </c>
      <c r="P518" s="363">
        <v>9576.2999999999993</v>
      </c>
      <c r="Q518" s="121">
        <v>2024</v>
      </c>
      <c r="R518" s="121"/>
      <c r="S518" s="148">
        <v>45435</v>
      </c>
      <c r="T518" s="363">
        <f>Таблица18[[#This Row],[Вес нетто]]-Таблица18[[#This Row],[Зачетный вес]]</f>
        <v>4403.7000000000007</v>
      </c>
      <c r="U518" s="365">
        <f>Таблица18[[#This Row],[Отход]]/Таблица18[[#This Row],[Вес нетто]]</f>
        <v>0.31500000000000006</v>
      </c>
      <c r="V518" s="121">
        <f>MONTH(Таблица18[[#This Row],[Дата акта]])</f>
        <v>5</v>
      </c>
      <c r="W518" s="121">
        <v>23</v>
      </c>
      <c r="X518" s="148">
        <f>DATE(1900,Таблица18[[#This Row],[Месяц]],Таблица18[[#This Row],[Число]])</f>
        <v>144</v>
      </c>
      <c r="Y518" s="121"/>
      <c r="Z518" s="121" t="str">
        <f>Таблица18[[#This Row],[Хар-ка]]</f>
        <v>высший</v>
      </c>
      <c r="AD518" s="459"/>
      <c r="AE518" s="391"/>
    </row>
    <row r="519" spans="1:31" s="325" customFormat="1" ht="15.6" hidden="1" customHeight="1" x14ac:dyDescent="0.2">
      <c r="A519" s="40" t="s">
        <v>2462</v>
      </c>
      <c r="B519" s="360" t="s">
        <v>511</v>
      </c>
      <c r="C519" s="40">
        <v>125</v>
      </c>
      <c r="D519" s="40">
        <v>9</v>
      </c>
      <c r="E519" s="40" t="s">
        <v>78</v>
      </c>
      <c r="F519" s="40" t="s">
        <v>212</v>
      </c>
      <c r="G519" s="40" t="s">
        <v>216</v>
      </c>
      <c r="H519" s="40" t="s">
        <v>1752</v>
      </c>
      <c r="I519" s="360" t="e">
        <f>VLOOKUP(Таблица18[[#This Row],[Номер акта]],$AB$1:$AF$1833,3,FALSE)</f>
        <v>#N/A</v>
      </c>
      <c r="J519" s="40" t="s">
        <v>21</v>
      </c>
      <c r="K519" s="40" t="s">
        <v>82</v>
      </c>
      <c r="L519" s="121">
        <v>23300</v>
      </c>
      <c r="M519" s="121">
        <v>13770</v>
      </c>
      <c r="N519" s="121">
        <v>29.5</v>
      </c>
      <c r="O519" s="363">
        <v>9530</v>
      </c>
      <c r="P519" s="363">
        <v>6718.6</v>
      </c>
      <c r="Q519" s="121">
        <v>2024</v>
      </c>
      <c r="R519" s="121"/>
      <c r="S519" s="148">
        <v>45435</v>
      </c>
      <c r="T519" s="363">
        <f>Таблица18[[#This Row],[Вес нетто]]-Таблица18[[#This Row],[Зачетный вес]]</f>
        <v>2811.3999999999996</v>
      </c>
      <c r="U519" s="365">
        <f>Таблица18[[#This Row],[Отход]]/Таблица18[[#This Row],[Вес нетто]]</f>
        <v>0.29500524658971666</v>
      </c>
      <c r="V519" s="121">
        <f>MONTH(Таблица18[[#This Row],[Дата акта]])</f>
        <v>5</v>
      </c>
      <c r="W519" s="121">
        <v>23</v>
      </c>
      <c r="X519" s="148">
        <f>DATE(1900,Таблица18[[#This Row],[Месяц]],Таблица18[[#This Row],[Число]])</f>
        <v>144</v>
      </c>
      <c r="Y519" s="121"/>
      <c r="Z519" s="121" t="str">
        <f>Таблица18[[#This Row],[Хар-ка]]</f>
        <v>высший</v>
      </c>
      <c r="AD519" s="459"/>
      <c r="AE519" s="391"/>
    </row>
    <row r="520" spans="1:31" s="325" customFormat="1" ht="15.6" hidden="1" customHeight="1" x14ac:dyDescent="0.2">
      <c r="A520" s="40" t="s">
        <v>2463</v>
      </c>
      <c r="B520" s="360" t="s">
        <v>511</v>
      </c>
      <c r="C520" s="40">
        <v>126</v>
      </c>
      <c r="D520" s="40">
        <v>117530</v>
      </c>
      <c r="E520" s="40" t="s">
        <v>105</v>
      </c>
      <c r="F520" s="40" t="s">
        <v>2155</v>
      </c>
      <c r="G520" s="40" t="s">
        <v>320</v>
      </c>
      <c r="H520" s="40" t="s">
        <v>2746</v>
      </c>
      <c r="I520" s="360" t="e">
        <f>VLOOKUP(Таблица18[[#This Row],[Номер акта]],$AB$1:$AF$1833,3,FALSE)</f>
        <v>#N/A</v>
      </c>
      <c r="J520" s="40" t="s">
        <v>747</v>
      </c>
      <c r="K520" s="40" t="s">
        <v>82</v>
      </c>
      <c r="L520" s="121">
        <v>28710</v>
      </c>
      <c r="M520" s="121">
        <v>14370</v>
      </c>
      <c r="N520" s="121">
        <v>32.5</v>
      </c>
      <c r="O520" s="363">
        <v>14340</v>
      </c>
      <c r="P520" s="363">
        <v>9679.5</v>
      </c>
      <c r="Q520" s="121">
        <v>2024</v>
      </c>
      <c r="R520" s="121"/>
      <c r="S520" s="148">
        <v>45435</v>
      </c>
      <c r="T520" s="363">
        <f>Таблица18[[#This Row],[Вес нетто]]-Таблица18[[#This Row],[Зачетный вес]]</f>
        <v>4660.5</v>
      </c>
      <c r="U520" s="365">
        <f>Таблица18[[#This Row],[Отход]]/Таблица18[[#This Row],[Вес нетто]]</f>
        <v>0.32500000000000001</v>
      </c>
      <c r="V520" s="121">
        <f>MONTH(Таблица18[[#This Row],[Дата акта]])</f>
        <v>5</v>
      </c>
      <c r="W520" s="121">
        <v>23</v>
      </c>
      <c r="X520" s="148">
        <f>DATE(1900,Таблица18[[#This Row],[Месяц]],Таблица18[[#This Row],[Число]])</f>
        <v>144</v>
      </c>
      <c r="Y520" s="121"/>
      <c r="Z520" s="121" t="str">
        <f>Таблица18[[#This Row],[Хар-ка]]</f>
        <v>высший</v>
      </c>
      <c r="AD520" s="459"/>
      <c r="AE520" s="391"/>
    </row>
    <row r="521" spans="1:31" s="325" customFormat="1" ht="15.6" hidden="1" customHeight="1" x14ac:dyDescent="0.2">
      <c r="A521" s="40" t="s">
        <v>2464</v>
      </c>
      <c r="B521" s="360" t="s">
        <v>511</v>
      </c>
      <c r="C521" s="40">
        <v>127</v>
      </c>
      <c r="D521" s="40">
        <v>10</v>
      </c>
      <c r="E521" s="40" t="s">
        <v>78</v>
      </c>
      <c r="F521" s="40" t="s">
        <v>239</v>
      </c>
      <c r="G521" s="40" t="s">
        <v>243</v>
      </c>
      <c r="H521" s="40" t="s">
        <v>1752</v>
      </c>
      <c r="I521" s="360" t="e">
        <f>VLOOKUP(Таблица18[[#This Row],[Номер акта]],$AB$1:$AF$1833,3,FALSE)</f>
        <v>#N/A</v>
      </c>
      <c r="J521" s="40" t="s">
        <v>21</v>
      </c>
      <c r="K521" s="40" t="s">
        <v>82</v>
      </c>
      <c r="L521" s="121">
        <v>24110</v>
      </c>
      <c r="M521" s="121">
        <v>14450</v>
      </c>
      <c r="N521" s="121">
        <v>28.5</v>
      </c>
      <c r="O521" s="363">
        <v>9660</v>
      </c>
      <c r="P521" s="363">
        <v>6906.9</v>
      </c>
      <c r="Q521" s="121">
        <v>2024</v>
      </c>
      <c r="R521" s="121"/>
      <c r="S521" s="148">
        <v>45435</v>
      </c>
      <c r="T521" s="363">
        <f>Таблица18[[#This Row],[Вес нетто]]-Таблица18[[#This Row],[Зачетный вес]]</f>
        <v>2753.1000000000004</v>
      </c>
      <c r="U521" s="365">
        <f>Таблица18[[#This Row],[Отход]]/Таблица18[[#This Row],[Вес нетто]]</f>
        <v>0.28500000000000003</v>
      </c>
      <c r="V521" s="121">
        <f>MONTH(Таблица18[[#This Row],[Дата акта]])</f>
        <v>5</v>
      </c>
      <c r="W521" s="121">
        <v>23</v>
      </c>
      <c r="X521" s="148">
        <f>DATE(1900,Таблица18[[#This Row],[Месяц]],Таблица18[[#This Row],[Число]])</f>
        <v>144</v>
      </c>
      <c r="Y521" s="121"/>
      <c r="Z521" s="121" t="str">
        <f>Таблица18[[#This Row],[Хар-ка]]</f>
        <v>высший</v>
      </c>
      <c r="AD521" s="459"/>
      <c r="AE521" s="391"/>
    </row>
    <row r="522" spans="1:31" s="325" customFormat="1" ht="15.6" hidden="1" customHeight="1" x14ac:dyDescent="0.2">
      <c r="A522" s="40" t="s">
        <v>2465</v>
      </c>
      <c r="B522" s="360" t="s">
        <v>511</v>
      </c>
      <c r="C522" s="40">
        <v>128</v>
      </c>
      <c r="D522" s="40">
        <v>117523</v>
      </c>
      <c r="E522" s="40" t="s">
        <v>105</v>
      </c>
      <c r="F522" s="40" t="s">
        <v>2750</v>
      </c>
      <c r="G522" s="40" t="s">
        <v>2751</v>
      </c>
      <c r="H522" s="40" t="s">
        <v>2746</v>
      </c>
      <c r="I522" s="360" t="e">
        <f>VLOOKUP(Таблица18[[#This Row],[Номер акта]],$AB$1:$AF$1833,3,FALSE)</f>
        <v>#N/A</v>
      </c>
      <c r="J522" s="40" t="s">
        <v>747</v>
      </c>
      <c r="K522" s="40" t="s">
        <v>82</v>
      </c>
      <c r="L522" s="121">
        <v>34130</v>
      </c>
      <c r="M522" s="121">
        <v>17190</v>
      </c>
      <c r="N522" s="121">
        <v>28.5</v>
      </c>
      <c r="O522" s="363">
        <v>16940</v>
      </c>
      <c r="P522" s="363">
        <v>12112.1</v>
      </c>
      <c r="Q522" s="121">
        <v>2024</v>
      </c>
      <c r="R522" s="121"/>
      <c r="S522" s="148">
        <v>45435</v>
      </c>
      <c r="T522" s="363">
        <f>Таблица18[[#This Row],[Вес нетто]]-Таблица18[[#This Row],[Зачетный вес]]</f>
        <v>4827.8999999999996</v>
      </c>
      <c r="U522" s="365">
        <f>Таблица18[[#This Row],[Отход]]/Таблица18[[#This Row],[Вес нетто]]</f>
        <v>0.28499999999999998</v>
      </c>
      <c r="V522" s="121">
        <f>MONTH(Таблица18[[#This Row],[Дата акта]])</f>
        <v>5</v>
      </c>
      <c r="W522" s="121">
        <v>23</v>
      </c>
      <c r="X522" s="148">
        <f>DATE(1900,Таблица18[[#This Row],[Месяц]],Таблица18[[#This Row],[Число]])</f>
        <v>144</v>
      </c>
      <c r="Y522" s="121"/>
      <c r="Z522" s="121" t="str">
        <f>Таблица18[[#This Row],[Хар-ка]]</f>
        <v>высший</v>
      </c>
      <c r="AD522" s="459"/>
      <c r="AE522" s="391"/>
    </row>
    <row r="523" spans="1:31" s="325" customFormat="1" ht="15.6" hidden="1" customHeight="1" x14ac:dyDescent="0.2">
      <c r="A523" s="40" t="s">
        <v>2466</v>
      </c>
      <c r="B523" s="360" t="s">
        <v>511</v>
      </c>
      <c r="C523" s="40">
        <v>129</v>
      </c>
      <c r="D523" s="40">
        <v>117532</v>
      </c>
      <c r="E523" s="40" t="s">
        <v>105</v>
      </c>
      <c r="F523" s="40" t="s">
        <v>195</v>
      </c>
      <c r="G523" s="40" t="s">
        <v>199</v>
      </c>
      <c r="H523" s="40" t="s">
        <v>2746</v>
      </c>
      <c r="I523" s="360" t="e">
        <f>VLOOKUP(Таблица18[[#This Row],[Номер акта]],$AB$1:$AF$1833,3,FALSE)</f>
        <v>#N/A</v>
      </c>
      <c r="J523" s="40" t="s">
        <v>747</v>
      </c>
      <c r="K523" s="40" t="s">
        <v>82</v>
      </c>
      <c r="L523" s="121">
        <v>32070</v>
      </c>
      <c r="M523" s="121">
        <v>15160</v>
      </c>
      <c r="N523" s="121">
        <v>42</v>
      </c>
      <c r="O523" s="363">
        <v>16910</v>
      </c>
      <c r="P523" s="363">
        <v>9807.7999999999993</v>
      </c>
      <c r="Q523" s="121">
        <v>2024</v>
      </c>
      <c r="R523" s="121"/>
      <c r="S523" s="148">
        <v>45435</v>
      </c>
      <c r="T523" s="363">
        <f>Таблица18[[#This Row],[Вес нетто]]-Таблица18[[#This Row],[Зачетный вес]]</f>
        <v>7102.2000000000007</v>
      </c>
      <c r="U523" s="365">
        <f>Таблица18[[#This Row],[Отход]]/Таблица18[[#This Row],[Вес нетто]]</f>
        <v>0.42000000000000004</v>
      </c>
      <c r="V523" s="121">
        <f>MONTH(Таблица18[[#This Row],[Дата акта]])</f>
        <v>5</v>
      </c>
      <c r="W523" s="121">
        <v>23</v>
      </c>
      <c r="X523" s="148">
        <f>DATE(1900,Таблица18[[#This Row],[Месяц]],Таблица18[[#This Row],[Число]])</f>
        <v>144</v>
      </c>
      <c r="Y523" s="121"/>
      <c r="Z523" s="121" t="str">
        <f>Таблица18[[#This Row],[Хар-ка]]</f>
        <v>высший</v>
      </c>
      <c r="AD523" s="459"/>
      <c r="AE523" s="391"/>
    </row>
    <row r="524" spans="1:31" s="325" customFormat="1" ht="15.6" hidden="1" customHeight="1" x14ac:dyDescent="0.2">
      <c r="A524" s="40" t="s">
        <v>2467</v>
      </c>
      <c r="B524" s="360" t="s">
        <v>511</v>
      </c>
      <c r="C524" s="40">
        <v>130</v>
      </c>
      <c r="D524" s="40">
        <v>11</v>
      </c>
      <c r="E524" s="40" t="s">
        <v>78</v>
      </c>
      <c r="F524" s="40" t="s">
        <v>212</v>
      </c>
      <c r="G524" s="40" t="s">
        <v>216</v>
      </c>
      <c r="H524" s="40" t="s">
        <v>1752</v>
      </c>
      <c r="I524" s="360" t="e">
        <f>VLOOKUP(Таблица18[[#This Row],[Номер акта]],$AB$1:$AF$1833,3,FALSE)</f>
        <v>#N/A</v>
      </c>
      <c r="J524" s="40" t="s">
        <v>1753</v>
      </c>
      <c r="K524" s="40" t="s">
        <v>82</v>
      </c>
      <c r="L524" s="121">
        <v>25260</v>
      </c>
      <c r="M524" s="121">
        <v>20200</v>
      </c>
      <c r="N524" s="121">
        <v>39</v>
      </c>
      <c r="O524" s="363">
        <v>5060</v>
      </c>
      <c r="P524" s="363">
        <v>3086.6</v>
      </c>
      <c r="Q524" s="121">
        <v>2024</v>
      </c>
      <c r="R524" s="121"/>
      <c r="S524" s="148">
        <v>45435</v>
      </c>
      <c r="T524" s="363">
        <f>Таблица18[[#This Row],[Вес нетто]]-Таблица18[[#This Row],[Зачетный вес]]</f>
        <v>1973.4</v>
      </c>
      <c r="U524" s="365">
        <f>Таблица18[[#This Row],[Отход]]/Таблица18[[#This Row],[Вес нетто]]</f>
        <v>0.39</v>
      </c>
      <c r="V524" s="121">
        <f>MONTH(Таблица18[[#This Row],[Дата акта]])</f>
        <v>5</v>
      </c>
      <c r="W524" s="121">
        <v>23</v>
      </c>
      <c r="X524" s="148">
        <f>DATE(1900,Таблица18[[#This Row],[Месяц]],Таблица18[[#This Row],[Число]])</f>
        <v>144</v>
      </c>
      <c r="Y524" s="121"/>
      <c r="Z524" s="121" t="str">
        <f>Таблица18[[#This Row],[Хар-ка]]</f>
        <v>высший</v>
      </c>
      <c r="AD524" s="459"/>
      <c r="AE524" s="391"/>
    </row>
    <row r="525" spans="1:31" s="325" customFormat="1" ht="15.6" hidden="1" customHeight="1" x14ac:dyDescent="0.2">
      <c r="A525" s="40" t="s">
        <v>2468</v>
      </c>
      <c r="B525" s="360" t="s">
        <v>511</v>
      </c>
      <c r="C525" s="40">
        <v>131</v>
      </c>
      <c r="D525" s="40">
        <v>11</v>
      </c>
      <c r="E525" s="40" t="s">
        <v>78</v>
      </c>
      <c r="F525" s="40" t="s">
        <v>212</v>
      </c>
      <c r="G525" s="40" t="s">
        <v>216</v>
      </c>
      <c r="H525" s="40" t="s">
        <v>1752</v>
      </c>
      <c r="I525" s="360" t="e">
        <f>VLOOKUP(Таблица18[[#This Row],[Номер акта]],$AB$1:$AF$1833,3,FALSE)</f>
        <v>#N/A</v>
      </c>
      <c r="J525" s="40" t="s">
        <v>21</v>
      </c>
      <c r="K525" s="40" t="s">
        <v>82</v>
      </c>
      <c r="L525" s="121">
        <v>20200</v>
      </c>
      <c r="M525" s="121">
        <v>13760</v>
      </c>
      <c r="N525" s="121">
        <v>33</v>
      </c>
      <c r="O525" s="363">
        <v>6440</v>
      </c>
      <c r="P525" s="363">
        <v>4314.8</v>
      </c>
      <c r="Q525" s="121">
        <v>2024</v>
      </c>
      <c r="R525" s="121"/>
      <c r="S525" s="148">
        <v>45435</v>
      </c>
      <c r="T525" s="363">
        <f>Таблица18[[#This Row],[Вес нетто]]-Таблица18[[#This Row],[Зачетный вес]]</f>
        <v>2125.1999999999998</v>
      </c>
      <c r="U525" s="365">
        <f>Таблица18[[#This Row],[Отход]]/Таблица18[[#This Row],[Вес нетто]]</f>
        <v>0.32999999999999996</v>
      </c>
      <c r="V525" s="121">
        <f>MONTH(Таблица18[[#This Row],[Дата акта]])</f>
        <v>5</v>
      </c>
      <c r="W525" s="121">
        <v>23</v>
      </c>
      <c r="X525" s="148">
        <f>DATE(1900,Таблица18[[#This Row],[Месяц]],Таблица18[[#This Row],[Число]])</f>
        <v>144</v>
      </c>
      <c r="Y525" s="121"/>
      <c r="Z525" s="121" t="str">
        <f>Таблица18[[#This Row],[Хар-ка]]</f>
        <v>высший</v>
      </c>
      <c r="AD525" s="459"/>
      <c r="AE525" s="391"/>
    </row>
    <row r="526" spans="1:31" s="325" customFormat="1" ht="15.6" hidden="1" customHeight="1" x14ac:dyDescent="0.2">
      <c r="A526" s="40" t="s">
        <v>2469</v>
      </c>
      <c r="B526" s="360" t="s">
        <v>511</v>
      </c>
      <c r="C526" s="40">
        <v>132</v>
      </c>
      <c r="D526" s="40">
        <v>12</v>
      </c>
      <c r="E526" s="40" t="s">
        <v>78</v>
      </c>
      <c r="F526" s="40" t="s">
        <v>239</v>
      </c>
      <c r="G526" s="40" t="s">
        <v>243</v>
      </c>
      <c r="H526" s="40" t="s">
        <v>1751</v>
      </c>
      <c r="I526" s="360" t="e">
        <f>VLOOKUP(Таблица18[[#This Row],[Номер акта]],$AB$1:$AF$1833,3,FALSE)</f>
        <v>#N/A</v>
      </c>
      <c r="J526" s="40" t="s">
        <v>21</v>
      </c>
      <c r="K526" s="40" t="s">
        <v>82</v>
      </c>
      <c r="L526" s="121">
        <v>23820</v>
      </c>
      <c r="M526" s="121">
        <v>14440</v>
      </c>
      <c r="N526" s="121">
        <v>26.5</v>
      </c>
      <c r="O526" s="363">
        <v>9380</v>
      </c>
      <c r="P526" s="363">
        <v>6894.3</v>
      </c>
      <c r="Q526" s="121">
        <v>2024</v>
      </c>
      <c r="R526" s="121"/>
      <c r="S526" s="148">
        <v>45436</v>
      </c>
      <c r="T526" s="363">
        <f>Таблица18[[#This Row],[Вес нетто]]-Таблица18[[#This Row],[Зачетный вес]]</f>
        <v>2485.6999999999998</v>
      </c>
      <c r="U526" s="365">
        <f>Таблица18[[#This Row],[Отход]]/Таблица18[[#This Row],[Вес нетто]]</f>
        <v>0.26499999999999996</v>
      </c>
      <c r="V526" s="121">
        <f>MONTH(Таблица18[[#This Row],[Дата акта]])</f>
        <v>5</v>
      </c>
      <c r="W526" s="121">
        <v>24</v>
      </c>
      <c r="X526" s="148">
        <f>DATE(1900,Таблица18[[#This Row],[Месяц]],Таблица18[[#This Row],[Число]])</f>
        <v>145</v>
      </c>
      <c r="Y526" s="121"/>
      <c r="Z526" s="121" t="str">
        <f>Таблица18[[#This Row],[Хар-ка]]</f>
        <v>высший</v>
      </c>
      <c r="AD526" s="459"/>
      <c r="AE526" s="391"/>
    </row>
    <row r="527" spans="1:31" s="325" customFormat="1" ht="15.6" hidden="1" customHeight="1" x14ac:dyDescent="0.2">
      <c r="A527" s="40" t="s">
        <v>2470</v>
      </c>
      <c r="B527" s="360" t="s">
        <v>511</v>
      </c>
      <c r="C527" s="40">
        <v>133</v>
      </c>
      <c r="D527" s="40">
        <v>13</v>
      </c>
      <c r="E527" s="40" t="s">
        <v>78</v>
      </c>
      <c r="F527" s="40" t="s">
        <v>212</v>
      </c>
      <c r="G527" s="40" t="s">
        <v>216</v>
      </c>
      <c r="H527" s="40" t="s">
        <v>1751</v>
      </c>
      <c r="I527" s="360" t="e">
        <f>VLOOKUP(Таблица18[[#This Row],[Номер акта]],$AB$1:$AF$1833,3,FALSE)</f>
        <v>#N/A</v>
      </c>
      <c r="J527" s="40" t="s">
        <v>21</v>
      </c>
      <c r="K527" s="40" t="s">
        <v>82</v>
      </c>
      <c r="L527" s="121">
        <v>23150</v>
      </c>
      <c r="M527" s="121">
        <v>13840</v>
      </c>
      <c r="N527" s="121">
        <v>31</v>
      </c>
      <c r="O527" s="363">
        <v>9310</v>
      </c>
      <c r="P527" s="363">
        <v>6423.9</v>
      </c>
      <c r="Q527" s="121">
        <v>2024</v>
      </c>
      <c r="R527" s="121"/>
      <c r="S527" s="148">
        <v>45436</v>
      </c>
      <c r="T527" s="363">
        <f>Таблица18[[#This Row],[Вес нетто]]-Таблица18[[#This Row],[Зачетный вес]]</f>
        <v>2886.1000000000004</v>
      </c>
      <c r="U527" s="365">
        <f>Таблица18[[#This Row],[Отход]]/Таблица18[[#This Row],[Вес нетто]]</f>
        <v>0.31000000000000005</v>
      </c>
      <c r="V527" s="121">
        <f>MONTH(Таблица18[[#This Row],[Дата акта]])</f>
        <v>5</v>
      </c>
      <c r="W527" s="121">
        <v>24</v>
      </c>
      <c r="X527" s="148">
        <f>DATE(1900,Таблица18[[#This Row],[Месяц]],Таблица18[[#This Row],[Число]])</f>
        <v>145</v>
      </c>
      <c r="Y527" s="121"/>
      <c r="Z527" s="121" t="str">
        <f>Таблица18[[#This Row],[Хар-ка]]</f>
        <v>высший</v>
      </c>
      <c r="AD527" s="459"/>
      <c r="AE527" s="391"/>
    </row>
    <row r="528" spans="1:31" s="325" customFormat="1" ht="15.6" hidden="1" customHeight="1" x14ac:dyDescent="0.2">
      <c r="A528" s="40" t="s">
        <v>2471</v>
      </c>
      <c r="B528" s="360" t="s">
        <v>511</v>
      </c>
      <c r="C528" s="40">
        <v>134</v>
      </c>
      <c r="D528" s="40">
        <v>117534</v>
      </c>
      <c r="E528" s="40" t="s">
        <v>105</v>
      </c>
      <c r="F528" s="40" t="s">
        <v>121</v>
      </c>
      <c r="G528" s="40" t="s">
        <v>125</v>
      </c>
      <c r="H528" s="40" t="s">
        <v>2746</v>
      </c>
      <c r="I528" s="360" t="e">
        <f>VLOOKUP(Таблица18[[#This Row],[Номер акта]],$AB$1:$AF$1833,3,FALSE)</f>
        <v>#N/A</v>
      </c>
      <c r="J528" s="40" t="s">
        <v>747</v>
      </c>
      <c r="K528" s="40" t="s">
        <v>82</v>
      </c>
      <c r="L528" s="121">
        <v>26310</v>
      </c>
      <c r="M528" s="121">
        <v>14430</v>
      </c>
      <c r="N528" s="121">
        <v>28</v>
      </c>
      <c r="O528" s="363">
        <v>11880</v>
      </c>
      <c r="P528" s="363">
        <v>8553.6</v>
      </c>
      <c r="Q528" s="121">
        <v>2024</v>
      </c>
      <c r="R528" s="121"/>
      <c r="S528" s="148">
        <v>45436</v>
      </c>
      <c r="T528" s="363">
        <f>Таблица18[[#This Row],[Вес нетто]]-Таблица18[[#This Row],[Зачетный вес]]</f>
        <v>3326.3999999999996</v>
      </c>
      <c r="U528" s="365">
        <f>Таблица18[[#This Row],[Отход]]/Таблица18[[#This Row],[Вес нетто]]</f>
        <v>0.27999999999999997</v>
      </c>
      <c r="V528" s="121">
        <f>MONTH(Таблица18[[#This Row],[Дата акта]])</f>
        <v>5</v>
      </c>
      <c r="W528" s="121">
        <v>24</v>
      </c>
      <c r="X528" s="148">
        <f>DATE(1900,Таблица18[[#This Row],[Месяц]],Таблица18[[#This Row],[Число]])</f>
        <v>145</v>
      </c>
      <c r="Y528" s="121"/>
      <c r="Z528" s="121" t="str">
        <f>Таблица18[[#This Row],[Хар-ка]]</f>
        <v>высший</v>
      </c>
      <c r="AD528" s="459"/>
      <c r="AE528" s="391"/>
    </row>
    <row r="529" spans="1:31" s="325" customFormat="1" ht="15.6" hidden="1" customHeight="1" x14ac:dyDescent="0.2">
      <c r="A529" s="40" t="s">
        <v>2472</v>
      </c>
      <c r="B529" s="360" t="s">
        <v>550</v>
      </c>
      <c r="C529" s="40">
        <v>135</v>
      </c>
      <c r="D529" s="40">
        <v>14</v>
      </c>
      <c r="E529" s="40" t="s">
        <v>78</v>
      </c>
      <c r="F529" s="40" t="s">
        <v>239</v>
      </c>
      <c r="G529" s="40" t="s">
        <v>243</v>
      </c>
      <c r="H529" s="40" t="s">
        <v>1751</v>
      </c>
      <c r="I529" s="360" t="e">
        <f>VLOOKUP(Таблица18[[#This Row],[Номер акта]],$AB$1:$AF$1833,3,FALSE)</f>
        <v>#N/A</v>
      </c>
      <c r="J529" s="40" t="s">
        <v>21</v>
      </c>
      <c r="K529" s="40" t="s">
        <v>82</v>
      </c>
      <c r="L529" s="121">
        <v>23650</v>
      </c>
      <c r="M529" s="121">
        <v>14460</v>
      </c>
      <c r="N529" s="121">
        <v>29.5</v>
      </c>
      <c r="O529" s="363">
        <v>9190</v>
      </c>
      <c r="P529" s="363">
        <v>6478.9</v>
      </c>
      <c r="Q529" s="121">
        <v>2024</v>
      </c>
      <c r="R529" s="121"/>
      <c r="S529" s="148">
        <v>45436</v>
      </c>
      <c r="T529" s="363">
        <f>Таблица18[[#This Row],[Вес нетто]]-Таблица18[[#This Row],[Зачетный вес]]</f>
        <v>2711.1000000000004</v>
      </c>
      <c r="U529" s="365">
        <f>Таблица18[[#This Row],[Отход]]/Таблица18[[#This Row],[Вес нетто]]</f>
        <v>0.29500544069640916</v>
      </c>
      <c r="V529" s="121">
        <f>MONTH(Таблица18[[#This Row],[Дата акта]])</f>
        <v>5</v>
      </c>
      <c r="W529" s="121">
        <v>24</v>
      </c>
      <c r="X529" s="148">
        <f>DATE(1900,Таблица18[[#This Row],[Месяц]],Таблица18[[#This Row],[Число]])</f>
        <v>145</v>
      </c>
      <c r="Y529" s="121"/>
      <c r="Z529" s="121" t="str">
        <f>Таблица18[[#This Row],[Хар-ка]]</f>
        <v>первый</v>
      </c>
      <c r="AD529" s="459"/>
      <c r="AE529" s="391"/>
    </row>
    <row r="530" spans="1:31" s="325" customFormat="1" ht="15.6" hidden="1" customHeight="1" x14ac:dyDescent="0.2">
      <c r="A530" s="40" t="s">
        <v>2473</v>
      </c>
      <c r="B530" s="360" t="s">
        <v>511</v>
      </c>
      <c r="C530" s="40">
        <v>136</v>
      </c>
      <c r="D530" s="40">
        <v>15</v>
      </c>
      <c r="E530" s="40" t="s">
        <v>78</v>
      </c>
      <c r="F530" s="40" t="s">
        <v>212</v>
      </c>
      <c r="G530" s="40" t="s">
        <v>216</v>
      </c>
      <c r="H530" s="40" t="s">
        <v>1751</v>
      </c>
      <c r="I530" s="360" t="e">
        <f>VLOOKUP(Таблица18[[#This Row],[Номер акта]],$AB$1:$AF$1833,3,FALSE)</f>
        <v>#N/A</v>
      </c>
      <c r="J530" s="40" t="s">
        <v>21</v>
      </c>
      <c r="K530" s="40" t="s">
        <v>82</v>
      </c>
      <c r="L530" s="121">
        <v>22830</v>
      </c>
      <c r="M530" s="121">
        <v>13820</v>
      </c>
      <c r="N530" s="121">
        <v>26.5</v>
      </c>
      <c r="O530" s="363">
        <v>9010</v>
      </c>
      <c r="P530" s="363">
        <v>6622.3</v>
      </c>
      <c r="Q530" s="121">
        <v>2024</v>
      </c>
      <c r="R530" s="121"/>
      <c r="S530" s="148">
        <v>45436</v>
      </c>
      <c r="T530" s="363">
        <f>Таблица18[[#This Row],[Вес нетто]]-Таблица18[[#This Row],[Зачетный вес]]</f>
        <v>2387.6999999999998</v>
      </c>
      <c r="U530" s="365">
        <f>Таблица18[[#This Row],[Отход]]/Таблица18[[#This Row],[Вес нетто]]</f>
        <v>0.26500554938956711</v>
      </c>
      <c r="V530" s="121">
        <f>MONTH(Таблица18[[#This Row],[Дата акта]])</f>
        <v>5</v>
      </c>
      <c r="W530" s="121">
        <v>24</v>
      </c>
      <c r="X530" s="148">
        <f>DATE(1900,Таблица18[[#This Row],[Месяц]],Таблица18[[#This Row],[Число]])</f>
        <v>145</v>
      </c>
      <c r="Y530" s="121"/>
      <c r="Z530" s="121" t="str">
        <f>Таблица18[[#This Row],[Хар-ка]]</f>
        <v>высший</v>
      </c>
      <c r="AD530" s="459"/>
      <c r="AE530" s="391"/>
    </row>
    <row r="531" spans="1:31" s="325" customFormat="1" ht="15.6" hidden="1" customHeight="1" x14ac:dyDescent="0.2">
      <c r="A531" s="40" t="s">
        <v>2474</v>
      </c>
      <c r="B531" s="360" t="s">
        <v>511</v>
      </c>
      <c r="C531" s="40">
        <v>137</v>
      </c>
      <c r="D531" s="40">
        <v>16</v>
      </c>
      <c r="E531" s="40" t="s">
        <v>78</v>
      </c>
      <c r="F531" s="40" t="s">
        <v>2232</v>
      </c>
      <c r="G531" s="40" t="s">
        <v>2233</v>
      </c>
      <c r="H531" s="40" t="s">
        <v>1751</v>
      </c>
      <c r="I531" s="360" t="e">
        <f>VLOOKUP(Таблица18[[#This Row],[Номер акта]],$AB$1:$AF$1833,3,FALSE)</f>
        <v>#N/A</v>
      </c>
      <c r="J531" s="40" t="s">
        <v>21</v>
      </c>
      <c r="K531" s="40" t="s">
        <v>82</v>
      </c>
      <c r="L531" s="121">
        <v>25610</v>
      </c>
      <c r="M531" s="121">
        <v>14690</v>
      </c>
      <c r="N531" s="121">
        <v>30.5</v>
      </c>
      <c r="O531" s="363">
        <v>10920</v>
      </c>
      <c r="P531" s="363">
        <v>7589.4</v>
      </c>
      <c r="Q531" s="121">
        <v>2024</v>
      </c>
      <c r="R531" s="121"/>
      <c r="S531" s="148">
        <v>45436</v>
      </c>
      <c r="T531" s="363">
        <f>Таблица18[[#This Row],[Вес нетто]]-Таблица18[[#This Row],[Зачетный вес]]</f>
        <v>3330.6000000000004</v>
      </c>
      <c r="U531" s="365">
        <f>Таблица18[[#This Row],[Отход]]/Таблица18[[#This Row],[Вес нетто]]</f>
        <v>0.30500000000000005</v>
      </c>
      <c r="V531" s="121">
        <f>MONTH(Таблица18[[#This Row],[Дата акта]])</f>
        <v>5</v>
      </c>
      <c r="W531" s="121">
        <v>24</v>
      </c>
      <c r="X531" s="148">
        <f>DATE(1900,Таблица18[[#This Row],[Месяц]],Таблица18[[#This Row],[Число]])</f>
        <v>145</v>
      </c>
      <c r="Y531" s="121"/>
      <c r="Z531" s="121" t="str">
        <f>Таблица18[[#This Row],[Хар-ка]]</f>
        <v>высший</v>
      </c>
      <c r="AD531" s="459"/>
      <c r="AE531" s="391"/>
    </row>
    <row r="532" spans="1:31" s="325" customFormat="1" ht="15.6" hidden="1" customHeight="1" x14ac:dyDescent="0.2">
      <c r="A532" s="40" t="s">
        <v>2475</v>
      </c>
      <c r="B532" s="360" t="s">
        <v>511</v>
      </c>
      <c r="C532" s="40">
        <v>138</v>
      </c>
      <c r="D532" s="40">
        <v>17</v>
      </c>
      <c r="E532" s="40" t="s">
        <v>78</v>
      </c>
      <c r="F532" s="40" t="s">
        <v>127</v>
      </c>
      <c r="G532" s="40" t="s">
        <v>131</v>
      </c>
      <c r="H532" s="40" t="s">
        <v>1751</v>
      </c>
      <c r="I532" s="360" t="e">
        <f>VLOOKUP(Таблица18[[#This Row],[Номер акта]],$AB$1:$AF$1833,3,FALSE)</f>
        <v>#N/A</v>
      </c>
      <c r="J532" s="40" t="s">
        <v>21</v>
      </c>
      <c r="K532" s="40" t="s">
        <v>82</v>
      </c>
      <c r="L532" s="121">
        <v>28720</v>
      </c>
      <c r="M532" s="121">
        <v>14150</v>
      </c>
      <c r="N532" s="121">
        <v>20.5</v>
      </c>
      <c r="O532" s="363">
        <v>14570</v>
      </c>
      <c r="P532" s="363">
        <v>11583.1</v>
      </c>
      <c r="Q532" s="121">
        <v>2024</v>
      </c>
      <c r="R532" s="121"/>
      <c r="S532" s="148">
        <v>45436</v>
      </c>
      <c r="T532" s="363">
        <f>Таблица18[[#This Row],[Вес нетто]]-Таблица18[[#This Row],[Зачетный вес]]</f>
        <v>2986.8999999999996</v>
      </c>
      <c r="U532" s="365">
        <f>Таблица18[[#This Row],[Отход]]/Таблица18[[#This Row],[Вес нетто]]</f>
        <v>0.20500343170899105</v>
      </c>
      <c r="V532" s="121">
        <f>MONTH(Таблица18[[#This Row],[Дата акта]])</f>
        <v>5</v>
      </c>
      <c r="W532" s="121">
        <v>24</v>
      </c>
      <c r="X532" s="148">
        <f>DATE(1900,Таблица18[[#This Row],[Месяц]],Таблица18[[#This Row],[Число]])</f>
        <v>145</v>
      </c>
      <c r="Y532" s="121"/>
      <c r="Z532" s="121" t="str">
        <f>Таблица18[[#This Row],[Хар-ка]]</f>
        <v>высший</v>
      </c>
      <c r="AD532" s="459"/>
      <c r="AE532" s="391"/>
    </row>
    <row r="533" spans="1:31" s="325" customFormat="1" ht="15.6" hidden="1" customHeight="1" x14ac:dyDescent="0.2">
      <c r="A533" s="40" t="s">
        <v>2476</v>
      </c>
      <c r="B533" s="360" t="s">
        <v>511</v>
      </c>
      <c r="C533" s="40">
        <v>139</v>
      </c>
      <c r="D533" s="40">
        <v>18</v>
      </c>
      <c r="E533" s="40" t="s">
        <v>78</v>
      </c>
      <c r="F533" s="40" t="s">
        <v>121</v>
      </c>
      <c r="G533" s="40" t="s">
        <v>125</v>
      </c>
      <c r="H533" s="40" t="s">
        <v>1751</v>
      </c>
      <c r="I533" s="360" t="e">
        <f>VLOOKUP(Таблица18[[#This Row],[Номер акта]],$AB$1:$AF$1833,3,FALSE)</f>
        <v>#N/A</v>
      </c>
      <c r="J533" s="40" t="s">
        <v>21</v>
      </c>
      <c r="K533" s="40" t="s">
        <v>82</v>
      </c>
      <c r="L533" s="121">
        <v>29080</v>
      </c>
      <c r="M533" s="121">
        <v>14410</v>
      </c>
      <c r="N533" s="121">
        <v>24.5</v>
      </c>
      <c r="O533" s="363">
        <v>14670</v>
      </c>
      <c r="P533" s="363">
        <v>11075.8</v>
      </c>
      <c r="Q533" s="121">
        <v>2024</v>
      </c>
      <c r="R533" s="121"/>
      <c r="S533" s="148">
        <v>45436</v>
      </c>
      <c r="T533" s="363">
        <f>Таблица18[[#This Row],[Вес нетто]]-Таблица18[[#This Row],[Зачетный вес]]</f>
        <v>3594.2000000000007</v>
      </c>
      <c r="U533" s="365">
        <f>Таблица18[[#This Row],[Отход]]/Таблица18[[#This Row],[Вес нетто]]</f>
        <v>0.2450034083162918</v>
      </c>
      <c r="V533" s="121">
        <f>MONTH(Таблица18[[#This Row],[Дата акта]])</f>
        <v>5</v>
      </c>
      <c r="W533" s="121">
        <v>24</v>
      </c>
      <c r="X533" s="148">
        <f>DATE(1900,Таблица18[[#This Row],[Месяц]],Таблица18[[#This Row],[Число]])</f>
        <v>145</v>
      </c>
      <c r="Y533" s="121"/>
      <c r="Z533" s="121" t="str">
        <f>Таблица18[[#This Row],[Хар-ка]]</f>
        <v>высший</v>
      </c>
      <c r="AD533" s="459"/>
      <c r="AE533" s="391"/>
    </row>
    <row r="534" spans="1:31" s="325" customFormat="1" ht="15.6" hidden="1" customHeight="1" x14ac:dyDescent="0.2">
      <c r="A534" s="40" t="s">
        <v>2477</v>
      </c>
      <c r="B534" s="360" t="s">
        <v>511</v>
      </c>
      <c r="C534" s="40">
        <v>140</v>
      </c>
      <c r="D534" s="40">
        <v>19</v>
      </c>
      <c r="E534" s="40" t="s">
        <v>78</v>
      </c>
      <c r="F534" s="40" t="s">
        <v>2232</v>
      </c>
      <c r="G534" s="40" t="s">
        <v>2233</v>
      </c>
      <c r="H534" s="40" t="s">
        <v>1751</v>
      </c>
      <c r="I534" s="360" t="e">
        <f>VLOOKUP(Таблица18[[#This Row],[Номер акта]],$AB$1:$AF$1833,3,FALSE)</f>
        <v>#N/A</v>
      </c>
      <c r="J534" s="40" t="s">
        <v>21</v>
      </c>
      <c r="K534" s="40" t="s">
        <v>82</v>
      </c>
      <c r="L534" s="121">
        <v>29420</v>
      </c>
      <c r="M534" s="121">
        <v>14670</v>
      </c>
      <c r="N534" s="121">
        <v>25.5</v>
      </c>
      <c r="O534" s="363">
        <v>14750</v>
      </c>
      <c r="P534" s="363">
        <v>10988.7</v>
      </c>
      <c r="Q534" s="121">
        <v>2024</v>
      </c>
      <c r="R534" s="121"/>
      <c r="S534" s="148">
        <v>45436</v>
      </c>
      <c r="T534" s="363">
        <f>Таблица18[[#This Row],[Вес нетто]]-Таблица18[[#This Row],[Зачетный вес]]</f>
        <v>3761.2999999999993</v>
      </c>
      <c r="U534" s="365">
        <f>Таблица18[[#This Row],[Отход]]/Таблица18[[#This Row],[Вес нетто]]</f>
        <v>0.25500338983050841</v>
      </c>
      <c r="V534" s="121">
        <f>MONTH(Таблица18[[#This Row],[Дата акта]])</f>
        <v>5</v>
      </c>
      <c r="W534" s="121">
        <v>24</v>
      </c>
      <c r="X534" s="148">
        <f>DATE(1900,Таблица18[[#This Row],[Месяц]],Таблица18[[#This Row],[Число]])</f>
        <v>145</v>
      </c>
      <c r="Y534" s="121"/>
      <c r="Z534" s="121" t="str">
        <f>Таблица18[[#This Row],[Хар-ка]]</f>
        <v>высший</v>
      </c>
      <c r="AD534" s="459"/>
      <c r="AE534" s="391"/>
    </row>
    <row r="535" spans="1:31" s="325" customFormat="1" ht="15.6" hidden="1" customHeight="1" x14ac:dyDescent="0.2">
      <c r="A535" s="40" t="s">
        <v>2478</v>
      </c>
      <c r="B535" s="360" t="s">
        <v>511</v>
      </c>
      <c r="C535" s="40">
        <v>141</v>
      </c>
      <c r="D535" s="40">
        <v>20</v>
      </c>
      <c r="E535" s="40" t="s">
        <v>78</v>
      </c>
      <c r="F535" s="40" t="s">
        <v>127</v>
      </c>
      <c r="G535" s="40" t="s">
        <v>131</v>
      </c>
      <c r="H535" s="40" t="s">
        <v>1751</v>
      </c>
      <c r="I535" s="360" t="e">
        <f>VLOOKUP(Таблица18[[#This Row],[Номер акта]],$AB$1:$AF$1833,3,FALSE)</f>
        <v>#N/A</v>
      </c>
      <c r="J535" s="40" t="s">
        <v>21</v>
      </c>
      <c r="K535" s="40" t="s">
        <v>82</v>
      </c>
      <c r="L535" s="121">
        <v>26620</v>
      </c>
      <c r="M535" s="121">
        <v>19350</v>
      </c>
      <c r="N535" s="121">
        <v>21.5</v>
      </c>
      <c r="O535" s="363">
        <v>7270</v>
      </c>
      <c r="P535" s="363">
        <v>5706.9</v>
      </c>
      <c r="Q535" s="121">
        <v>2024</v>
      </c>
      <c r="R535" s="121"/>
      <c r="S535" s="148">
        <v>45436</v>
      </c>
      <c r="T535" s="363">
        <f>Таблица18[[#This Row],[Вес нетто]]-Таблица18[[#This Row],[Зачетный вес]]</f>
        <v>1563.1000000000004</v>
      </c>
      <c r="U535" s="365">
        <f>Таблица18[[#This Row],[Отход]]/Таблица18[[#This Row],[Вес нетто]]</f>
        <v>0.2150068775790922</v>
      </c>
      <c r="V535" s="121">
        <f>MONTH(Таблица18[[#This Row],[Дата акта]])</f>
        <v>5</v>
      </c>
      <c r="W535" s="121">
        <v>24</v>
      </c>
      <c r="X535" s="148">
        <f>DATE(1900,Таблица18[[#This Row],[Месяц]],Таблица18[[#This Row],[Число]])</f>
        <v>145</v>
      </c>
      <c r="Y535" s="121"/>
      <c r="Z535" s="121" t="str">
        <f>Таблица18[[#This Row],[Хар-ка]]</f>
        <v>высший</v>
      </c>
      <c r="AD535" s="459"/>
      <c r="AE535" s="391"/>
    </row>
    <row r="536" spans="1:31" s="325" customFormat="1" ht="15.6" hidden="1" customHeight="1" x14ac:dyDescent="0.2">
      <c r="A536" s="40" t="s">
        <v>2479</v>
      </c>
      <c r="B536" s="360" t="s">
        <v>511</v>
      </c>
      <c r="C536" s="40">
        <v>142</v>
      </c>
      <c r="D536" s="40">
        <v>21</v>
      </c>
      <c r="E536" s="40" t="s">
        <v>78</v>
      </c>
      <c r="F536" s="40" t="s">
        <v>121</v>
      </c>
      <c r="G536" s="40" t="s">
        <v>125</v>
      </c>
      <c r="H536" s="40" t="s">
        <v>1751</v>
      </c>
      <c r="I536" s="360" t="e">
        <f>VLOOKUP(Таблица18[[#This Row],[Номер акта]],$AB$1:$AF$1833,3,FALSE)</f>
        <v>#N/A</v>
      </c>
      <c r="J536" s="40" t="s">
        <v>21</v>
      </c>
      <c r="K536" s="40" t="s">
        <v>82</v>
      </c>
      <c r="L536" s="121">
        <v>28990</v>
      </c>
      <c r="M536" s="121">
        <v>14390</v>
      </c>
      <c r="N536" s="121">
        <v>23.5</v>
      </c>
      <c r="O536" s="363">
        <v>14600</v>
      </c>
      <c r="P536" s="363">
        <v>11169</v>
      </c>
      <c r="Q536" s="121">
        <v>2024</v>
      </c>
      <c r="R536" s="121"/>
      <c r="S536" s="148">
        <v>45436</v>
      </c>
      <c r="T536" s="363">
        <f>Таблица18[[#This Row],[Вес нетто]]-Таблица18[[#This Row],[Зачетный вес]]</f>
        <v>3431</v>
      </c>
      <c r="U536" s="365">
        <f>Таблица18[[#This Row],[Отход]]/Таблица18[[#This Row],[Вес нетто]]</f>
        <v>0.23499999999999999</v>
      </c>
      <c r="V536" s="121">
        <f>MONTH(Таблица18[[#This Row],[Дата акта]])</f>
        <v>5</v>
      </c>
      <c r="W536" s="121">
        <v>24</v>
      </c>
      <c r="X536" s="148">
        <f>DATE(1900,Таблица18[[#This Row],[Месяц]],Таблица18[[#This Row],[Число]])</f>
        <v>145</v>
      </c>
      <c r="Y536" s="121"/>
      <c r="Z536" s="121" t="str">
        <f>Таблица18[[#This Row],[Хар-ка]]</f>
        <v>высший</v>
      </c>
      <c r="AD536" s="459"/>
      <c r="AE536" s="391"/>
    </row>
    <row r="537" spans="1:31" s="325" customFormat="1" ht="15.6" hidden="1" customHeight="1" x14ac:dyDescent="0.2">
      <c r="A537" s="40" t="s">
        <v>2480</v>
      </c>
      <c r="B537" s="360" t="s">
        <v>511</v>
      </c>
      <c r="C537" s="40">
        <v>143</v>
      </c>
      <c r="D537" s="40">
        <v>20</v>
      </c>
      <c r="E537" s="40" t="s">
        <v>78</v>
      </c>
      <c r="F537" s="40" t="s">
        <v>127</v>
      </c>
      <c r="G537" s="40" t="s">
        <v>131</v>
      </c>
      <c r="H537" s="40" t="s">
        <v>1751</v>
      </c>
      <c r="I537" s="360" t="e">
        <f>VLOOKUP(Таблица18[[#This Row],[Номер акта]],$AB$1:$AF$1833,3,FALSE)</f>
        <v>#N/A</v>
      </c>
      <c r="J537" s="40" t="s">
        <v>301</v>
      </c>
      <c r="K537" s="40" t="s">
        <v>82</v>
      </c>
      <c r="L537" s="121">
        <v>19350</v>
      </c>
      <c r="M537" s="121">
        <v>14130</v>
      </c>
      <c r="N537" s="121">
        <v>30.5</v>
      </c>
      <c r="O537" s="363">
        <v>5220</v>
      </c>
      <c r="P537" s="363">
        <v>3627.9</v>
      </c>
      <c r="Q537" s="121">
        <v>2024</v>
      </c>
      <c r="R537" s="121"/>
      <c r="S537" s="148">
        <v>45436</v>
      </c>
      <c r="T537" s="363">
        <f>Таблица18[[#This Row],[Вес нетто]]-Таблица18[[#This Row],[Зачетный вес]]</f>
        <v>1592.1</v>
      </c>
      <c r="U537" s="365">
        <f>Таблица18[[#This Row],[Отход]]/Таблица18[[#This Row],[Вес нетто]]</f>
        <v>0.30499999999999999</v>
      </c>
      <c r="V537" s="121">
        <f>MONTH(Таблица18[[#This Row],[Дата акта]])</f>
        <v>5</v>
      </c>
      <c r="W537" s="121">
        <v>24</v>
      </c>
      <c r="X537" s="148">
        <f>DATE(1900,Таблица18[[#This Row],[Месяц]],Таблица18[[#This Row],[Число]])</f>
        <v>145</v>
      </c>
      <c r="Y537" s="121"/>
      <c r="Z537" s="121" t="str">
        <f>Таблица18[[#This Row],[Хар-ка]]</f>
        <v>высший</v>
      </c>
      <c r="AD537" s="459"/>
      <c r="AE537" s="391"/>
    </row>
    <row r="538" spans="1:31" s="325" customFormat="1" ht="15.6" hidden="1" customHeight="1" x14ac:dyDescent="0.2">
      <c r="A538" s="40" t="s">
        <v>2481</v>
      </c>
      <c r="B538" s="360" t="s">
        <v>511</v>
      </c>
      <c r="C538" s="40">
        <v>144</v>
      </c>
      <c r="D538" s="40">
        <v>22</v>
      </c>
      <c r="E538" s="40" t="s">
        <v>78</v>
      </c>
      <c r="F538" s="40" t="s">
        <v>2232</v>
      </c>
      <c r="G538" s="40" t="s">
        <v>2233</v>
      </c>
      <c r="H538" s="40" t="s">
        <v>1751</v>
      </c>
      <c r="I538" s="360" t="e">
        <f>VLOOKUP(Таблица18[[#This Row],[Номер акта]],$AB$1:$AF$1833,3,FALSE)</f>
        <v>#N/A</v>
      </c>
      <c r="J538" s="40" t="s">
        <v>21</v>
      </c>
      <c r="K538" s="40" t="s">
        <v>82</v>
      </c>
      <c r="L538" s="121">
        <v>29250</v>
      </c>
      <c r="M538" s="121">
        <v>14660</v>
      </c>
      <c r="N538" s="121">
        <v>28</v>
      </c>
      <c r="O538" s="363">
        <v>14590</v>
      </c>
      <c r="P538" s="363">
        <v>10504.8</v>
      </c>
      <c r="Q538" s="121">
        <v>2024</v>
      </c>
      <c r="R538" s="121"/>
      <c r="S538" s="148">
        <v>45436</v>
      </c>
      <c r="T538" s="363">
        <f>Таблица18[[#This Row],[Вес нетто]]-Таблица18[[#This Row],[Зачетный вес]]</f>
        <v>4085.2000000000007</v>
      </c>
      <c r="U538" s="365">
        <f>Таблица18[[#This Row],[Отход]]/Таблица18[[#This Row],[Вес нетто]]</f>
        <v>0.28000000000000003</v>
      </c>
      <c r="V538" s="121">
        <f>MONTH(Таблица18[[#This Row],[Дата акта]])</f>
        <v>5</v>
      </c>
      <c r="W538" s="121">
        <v>24</v>
      </c>
      <c r="X538" s="148">
        <f>DATE(1900,Таблица18[[#This Row],[Месяц]],Таблица18[[#This Row],[Число]])</f>
        <v>145</v>
      </c>
      <c r="Y538" s="121"/>
      <c r="Z538" s="121" t="str">
        <f>Таблица18[[#This Row],[Хар-ка]]</f>
        <v>высший</v>
      </c>
      <c r="AD538" s="459"/>
      <c r="AE538" s="391"/>
    </row>
    <row r="539" spans="1:31" s="325" customFormat="1" ht="15.6" hidden="1" customHeight="1" x14ac:dyDescent="0.2">
      <c r="A539" s="40" t="s">
        <v>2482</v>
      </c>
      <c r="B539" s="360" t="s">
        <v>511</v>
      </c>
      <c r="C539" s="40">
        <v>145</v>
      </c>
      <c r="D539" s="40">
        <v>23</v>
      </c>
      <c r="E539" s="40" t="s">
        <v>78</v>
      </c>
      <c r="F539" s="40" t="s">
        <v>121</v>
      </c>
      <c r="G539" s="40" t="s">
        <v>125</v>
      </c>
      <c r="H539" s="40" t="s">
        <v>1751</v>
      </c>
      <c r="I539" s="360" t="e">
        <f>VLOOKUP(Таблица18[[#This Row],[Номер акта]],$AB$1:$AF$1833,3,FALSE)</f>
        <v>#N/A</v>
      </c>
      <c r="J539" s="40" t="s">
        <v>21</v>
      </c>
      <c r="K539" s="40" t="s">
        <v>82</v>
      </c>
      <c r="L539" s="121">
        <v>31250</v>
      </c>
      <c r="M539" s="121">
        <v>14460</v>
      </c>
      <c r="N539" s="121">
        <v>24.5</v>
      </c>
      <c r="O539" s="363">
        <v>16790</v>
      </c>
      <c r="P539" s="363">
        <v>12676.4</v>
      </c>
      <c r="Q539" s="121">
        <v>2024</v>
      </c>
      <c r="R539" s="121"/>
      <c r="S539" s="148">
        <v>45436</v>
      </c>
      <c r="T539" s="363">
        <f>Таблица18[[#This Row],[Вес нетто]]-Таблица18[[#This Row],[Зачетный вес]]</f>
        <v>4113.6000000000004</v>
      </c>
      <c r="U539" s="365">
        <f>Таблица18[[#This Row],[Отход]]/Таблица18[[#This Row],[Вес нетто]]</f>
        <v>0.24500297796307327</v>
      </c>
      <c r="V539" s="121">
        <f>MONTH(Таблица18[[#This Row],[Дата акта]])</f>
        <v>5</v>
      </c>
      <c r="W539" s="121">
        <v>24</v>
      </c>
      <c r="X539" s="148">
        <f>DATE(1900,Таблица18[[#This Row],[Месяц]],Таблица18[[#This Row],[Число]])</f>
        <v>145</v>
      </c>
      <c r="Y539" s="121"/>
      <c r="Z539" s="121" t="str">
        <f>Таблица18[[#This Row],[Хар-ка]]</f>
        <v>высший</v>
      </c>
      <c r="AD539" s="459"/>
      <c r="AE539" s="391"/>
    </row>
    <row r="540" spans="1:31" s="325" customFormat="1" ht="15.6" hidden="1" customHeight="1" x14ac:dyDescent="0.2">
      <c r="A540" s="40" t="s">
        <v>2483</v>
      </c>
      <c r="B540" s="360" t="s">
        <v>511</v>
      </c>
      <c r="C540" s="40">
        <v>146</v>
      </c>
      <c r="D540" s="40">
        <v>24</v>
      </c>
      <c r="E540" s="40" t="s">
        <v>78</v>
      </c>
      <c r="F540" s="40" t="s">
        <v>2232</v>
      </c>
      <c r="G540" s="40" t="s">
        <v>2233</v>
      </c>
      <c r="H540" s="40" t="s">
        <v>1751</v>
      </c>
      <c r="I540" s="360" t="e">
        <f>VLOOKUP(Таблица18[[#This Row],[Номер акта]],$AB$1:$AF$1833,3,FALSE)</f>
        <v>#N/A</v>
      </c>
      <c r="J540" s="40" t="s">
        <v>21</v>
      </c>
      <c r="K540" s="40" t="s">
        <v>82</v>
      </c>
      <c r="L540" s="121">
        <v>29170</v>
      </c>
      <c r="M540" s="121">
        <v>14740</v>
      </c>
      <c r="N540" s="121">
        <v>25.5</v>
      </c>
      <c r="O540" s="363">
        <v>14430</v>
      </c>
      <c r="P540" s="363">
        <v>10750.3</v>
      </c>
      <c r="Q540" s="121">
        <v>2024</v>
      </c>
      <c r="R540" s="121"/>
      <c r="S540" s="148">
        <v>45436</v>
      </c>
      <c r="T540" s="363">
        <f>Таблица18[[#This Row],[Вес нетто]]-Таблица18[[#This Row],[Зачетный вес]]</f>
        <v>3679.7000000000007</v>
      </c>
      <c r="U540" s="365">
        <f>Таблица18[[#This Row],[Отход]]/Таблица18[[#This Row],[Вес нетто]]</f>
        <v>0.25500346500346505</v>
      </c>
      <c r="V540" s="121">
        <f>MONTH(Таблица18[[#This Row],[Дата акта]])</f>
        <v>5</v>
      </c>
      <c r="W540" s="121">
        <v>24</v>
      </c>
      <c r="X540" s="148">
        <f>DATE(1900,Таблица18[[#This Row],[Месяц]],Таблица18[[#This Row],[Число]])</f>
        <v>145</v>
      </c>
      <c r="Y540" s="121"/>
      <c r="Z540" s="121" t="str">
        <f>Таблица18[[#This Row],[Хар-ка]]</f>
        <v>высший</v>
      </c>
      <c r="AD540" s="459"/>
      <c r="AE540" s="391"/>
    </row>
    <row r="541" spans="1:31" s="325" customFormat="1" ht="15.6" hidden="1" customHeight="1" x14ac:dyDescent="0.2">
      <c r="A541" s="40" t="s">
        <v>2484</v>
      </c>
      <c r="B541" s="360" t="s">
        <v>511</v>
      </c>
      <c r="C541" s="40">
        <v>147</v>
      </c>
      <c r="D541" s="40">
        <v>25</v>
      </c>
      <c r="E541" s="40" t="s">
        <v>78</v>
      </c>
      <c r="F541" s="40" t="s">
        <v>121</v>
      </c>
      <c r="G541" s="40" t="s">
        <v>125</v>
      </c>
      <c r="H541" s="40" t="s">
        <v>1751</v>
      </c>
      <c r="I541" s="360" t="e">
        <f>VLOOKUP(Таблица18[[#This Row],[Номер акта]],$AB$1:$AF$1833,3,FALSE)</f>
        <v>#N/A</v>
      </c>
      <c r="J541" s="40" t="s">
        <v>21</v>
      </c>
      <c r="K541" s="40" t="s">
        <v>82</v>
      </c>
      <c r="L541" s="121">
        <v>29470</v>
      </c>
      <c r="M541" s="121">
        <v>14450</v>
      </c>
      <c r="N541" s="121">
        <v>23.5</v>
      </c>
      <c r="O541" s="363">
        <v>15020</v>
      </c>
      <c r="P541" s="363">
        <v>11490.3</v>
      </c>
      <c r="Q541" s="121">
        <v>2024</v>
      </c>
      <c r="R541" s="121"/>
      <c r="S541" s="148">
        <v>45437</v>
      </c>
      <c r="T541" s="363">
        <f>Таблица18[[#This Row],[Вес нетто]]-Таблица18[[#This Row],[Зачетный вес]]</f>
        <v>3529.7000000000007</v>
      </c>
      <c r="U541" s="365">
        <f>Таблица18[[#This Row],[Отход]]/Таблица18[[#This Row],[Вес нетто]]</f>
        <v>0.23500000000000004</v>
      </c>
      <c r="V541" s="121">
        <f>MONTH(Таблица18[[#This Row],[Дата акта]])</f>
        <v>5</v>
      </c>
      <c r="W541" s="121">
        <v>25</v>
      </c>
      <c r="X541" s="148">
        <f>DATE(1900,Таблица18[[#This Row],[Месяц]],Таблица18[[#This Row],[Число]])</f>
        <v>146</v>
      </c>
      <c r="Y541" s="121"/>
      <c r="Z541" s="121" t="str">
        <f>Таблица18[[#This Row],[Хар-ка]]</f>
        <v>высший</v>
      </c>
      <c r="AD541" s="459"/>
      <c r="AE541" s="391"/>
    </row>
    <row r="542" spans="1:31" s="325" customFormat="1" ht="15.6" hidden="1" customHeight="1" x14ac:dyDescent="0.2">
      <c r="A542" s="40" t="s">
        <v>2485</v>
      </c>
      <c r="B542" s="360" t="s">
        <v>511</v>
      </c>
      <c r="C542" s="40">
        <v>148</v>
      </c>
      <c r="D542" s="40">
        <v>26</v>
      </c>
      <c r="E542" s="40" t="s">
        <v>78</v>
      </c>
      <c r="F542" s="40" t="s">
        <v>2232</v>
      </c>
      <c r="G542" s="40" t="s">
        <v>2233</v>
      </c>
      <c r="H542" s="40" t="s">
        <v>1751</v>
      </c>
      <c r="I542" s="360" t="e">
        <f>VLOOKUP(Таблица18[[#This Row],[Номер акта]],$AB$1:$AF$1833,3,FALSE)</f>
        <v>#N/A</v>
      </c>
      <c r="J542" s="40" t="s">
        <v>21</v>
      </c>
      <c r="K542" s="40" t="s">
        <v>82</v>
      </c>
      <c r="L542" s="121">
        <v>28890</v>
      </c>
      <c r="M542" s="121">
        <v>14730</v>
      </c>
      <c r="N542" s="121">
        <v>29.5</v>
      </c>
      <c r="O542" s="363">
        <v>14160</v>
      </c>
      <c r="P542" s="363">
        <v>9982.7999999999993</v>
      </c>
      <c r="Q542" s="121">
        <v>2024</v>
      </c>
      <c r="R542" s="121"/>
      <c r="S542" s="148">
        <v>45437</v>
      </c>
      <c r="T542" s="363">
        <f>Таблица18[[#This Row],[Вес нетто]]-Таблица18[[#This Row],[Зачетный вес]]</f>
        <v>4177.2000000000007</v>
      </c>
      <c r="U542" s="365">
        <f>Таблица18[[#This Row],[Отход]]/Таблица18[[#This Row],[Вес нетто]]</f>
        <v>0.29500000000000004</v>
      </c>
      <c r="V542" s="121">
        <f>MONTH(Таблица18[[#This Row],[Дата акта]])</f>
        <v>5</v>
      </c>
      <c r="W542" s="121">
        <v>25</v>
      </c>
      <c r="X542" s="148">
        <f>DATE(1900,Таблица18[[#This Row],[Месяц]],Таблица18[[#This Row],[Число]])</f>
        <v>146</v>
      </c>
      <c r="Y542" s="121"/>
      <c r="Z542" s="121" t="str">
        <f>Таблица18[[#This Row],[Хар-ка]]</f>
        <v>высший</v>
      </c>
      <c r="AD542" s="459"/>
      <c r="AE542" s="391"/>
    </row>
    <row r="543" spans="1:31" s="325" customFormat="1" ht="15.6" hidden="1" customHeight="1" x14ac:dyDescent="0.2">
      <c r="A543" s="40" t="s">
        <v>2486</v>
      </c>
      <c r="B543" s="360" t="s">
        <v>511</v>
      </c>
      <c r="C543" s="40">
        <v>149</v>
      </c>
      <c r="D543" s="40">
        <v>27</v>
      </c>
      <c r="E543" s="40" t="s">
        <v>78</v>
      </c>
      <c r="F543" s="40" t="s">
        <v>121</v>
      </c>
      <c r="G543" s="40" t="s">
        <v>125</v>
      </c>
      <c r="H543" s="40" t="s">
        <v>1751</v>
      </c>
      <c r="I543" s="360" t="e">
        <f>VLOOKUP(Таблица18[[#This Row],[Номер акта]],$AB$1:$AF$1833,3,FALSE)</f>
        <v>#N/A</v>
      </c>
      <c r="J543" s="40" t="s">
        <v>21</v>
      </c>
      <c r="K543" s="40" t="s">
        <v>82</v>
      </c>
      <c r="L543" s="121">
        <v>30980</v>
      </c>
      <c r="M543" s="121">
        <v>14430</v>
      </c>
      <c r="N543" s="121">
        <v>24.1</v>
      </c>
      <c r="O543" s="363">
        <v>16550</v>
      </c>
      <c r="P543" s="363">
        <v>12569.7</v>
      </c>
      <c r="Q543" s="121">
        <v>2024</v>
      </c>
      <c r="R543" s="121"/>
      <c r="S543" s="148">
        <v>45437</v>
      </c>
      <c r="T543" s="363">
        <f>Таблица18[[#This Row],[Вес нетто]]-Таблица18[[#This Row],[Зачетный вес]]</f>
        <v>3980.2999999999993</v>
      </c>
      <c r="U543" s="365">
        <f>Таблица18[[#This Row],[Отход]]/Таблица18[[#This Row],[Вес нетто]]</f>
        <v>0.24050151057401808</v>
      </c>
      <c r="V543" s="121">
        <f>MONTH(Таблица18[[#This Row],[Дата акта]])</f>
        <v>5</v>
      </c>
      <c r="W543" s="121">
        <v>25</v>
      </c>
      <c r="X543" s="148">
        <f>DATE(1900,Таблица18[[#This Row],[Месяц]],Таблица18[[#This Row],[Число]])</f>
        <v>146</v>
      </c>
      <c r="Y543" s="121"/>
      <c r="Z543" s="121" t="str">
        <f>Таблица18[[#This Row],[Хар-ка]]</f>
        <v>высший</v>
      </c>
      <c r="AD543" s="459"/>
      <c r="AE543" s="391"/>
    </row>
    <row r="544" spans="1:31" s="325" customFormat="1" ht="15.6" hidden="1" customHeight="1" x14ac:dyDescent="0.2">
      <c r="A544" s="40" t="s">
        <v>2487</v>
      </c>
      <c r="B544" s="360" t="s">
        <v>511</v>
      </c>
      <c r="C544" s="40">
        <v>150</v>
      </c>
      <c r="D544" s="40">
        <v>28</v>
      </c>
      <c r="E544" s="40" t="s">
        <v>78</v>
      </c>
      <c r="F544" s="40" t="s">
        <v>311</v>
      </c>
      <c r="G544" s="40" t="s">
        <v>315</v>
      </c>
      <c r="H544" s="40" t="s">
        <v>1751</v>
      </c>
      <c r="I544" s="360" t="e">
        <f>VLOOKUP(Таблица18[[#This Row],[Номер акта]],$AB$1:$AF$1833,3,FALSE)</f>
        <v>#N/A</v>
      </c>
      <c r="J544" s="40" t="s">
        <v>21</v>
      </c>
      <c r="K544" s="40" t="s">
        <v>82</v>
      </c>
      <c r="L544" s="121">
        <v>24400</v>
      </c>
      <c r="M544" s="121">
        <v>14900</v>
      </c>
      <c r="N544" s="121">
        <v>22.5</v>
      </c>
      <c r="O544" s="363">
        <v>9500</v>
      </c>
      <c r="P544" s="363">
        <v>7362.5</v>
      </c>
      <c r="Q544" s="121">
        <v>2024</v>
      </c>
      <c r="R544" s="121"/>
      <c r="S544" s="148">
        <v>45437</v>
      </c>
      <c r="T544" s="363">
        <f>Таблица18[[#This Row],[Вес нетто]]-Таблица18[[#This Row],[Зачетный вес]]</f>
        <v>2137.5</v>
      </c>
      <c r="U544" s="365">
        <f>Таблица18[[#This Row],[Отход]]/Таблица18[[#This Row],[Вес нетто]]</f>
        <v>0.22500000000000001</v>
      </c>
      <c r="V544" s="121">
        <f>MONTH(Таблица18[[#This Row],[Дата акта]])</f>
        <v>5</v>
      </c>
      <c r="W544" s="121">
        <v>25</v>
      </c>
      <c r="X544" s="148">
        <f>DATE(1900,Таблица18[[#This Row],[Месяц]],Таблица18[[#This Row],[Число]])</f>
        <v>146</v>
      </c>
      <c r="Y544" s="121"/>
      <c r="Z544" s="121" t="str">
        <f>Таблица18[[#This Row],[Хар-ка]]</f>
        <v>высший</v>
      </c>
      <c r="AD544" s="459"/>
      <c r="AE544" s="391"/>
    </row>
    <row r="545" spans="1:31" s="325" customFormat="1" ht="15.6" hidden="1" customHeight="1" x14ac:dyDescent="0.2">
      <c r="A545" s="40" t="s">
        <v>2488</v>
      </c>
      <c r="B545" s="360" t="s">
        <v>511</v>
      </c>
      <c r="C545" s="40">
        <v>151</v>
      </c>
      <c r="D545" s="40">
        <v>29</v>
      </c>
      <c r="E545" s="40" t="s">
        <v>78</v>
      </c>
      <c r="F545" s="40" t="s">
        <v>127</v>
      </c>
      <c r="G545" s="40" t="s">
        <v>131</v>
      </c>
      <c r="H545" s="40" t="s">
        <v>1751</v>
      </c>
      <c r="I545" s="360" t="e">
        <f>VLOOKUP(Таблица18[[#This Row],[Номер акта]],$AB$1:$AF$1833,3,FALSE)</f>
        <v>#N/A</v>
      </c>
      <c r="J545" s="40" t="s">
        <v>21</v>
      </c>
      <c r="K545" s="40" t="s">
        <v>82</v>
      </c>
      <c r="L545" s="121">
        <v>14410</v>
      </c>
      <c r="M545" s="121">
        <v>9620</v>
      </c>
      <c r="N545" s="121">
        <v>20.5</v>
      </c>
      <c r="O545" s="363">
        <v>4790</v>
      </c>
      <c r="P545" s="363">
        <v>3808</v>
      </c>
      <c r="Q545" s="121">
        <v>2024</v>
      </c>
      <c r="R545" s="121"/>
      <c r="S545" s="148">
        <v>45437</v>
      </c>
      <c r="T545" s="363">
        <f>Таблица18[[#This Row],[Вес нетто]]-Таблица18[[#This Row],[Зачетный вес]]</f>
        <v>982</v>
      </c>
      <c r="U545" s="365">
        <f>Таблица18[[#This Row],[Отход]]/Таблица18[[#This Row],[Вес нетто]]</f>
        <v>0.20501043841336117</v>
      </c>
      <c r="V545" s="121">
        <f>MONTH(Таблица18[[#This Row],[Дата акта]])</f>
        <v>5</v>
      </c>
      <c r="W545" s="121">
        <v>25</v>
      </c>
      <c r="X545" s="148">
        <f>DATE(1900,Таблица18[[#This Row],[Месяц]],Таблица18[[#This Row],[Число]])</f>
        <v>146</v>
      </c>
      <c r="Y545" s="121"/>
      <c r="Z545" s="121" t="str">
        <f>Таблица18[[#This Row],[Хар-ка]]</f>
        <v>высший</v>
      </c>
      <c r="AD545" s="459"/>
      <c r="AE545" s="391"/>
    </row>
    <row r="546" spans="1:31" s="325" customFormat="1" ht="15.6" hidden="1" customHeight="1" x14ac:dyDescent="0.2">
      <c r="A546" s="40" t="s">
        <v>2489</v>
      </c>
      <c r="B546" s="360" t="s">
        <v>511</v>
      </c>
      <c r="C546" s="40">
        <v>152</v>
      </c>
      <c r="D546" s="40">
        <v>30</v>
      </c>
      <c r="E546" s="40" t="s">
        <v>78</v>
      </c>
      <c r="F546" s="40" t="s">
        <v>2750</v>
      </c>
      <c r="G546" s="40" t="s">
        <v>2751</v>
      </c>
      <c r="H546" s="40" t="s">
        <v>20</v>
      </c>
      <c r="I546" s="360" t="e">
        <f>VLOOKUP(Таблица18[[#This Row],[Номер акта]],$AB$1:$AF$1833,3,FALSE)</f>
        <v>#N/A</v>
      </c>
      <c r="J546" s="40" t="s">
        <v>21</v>
      </c>
      <c r="K546" s="40" t="s">
        <v>82</v>
      </c>
      <c r="L546" s="121">
        <v>33000</v>
      </c>
      <c r="M546" s="121">
        <v>23060</v>
      </c>
      <c r="N546" s="121">
        <v>24.5</v>
      </c>
      <c r="O546" s="363">
        <v>9940</v>
      </c>
      <c r="P546" s="363">
        <v>7504.7</v>
      </c>
      <c r="Q546" s="121">
        <v>2024</v>
      </c>
      <c r="R546" s="121"/>
      <c r="S546" s="148">
        <v>45437</v>
      </c>
      <c r="T546" s="363">
        <f>Таблица18[[#This Row],[Вес нетто]]-Таблица18[[#This Row],[Зачетный вес]]</f>
        <v>2435.3000000000002</v>
      </c>
      <c r="U546" s="365">
        <f>Таблица18[[#This Row],[Отход]]/Таблица18[[#This Row],[Вес нетто]]</f>
        <v>0.24500000000000002</v>
      </c>
      <c r="V546" s="121">
        <f>MONTH(Таблица18[[#This Row],[Дата акта]])</f>
        <v>5</v>
      </c>
      <c r="W546" s="121">
        <v>25</v>
      </c>
      <c r="X546" s="148">
        <f>DATE(1900,Таблица18[[#This Row],[Месяц]],Таблица18[[#This Row],[Число]])</f>
        <v>146</v>
      </c>
      <c r="Y546" s="121"/>
      <c r="Z546" s="121" t="str">
        <f>Таблица18[[#This Row],[Хар-ка]]</f>
        <v>высший</v>
      </c>
      <c r="AD546" s="459"/>
      <c r="AE546" s="391"/>
    </row>
    <row r="547" spans="1:31" s="325" customFormat="1" ht="15.6" hidden="1" customHeight="1" x14ac:dyDescent="0.2">
      <c r="A547" s="40" t="s">
        <v>2490</v>
      </c>
      <c r="B547" s="360" t="s">
        <v>511</v>
      </c>
      <c r="C547" s="40">
        <v>153</v>
      </c>
      <c r="D547" s="40">
        <v>30</v>
      </c>
      <c r="E547" s="40" t="s">
        <v>78</v>
      </c>
      <c r="F547" s="40" t="s">
        <v>2750</v>
      </c>
      <c r="G547" s="40" t="s">
        <v>2751</v>
      </c>
      <c r="H547" s="40" t="s">
        <v>1751</v>
      </c>
      <c r="I547" s="360" t="e">
        <f>VLOOKUP(Таблица18[[#This Row],[Номер акта]],$AB$1:$AF$1833,3,FALSE)</f>
        <v>#N/A</v>
      </c>
      <c r="J547" s="40" t="s">
        <v>21</v>
      </c>
      <c r="K547" s="40" t="s">
        <v>82</v>
      </c>
      <c r="L547" s="121">
        <v>23060</v>
      </c>
      <c r="M547" s="121">
        <v>17420</v>
      </c>
      <c r="N547" s="121">
        <v>21.5</v>
      </c>
      <c r="O547" s="363">
        <v>5640</v>
      </c>
      <c r="P547" s="363">
        <v>4427.3999999999996</v>
      </c>
      <c r="Q547" s="121">
        <v>2024</v>
      </c>
      <c r="R547" s="121"/>
      <c r="S547" s="148">
        <v>45437</v>
      </c>
      <c r="T547" s="363">
        <f>Таблица18[[#This Row],[Вес нетто]]-Таблица18[[#This Row],[Зачетный вес]]</f>
        <v>1212.6000000000004</v>
      </c>
      <c r="U547" s="365">
        <f>Таблица18[[#This Row],[Отход]]/Таблица18[[#This Row],[Вес нетто]]</f>
        <v>0.21500000000000005</v>
      </c>
      <c r="V547" s="121">
        <f>MONTH(Таблица18[[#This Row],[Дата акта]])</f>
        <v>5</v>
      </c>
      <c r="W547" s="121">
        <v>25</v>
      </c>
      <c r="X547" s="148">
        <f>DATE(1900,Таблица18[[#This Row],[Месяц]],Таблица18[[#This Row],[Число]])</f>
        <v>146</v>
      </c>
      <c r="Y547" s="121"/>
      <c r="Z547" s="121" t="str">
        <f>Таблица18[[#This Row],[Хар-ка]]</f>
        <v>высший</v>
      </c>
      <c r="AD547" s="459"/>
      <c r="AE547" s="391"/>
    </row>
    <row r="548" spans="1:31" s="325" customFormat="1" ht="15.6" hidden="1" customHeight="1" x14ac:dyDescent="0.2">
      <c r="A548" s="40" t="s">
        <v>2491</v>
      </c>
      <c r="B548" s="360" t="s">
        <v>511</v>
      </c>
      <c r="C548" s="40">
        <v>154</v>
      </c>
      <c r="D548" s="40">
        <v>31</v>
      </c>
      <c r="E548" s="40" t="s">
        <v>78</v>
      </c>
      <c r="F548" s="40" t="s">
        <v>2155</v>
      </c>
      <c r="G548" s="40" t="s">
        <v>320</v>
      </c>
      <c r="H548" s="40" t="s">
        <v>20</v>
      </c>
      <c r="I548" s="360" t="e">
        <f>VLOOKUP(Таблица18[[#This Row],[Номер акта]],$AB$1:$AF$1833,3,FALSE)</f>
        <v>#N/A</v>
      </c>
      <c r="J548" s="40" t="s">
        <v>21</v>
      </c>
      <c r="K548" s="40" t="s">
        <v>82</v>
      </c>
      <c r="L548" s="121">
        <v>28860</v>
      </c>
      <c r="M548" s="121">
        <v>14470</v>
      </c>
      <c r="N548" s="121">
        <v>34.5</v>
      </c>
      <c r="O548" s="363">
        <v>14390</v>
      </c>
      <c r="P548" s="363">
        <v>9425.4</v>
      </c>
      <c r="Q548" s="121">
        <v>2024</v>
      </c>
      <c r="R548" s="121"/>
      <c r="S548" s="148">
        <v>45437</v>
      </c>
      <c r="T548" s="363">
        <f>Таблица18[[#This Row],[Вес нетто]]-Таблица18[[#This Row],[Зачетный вес]]</f>
        <v>4964.6000000000004</v>
      </c>
      <c r="U548" s="365">
        <f>Таблица18[[#This Row],[Отход]]/Таблица18[[#This Row],[Вес нетто]]</f>
        <v>0.34500347463516334</v>
      </c>
      <c r="V548" s="121">
        <f>MONTH(Таблица18[[#This Row],[Дата акта]])</f>
        <v>5</v>
      </c>
      <c r="W548" s="121">
        <v>25</v>
      </c>
      <c r="X548" s="148">
        <f>DATE(1900,Таблица18[[#This Row],[Месяц]],Таблица18[[#This Row],[Число]])</f>
        <v>146</v>
      </c>
      <c r="Y548" s="121"/>
      <c r="Z548" s="121" t="str">
        <f>Таблица18[[#This Row],[Хар-ка]]</f>
        <v>высший</v>
      </c>
      <c r="AD548" s="459"/>
      <c r="AE548" s="391"/>
    </row>
    <row r="549" spans="1:31" s="325" customFormat="1" ht="15.6" hidden="1" customHeight="1" x14ac:dyDescent="0.2">
      <c r="A549" s="40" t="s">
        <v>2492</v>
      </c>
      <c r="B549" s="360" t="s">
        <v>511</v>
      </c>
      <c r="C549" s="40">
        <v>155</v>
      </c>
      <c r="D549" s="40">
        <v>32</v>
      </c>
      <c r="E549" s="40" t="s">
        <v>78</v>
      </c>
      <c r="F549" s="40" t="s">
        <v>311</v>
      </c>
      <c r="G549" s="40" t="s">
        <v>315</v>
      </c>
      <c r="H549" s="40" t="s">
        <v>20</v>
      </c>
      <c r="I549" s="360" t="e">
        <f>VLOOKUP(Таблица18[[#This Row],[Номер акта]],$AB$1:$AF$1833,3,FALSE)</f>
        <v>#N/A</v>
      </c>
      <c r="J549" s="40" t="s">
        <v>21</v>
      </c>
      <c r="K549" s="40" t="s">
        <v>82</v>
      </c>
      <c r="L549" s="121">
        <v>29410</v>
      </c>
      <c r="M549" s="121">
        <v>14970</v>
      </c>
      <c r="N549" s="121">
        <v>26.5</v>
      </c>
      <c r="O549" s="363">
        <v>14440</v>
      </c>
      <c r="P549" s="363">
        <v>10613.4</v>
      </c>
      <c r="Q549" s="121">
        <v>2024</v>
      </c>
      <c r="R549" s="121"/>
      <c r="S549" s="148">
        <v>45437</v>
      </c>
      <c r="T549" s="363">
        <f>Таблица18[[#This Row],[Вес нетто]]-Таблица18[[#This Row],[Зачетный вес]]</f>
        <v>3826.6000000000004</v>
      </c>
      <c r="U549" s="365">
        <f>Таблица18[[#This Row],[Отход]]/Таблица18[[#This Row],[Вес нетто]]</f>
        <v>0.26500000000000001</v>
      </c>
      <c r="V549" s="121">
        <f>MONTH(Таблица18[[#This Row],[Дата акта]])</f>
        <v>5</v>
      </c>
      <c r="W549" s="121">
        <v>25</v>
      </c>
      <c r="X549" s="148">
        <f>DATE(1900,Таблица18[[#This Row],[Месяц]],Таблица18[[#This Row],[Число]])</f>
        <v>146</v>
      </c>
      <c r="Y549" s="121"/>
      <c r="Z549" s="121" t="str">
        <f>Таблица18[[#This Row],[Хар-ка]]</f>
        <v>высший</v>
      </c>
      <c r="AD549" s="459"/>
      <c r="AE549" s="391"/>
    </row>
    <row r="550" spans="1:31" s="325" customFormat="1" ht="15.6" hidden="1" customHeight="1" x14ac:dyDescent="0.2">
      <c r="A550" s="40" t="s">
        <v>2493</v>
      </c>
      <c r="B550" s="360" t="s">
        <v>511</v>
      </c>
      <c r="C550" s="40">
        <v>156</v>
      </c>
      <c r="D550" s="40">
        <v>33</v>
      </c>
      <c r="E550" s="40" t="s">
        <v>78</v>
      </c>
      <c r="F550" s="40" t="s">
        <v>127</v>
      </c>
      <c r="G550" s="40" t="s">
        <v>799</v>
      </c>
      <c r="H550" s="40" t="s">
        <v>20</v>
      </c>
      <c r="I550" s="360" t="e">
        <f>VLOOKUP(Таблица18[[#This Row],[Номер акта]],$AB$1:$AF$1833,3,FALSE)</f>
        <v>#N/A</v>
      </c>
      <c r="J550" s="40" t="s">
        <v>21</v>
      </c>
      <c r="K550" s="40" t="s">
        <v>82</v>
      </c>
      <c r="L550" s="121">
        <v>28210</v>
      </c>
      <c r="M550" s="121">
        <v>14200</v>
      </c>
      <c r="N550" s="121">
        <v>34.5</v>
      </c>
      <c r="O550" s="363">
        <v>14010</v>
      </c>
      <c r="P550" s="363">
        <v>9176.5</v>
      </c>
      <c r="Q550" s="121">
        <v>2024</v>
      </c>
      <c r="R550" s="121"/>
      <c r="S550" s="148">
        <v>45437</v>
      </c>
      <c r="T550" s="363">
        <f>Таблица18[[#This Row],[Вес нетто]]-Таблица18[[#This Row],[Зачетный вес]]</f>
        <v>4833.5</v>
      </c>
      <c r="U550" s="365">
        <f>Таблица18[[#This Row],[Отход]]/Таблица18[[#This Row],[Вес нетто]]</f>
        <v>0.34500356887937189</v>
      </c>
      <c r="V550" s="121">
        <f>MONTH(Таблица18[[#This Row],[Дата акта]])</f>
        <v>5</v>
      </c>
      <c r="W550" s="121">
        <v>25</v>
      </c>
      <c r="X550" s="148">
        <f>DATE(1900,Таблица18[[#This Row],[Месяц]],Таблица18[[#This Row],[Число]])</f>
        <v>146</v>
      </c>
      <c r="Y550" s="121"/>
      <c r="Z550" s="121" t="str">
        <f>Таблица18[[#This Row],[Хар-ка]]</f>
        <v>высший</v>
      </c>
      <c r="AD550" s="459"/>
      <c r="AE550" s="391"/>
    </row>
    <row r="551" spans="1:31" s="325" customFormat="1" ht="15.6" hidden="1" customHeight="1" x14ac:dyDescent="0.2">
      <c r="A551" s="40" t="s">
        <v>2494</v>
      </c>
      <c r="B551" s="360" t="s">
        <v>511</v>
      </c>
      <c r="C551" s="40">
        <v>157</v>
      </c>
      <c r="D551" s="40">
        <v>34</v>
      </c>
      <c r="E551" s="40" t="s">
        <v>78</v>
      </c>
      <c r="F551" s="40" t="s">
        <v>2750</v>
      </c>
      <c r="G551" s="40" t="s">
        <v>2751</v>
      </c>
      <c r="H551" s="40" t="s">
        <v>20</v>
      </c>
      <c r="I551" s="360" t="e">
        <f>VLOOKUP(Таблица18[[#This Row],[Номер акта]],$AB$1:$AF$1833,3,FALSE)</f>
        <v>#N/A</v>
      </c>
      <c r="J551" s="40" t="s">
        <v>21</v>
      </c>
      <c r="K551" s="40" t="s">
        <v>82</v>
      </c>
      <c r="L551" s="121">
        <v>33620</v>
      </c>
      <c r="M551" s="121">
        <v>17440</v>
      </c>
      <c r="N551" s="121">
        <v>32.5</v>
      </c>
      <c r="O551" s="363">
        <v>16180</v>
      </c>
      <c r="P551" s="363">
        <v>10921.5</v>
      </c>
      <c r="Q551" s="121">
        <v>2024</v>
      </c>
      <c r="R551" s="121"/>
      <c r="S551" s="148">
        <v>45437</v>
      </c>
      <c r="T551" s="363">
        <f>Таблица18[[#This Row],[Вес нетто]]-Таблица18[[#This Row],[Зачетный вес]]</f>
        <v>5258.5</v>
      </c>
      <c r="U551" s="365">
        <f>Таблица18[[#This Row],[Отход]]/Таблица18[[#This Row],[Вес нетто]]</f>
        <v>0.32500000000000001</v>
      </c>
      <c r="V551" s="121">
        <f>MONTH(Таблица18[[#This Row],[Дата акта]])</f>
        <v>5</v>
      </c>
      <c r="W551" s="121">
        <v>25</v>
      </c>
      <c r="X551" s="148">
        <f>DATE(1900,Таблица18[[#This Row],[Месяц]],Таблица18[[#This Row],[Число]])</f>
        <v>146</v>
      </c>
      <c r="Y551" s="121"/>
      <c r="Z551" s="121" t="str">
        <f>Таблица18[[#This Row],[Хар-ка]]</f>
        <v>высший</v>
      </c>
      <c r="AD551" s="459"/>
      <c r="AE551" s="391"/>
    </row>
    <row r="552" spans="1:31" s="325" customFormat="1" ht="15.6" hidden="1" customHeight="1" x14ac:dyDescent="0.2">
      <c r="A552" s="40" t="s">
        <v>2495</v>
      </c>
      <c r="B552" s="360" t="s">
        <v>511</v>
      </c>
      <c r="C552" s="40">
        <v>158</v>
      </c>
      <c r="D552" s="40">
        <v>35</v>
      </c>
      <c r="E552" s="40" t="s">
        <v>78</v>
      </c>
      <c r="F552" s="40" t="s">
        <v>2155</v>
      </c>
      <c r="G552" s="40" t="s">
        <v>320</v>
      </c>
      <c r="H552" s="40" t="s">
        <v>20</v>
      </c>
      <c r="I552" s="360" t="e">
        <f>VLOOKUP(Таблица18[[#This Row],[Номер акта]],$AB$1:$AF$1833,3,FALSE)</f>
        <v>#N/A</v>
      </c>
      <c r="J552" s="40" t="s">
        <v>21</v>
      </c>
      <c r="K552" s="40" t="s">
        <v>82</v>
      </c>
      <c r="L552" s="121">
        <v>29060</v>
      </c>
      <c r="M552" s="121">
        <v>14470</v>
      </c>
      <c r="N552" s="121">
        <v>22.5</v>
      </c>
      <c r="O552" s="363">
        <v>14590</v>
      </c>
      <c r="P552" s="363">
        <v>11307.2</v>
      </c>
      <c r="Q552" s="121">
        <v>2024</v>
      </c>
      <c r="R552" s="121"/>
      <c r="S552" s="148">
        <v>45437</v>
      </c>
      <c r="T552" s="363">
        <f>Таблица18[[#This Row],[Вес нетто]]-Таблица18[[#This Row],[Зачетный вес]]</f>
        <v>3282.7999999999993</v>
      </c>
      <c r="U552" s="365">
        <f>Таблица18[[#This Row],[Отход]]/Таблица18[[#This Row],[Вес нетто]]</f>
        <v>0.22500342700479775</v>
      </c>
      <c r="V552" s="121">
        <f>MONTH(Таблица18[[#This Row],[Дата акта]])</f>
        <v>5</v>
      </c>
      <c r="W552" s="121">
        <v>25</v>
      </c>
      <c r="X552" s="148">
        <f>DATE(1900,Таблица18[[#This Row],[Месяц]],Таблица18[[#This Row],[Число]])</f>
        <v>146</v>
      </c>
      <c r="Y552" s="121"/>
      <c r="Z552" s="121" t="str">
        <f>Таблица18[[#This Row],[Хар-ка]]</f>
        <v>высший</v>
      </c>
      <c r="AD552" s="459"/>
      <c r="AE552" s="391"/>
    </row>
    <row r="553" spans="1:31" s="325" customFormat="1" ht="15.6" hidden="1" customHeight="1" x14ac:dyDescent="0.2">
      <c r="A553" s="40" t="s">
        <v>2496</v>
      </c>
      <c r="B553" s="360" t="s">
        <v>511</v>
      </c>
      <c r="C553" s="40">
        <v>159</v>
      </c>
      <c r="D553" s="40">
        <v>36</v>
      </c>
      <c r="E553" s="40" t="s">
        <v>78</v>
      </c>
      <c r="F553" s="40" t="s">
        <v>311</v>
      </c>
      <c r="G553" s="40" t="s">
        <v>315</v>
      </c>
      <c r="H553" s="40" t="s">
        <v>20</v>
      </c>
      <c r="I553" s="360" t="e">
        <f>VLOOKUP(Таблица18[[#This Row],[Номер акта]],$AB$1:$AF$1833,3,FALSE)</f>
        <v>#N/A</v>
      </c>
      <c r="J553" s="40" t="s">
        <v>21</v>
      </c>
      <c r="K553" s="40" t="s">
        <v>82</v>
      </c>
      <c r="L553" s="121">
        <v>29290</v>
      </c>
      <c r="M553" s="121">
        <v>14970</v>
      </c>
      <c r="N553" s="121">
        <v>33</v>
      </c>
      <c r="O553" s="363">
        <v>14320</v>
      </c>
      <c r="P553" s="363">
        <v>9594.4</v>
      </c>
      <c r="Q553" s="121">
        <v>2024</v>
      </c>
      <c r="R553" s="121"/>
      <c r="S553" s="148">
        <v>45437</v>
      </c>
      <c r="T553" s="363">
        <f>Таблица18[[#This Row],[Вес нетто]]-Таблица18[[#This Row],[Зачетный вес]]</f>
        <v>4725.6000000000004</v>
      </c>
      <c r="U553" s="365">
        <f>Таблица18[[#This Row],[Отход]]/Таблица18[[#This Row],[Вес нетто]]</f>
        <v>0.33</v>
      </c>
      <c r="V553" s="121">
        <f>MONTH(Таблица18[[#This Row],[Дата акта]])</f>
        <v>5</v>
      </c>
      <c r="W553" s="121">
        <v>25</v>
      </c>
      <c r="X553" s="148">
        <f>DATE(1900,Таблица18[[#This Row],[Месяц]],Таблица18[[#This Row],[Число]])</f>
        <v>146</v>
      </c>
      <c r="Y553" s="121"/>
      <c r="Z553" s="121" t="str">
        <f>Таблица18[[#This Row],[Хар-ка]]</f>
        <v>высший</v>
      </c>
      <c r="AD553" s="459"/>
      <c r="AE553" s="391"/>
    </row>
    <row r="554" spans="1:31" s="325" customFormat="1" ht="15.6" hidden="1" customHeight="1" x14ac:dyDescent="0.2">
      <c r="A554" s="40" t="s">
        <v>2497</v>
      </c>
      <c r="B554" s="360" t="s">
        <v>511</v>
      </c>
      <c r="C554" s="40">
        <v>160</v>
      </c>
      <c r="D554" s="40">
        <v>37</v>
      </c>
      <c r="E554" s="40" t="s">
        <v>78</v>
      </c>
      <c r="F554" s="40" t="s">
        <v>2750</v>
      </c>
      <c r="G554" s="40" t="s">
        <v>2751</v>
      </c>
      <c r="H554" s="40" t="s">
        <v>20</v>
      </c>
      <c r="I554" s="360" t="e">
        <f>VLOOKUP(Таблица18[[#This Row],[Номер акта]],$AB$1:$AF$1833,3,FALSE)</f>
        <v>#N/A</v>
      </c>
      <c r="J554" s="40" t="s">
        <v>21</v>
      </c>
      <c r="K554" s="40" t="s">
        <v>82</v>
      </c>
      <c r="L554" s="121">
        <v>35230</v>
      </c>
      <c r="M554" s="121">
        <v>17410</v>
      </c>
      <c r="N554" s="121">
        <v>35</v>
      </c>
      <c r="O554" s="363">
        <v>17820</v>
      </c>
      <c r="P554" s="363">
        <v>11583</v>
      </c>
      <c r="Q554" s="121">
        <v>2024</v>
      </c>
      <c r="R554" s="121"/>
      <c r="S554" s="148">
        <v>45437</v>
      </c>
      <c r="T554" s="363">
        <f>Таблица18[[#This Row],[Вес нетто]]-Таблица18[[#This Row],[Зачетный вес]]</f>
        <v>6237</v>
      </c>
      <c r="U554" s="365">
        <f>Таблица18[[#This Row],[Отход]]/Таблица18[[#This Row],[Вес нетто]]</f>
        <v>0.35</v>
      </c>
      <c r="V554" s="121">
        <f>MONTH(Таблица18[[#This Row],[Дата акта]])</f>
        <v>5</v>
      </c>
      <c r="W554" s="121">
        <v>25</v>
      </c>
      <c r="X554" s="148">
        <f>DATE(1900,Таблица18[[#This Row],[Месяц]],Таблица18[[#This Row],[Число]])</f>
        <v>146</v>
      </c>
      <c r="Y554" s="121"/>
      <c r="Z554" s="121" t="str">
        <f>Таблица18[[#This Row],[Хар-ка]]</f>
        <v>высший</v>
      </c>
      <c r="AD554" s="459"/>
      <c r="AE554" s="391"/>
    </row>
    <row r="555" spans="1:31" s="325" customFormat="1" ht="15.6" hidden="1" customHeight="1" x14ac:dyDescent="0.2">
      <c r="A555" s="40" t="s">
        <v>2498</v>
      </c>
      <c r="B555" s="360" t="s">
        <v>511</v>
      </c>
      <c r="C555" s="40">
        <v>161</v>
      </c>
      <c r="D555" s="40">
        <v>38</v>
      </c>
      <c r="E555" s="40" t="s">
        <v>78</v>
      </c>
      <c r="F555" s="40" t="s">
        <v>212</v>
      </c>
      <c r="G555" s="40" t="s">
        <v>216</v>
      </c>
      <c r="H555" s="40" t="s">
        <v>1751</v>
      </c>
      <c r="I555" s="360" t="e">
        <f>VLOOKUP(Таблица18[[#This Row],[Номер акта]],$AB$1:$AF$1833,3,FALSE)</f>
        <v>#N/A</v>
      </c>
      <c r="J555" s="40" t="s">
        <v>747</v>
      </c>
      <c r="K555" s="40" t="s">
        <v>82</v>
      </c>
      <c r="L555" s="121">
        <v>27670</v>
      </c>
      <c r="M555" s="121">
        <v>13900</v>
      </c>
      <c r="N555" s="121">
        <v>24.5</v>
      </c>
      <c r="O555" s="363">
        <v>13770</v>
      </c>
      <c r="P555" s="363">
        <v>10396.299999999999</v>
      </c>
      <c r="Q555" s="121">
        <v>2024</v>
      </c>
      <c r="R555" s="121"/>
      <c r="S555" s="148">
        <v>45440</v>
      </c>
      <c r="T555" s="363">
        <f>Таблица18[[#This Row],[Вес нетто]]-Таблица18[[#This Row],[Зачетный вес]]</f>
        <v>3373.7000000000007</v>
      </c>
      <c r="U555" s="365">
        <f>Таблица18[[#This Row],[Отход]]/Таблица18[[#This Row],[Вес нетто]]</f>
        <v>0.2450036310820625</v>
      </c>
      <c r="V555" s="121">
        <f>MONTH(Таблица18[[#This Row],[Дата акта]])</f>
        <v>5</v>
      </c>
      <c r="W555" s="121">
        <v>28</v>
      </c>
      <c r="X555" s="148">
        <f>DATE(1900,Таблица18[[#This Row],[Месяц]],Таблица18[[#This Row],[Число]])</f>
        <v>149</v>
      </c>
      <c r="Y555" s="121"/>
      <c r="Z555" s="121" t="str">
        <f>Таблица18[[#This Row],[Хар-ка]]</f>
        <v>высший</v>
      </c>
      <c r="AD555" s="459"/>
      <c r="AE555" s="391"/>
    </row>
    <row r="556" spans="1:31" s="325" customFormat="1" ht="15.6" hidden="1" customHeight="1" x14ac:dyDescent="0.2">
      <c r="A556" s="40" t="s">
        <v>2499</v>
      </c>
      <c r="B556" s="360" t="s">
        <v>511</v>
      </c>
      <c r="C556" s="40">
        <v>163</v>
      </c>
      <c r="D556" s="40">
        <v>39</v>
      </c>
      <c r="E556" s="40" t="s">
        <v>78</v>
      </c>
      <c r="F556" s="40" t="s">
        <v>133</v>
      </c>
      <c r="G556" s="40" t="s">
        <v>137</v>
      </c>
      <c r="H556" s="40" t="s">
        <v>1751</v>
      </c>
      <c r="I556" s="360" t="e">
        <f>VLOOKUP(Таблица18[[#This Row],[Номер акта]],$AB$1:$AF$1833,3,FALSE)</f>
        <v>#N/A</v>
      </c>
      <c r="J556" s="40" t="s">
        <v>747</v>
      </c>
      <c r="K556" s="40" t="s">
        <v>82</v>
      </c>
      <c r="L556" s="121">
        <v>32980</v>
      </c>
      <c r="M556" s="121">
        <v>17350</v>
      </c>
      <c r="N556" s="121">
        <v>27</v>
      </c>
      <c r="O556" s="363">
        <v>15630</v>
      </c>
      <c r="P556" s="363">
        <v>11409.9</v>
      </c>
      <c r="Q556" s="121">
        <v>2024</v>
      </c>
      <c r="R556" s="121"/>
      <c r="S556" s="148">
        <v>45440</v>
      </c>
      <c r="T556" s="363">
        <f>Таблица18[[#This Row],[Вес нетто]]-Таблица18[[#This Row],[Зачетный вес]]</f>
        <v>4220.1000000000004</v>
      </c>
      <c r="U556" s="365">
        <f>Таблица18[[#This Row],[Отход]]/Таблица18[[#This Row],[Вес нетто]]</f>
        <v>0.27</v>
      </c>
      <c r="V556" s="121">
        <f>MONTH(Таблица18[[#This Row],[Дата акта]])</f>
        <v>5</v>
      </c>
      <c r="W556" s="121">
        <v>28</v>
      </c>
      <c r="X556" s="148">
        <f>DATE(1900,Таблица18[[#This Row],[Месяц]],Таблица18[[#This Row],[Число]])</f>
        <v>149</v>
      </c>
      <c r="Y556" s="121"/>
      <c r="Z556" s="121" t="str">
        <f>Таблица18[[#This Row],[Хар-ка]]</f>
        <v>высший</v>
      </c>
      <c r="AD556" s="459"/>
      <c r="AE556" s="391"/>
    </row>
    <row r="557" spans="1:31" s="325" customFormat="1" ht="15.6" hidden="1" customHeight="1" x14ac:dyDescent="0.2">
      <c r="A557" s="40" t="s">
        <v>2500</v>
      </c>
      <c r="B557" s="360" t="s">
        <v>511</v>
      </c>
      <c r="C557" s="40">
        <v>164</v>
      </c>
      <c r="D557" s="40">
        <v>40</v>
      </c>
      <c r="E557" s="40" t="s">
        <v>78</v>
      </c>
      <c r="F557" s="40" t="s">
        <v>1935</v>
      </c>
      <c r="G557" s="40" t="s">
        <v>1813</v>
      </c>
      <c r="H557" s="40" t="s">
        <v>1751</v>
      </c>
      <c r="I557" s="360" t="e">
        <f>VLOOKUP(Таблица18[[#This Row],[Номер акта]],$AB$1:$AF$1833,3,FALSE)</f>
        <v>#N/A</v>
      </c>
      <c r="J557" s="40" t="s">
        <v>747</v>
      </c>
      <c r="K557" s="40" t="s">
        <v>82</v>
      </c>
      <c r="L557" s="121">
        <v>28180</v>
      </c>
      <c r="M557" s="121">
        <v>14380</v>
      </c>
      <c r="N557" s="121">
        <v>27</v>
      </c>
      <c r="O557" s="363">
        <v>13800</v>
      </c>
      <c r="P557" s="363">
        <v>10074</v>
      </c>
      <c r="Q557" s="121">
        <v>2024</v>
      </c>
      <c r="R557" s="121"/>
      <c r="S557" s="148">
        <v>45440</v>
      </c>
      <c r="T557" s="363">
        <f>Таблица18[[#This Row],[Вес нетто]]-Таблица18[[#This Row],[Зачетный вес]]</f>
        <v>3726</v>
      </c>
      <c r="U557" s="365">
        <f>Таблица18[[#This Row],[Отход]]/Таблица18[[#This Row],[Вес нетто]]</f>
        <v>0.27</v>
      </c>
      <c r="V557" s="121">
        <f>MONTH(Таблица18[[#This Row],[Дата акта]])</f>
        <v>5</v>
      </c>
      <c r="W557" s="121">
        <v>28</v>
      </c>
      <c r="X557" s="148">
        <f>DATE(1900,Таблица18[[#This Row],[Месяц]],Таблица18[[#This Row],[Число]])</f>
        <v>149</v>
      </c>
      <c r="Y557" s="121"/>
      <c r="Z557" s="121" t="str">
        <f>Таблица18[[#This Row],[Хар-ка]]</f>
        <v>высший</v>
      </c>
      <c r="AD557" s="459"/>
      <c r="AE557" s="391"/>
    </row>
    <row r="558" spans="1:31" s="325" customFormat="1" ht="15.6" hidden="1" customHeight="1" x14ac:dyDescent="0.2">
      <c r="A558" s="40" t="s">
        <v>2501</v>
      </c>
      <c r="B558" s="360" t="s">
        <v>511</v>
      </c>
      <c r="C558" s="40">
        <v>165</v>
      </c>
      <c r="D558" s="40">
        <v>41</v>
      </c>
      <c r="E558" s="40" t="s">
        <v>78</v>
      </c>
      <c r="F558" s="40" t="s">
        <v>212</v>
      </c>
      <c r="G558" s="40" t="s">
        <v>216</v>
      </c>
      <c r="H558" s="40" t="s">
        <v>1751</v>
      </c>
      <c r="I558" s="360" t="e">
        <f>VLOOKUP(Таблица18[[#This Row],[Номер акта]],$AB$1:$AF$1833,3,FALSE)</f>
        <v>#N/A</v>
      </c>
      <c r="J558" s="40" t="s">
        <v>747</v>
      </c>
      <c r="K558" s="40" t="s">
        <v>82</v>
      </c>
      <c r="L558" s="121">
        <v>30100</v>
      </c>
      <c r="M558" s="121">
        <v>14040</v>
      </c>
      <c r="N558" s="121">
        <v>26</v>
      </c>
      <c r="O558" s="363">
        <v>16060</v>
      </c>
      <c r="P558" s="363">
        <v>11884.4</v>
      </c>
      <c r="Q558" s="121">
        <v>2024</v>
      </c>
      <c r="R558" s="121"/>
      <c r="S558" s="148">
        <v>45441</v>
      </c>
      <c r="T558" s="363">
        <f>Таблица18[[#This Row],[Вес нетто]]-Таблица18[[#This Row],[Зачетный вес]]</f>
        <v>4175.6000000000004</v>
      </c>
      <c r="U558" s="365">
        <f>Таблица18[[#This Row],[Отход]]/Таблица18[[#This Row],[Вес нетто]]</f>
        <v>0.26</v>
      </c>
      <c r="V558" s="121">
        <f>MONTH(Таблица18[[#This Row],[Дата акта]])</f>
        <v>5</v>
      </c>
      <c r="W558" s="121">
        <v>29</v>
      </c>
      <c r="X558" s="148">
        <f>DATE(1900,Таблица18[[#This Row],[Месяц]],Таблица18[[#This Row],[Число]])</f>
        <v>150</v>
      </c>
      <c r="Y558" s="121"/>
      <c r="Z558" s="121" t="str">
        <f>Таблица18[[#This Row],[Хар-ка]]</f>
        <v>высший</v>
      </c>
      <c r="AD558" s="459"/>
      <c r="AE558" s="391"/>
    </row>
    <row r="559" spans="1:31" s="325" customFormat="1" ht="15.6" hidden="1" customHeight="1" x14ac:dyDescent="0.2">
      <c r="A559" s="40" t="s">
        <v>2502</v>
      </c>
      <c r="B559" s="360" t="s">
        <v>511</v>
      </c>
      <c r="C559" s="40">
        <v>166</v>
      </c>
      <c r="D559" s="40">
        <v>42</v>
      </c>
      <c r="E559" s="40" t="s">
        <v>78</v>
      </c>
      <c r="F559" s="40" t="s">
        <v>133</v>
      </c>
      <c r="G559" s="40" t="s">
        <v>137</v>
      </c>
      <c r="H559" s="40" t="s">
        <v>1751</v>
      </c>
      <c r="I559" s="360" t="e">
        <f>VLOOKUP(Таблица18[[#This Row],[Номер акта]],$AB$1:$AF$1833,3,FALSE)</f>
        <v>#N/A</v>
      </c>
      <c r="J559" s="40" t="s">
        <v>747</v>
      </c>
      <c r="K559" s="40" t="s">
        <v>82</v>
      </c>
      <c r="L559" s="121">
        <v>33900</v>
      </c>
      <c r="M559" s="121">
        <v>17360</v>
      </c>
      <c r="N559" s="121">
        <v>29</v>
      </c>
      <c r="O559" s="363">
        <v>16540</v>
      </c>
      <c r="P559" s="363">
        <v>11743.4</v>
      </c>
      <c r="Q559" s="121">
        <v>2024</v>
      </c>
      <c r="R559" s="121"/>
      <c r="S559" s="148">
        <v>45441</v>
      </c>
      <c r="T559" s="363">
        <f>Таблица18[[#This Row],[Вес нетто]]-Таблица18[[#This Row],[Зачетный вес]]</f>
        <v>4796.6000000000004</v>
      </c>
      <c r="U559" s="365">
        <f>Таблица18[[#This Row],[Отход]]/Таблица18[[#This Row],[Вес нетто]]</f>
        <v>0.29000000000000004</v>
      </c>
      <c r="V559" s="121">
        <f>MONTH(Таблица18[[#This Row],[Дата акта]])</f>
        <v>5</v>
      </c>
      <c r="W559" s="121">
        <v>29</v>
      </c>
      <c r="X559" s="148">
        <f>DATE(1900,Таблица18[[#This Row],[Месяц]],Таблица18[[#This Row],[Число]])</f>
        <v>150</v>
      </c>
      <c r="Y559" s="121"/>
      <c r="Z559" s="121" t="str">
        <f>Таблица18[[#This Row],[Хар-ка]]</f>
        <v>высший</v>
      </c>
      <c r="AD559" s="459"/>
      <c r="AE559" s="391"/>
    </row>
    <row r="560" spans="1:31" s="325" customFormat="1" ht="15.6" hidden="1" customHeight="1" x14ac:dyDescent="0.2">
      <c r="A560" s="40" t="s">
        <v>2503</v>
      </c>
      <c r="B560" s="360" t="s">
        <v>511</v>
      </c>
      <c r="C560" s="40">
        <v>167</v>
      </c>
      <c r="D560" s="40">
        <v>43</v>
      </c>
      <c r="E560" s="40" t="s">
        <v>78</v>
      </c>
      <c r="F560" s="40" t="s">
        <v>1935</v>
      </c>
      <c r="G560" s="40" t="s">
        <v>1813</v>
      </c>
      <c r="H560" s="40" t="s">
        <v>1751</v>
      </c>
      <c r="I560" s="360" t="e">
        <f>VLOOKUP(Таблица18[[#This Row],[Номер акта]],$AB$1:$AF$1833,3,FALSE)</f>
        <v>#N/A</v>
      </c>
      <c r="J560" s="40" t="s">
        <v>747</v>
      </c>
      <c r="K560" s="40" t="s">
        <v>82</v>
      </c>
      <c r="L560" s="121">
        <v>32900</v>
      </c>
      <c r="M560" s="121">
        <v>14370</v>
      </c>
      <c r="N560" s="121">
        <v>25</v>
      </c>
      <c r="O560" s="363">
        <v>18530</v>
      </c>
      <c r="P560" s="363">
        <v>13897.5</v>
      </c>
      <c r="Q560" s="121">
        <v>2024</v>
      </c>
      <c r="R560" s="121"/>
      <c r="S560" s="148">
        <v>45441</v>
      </c>
      <c r="T560" s="363">
        <f>Таблица18[[#This Row],[Вес нетто]]-Таблица18[[#This Row],[Зачетный вес]]</f>
        <v>4632.5</v>
      </c>
      <c r="U560" s="365">
        <f>Таблица18[[#This Row],[Отход]]/Таблица18[[#This Row],[Вес нетто]]</f>
        <v>0.25</v>
      </c>
      <c r="V560" s="121">
        <f>MONTH(Таблица18[[#This Row],[Дата акта]])</f>
        <v>5</v>
      </c>
      <c r="W560" s="121">
        <v>29</v>
      </c>
      <c r="X560" s="148">
        <f>DATE(1900,Таблица18[[#This Row],[Месяц]],Таблица18[[#This Row],[Число]])</f>
        <v>150</v>
      </c>
      <c r="Y560" s="121"/>
      <c r="Z560" s="121" t="str">
        <f>Таблица18[[#This Row],[Хар-ка]]</f>
        <v>высший</v>
      </c>
      <c r="AD560" s="459"/>
      <c r="AE560" s="391"/>
    </row>
    <row r="561" spans="1:31" s="325" customFormat="1" ht="15.6" hidden="1" customHeight="1" x14ac:dyDescent="0.2">
      <c r="A561" s="40" t="s">
        <v>2504</v>
      </c>
      <c r="B561" s="360" t="s">
        <v>511</v>
      </c>
      <c r="C561" s="40">
        <v>168</v>
      </c>
      <c r="D561" s="40">
        <v>44</v>
      </c>
      <c r="E561" s="40" t="s">
        <v>78</v>
      </c>
      <c r="F561" s="40" t="s">
        <v>212</v>
      </c>
      <c r="G561" s="40" t="s">
        <v>216</v>
      </c>
      <c r="H561" s="40" t="s">
        <v>1751</v>
      </c>
      <c r="I561" s="360" t="e">
        <f>VLOOKUP(Таблица18[[#This Row],[Номер акта]],$AB$1:$AF$1833,3,FALSE)</f>
        <v>#N/A</v>
      </c>
      <c r="J561" s="40" t="s">
        <v>747</v>
      </c>
      <c r="K561" s="40" t="s">
        <v>82</v>
      </c>
      <c r="L561" s="121">
        <v>28120</v>
      </c>
      <c r="M561" s="121">
        <v>14010</v>
      </c>
      <c r="N561" s="121">
        <v>26.5</v>
      </c>
      <c r="O561" s="363">
        <v>14110</v>
      </c>
      <c r="P561" s="363">
        <v>10370.799999999999</v>
      </c>
      <c r="Q561" s="121">
        <v>2024</v>
      </c>
      <c r="R561" s="121"/>
      <c r="S561" s="148">
        <v>45441</v>
      </c>
      <c r="T561" s="363">
        <f>Таблица18[[#This Row],[Вес нетто]]-Таблица18[[#This Row],[Зачетный вес]]</f>
        <v>3739.2000000000007</v>
      </c>
      <c r="U561" s="365">
        <f>Таблица18[[#This Row],[Отход]]/Таблица18[[#This Row],[Вес нетто]]</f>
        <v>0.26500354358610917</v>
      </c>
      <c r="V561" s="121">
        <f>MONTH(Таблица18[[#This Row],[Дата акта]])</f>
        <v>5</v>
      </c>
      <c r="W561" s="121">
        <v>29</v>
      </c>
      <c r="X561" s="148">
        <f>DATE(1900,Таблица18[[#This Row],[Месяц]],Таблица18[[#This Row],[Число]])</f>
        <v>150</v>
      </c>
      <c r="Y561" s="121"/>
      <c r="Z561" s="121" t="str">
        <f>Таблица18[[#This Row],[Хар-ка]]</f>
        <v>высший</v>
      </c>
      <c r="AD561" s="459"/>
      <c r="AE561" s="391"/>
    </row>
    <row r="562" spans="1:31" s="325" customFormat="1" ht="15.6" hidden="1" customHeight="1" x14ac:dyDescent="0.2">
      <c r="A562" s="40" t="s">
        <v>2505</v>
      </c>
      <c r="B562" s="360" t="s">
        <v>511</v>
      </c>
      <c r="C562" s="40">
        <v>169</v>
      </c>
      <c r="D562" s="40">
        <v>45</v>
      </c>
      <c r="E562" s="40" t="s">
        <v>78</v>
      </c>
      <c r="F562" s="40" t="s">
        <v>239</v>
      </c>
      <c r="G562" s="40" t="s">
        <v>243</v>
      </c>
      <c r="H562" s="40" t="s">
        <v>1751</v>
      </c>
      <c r="I562" s="360" t="e">
        <f>VLOOKUP(Таблица18[[#This Row],[Номер акта]],$AB$1:$AF$1833,3,FALSE)</f>
        <v>#N/A</v>
      </c>
      <c r="J562" s="40" t="s">
        <v>747</v>
      </c>
      <c r="K562" s="40" t="s">
        <v>82</v>
      </c>
      <c r="L562" s="121">
        <v>28390</v>
      </c>
      <c r="M562" s="121">
        <v>14520</v>
      </c>
      <c r="N562" s="121">
        <v>23.5</v>
      </c>
      <c r="O562" s="363">
        <v>13870</v>
      </c>
      <c r="P562" s="363">
        <v>10610.5</v>
      </c>
      <c r="Q562" s="121">
        <v>2024</v>
      </c>
      <c r="R562" s="121"/>
      <c r="S562" s="148">
        <v>45441</v>
      </c>
      <c r="T562" s="363">
        <f>Таблица18[[#This Row],[Вес нетто]]-Таблица18[[#This Row],[Зачетный вес]]</f>
        <v>3259.5</v>
      </c>
      <c r="U562" s="365">
        <f>Таблица18[[#This Row],[Отход]]/Таблица18[[#This Row],[Вес нетто]]</f>
        <v>0.23500360490266764</v>
      </c>
      <c r="V562" s="121">
        <f>MONTH(Таблица18[[#This Row],[Дата акта]])</f>
        <v>5</v>
      </c>
      <c r="W562" s="121">
        <v>29</v>
      </c>
      <c r="X562" s="148">
        <f>DATE(1900,Таблица18[[#This Row],[Месяц]],Таблица18[[#This Row],[Число]])</f>
        <v>150</v>
      </c>
      <c r="Y562" s="121"/>
      <c r="Z562" s="121" t="str">
        <f>Таблица18[[#This Row],[Хар-ка]]</f>
        <v>высший</v>
      </c>
      <c r="AD562" s="459"/>
      <c r="AE562" s="391"/>
    </row>
    <row r="563" spans="1:31" s="325" customFormat="1" ht="15.6" hidden="1" customHeight="1" x14ac:dyDescent="0.2">
      <c r="A563" s="40" t="s">
        <v>2506</v>
      </c>
      <c r="B563" s="360" t="s">
        <v>511</v>
      </c>
      <c r="C563" s="40">
        <v>170</v>
      </c>
      <c r="D563" s="40">
        <v>46</v>
      </c>
      <c r="E563" s="40" t="s">
        <v>78</v>
      </c>
      <c r="F563" s="40" t="s">
        <v>127</v>
      </c>
      <c r="G563" s="40" t="s">
        <v>131</v>
      </c>
      <c r="H563" s="40" t="s">
        <v>1751</v>
      </c>
      <c r="I563" s="360" t="e">
        <f>VLOOKUP(Таблица18[[#This Row],[Номер акта]],$AB$1:$AF$1833,3,FALSE)</f>
        <v>#N/A</v>
      </c>
      <c r="J563" s="40" t="s">
        <v>747</v>
      </c>
      <c r="K563" s="40" t="s">
        <v>82</v>
      </c>
      <c r="L563" s="121">
        <v>27920</v>
      </c>
      <c r="M563" s="121">
        <v>14210</v>
      </c>
      <c r="N563" s="121">
        <v>22.5</v>
      </c>
      <c r="O563" s="363">
        <v>13710</v>
      </c>
      <c r="P563" s="363">
        <v>10625.2</v>
      </c>
      <c r="Q563" s="121">
        <v>2024</v>
      </c>
      <c r="R563" s="121"/>
      <c r="S563" s="148">
        <v>45441</v>
      </c>
      <c r="T563" s="363">
        <f>Таблица18[[#This Row],[Вес нетто]]-Таблица18[[#This Row],[Зачетный вес]]</f>
        <v>3084.7999999999993</v>
      </c>
      <c r="U563" s="365">
        <f>Таблица18[[#This Row],[Отход]]/Таблица18[[#This Row],[Вес нетто]]</f>
        <v>0.22500364697301234</v>
      </c>
      <c r="V563" s="121">
        <f>MONTH(Таблица18[[#This Row],[Дата акта]])</f>
        <v>5</v>
      </c>
      <c r="W563" s="121">
        <v>29</v>
      </c>
      <c r="X563" s="148">
        <f>DATE(1900,Таблица18[[#This Row],[Месяц]],Таблица18[[#This Row],[Число]])</f>
        <v>150</v>
      </c>
      <c r="Y563" s="121"/>
      <c r="Z563" s="121" t="str">
        <f>Таблица18[[#This Row],[Хар-ка]]</f>
        <v>высший</v>
      </c>
      <c r="AD563" s="459"/>
      <c r="AE563" s="391"/>
    </row>
    <row r="564" spans="1:31" s="325" customFormat="1" ht="15.6" hidden="1" customHeight="1" x14ac:dyDescent="0.2">
      <c r="A564" s="40" t="s">
        <v>2507</v>
      </c>
      <c r="B564" s="360" t="s">
        <v>511</v>
      </c>
      <c r="C564" s="40">
        <v>171</v>
      </c>
      <c r="D564" s="40">
        <v>47</v>
      </c>
      <c r="E564" s="40" t="s">
        <v>78</v>
      </c>
      <c r="F564" s="40" t="s">
        <v>311</v>
      </c>
      <c r="G564" s="40" t="s">
        <v>315</v>
      </c>
      <c r="H564" s="40" t="s">
        <v>1751</v>
      </c>
      <c r="I564" s="360" t="e">
        <f>VLOOKUP(Таблица18[[#This Row],[Номер акта]],$AB$1:$AF$1833,3,FALSE)</f>
        <v>#N/A</v>
      </c>
      <c r="J564" s="40" t="s">
        <v>747</v>
      </c>
      <c r="K564" s="40" t="s">
        <v>82</v>
      </c>
      <c r="L564" s="121">
        <v>28580</v>
      </c>
      <c r="M564" s="121">
        <v>14930</v>
      </c>
      <c r="N564" s="121">
        <v>23.5</v>
      </c>
      <c r="O564" s="363">
        <v>13650</v>
      </c>
      <c r="P564" s="363">
        <v>10442.200000000001</v>
      </c>
      <c r="Q564" s="121">
        <v>2024</v>
      </c>
      <c r="R564" s="121"/>
      <c r="S564" s="148">
        <v>45441</v>
      </c>
      <c r="T564" s="363">
        <f>Таблица18[[#This Row],[Вес нетто]]-Таблица18[[#This Row],[Зачетный вес]]</f>
        <v>3207.7999999999993</v>
      </c>
      <c r="U564" s="365">
        <f>Таблица18[[#This Row],[Отход]]/Таблица18[[#This Row],[Вес нетто]]</f>
        <v>0.23500366300366296</v>
      </c>
      <c r="V564" s="121">
        <f>MONTH(Таблица18[[#This Row],[Дата акта]])</f>
        <v>5</v>
      </c>
      <c r="W564" s="121">
        <v>29</v>
      </c>
      <c r="X564" s="148">
        <f>DATE(1900,Таблица18[[#This Row],[Месяц]],Таблица18[[#This Row],[Число]])</f>
        <v>150</v>
      </c>
      <c r="Y564" s="121"/>
      <c r="Z564" s="121" t="str">
        <f>Таблица18[[#This Row],[Хар-ка]]</f>
        <v>высший</v>
      </c>
      <c r="AD564" s="459"/>
      <c r="AE564" s="391"/>
    </row>
    <row r="565" spans="1:31" s="325" customFormat="1" ht="15.6" hidden="1" customHeight="1" x14ac:dyDescent="0.2">
      <c r="A565" s="40" t="s">
        <v>2508</v>
      </c>
      <c r="B565" s="360" t="s">
        <v>511</v>
      </c>
      <c r="C565" s="40">
        <v>173</v>
      </c>
      <c r="D565" s="40">
        <v>48</v>
      </c>
      <c r="E565" s="40" t="s">
        <v>78</v>
      </c>
      <c r="F565" s="40" t="s">
        <v>239</v>
      </c>
      <c r="G565" s="40" t="s">
        <v>243</v>
      </c>
      <c r="H565" s="40" t="s">
        <v>1751</v>
      </c>
      <c r="I565" s="360" t="e">
        <f>VLOOKUP(Таблица18[[#This Row],[Номер акта]],$AB$1:$AF$1833,3,FALSE)</f>
        <v>#N/A</v>
      </c>
      <c r="J565" s="40" t="s">
        <v>747</v>
      </c>
      <c r="K565" s="40" t="s">
        <v>82</v>
      </c>
      <c r="L565" s="121">
        <v>27840</v>
      </c>
      <c r="M565" s="121">
        <v>14500</v>
      </c>
      <c r="N565" s="121">
        <v>22.5</v>
      </c>
      <c r="O565" s="363">
        <v>13340</v>
      </c>
      <c r="P565" s="363">
        <v>10338.5</v>
      </c>
      <c r="Q565" s="121">
        <v>2024</v>
      </c>
      <c r="R565" s="121"/>
      <c r="S565" s="148">
        <v>45441</v>
      </c>
      <c r="T565" s="363">
        <f>Таблица18[[#This Row],[Вес нетто]]-Таблица18[[#This Row],[Зачетный вес]]</f>
        <v>3001.5</v>
      </c>
      <c r="U565" s="365">
        <f>Таблица18[[#This Row],[Отход]]/Таблица18[[#This Row],[Вес нетто]]</f>
        <v>0.22500000000000001</v>
      </c>
      <c r="V565" s="121">
        <f>MONTH(Таблица18[[#This Row],[Дата акта]])</f>
        <v>5</v>
      </c>
      <c r="W565" s="121">
        <v>29</v>
      </c>
      <c r="X565" s="148">
        <f>DATE(1900,Таблица18[[#This Row],[Месяц]],Таблица18[[#This Row],[Число]])</f>
        <v>150</v>
      </c>
      <c r="Y565" s="121"/>
      <c r="Z565" s="121" t="str">
        <f>Таблица18[[#This Row],[Хар-ка]]</f>
        <v>высший</v>
      </c>
      <c r="AD565" s="459"/>
      <c r="AE565" s="391"/>
    </row>
    <row r="566" spans="1:31" s="325" customFormat="1" ht="15.6" hidden="1" customHeight="1" x14ac:dyDescent="0.2">
      <c r="A566" s="40" t="s">
        <v>2509</v>
      </c>
      <c r="B566" s="360" t="s">
        <v>511</v>
      </c>
      <c r="C566" s="40">
        <v>174</v>
      </c>
      <c r="D566" s="40">
        <v>49</v>
      </c>
      <c r="E566" s="40" t="s">
        <v>78</v>
      </c>
      <c r="F566" s="40" t="s">
        <v>127</v>
      </c>
      <c r="G566" s="40" t="s">
        <v>131</v>
      </c>
      <c r="H566" s="40" t="s">
        <v>1751</v>
      </c>
      <c r="I566" s="360" t="e">
        <f>VLOOKUP(Таблица18[[#This Row],[Номер акта]],$AB$1:$AF$1833,3,FALSE)</f>
        <v>#N/A</v>
      </c>
      <c r="J566" s="40" t="s">
        <v>747</v>
      </c>
      <c r="K566" s="40" t="s">
        <v>82</v>
      </c>
      <c r="L566" s="121">
        <v>27640</v>
      </c>
      <c r="M566" s="121">
        <v>14200</v>
      </c>
      <c r="N566" s="121">
        <v>26.5</v>
      </c>
      <c r="O566" s="363">
        <v>13440</v>
      </c>
      <c r="P566" s="363">
        <v>9878.4</v>
      </c>
      <c r="Q566" s="121">
        <v>2024</v>
      </c>
      <c r="R566" s="121"/>
      <c r="S566" s="148">
        <v>45441</v>
      </c>
      <c r="T566" s="363">
        <f>Таблица18[[#This Row],[Вес нетто]]-Таблица18[[#This Row],[Зачетный вес]]</f>
        <v>3561.6000000000004</v>
      </c>
      <c r="U566" s="365">
        <f>Таблица18[[#This Row],[Отход]]/Таблица18[[#This Row],[Вес нетто]]</f>
        <v>0.26500000000000001</v>
      </c>
      <c r="V566" s="121">
        <f>MONTH(Таблица18[[#This Row],[Дата акта]])</f>
        <v>5</v>
      </c>
      <c r="W566" s="121">
        <v>29</v>
      </c>
      <c r="X566" s="148">
        <f>DATE(1900,Таблица18[[#This Row],[Месяц]],Таблица18[[#This Row],[Число]])</f>
        <v>150</v>
      </c>
      <c r="Y566" s="121"/>
      <c r="Z566" s="121" t="str">
        <f>Таблица18[[#This Row],[Хар-ка]]</f>
        <v>высший</v>
      </c>
      <c r="AD566" s="459"/>
      <c r="AE566" s="391"/>
    </row>
    <row r="567" spans="1:31" s="325" customFormat="1" ht="15.6" hidden="1" customHeight="1" x14ac:dyDescent="0.2">
      <c r="A567" s="40" t="s">
        <v>2510</v>
      </c>
      <c r="B567" s="360" t="s">
        <v>511</v>
      </c>
      <c r="C567" s="40">
        <v>175</v>
      </c>
      <c r="D567" s="40">
        <v>50</v>
      </c>
      <c r="E567" s="40" t="s">
        <v>78</v>
      </c>
      <c r="F567" s="40" t="s">
        <v>311</v>
      </c>
      <c r="G567" s="40" t="s">
        <v>315</v>
      </c>
      <c r="H567" s="40" t="s">
        <v>1751</v>
      </c>
      <c r="I567" s="360" t="e">
        <f>VLOOKUP(Таблица18[[#This Row],[Номер акта]],$AB$1:$AF$1833,3,FALSE)</f>
        <v>#N/A</v>
      </c>
      <c r="J567" s="40" t="s">
        <v>747</v>
      </c>
      <c r="K567" s="40" t="s">
        <v>82</v>
      </c>
      <c r="L567" s="121">
        <v>28070</v>
      </c>
      <c r="M567" s="121">
        <v>14930</v>
      </c>
      <c r="N567" s="121">
        <v>24.5</v>
      </c>
      <c r="O567" s="363">
        <v>13140</v>
      </c>
      <c r="P567" s="363">
        <v>9920.7000000000007</v>
      </c>
      <c r="Q567" s="121">
        <v>2024</v>
      </c>
      <c r="R567" s="121"/>
      <c r="S567" s="148">
        <v>45441</v>
      </c>
      <c r="T567" s="363">
        <f>Таблица18[[#This Row],[Вес нетто]]-Таблица18[[#This Row],[Зачетный вес]]</f>
        <v>3219.2999999999993</v>
      </c>
      <c r="U567" s="365">
        <f>Таблица18[[#This Row],[Отход]]/Таблица18[[#This Row],[Вес нетто]]</f>
        <v>0.24499999999999994</v>
      </c>
      <c r="V567" s="121">
        <f>MONTH(Таблица18[[#This Row],[Дата акта]])</f>
        <v>5</v>
      </c>
      <c r="W567" s="121">
        <v>29</v>
      </c>
      <c r="X567" s="148">
        <f>DATE(1900,Таблица18[[#This Row],[Месяц]],Таблица18[[#This Row],[Число]])</f>
        <v>150</v>
      </c>
      <c r="Y567" s="121"/>
      <c r="Z567" s="121" t="str">
        <f>Таблица18[[#This Row],[Хар-ка]]</f>
        <v>высший</v>
      </c>
      <c r="AD567" s="459"/>
      <c r="AE567" s="391"/>
    </row>
    <row r="568" spans="1:31" s="325" customFormat="1" ht="15.6" hidden="1" customHeight="1" x14ac:dyDescent="0.2">
      <c r="A568" s="40" t="s">
        <v>2511</v>
      </c>
      <c r="B568" s="360" t="s">
        <v>511</v>
      </c>
      <c r="C568" s="40">
        <v>176</v>
      </c>
      <c r="D568" s="40">
        <v>51</v>
      </c>
      <c r="E568" s="40" t="s">
        <v>78</v>
      </c>
      <c r="F568" s="40" t="s">
        <v>239</v>
      </c>
      <c r="G568" s="40" t="s">
        <v>243</v>
      </c>
      <c r="H568" s="40" t="s">
        <v>1751</v>
      </c>
      <c r="I568" s="360" t="e">
        <f>VLOOKUP(Таблица18[[#This Row],[Номер акта]],$AB$1:$AF$1833,3,FALSE)</f>
        <v>#N/A</v>
      </c>
      <c r="J568" s="40" t="s">
        <v>747</v>
      </c>
      <c r="K568" s="40" t="s">
        <v>82</v>
      </c>
      <c r="L568" s="121">
        <v>28410</v>
      </c>
      <c r="M568" s="121">
        <v>14620</v>
      </c>
      <c r="N568" s="121">
        <v>24.5</v>
      </c>
      <c r="O568" s="363">
        <v>13790</v>
      </c>
      <c r="P568" s="363">
        <v>10411.4</v>
      </c>
      <c r="Q568" s="121">
        <v>2024</v>
      </c>
      <c r="R568" s="121"/>
      <c r="S568" s="148">
        <v>45442</v>
      </c>
      <c r="T568" s="363">
        <f>Таблица18[[#This Row],[Вес нетто]]-Таблица18[[#This Row],[Зачетный вес]]</f>
        <v>3378.6000000000004</v>
      </c>
      <c r="U568" s="365">
        <f>Таблица18[[#This Row],[Отход]]/Таблица18[[#This Row],[Вес нетто]]</f>
        <v>0.24500362581580859</v>
      </c>
      <c r="V568" s="121">
        <f>MONTH(Таблица18[[#This Row],[Дата акта]])</f>
        <v>5</v>
      </c>
      <c r="W568" s="121">
        <v>30</v>
      </c>
      <c r="X568" s="148">
        <f>DATE(1900,Таблица18[[#This Row],[Месяц]],Таблица18[[#This Row],[Число]])</f>
        <v>151</v>
      </c>
      <c r="Y568" s="121"/>
      <c r="Z568" s="121" t="str">
        <f>Таблица18[[#This Row],[Хар-ка]]</f>
        <v>высший</v>
      </c>
      <c r="AD568" s="459"/>
      <c r="AE568" s="391"/>
    </row>
    <row r="569" spans="1:31" s="325" customFormat="1" ht="15.6" hidden="1" customHeight="1" x14ac:dyDescent="0.2">
      <c r="A569" s="40" t="s">
        <v>2512</v>
      </c>
      <c r="B569" s="360" t="s">
        <v>511</v>
      </c>
      <c r="C569" s="40">
        <v>177</v>
      </c>
      <c r="D569" s="40">
        <v>52</v>
      </c>
      <c r="E569" s="40" t="s">
        <v>78</v>
      </c>
      <c r="F569" s="40" t="s">
        <v>127</v>
      </c>
      <c r="G569" s="40" t="s">
        <v>131</v>
      </c>
      <c r="H569" s="40" t="s">
        <v>20</v>
      </c>
      <c r="I569" s="360" t="e">
        <f>VLOOKUP(Таблица18[[#This Row],[Номер акта]],$AB$1:$AF$1833,3,FALSE)</f>
        <v>#N/A</v>
      </c>
      <c r="J569" s="40" t="s">
        <v>747</v>
      </c>
      <c r="K569" s="40" t="s">
        <v>82</v>
      </c>
      <c r="L569" s="121">
        <v>19500</v>
      </c>
      <c r="M569" s="121">
        <v>14180</v>
      </c>
      <c r="N569" s="121">
        <v>29.5</v>
      </c>
      <c r="O569" s="363">
        <v>5320</v>
      </c>
      <c r="P569" s="363">
        <v>3750.6</v>
      </c>
      <c r="Q569" s="121">
        <v>2024</v>
      </c>
      <c r="R569" s="121"/>
      <c r="S569" s="148">
        <v>45442</v>
      </c>
      <c r="T569" s="363">
        <f>Таблица18[[#This Row],[Вес нетто]]-Таблица18[[#This Row],[Зачетный вес]]</f>
        <v>1569.4</v>
      </c>
      <c r="U569" s="365">
        <f>Таблица18[[#This Row],[Отход]]/Таблица18[[#This Row],[Вес нетто]]</f>
        <v>0.29500000000000004</v>
      </c>
      <c r="V569" s="121">
        <f>MONTH(Таблица18[[#This Row],[Дата акта]])</f>
        <v>5</v>
      </c>
      <c r="W569" s="121">
        <v>30</v>
      </c>
      <c r="X569" s="148">
        <f>DATE(1900,Таблица18[[#This Row],[Месяц]],Таблица18[[#This Row],[Число]])</f>
        <v>151</v>
      </c>
      <c r="Y569" s="121"/>
      <c r="Z569" s="121" t="str">
        <f>Таблица18[[#This Row],[Хар-ка]]</f>
        <v>высший</v>
      </c>
      <c r="AD569" s="459"/>
      <c r="AE569" s="391"/>
    </row>
    <row r="570" spans="1:31" s="325" customFormat="1" ht="15.6" hidden="1" customHeight="1" x14ac:dyDescent="0.2">
      <c r="A570" s="40" t="s">
        <v>2513</v>
      </c>
      <c r="B570" s="360" t="s">
        <v>511</v>
      </c>
      <c r="C570" s="40">
        <v>182</v>
      </c>
      <c r="D570" s="40">
        <v>53</v>
      </c>
      <c r="E570" s="40" t="s">
        <v>78</v>
      </c>
      <c r="F570" s="40" t="s">
        <v>121</v>
      </c>
      <c r="G570" s="40" t="s">
        <v>125</v>
      </c>
      <c r="H570" s="40" t="s">
        <v>1754</v>
      </c>
      <c r="I570" s="360" t="e">
        <f>VLOOKUP(Таблица18[[#This Row],[Номер акта]],$AB$1:$AF$1833,3,FALSE)</f>
        <v>#N/A</v>
      </c>
      <c r="J570" s="40" t="s">
        <v>897</v>
      </c>
      <c r="K570" s="40" t="s">
        <v>82</v>
      </c>
      <c r="L570" s="121">
        <v>30280</v>
      </c>
      <c r="M570" s="121">
        <v>21250</v>
      </c>
      <c r="N570" s="121">
        <v>9.5</v>
      </c>
      <c r="O570" s="363">
        <v>9030</v>
      </c>
      <c r="P570" s="363">
        <v>8172.1</v>
      </c>
      <c r="Q570" s="121">
        <v>2024</v>
      </c>
      <c r="R570" s="121"/>
      <c r="S570" s="148">
        <v>45446</v>
      </c>
      <c r="T570" s="363">
        <f>Таблица18[[#This Row],[Вес нетто]]-Таблица18[[#This Row],[Зачетный вес]]</f>
        <v>857.89999999999964</v>
      </c>
      <c r="U570" s="365">
        <f>Таблица18[[#This Row],[Отход]]/Таблица18[[#This Row],[Вес нетто]]</f>
        <v>9.5005537098560314E-2</v>
      </c>
      <c r="V570" s="121">
        <f>MONTH(Таблица18[[#This Row],[Дата акта]])</f>
        <v>6</v>
      </c>
      <c r="W570" s="121">
        <v>3</v>
      </c>
      <c r="X570" s="148">
        <f>DATE(1900,Таблица18[[#This Row],[Месяц]],Таблица18[[#This Row],[Число]])</f>
        <v>155</v>
      </c>
      <c r="Y570" s="121"/>
      <c r="Z570" s="121" t="str">
        <f>Таблица18[[#This Row],[Хар-ка]]</f>
        <v>высший</v>
      </c>
      <c r="AD570" s="459"/>
      <c r="AE570" s="391"/>
    </row>
    <row r="571" spans="1:31" s="325" customFormat="1" ht="15.6" hidden="1" customHeight="1" x14ac:dyDescent="0.2">
      <c r="A571" s="40" t="s">
        <v>2514</v>
      </c>
      <c r="B571" s="360" t="s">
        <v>511</v>
      </c>
      <c r="C571" s="40">
        <v>183</v>
      </c>
      <c r="D571" s="40">
        <v>53</v>
      </c>
      <c r="E571" s="40" t="s">
        <v>78</v>
      </c>
      <c r="F571" s="40" t="s">
        <v>121</v>
      </c>
      <c r="G571" s="40" t="s">
        <v>125</v>
      </c>
      <c r="H571" s="40" t="s">
        <v>1754</v>
      </c>
      <c r="I571" s="360" t="e">
        <f>VLOOKUP(Таблица18[[#This Row],[Номер акта]],$AB$1:$AF$1833,3,FALSE)</f>
        <v>#N/A</v>
      </c>
      <c r="J571" s="40" t="s">
        <v>747</v>
      </c>
      <c r="K571" s="40" t="s">
        <v>82</v>
      </c>
      <c r="L571" s="121">
        <v>21250</v>
      </c>
      <c r="M571" s="121">
        <v>14640</v>
      </c>
      <c r="N571" s="121">
        <v>12.5</v>
      </c>
      <c r="O571" s="363">
        <v>6610</v>
      </c>
      <c r="P571" s="363">
        <v>5783.7</v>
      </c>
      <c r="Q571" s="121">
        <v>2024</v>
      </c>
      <c r="R571" s="121"/>
      <c r="S571" s="148">
        <v>45446</v>
      </c>
      <c r="T571" s="363">
        <f>Таблица18[[#This Row],[Вес нетто]]-Таблица18[[#This Row],[Зачетный вес]]</f>
        <v>826.30000000000018</v>
      </c>
      <c r="U571" s="365">
        <f>Таблица18[[#This Row],[Отход]]/Таблица18[[#This Row],[Вес нетто]]</f>
        <v>0.12500756429652046</v>
      </c>
      <c r="V571" s="121">
        <f>MONTH(Таблица18[[#This Row],[Дата акта]])</f>
        <v>6</v>
      </c>
      <c r="W571" s="121">
        <v>3</v>
      </c>
      <c r="X571" s="148">
        <f>DATE(1900,Таблица18[[#This Row],[Месяц]],Таблица18[[#This Row],[Число]])</f>
        <v>155</v>
      </c>
      <c r="Y571" s="121"/>
      <c r="Z571" s="121" t="str">
        <f>Таблица18[[#This Row],[Хар-ка]]</f>
        <v>высший</v>
      </c>
      <c r="AD571" s="459"/>
      <c r="AE571" s="391"/>
    </row>
    <row r="572" spans="1:31" s="325" customFormat="1" ht="15.6" hidden="1" customHeight="1" x14ac:dyDescent="0.2">
      <c r="A572" s="40" t="s">
        <v>2515</v>
      </c>
      <c r="B572" s="360" t="s">
        <v>511</v>
      </c>
      <c r="C572" s="40">
        <v>184</v>
      </c>
      <c r="D572" s="40">
        <v>54</v>
      </c>
      <c r="E572" s="40" t="s">
        <v>78</v>
      </c>
      <c r="F572" s="40" t="s">
        <v>2232</v>
      </c>
      <c r="G572" s="40" t="s">
        <v>2233</v>
      </c>
      <c r="H572" s="40" t="s">
        <v>1754</v>
      </c>
      <c r="I572" s="360" t="e">
        <f>VLOOKUP(Таблица18[[#This Row],[Номер акта]],$AB$1:$AF$1833,3,FALSE)</f>
        <v>#N/A</v>
      </c>
      <c r="J572" s="40" t="s">
        <v>747</v>
      </c>
      <c r="K572" s="40" t="s">
        <v>82</v>
      </c>
      <c r="L572" s="121">
        <v>28580</v>
      </c>
      <c r="M572" s="121">
        <v>14680</v>
      </c>
      <c r="N572" s="121">
        <v>12.5</v>
      </c>
      <c r="O572" s="363">
        <v>13900</v>
      </c>
      <c r="P572" s="363">
        <v>12162.5</v>
      </c>
      <c r="Q572" s="121">
        <v>2024</v>
      </c>
      <c r="R572" s="121"/>
      <c r="S572" s="148">
        <v>45446</v>
      </c>
      <c r="T572" s="363">
        <f>Таблица18[[#This Row],[Вес нетто]]-Таблица18[[#This Row],[Зачетный вес]]</f>
        <v>1737.5</v>
      </c>
      <c r="U572" s="365">
        <f>Таблица18[[#This Row],[Отход]]/Таблица18[[#This Row],[Вес нетто]]</f>
        <v>0.125</v>
      </c>
      <c r="V572" s="121">
        <f>MONTH(Таблица18[[#This Row],[Дата акта]])</f>
        <v>6</v>
      </c>
      <c r="W572" s="121">
        <v>3</v>
      </c>
      <c r="X572" s="148">
        <f>DATE(1900,Таблица18[[#This Row],[Месяц]],Таблица18[[#This Row],[Число]])</f>
        <v>155</v>
      </c>
      <c r="Y572" s="121"/>
      <c r="Z572" s="121" t="str">
        <f>Таблица18[[#This Row],[Хар-ка]]</f>
        <v>высший</v>
      </c>
      <c r="AD572" s="459"/>
      <c r="AE572" s="391"/>
    </row>
    <row r="573" spans="1:31" s="325" customFormat="1" ht="15.6" hidden="1" customHeight="1" x14ac:dyDescent="0.2">
      <c r="A573" s="40" t="s">
        <v>2516</v>
      </c>
      <c r="B573" s="360" t="s">
        <v>511</v>
      </c>
      <c r="C573" s="40">
        <v>185</v>
      </c>
      <c r="D573" s="40">
        <v>55</v>
      </c>
      <c r="E573" s="40" t="s">
        <v>78</v>
      </c>
      <c r="F573" s="40" t="s">
        <v>133</v>
      </c>
      <c r="G573" s="40" t="s">
        <v>137</v>
      </c>
      <c r="H573" s="40" t="s">
        <v>1754</v>
      </c>
      <c r="I573" s="360" t="e">
        <f>VLOOKUP(Таблица18[[#This Row],[Номер акта]],$AB$1:$AF$1833,3,FALSE)</f>
        <v>#N/A</v>
      </c>
      <c r="J573" s="40" t="s">
        <v>747</v>
      </c>
      <c r="K573" s="40" t="s">
        <v>82</v>
      </c>
      <c r="L573" s="121">
        <v>33160</v>
      </c>
      <c r="M573" s="121">
        <v>17330</v>
      </c>
      <c r="N573" s="121">
        <v>10.5</v>
      </c>
      <c r="O573" s="363">
        <v>15830</v>
      </c>
      <c r="P573" s="363">
        <v>14167.8</v>
      </c>
      <c r="Q573" s="121">
        <v>2024</v>
      </c>
      <c r="R573" s="121"/>
      <c r="S573" s="148">
        <v>45446</v>
      </c>
      <c r="T573" s="363">
        <f>Таблица18[[#This Row],[Вес нетто]]-Таблица18[[#This Row],[Зачетный вес]]</f>
        <v>1662.2000000000007</v>
      </c>
      <c r="U573" s="365">
        <f>Таблица18[[#This Row],[Отход]]/Таблица18[[#This Row],[Вес нетто]]</f>
        <v>0.10500315855969683</v>
      </c>
      <c r="V573" s="121">
        <f>MONTH(Таблица18[[#This Row],[Дата акта]])</f>
        <v>6</v>
      </c>
      <c r="W573" s="121">
        <v>3</v>
      </c>
      <c r="X573" s="148">
        <f>DATE(1900,Таблица18[[#This Row],[Месяц]],Таблица18[[#This Row],[Число]])</f>
        <v>155</v>
      </c>
      <c r="Y573" s="121"/>
      <c r="Z573" s="121" t="str">
        <f>Таблица18[[#This Row],[Хар-ка]]</f>
        <v>высший</v>
      </c>
      <c r="AD573" s="459"/>
      <c r="AE573" s="391"/>
    </row>
    <row r="574" spans="1:31" s="325" customFormat="1" ht="15.6" hidden="1" customHeight="1" x14ac:dyDescent="0.2">
      <c r="A574" s="40" t="s">
        <v>2517</v>
      </c>
      <c r="B574" s="360" t="s">
        <v>511</v>
      </c>
      <c r="C574" s="40">
        <v>186</v>
      </c>
      <c r="D574" s="40">
        <v>56</v>
      </c>
      <c r="E574" s="40" t="s">
        <v>78</v>
      </c>
      <c r="F574" s="40" t="s">
        <v>127</v>
      </c>
      <c r="G574" s="40" t="s">
        <v>131</v>
      </c>
      <c r="H574" s="40" t="s">
        <v>1754</v>
      </c>
      <c r="I574" s="360" t="e">
        <f>VLOOKUP(Таблица18[[#This Row],[Номер акта]],$AB$1:$AF$1833,3,FALSE)</f>
        <v>#N/A</v>
      </c>
      <c r="J574" s="40" t="s">
        <v>747</v>
      </c>
      <c r="K574" s="40" t="s">
        <v>82</v>
      </c>
      <c r="L574" s="121">
        <v>27960</v>
      </c>
      <c r="M574" s="121">
        <v>14160</v>
      </c>
      <c r="N574" s="121">
        <v>7.5</v>
      </c>
      <c r="O574" s="363">
        <v>13800</v>
      </c>
      <c r="P574" s="363">
        <v>12765</v>
      </c>
      <c r="Q574" s="121">
        <v>2024</v>
      </c>
      <c r="R574" s="121"/>
      <c r="S574" s="148">
        <v>45446</v>
      </c>
      <c r="T574" s="363">
        <f>Таблица18[[#This Row],[Вес нетто]]-Таблица18[[#This Row],[Зачетный вес]]</f>
        <v>1035</v>
      </c>
      <c r="U574" s="365">
        <f>Таблица18[[#This Row],[Отход]]/Таблица18[[#This Row],[Вес нетто]]</f>
        <v>7.4999999999999997E-2</v>
      </c>
      <c r="V574" s="121">
        <f>MONTH(Таблица18[[#This Row],[Дата акта]])</f>
        <v>6</v>
      </c>
      <c r="W574" s="121">
        <v>3</v>
      </c>
      <c r="X574" s="148">
        <f>DATE(1900,Таблица18[[#This Row],[Месяц]],Таблица18[[#This Row],[Число]])</f>
        <v>155</v>
      </c>
      <c r="Y574" s="121"/>
      <c r="Z574" s="121" t="str">
        <f>Таблица18[[#This Row],[Хар-ка]]</f>
        <v>высший</v>
      </c>
      <c r="AD574" s="459"/>
      <c r="AE574" s="391"/>
    </row>
    <row r="575" spans="1:31" s="325" customFormat="1" ht="15.6" hidden="1" customHeight="1" x14ac:dyDescent="0.2">
      <c r="A575" s="40" t="s">
        <v>2518</v>
      </c>
      <c r="B575" s="360" t="s">
        <v>511</v>
      </c>
      <c r="C575" s="40">
        <v>187</v>
      </c>
      <c r="D575" s="40">
        <v>57</v>
      </c>
      <c r="E575" s="40" t="s">
        <v>78</v>
      </c>
      <c r="F575" s="40" t="s">
        <v>121</v>
      </c>
      <c r="G575" s="40" t="s">
        <v>125</v>
      </c>
      <c r="H575" s="40" t="s">
        <v>1754</v>
      </c>
      <c r="I575" s="360" t="e">
        <f>VLOOKUP(Таблица18[[#This Row],[Номер акта]],$AB$1:$AF$1833,3,FALSE)</f>
        <v>#N/A</v>
      </c>
      <c r="J575" s="40" t="s">
        <v>747</v>
      </c>
      <c r="K575" s="40" t="s">
        <v>82</v>
      </c>
      <c r="L575" s="121">
        <v>28700</v>
      </c>
      <c r="M575" s="121">
        <v>14620</v>
      </c>
      <c r="N575" s="121">
        <v>13.5</v>
      </c>
      <c r="O575" s="363">
        <v>14080</v>
      </c>
      <c r="P575" s="363">
        <v>12179.2</v>
      </c>
      <c r="Q575" s="121">
        <v>2024</v>
      </c>
      <c r="R575" s="121"/>
      <c r="S575" s="148">
        <v>45446</v>
      </c>
      <c r="T575" s="363">
        <f>Таблица18[[#This Row],[Вес нетто]]-Таблица18[[#This Row],[Зачетный вес]]</f>
        <v>1900.7999999999993</v>
      </c>
      <c r="U575" s="365">
        <f>Таблица18[[#This Row],[Отход]]/Таблица18[[#This Row],[Вес нетто]]</f>
        <v>0.13499999999999995</v>
      </c>
      <c r="V575" s="121">
        <f>MONTH(Таблица18[[#This Row],[Дата акта]])</f>
        <v>6</v>
      </c>
      <c r="W575" s="121">
        <v>3</v>
      </c>
      <c r="X575" s="148">
        <f>DATE(1900,Таблица18[[#This Row],[Месяц]],Таблица18[[#This Row],[Число]])</f>
        <v>155</v>
      </c>
      <c r="Y575" s="121"/>
      <c r="Z575" s="121" t="str">
        <f>Таблица18[[#This Row],[Хар-ка]]</f>
        <v>высший</v>
      </c>
      <c r="AD575" s="459"/>
      <c r="AE575" s="391"/>
    </row>
    <row r="576" spans="1:31" s="325" customFormat="1" ht="15.6" hidden="1" customHeight="1" x14ac:dyDescent="0.2">
      <c r="A576" s="40" t="s">
        <v>2519</v>
      </c>
      <c r="B576" s="360" t="s">
        <v>511</v>
      </c>
      <c r="C576" s="40">
        <v>188</v>
      </c>
      <c r="D576" s="40">
        <v>58</v>
      </c>
      <c r="E576" s="40" t="s">
        <v>78</v>
      </c>
      <c r="F576" s="40" t="s">
        <v>2232</v>
      </c>
      <c r="G576" s="40" t="s">
        <v>2233</v>
      </c>
      <c r="H576" s="40" t="s">
        <v>1754</v>
      </c>
      <c r="I576" s="360" t="e">
        <f>VLOOKUP(Таблица18[[#This Row],[Номер акта]],$AB$1:$AF$1833,3,FALSE)</f>
        <v>#N/A</v>
      </c>
      <c r="J576" s="40" t="s">
        <v>747</v>
      </c>
      <c r="K576" s="40" t="s">
        <v>82</v>
      </c>
      <c r="L576" s="121">
        <v>28420</v>
      </c>
      <c r="M576" s="121">
        <v>14660</v>
      </c>
      <c r="N576" s="121">
        <v>11.5</v>
      </c>
      <c r="O576" s="363">
        <v>13760</v>
      </c>
      <c r="P576" s="363">
        <v>12177.6</v>
      </c>
      <c r="Q576" s="121">
        <v>2024</v>
      </c>
      <c r="R576" s="121"/>
      <c r="S576" s="148">
        <v>45446</v>
      </c>
      <c r="T576" s="363">
        <f>Таблица18[[#This Row],[Вес нетто]]-Таблица18[[#This Row],[Зачетный вес]]</f>
        <v>1582.3999999999996</v>
      </c>
      <c r="U576" s="365">
        <f>Таблица18[[#This Row],[Отход]]/Таблица18[[#This Row],[Вес нетто]]</f>
        <v>0.11499999999999998</v>
      </c>
      <c r="V576" s="121">
        <f>MONTH(Таблица18[[#This Row],[Дата акта]])</f>
        <v>6</v>
      </c>
      <c r="W576" s="121">
        <v>3</v>
      </c>
      <c r="X576" s="148">
        <f>DATE(1900,Таблица18[[#This Row],[Месяц]],Таблица18[[#This Row],[Число]])</f>
        <v>155</v>
      </c>
      <c r="Y576" s="121"/>
      <c r="Z576" s="121" t="str">
        <f>Таблица18[[#This Row],[Хар-ка]]</f>
        <v>высший</v>
      </c>
      <c r="AD576" s="459"/>
      <c r="AE576" s="391"/>
    </row>
    <row r="577" spans="1:31" s="325" customFormat="1" ht="15.6" hidden="1" customHeight="1" x14ac:dyDescent="0.2">
      <c r="A577" s="40" t="s">
        <v>2520</v>
      </c>
      <c r="B577" s="360" t="s">
        <v>511</v>
      </c>
      <c r="C577" s="40">
        <v>189</v>
      </c>
      <c r="D577" s="40">
        <v>59</v>
      </c>
      <c r="E577" s="40" t="s">
        <v>78</v>
      </c>
      <c r="F577" s="40" t="s">
        <v>133</v>
      </c>
      <c r="G577" s="40" t="s">
        <v>137</v>
      </c>
      <c r="H577" s="40" t="s">
        <v>1754</v>
      </c>
      <c r="I577" s="360" t="e">
        <f>VLOOKUP(Таблица18[[#This Row],[Номер акта]],$AB$1:$AF$1833,3,FALSE)</f>
        <v>#N/A</v>
      </c>
      <c r="J577" s="40" t="s">
        <v>747</v>
      </c>
      <c r="K577" s="40" t="s">
        <v>82</v>
      </c>
      <c r="L577" s="121">
        <v>33360</v>
      </c>
      <c r="M577" s="121">
        <v>17300</v>
      </c>
      <c r="N577" s="121">
        <v>12.5</v>
      </c>
      <c r="O577" s="363">
        <v>16060</v>
      </c>
      <c r="P577" s="363">
        <v>14052.5</v>
      </c>
      <c r="Q577" s="121">
        <v>2024</v>
      </c>
      <c r="R577" s="121"/>
      <c r="S577" s="148">
        <v>45446</v>
      </c>
      <c r="T577" s="363">
        <f>Таблица18[[#This Row],[Вес нетто]]-Таблица18[[#This Row],[Зачетный вес]]</f>
        <v>2007.5</v>
      </c>
      <c r="U577" s="365">
        <f>Таблица18[[#This Row],[Отход]]/Таблица18[[#This Row],[Вес нетто]]</f>
        <v>0.125</v>
      </c>
      <c r="V577" s="121">
        <f>MONTH(Таблица18[[#This Row],[Дата акта]])</f>
        <v>6</v>
      </c>
      <c r="W577" s="121">
        <v>3</v>
      </c>
      <c r="X577" s="148">
        <f>DATE(1900,Таблица18[[#This Row],[Месяц]],Таблица18[[#This Row],[Число]])</f>
        <v>155</v>
      </c>
      <c r="Y577" s="121"/>
      <c r="Z577" s="121" t="str">
        <f>Таблица18[[#This Row],[Хар-ка]]</f>
        <v>высший</v>
      </c>
      <c r="AD577" s="459"/>
      <c r="AE577" s="391"/>
    </row>
    <row r="578" spans="1:31" s="325" customFormat="1" ht="15.6" hidden="1" customHeight="1" x14ac:dyDescent="0.2">
      <c r="A578" s="40" t="s">
        <v>2521</v>
      </c>
      <c r="B578" s="360" t="s">
        <v>511</v>
      </c>
      <c r="C578" s="40">
        <v>190</v>
      </c>
      <c r="D578" s="40">
        <v>60</v>
      </c>
      <c r="E578" s="40" t="s">
        <v>78</v>
      </c>
      <c r="F578" s="40" t="s">
        <v>121</v>
      </c>
      <c r="G578" s="40" t="s">
        <v>125</v>
      </c>
      <c r="H578" s="40" t="s">
        <v>1754</v>
      </c>
      <c r="I578" s="360" t="e">
        <f>VLOOKUP(Таблица18[[#This Row],[Номер акта]],$AB$1:$AF$1833,3,FALSE)</f>
        <v>#N/A</v>
      </c>
      <c r="J578" s="40" t="s">
        <v>747</v>
      </c>
      <c r="K578" s="40" t="s">
        <v>82</v>
      </c>
      <c r="L578" s="121">
        <v>28240</v>
      </c>
      <c r="M578" s="121">
        <v>14600</v>
      </c>
      <c r="N578" s="121">
        <v>8.5</v>
      </c>
      <c r="O578" s="363">
        <v>13640</v>
      </c>
      <c r="P578" s="363">
        <v>12480.6</v>
      </c>
      <c r="Q578" s="121">
        <v>2024</v>
      </c>
      <c r="R578" s="121"/>
      <c r="S578" s="148">
        <v>45446</v>
      </c>
      <c r="T578" s="363">
        <f>Таблица18[[#This Row],[Вес нетто]]-Таблица18[[#This Row],[Зачетный вес]]</f>
        <v>1159.3999999999996</v>
      </c>
      <c r="U578" s="365">
        <f>Таблица18[[#This Row],[Отход]]/Таблица18[[#This Row],[Вес нетто]]</f>
        <v>8.4999999999999978E-2</v>
      </c>
      <c r="V578" s="121">
        <f>MONTH(Таблица18[[#This Row],[Дата акта]])</f>
        <v>6</v>
      </c>
      <c r="W578" s="121">
        <v>3</v>
      </c>
      <c r="X578" s="148">
        <f>DATE(1900,Таблица18[[#This Row],[Месяц]],Таблица18[[#This Row],[Число]])</f>
        <v>155</v>
      </c>
      <c r="Y578" s="121"/>
      <c r="Z578" s="121" t="str">
        <f>Таблица18[[#This Row],[Хар-ка]]</f>
        <v>высший</v>
      </c>
      <c r="AD578" s="459"/>
      <c r="AE578" s="391"/>
    </row>
    <row r="579" spans="1:31" s="325" customFormat="1" ht="15.6" hidden="1" customHeight="1" x14ac:dyDescent="0.2">
      <c r="A579" s="40" t="s">
        <v>2522</v>
      </c>
      <c r="B579" s="360" t="s">
        <v>511</v>
      </c>
      <c r="C579" s="40">
        <v>191</v>
      </c>
      <c r="D579" s="40">
        <v>61</v>
      </c>
      <c r="E579" s="40" t="s">
        <v>78</v>
      </c>
      <c r="F579" s="40" t="s">
        <v>2232</v>
      </c>
      <c r="G579" s="40" t="s">
        <v>2233</v>
      </c>
      <c r="H579" s="40" t="s">
        <v>1754</v>
      </c>
      <c r="I579" s="360" t="e">
        <f>VLOOKUP(Таблица18[[#This Row],[Номер акта]],$AB$1:$AF$1833,3,FALSE)</f>
        <v>#N/A</v>
      </c>
      <c r="J579" s="40" t="s">
        <v>747</v>
      </c>
      <c r="K579" s="40" t="s">
        <v>82</v>
      </c>
      <c r="L579" s="121">
        <v>31250</v>
      </c>
      <c r="M579" s="121">
        <v>14730</v>
      </c>
      <c r="N579" s="121">
        <v>12.5</v>
      </c>
      <c r="O579" s="363">
        <v>16520</v>
      </c>
      <c r="P579" s="363">
        <v>14455</v>
      </c>
      <c r="Q579" s="121">
        <v>2024</v>
      </c>
      <c r="R579" s="121"/>
      <c r="S579" s="148">
        <v>45446</v>
      </c>
      <c r="T579" s="363">
        <f>Таблица18[[#This Row],[Вес нетто]]-Таблица18[[#This Row],[Зачетный вес]]</f>
        <v>2065</v>
      </c>
      <c r="U579" s="365">
        <f>Таблица18[[#This Row],[Отход]]/Таблица18[[#This Row],[Вес нетто]]</f>
        <v>0.125</v>
      </c>
      <c r="V579" s="121">
        <f>MONTH(Таблица18[[#This Row],[Дата акта]])</f>
        <v>6</v>
      </c>
      <c r="W579" s="121">
        <v>3</v>
      </c>
      <c r="X579" s="148">
        <f>DATE(1900,Таблица18[[#This Row],[Месяц]],Таблица18[[#This Row],[Число]])</f>
        <v>155</v>
      </c>
      <c r="Y579" s="121"/>
      <c r="Z579" s="121" t="str">
        <f>Таблица18[[#This Row],[Хар-ка]]</f>
        <v>высший</v>
      </c>
      <c r="AD579" s="459"/>
      <c r="AE579" s="391"/>
    </row>
    <row r="580" spans="1:31" s="325" customFormat="1" ht="15.6" hidden="1" customHeight="1" x14ac:dyDescent="0.2">
      <c r="A580" s="40" t="s">
        <v>2523</v>
      </c>
      <c r="B580" s="360" t="s">
        <v>511</v>
      </c>
      <c r="C580" s="40">
        <v>192</v>
      </c>
      <c r="D580" s="40">
        <v>62</v>
      </c>
      <c r="E580" s="40" t="s">
        <v>78</v>
      </c>
      <c r="F580" s="40" t="s">
        <v>133</v>
      </c>
      <c r="G580" s="40" t="s">
        <v>137</v>
      </c>
      <c r="H580" s="40" t="s">
        <v>1754</v>
      </c>
      <c r="I580" s="360" t="e">
        <f>VLOOKUP(Таблица18[[#This Row],[Номер акта]],$AB$1:$AF$1833,3,FALSE)</f>
        <v>#N/A</v>
      </c>
      <c r="J580" s="40" t="s">
        <v>747</v>
      </c>
      <c r="K580" s="40" t="s">
        <v>82</v>
      </c>
      <c r="L580" s="121">
        <v>32630</v>
      </c>
      <c r="M580" s="121">
        <v>17290</v>
      </c>
      <c r="N580" s="121">
        <v>11.5</v>
      </c>
      <c r="O580" s="363">
        <v>15340</v>
      </c>
      <c r="P580" s="363">
        <v>13575.9</v>
      </c>
      <c r="Q580" s="121">
        <v>2024</v>
      </c>
      <c r="R580" s="121"/>
      <c r="S580" s="148">
        <v>45446</v>
      </c>
      <c r="T580" s="363">
        <f>Таблица18[[#This Row],[Вес нетто]]-Таблица18[[#This Row],[Зачетный вес]]</f>
        <v>1764.1000000000004</v>
      </c>
      <c r="U580" s="365">
        <f>Таблица18[[#This Row],[Отход]]/Таблица18[[#This Row],[Вес нетто]]</f>
        <v>0.11500000000000002</v>
      </c>
      <c r="V580" s="121">
        <f>MONTH(Таблица18[[#This Row],[Дата акта]])</f>
        <v>6</v>
      </c>
      <c r="W580" s="121">
        <v>3</v>
      </c>
      <c r="X580" s="148">
        <f>DATE(1900,Таблица18[[#This Row],[Месяц]],Таблица18[[#This Row],[Число]])</f>
        <v>155</v>
      </c>
      <c r="Y580" s="121"/>
      <c r="Z580" s="121" t="str">
        <f>Таблица18[[#This Row],[Хар-ка]]</f>
        <v>высший</v>
      </c>
      <c r="AD580" s="459"/>
      <c r="AE580" s="391"/>
    </row>
    <row r="581" spans="1:31" s="325" customFormat="1" ht="15.6" hidden="1" customHeight="1" x14ac:dyDescent="0.2">
      <c r="A581" s="40" t="s">
        <v>2524</v>
      </c>
      <c r="B581" s="360" t="s">
        <v>511</v>
      </c>
      <c r="C581" s="40">
        <v>193</v>
      </c>
      <c r="D581" s="40">
        <v>63</v>
      </c>
      <c r="E581" s="40" t="s">
        <v>78</v>
      </c>
      <c r="F581" s="40" t="s">
        <v>121</v>
      </c>
      <c r="G581" s="40" t="s">
        <v>125</v>
      </c>
      <c r="H581" s="40" t="s">
        <v>1754</v>
      </c>
      <c r="I581" s="360" t="e">
        <f>VLOOKUP(Таблица18[[#This Row],[Номер акта]],$AB$1:$AF$1833,3,FALSE)</f>
        <v>#N/A</v>
      </c>
      <c r="J581" s="40" t="s">
        <v>747</v>
      </c>
      <c r="K581" s="40" t="s">
        <v>82</v>
      </c>
      <c r="L581" s="121">
        <v>29930</v>
      </c>
      <c r="M581" s="121">
        <v>14590</v>
      </c>
      <c r="N581" s="121">
        <v>12.5</v>
      </c>
      <c r="O581" s="363">
        <v>15340</v>
      </c>
      <c r="P581" s="363">
        <v>13422.5</v>
      </c>
      <c r="Q581" s="121">
        <v>2024</v>
      </c>
      <c r="R581" s="121"/>
      <c r="S581" s="148">
        <v>45447</v>
      </c>
      <c r="T581" s="363">
        <f>Таблица18[[#This Row],[Вес нетто]]-Таблица18[[#This Row],[Зачетный вес]]</f>
        <v>1917.5</v>
      </c>
      <c r="U581" s="365">
        <f>Таблица18[[#This Row],[Отход]]/Таблица18[[#This Row],[Вес нетто]]</f>
        <v>0.125</v>
      </c>
      <c r="V581" s="121">
        <f>MONTH(Таблица18[[#This Row],[Дата акта]])</f>
        <v>6</v>
      </c>
      <c r="W581" s="121">
        <v>4</v>
      </c>
      <c r="X581" s="148">
        <f>DATE(1900,Таблица18[[#This Row],[Месяц]],Таблица18[[#This Row],[Число]])</f>
        <v>156</v>
      </c>
      <c r="Y581" s="121"/>
      <c r="Z581" s="121" t="str">
        <f>Таблица18[[#This Row],[Хар-ка]]</f>
        <v>высший</v>
      </c>
      <c r="AD581" s="459"/>
      <c r="AE581" s="391"/>
    </row>
    <row r="582" spans="1:31" s="325" customFormat="1" ht="15.6" hidden="1" customHeight="1" x14ac:dyDescent="0.2">
      <c r="A582" s="40" t="s">
        <v>2525</v>
      </c>
      <c r="B582" s="360" t="s">
        <v>511</v>
      </c>
      <c r="C582" s="40">
        <v>194</v>
      </c>
      <c r="D582" s="40">
        <v>64</v>
      </c>
      <c r="E582" s="40" t="s">
        <v>78</v>
      </c>
      <c r="F582" s="40" t="s">
        <v>2232</v>
      </c>
      <c r="G582" s="40" t="s">
        <v>2233</v>
      </c>
      <c r="H582" s="40" t="s">
        <v>1754</v>
      </c>
      <c r="I582" s="360" t="e">
        <f>VLOOKUP(Таблица18[[#This Row],[Номер акта]],$AB$1:$AF$1833,3,FALSE)</f>
        <v>#N/A</v>
      </c>
      <c r="J582" s="40" t="s">
        <v>747</v>
      </c>
      <c r="K582" s="40" t="s">
        <v>82</v>
      </c>
      <c r="L582" s="121">
        <v>30050</v>
      </c>
      <c r="M582" s="121">
        <v>14730</v>
      </c>
      <c r="N582" s="121">
        <v>10.5</v>
      </c>
      <c r="O582" s="363">
        <v>15320</v>
      </c>
      <c r="P582" s="363">
        <v>13711.4</v>
      </c>
      <c r="Q582" s="121">
        <v>2024</v>
      </c>
      <c r="R582" s="121"/>
      <c r="S582" s="148">
        <v>45447</v>
      </c>
      <c r="T582" s="363">
        <f>Таблица18[[#This Row],[Вес нетто]]-Таблица18[[#This Row],[Зачетный вес]]</f>
        <v>1608.6000000000004</v>
      </c>
      <c r="U582" s="365">
        <f>Таблица18[[#This Row],[Отход]]/Таблица18[[#This Row],[Вес нетто]]</f>
        <v>0.10500000000000002</v>
      </c>
      <c r="V582" s="121">
        <f>MONTH(Таблица18[[#This Row],[Дата акта]])</f>
        <v>6</v>
      </c>
      <c r="W582" s="121">
        <v>4</v>
      </c>
      <c r="X582" s="148">
        <f>DATE(1900,Таблица18[[#This Row],[Месяц]],Таблица18[[#This Row],[Число]])</f>
        <v>156</v>
      </c>
      <c r="Y582" s="121"/>
      <c r="Z582" s="121" t="str">
        <f>Таблица18[[#This Row],[Хар-ка]]</f>
        <v>высший</v>
      </c>
      <c r="AD582" s="459"/>
      <c r="AE582" s="391"/>
    </row>
    <row r="583" spans="1:31" s="325" customFormat="1" ht="15.6" hidden="1" customHeight="1" x14ac:dyDescent="0.2">
      <c r="A583" s="40" t="s">
        <v>2526</v>
      </c>
      <c r="B583" s="360" t="s">
        <v>511</v>
      </c>
      <c r="C583" s="40">
        <v>195</v>
      </c>
      <c r="D583" s="40">
        <v>65</v>
      </c>
      <c r="E583" s="40" t="s">
        <v>78</v>
      </c>
      <c r="F583" s="40" t="s">
        <v>133</v>
      </c>
      <c r="G583" s="40" t="s">
        <v>137</v>
      </c>
      <c r="H583" s="40" t="s">
        <v>1754</v>
      </c>
      <c r="I583" s="360" t="e">
        <f>VLOOKUP(Таблица18[[#This Row],[Номер акта]],$AB$1:$AF$1833,3,FALSE)</f>
        <v>#N/A</v>
      </c>
      <c r="J583" s="40" t="s">
        <v>747</v>
      </c>
      <c r="K583" s="40" t="s">
        <v>82</v>
      </c>
      <c r="L583" s="121">
        <v>33080</v>
      </c>
      <c r="M583" s="121">
        <v>17270</v>
      </c>
      <c r="N583" s="121">
        <v>8.5</v>
      </c>
      <c r="O583" s="363">
        <v>15810</v>
      </c>
      <c r="P583" s="363">
        <v>14466.1</v>
      </c>
      <c r="Q583" s="121">
        <v>2024</v>
      </c>
      <c r="R583" s="121"/>
      <c r="S583" s="148">
        <v>45447</v>
      </c>
      <c r="T583" s="363">
        <f>Таблица18[[#This Row],[Вес нетто]]-Таблица18[[#This Row],[Зачетный вес]]</f>
        <v>1343.8999999999996</v>
      </c>
      <c r="U583" s="365">
        <f>Таблица18[[#This Row],[Отход]]/Таблица18[[#This Row],[Вес нетто]]</f>
        <v>8.5003162555344694E-2</v>
      </c>
      <c r="V583" s="121">
        <f>MONTH(Таблица18[[#This Row],[Дата акта]])</f>
        <v>6</v>
      </c>
      <c r="W583" s="121">
        <v>4</v>
      </c>
      <c r="X583" s="148">
        <f>DATE(1900,Таблица18[[#This Row],[Месяц]],Таблица18[[#This Row],[Число]])</f>
        <v>156</v>
      </c>
      <c r="Y583" s="121"/>
      <c r="Z583" s="121" t="str">
        <f>Таблица18[[#This Row],[Хар-ка]]</f>
        <v>высший</v>
      </c>
      <c r="AD583" s="459"/>
      <c r="AE583" s="391"/>
    </row>
    <row r="584" spans="1:31" s="325" customFormat="1" ht="15.6" hidden="1" customHeight="1" x14ac:dyDescent="0.2">
      <c r="A584" s="40" t="s">
        <v>2527</v>
      </c>
      <c r="B584" s="360" t="s">
        <v>511</v>
      </c>
      <c r="C584" s="40">
        <v>198</v>
      </c>
      <c r="D584" s="40">
        <v>66</v>
      </c>
      <c r="E584" s="40" t="s">
        <v>78</v>
      </c>
      <c r="F584" s="40" t="s">
        <v>212</v>
      </c>
      <c r="G584" s="40" t="s">
        <v>216</v>
      </c>
      <c r="H584" s="40" t="s">
        <v>1754</v>
      </c>
      <c r="I584" s="360" t="e">
        <f>VLOOKUP(Таблица18[[#This Row],[Номер акта]],$AB$1:$AF$1833,3,FALSE)</f>
        <v>#N/A</v>
      </c>
      <c r="J584" s="40" t="s">
        <v>747</v>
      </c>
      <c r="K584" s="40" t="s">
        <v>82</v>
      </c>
      <c r="L584" s="121">
        <v>27700</v>
      </c>
      <c r="M584" s="121">
        <v>14060</v>
      </c>
      <c r="N584" s="121">
        <v>10.5</v>
      </c>
      <c r="O584" s="363">
        <v>13640</v>
      </c>
      <c r="P584" s="363">
        <v>12207.8</v>
      </c>
      <c r="Q584" s="121">
        <v>2024</v>
      </c>
      <c r="R584" s="121"/>
      <c r="S584" s="148">
        <v>45447</v>
      </c>
      <c r="T584" s="363">
        <f>Таблица18[[#This Row],[Вес нетто]]-Таблица18[[#This Row],[Зачетный вес]]</f>
        <v>1432.2000000000007</v>
      </c>
      <c r="U584" s="365">
        <f>Таблица18[[#This Row],[Отход]]/Таблица18[[#This Row],[Вес нетто]]</f>
        <v>0.10500000000000005</v>
      </c>
      <c r="V584" s="121">
        <f>MONTH(Таблица18[[#This Row],[Дата акта]])</f>
        <v>6</v>
      </c>
      <c r="W584" s="121">
        <v>4</v>
      </c>
      <c r="X584" s="148">
        <f>DATE(1900,Таблица18[[#This Row],[Месяц]],Таблица18[[#This Row],[Число]])</f>
        <v>156</v>
      </c>
      <c r="Y584" s="121"/>
      <c r="Z584" s="121" t="str">
        <f>Таблица18[[#This Row],[Хар-ка]]</f>
        <v>высший</v>
      </c>
      <c r="AD584" s="459"/>
      <c r="AE584" s="391"/>
    </row>
    <row r="585" spans="1:31" s="325" customFormat="1" ht="15.6" hidden="1" customHeight="1" x14ac:dyDescent="0.2">
      <c r="A585" s="40" t="s">
        <v>2528</v>
      </c>
      <c r="B585" s="360" t="s">
        <v>511</v>
      </c>
      <c r="C585" s="40">
        <v>199</v>
      </c>
      <c r="D585" s="40">
        <v>67</v>
      </c>
      <c r="E585" s="40" t="s">
        <v>78</v>
      </c>
      <c r="F585" s="40" t="s">
        <v>2750</v>
      </c>
      <c r="G585" s="40" t="s">
        <v>2751</v>
      </c>
      <c r="H585" s="40" t="s">
        <v>1754</v>
      </c>
      <c r="I585" s="360" t="e">
        <f>VLOOKUP(Таблица18[[#This Row],[Номер акта]],$AB$1:$AF$1833,3,FALSE)</f>
        <v>#N/A</v>
      </c>
      <c r="J585" s="40" t="s">
        <v>747</v>
      </c>
      <c r="K585" s="40" t="s">
        <v>82</v>
      </c>
      <c r="L585" s="121">
        <v>33120</v>
      </c>
      <c r="M585" s="121">
        <v>17370</v>
      </c>
      <c r="N585" s="121">
        <v>12.5</v>
      </c>
      <c r="O585" s="363">
        <v>15750</v>
      </c>
      <c r="P585" s="363">
        <v>13781.2</v>
      </c>
      <c r="Q585" s="121">
        <v>2024</v>
      </c>
      <c r="R585" s="121"/>
      <c r="S585" s="148">
        <v>45447</v>
      </c>
      <c r="T585" s="363">
        <f>Таблица18[[#This Row],[Вес нетто]]-Таблица18[[#This Row],[Зачетный вес]]</f>
        <v>1968.7999999999993</v>
      </c>
      <c r="U585" s="365">
        <f>Таблица18[[#This Row],[Отход]]/Таблица18[[#This Row],[Вес нетто]]</f>
        <v>0.12500317460317456</v>
      </c>
      <c r="V585" s="121">
        <f>MONTH(Таблица18[[#This Row],[Дата акта]])</f>
        <v>6</v>
      </c>
      <c r="W585" s="121">
        <v>4</v>
      </c>
      <c r="X585" s="148">
        <f>DATE(1900,Таблица18[[#This Row],[Месяц]],Таблица18[[#This Row],[Число]])</f>
        <v>156</v>
      </c>
      <c r="Y585" s="121"/>
      <c r="Z585" s="121" t="str">
        <f>Таблица18[[#This Row],[Хар-ка]]</f>
        <v>высший</v>
      </c>
      <c r="AD585" s="459"/>
      <c r="AE585" s="391"/>
    </row>
    <row r="586" spans="1:31" s="325" customFormat="1" ht="15.6" hidden="1" customHeight="1" x14ac:dyDescent="0.2">
      <c r="A586" s="40" t="s">
        <v>2529</v>
      </c>
      <c r="B586" s="360" t="s">
        <v>511</v>
      </c>
      <c r="C586" s="40">
        <v>201</v>
      </c>
      <c r="D586" s="40">
        <v>68</v>
      </c>
      <c r="E586" s="40" t="s">
        <v>78</v>
      </c>
      <c r="F586" s="40" t="s">
        <v>2155</v>
      </c>
      <c r="G586" s="40" t="s">
        <v>320</v>
      </c>
      <c r="H586" s="40" t="s">
        <v>1754</v>
      </c>
      <c r="I586" s="360" t="e">
        <f>VLOOKUP(Таблица18[[#This Row],[Номер акта]],$AB$1:$AF$1833,3,FALSE)</f>
        <v>#N/A</v>
      </c>
      <c r="J586" s="40" t="s">
        <v>747</v>
      </c>
      <c r="K586" s="40" t="s">
        <v>82</v>
      </c>
      <c r="L586" s="121">
        <v>28050</v>
      </c>
      <c r="M586" s="121">
        <v>14480</v>
      </c>
      <c r="N586" s="121">
        <v>11.5</v>
      </c>
      <c r="O586" s="363">
        <v>13570</v>
      </c>
      <c r="P586" s="363">
        <v>12009.4</v>
      </c>
      <c r="Q586" s="121">
        <v>2024</v>
      </c>
      <c r="R586" s="121"/>
      <c r="S586" s="148">
        <v>45447</v>
      </c>
      <c r="T586" s="363">
        <f>Таблица18[[#This Row],[Вес нетто]]-Таблица18[[#This Row],[Зачетный вес]]</f>
        <v>1560.6000000000004</v>
      </c>
      <c r="U586" s="365">
        <f>Таблица18[[#This Row],[Отход]]/Таблица18[[#This Row],[Вес нетто]]</f>
        <v>0.1150036845983788</v>
      </c>
      <c r="V586" s="121">
        <f>MONTH(Таблица18[[#This Row],[Дата акта]])</f>
        <v>6</v>
      </c>
      <c r="W586" s="121">
        <v>4</v>
      </c>
      <c r="X586" s="148">
        <f>DATE(1900,Таблица18[[#This Row],[Месяц]],Таблица18[[#This Row],[Число]])</f>
        <v>156</v>
      </c>
      <c r="Y586" s="121"/>
      <c r="Z586" s="121" t="str">
        <f>Таблица18[[#This Row],[Хар-ка]]</f>
        <v>высший</v>
      </c>
      <c r="AD586" s="459"/>
      <c r="AE586" s="391"/>
    </row>
    <row r="587" spans="1:31" s="325" customFormat="1" ht="15.6" hidden="1" customHeight="1" x14ac:dyDescent="0.2">
      <c r="A587" s="40" t="s">
        <v>2530</v>
      </c>
      <c r="B587" s="360" t="s">
        <v>511</v>
      </c>
      <c r="C587" s="40">
        <v>202</v>
      </c>
      <c r="D587" s="40">
        <v>69</v>
      </c>
      <c r="E587" s="40" t="s">
        <v>78</v>
      </c>
      <c r="F587" s="40" t="s">
        <v>127</v>
      </c>
      <c r="G587" s="40" t="s">
        <v>131</v>
      </c>
      <c r="H587" s="40" t="s">
        <v>1754</v>
      </c>
      <c r="I587" s="360" t="e">
        <f>VLOOKUP(Таблица18[[#This Row],[Номер акта]],$AB$1:$AF$1833,3,FALSE)</f>
        <v>#N/A</v>
      </c>
      <c r="J587" s="40" t="s">
        <v>747</v>
      </c>
      <c r="K587" s="40" t="s">
        <v>82</v>
      </c>
      <c r="L587" s="121">
        <v>27630</v>
      </c>
      <c r="M587" s="121">
        <v>14150</v>
      </c>
      <c r="N587" s="121">
        <v>11.5</v>
      </c>
      <c r="O587" s="363">
        <v>13480</v>
      </c>
      <c r="P587" s="363">
        <v>11929.8</v>
      </c>
      <c r="Q587" s="121">
        <v>2024</v>
      </c>
      <c r="R587" s="121"/>
      <c r="S587" s="148">
        <v>45447</v>
      </c>
      <c r="T587" s="363">
        <f>Таблица18[[#This Row],[Вес нетто]]-Таблица18[[#This Row],[Зачетный вес]]</f>
        <v>1550.2000000000007</v>
      </c>
      <c r="U587" s="365">
        <f>Таблица18[[#This Row],[Отход]]/Таблица18[[#This Row],[Вес нетто]]</f>
        <v>0.11500000000000006</v>
      </c>
      <c r="V587" s="121">
        <f>MONTH(Таблица18[[#This Row],[Дата акта]])</f>
        <v>6</v>
      </c>
      <c r="W587" s="121">
        <v>4</v>
      </c>
      <c r="X587" s="148">
        <f>DATE(1900,Таблица18[[#This Row],[Месяц]],Таблица18[[#This Row],[Число]])</f>
        <v>156</v>
      </c>
      <c r="Y587" s="121"/>
      <c r="Z587" s="121" t="str">
        <f>Таблица18[[#This Row],[Хар-ка]]</f>
        <v>высший</v>
      </c>
      <c r="AD587" s="459"/>
      <c r="AE587" s="391"/>
    </row>
    <row r="588" spans="1:31" s="325" customFormat="1" ht="15.6" hidden="1" customHeight="1" x14ac:dyDescent="0.2">
      <c r="A588" s="40" t="s">
        <v>2531</v>
      </c>
      <c r="B588" s="360" t="s">
        <v>511</v>
      </c>
      <c r="C588" s="40">
        <v>203</v>
      </c>
      <c r="D588" s="40">
        <v>70</v>
      </c>
      <c r="E588" s="40" t="s">
        <v>78</v>
      </c>
      <c r="F588" s="40" t="s">
        <v>212</v>
      </c>
      <c r="G588" s="40" t="s">
        <v>216</v>
      </c>
      <c r="H588" s="40" t="s">
        <v>1754</v>
      </c>
      <c r="I588" s="360" t="e">
        <f>VLOOKUP(Таблица18[[#This Row],[Номер акта]],$AB$1:$AF$1833,3,FALSE)</f>
        <v>#N/A</v>
      </c>
      <c r="J588" s="40" t="s">
        <v>747</v>
      </c>
      <c r="K588" s="40" t="s">
        <v>82</v>
      </c>
      <c r="L588" s="121">
        <v>29560</v>
      </c>
      <c r="M588" s="121">
        <v>14040</v>
      </c>
      <c r="N588" s="121">
        <v>12.5</v>
      </c>
      <c r="O588" s="363">
        <v>15520</v>
      </c>
      <c r="P588" s="363">
        <v>13580</v>
      </c>
      <c r="Q588" s="121">
        <v>2024</v>
      </c>
      <c r="R588" s="121"/>
      <c r="S588" s="148">
        <v>45447</v>
      </c>
      <c r="T588" s="363">
        <f>Таблица18[[#This Row],[Вес нетто]]-Таблица18[[#This Row],[Зачетный вес]]</f>
        <v>1940</v>
      </c>
      <c r="U588" s="365">
        <f>Таблица18[[#This Row],[Отход]]/Таблица18[[#This Row],[Вес нетто]]</f>
        <v>0.125</v>
      </c>
      <c r="V588" s="121">
        <f>MONTH(Таблица18[[#This Row],[Дата акта]])</f>
        <v>6</v>
      </c>
      <c r="W588" s="121">
        <v>4</v>
      </c>
      <c r="X588" s="148">
        <f>DATE(1900,Таблица18[[#This Row],[Месяц]],Таблица18[[#This Row],[Число]])</f>
        <v>156</v>
      </c>
      <c r="Y588" s="121"/>
      <c r="Z588" s="121" t="str">
        <f>Таблица18[[#This Row],[Хар-ка]]</f>
        <v>высший</v>
      </c>
      <c r="AD588" s="459"/>
      <c r="AE588" s="391"/>
    </row>
    <row r="589" spans="1:31" s="325" customFormat="1" ht="15.6" hidden="1" customHeight="1" x14ac:dyDescent="0.2">
      <c r="A589" s="40" t="s">
        <v>2532</v>
      </c>
      <c r="B589" s="360" t="s">
        <v>511</v>
      </c>
      <c r="C589" s="40">
        <v>204</v>
      </c>
      <c r="D589" s="40">
        <v>71</v>
      </c>
      <c r="E589" s="40" t="s">
        <v>78</v>
      </c>
      <c r="F589" s="40" t="s">
        <v>2750</v>
      </c>
      <c r="G589" s="40" t="s">
        <v>2751</v>
      </c>
      <c r="H589" s="40" t="s">
        <v>1754</v>
      </c>
      <c r="I589" s="360" t="e">
        <f>VLOOKUP(Таблица18[[#This Row],[Номер акта]],$AB$1:$AF$1833,3,FALSE)</f>
        <v>#N/A</v>
      </c>
      <c r="J589" s="40" t="s">
        <v>1755</v>
      </c>
      <c r="K589" s="40" t="s">
        <v>82</v>
      </c>
      <c r="L589" s="121">
        <v>28080</v>
      </c>
      <c r="M589" s="121">
        <v>22270</v>
      </c>
      <c r="N589" s="121">
        <v>12</v>
      </c>
      <c r="O589" s="363">
        <v>5810</v>
      </c>
      <c r="P589" s="363">
        <v>5112.8</v>
      </c>
      <c r="Q589" s="121">
        <v>2024</v>
      </c>
      <c r="R589" s="121"/>
      <c r="S589" s="148">
        <v>45447</v>
      </c>
      <c r="T589" s="363">
        <f>Таблица18[[#This Row],[Вес нетто]]-Таблица18[[#This Row],[Зачетный вес]]</f>
        <v>697.19999999999982</v>
      </c>
      <c r="U589" s="365">
        <f>Таблица18[[#This Row],[Отход]]/Таблица18[[#This Row],[Вес нетто]]</f>
        <v>0.11999999999999997</v>
      </c>
      <c r="V589" s="121">
        <f>MONTH(Таблица18[[#This Row],[Дата акта]])</f>
        <v>6</v>
      </c>
      <c r="W589" s="121">
        <v>4</v>
      </c>
      <c r="X589" s="148">
        <f>DATE(1900,Таблица18[[#This Row],[Месяц]],Таблица18[[#This Row],[Число]])</f>
        <v>156</v>
      </c>
      <c r="Y589" s="121"/>
      <c r="Z589" s="121" t="str">
        <f>Таблица18[[#This Row],[Хар-ка]]</f>
        <v>высший</v>
      </c>
      <c r="AD589" s="459"/>
      <c r="AE589" s="391"/>
    </row>
    <row r="590" spans="1:31" s="325" customFormat="1" ht="15.6" hidden="1" customHeight="1" x14ac:dyDescent="0.2">
      <c r="A590" s="40" t="s">
        <v>2533</v>
      </c>
      <c r="B590" s="360" t="s">
        <v>511</v>
      </c>
      <c r="C590" s="40">
        <v>205</v>
      </c>
      <c r="D590" s="40">
        <v>71</v>
      </c>
      <c r="E590" s="40" t="s">
        <v>78</v>
      </c>
      <c r="F590" s="40" t="s">
        <v>2750</v>
      </c>
      <c r="G590" s="40" t="s">
        <v>2751</v>
      </c>
      <c r="H590" s="40" t="s">
        <v>1754</v>
      </c>
      <c r="I590" s="360" t="e">
        <f>VLOOKUP(Таблица18[[#This Row],[Номер акта]],$AB$1:$AF$1833,3,FALSE)</f>
        <v>#N/A</v>
      </c>
      <c r="J590" s="40" t="s">
        <v>1755</v>
      </c>
      <c r="K590" s="40" t="s">
        <v>82</v>
      </c>
      <c r="L590" s="121">
        <v>22270</v>
      </c>
      <c r="M590" s="121">
        <v>17340</v>
      </c>
      <c r="N590" s="121">
        <v>20.5</v>
      </c>
      <c r="O590" s="363">
        <v>4930</v>
      </c>
      <c r="P590" s="363">
        <v>3919.3</v>
      </c>
      <c r="Q590" s="121">
        <v>2024</v>
      </c>
      <c r="R590" s="121"/>
      <c r="S590" s="148">
        <v>45447</v>
      </c>
      <c r="T590" s="363">
        <f>Таблица18[[#This Row],[Вес нетто]]-Таблица18[[#This Row],[Зачетный вес]]</f>
        <v>1010.6999999999998</v>
      </c>
      <c r="U590" s="365">
        <f>Таблица18[[#This Row],[Отход]]/Таблица18[[#This Row],[Вес нетто]]</f>
        <v>0.20501014198782957</v>
      </c>
      <c r="V590" s="121">
        <f>MONTH(Таблица18[[#This Row],[Дата акта]])</f>
        <v>6</v>
      </c>
      <c r="W590" s="121">
        <v>4</v>
      </c>
      <c r="X590" s="148">
        <f>DATE(1900,Таблица18[[#This Row],[Месяц]],Таблица18[[#This Row],[Число]])</f>
        <v>156</v>
      </c>
      <c r="Y590" s="121"/>
      <c r="Z590" s="121" t="str">
        <f>Таблица18[[#This Row],[Хар-ка]]</f>
        <v>высший</v>
      </c>
      <c r="AD590" s="459"/>
      <c r="AE590" s="391"/>
    </row>
    <row r="591" spans="1:31" s="325" customFormat="1" ht="15.6" hidden="1" customHeight="1" x14ac:dyDescent="0.2">
      <c r="A591" s="40" t="s">
        <v>2534</v>
      </c>
      <c r="B591" s="360" t="s">
        <v>511</v>
      </c>
      <c r="C591" s="40">
        <v>206</v>
      </c>
      <c r="D591" s="40">
        <v>72</v>
      </c>
      <c r="E591" s="40" t="s">
        <v>78</v>
      </c>
      <c r="F591" s="40" t="s">
        <v>2155</v>
      </c>
      <c r="G591" s="40" t="s">
        <v>320</v>
      </c>
      <c r="H591" s="40" t="s">
        <v>1754</v>
      </c>
      <c r="I591" s="360" t="e">
        <f>VLOOKUP(Таблица18[[#This Row],[Номер акта]],$AB$1:$AF$1833,3,FALSE)</f>
        <v>#N/A</v>
      </c>
      <c r="J591" s="40" t="s">
        <v>1755</v>
      </c>
      <c r="K591" s="40" t="s">
        <v>82</v>
      </c>
      <c r="L591" s="121">
        <v>24030</v>
      </c>
      <c r="M591" s="121">
        <v>14460</v>
      </c>
      <c r="N591" s="121">
        <v>23</v>
      </c>
      <c r="O591" s="363">
        <v>9570</v>
      </c>
      <c r="P591" s="363">
        <v>7368.9</v>
      </c>
      <c r="Q591" s="121">
        <v>2024</v>
      </c>
      <c r="R591" s="121"/>
      <c r="S591" s="148">
        <v>45447</v>
      </c>
      <c r="T591" s="363">
        <f>Таблица18[[#This Row],[Вес нетто]]-Таблица18[[#This Row],[Зачетный вес]]</f>
        <v>2201.1000000000004</v>
      </c>
      <c r="U591" s="365">
        <f>Таблица18[[#This Row],[Отход]]/Таблица18[[#This Row],[Вес нетто]]</f>
        <v>0.23000000000000004</v>
      </c>
      <c r="V591" s="121">
        <f>MONTH(Таблица18[[#This Row],[Дата акта]])</f>
        <v>6</v>
      </c>
      <c r="W591" s="121">
        <v>4</v>
      </c>
      <c r="X591" s="148">
        <f>DATE(1900,Таблица18[[#This Row],[Месяц]],Таблица18[[#This Row],[Число]])</f>
        <v>156</v>
      </c>
      <c r="Y591" s="121"/>
      <c r="Z591" s="121" t="str">
        <f>Таблица18[[#This Row],[Хар-ка]]</f>
        <v>высший</v>
      </c>
      <c r="AD591" s="459"/>
      <c r="AE591" s="391"/>
    </row>
    <row r="592" spans="1:31" s="325" customFormat="1" ht="15.6" hidden="1" customHeight="1" x14ac:dyDescent="0.2">
      <c r="A592" s="40" t="s">
        <v>2535</v>
      </c>
      <c r="B592" s="360" t="s">
        <v>511</v>
      </c>
      <c r="C592" s="40">
        <v>208</v>
      </c>
      <c r="D592" s="40">
        <v>73</v>
      </c>
      <c r="E592" s="40" t="s">
        <v>78</v>
      </c>
      <c r="F592" s="40" t="s">
        <v>212</v>
      </c>
      <c r="G592" s="40" t="s">
        <v>216</v>
      </c>
      <c r="H592" s="40" t="s">
        <v>1754</v>
      </c>
      <c r="I592" s="360" t="e">
        <f>VLOOKUP(Таблица18[[#This Row],[Номер акта]],$AB$1:$AF$1833,3,FALSE)</f>
        <v>#N/A</v>
      </c>
      <c r="J592" s="40" t="s">
        <v>1755</v>
      </c>
      <c r="K592" s="40" t="s">
        <v>82</v>
      </c>
      <c r="L592" s="121">
        <v>28600</v>
      </c>
      <c r="M592" s="121">
        <v>14030</v>
      </c>
      <c r="N592" s="121">
        <v>21.5</v>
      </c>
      <c r="O592" s="363">
        <v>14570</v>
      </c>
      <c r="P592" s="363">
        <v>11437.4</v>
      </c>
      <c r="Q592" s="121">
        <v>2024</v>
      </c>
      <c r="R592" s="121"/>
      <c r="S592" s="148">
        <v>45448</v>
      </c>
      <c r="T592" s="363">
        <f>Таблица18[[#This Row],[Вес нетто]]-Таблица18[[#This Row],[Зачетный вес]]</f>
        <v>3132.6000000000004</v>
      </c>
      <c r="U592" s="365">
        <f>Таблица18[[#This Row],[Отход]]/Таблица18[[#This Row],[Вес нетто]]</f>
        <v>0.21500343170899111</v>
      </c>
      <c r="V592" s="121">
        <f>MONTH(Таблица18[[#This Row],[Дата акта]])</f>
        <v>6</v>
      </c>
      <c r="W592" s="121">
        <v>5</v>
      </c>
      <c r="X592" s="148">
        <f>DATE(1900,Таблица18[[#This Row],[Месяц]],Таблица18[[#This Row],[Число]])</f>
        <v>157</v>
      </c>
      <c r="Y592" s="121"/>
      <c r="Z592" s="121" t="str">
        <f>Таблица18[[#This Row],[Хар-ка]]</f>
        <v>высший</v>
      </c>
      <c r="AD592" s="459"/>
      <c r="AE592" s="391"/>
    </row>
    <row r="593" spans="1:31" s="325" customFormat="1" ht="15.6" hidden="1" customHeight="1" x14ac:dyDescent="0.2">
      <c r="A593" s="40" t="s">
        <v>2536</v>
      </c>
      <c r="B593" s="360" t="s">
        <v>511</v>
      </c>
      <c r="C593" s="40">
        <v>209</v>
      </c>
      <c r="D593" s="40">
        <v>74</v>
      </c>
      <c r="E593" s="40" t="s">
        <v>78</v>
      </c>
      <c r="F593" s="40" t="s">
        <v>2750</v>
      </c>
      <c r="G593" s="40" t="s">
        <v>2751</v>
      </c>
      <c r="H593" s="40" t="s">
        <v>1754</v>
      </c>
      <c r="I593" s="360" t="e">
        <f>VLOOKUP(Таблица18[[#This Row],[Номер акта]],$AB$1:$AF$1833,3,FALSE)</f>
        <v>#N/A</v>
      </c>
      <c r="J593" s="40" t="s">
        <v>1755</v>
      </c>
      <c r="K593" s="40" t="s">
        <v>82</v>
      </c>
      <c r="L593" s="121">
        <v>33750</v>
      </c>
      <c r="M593" s="121">
        <v>17330</v>
      </c>
      <c r="N593" s="121">
        <v>24.5</v>
      </c>
      <c r="O593" s="363">
        <v>16420</v>
      </c>
      <c r="P593" s="363">
        <v>12397.1</v>
      </c>
      <c r="Q593" s="121">
        <v>2024</v>
      </c>
      <c r="R593" s="121"/>
      <c r="S593" s="148">
        <v>45448</v>
      </c>
      <c r="T593" s="363">
        <f>Таблица18[[#This Row],[Вес нетто]]-Таблица18[[#This Row],[Зачетный вес]]</f>
        <v>4022.8999999999996</v>
      </c>
      <c r="U593" s="365">
        <f>Таблица18[[#This Row],[Отход]]/Таблица18[[#This Row],[Вес нетто]]</f>
        <v>0.24499999999999997</v>
      </c>
      <c r="V593" s="121">
        <f>MONTH(Таблица18[[#This Row],[Дата акта]])</f>
        <v>6</v>
      </c>
      <c r="W593" s="121">
        <v>5</v>
      </c>
      <c r="X593" s="148">
        <f>DATE(1900,Таблица18[[#This Row],[Месяц]],Таблица18[[#This Row],[Число]])</f>
        <v>157</v>
      </c>
      <c r="Y593" s="121"/>
      <c r="Z593" s="121" t="str">
        <f>Таблица18[[#This Row],[Хар-ка]]</f>
        <v>высший</v>
      </c>
      <c r="AD593" s="459"/>
      <c r="AE593" s="391"/>
    </row>
    <row r="594" spans="1:31" s="325" customFormat="1" ht="15.6" hidden="1" customHeight="1" x14ac:dyDescent="0.2">
      <c r="A594" s="40" t="s">
        <v>2537</v>
      </c>
      <c r="B594" s="360" t="s">
        <v>511</v>
      </c>
      <c r="C594" s="40">
        <v>210</v>
      </c>
      <c r="D594" s="40">
        <v>75</v>
      </c>
      <c r="E594" s="40" t="s">
        <v>78</v>
      </c>
      <c r="F594" s="40" t="s">
        <v>2155</v>
      </c>
      <c r="G594" s="40" t="s">
        <v>320</v>
      </c>
      <c r="H594" s="40" t="s">
        <v>1754</v>
      </c>
      <c r="I594" s="360" t="e">
        <f>VLOOKUP(Таблица18[[#This Row],[Номер акта]],$AB$1:$AF$1833,3,FALSE)</f>
        <v>#N/A</v>
      </c>
      <c r="J594" s="40" t="s">
        <v>1755</v>
      </c>
      <c r="K594" s="40" t="s">
        <v>82</v>
      </c>
      <c r="L594" s="121">
        <v>28400</v>
      </c>
      <c r="M594" s="121">
        <v>14460</v>
      </c>
      <c r="N594" s="121">
        <v>26.5</v>
      </c>
      <c r="O594" s="363">
        <v>13940</v>
      </c>
      <c r="P594" s="363">
        <v>10245.9</v>
      </c>
      <c r="Q594" s="121">
        <v>2024</v>
      </c>
      <c r="R594" s="121"/>
      <c r="S594" s="148">
        <v>45448</v>
      </c>
      <c r="T594" s="363">
        <f>Таблица18[[#This Row],[Вес нетто]]-Таблица18[[#This Row],[Зачетный вес]]</f>
        <v>3694.1000000000004</v>
      </c>
      <c r="U594" s="365">
        <f>Таблица18[[#This Row],[Отход]]/Таблица18[[#This Row],[Вес нетто]]</f>
        <v>0.26500000000000001</v>
      </c>
      <c r="V594" s="121">
        <f>MONTH(Таблица18[[#This Row],[Дата акта]])</f>
        <v>6</v>
      </c>
      <c r="W594" s="121">
        <v>5</v>
      </c>
      <c r="X594" s="148">
        <f>DATE(1900,Таблица18[[#This Row],[Месяц]],Таблица18[[#This Row],[Число]])</f>
        <v>157</v>
      </c>
      <c r="Y594" s="121"/>
      <c r="Z594" s="121" t="str">
        <f>Таблица18[[#This Row],[Хар-ка]]</f>
        <v>высший</v>
      </c>
      <c r="AD594" s="459"/>
      <c r="AE594" s="391"/>
    </row>
    <row r="595" spans="1:31" s="325" customFormat="1" ht="15.6" hidden="1" customHeight="1" x14ac:dyDescent="0.2">
      <c r="A595" s="40" t="s">
        <v>2538</v>
      </c>
      <c r="B595" s="360" t="s">
        <v>511</v>
      </c>
      <c r="C595" s="40">
        <v>211</v>
      </c>
      <c r="D595" s="40">
        <v>76</v>
      </c>
      <c r="E595" s="40" t="s">
        <v>78</v>
      </c>
      <c r="F595" s="40" t="s">
        <v>212</v>
      </c>
      <c r="G595" s="40" t="s">
        <v>216</v>
      </c>
      <c r="H595" s="40" t="s">
        <v>1756</v>
      </c>
      <c r="I595" s="360" t="e">
        <f>VLOOKUP(Таблица18[[#This Row],[Номер акта]],$AB$1:$AF$1833,3,FALSE)</f>
        <v>#N/A</v>
      </c>
      <c r="J595" s="40" t="s">
        <v>1755</v>
      </c>
      <c r="K595" s="40" t="s">
        <v>82</v>
      </c>
      <c r="L595" s="121">
        <v>29610</v>
      </c>
      <c r="M595" s="121">
        <v>22320</v>
      </c>
      <c r="N595" s="121">
        <v>30.5</v>
      </c>
      <c r="O595" s="363">
        <v>7290</v>
      </c>
      <c r="P595" s="363">
        <v>5066.5</v>
      </c>
      <c r="Q595" s="121">
        <v>2024</v>
      </c>
      <c r="R595" s="121"/>
      <c r="S595" s="148">
        <v>45448</v>
      </c>
      <c r="T595" s="363">
        <f>Таблица18[[#This Row],[Вес нетто]]-Таблица18[[#This Row],[Зачетный вес]]</f>
        <v>2223.5</v>
      </c>
      <c r="U595" s="365">
        <f>Таблица18[[#This Row],[Отход]]/Таблица18[[#This Row],[Вес нетто]]</f>
        <v>0.30500685871056243</v>
      </c>
      <c r="V595" s="121">
        <f>MONTH(Таблица18[[#This Row],[Дата акта]])</f>
        <v>6</v>
      </c>
      <c r="W595" s="121">
        <v>5</v>
      </c>
      <c r="X595" s="148">
        <f>DATE(1900,Таблица18[[#This Row],[Месяц]],Таблица18[[#This Row],[Число]])</f>
        <v>157</v>
      </c>
      <c r="Y595" s="121"/>
      <c r="Z595" s="121" t="str">
        <f>Таблица18[[#This Row],[Хар-ка]]</f>
        <v>высший</v>
      </c>
      <c r="AD595" s="459"/>
      <c r="AE595" s="391"/>
    </row>
    <row r="596" spans="1:31" s="325" customFormat="1" ht="15.6" hidden="1" customHeight="1" x14ac:dyDescent="0.2">
      <c r="A596" s="40" t="s">
        <v>2539</v>
      </c>
      <c r="B596" s="360" t="s">
        <v>511</v>
      </c>
      <c r="C596" s="40">
        <v>212</v>
      </c>
      <c r="D596" s="40">
        <v>76</v>
      </c>
      <c r="E596" s="40" t="s">
        <v>78</v>
      </c>
      <c r="F596" s="40" t="s">
        <v>212</v>
      </c>
      <c r="G596" s="40" t="s">
        <v>216</v>
      </c>
      <c r="H596" s="40" t="s">
        <v>1754</v>
      </c>
      <c r="I596" s="360" t="e">
        <f>VLOOKUP(Таблица18[[#This Row],[Номер акта]],$AB$1:$AF$1833,3,FALSE)</f>
        <v>#N/A</v>
      </c>
      <c r="J596" s="40" t="s">
        <v>1755</v>
      </c>
      <c r="K596" s="40" t="s">
        <v>82</v>
      </c>
      <c r="L596" s="121">
        <v>22320</v>
      </c>
      <c r="M596" s="121">
        <v>14010</v>
      </c>
      <c r="N596" s="121">
        <v>23.5</v>
      </c>
      <c r="O596" s="363">
        <v>8310</v>
      </c>
      <c r="P596" s="363">
        <v>6357.1</v>
      </c>
      <c r="Q596" s="121">
        <v>2024</v>
      </c>
      <c r="R596" s="121"/>
      <c r="S596" s="148">
        <v>45448</v>
      </c>
      <c r="T596" s="363">
        <f>Таблица18[[#This Row],[Вес нетто]]-Таблица18[[#This Row],[Зачетный вес]]</f>
        <v>1952.8999999999996</v>
      </c>
      <c r="U596" s="365">
        <f>Таблица18[[#This Row],[Отход]]/Таблица18[[#This Row],[Вес нетто]]</f>
        <v>0.23500601684717204</v>
      </c>
      <c r="V596" s="121">
        <f>MONTH(Таблица18[[#This Row],[Дата акта]])</f>
        <v>6</v>
      </c>
      <c r="W596" s="121">
        <v>5</v>
      </c>
      <c r="X596" s="148">
        <f>DATE(1900,Таблица18[[#This Row],[Месяц]],Таблица18[[#This Row],[Число]])</f>
        <v>157</v>
      </c>
      <c r="Y596" s="121"/>
      <c r="Z596" s="121" t="str">
        <f>Таблица18[[#This Row],[Хар-ка]]</f>
        <v>высший</v>
      </c>
      <c r="AD596" s="459"/>
      <c r="AE596" s="391"/>
    </row>
    <row r="597" spans="1:31" s="325" customFormat="1" ht="15.6" hidden="1" customHeight="1" x14ac:dyDescent="0.2">
      <c r="A597" s="40" t="s">
        <v>2540</v>
      </c>
      <c r="B597" s="360" t="s">
        <v>511</v>
      </c>
      <c r="C597" s="40">
        <v>213</v>
      </c>
      <c r="D597" s="40">
        <v>77</v>
      </c>
      <c r="E597" s="40" t="s">
        <v>78</v>
      </c>
      <c r="F597" s="40" t="s">
        <v>2750</v>
      </c>
      <c r="G597" s="40" t="s">
        <v>2751</v>
      </c>
      <c r="H597" s="40" t="s">
        <v>1756</v>
      </c>
      <c r="I597" s="360" t="e">
        <f>VLOOKUP(Таблица18[[#This Row],[Номер акта]],$AB$1:$AF$1833,3,FALSE)</f>
        <v>#N/A</v>
      </c>
      <c r="J597" s="40" t="s">
        <v>1755</v>
      </c>
      <c r="K597" s="40" t="s">
        <v>82</v>
      </c>
      <c r="L597" s="121">
        <v>33620</v>
      </c>
      <c r="M597" s="121">
        <v>17310</v>
      </c>
      <c r="N597" s="121">
        <v>27.5</v>
      </c>
      <c r="O597" s="363">
        <v>16310</v>
      </c>
      <c r="P597" s="363">
        <v>11824.7</v>
      </c>
      <c r="Q597" s="121">
        <v>2024</v>
      </c>
      <c r="R597" s="121"/>
      <c r="S597" s="148">
        <v>45448</v>
      </c>
      <c r="T597" s="363">
        <f>Таблица18[[#This Row],[Вес нетто]]-Таблица18[[#This Row],[Зачетный вес]]</f>
        <v>4485.2999999999993</v>
      </c>
      <c r="U597" s="365">
        <f>Таблица18[[#This Row],[Отход]]/Таблица18[[#This Row],[Вес нетто]]</f>
        <v>0.2750030656039239</v>
      </c>
      <c r="V597" s="121">
        <f>MONTH(Таблица18[[#This Row],[Дата акта]])</f>
        <v>6</v>
      </c>
      <c r="W597" s="121">
        <v>5</v>
      </c>
      <c r="X597" s="148">
        <f>DATE(1900,Таблица18[[#This Row],[Месяц]],Таблица18[[#This Row],[Число]])</f>
        <v>157</v>
      </c>
      <c r="Y597" s="121"/>
      <c r="Z597" s="121" t="str">
        <f>Таблица18[[#This Row],[Хар-ка]]</f>
        <v>высший</v>
      </c>
      <c r="AD597" s="459"/>
      <c r="AE597" s="391"/>
    </row>
    <row r="598" spans="1:31" s="325" customFormat="1" ht="15.6" hidden="1" customHeight="1" x14ac:dyDescent="0.2">
      <c r="A598" s="40" t="s">
        <v>2541</v>
      </c>
      <c r="B598" s="360" t="s">
        <v>511</v>
      </c>
      <c r="C598" s="40">
        <v>214</v>
      </c>
      <c r="D598" s="40">
        <v>78</v>
      </c>
      <c r="E598" s="40" t="s">
        <v>78</v>
      </c>
      <c r="F598" s="40" t="s">
        <v>2155</v>
      </c>
      <c r="G598" s="40" t="s">
        <v>320</v>
      </c>
      <c r="H598" s="40" t="s">
        <v>1756</v>
      </c>
      <c r="I598" s="360" t="e">
        <f>VLOOKUP(Таблица18[[#This Row],[Номер акта]],$AB$1:$AF$1833,3,FALSE)</f>
        <v>#N/A</v>
      </c>
      <c r="J598" s="40" t="s">
        <v>1755</v>
      </c>
      <c r="K598" s="40" t="s">
        <v>82</v>
      </c>
      <c r="L598" s="121">
        <v>28230</v>
      </c>
      <c r="M598" s="121">
        <v>14430</v>
      </c>
      <c r="N598" s="121">
        <v>24.5</v>
      </c>
      <c r="O598" s="363">
        <v>13800</v>
      </c>
      <c r="P598" s="363">
        <v>10419</v>
      </c>
      <c r="Q598" s="121">
        <v>2024</v>
      </c>
      <c r="R598" s="121"/>
      <c r="S598" s="148">
        <v>45448</v>
      </c>
      <c r="T598" s="363">
        <f>Таблица18[[#This Row],[Вес нетто]]-Таблица18[[#This Row],[Зачетный вес]]</f>
        <v>3381</v>
      </c>
      <c r="U598" s="365">
        <f>Таблица18[[#This Row],[Отход]]/Таблица18[[#This Row],[Вес нетто]]</f>
        <v>0.245</v>
      </c>
      <c r="V598" s="121">
        <f>MONTH(Таблица18[[#This Row],[Дата акта]])</f>
        <v>6</v>
      </c>
      <c r="W598" s="121">
        <v>5</v>
      </c>
      <c r="X598" s="148">
        <f>DATE(1900,Таблица18[[#This Row],[Месяц]],Таблица18[[#This Row],[Число]])</f>
        <v>157</v>
      </c>
      <c r="Y598" s="121"/>
      <c r="Z598" s="121" t="str">
        <f>Таблица18[[#This Row],[Хар-ка]]</f>
        <v>высший</v>
      </c>
      <c r="AD598" s="459"/>
      <c r="AE598" s="391"/>
    </row>
    <row r="599" spans="1:31" s="325" customFormat="1" ht="15.6" hidden="1" customHeight="1" x14ac:dyDescent="0.2">
      <c r="A599" s="40" t="s">
        <v>2542</v>
      </c>
      <c r="B599" s="360" t="s">
        <v>511</v>
      </c>
      <c r="C599" s="40">
        <v>215</v>
      </c>
      <c r="D599" s="40">
        <v>79</v>
      </c>
      <c r="E599" s="40" t="s">
        <v>78</v>
      </c>
      <c r="F599" s="40" t="s">
        <v>212</v>
      </c>
      <c r="G599" s="40" t="s">
        <v>216</v>
      </c>
      <c r="H599" s="40" t="s">
        <v>1756</v>
      </c>
      <c r="I599" s="360" t="e">
        <f>VLOOKUP(Таблица18[[#This Row],[Номер акта]],$AB$1:$AF$1833,3,FALSE)</f>
        <v>#N/A</v>
      </c>
      <c r="J599" s="40" t="s">
        <v>1755</v>
      </c>
      <c r="K599" s="40" t="s">
        <v>82</v>
      </c>
      <c r="L599" s="121">
        <v>30060</v>
      </c>
      <c r="M599" s="121">
        <v>13980</v>
      </c>
      <c r="N599" s="121">
        <v>23.5</v>
      </c>
      <c r="O599" s="363">
        <v>16080</v>
      </c>
      <c r="P599" s="363">
        <v>12301.2</v>
      </c>
      <c r="Q599" s="121">
        <v>2024</v>
      </c>
      <c r="R599" s="121"/>
      <c r="S599" s="148">
        <v>45448</v>
      </c>
      <c r="T599" s="363">
        <f>Таблица18[[#This Row],[Вес нетто]]-Таблица18[[#This Row],[Зачетный вес]]</f>
        <v>3778.7999999999993</v>
      </c>
      <c r="U599" s="365">
        <f>Таблица18[[#This Row],[Отход]]/Таблица18[[#This Row],[Вес нетто]]</f>
        <v>0.23499999999999996</v>
      </c>
      <c r="V599" s="121">
        <f>MONTH(Таблица18[[#This Row],[Дата акта]])</f>
        <v>6</v>
      </c>
      <c r="W599" s="121">
        <v>5</v>
      </c>
      <c r="X599" s="148">
        <f>DATE(1900,Таблица18[[#This Row],[Месяц]],Таблица18[[#This Row],[Число]])</f>
        <v>157</v>
      </c>
      <c r="Y599" s="121"/>
      <c r="Z599" s="121" t="str">
        <f>Таблица18[[#This Row],[Хар-ка]]</f>
        <v>высший</v>
      </c>
      <c r="AD599" s="459"/>
      <c r="AE599" s="391"/>
    </row>
    <row r="600" spans="1:31" s="325" customFormat="1" ht="15.6" hidden="1" customHeight="1" x14ac:dyDescent="0.2">
      <c r="A600" s="40" t="s">
        <v>2543</v>
      </c>
      <c r="B600" s="360" t="s">
        <v>511</v>
      </c>
      <c r="C600" s="40">
        <v>216</v>
      </c>
      <c r="D600" s="40">
        <v>80</v>
      </c>
      <c r="E600" s="40" t="s">
        <v>78</v>
      </c>
      <c r="F600" s="40" t="s">
        <v>2750</v>
      </c>
      <c r="G600" s="40" t="s">
        <v>2751</v>
      </c>
      <c r="H600" s="40" t="s">
        <v>1756</v>
      </c>
      <c r="I600" s="360" t="e">
        <f>VLOOKUP(Таблица18[[#This Row],[Номер акта]],$AB$1:$AF$1833,3,FALSE)</f>
        <v>#N/A</v>
      </c>
      <c r="J600" s="40" t="s">
        <v>1755</v>
      </c>
      <c r="K600" s="40" t="s">
        <v>82</v>
      </c>
      <c r="L600" s="121">
        <v>33590</v>
      </c>
      <c r="M600" s="121">
        <v>17290</v>
      </c>
      <c r="N600" s="121">
        <v>27.5</v>
      </c>
      <c r="O600" s="363">
        <v>16300</v>
      </c>
      <c r="P600" s="363">
        <v>11817.5</v>
      </c>
      <c r="Q600" s="121">
        <v>2024</v>
      </c>
      <c r="R600" s="121"/>
      <c r="S600" s="148">
        <v>45448</v>
      </c>
      <c r="T600" s="363">
        <f>Таблица18[[#This Row],[Вес нетто]]-Таблица18[[#This Row],[Зачетный вес]]</f>
        <v>4482.5</v>
      </c>
      <c r="U600" s="365">
        <f>Таблица18[[#This Row],[Отход]]/Таблица18[[#This Row],[Вес нетто]]</f>
        <v>0.27500000000000002</v>
      </c>
      <c r="V600" s="121">
        <f>MONTH(Таблица18[[#This Row],[Дата акта]])</f>
        <v>6</v>
      </c>
      <c r="W600" s="121">
        <v>5</v>
      </c>
      <c r="X600" s="148">
        <f>DATE(1900,Таблица18[[#This Row],[Месяц]],Таблица18[[#This Row],[Число]])</f>
        <v>157</v>
      </c>
      <c r="Y600" s="121"/>
      <c r="Z600" s="121" t="str">
        <f>Таблица18[[#This Row],[Хар-ка]]</f>
        <v>высший</v>
      </c>
      <c r="AD600" s="459"/>
      <c r="AE600" s="391"/>
    </row>
    <row r="601" spans="1:31" s="325" customFormat="1" ht="15.6" hidden="1" customHeight="1" x14ac:dyDescent="0.2">
      <c r="A601" s="40" t="s">
        <v>2544</v>
      </c>
      <c r="B601" s="360" t="s">
        <v>511</v>
      </c>
      <c r="C601" s="40">
        <v>217</v>
      </c>
      <c r="D601" s="40">
        <v>81</v>
      </c>
      <c r="E601" s="40" t="s">
        <v>78</v>
      </c>
      <c r="F601" s="40" t="s">
        <v>2155</v>
      </c>
      <c r="G601" s="40" t="s">
        <v>320</v>
      </c>
      <c r="H601" s="40" t="s">
        <v>1756</v>
      </c>
      <c r="I601" s="360" t="e">
        <f>VLOOKUP(Таблица18[[#This Row],[Номер акта]],$AB$1:$AF$1833,3,FALSE)</f>
        <v>#N/A</v>
      </c>
      <c r="J601" s="40" t="s">
        <v>1755</v>
      </c>
      <c r="K601" s="40" t="s">
        <v>82</v>
      </c>
      <c r="L601" s="121">
        <v>28510</v>
      </c>
      <c r="M601" s="121">
        <v>14430</v>
      </c>
      <c r="N601" s="121">
        <v>20.5</v>
      </c>
      <c r="O601" s="363">
        <v>14080</v>
      </c>
      <c r="P601" s="363">
        <v>11193.6</v>
      </c>
      <c r="Q601" s="121">
        <v>2024</v>
      </c>
      <c r="R601" s="121"/>
      <c r="S601" s="148">
        <v>45449</v>
      </c>
      <c r="T601" s="363">
        <f>Таблица18[[#This Row],[Вес нетто]]-Таблица18[[#This Row],[Зачетный вес]]</f>
        <v>2886.3999999999996</v>
      </c>
      <c r="U601" s="365">
        <f>Таблица18[[#This Row],[Отход]]/Таблица18[[#This Row],[Вес нетто]]</f>
        <v>0.20499999999999999</v>
      </c>
      <c r="V601" s="121">
        <f>MONTH(Таблица18[[#This Row],[Дата акта]])</f>
        <v>6</v>
      </c>
      <c r="W601" s="121">
        <v>6</v>
      </c>
      <c r="X601" s="148">
        <f>DATE(1900,Таблица18[[#This Row],[Месяц]],Таблица18[[#This Row],[Число]])</f>
        <v>158</v>
      </c>
      <c r="Y601" s="121"/>
      <c r="Z601" s="121" t="str">
        <f>Таблица18[[#This Row],[Хар-ка]]</f>
        <v>высший</v>
      </c>
      <c r="AD601" s="459"/>
      <c r="AE601" s="391"/>
    </row>
    <row r="602" spans="1:31" s="325" customFormat="1" ht="15.6" hidden="1" customHeight="1" x14ac:dyDescent="0.2">
      <c r="A602" s="40" t="s">
        <v>2545</v>
      </c>
      <c r="B602" s="360" t="s">
        <v>511</v>
      </c>
      <c r="C602" s="40">
        <v>218</v>
      </c>
      <c r="D602" s="40">
        <v>82</v>
      </c>
      <c r="E602" s="40" t="s">
        <v>78</v>
      </c>
      <c r="F602" s="40" t="s">
        <v>212</v>
      </c>
      <c r="G602" s="40" t="s">
        <v>216</v>
      </c>
      <c r="H602" s="40" t="s">
        <v>1756</v>
      </c>
      <c r="I602" s="360" t="e">
        <f>VLOOKUP(Таблица18[[#This Row],[Номер акта]],$AB$1:$AF$1833,3,FALSE)</f>
        <v>#N/A</v>
      </c>
      <c r="J602" s="40" t="s">
        <v>1755</v>
      </c>
      <c r="K602" s="40" t="s">
        <v>82</v>
      </c>
      <c r="L602" s="121">
        <v>28170</v>
      </c>
      <c r="M602" s="121">
        <v>14070</v>
      </c>
      <c r="N602" s="121">
        <v>19.5</v>
      </c>
      <c r="O602" s="363">
        <v>14100</v>
      </c>
      <c r="P602" s="363">
        <v>11350.5</v>
      </c>
      <c r="Q602" s="121">
        <v>2024</v>
      </c>
      <c r="R602" s="121"/>
      <c r="S602" s="148">
        <v>45449</v>
      </c>
      <c r="T602" s="363">
        <f>Таблица18[[#This Row],[Вес нетто]]-Таблица18[[#This Row],[Зачетный вес]]</f>
        <v>2749.5</v>
      </c>
      <c r="U602" s="365">
        <f>Таблица18[[#This Row],[Отход]]/Таблица18[[#This Row],[Вес нетто]]</f>
        <v>0.19500000000000001</v>
      </c>
      <c r="V602" s="121">
        <f>MONTH(Таблица18[[#This Row],[Дата акта]])</f>
        <v>6</v>
      </c>
      <c r="W602" s="121">
        <v>6</v>
      </c>
      <c r="X602" s="148">
        <f>DATE(1900,Таблица18[[#This Row],[Месяц]],Таблица18[[#This Row],[Число]])</f>
        <v>158</v>
      </c>
      <c r="Y602" s="121"/>
      <c r="Z602" s="121" t="str">
        <f>Таблица18[[#This Row],[Хар-ка]]</f>
        <v>высший</v>
      </c>
      <c r="AD602" s="459"/>
      <c r="AE602" s="391"/>
    </row>
    <row r="603" spans="1:31" s="325" customFormat="1" ht="15.6" hidden="1" customHeight="1" x14ac:dyDescent="0.2">
      <c r="A603" s="40" t="s">
        <v>2546</v>
      </c>
      <c r="B603" s="360" t="s">
        <v>511</v>
      </c>
      <c r="C603" s="40">
        <v>219</v>
      </c>
      <c r="D603" s="40">
        <v>83</v>
      </c>
      <c r="E603" s="40" t="s">
        <v>78</v>
      </c>
      <c r="F603" s="40" t="s">
        <v>2750</v>
      </c>
      <c r="G603" s="40" t="s">
        <v>2751</v>
      </c>
      <c r="H603" s="40" t="s">
        <v>1756</v>
      </c>
      <c r="I603" s="360" t="e">
        <f>VLOOKUP(Таблица18[[#This Row],[Номер акта]],$AB$1:$AF$1833,3,FALSE)</f>
        <v>#N/A</v>
      </c>
      <c r="J603" s="40" t="s">
        <v>1755</v>
      </c>
      <c r="K603" s="40" t="s">
        <v>82</v>
      </c>
      <c r="L603" s="121">
        <v>33770</v>
      </c>
      <c r="M603" s="121">
        <v>17280</v>
      </c>
      <c r="N603" s="121">
        <v>20.5</v>
      </c>
      <c r="O603" s="363">
        <v>16490</v>
      </c>
      <c r="P603" s="363">
        <v>13109.5</v>
      </c>
      <c r="Q603" s="121">
        <v>2024</v>
      </c>
      <c r="R603" s="121"/>
      <c r="S603" s="148">
        <v>45449</v>
      </c>
      <c r="T603" s="363">
        <f>Таблица18[[#This Row],[Вес нетто]]-Таблица18[[#This Row],[Зачетный вес]]</f>
        <v>3380.5</v>
      </c>
      <c r="U603" s="365">
        <f>Таблица18[[#This Row],[Отход]]/Таблица18[[#This Row],[Вес нетто]]</f>
        <v>0.20500303214069132</v>
      </c>
      <c r="V603" s="121">
        <f>MONTH(Таблица18[[#This Row],[Дата акта]])</f>
        <v>6</v>
      </c>
      <c r="W603" s="121">
        <v>6</v>
      </c>
      <c r="X603" s="148">
        <f>DATE(1900,Таблица18[[#This Row],[Месяц]],Таблица18[[#This Row],[Число]])</f>
        <v>158</v>
      </c>
      <c r="Y603" s="121"/>
      <c r="Z603" s="121" t="str">
        <f>Таблица18[[#This Row],[Хар-ка]]</f>
        <v>высший</v>
      </c>
      <c r="AD603" s="459"/>
      <c r="AE603" s="391"/>
    </row>
    <row r="604" spans="1:31" s="325" customFormat="1" ht="15.6" hidden="1" customHeight="1" x14ac:dyDescent="0.2">
      <c r="A604" s="40" t="s">
        <v>2547</v>
      </c>
      <c r="B604" s="360" t="s">
        <v>511</v>
      </c>
      <c r="C604" s="40">
        <v>220</v>
      </c>
      <c r="D604" s="40">
        <v>84</v>
      </c>
      <c r="E604" s="40" t="s">
        <v>78</v>
      </c>
      <c r="F604" s="40" t="s">
        <v>2155</v>
      </c>
      <c r="G604" s="40" t="s">
        <v>320</v>
      </c>
      <c r="H604" s="40" t="s">
        <v>1756</v>
      </c>
      <c r="I604" s="360" t="e">
        <f>VLOOKUP(Таблица18[[#This Row],[Номер акта]],$AB$1:$AF$1833,3,FALSE)</f>
        <v>#N/A</v>
      </c>
      <c r="J604" s="40" t="s">
        <v>1755</v>
      </c>
      <c r="K604" s="40" t="s">
        <v>82</v>
      </c>
      <c r="L604" s="121">
        <v>28700</v>
      </c>
      <c r="M604" s="121">
        <v>14430</v>
      </c>
      <c r="N604" s="121">
        <v>22.5</v>
      </c>
      <c r="O604" s="363">
        <v>14270</v>
      </c>
      <c r="P604" s="363">
        <v>11059.2</v>
      </c>
      <c r="Q604" s="121">
        <v>2024</v>
      </c>
      <c r="R604" s="121"/>
      <c r="S604" s="148">
        <v>45449</v>
      </c>
      <c r="T604" s="363">
        <f>Таблица18[[#This Row],[Вес нетто]]-Таблица18[[#This Row],[Зачетный вес]]</f>
        <v>3210.7999999999993</v>
      </c>
      <c r="U604" s="365">
        <f>Таблица18[[#This Row],[Отход]]/Таблица18[[#This Row],[Вес нетто]]</f>
        <v>0.22500350385423962</v>
      </c>
      <c r="V604" s="121">
        <f>MONTH(Таблица18[[#This Row],[Дата акта]])</f>
        <v>6</v>
      </c>
      <c r="W604" s="121">
        <v>6</v>
      </c>
      <c r="X604" s="148">
        <f>DATE(1900,Таблица18[[#This Row],[Месяц]],Таблица18[[#This Row],[Число]])</f>
        <v>158</v>
      </c>
      <c r="Y604" s="121"/>
      <c r="Z604" s="121" t="str">
        <f>Таблица18[[#This Row],[Хар-ка]]</f>
        <v>высший</v>
      </c>
      <c r="AD604" s="459"/>
      <c r="AE604" s="391"/>
    </row>
    <row r="605" spans="1:31" s="325" customFormat="1" ht="15.6" hidden="1" customHeight="1" x14ac:dyDescent="0.2">
      <c r="A605" s="40" t="s">
        <v>2548</v>
      </c>
      <c r="B605" s="360" t="s">
        <v>511</v>
      </c>
      <c r="C605" s="40">
        <v>221</v>
      </c>
      <c r="D605" s="40">
        <v>85</v>
      </c>
      <c r="E605" s="40" t="s">
        <v>78</v>
      </c>
      <c r="F605" s="40" t="s">
        <v>212</v>
      </c>
      <c r="G605" s="40" t="s">
        <v>216</v>
      </c>
      <c r="H605" s="40" t="s">
        <v>1756</v>
      </c>
      <c r="I605" s="360" t="e">
        <f>VLOOKUP(Таблица18[[#This Row],[Номер акта]],$AB$1:$AF$1833,3,FALSE)</f>
        <v>#N/A</v>
      </c>
      <c r="J605" s="40" t="s">
        <v>1755</v>
      </c>
      <c r="K605" s="40" t="s">
        <v>82</v>
      </c>
      <c r="L605" s="121">
        <v>28210</v>
      </c>
      <c r="M605" s="121">
        <v>14060</v>
      </c>
      <c r="N605" s="121">
        <v>18.5</v>
      </c>
      <c r="O605" s="363">
        <v>14150</v>
      </c>
      <c r="P605" s="363">
        <v>11532.2</v>
      </c>
      <c r="Q605" s="121">
        <v>2024</v>
      </c>
      <c r="R605" s="121"/>
      <c r="S605" s="148">
        <v>45449</v>
      </c>
      <c r="T605" s="363">
        <f>Таблица18[[#This Row],[Вес нетто]]-Таблица18[[#This Row],[Зачетный вес]]</f>
        <v>2617.7999999999993</v>
      </c>
      <c r="U605" s="365">
        <f>Таблица18[[#This Row],[Отход]]/Таблица18[[#This Row],[Вес нетто]]</f>
        <v>0.18500353356890453</v>
      </c>
      <c r="V605" s="121">
        <f>MONTH(Таблица18[[#This Row],[Дата акта]])</f>
        <v>6</v>
      </c>
      <c r="W605" s="121">
        <v>6</v>
      </c>
      <c r="X605" s="148">
        <f>DATE(1900,Таблица18[[#This Row],[Месяц]],Таблица18[[#This Row],[Число]])</f>
        <v>158</v>
      </c>
      <c r="Y605" s="121"/>
      <c r="Z605" s="121" t="str">
        <f>Таблица18[[#This Row],[Хар-ка]]</f>
        <v>высший</v>
      </c>
      <c r="AD605" s="459"/>
      <c r="AE605" s="391"/>
    </row>
    <row r="606" spans="1:31" s="325" customFormat="1" ht="15.6" hidden="1" customHeight="1" x14ac:dyDescent="0.2">
      <c r="A606" s="40" t="s">
        <v>2549</v>
      </c>
      <c r="B606" s="360" t="s">
        <v>511</v>
      </c>
      <c r="C606" s="40">
        <v>223</v>
      </c>
      <c r="D606" s="40">
        <v>86</v>
      </c>
      <c r="E606" s="40" t="s">
        <v>78</v>
      </c>
      <c r="F606" s="40" t="s">
        <v>1935</v>
      </c>
      <c r="G606" s="40" t="s">
        <v>1813</v>
      </c>
      <c r="H606" s="40" t="s">
        <v>1756</v>
      </c>
      <c r="I606" s="360" t="e">
        <f>VLOOKUP(Таблица18[[#This Row],[Номер акта]],$AB$1:$AF$1833,3,FALSE)</f>
        <v>#N/A</v>
      </c>
      <c r="J606" s="40" t="s">
        <v>1755</v>
      </c>
      <c r="K606" s="40" t="s">
        <v>82</v>
      </c>
      <c r="L606" s="121">
        <v>27740</v>
      </c>
      <c r="M606" s="121">
        <v>14350</v>
      </c>
      <c r="N606" s="121">
        <v>16.5</v>
      </c>
      <c r="O606" s="363">
        <v>13390</v>
      </c>
      <c r="P606" s="363">
        <v>11180.6</v>
      </c>
      <c r="Q606" s="121">
        <v>2024</v>
      </c>
      <c r="R606" s="121"/>
      <c r="S606" s="148">
        <v>45449</v>
      </c>
      <c r="T606" s="363">
        <f>Таблица18[[#This Row],[Вес нетто]]-Таблица18[[#This Row],[Зачетный вес]]</f>
        <v>2209.3999999999996</v>
      </c>
      <c r="U606" s="365">
        <f>Таблица18[[#This Row],[Отход]]/Таблица18[[#This Row],[Вес нетто]]</f>
        <v>0.1650037341299477</v>
      </c>
      <c r="V606" s="121">
        <f>MONTH(Таблица18[[#This Row],[Дата акта]])</f>
        <v>6</v>
      </c>
      <c r="W606" s="121">
        <v>6</v>
      </c>
      <c r="X606" s="148">
        <f>DATE(1900,Таблица18[[#This Row],[Месяц]],Таблица18[[#This Row],[Число]])</f>
        <v>158</v>
      </c>
      <c r="Y606" s="121"/>
      <c r="Z606" s="121" t="str">
        <f>Таблица18[[#This Row],[Хар-ка]]</f>
        <v>высший</v>
      </c>
      <c r="AD606" s="459"/>
      <c r="AE606" s="391"/>
    </row>
    <row r="607" spans="1:31" s="325" customFormat="1" ht="15.6" hidden="1" customHeight="1" x14ac:dyDescent="0.2">
      <c r="A607" s="40" t="s">
        <v>2550</v>
      </c>
      <c r="B607" s="360" t="s">
        <v>511</v>
      </c>
      <c r="C607" s="40">
        <v>225</v>
      </c>
      <c r="D607" s="40">
        <v>87</v>
      </c>
      <c r="E607" s="40" t="s">
        <v>78</v>
      </c>
      <c r="F607" s="40" t="s">
        <v>311</v>
      </c>
      <c r="G607" s="40" t="s">
        <v>315</v>
      </c>
      <c r="H607" s="40" t="s">
        <v>1756</v>
      </c>
      <c r="I607" s="360" t="e">
        <f>VLOOKUP(Таблица18[[#This Row],[Номер акта]],$AB$1:$AF$1833,3,FALSE)</f>
        <v>#N/A</v>
      </c>
      <c r="J607" s="40" t="s">
        <v>1755</v>
      </c>
      <c r="K607" s="40" t="s">
        <v>82</v>
      </c>
      <c r="L607" s="121">
        <v>29050</v>
      </c>
      <c r="M607" s="121">
        <v>14960</v>
      </c>
      <c r="N607" s="121">
        <v>18.5</v>
      </c>
      <c r="O607" s="363">
        <v>14090</v>
      </c>
      <c r="P607" s="363">
        <v>11483.3</v>
      </c>
      <c r="Q607" s="121">
        <v>2024</v>
      </c>
      <c r="R607" s="121"/>
      <c r="S607" s="148">
        <v>45449</v>
      </c>
      <c r="T607" s="363">
        <f>Таблица18[[#This Row],[Вес нетто]]-Таблица18[[#This Row],[Зачетный вес]]</f>
        <v>2606.7000000000007</v>
      </c>
      <c r="U607" s="365">
        <f>Таблица18[[#This Row],[Отход]]/Таблица18[[#This Row],[Вес нетто]]</f>
        <v>0.18500354861603979</v>
      </c>
      <c r="V607" s="121">
        <f>MONTH(Таблица18[[#This Row],[Дата акта]])</f>
        <v>6</v>
      </c>
      <c r="W607" s="121">
        <v>6</v>
      </c>
      <c r="X607" s="148">
        <f>DATE(1900,Таблица18[[#This Row],[Месяц]],Таблица18[[#This Row],[Число]])</f>
        <v>158</v>
      </c>
      <c r="Y607" s="121"/>
      <c r="Z607" s="121" t="str">
        <f>Таблица18[[#This Row],[Хар-ка]]</f>
        <v>высший</v>
      </c>
      <c r="AD607" s="459"/>
      <c r="AE607" s="391"/>
    </row>
    <row r="608" spans="1:31" s="325" customFormat="1" ht="15.6" hidden="1" customHeight="1" x14ac:dyDescent="0.2">
      <c r="A608" s="40" t="s">
        <v>2551</v>
      </c>
      <c r="B608" s="360" t="s">
        <v>511</v>
      </c>
      <c r="C608" s="40">
        <v>226</v>
      </c>
      <c r="D608" s="40">
        <v>88</v>
      </c>
      <c r="E608" s="40" t="s">
        <v>78</v>
      </c>
      <c r="F608" s="40" t="s">
        <v>133</v>
      </c>
      <c r="G608" s="40" t="s">
        <v>137</v>
      </c>
      <c r="H608" s="40" t="s">
        <v>1756</v>
      </c>
      <c r="I608" s="360" t="e">
        <f>VLOOKUP(Таблица18[[#This Row],[Номер акта]],$AB$1:$AF$1833,3,FALSE)</f>
        <v>#N/A</v>
      </c>
      <c r="J608" s="40" t="s">
        <v>1755</v>
      </c>
      <c r="K608" s="40" t="s">
        <v>82</v>
      </c>
      <c r="L608" s="121">
        <v>33460</v>
      </c>
      <c r="M608" s="121">
        <v>17240</v>
      </c>
      <c r="N608" s="121">
        <v>13.5</v>
      </c>
      <c r="O608" s="363">
        <v>16220</v>
      </c>
      <c r="P608" s="363">
        <v>14030.3</v>
      </c>
      <c r="Q608" s="121">
        <v>2024</v>
      </c>
      <c r="R608" s="121"/>
      <c r="S608" s="148">
        <v>45449</v>
      </c>
      <c r="T608" s="363">
        <f>Таблица18[[#This Row],[Вес нетто]]-Таблица18[[#This Row],[Зачетный вес]]</f>
        <v>2189.7000000000007</v>
      </c>
      <c r="U608" s="365">
        <f>Таблица18[[#This Row],[Отход]]/Таблица18[[#This Row],[Вес нетто]]</f>
        <v>0.13500000000000004</v>
      </c>
      <c r="V608" s="121">
        <f>MONTH(Таблица18[[#This Row],[Дата акта]])</f>
        <v>6</v>
      </c>
      <c r="W608" s="121">
        <v>6</v>
      </c>
      <c r="X608" s="148">
        <f>DATE(1900,Таблица18[[#This Row],[Месяц]],Таблица18[[#This Row],[Число]])</f>
        <v>158</v>
      </c>
      <c r="Y608" s="121"/>
      <c r="Z608" s="121" t="str">
        <f>Таблица18[[#This Row],[Хар-ка]]</f>
        <v>высший</v>
      </c>
      <c r="AD608" s="459"/>
      <c r="AE608" s="391"/>
    </row>
    <row r="609" spans="1:31" s="325" customFormat="1" ht="15.6" hidden="1" customHeight="1" x14ac:dyDescent="0.2">
      <c r="A609" s="40" t="s">
        <v>2552</v>
      </c>
      <c r="B609" s="360" t="s">
        <v>511</v>
      </c>
      <c r="C609" s="40">
        <v>228</v>
      </c>
      <c r="D609" s="40">
        <v>89</v>
      </c>
      <c r="E609" s="40" t="s">
        <v>78</v>
      </c>
      <c r="F609" s="40" t="s">
        <v>1935</v>
      </c>
      <c r="G609" s="40" t="s">
        <v>1813</v>
      </c>
      <c r="H609" s="40" t="s">
        <v>1756</v>
      </c>
      <c r="I609" s="360" t="e">
        <f>VLOOKUP(Таблица18[[#This Row],[Номер акта]],$AB$1:$AF$1833,3,FALSE)</f>
        <v>#N/A</v>
      </c>
      <c r="J609" s="40" t="s">
        <v>1755</v>
      </c>
      <c r="K609" s="40" t="s">
        <v>82</v>
      </c>
      <c r="L609" s="121">
        <v>28450</v>
      </c>
      <c r="M609" s="121">
        <v>14320</v>
      </c>
      <c r="N609" s="121">
        <v>17.5</v>
      </c>
      <c r="O609" s="363">
        <v>14130</v>
      </c>
      <c r="P609" s="363">
        <v>11657.2</v>
      </c>
      <c r="Q609" s="121">
        <v>2024</v>
      </c>
      <c r="R609" s="121"/>
      <c r="S609" s="148">
        <v>45449</v>
      </c>
      <c r="T609" s="363">
        <f>Таблица18[[#This Row],[Вес нетто]]-Таблица18[[#This Row],[Зачетный вес]]</f>
        <v>2472.7999999999993</v>
      </c>
      <c r="U609" s="365">
        <f>Таблица18[[#This Row],[Отход]]/Таблица18[[#This Row],[Вес нетто]]</f>
        <v>0.17500353857041751</v>
      </c>
      <c r="V609" s="121">
        <f>MONTH(Таблица18[[#This Row],[Дата акта]])</f>
        <v>6</v>
      </c>
      <c r="W609" s="121">
        <v>6</v>
      </c>
      <c r="X609" s="148">
        <f>DATE(1900,Таблица18[[#This Row],[Месяц]],Таблица18[[#This Row],[Число]])</f>
        <v>158</v>
      </c>
      <c r="Y609" s="121"/>
      <c r="Z609" s="121" t="str">
        <f>Таблица18[[#This Row],[Хар-ка]]</f>
        <v>высший</v>
      </c>
      <c r="AD609" s="459"/>
      <c r="AE609" s="391"/>
    </row>
    <row r="610" spans="1:31" s="325" customFormat="1" ht="15.6" hidden="1" customHeight="1" x14ac:dyDescent="0.2">
      <c r="A610" s="40" t="s">
        <v>2553</v>
      </c>
      <c r="B610" s="360" t="s">
        <v>511</v>
      </c>
      <c r="C610" s="40">
        <v>229</v>
      </c>
      <c r="D610" s="40">
        <v>90</v>
      </c>
      <c r="E610" s="40" t="s">
        <v>78</v>
      </c>
      <c r="F610" s="40" t="s">
        <v>311</v>
      </c>
      <c r="G610" s="40" t="s">
        <v>315</v>
      </c>
      <c r="H610" s="40" t="s">
        <v>1756</v>
      </c>
      <c r="I610" s="360" t="e">
        <f>VLOOKUP(Таблица18[[#This Row],[Номер акта]],$AB$1:$AF$1833,3,FALSE)</f>
        <v>#N/A</v>
      </c>
      <c r="J610" s="40" t="s">
        <v>1755</v>
      </c>
      <c r="K610" s="40" t="s">
        <v>82</v>
      </c>
      <c r="L610" s="121">
        <v>28880</v>
      </c>
      <c r="M610" s="121">
        <v>14940</v>
      </c>
      <c r="N610" s="121">
        <v>15.5</v>
      </c>
      <c r="O610" s="363">
        <v>13940</v>
      </c>
      <c r="P610" s="363">
        <v>11779.3</v>
      </c>
      <c r="Q610" s="121">
        <v>2024</v>
      </c>
      <c r="R610" s="121"/>
      <c r="S610" s="148">
        <v>45449</v>
      </c>
      <c r="T610" s="363">
        <f>Таблица18[[#This Row],[Вес нетто]]-Таблица18[[#This Row],[Зачетный вес]]</f>
        <v>2160.7000000000007</v>
      </c>
      <c r="U610" s="365">
        <f>Таблица18[[#This Row],[Отход]]/Таблица18[[#This Row],[Вес нетто]]</f>
        <v>0.15500000000000005</v>
      </c>
      <c r="V610" s="121">
        <f>MONTH(Таблица18[[#This Row],[Дата акта]])</f>
        <v>6</v>
      </c>
      <c r="W610" s="121">
        <v>6</v>
      </c>
      <c r="X610" s="148">
        <f>DATE(1900,Таблица18[[#This Row],[Месяц]],Таблица18[[#This Row],[Число]])</f>
        <v>158</v>
      </c>
      <c r="Y610" s="121"/>
      <c r="Z610" s="121" t="str">
        <f>Таблица18[[#This Row],[Хар-ка]]</f>
        <v>высший</v>
      </c>
      <c r="AD610" s="459"/>
      <c r="AE610" s="391"/>
    </row>
    <row r="611" spans="1:31" s="325" customFormat="1" ht="15.6" hidden="1" customHeight="1" x14ac:dyDescent="0.2">
      <c r="A611" s="40" t="s">
        <v>2554</v>
      </c>
      <c r="B611" s="360" t="s">
        <v>511</v>
      </c>
      <c r="C611" s="40">
        <v>231</v>
      </c>
      <c r="D611" s="40">
        <v>91</v>
      </c>
      <c r="E611" s="40" t="s">
        <v>78</v>
      </c>
      <c r="F611" s="40" t="s">
        <v>133</v>
      </c>
      <c r="G611" s="40" t="s">
        <v>137</v>
      </c>
      <c r="H611" s="40" t="s">
        <v>1756</v>
      </c>
      <c r="I611" s="360" t="e">
        <f>VLOOKUP(Таблица18[[#This Row],[Номер акта]],$AB$1:$AF$1833,3,FALSE)</f>
        <v>#N/A</v>
      </c>
      <c r="J611" s="40" t="s">
        <v>1755</v>
      </c>
      <c r="K611" s="40" t="s">
        <v>82</v>
      </c>
      <c r="L611" s="121">
        <v>33320</v>
      </c>
      <c r="M611" s="121">
        <v>17220</v>
      </c>
      <c r="N611" s="121">
        <v>13.5</v>
      </c>
      <c r="O611" s="363">
        <v>16100</v>
      </c>
      <c r="P611" s="363">
        <v>13926.5</v>
      </c>
      <c r="Q611" s="121">
        <v>2024</v>
      </c>
      <c r="R611" s="121"/>
      <c r="S611" s="148">
        <v>45449</v>
      </c>
      <c r="T611" s="363">
        <f>Таблица18[[#This Row],[Вес нетто]]-Таблица18[[#This Row],[Зачетный вес]]</f>
        <v>2173.5</v>
      </c>
      <c r="U611" s="365">
        <f>Таблица18[[#This Row],[Отход]]/Таблица18[[#This Row],[Вес нетто]]</f>
        <v>0.13500000000000001</v>
      </c>
      <c r="V611" s="121">
        <f>MONTH(Таблица18[[#This Row],[Дата акта]])</f>
        <v>6</v>
      </c>
      <c r="W611" s="121">
        <v>6</v>
      </c>
      <c r="X611" s="148">
        <f>DATE(1900,Таблица18[[#This Row],[Месяц]],Таблица18[[#This Row],[Число]])</f>
        <v>158</v>
      </c>
      <c r="Y611" s="121"/>
      <c r="Z611" s="121" t="str">
        <f>Таблица18[[#This Row],[Хар-ка]]</f>
        <v>высший</v>
      </c>
      <c r="AD611" s="459"/>
      <c r="AE611" s="391"/>
    </row>
    <row r="612" spans="1:31" s="325" customFormat="1" ht="15.6" hidden="1" customHeight="1" x14ac:dyDescent="0.2">
      <c r="A612" s="40" t="s">
        <v>2555</v>
      </c>
      <c r="B612" s="360" t="s">
        <v>511</v>
      </c>
      <c r="C612" s="40">
        <v>232</v>
      </c>
      <c r="D612" s="40">
        <v>92</v>
      </c>
      <c r="E612" s="40" t="s">
        <v>78</v>
      </c>
      <c r="F612" s="40" t="s">
        <v>239</v>
      </c>
      <c r="G612" s="40" t="s">
        <v>243</v>
      </c>
      <c r="H612" s="40" t="s">
        <v>1756</v>
      </c>
      <c r="I612" s="360" t="e">
        <f>VLOOKUP(Таблица18[[#This Row],[Номер акта]],$AB$1:$AF$1833,3,FALSE)</f>
        <v>#N/A</v>
      </c>
      <c r="J612" s="40" t="s">
        <v>1755</v>
      </c>
      <c r="K612" s="40" t="s">
        <v>82</v>
      </c>
      <c r="L612" s="121">
        <v>28300</v>
      </c>
      <c r="M612" s="121">
        <v>14480</v>
      </c>
      <c r="N612" s="121">
        <v>14.5</v>
      </c>
      <c r="O612" s="363">
        <v>13820</v>
      </c>
      <c r="P612" s="363">
        <v>11816.1</v>
      </c>
      <c r="Q612" s="121">
        <v>2024</v>
      </c>
      <c r="R612" s="121"/>
      <c r="S612" s="148">
        <v>45449</v>
      </c>
      <c r="T612" s="363">
        <f>Таблица18[[#This Row],[Вес нетто]]-Таблица18[[#This Row],[Зачетный вес]]</f>
        <v>2003.8999999999996</v>
      </c>
      <c r="U612" s="365">
        <f>Таблица18[[#This Row],[Отход]]/Таблица18[[#This Row],[Вес нетто]]</f>
        <v>0.14499999999999996</v>
      </c>
      <c r="V612" s="121">
        <f>MONTH(Таблица18[[#This Row],[Дата акта]])</f>
        <v>6</v>
      </c>
      <c r="W612" s="121">
        <v>6</v>
      </c>
      <c r="X612" s="148">
        <f>DATE(1900,Таблица18[[#This Row],[Месяц]],Таблица18[[#This Row],[Число]])</f>
        <v>158</v>
      </c>
      <c r="Y612" s="121"/>
      <c r="Z612" s="121" t="str">
        <f>Таблица18[[#This Row],[Хар-ка]]</f>
        <v>высший</v>
      </c>
      <c r="AD612" s="459"/>
      <c r="AE612" s="391"/>
    </row>
    <row r="613" spans="1:31" s="325" customFormat="1" ht="15.6" hidden="1" customHeight="1" x14ac:dyDescent="0.2">
      <c r="A613" s="40" t="s">
        <v>2556</v>
      </c>
      <c r="B613" s="360" t="s">
        <v>511</v>
      </c>
      <c r="C613" s="40">
        <v>233</v>
      </c>
      <c r="D613" s="40">
        <v>93</v>
      </c>
      <c r="E613" s="40" t="s">
        <v>78</v>
      </c>
      <c r="F613" s="40" t="s">
        <v>311</v>
      </c>
      <c r="G613" s="40" t="s">
        <v>315</v>
      </c>
      <c r="H613" s="40" t="s">
        <v>1756</v>
      </c>
      <c r="I613" s="360" t="e">
        <f>VLOOKUP(Таблица18[[#This Row],[Номер акта]],$AB$1:$AF$1833,3,FALSE)</f>
        <v>#N/A</v>
      </c>
      <c r="J613" s="40" t="s">
        <v>1755</v>
      </c>
      <c r="K613" s="40" t="s">
        <v>82</v>
      </c>
      <c r="L613" s="121">
        <v>28770</v>
      </c>
      <c r="M613" s="121">
        <v>14930</v>
      </c>
      <c r="N613" s="121">
        <v>13.5</v>
      </c>
      <c r="O613" s="363">
        <v>13840</v>
      </c>
      <c r="P613" s="363">
        <v>11971.6</v>
      </c>
      <c r="Q613" s="121">
        <v>2024</v>
      </c>
      <c r="R613" s="121"/>
      <c r="S613" s="148">
        <v>45449</v>
      </c>
      <c r="T613" s="363">
        <f>Таблица18[[#This Row],[Вес нетто]]-Таблица18[[#This Row],[Зачетный вес]]</f>
        <v>1868.3999999999996</v>
      </c>
      <c r="U613" s="365">
        <f>Таблица18[[#This Row],[Отход]]/Таблица18[[#This Row],[Вес нетто]]</f>
        <v>0.13499999999999998</v>
      </c>
      <c r="V613" s="121">
        <f>MONTH(Таблица18[[#This Row],[Дата акта]])</f>
        <v>6</v>
      </c>
      <c r="W613" s="121">
        <v>6</v>
      </c>
      <c r="X613" s="148">
        <f>DATE(1900,Таблица18[[#This Row],[Месяц]],Таблица18[[#This Row],[Число]])</f>
        <v>158</v>
      </c>
      <c r="Y613" s="121"/>
      <c r="Z613" s="121" t="str">
        <f>Таблица18[[#This Row],[Хар-ка]]</f>
        <v>высший</v>
      </c>
      <c r="AD613" s="459"/>
      <c r="AE613" s="391"/>
    </row>
    <row r="614" spans="1:31" s="325" customFormat="1" ht="15.6" hidden="1" customHeight="1" x14ac:dyDescent="0.2">
      <c r="A614" s="40" t="s">
        <v>2557</v>
      </c>
      <c r="B614" s="360" t="s">
        <v>511</v>
      </c>
      <c r="C614" s="40">
        <v>234</v>
      </c>
      <c r="D614" s="40">
        <v>94</v>
      </c>
      <c r="E614" s="40" t="s">
        <v>78</v>
      </c>
      <c r="F614" s="40" t="s">
        <v>1935</v>
      </c>
      <c r="G614" s="40" t="s">
        <v>1813</v>
      </c>
      <c r="H614" s="40" t="s">
        <v>1756</v>
      </c>
      <c r="I614" s="360" t="e">
        <f>VLOOKUP(Таблица18[[#This Row],[Номер акта]],$AB$1:$AF$1833,3,FALSE)</f>
        <v>#N/A</v>
      </c>
      <c r="J614" s="40" t="s">
        <v>1755</v>
      </c>
      <c r="K614" s="40" t="s">
        <v>82</v>
      </c>
      <c r="L614" s="121">
        <v>28380</v>
      </c>
      <c r="M614" s="121">
        <v>14340</v>
      </c>
      <c r="N614" s="121">
        <v>13.5</v>
      </c>
      <c r="O614" s="363">
        <v>14040</v>
      </c>
      <c r="P614" s="363">
        <v>12144.6</v>
      </c>
      <c r="Q614" s="121">
        <v>2024</v>
      </c>
      <c r="R614" s="121"/>
      <c r="S614" s="148">
        <v>45449</v>
      </c>
      <c r="T614" s="363">
        <f>Таблица18[[#This Row],[Вес нетто]]-Таблица18[[#This Row],[Зачетный вес]]</f>
        <v>1895.3999999999996</v>
      </c>
      <c r="U614" s="365">
        <f>Таблица18[[#This Row],[Отход]]/Таблица18[[#This Row],[Вес нетто]]</f>
        <v>0.13499999999999998</v>
      </c>
      <c r="V614" s="121">
        <f>MONTH(Таблица18[[#This Row],[Дата акта]])</f>
        <v>6</v>
      </c>
      <c r="W614" s="121">
        <v>6</v>
      </c>
      <c r="X614" s="148">
        <f>DATE(1900,Таблица18[[#This Row],[Месяц]],Таблица18[[#This Row],[Число]])</f>
        <v>158</v>
      </c>
      <c r="Y614" s="121"/>
      <c r="Z614" s="121" t="str">
        <f>Таблица18[[#This Row],[Хар-ка]]</f>
        <v>высший</v>
      </c>
      <c r="AD614" s="459"/>
      <c r="AE614" s="391"/>
    </row>
    <row r="615" spans="1:31" s="325" customFormat="1" ht="15.6" hidden="1" customHeight="1" x14ac:dyDescent="0.2">
      <c r="A615" s="40" t="s">
        <v>2558</v>
      </c>
      <c r="B615" s="360" t="s">
        <v>511</v>
      </c>
      <c r="C615" s="40">
        <v>235</v>
      </c>
      <c r="D615" s="40">
        <v>95</v>
      </c>
      <c r="E615" s="40" t="s">
        <v>78</v>
      </c>
      <c r="F615" s="40" t="s">
        <v>133</v>
      </c>
      <c r="G615" s="40" t="s">
        <v>137</v>
      </c>
      <c r="H615" s="40" t="s">
        <v>1754</v>
      </c>
      <c r="I615" s="360" t="e">
        <f>VLOOKUP(Таблица18[[#This Row],[Номер акта]],$AB$1:$AF$1833,3,FALSE)</f>
        <v>#N/A</v>
      </c>
      <c r="J615" s="40" t="s">
        <v>893</v>
      </c>
      <c r="K615" s="40" t="s">
        <v>82</v>
      </c>
      <c r="L615" s="121">
        <v>28920</v>
      </c>
      <c r="M615" s="121">
        <v>17210</v>
      </c>
      <c r="N615" s="121">
        <v>14.5</v>
      </c>
      <c r="O615" s="363">
        <v>11710</v>
      </c>
      <c r="P615" s="363">
        <v>10012</v>
      </c>
      <c r="Q615" s="121">
        <v>2024</v>
      </c>
      <c r="R615" s="121"/>
      <c r="S615" s="148">
        <v>45449</v>
      </c>
      <c r="T615" s="363">
        <f>Таблица18[[#This Row],[Вес нетто]]-Таблица18[[#This Row],[Зачетный вес]]</f>
        <v>1698</v>
      </c>
      <c r="U615" s="365">
        <f>Таблица18[[#This Row],[Отход]]/Таблица18[[#This Row],[Вес нетто]]</f>
        <v>0.14500426985482492</v>
      </c>
      <c r="V615" s="121">
        <f>MONTH(Таблица18[[#This Row],[Дата акта]])</f>
        <v>6</v>
      </c>
      <c r="W615" s="121">
        <v>6</v>
      </c>
      <c r="X615" s="148">
        <f>DATE(1900,Таблица18[[#This Row],[Месяц]],Таблица18[[#This Row],[Число]])</f>
        <v>158</v>
      </c>
      <c r="Y615" s="121"/>
      <c r="Z615" s="121" t="str">
        <f>Таблица18[[#This Row],[Хар-ка]]</f>
        <v>высший</v>
      </c>
      <c r="AD615" s="459"/>
      <c r="AE615" s="391"/>
    </row>
    <row r="616" spans="1:31" s="325" customFormat="1" ht="15.6" hidden="1" customHeight="1" x14ac:dyDescent="0.2">
      <c r="A616" s="40" t="s">
        <v>2559</v>
      </c>
      <c r="B616" s="360" t="s">
        <v>511</v>
      </c>
      <c r="C616" s="40">
        <v>236</v>
      </c>
      <c r="D616" s="40">
        <v>96</v>
      </c>
      <c r="E616" s="40" t="s">
        <v>78</v>
      </c>
      <c r="F616" s="40" t="s">
        <v>311</v>
      </c>
      <c r="G616" s="40" t="s">
        <v>315</v>
      </c>
      <c r="H616" s="40" t="s">
        <v>1756</v>
      </c>
      <c r="I616" s="360" t="e">
        <f>VLOOKUP(Таблица18[[#This Row],[Номер акта]],$AB$1:$AF$1833,3,FALSE)</f>
        <v>#N/A</v>
      </c>
      <c r="J616" s="40" t="s">
        <v>1755</v>
      </c>
      <c r="K616" s="40" t="s">
        <v>82</v>
      </c>
      <c r="L616" s="121">
        <v>28580</v>
      </c>
      <c r="M616" s="121">
        <v>14950</v>
      </c>
      <c r="N616" s="121">
        <v>15.5</v>
      </c>
      <c r="O616" s="363">
        <v>13630</v>
      </c>
      <c r="P616" s="363">
        <v>11517.3</v>
      </c>
      <c r="Q616" s="121">
        <v>2024</v>
      </c>
      <c r="R616" s="121"/>
      <c r="S616" s="148">
        <v>45449</v>
      </c>
      <c r="T616" s="363">
        <f>Таблица18[[#This Row],[Вес нетто]]-Таблица18[[#This Row],[Зачетный вес]]</f>
        <v>2112.7000000000007</v>
      </c>
      <c r="U616" s="365">
        <f>Таблица18[[#This Row],[Отход]]/Таблица18[[#This Row],[Вес нетто]]</f>
        <v>0.15500366837857671</v>
      </c>
      <c r="V616" s="121">
        <f>MONTH(Таблица18[[#This Row],[Дата акта]])</f>
        <v>6</v>
      </c>
      <c r="W616" s="121">
        <v>6</v>
      </c>
      <c r="X616" s="148">
        <f>DATE(1900,Таблица18[[#This Row],[Месяц]],Таблица18[[#This Row],[Число]])</f>
        <v>158</v>
      </c>
      <c r="Y616" s="121"/>
      <c r="Z616" s="121" t="str">
        <f>Таблица18[[#This Row],[Хар-ка]]</f>
        <v>высший</v>
      </c>
      <c r="AD616" s="459"/>
      <c r="AE616" s="391"/>
    </row>
    <row r="617" spans="1:31" s="325" customFormat="1" ht="15.6" hidden="1" customHeight="1" x14ac:dyDescent="0.2">
      <c r="A617" s="40" t="s">
        <v>2560</v>
      </c>
      <c r="B617" s="360" t="s">
        <v>511</v>
      </c>
      <c r="C617" s="40">
        <v>237</v>
      </c>
      <c r="D617" s="40">
        <v>97</v>
      </c>
      <c r="E617" s="40" t="s">
        <v>78</v>
      </c>
      <c r="F617" s="40" t="s">
        <v>1935</v>
      </c>
      <c r="G617" s="40" t="s">
        <v>1813</v>
      </c>
      <c r="H617" s="40" t="s">
        <v>1756</v>
      </c>
      <c r="I617" s="360" t="e">
        <f>VLOOKUP(Таблица18[[#This Row],[Номер акта]],$AB$1:$AF$1833,3,FALSE)</f>
        <v>#N/A</v>
      </c>
      <c r="J617" s="40" t="s">
        <v>1755</v>
      </c>
      <c r="K617" s="40" t="s">
        <v>82</v>
      </c>
      <c r="L617" s="121">
        <v>28240</v>
      </c>
      <c r="M617" s="121">
        <v>14480</v>
      </c>
      <c r="N617" s="121">
        <v>12.5</v>
      </c>
      <c r="O617" s="363">
        <v>13760</v>
      </c>
      <c r="P617" s="363">
        <v>12040</v>
      </c>
      <c r="Q617" s="121">
        <v>2024</v>
      </c>
      <c r="R617" s="121"/>
      <c r="S617" s="148">
        <v>45450</v>
      </c>
      <c r="T617" s="363">
        <f>Таблица18[[#This Row],[Вес нетто]]-Таблица18[[#This Row],[Зачетный вес]]</f>
        <v>1720</v>
      </c>
      <c r="U617" s="365">
        <f>Таблица18[[#This Row],[Отход]]/Таблица18[[#This Row],[Вес нетто]]</f>
        <v>0.125</v>
      </c>
      <c r="V617" s="121">
        <f>MONTH(Таблица18[[#This Row],[Дата акта]])</f>
        <v>6</v>
      </c>
      <c r="W617" s="121">
        <v>7</v>
      </c>
      <c r="X617" s="148">
        <f>DATE(1900,Таблица18[[#This Row],[Месяц]],Таблица18[[#This Row],[Число]])</f>
        <v>159</v>
      </c>
      <c r="Y617" s="121"/>
      <c r="Z617" s="121" t="str">
        <f>Таблица18[[#This Row],[Хар-ка]]</f>
        <v>высший</v>
      </c>
      <c r="AD617" s="459"/>
      <c r="AE617" s="391"/>
    </row>
    <row r="618" spans="1:31" s="325" customFormat="1" ht="15.6" hidden="1" customHeight="1" x14ac:dyDescent="0.2">
      <c r="A618" s="40" t="s">
        <v>2561</v>
      </c>
      <c r="B618" s="360" t="s">
        <v>511</v>
      </c>
      <c r="C618" s="40">
        <v>238</v>
      </c>
      <c r="D618" s="40">
        <v>98</v>
      </c>
      <c r="E618" s="40" t="s">
        <v>78</v>
      </c>
      <c r="F618" s="40" t="s">
        <v>133</v>
      </c>
      <c r="G618" s="40" t="s">
        <v>137</v>
      </c>
      <c r="H618" s="40" t="s">
        <v>1756</v>
      </c>
      <c r="I618" s="360" t="e">
        <f>VLOOKUP(Таблица18[[#This Row],[Номер акта]],$AB$1:$AF$1833,3,FALSE)</f>
        <v>#N/A</v>
      </c>
      <c r="J618" s="40" t="s">
        <v>1755</v>
      </c>
      <c r="K618" s="40" t="s">
        <v>82</v>
      </c>
      <c r="L618" s="121">
        <v>32880</v>
      </c>
      <c r="M618" s="121">
        <v>17200</v>
      </c>
      <c r="N618" s="121">
        <v>16.5</v>
      </c>
      <c r="O618" s="363">
        <v>15680</v>
      </c>
      <c r="P618" s="363">
        <v>13092.8</v>
      </c>
      <c r="Q618" s="121">
        <v>2024</v>
      </c>
      <c r="R618" s="121"/>
      <c r="S618" s="148">
        <v>45450</v>
      </c>
      <c r="T618" s="363">
        <f>Таблица18[[#This Row],[Вес нетто]]-Таблица18[[#This Row],[Зачетный вес]]</f>
        <v>2587.2000000000007</v>
      </c>
      <c r="U618" s="365">
        <f>Таблица18[[#This Row],[Отход]]/Таблица18[[#This Row],[Вес нетто]]</f>
        <v>0.16500000000000004</v>
      </c>
      <c r="V618" s="121">
        <f>MONTH(Таблица18[[#This Row],[Дата акта]])</f>
        <v>6</v>
      </c>
      <c r="W618" s="121">
        <v>7</v>
      </c>
      <c r="X618" s="148">
        <f>DATE(1900,Таблица18[[#This Row],[Месяц]],Таблица18[[#This Row],[Число]])</f>
        <v>159</v>
      </c>
      <c r="Y618" s="121"/>
      <c r="Z618" s="121" t="str">
        <f>Таблица18[[#This Row],[Хар-ка]]</f>
        <v>высший</v>
      </c>
      <c r="AD618" s="459"/>
      <c r="AE618" s="391"/>
    </row>
    <row r="619" spans="1:31" s="325" customFormat="1" ht="15.6" hidden="1" customHeight="1" x14ac:dyDescent="0.2">
      <c r="A619" s="40" t="s">
        <v>2562</v>
      </c>
      <c r="B619" s="360" t="s">
        <v>511</v>
      </c>
      <c r="C619" s="40">
        <v>239</v>
      </c>
      <c r="D619" s="40">
        <v>99</v>
      </c>
      <c r="E619" s="40" t="s">
        <v>78</v>
      </c>
      <c r="F619" s="40" t="s">
        <v>311</v>
      </c>
      <c r="G619" s="40" t="s">
        <v>315</v>
      </c>
      <c r="H619" s="40" t="s">
        <v>1756</v>
      </c>
      <c r="I619" s="360" t="e">
        <f>VLOOKUP(Таблица18[[#This Row],[Номер акта]],$AB$1:$AF$1833,3,FALSE)</f>
        <v>#N/A</v>
      </c>
      <c r="J619" s="40" t="s">
        <v>1755</v>
      </c>
      <c r="K619" s="40" t="s">
        <v>82</v>
      </c>
      <c r="L619" s="121">
        <v>28570</v>
      </c>
      <c r="M619" s="121">
        <v>14940</v>
      </c>
      <c r="N619" s="121">
        <v>12.5</v>
      </c>
      <c r="O619" s="363">
        <v>13630</v>
      </c>
      <c r="P619" s="363">
        <v>11926.2</v>
      </c>
      <c r="Q619" s="121">
        <v>2024</v>
      </c>
      <c r="R619" s="121"/>
      <c r="S619" s="148">
        <v>45450</v>
      </c>
      <c r="T619" s="363">
        <f>Таблица18[[#This Row],[Вес нетто]]-Таблица18[[#This Row],[Зачетный вес]]</f>
        <v>1703.7999999999993</v>
      </c>
      <c r="U619" s="365">
        <f>Таблица18[[#This Row],[Отход]]/Таблица18[[#This Row],[Вес нетто]]</f>
        <v>0.12500366837857663</v>
      </c>
      <c r="V619" s="121">
        <f>MONTH(Таблица18[[#This Row],[Дата акта]])</f>
        <v>6</v>
      </c>
      <c r="W619" s="121">
        <v>7</v>
      </c>
      <c r="X619" s="148">
        <f>DATE(1900,Таблица18[[#This Row],[Месяц]],Таблица18[[#This Row],[Число]])</f>
        <v>159</v>
      </c>
      <c r="Y619" s="121"/>
      <c r="Z619" s="121" t="str">
        <f>Таблица18[[#This Row],[Хар-ка]]</f>
        <v>высший</v>
      </c>
      <c r="AD619" s="459"/>
      <c r="AE619" s="391"/>
    </row>
    <row r="620" spans="1:31" s="325" customFormat="1" ht="15.6" hidden="1" customHeight="1" x14ac:dyDescent="0.2">
      <c r="A620" s="40" t="s">
        <v>2563</v>
      </c>
      <c r="B620" s="360" t="s">
        <v>511</v>
      </c>
      <c r="C620" s="40">
        <v>240</v>
      </c>
      <c r="D620" s="40">
        <v>100</v>
      </c>
      <c r="E620" s="40" t="s">
        <v>78</v>
      </c>
      <c r="F620" s="40" t="s">
        <v>1935</v>
      </c>
      <c r="G620" s="40" t="s">
        <v>1813</v>
      </c>
      <c r="H620" s="40" t="s">
        <v>1756</v>
      </c>
      <c r="I620" s="360" t="e">
        <f>VLOOKUP(Таблица18[[#This Row],[Номер акта]],$AB$1:$AF$1833,3,FALSE)</f>
        <v>#N/A</v>
      </c>
      <c r="J620" s="40" t="s">
        <v>1755</v>
      </c>
      <c r="K620" s="40" t="s">
        <v>82</v>
      </c>
      <c r="L620" s="121">
        <v>25090</v>
      </c>
      <c r="M620" s="121">
        <v>14470</v>
      </c>
      <c r="N620" s="121">
        <v>12.5</v>
      </c>
      <c r="O620" s="363">
        <v>10620</v>
      </c>
      <c r="P620" s="363">
        <v>9292.5</v>
      </c>
      <c r="Q620" s="121">
        <v>2024</v>
      </c>
      <c r="R620" s="121"/>
      <c r="S620" s="148">
        <v>45450</v>
      </c>
      <c r="T620" s="363">
        <f>Таблица18[[#This Row],[Вес нетто]]-Таблица18[[#This Row],[Зачетный вес]]</f>
        <v>1327.5</v>
      </c>
      <c r="U620" s="365">
        <f>Таблица18[[#This Row],[Отход]]/Таблица18[[#This Row],[Вес нетто]]</f>
        <v>0.125</v>
      </c>
      <c r="V620" s="121">
        <f>MONTH(Таблица18[[#This Row],[Дата акта]])</f>
        <v>6</v>
      </c>
      <c r="W620" s="121">
        <v>7</v>
      </c>
      <c r="X620" s="148">
        <f>DATE(1900,Таблица18[[#This Row],[Месяц]],Таблица18[[#This Row],[Число]])</f>
        <v>159</v>
      </c>
      <c r="Y620" s="121"/>
      <c r="Z620" s="121" t="str">
        <f>Таблица18[[#This Row],[Хар-ка]]</f>
        <v>высший</v>
      </c>
      <c r="AD620" s="459"/>
      <c r="AE620" s="391"/>
    </row>
    <row r="621" spans="1:31" s="325" customFormat="1" ht="15.6" hidden="1" customHeight="1" x14ac:dyDescent="0.2">
      <c r="A621" s="40" t="s">
        <v>2564</v>
      </c>
      <c r="B621" s="360" t="s">
        <v>511</v>
      </c>
      <c r="C621" s="40">
        <v>241</v>
      </c>
      <c r="D621" s="40">
        <v>101</v>
      </c>
      <c r="E621" s="40" t="s">
        <v>78</v>
      </c>
      <c r="F621" s="40" t="s">
        <v>121</v>
      </c>
      <c r="G621" s="40" t="s">
        <v>125</v>
      </c>
      <c r="H621" s="40" t="s">
        <v>1757</v>
      </c>
      <c r="I621" s="360" t="e">
        <f>VLOOKUP(Таблица18[[#This Row],[Номер акта]],$AB$1:$AF$1833,3,FALSE)</f>
        <v>#N/A</v>
      </c>
      <c r="J621" s="40" t="s">
        <v>1758</v>
      </c>
      <c r="K621" s="40" t="s">
        <v>82</v>
      </c>
      <c r="L621" s="121">
        <v>29160</v>
      </c>
      <c r="M621" s="121">
        <v>14570</v>
      </c>
      <c r="N621" s="121">
        <v>18.5</v>
      </c>
      <c r="O621" s="363">
        <v>14590</v>
      </c>
      <c r="P621" s="363">
        <v>11890.8</v>
      </c>
      <c r="Q621" s="121">
        <v>2024</v>
      </c>
      <c r="R621" s="121"/>
      <c r="S621" s="148">
        <v>45450</v>
      </c>
      <c r="T621" s="363">
        <f>Таблица18[[#This Row],[Вес нетто]]-Таблица18[[#This Row],[Зачетный вес]]</f>
        <v>2699.2000000000007</v>
      </c>
      <c r="U621" s="365">
        <f>Таблица18[[#This Row],[Отход]]/Таблица18[[#This Row],[Вес нетто]]</f>
        <v>0.18500342700479785</v>
      </c>
      <c r="V621" s="121">
        <f>MONTH(Таблица18[[#This Row],[Дата акта]])</f>
        <v>6</v>
      </c>
      <c r="W621" s="121">
        <v>7</v>
      </c>
      <c r="X621" s="148">
        <f>DATE(1900,Таблица18[[#This Row],[Месяц]],Таблица18[[#This Row],[Число]])</f>
        <v>159</v>
      </c>
      <c r="Y621" s="121"/>
      <c r="Z621" s="121" t="str">
        <f>Таблица18[[#This Row],[Хар-ка]]</f>
        <v>высший</v>
      </c>
      <c r="AD621" s="459"/>
      <c r="AE621" s="391"/>
    </row>
    <row r="622" spans="1:31" s="325" customFormat="1" ht="15.6" hidden="1" customHeight="1" x14ac:dyDescent="0.2">
      <c r="A622" s="40" t="s">
        <v>2565</v>
      </c>
      <c r="B622" s="360" t="s">
        <v>511</v>
      </c>
      <c r="C622" s="40">
        <v>242</v>
      </c>
      <c r="D622" s="40">
        <v>102</v>
      </c>
      <c r="E622" s="40" t="s">
        <v>78</v>
      </c>
      <c r="F622" s="40" t="s">
        <v>2232</v>
      </c>
      <c r="G622" s="40" t="s">
        <v>2233</v>
      </c>
      <c r="H622" s="40" t="s">
        <v>1757</v>
      </c>
      <c r="I622" s="360" t="e">
        <f>VLOOKUP(Таблица18[[#This Row],[Номер акта]],$AB$1:$AF$1833,3,FALSE)</f>
        <v>#N/A</v>
      </c>
      <c r="J622" s="40" t="s">
        <v>1758</v>
      </c>
      <c r="K622" s="40" t="s">
        <v>82</v>
      </c>
      <c r="L622" s="121">
        <v>28750</v>
      </c>
      <c r="M622" s="121">
        <v>14690</v>
      </c>
      <c r="N622" s="121">
        <v>20.5</v>
      </c>
      <c r="O622" s="363">
        <v>14060</v>
      </c>
      <c r="P622" s="363">
        <v>11177.7</v>
      </c>
      <c r="Q622" s="121">
        <v>2024</v>
      </c>
      <c r="R622" s="121"/>
      <c r="S622" s="148">
        <v>45450</v>
      </c>
      <c r="T622" s="363">
        <f>Таблица18[[#This Row],[Вес нетто]]-Таблица18[[#This Row],[Зачетный вес]]</f>
        <v>2882.2999999999993</v>
      </c>
      <c r="U622" s="365">
        <f>Таблица18[[#This Row],[Отход]]/Таблица18[[#This Row],[Вес нетто]]</f>
        <v>0.20499999999999996</v>
      </c>
      <c r="V622" s="121">
        <f>MONTH(Таблица18[[#This Row],[Дата акта]])</f>
        <v>6</v>
      </c>
      <c r="W622" s="121">
        <v>7</v>
      </c>
      <c r="X622" s="148">
        <f>DATE(1900,Таблица18[[#This Row],[Месяц]],Таблица18[[#This Row],[Число]])</f>
        <v>159</v>
      </c>
      <c r="Y622" s="121"/>
      <c r="Z622" s="121" t="str">
        <f>Таблица18[[#This Row],[Хар-ка]]</f>
        <v>высший</v>
      </c>
      <c r="AD622" s="459"/>
      <c r="AE622" s="391"/>
    </row>
    <row r="623" spans="1:31" s="325" customFormat="1" ht="15.6" hidden="1" customHeight="1" x14ac:dyDescent="0.2">
      <c r="A623" s="40" t="s">
        <v>2566</v>
      </c>
      <c r="B623" s="360" t="s">
        <v>511</v>
      </c>
      <c r="C623" s="40">
        <v>243</v>
      </c>
      <c r="D623" s="40">
        <v>103</v>
      </c>
      <c r="E623" s="40" t="s">
        <v>78</v>
      </c>
      <c r="F623" s="40" t="s">
        <v>239</v>
      </c>
      <c r="G623" s="40" t="s">
        <v>243</v>
      </c>
      <c r="H623" s="40" t="s">
        <v>1757</v>
      </c>
      <c r="I623" s="360" t="e">
        <f>VLOOKUP(Таблица18[[#This Row],[Номер акта]],$AB$1:$AF$1833,3,FALSE)</f>
        <v>#N/A</v>
      </c>
      <c r="J623" s="40" t="s">
        <v>1758</v>
      </c>
      <c r="K623" s="40" t="s">
        <v>82</v>
      </c>
      <c r="L623" s="121">
        <v>28280</v>
      </c>
      <c r="M623" s="121">
        <v>14460</v>
      </c>
      <c r="N623" s="121">
        <v>20.5</v>
      </c>
      <c r="O623" s="363">
        <v>13820</v>
      </c>
      <c r="P623" s="363">
        <v>10986.9</v>
      </c>
      <c r="Q623" s="121">
        <v>2024</v>
      </c>
      <c r="R623" s="121"/>
      <c r="S623" s="148">
        <v>45450</v>
      </c>
      <c r="T623" s="363">
        <f>Таблица18[[#This Row],[Вес нетто]]-Таблица18[[#This Row],[Зачетный вес]]</f>
        <v>2833.1000000000004</v>
      </c>
      <c r="U623" s="365">
        <f>Таблица18[[#This Row],[Отход]]/Таблица18[[#This Row],[Вес нетто]]</f>
        <v>0.20500000000000002</v>
      </c>
      <c r="V623" s="121">
        <f>MONTH(Таблица18[[#This Row],[Дата акта]])</f>
        <v>6</v>
      </c>
      <c r="W623" s="121">
        <v>7</v>
      </c>
      <c r="X623" s="148">
        <f>DATE(1900,Таблица18[[#This Row],[Месяц]],Таблица18[[#This Row],[Число]])</f>
        <v>159</v>
      </c>
      <c r="Y623" s="121"/>
      <c r="Z623" s="121" t="str">
        <f>Таблица18[[#This Row],[Хар-ка]]</f>
        <v>высший</v>
      </c>
      <c r="AD623" s="459"/>
      <c r="AE623" s="391"/>
    </row>
    <row r="624" spans="1:31" s="325" customFormat="1" ht="15.6" hidden="1" customHeight="1" x14ac:dyDescent="0.2">
      <c r="A624" s="40" t="s">
        <v>2567</v>
      </c>
      <c r="B624" s="360" t="s">
        <v>511</v>
      </c>
      <c r="C624" s="40">
        <v>244</v>
      </c>
      <c r="D624" s="40">
        <v>104</v>
      </c>
      <c r="E624" s="40" t="s">
        <v>78</v>
      </c>
      <c r="F624" s="40" t="s">
        <v>121</v>
      </c>
      <c r="G624" s="40" t="s">
        <v>125</v>
      </c>
      <c r="H624" s="40" t="s">
        <v>1757</v>
      </c>
      <c r="I624" s="360" t="e">
        <f>VLOOKUP(Таблица18[[#This Row],[Номер акта]],$AB$1:$AF$1833,3,FALSE)</f>
        <v>#N/A</v>
      </c>
      <c r="J624" s="40" t="s">
        <v>1758</v>
      </c>
      <c r="K624" s="40" t="s">
        <v>82</v>
      </c>
      <c r="L624" s="121">
        <v>28470</v>
      </c>
      <c r="M624" s="121">
        <v>14540</v>
      </c>
      <c r="N624" s="121">
        <v>18.5</v>
      </c>
      <c r="O624" s="363">
        <v>13930</v>
      </c>
      <c r="P624" s="363">
        <v>11352.9</v>
      </c>
      <c r="Q624" s="121">
        <v>2024</v>
      </c>
      <c r="R624" s="121"/>
      <c r="S624" s="148">
        <v>45450</v>
      </c>
      <c r="T624" s="363">
        <f>Таблица18[[#This Row],[Вес нетто]]-Таблица18[[#This Row],[Зачетный вес]]</f>
        <v>2577.1000000000004</v>
      </c>
      <c r="U624" s="365">
        <f>Таблица18[[#This Row],[Отход]]/Таблица18[[#This Row],[Вес нетто]]</f>
        <v>0.1850035893754487</v>
      </c>
      <c r="V624" s="121">
        <f>MONTH(Таблица18[[#This Row],[Дата акта]])</f>
        <v>6</v>
      </c>
      <c r="W624" s="121">
        <v>7</v>
      </c>
      <c r="X624" s="148">
        <f>DATE(1900,Таблица18[[#This Row],[Месяц]],Таблица18[[#This Row],[Число]])</f>
        <v>159</v>
      </c>
      <c r="Y624" s="121"/>
      <c r="Z624" s="121" t="str">
        <f>Таблица18[[#This Row],[Хар-ка]]</f>
        <v>высший</v>
      </c>
      <c r="AD624" s="459"/>
      <c r="AE624" s="391"/>
    </row>
    <row r="625" spans="1:31" s="325" customFormat="1" ht="15.6" hidden="1" customHeight="1" x14ac:dyDescent="0.2">
      <c r="A625" s="40" t="s">
        <v>2568</v>
      </c>
      <c r="B625" s="360" t="s">
        <v>511</v>
      </c>
      <c r="C625" s="40">
        <v>245</v>
      </c>
      <c r="D625" s="40">
        <v>105</v>
      </c>
      <c r="E625" s="40" t="s">
        <v>78</v>
      </c>
      <c r="F625" s="40" t="s">
        <v>2232</v>
      </c>
      <c r="G625" s="40" t="s">
        <v>2233</v>
      </c>
      <c r="H625" s="40" t="s">
        <v>1757</v>
      </c>
      <c r="I625" s="360" t="e">
        <f>VLOOKUP(Таблица18[[#This Row],[Номер акта]],$AB$1:$AF$1833,3,FALSE)</f>
        <v>#N/A</v>
      </c>
      <c r="J625" s="40" t="s">
        <v>1758</v>
      </c>
      <c r="K625" s="40" t="s">
        <v>82</v>
      </c>
      <c r="L625" s="121">
        <v>28800</v>
      </c>
      <c r="M625" s="121">
        <v>14670</v>
      </c>
      <c r="N625" s="121">
        <v>19.5</v>
      </c>
      <c r="O625" s="363">
        <v>14130</v>
      </c>
      <c r="P625" s="363">
        <v>11374.6</v>
      </c>
      <c r="Q625" s="121">
        <v>2024</v>
      </c>
      <c r="R625" s="121"/>
      <c r="S625" s="148">
        <v>45450</v>
      </c>
      <c r="T625" s="363">
        <f>Таблица18[[#This Row],[Вес нетто]]-Таблица18[[#This Row],[Зачетный вес]]</f>
        <v>2755.3999999999996</v>
      </c>
      <c r="U625" s="365">
        <f>Таблица18[[#This Row],[Отход]]/Таблица18[[#This Row],[Вес нетто]]</f>
        <v>0.19500353857041752</v>
      </c>
      <c r="V625" s="121">
        <f>MONTH(Таблица18[[#This Row],[Дата акта]])</f>
        <v>6</v>
      </c>
      <c r="W625" s="121">
        <v>7</v>
      </c>
      <c r="X625" s="148">
        <f>DATE(1900,Таблица18[[#This Row],[Месяц]],Таблица18[[#This Row],[Число]])</f>
        <v>159</v>
      </c>
      <c r="Y625" s="121"/>
      <c r="Z625" s="121" t="str">
        <f>Таблица18[[#This Row],[Хар-ка]]</f>
        <v>высший</v>
      </c>
      <c r="AD625" s="459"/>
      <c r="AE625" s="391"/>
    </row>
    <row r="626" spans="1:31" s="325" customFormat="1" ht="15.6" hidden="1" customHeight="1" x14ac:dyDescent="0.2">
      <c r="A626" s="40" t="s">
        <v>2569</v>
      </c>
      <c r="B626" s="360" t="s">
        <v>511</v>
      </c>
      <c r="C626" s="40">
        <v>246</v>
      </c>
      <c r="D626" s="40">
        <v>106</v>
      </c>
      <c r="E626" s="40" t="s">
        <v>78</v>
      </c>
      <c r="F626" s="40" t="s">
        <v>239</v>
      </c>
      <c r="G626" s="40" t="s">
        <v>243</v>
      </c>
      <c r="H626" s="40" t="s">
        <v>1757</v>
      </c>
      <c r="I626" s="360" t="e">
        <f>VLOOKUP(Таблица18[[#This Row],[Номер акта]],$AB$1:$AF$1833,3,FALSE)</f>
        <v>#N/A</v>
      </c>
      <c r="J626" s="40" t="s">
        <v>1758</v>
      </c>
      <c r="K626" s="40" t="s">
        <v>82</v>
      </c>
      <c r="L626" s="121">
        <v>29100</v>
      </c>
      <c r="M626" s="121">
        <v>14440</v>
      </c>
      <c r="N626" s="121">
        <v>18.5</v>
      </c>
      <c r="O626" s="363">
        <v>14660</v>
      </c>
      <c r="P626" s="363">
        <v>11947.9</v>
      </c>
      <c r="Q626" s="121">
        <v>2024</v>
      </c>
      <c r="R626" s="121"/>
      <c r="S626" s="148">
        <v>45450</v>
      </c>
      <c r="T626" s="363">
        <f>Таблица18[[#This Row],[Вес нетто]]-Таблица18[[#This Row],[Зачетный вес]]</f>
        <v>2712.1000000000004</v>
      </c>
      <c r="U626" s="365">
        <f>Таблица18[[#This Row],[Отход]]/Таблица18[[#This Row],[Вес нетто]]</f>
        <v>0.18500000000000003</v>
      </c>
      <c r="V626" s="121">
        <f>MONTH(Таблица18[[#This Row],[Дата акта]])</f>
        <v>6</v>
      </c>
      <c r="W626" s="121">
        <v>7</v>
      </c>
      <c r="X626" s="148">
        <f>DATE(1900,Таблица18[[#This Row],[Месяц]],Таблица18[[#This Row],[Число]])</f>
        <v>159</v>
      </c>
      <c r="Y626" s="121"/>
      <c r="Z626" s="121" t="str">
        <f>Таблица18[[#This Row],[Хар-ка]]</f>
        <v>высший</v>
      </c>
      <c r="AD626" s="459"/>
      <c r="AE626" s="391"/>
    </row>
    <row r="627" spans="1:31" s="325" customFormat="1" ht="15.6" hidden="1" customHeight="1" x14ac:dyDescent="0.2">
      <c r="A627" s="40" t="s">
        <v>2570</v>
      </c>
      <c r="B627" s="360" t="s">
        <v>511</v>
      </c>
      <c r="C627" s="40">
        <v>247</v>
      </c>
      <c r="D627" s="40">
        <v>107</v>
      </c>
      <c r="E627" s="40" t="s">
        <v>78</v>
      </c>
      <c r="F627" s="40" t="s">
        <v>121</v>
      </c>
      <c r="G627" s="40" t="s">
        <v>125</v>
      </c>
      <c r="H627" s="40" t="s">
        <v>1757</v>
      </c>
      <c r="I627" s="360" t="e">
        <f>VLOOKUP(Таблица18[[#This Row],[Номер акта]],$AB$1:$AF$1833,3,FALSE)</f>
        <v>#N/A</v>
      </c>
      <c r="J627" s="40" t="s">
        <v>1758</v>
      </c>
      <c r="K627" s="40" t="s">
        <v>82</v>
      </c>
      <c r="L627" s="121">
        <v>29470</v>
      </c>
      <c r="M627" s="121">
        <v>14530</v>
      </c>
      <c r="N627" s="121">
        <v>17.5</v>
      </c>
      <c r="O627" s="363">
        <v>14940</v>
      </c>
      <c r="P627" s="363">
        <v>12325.5</v>
      </c>
      <c r="Q627" s="121">
        <v>2024</v>
      </c>
      <c r="R627" s="121"/>
      <c r="S627" s="148">
        <v>45450</v>
      </c>
      <c r="T627" s="363">
        <f>Таблица18[[#This Row],[Вес нетто]]-Таблица18[[#This Row],[Зачетный вес]]</f>
        <v>2614.5</v>
      </c>
      <c r="U627" s="365">
        <f>Таблица18[[#This Row],[Отход]]/Таблица18[[#This Row],[Вес нетто]]</f>
        <v>0.17499999999999999</v>
      </c>
      <c r="V627" s="121">
        <f>MONTH(Таблица18[[#This Row],[Дата акта]])</f>
        <v>6</v>
      </c>
      <c r="W627" s="121">
        <v>7</v>
      </c>
      <c r="X627" s="148">
        <f>DATE(1900,Таблица18[[#This Row],[Месяц]],Таблица18[[#This Row],[Число]])</f>
        <v>159</v>
      </c>
      <c r="Y627" s="121"/>
      <c r="Z627" s="121" t="str">
        <f>Таблица18[[#This Row],[Хар-ка]]</f>
        <v>высший</v>
      </c>
      <c r="AD627" s="459"/>
      <c r="AE627" s="391"/>
    </row>
    <row r="628" spans="1:31" s="325" customFormat="1" ht="15.6" hidden="1" customHeight="1" x14ac:dyDescent="0.2">
      <c r="A628" s="40" t="s">
        <v>2571</v>
      </c>
      <c r="B628" s="360" t="s">
        <v>511</v>
      </c>
      <c r="C628" s="40">
        <v>248</v>
      </c>
      <c r="D628" s="40">
        <v>108</v>
      </c>
      <c r="E628" s="40" t="s">
        <v>78</v>
      </c>
      <c r="F628" s="40" t="s">
        <v>2232</v>
      </c>
      <c r="G628" s="40" t="s">
        <v>2233</v>
      </c>
      <c r="H628" s="40" t="s">
        <v>1757</v>
      </c>
      <c r="I628" s="360" t="e">
        <f>VLOOKUP(Таблица18[[#This Row],[Номер акта]],$AB$1:$AF$1833,3,FALSE)</f>
        <v>#N/A</v>
      </c>
      <c r="J628" s="40" t="s">
        <v>1758</v>
      </c>
      <c r="K628" s="40" t="s">
        <v>82</v>
      </c>
      <c r="L628" s="121">
        <v>29590</v>
      </c>
      <c r="M628" s="121">
        <v>14660</v>
      </c>
      <c r="N628" s="121">
        <v>14.5</v>
      </c>
      <c r="O628" s="363">
        <v>14930</v>
      </c>
      <c r="P628" s="363">
        <v>12765.1</v>
      </c>
      <c r="Q628" s="121">
        <v>2024</v>
      </c>
      <c r="R628" s="121"/>
      <c r="S628" s="148">
        <v>45450</v>
      </c>
      <c r="T628" s="363">
        <f>Таблица18[[#This Row],[Вес нетто]]-Таблица18[[#This Row],[Зачетный вес]]</f>
        <v>2164.8999999999996</v>
      </c>
      <c r="U628" s="365">
        <f>Таблица18[[#This Row],[Отход]]/Таблица18[[#This Row],[Вес нетто]]</f>
        <v>0.14500334896182182</v>
      </c>
      <c r="V628" s="121">
        <f>MONTH(Таблица18[[#This Row],[Дата акта]])</f>
        <v>6</v>
      </c>
      <c r="W628" s="121">
        <v>7</v>
      </c>
      <c r="X628" s="148">
        <f>DATE(1900,Таблица18[[#This Row],[Месяц]],Таблица18[[#This Row],[Число]])</f>
        <v>159</v>
      </c>
      <c r="Y628" s="121"/>
      <c r="Z628" s="121" t="str">
        <f>Таблица18[[#This Row],[Хар-ка]]</f>
        <v>высший</v>
      </c>
      <c r="AD628" s="459"/>
      <c r="AE628" s="391"/>
    </row>
    <row r="629" spans="1:31" s="325" customFormat="1" ht="15.6" hidden="1" customHeight="1" x14ac:dyDescent="0.2">
      <c r="A629" s="40" t="s">
        <v>2572</v>
      </c>
      <c r="B629" s="360" t="s">
        <v>511</v>
      </c>
      <c r="C629" s="40">
        <v>249</v>
      </c>
      <c r="D629" s="40">
        <v>109</v>
      </c>
      <c r="E629" s="40" t="s">
        <v>78</v>
      </c>
      <c r="F629" s="40" t="s">
        <v>239</v>
      </c>
      <c r="G629" s="40" t="s">
        <v>243</v>
      </c>
      <c r="H629" s="40" t="s">
        <v>1757</v>
      </c>
      <c r="I629" s="360" t="e">
        <f>VLOOKUP(Таблица18[[#This Row],[Номер акта]],$AB$1:$AF$1833,3,FALSE)</f>
        <v>#N/A</v>
      </c>
      <c r="J629" s="40" t="s">
        <v>1758</v>
      </c>
      <c r="K629" s="40" t="s">
        <v>82</v>
      </c>
      <c r="L629" s="121">
        <v>28510</v>
      </c>
      <c r="M629" s="121">
        <v>14430</v>
      </c>
      <c r="N629" s="121">
        <v>12.5</v>
      </c>
      <c r="O629" s="363">
        <v>14080</v>
      </c>
      <c r="P629" s="363">
        <v>12320</v>
      </c>
      <c r="Q629" s="121">
        <v>2024</v>
      </c>
      <c r="R629" s="121"/>
      <c r="S629" s="148">
        <v>45450</v>
      </c>
      <c r="T629" s="363">
        <f>Таблица18[[#This Row],[Вес нетто]]-Таблица18[[#This Row],[Зачетный вес]]</f>
        <v>1760</v>
      </c>
      <c r="U629" s="365">
        <f>Таблица18[[#This Row],[Отход]]/Таблица18[[#This Row],[Вес нетто]]</f>
        <v>0.125</v>
      </c>
      <c r="V629" s="121">
        <f>MONTH(Таблица18[[#This Row],[Дата акта]])</f>
        <v>6</v>
      </c>
      <c r="W629" s="121">
        <v>7</v>
      </c>
      <c r="X629" s="148">
        <f>DATE(1900,Таблица18[[#This Row],[Месяц]],Таблица18[[#This Row],[Число]])</f>
        <v>159</v>
      </c>
      <c r="Y629" s="121"/>
      <c r="Z629" s="121" t="str">
        <f>Таблица18[[#This Row],[Хар-ка]]</f>
        <v>высший</v>
      </c>
      <c r="AD629" s="459"/>
      <c r="AE629" s="391"/>
    </row>
    <row r="630" spans="1:31" s="325" customFormat="1" ht="15.6" hidden="1" customHeight="1" x14ac:dyDescent="0.2">
      <c r="A630" s="40" t="s">
        <v>2573</v>
      </c>
      <c r="B630" s="360" t="s">
        <v>511</v>
      </c>
      <c r="C630" s="40">
        <v>250</v>
      </c>
      <c r="D630" s="40">
        <v>110</v>
      </c>
      <c r="E630" s="40" t="s">
        <v>78</v>
      </c>
      <c r="F630" s="40" t="s">
        <v>121</v>
      </c>
      <c r="G630" s="40" t="s">
        <v>125</v>
      </c>
      <c r="H630" s="40" t="s">
        <v>1757</v>
      </c>
      <c r="I630" s="360" t="e">
        <f>VLOOKUP(Таблица18[[#This Row],[Номер акта]],$AB$1:$AF$1833,3,FALSE)</f>
        <v>#N/A</v>
      </c>
      <c r="J630" s="40" t="s">
        <v>1755</v>
      </c>
      <c r="K630" s="40" t="s">
        <v>82</v>
      </c>
      <c r="L630" s="121">
        <v>28670</v>
      </c>
      <c r="M630" s="121">
        <v>21590</v>
      </c>
      <c r="N630" s="121">
        <v>15.5</v>
      </c>
      <c r="O630" s="363">
        <v>7080</v>
      </c>
      <c r="P630" s="363">
        <v>5982.6</v>
      </c>
      <c r="Q630" s="121">
        <v>2024</v>
      </c>
      <c r="R630" s="121"/>
      <c r="S630" s="148">
        <v>45451</v>
      </c>
      <c r="T630" s="363">
        <f>Таблица18[[#This Row],[Вес нетто]]-Таблица18[[#This Row],[Зачетный вес]]</f>
        <v>1097.3999999999996</v>
      </c>
      <c r="U630" s="365">
        <f>Таблица18[[#This Row],[Отход]]/Таблица18[[#This Row],[Вес нетто]]</f>
        <v>0.15499999999999994</v>
      </c>
      <c r="V630" s="121">
        <f>MONTH(Таблица18[[#This Row],[Дата акта]])</f>
        <v>6</v>
      </c>
      <c r="W630" s="121">
        <v>8</v>
      </c>
      <c r="X630" s="148">
        <f>DATE(1900,Таблица18[[#This Row],[Месяц]],Таблица18[[#This Row],[Число]])</f>
        <v>160</v>
      </c>
      <c r="Y630" s="121"/>
      <c r="Z630" s="121" t="str">
        <f>Таблица18[[#This Row],[Хар-ка]]</f>
        <v>высший</v>
      </c>
      <c r="AD630" s="459"/>
      <c r="AE630" s="391"/>
    </row>
    <row r="631" spans="1:31" s="325" customFormat="1" ht="15.6" hidden="1" customHeight="1" x14ac:dyDescent="0.2">
      <c r="A631" s="40" t="s">
        <v>2574</v>
      </c>
      <c r="B631" s="360" t="s">
        <v>511</v>
      </c>
      <c r="C631" s="40">
        <v>251</v>
      </c>
      <c r="D631" s="40">
        <v>110</v>
      </c>
      <c r="E631" s="40" t="s">
        <v>78</v>
      </c>
      <c r="F631" s="40" t="s">
        <v>121</v>
      </c>
      <c r="G631" s="40" t="s">
        <v>125</v>
      </c>
      <c r="H631" s="40" t="s">
        <v>1757</v>
      </c>
      <c r="I631" s="360" t="e">
        <f>VLOOKUP(Таблица18[[#This Row],[Номер акта]],$AB$1:$AF$1833,3,FALSE)</f>
        <v>#N/A</v>
      </c>
      <c r="J631" s="40" t="s">
        <v>1758</v>
      </c>
      <c r="K631" s="40" t="s">
        <v>82</v>
      </c>
      <c r="L631" s="121">
        <v>21590</v>
      </c>
      <c r="M631" s="121">
        <v>14530</v>
      </c>
      <c r="N631" s="121">
        <v>13.5</v>
      </c>
      <c r="O631" s="363">
        <v>7060</v>
      </c>
      <c r="P631" s="363">
        <v>6106.9</v>
      </c>
      <c r="Q631" s="121">
        <v>2024</v>
      </c>
      <c r="R631" s="121"/>
      <c r="S631" s="148">
        <v>45451</v>
      </c>
      <c r="T631" s="363">
        <f>Таблица18[[#This Row],[Вес нетто]]-Таблица18[[#This Row],[Зачетный вес]]</f>
        <v>953.10000000000036</v>
      </c>
      <c r="U631" s="365">
        <f>Таблица18[[#This Row],[Отход]]/Таблица18[[#This Row],[Вес нетто]]</f>
        <v>0.13500000000000006</v>
      </c>
      <c r="V631" s="121">
        <f>MONTH(Таблица18[[#This Row],[Дата акта]])</f>
        <v>6</v>
      </c>
      <c r="W631" s="121">
        <v>8</v>
      </c>
      <c r="X631" s="148">
        <f>DATE(1900,Таблица18[[#This Row],[Месяц]],Таблица18[[#This Row],[Число]])</f>
        <v>160</v>
      </c>
      <c r="Y631" s="121"/>
      <c r="Z631" s="121" t="str">
        <f>Таблица18[[#This Row],[Хар-ка]]</f>
        <v>высший</v>
      </c>
      <c r="AD631" s="459"/>
      <c r="AE631" s="391"/>
    </row>
    <row r="632" spans="1:31" s="325" customFormat="1" ht="15.6" hidden="1" customHeight="1" x14ac:dyDescent="0.2">
      <c r="A632" s="40" t="s">
        <v>2575</v>
      </c>
      <c r="B632" s="360" t="s">
        <v>511</v>
      </c>
      <c r="C632" s="40">
        <v>252</v>
      </c>
      <c r="D632" s="40">
        <v>111</v>
      </c>
      <c r="E632" s="40" t="s">
        <v>78</v>
      </c>
      <c r="F632" s="40" t="s">
        <v>2232</v>
      </c>
      <c r="G632" s="40" t="s">
        <v>2233</v>
      </c>
      <c r="H632" s="40" t="s">
        <v>1757</v>
      </c>
      <c r="I632" s="360" t="e">
        <f>VLOOKUP(Таблица18[[#This Row],[Номер акта]],$AB$1:$AF$1833,3,FALSE)</f>
        <v>#N/A</v>
      </c>
      <c r="J632" s="40" t="s">
        <v>1755</v>
      </c>
      <c r="K632" s="40" t="s">
        <v>82</v>
      </c>
      <c r="L632" s="121">
        <v>28680</v>
      </c>
      <c r="M632" s="121">
        <v>14720</v>
      </c>
      <c r="N632" s="121">
        <v>30.5</v>
      </c>
      <c r="O632" s="363">
        <v>13960</v>
      </c>
      <c r="P632" s="363">
        <v>9702.2000000000007</v>
      </c>
      <c r="Q632" s="121">
        <v>2024</v>
      </c>
      <c r="R632" s="121"/>
      <c r="S632" s="148">
        <v>45451</v>
      </c>
      <c r="T632" s="363">
        <f>Таблица18[[#This Row],[Вес нетто]]-Таблица18[[#This Row],[Зачетный вес]]</f>
        <v>4257.7999999999993</v>
      </c>
      <c r="U632" s="365">
        <f>Таблица18[[#This Row],[Отход]]/Таблица18[[#This Row],[Вес нетто]]</f>
        <v>0.30499999999999994</v>
      </c>
      <c r="V632" s="121">
        <f>MONTH(Таблица18[[#This Row],[Дата акта]])</f>
        <v>6</v>
      </c>
      <c r="W632" s="121">
        <v>8</v>
      </c>
      <c r="X632" s="148">
        <f>DATE(1900,Таблица18[[#This Row],[Месяц]],Таблица18[[#This Row],[Число]])</f>
        <v>160</v>
      </c>
      <c r="Y632" s="121"/>
      <c r="Z632" s="121" t="str">
        <f>Таблица18[[#This Row],[Хар-ка]]</f>
        <v>высший</v>
      </c>
      <c r="AD632" s="459"/>
      <c r="AE632" s="391"/>
    </row>
    <row r="633" spans="1:31" s="325" customFormat="1" ht="15.6" hidden="1" customHeight="1" x14ac:dyDescent="0.2">
      <c r="A633" s="40" t="s">
        <v>2576</v>
      </c>
      <c r="B633" s="360" t="s">
        <v>511</v>
      </c>
      <c r="C633" s="40">
        <v>253</v>
      </c>
      <c r="D633" s="40">
        <v>112</v>
      </c>
      <c r="E633" s="40" t="s">
        <v>78</v>
      </c>
      <c r="F633" s="40" t="s">
        <v>239</v>
      </c>
      <c r="G633" s="40" t="s">
        <v>243</v>
      </c>
      <c r="H633" s="40" t="s">
        <v>1757</v>
      </c>
      <c r="I633" s="360" t="e">
        <f>VLOOKUP(Таблица18[[#This Row],[Номер акта]],$AB$1:$AF$1833,3,FALSE)</f>
        <v>#N/A</v>
      </c>
      <c r="J633" s="40" t="s">
        <v>1755</v>
      </c>
      <c r="K633" s="40" t="s">
        <v>82</v>
      </c>
      <c r="L633" s="121">
        <v>28260</v>
      </c>
      <c r="M633" s="121">
        <v>14450</v>
      </c>
      <c r="N633" s="121">
        <v>23.5</v>
      </c>
      <c r="O633" s="363">
        <v>13810</v>
      </c>
      <c r="P633" s="363">
        <v>10564.6</v>
      </c>
      <c r="Q633" s="121">
        <v>2024</v>
      </c>
      <c r="R633" s="121"/>
      <c r="S633" s="148">
        <v>45451</v>
      </c>
      <c r="T633" s="363">
        <f>Таблица18[[#This Row],[Вес нетто]]-Таблица18[[#This Row],[Зачетный вес]]</f>
        <v>3245.3999999999996</v>
      </c>
      <c r="U633" s="365">
        <f>Таблица18[[#This Row],[Отход]]/Таблица18[[#This Row],[Вес нетто]]</f>
        <v>0.23500362056480809</v>
      </c>
      <c r="V633" s="121">
        <f>MONTH(Таблица18[[#This Row],[Дата акта]])</f>
        <v>6</v>
      </c>
      <c r="W633" s="121">
        <v>8</v>
      </c>
      <c r="X633" s="148">
        <f>DATE(1900,Таблица18[[#This Row],[Месяц]],Таблица18[[#This Row],[Число]])</f>
        <v>160</v>
      </c>
      <c r="Y633" s="121"/>
      <c r="Z633" s="121" t="str">
        <f>Таблица18[[#This Row],[Хар-ка]]</f>
        <v>высший</v>
      </c>
      <c r="AD633" s="459"/>
      <c r="AE633" s="391"/>
    </row>
    <row r="634" spans="1:31" s="325" customFormat="1" ht="15.6" hidden="1" customHeight="1" x14ac:dyDescent="0.2">
      <c r="A634" s="40" t="s">
        <v>2577</v>
      </c>
      <c r="B634" s="360" t="s">
        <v>511</v>
      </c>
      <c r="C634" s="40">
        <v>254</v>
      </c>
      <c r="D634" s="40">
        <v>113</v>
      </c>
      <c r="E634" s="40" t="s">
        <v>78</v>
      </c>
      <c r="F634" s="40" t="s">
        <v>121</v>
      </c>
      <c r="G634" s="40" t="s">
        <v>125</v>
      </c>
      <c r="H634" s="40" t="s">
        <v>1757</v>
      </c>
      <c r="I634" s="360" t="e">
        <f>VLOOKUP(Таблица18[[#This Row],[Номер акта]],$AB$1:$AF$1833,3,FALSE)</f>
        <v>#N/A</v>
      </c>
      <c r="J634" s="40" t="s">
        <v>1755</v>
      </c>
      <c r="K634" s="40" t="s">
        <v>82</v>
      </c>
      <c r="L634" s="121">
        <v>28330</v>
      </c>
      <c r="M634" s="121">
        <v>14540</v>
      </c>
      <c r="N634" s="121">
        <v>30.5</v>
      </c>
      <c r="O634" s="363">
        <v>13790</v>
      </c>
      <c r="P634" s="363">
        <v>9584</v>
      </c>
      <c r="Q634" s="121">
        <v>2024</v>
      </c>
      <c r="R634" s="121"/>
      <c r="S634" s="148">
        <v>45451</v>
      </c>
      <c r="T634" s="363">
        <f>Таблица18[[#This Row],[Вес нетто]]-Таблица18[[#This Row],[Зачетный вес]]</f>
        <v>4206</v>
      </c>
      <c r="U634" s="365">
        <f>Таблица18[[#This Row],[Отход]]/Таблица18[[#This Row],[Вес нетто]]</f>
        <v>0.30500362581580853</v>
      </c>
      <c r="V634" s="121">
        <f>MONTH(Таблица18[[#This Row],[Дата акта]])</f>
        <v>6</v>
      </c>
      <c r="W634" s="121">
        <v>8</v>
      </c>
      <c r="X634" s="148">
        <f>DATE(1900,Таблица18[[#This Row],[Месяц]],Таблица18[[#This Row],[Число]])</f>
        <v>160</v>
      </c>
      <c r="Y634" s="121"/>
      <c r="Z634" s="121" t="str">
        <f>Таблица18[[#This Row],[Хар-ка]]</f>
        <v>высший</v>
      </c>
      <c r="AD634" s="459"/>
      <c r="AE634" s="391"/>
    </row>
    <row r="635" spans="1:31" s="325" customFormat="1" ht="15.6" hidden="1" customHeight="1" x14ac:dyDescent="0.2">
      <c r="A635" s="40" t="s">
        <v>2578</v>
      </c>
      <c r="B635" s="360" t="s">
        <v>511</v>
      </c>
      <c r="C635" s="40">
        <v>255</v>
      </c>
      <c r="D635" s="40">
        <v>114</v>
      </c>
      <c r="E635" s="40" t="s">
        <v>78</v>
      </c>
      <c r="F635" s="40" t="s">
        <v>2232</v>
      </c>
      <c r="G635" s="40" t="s">
        <v>2233</v>
      </c>
      <c r="H635" s="40" t="s">
        <v>1757</v>
      </c>
      <c r="I635" s="360" t="e">
        <f>VLOOKUP(Таблица18[[#This Row],[Номер акта]],$AB$1:$AF$1833,3,FALSE)</f>
        <v>#N/A</v>
      </c>
      <c r="J635" s="40" t="s">
        <v>1755</v>
      </c>
      <c r="K635" s="40" t="s">
        <v>82</v>
      </c>
      <c r="L635" s="121">
        <v>23240</v>
      </c>
      <c r="M635" s="121">
        <v>14690</v>
      </c>
      <c r="N635" s="121">
        <v>28.5</v>
      </c>
      <c r="O635" s="363">
        <v>8550</v>
      </c>
      <c r="P635" s="363">
        <v>6113.2</v>
      </c>
      <c r="Q635" s="121">
        <v>2024</v>
      </c>
      <c r="R635" s="121"/>
      <c r="S635" s="148">
        <v>45451</v>
      </c>
      <c r="T635" s="363">
        <f>Таблица18[[#This Row],[Вес нетто]]-Таблица18[[#This Row],[Зачетный вес]]</f>
        <v>2436.8000000000002</v>
      </c>
      <c r="U635" s="365">
        <f>Таблица18[[#This Row],[Отход]]/Таблица18[[#This Row],[Вес нетто]]</f>
        <v>0.28500584795321637</v>
      </c>
      <c r="V635" s="121">
        <f>MONTH(Таблица18[[#This Row],[Дата акта]])</f>
        <v>6</v>
      </c>
      <c r="W635" s="121">
        <v>8</v>
      </c>
      <c r="X635" s="148">
        <f>DATE(1900,Таблица18[[#This Row],[Месяц]],Таблица18[[#This Row],[Число]])</f>
        <v>160</v>
      </c>
      <c r="Y635" s="121"/>
      <c r="Z635" s="121" t="str">
        <f>Таблица18[[#This Row],[Хар-ка]]</f>
        <v>высший</v>
      </c>
      <c r="AD635" s="459"/>
      <c r="AE635" s="391"/>
    </row>
    <row r="636" spans="1:31" s="325" customFormat="1" ht="15.6" hidden="1" customHeight="1" x14ac:dyDescent="0.2">
      <c r="A636" s="40" t="s">
        <v>2579</v>
      </c>
      <c r="B636" s="360" t="s">
        <v>511</v>
      </c>
      <c r="C636" s="40">
        <v>256</v>
      </c>
      <c r="D636" s="40">
        <v>115</v>
      </c>
      <c r="E636" s="40" t="s">
        <v>78</v>
      </c>
      <c r="F636" s="40" t="s">
        <v>2750</v>
      </c>
      <c r="G636" s="40" t="s">
        <v>2751</v>
      </c>
      <c r="H636" s="40" t="s">
        <v>1757</v>
      </c>
      <c r="I636" s="360" t="e">
        <f>VLOOKUP(Таблица18[[#This Row],[Номер акта]],$AB$1:$AF$1833,3,FALSE)</f>
        <v>#N/A</v>
      </c>
      <c r="J636" s="40" t="s">
        <v>1755</v>
      </c>
      <c r="K636" s="40" t="s">
        <v>82</v>
      </c>
      <c r="L636" s="121">
        <v>33120</v>
      </c>
      <c r="M636" s="121">
        <v>17260</v>
      </c>
      <c r="N636" s="121">
        <v>19.5</v>
      </c>
      <c r="O636" s="363">
        <v>15860</v>
      </c>
      <c r="P636" s="363">
        <v>12767.3</v>
      </c>
      <c r="Q636" s="121">
        <v>2024</v>
      </c>
      <c r="R636" s="121"/>
      <c r="S636" s="148">
        <v>45451</v>
      </c>
      <c r="T636" s="363">
        <f>Таблица18[[#This Row],[Вес нетто]]-Таблица18[[#This Row],[Зачетный вес]]</f>
        <v>3092.7000000000007</v>
      </c>
      <c r="U636" s="365">
        <f>Таблица18[[#This Row],[Отход]]/Таблица18[[#This Row],[Вес нетто]]</f>
        <v>0.19500000000000003</v>
      </c>
      <c r="V636" s="121">
        <f>MONTH(Таблица18[[#This Row],[Дата акта]])</f>
        <v>6</v>
      </c>
      <c r="W636" s="121">
        <v>8</v>
      </c>
      <c r="X636" s="148">
        <f>DATE(1900,Таблица18[[#This Row],[Месяц]],Таблица18[[#This Row],[Число]])</f>
        <v>160</v>
      </c>
      <c r="Y636" s="121"/>
      <c r="Z636" s="121" t="str">
        <f>Таблица18[[#This Row],[Хар-ка]]</f>
        <v>высший</v>
      </c>
      <c r="AD636" s="459"/>
      <c r="AE636" s="391"/>
    </row>
    <row r="637" spans="1:31" s="325" customFormat="1" ht="15.6" hidden="1" customHeight="1" x14ac:dyDescent="0.2">
      <c r="A637" s="40" t="s">
        <v>2580</v>
      </c>
      <c r="B637" s="360" t="s">
        <v>511</v>
      </c>
      <c r="C637" s="40">
        <v>257</v>
      </c>
      <c r="D637" s="40">
        <v>116</v>
      </c>
      <c r="E637" s="40" t="s">
        <v>78</v>
      </c>
      <c r="F637" s="40" t="s">
        <v>2155</v>
      </c>
      <c r="G637" s="40" t="s">
        <v>320</v>
      </c>
      <c r="H637" s="40" t="s">
        <v>1757</v>
      </c>
      <c r="I637" s="360" t="e">
        <f>VLOOKUP(Таблица18[[#This Row],[Номер акта]],$AB$1:$AF$1833,3,FALSE)</f>
        <v>#N/A</v>
      </c>
      <c r="J637" s="40" t="s">
        <v>1755</v>
      </c>
      <c r="K637" s="40" t="s">
        <v>82</v>
      </c>
      <c r="L637" s="121">
        <v>28190</v>
      </c>
      <c r="M637" s="121">
        <v>14410</v>
      </c>
      <c r="N637" s="121">
        <v>25.5</v>
      </c>
      <c r="O637" s="363">
        <v>13780</v>
      </c>
      <c r="P637" s="363">
        <v>10266.1</v>
      </c>
      <c r="Q637" s="121">
        <v>2024</v>
      </c>
      <c r="R637" s="121"/>
      <c r="S637" s="148">
        <v>45451</v>
      </c>
      <c r="T637" s="363">
        <f>Таблица18[[#This Row],[Вес нетто]]-Таблица18[[#This Row],[Зачетный вес]]</f>
        <v>3513.8999999999996</v>
      </c>
      <c r="U637" s="365">
        <f>Таблица18[[#This Row],[Отход]]/Таблица18[[#This Row],[Вес нетто]]</f>
        <v>0.25499999999999995</v>
      </c>
      <c r="V637" s="121">
        <f>MONTH(Таблица18[[#This Row],[Дата акта]])</f>
        <v>6</v>
      </c>
      <c r="W637" s="121">
        <v>8</v>
      </c>
      <c r="X637" s="148">
        <f>DATE(1900,Таблица18[[#This Row],[Месяц]],Таблица18[[#This Row],[Число]])</f>
        <v>160</v>
      </c>
      <c r="Y637" s="121"/>
      <c r="Z637" s="121" t="str">
        <f>Таблица18[[#This Row],[Хар-ка]]</f>
        <v>высший</v>
      </c>
      <c r="AD637" s="459"/>
      <c r="AE637" s="391"/>
    </row>
    <row r="638" spans="1:31" s="325" customFormat="1" ht="15.6" hidden="1" customHeight="1" x14ac:dyDescent="0.2">
      <c r="A638" s="40" t="s">
        <v>2581</v>
      </c>
      <c r="B638" s="360" t="s">
        <v>511</v>
      </c>
      <c r="C638" s="40">
        <v>258</v>
      </c>
      <c r="D638" s="40">
        <v>117</v>
      </c>
      <c r="E638" s="40" t="s">
        <v>78</v>
      </c>
      <c r="F638" s="40" t="s">
        <v>212</v>
      </c>
      <c r="G638" s="40" t="s">
        <v>216</v>
      </c>
      <c r="H638" s="40" t="s">
        <v>1757</v>
      </c>
      <c r="I638" s="360" t="e">
        <f>VLOOKUP(Таблица18[[#This Row],[Номер акта]],$AB$1:$AF$1833,3,FALSE)</f>
        <v>#N/A</v>
      </c>
      <c r="J638" s="40" t="s">
        <v>1755</v>
      </c>
      <c r="K638" s="40" t="s">
        <v>82</v>
      </c>
      <c r="L638" s="121">
        <v>27730</v>
      </c>
      <c r="M638" s="121">
        <v>13940</v>
      </c>
      <c r="N638" s="121">
        <v>28.5</v>
      </c>
      <c r="O638" s="363">
        <v>13790</v>
      </c>
      <c r="P638" s="363">
        <v>9859.7999999999993</v>
      </c>
      <c r="Q638" s="121">
        <v>2024</v>
      </c>
      <c r="R638" s="121"/>
      <c r="S638" s="148">
        <v>45451</v>
      </c>
      <c r="T638" s="363">
        <f>Таблица18[[#This Row],[Вес нетто]]-Таблица18[[#This Row],[Зачетный вес]]</f>
        <v>3930.2000000000007</v>
      </c>
      <c r="U638" s="365">
        <f>Таблица18[[#This Row],[Отход]]/Таблица18[[#This Row],[Вес нетто]]</f>
        <v>0.28500362581580863</v>
      </c>
      <c r="V638" s="121">
        <f>MONTH(Таблица18[[#This Row],[Дата акта]])</f>
        <v>6</v>
      </c>
      <c r="W638" s="121">
        <v>8</v>
      </c>
      <c r="X638" s="148">
        <f>DATE(1900,Таблица18[[#This Row],[Месяц]],Таблица18[[#This Row],[Число]])</f>
        <v>160</v>
      </c>
      <c r="Y638" s="121"/>
      <c r="Z638" s="121" t="str">
        <f>Таблица18[[#This Row],[Хар-ка]]</f>
        <v>высший</v>
      </c>
      <c r="AD638" s="459"/>
      <c r="AE638" s="391"/>
    </row>
    <row r="639" spans="1:31" s="325" customFormat="1" ht="15.6" hidden="1" customHeight="1" x14ac:dyDescent="0.2">
      <c r="A639" s="40" t="s">
        <v>2582</v>
      </c>
      <c r="B639" s="360" t="s">
        <v>511</v>
      </c>
      <c r="C639" s="40">
        <v>259</v>
      </c>
      <c r="D639" s="40">
        <v>118</v>
      </c>
      <c r="E639" s="40" t="s">
        <v>78</v>
      </c>
      <c r="F639" s="40" t="s">
        <v>2750</v>
      </c>
      <c r="G639" s="40" t="s">
        <v>2751</v>
      </c>
      <c r="H639" s="40" t="s">
        <v>1757</v>
      </c>
      <c r="I639" s="360" t="e">
        <f>VLOOKUP(Таблица18[[#This Row],[Номер акта]],$AB$1:$AF$1833,3,FALSE)</f>
        <v>#N/A</v>
      </c>
      <c r="J639" s="40" t="s">
        <v>1758</v>
      </c>
      <c r="K639" s="40" t="s">
        <v>82</v>
      </c>
      <c r="L639" s="121">
        <v>33970</v>
      </c>
      <c r="M639" s="121">
        <v>24620</v>
      </c>
      <c r="N639" s="121">
        <v>16.5</v>
      </c>
      <c r="O639" s="363">
        <v>9350</v>
      </c>
      <c r="P639" s="363">
        <v>7807.2</v>
      </c>
      <c r="Q639" s="121">
        <v>2024</v>
      </c>
      <c r="R639" s="121"/>
      <c r="S639" s="148">
        <v>45451</v>
      </c>
      <c r="T639" s="363">
        <f>Таблица18[[#This Row],[Вес нетто]]-Таблица18[[#This Row],[Зачетный вес]]</f>
        <v>1542.8000000000002</v>
      </c>
      <c r="U639" s="365">
        <f>Таблица18[[#This Row],[Отход]]/Таблица18[[#This Row],[Вес нетто]]</f>
        <v>0.1650053475935829</v>
      </c>
      <c r="V639" s="121">
        <f>MONTH(Таблица18[[#This Row],[Дата акта]])</f>
        <v>6</v>
      </c>
      <c r="W639" s="121">
        <v>8</v>
      </c>
      <c r="X639" s="148">
        <f>DATE(1900,Таблица18[[#This Row],[Месяц]],Таблица18[[#This Row],[Число]])</f>
        <v>160</v>
      </c>
      <c r="Y639" s="121"/>
      <c r="Z639" s="121" t="str">
        <f>Таблица18[[#This Row],[Хар-ка]]</f>
        <v>высший</v>
      </c>
      <c r="AD639" s="459"/>
      <c r="AE639" s="391"/>
    </row>
    <row r="640" spans="1:31" s="325" customFormat="1" ht="15.6" hidden="1" customHeight="1" x14ac:dyDescent="0.2">
      <c r="A640" s="40" t="s">
        <v>2583</v>
      </c>
      <c r="B640" s="360" t="s">
        <v>511</v>
      </c>
      <c r="C640" s="40">
        <v>260</v>
      </c>
      <c r="D640" s="40">
        <v>118</v>
      </c>
      <c r="E640" s="40" t="s">
        <v>78</v>
      </c>
      <c r="F640" s="40" t="s">
        <v>2750</v>
      </c>
      <c r="G640" s="40" t="s">
        <v>2751</v>
      </c>
      <c r="H640" s="40" t="s">
        <v>1757</v>
      </c>
      <c r="I640" s="360" t="e">
        <f>VLOOKUP(Таблица18[[#This Row],[Номер акта]],$AB$1:$AF$1833,3,FALSE)</f>
        <v>#N/A</v>
      </c>
      <c r="J640" s="40" t="s">
        <v>1755</v>
      </c>
      <c r="K640" s="40" t="s">
        <v>82</v>
      </c>
      <c r="L640" s="121">
        <v>24620</v>
      </c>
      <c r="M640" s="121">
        <v>17230</v>
      </c>
      <c r="N640" s="121">
        <v>23.5</v>
      </c>
      <c r="O640" s="363">
        <v>7390</v>
      </c>
      <c r="P640" s="363">
        <v>5653.3</v>
      </c>
      <c r="Q640" s="121">
        <v>2024</v>
      </c>
      <c r="R640" s="121"/>
      <c r="S640" s="148">
        <v>45451</v>
      </c>
      <c r="T640" s="363">
        <f>Таблица18[[#This Row],[Вес нетто]]-Таблица18[[#This Row],[Зачетный вес]]</f>
        <v>1736.6999999999998</v>
      </c>
      <c r="U640" s="365">
        <f>Таблица18[[#This Row],[Отход]]/Таблица18[[#This Row],[Вес нетто]]</f>
        <v>0.23500676589986466</v>
      </c>
      <c r="V640" s="121">
        <f>MONTH(Таблица18[[#This Row],[Дата акта]])</f>
        <v>6</v>
      </c>
      <c r="W640" s="121">
        <v>8</v>
      </c>
      <c r="X640" s="148">
        <f>DATE(1900,Таблица18[[#This Row],[Месяц]],Таблица18[[#This Row],[Число]])</f>
        <v>160</v>
      </c>
      <c r="Y640" s="121"/>
      <c r="Z640" s="121" t="str">
        <f>Таблица18[[#This Row],[Хар-ка]]</f>
        <v>высший</v>
      </c>
      <c r="AD640" s="459"/>
      <c r="AE640" s="391"/>
    </row>
    <row r="641" spans="1:31" s="325" customFormat="1" ht="15.6" hidden="1" customHeight="1" x14ac:dyDescent="0.2">
      <c r="A641" s="40" t="s">
        <v>2584</v>
      </c>
      <c r="B641" s="360" t="s">
        <v>511</v>
      </c>
      <c r="C641" s="40">
        <v>261</v>
      </c>
      <c r="D641" s="40">
        <v>119</v>
      </c>
      <c r="E641" s="40" t="s">
        <v>78</v>
      </c>
      <c r="F641" s="40" t="s">
        <v>2155</v>
      </c>
      <c r="G641" s="40" t="s">
        <v>320</v>
      </c>
      <c r="H641" s="40" t="s">
        <v>1757</v>
      </c>
      <c r="I641" s="360" t="e">
        <f>VLOOKUP(Таблица18[[#This Row],[Номер акта]],$AB$1:$AF$1833,3,FALSE)</f>
        <v>#N/A</v>
      </c>
      <c r="J641" s="40" t="s">
        <v>1758</v>
      </c>
      <c r="K641" s="40" t="s">
        <v>82</v>
      </c>
      <c r="L641" s="121">
        <v>28100</v>
      </c>
      <c r="M641" s="121">
        <v>14390</v>
      </c>
      <c r="N641" s="121">
        <v>18.5</v>
      </c>
      <c r="O641" s="363">
        <v>13710</v>
      </c>
      <c r="P641" s="363">
        <v>11173.6</v>
      </c>
      <c r="Q641" s="121">
        <v>2024</v>
      </c>
      <c r="R641" s="121"/>
      <c r="S641" s="148">
        <v>45451</v>
      </c>
      <c r="T641" s="363">
        <f>Таблица18[[#This Row],[Вес нетто]]-Таблица18[[#This Row],[Зачетный вес]]</f>
        <v>2536.3999999999996</v>
      </c>
      <c r="U641" s="365">
        <f>Таблица18[[#This Row],[Отход]]/Таблица18[[#This Row],[Вес нетто]]</f>
        <v>0.18500364697301239</v>
      </c>
      <c r="V641" s="121">
        <f>MONTH(Таблица18[[#This Row],[Дата акта]])</f>
        <v>6</v>
      </c>
      <c r="W641" s="121">
        <v>8</v>
      </c>
      <c r="X641" s="148">
        <f>DATE(1900,Таблица18[[#This Row],[Месяц]],Таблица18[[#This Row],[Число]])</f>
        <v>160</v>
      </c>
      <c r="Y641" s="121"/>
      <c r="Z641" s="121" t="str">
        <f>Таблица18[[#This Row],[Хар-ка]]</f>
        <v>высший</v>
      </c>
      <c r="AD641" s="459"/>
      <c r="AE641" s="391"/>
    </row>
    <row r="642" spans="1:31" s="325" customFormat="1" ht="15.6" hidden="1" customHeight="1" x14ac:dyDescent="0.2">
      <c r="A642" s="40" t="s">
        <v>2585</v>
      </c>
      <c r="B642" s="360" t="s">
        <v>511</v>
      </c>
      <c r="C642" s="40">
        <v>262</v>
      </c>
      <c r="D642" s="40">
        <v>120</v>
      </c>
      <c r="E642" s="40" t="s">
        <v>78</v>
      </c>
      <c r="F642" s="40" t="s">
        <v>212</v>
      </c>
      <c r="G642" s="40" t="s">
        <v>216</v>
      </c>
      <c r="H642" s="40" t="s">
        <v>1757</v>
      </c>
      <c r="I642" s="360" t="e">
        <f>VLOOKUP(Таблица18[[#This Row],[Номер акта]],$AB$1:$AF$1833,3,FALSE)</f>
        <v>#N/A</v>
      </c>
      <c r="J642" s="40" t="s">
        <v>1758</v>
      </c>
      <c r="K642" s="40" t="s">
        <v>82</v>
      </c>
      <c r="L642" s="121">
        <v>25650</v>
      </c>
      <c r="M642" s="121">
        <v>13920</v>
      </c>
      <c r="N642" s="121">
        <v>23</v>
      </c>
      <c r="O642" s="363">
        <v>11730</v>
      </c>
      <c r="P642" s="363">
        <v>9032.1</v>
      </c>
      <c r="Q642" s="121">
        <v>2024</v>
      </c>
      <c r="R642" s="121"/>
      <c r="S642" s="148">
        <v>45451</v>
      </c>
      <c r="T642" s="363">
        <f>Таблица18[[#This Row],[Вес нетто]]-Таблица18[[#This Row],[Зачетный вес]]</f>
        <v>2697.8999999999996</v>
      </c>
      <c r="U642" s="365">
        <f>Таблица18[[#This Row],[Отход]]/Таблица18[[#This Row],[Вес нетто]]</f>
        <v>0.22999999999999998</v>
      </c>
      <c r="V642" s="121">
        <f>MONTH(Таблица18[[#This Row],[Дата акта]])</f>
        <v>6</v>
      </c>
      <c r="W642" s="121">
        <v>8</v>
      </c>
      <c r="X642" s="148">
        <f>DATE(1900,Таблица18[[#This Row],[Месяц]],Таблица18[[#This Row],[Число]])</f>
        <v>160</v>
      </c>
      <c r="Y642" s="121"/>
      <c r="Z642" s="121" t="str">
        <f>Таблица18[[#This Row],[Хар-ка]]</f>
        <v>высший</v>
      </c>
      <c r="AD642" s="459"/>
      <c r="AE642" s="391"/>
    </row>
    <row r="643" spans="1:31" s="325" customFormat="1" ht="15.6" hidden="1" customHeight="1" x14ac:dyDescent="0.2">
      <c r="A643" s="40" t="s">
        <v>2586</v>
      </c>
      <c r="B643" s="360" t="s">
        <v>511</v>
      </c>
      <c r="C643" s="40">
        <v>263</v>
      </c>
      <c r="D643" s="40">
        <v>1</v>
      </c>
      <c r="E643" s="40" t="s">
        <v>2754</v>
      </c>
      <c r="F643" s="40" t="s">
        <v>212</v>
      </c>
      <c r="G643" s="40" t="s">
        <v>216</v>
      </c>
      <c r="H643" s="40" t="s">
        <v>2755</v>
      </c>
      <c r="I643" s="360" t="e">
        <f>VLOOKUP(Таблица18[[#This Row],[Номер акта]],$AB$1:$AF$1833,3,FALSE)</f>
        <v>#N/A</v>
      </c>
      <c r="J643" s="40" t="s">
        <v>1760</v>
      </c>
      <c r="K643" s="40" t="s">
        <v>82</v>
      </c>
      <c r="L643" s="121">
        <v>26980</v>
      </c>
      <c r="M643" s="121">
        <v>13940</v>
      </c>
      <c r="N643" s="121">
        <v>30.5</v>
      </c>
      <c r="O643" s="363">
        <v>13040</v>
      </c>
      <c r="P643" s="363">
        <v>9062.7999999999993</v>
      </c>
      <c r="Q643" s="121">
        <v>2024</v>
      </c>
      <c r="R643" s="121"/>
      <c r="S643" s="148">
        <v>45452</v>
      </c>
      <c r="T643" s="363">
        <f>Таблица18[[#This Row],[Вес нетто]]-Таблица18[[#This Row],[Зачетный вес]]</f>
        <v>3977.2000000000007</v>
      </c>
      <c r="U643" s="365">
        <f>Таблица18[[#This Row],[Отход]]/Таблица18[[#This Row],[Вес нетто]]</f>
        <v>0.30500000000000005</v>
      </c>
      <c r="V643" s="121">
        <f>MONTH(Таблица18[[#This Row],[Дата акта]])</f>
        <v>6</v>
      </c>
      <c r="W643" s="121">
        <v>9</v>
      </c>
      <c r="X643" s="148">
        <f>DATE(1900,Таблица18[[#This Row],[Месяц]],Таблица18[[#This Row],[Число]])</f>
        <v>161</v>
      </c>
      <c r="Y643" s="121"/>
      <c r="Z643" s="121" t="str">
        <f>Таблица18[[#This Row],[Хар-ка]]</f>
        <v>высший</v>
      </c>
      <c r="AD643" s="459"/>
      <c r="AE643" s="391"/>
    </row>
    <row r="644" spans="1:31" s="325" customFormat="1" ht="15.6" hidden="1" customHeight="1" x14ac:dyDescent="0.2">
      <c r="A644" s="40" t="s">
        <v>2587</v>
      </c>
      <c r="B644" s="360" t="s">
        <v>511</v>
      </c>
      <c r="C644" s="40">
        <v>265</v>
      </c>
      <c r="D644" s="40">
        <v>2</v>
      </c>
      <c r="E644" s="40" t="s">
        <v>2754</v>
      </c>
      <c r="F644" s="40" t="s">
        <v>311</v>
      </c>
      <c r="G644" s="40" t="s">
        <v>315</v>
      </c>
      <c r="H644" s="40" t="s">
        <v>2755</v>
      </c>
      <c r="I644" s="360" t="e">
        <f>VLOOKUP(Таблица18[[#This Row],[Номер акта]],$AB$1:$AF$1833,3,FALSE)</f>
        <v>#N/A</v>
      </c>
      <c r="J644" s="40" t="s">
        <v>1760</v>
      </c>
      <c r="K644" s="40" t="s">
        <v>82</v>
      </c>
      <c r="L644" s="121">
        <v>28750</v>
      </c>
      <c r="M644" s="121">
        <v>15080</v>
      </c>
      <c r="N644" s="121">
        <v>29.5</v>
      </c>
      <c r="O644" s="363">
        <v>13670</v>
      </c>
      <c r="P644" s="363">
        <v>9637.2999999999993</v>
      </c>
      <c r="Q644" s="121">
        <v>2024</v>
      </c>
      <c r="R644" s="121"/>
      <c r="S644" s="148">
        <v>45452</v>
      </c>
      <c r="T644" s="363">
        <f>Таблица18[[#This Row],[Вес нетто]]-Таблица18[[#This Row],[Зачетный вес]]</f>
        <v>4032.7000000000007</v>
      </c>
      <c r="U644" s="365">
        <f>Таблица18[[#This Row],[Отход]]/Таблица18[[#This Row],[Вес нетто]]</f>
        <v>0.295003657644477</v>
      </c>
      <c r="V644" s="121">
        <f>MONTH(Таблица18[[#This Row],[Дата акта]])</f>
        <v>6</v>
      </c>
      <c r="W644" s="121">
        <v>9</v>
      </c>
      <c r="X644" s="148">
        <f>DATE(1900,Таблица18[[#This Row],[Месяц]],Таблица18[[#This Row],[Число]])</f>
        <v>161</v>
      </c>
      <c r="Y644" s="121"/>
      <c r="Z644" s="121" t="str">
        <f>Таблица18[[#This Row],[Хар-ка]]</f>
        <v>высший</v>
      </c>
      <c r="AD644" s="459"/>
      <c r="AE644" s="391"/>
    </row>
    <row r="645" spans="1:31" s="325" customFormat="1" ht="15.6" hidden="1" customHeight="1" x14ac:dyDescent="0.2">
      <c r="A645" s="40" t="s">
        <v>2588</v>
      </c>
      <c r="B645" s="360" t="s">
        <v>511</v>
      </c>
      <c r="C645" s="40">
        <v>267</v>
      </c>
      <c r="D645" s="40">
        <v>4</v>
      </c>
      <c r="E645" s="40" t="s">
        <v>2754</v>
      </c>
      <c r="F645" s="40" t="s">
        <v>1367</v>
      </c>
      <c r="G645" s="40" t="s">
        <v>1368</v>
      </c>
      <c r="H645" s="40" t="s">
        <v>2755</v>
      </c>
      <c r="I645" s="360" t="e">
        <f>VLOOKUP(Таблица18[[#This Row],[Номер акта]],$AB$1:$AF$1833,3,FALSE)</f>
        <v>#N/A</v>
      </c>
      <c r="J645" s="40" t="s">
        <v>1760</v>
      </c>
      <c r="K645" s="40" t="s">
        <v>82</v>
      </c>
      <c r="L645" s="121">
        <v>28200</v>
      </c>
      <c r="M645" s="121">
        <v>15020</v>
      </c>
      <c r="N645" s="121">
        <v>27.5</v>
      </c>
      <c r="O645" s="363">
        <v>13180</v>
      </c>
      <c r="P645" s="363">
        <v>9555.5</v>
      </c>
      <c r="Q645" s="121">
        <v>2024</v>
      </c>
      <c r="R645" s="121"/>
      <c r="S645" s="148">
        <v>45452</v>
      </c>
      <c r="T645" s="363">
        <f>Таблица18[[#This Row],[Вес нетто]]-Таблица18[[#This Row],[Зачетный вес]]</f>
        <v>3624.5</v>
      </c>
      <c r="U645" s="365">
        <f>Таблица18[[#This Row],[Отход]]/Таблица18[[#This Row],[Вес нетто]]</f>
        <v>0.27500000000000002</v>
      </c>
      <c r="V645" s="121">
        <f>MONTH(Таблица18[[#This Row],[Дата акта]])</f>
        <v>6</v>
      </c>
      <c r="W645" s="121">
        <v>9</v>
      </c>
      <c r="X645" s="148">
        <f>DATE(1900,Таблица18[[#This Row],[Месяц]],Таблица18[[#This Row],[Число]])</f>
        <v>161</v>
      </c>
      <c r="Y645" s="121"/>
      <c r="Z645" s="121" t="str">
        <f>Таблица18[[#This Row],[Хар-ка]]</f>
        <v>высший</v>
      </c>
      <c r="AD645" s="459"/>
      <c r="AE645" s="391"/>
    </row>
    <row r="646" spans="1:31" s="325" customFormat="1" ht="15.6" hidden="1" customHeight="1" x14ac:dyDescent="0.2">
      <c r="A646" s="40" t="s">
        <v>2589</v>
      </c>
      <c r="B646" s="360" t="s">
        <v>511</v>
      </c>
      <c r="C646" s="40">
        <v>268</v>
      </c>
      <c r="D646" s="40">
        <v>5</v>
      </c>
      <c r="E646" s="40" t="s">
        <v>2754</v>
      </c>
      <c r="F646" s="40" t="s">
        <v>272</v>
      </c>
      <c r="G646" s="40" t="s">
        <v>276</v>
      </c>
      <c r="H646" s="40" t="s">
        <v>2755</v>
      </c>
      <c r="I646" s="360" t="e">
        <f>VLOOKUP(Таблица18[[#This Row],[Номер акта]],$AB$1:$AF$1833,3,FALSE)</f>
        <v>#N/A</v>
      </c>
      <c r="J646" s="40" t="s">
        <v>1760</v>
      </c>
      <c r="K646" s="40" t="s">
        <v>82</v>
      </c>
      <c r="L646" s="121">
        <v>28190</v>
      </c>
      <c r="M646" s="121">
        <v>14590</v>
      </c>
      <c r="N646" s="121">
        <v>30.5</v>
      </c>
      <c r="O646" s="363">
        <v>13600</v>
      </c>
      <c r="P646" s="363">
        <v>9452</v>
      </c>
      <c r="Q646" s="121">
        <v>2024</v>
      </c>
      <c r="R646" s="121"/>
      <c r="S646" s="148">
        <v>45452</v>
      </c>
      <c r="T646" s="363">
        <f>Таблица18[[#This Row],[Вес нетто]]-Таблица18[[#This Row],[Зачетный вес]]</f>
        <v>4148</v>
      </c>
      <c r="U646" s="365">
        <f>Таблица18[[#This Row],[Отход]]/Таблица18[[#This Row],[Вес нетто]]</f>
        <v>0.30499999999999999</v>
      </c>
      <c r="V646" s="121">
        <f>MONTH(Таблица18[[#This Row],[Дата акта]])</f>
        <v>6</v>
      </c>
      <c r="W646" s="121">
        <v>9</v>
      </c>
      <c r="X646" s="148">
        <f>DATE(1900,Таблица18[[#This Row],[Месяц]],Таблица18[[#This Row],[Число]])</f>
        <v>161</v>
      </c>
      <c r="Y646" s="121"/>
      <c r="Z646" s="121" t="str">
        <f>Таблица18[[#This Row],[Хар-ка]]</f>
        <v>высший</v>
      </c>
      <c r="AD646" s="459"/>
      <c r="AE646" s="391"/>
    </row>
    <row r="647" spans="1:31" s="325" customFormat="1" ht="15.6" hidden="1" customHeight="1" x14ac:dyDescent="0.2">
      <c r="A647" s="40" t="s">
        <v>2590</v>
      </c>
      <c r="B647" s="360" t="s">
        <v>511</v>
      </c>
      <c r="C647" s="40">
        <v>269</v>
      </c>
      <c r="D647" s="40">
        <v>3</v>
      </c>
      <c r="E647" s="40" t="s">
        <v>2754</v>
      </c>
      <c r="F647" s="40" t="s">
        <v>2750</v>
      </c>
      <c r="G647" s="40" t="s">
        <v>2751</v>
      </c>
      <c r="H647" s="40" t="s">
        <v>2755</v>
      </c>
      <c r="I647" s="360" t="e">
        <f>VLOOKUP(Таблица18[[#This Row],[Номер акта]],$AB$1:$AF$1833,3,FALSE)</f>
        <v>#N/A</v>
      </c>
      <c r="J647" s="40" t="s">
        <v>1760</v>
      </c>
      <c r="K647" s="40" t="s">
        <v>82</v>
      </c>
      <c r="L647" s="121">
        <v>33150</v>
      </c>
      <c r="M647" s="121">
        <v>17130</v>
      </c>
      <c r="N647" s="121">
        <v>30.5</v>
      </c>
      <c r="O647" s="363">
        <v>16020</v>
      </c>
      <c r="P647" s="363">
        <v>11133.9</v>
      </c>
      <c r="Q647" s="121">
        <v>2024</v>
      </c>
      <c r="R647" s="121"/>
      <c r="S647" s="148">
        <v>45452</v>
      </c>
      <c r="T647" s="363">
        <f>Таблица18[[#This Row],[Вес нетто]]-Таблица18[[#This Row],[Зачетный вес]]</f>
        <v>4886.1000000000004</v>
      </c>
      <c r="U647" s="365">
        <f>Таблица18[[#This Row],[Отход]]/Таблица18[[#This Row],[Вес нетто]]</f>
        <v>0.30500000000000005</v>
      </c>
      <c r="V647" s="121">
        <f>MONTH(Таблица18[[#This Row],[Дата акта]])</f>
        <v>6</v>
      </c>
      <c r="W647" s="121">
        <v>9</v>
      </c>
      <c r="X647" s="148">
        <f>DATE(1900,Таблица18[[#This Row],[Месяц]],Таблица18[[#This Row],[Число]])</f>
        <v>161</v>
      </c>
      <c r="Y647" s="121"/>
      <c r="Z647" s="121" t="str">
        <f>Таблица18[[#This Row],[Хар-ка]]</f>
        <v>высший</v>
      </c>
      <c r="AD647" s="459"/>
      <c r="AE647" s="391"/>
    </row>
    <row r="648" spans="1:31" s="325" customFormat="1" ht="15.6" hidden="1" customHeight="1" x14ac:dyDescent="0.2">
      <c r="A648" s="40" t="s">
        <v>2591</v>
      </c>
      <c r="B648" s="360" t="s">
        <v>511</v>
      </c>
      <c r="C648" s="40">
        <v>270</v>
      </c>
      <c r="D648" s="40">
        <v>6</v>
      </c>
      <c r="E648" s="40" t="s">
        <v>2754</v>
      </c>
      <c r="F648" s="40" t="s">
        <v>2747</v>
      </c>
      <c r="G648" s="40" t="s">
        <v>2748</v>
      </c>
      <c r="H648" s="40" t="s">
        <v>2756</v>
      </c>
      <c r="I648" s="360" t="e">
        <f>VLOOKUP(Таблица18[[#This Row],[Номер акта]],$AB$1:$AF$1833,3,FALSE)</f>
        <v>#N/A</v>
      </c>
      <c r="J648" s="40" t="s">
        <v>1760</v>
      </c>
      <c r="K648" s="40" t="s">
        <v>82</v>
      </c>
      <c r="L648" s="121">
        <v>28890</v>
      </c>
      <c r="M648" s="121">
        <v>14930</v>
      </c>
      <c r="N648" s="121">
        <v>24.5</v>
      </c>
      <c r="O648" s="363">
        <v>13960</v>
      </c>
      <c r="P648" s="363">
        <v>10539.8</v>
      </c>
      <c r="Q648" s="121">
        <v>2024</v>
      </c>
      <c r="R648" s="121"/>
      <c r="S648" s="148">
        <v>45452</v>
      </c>
      <c r="T648" s="363">
        <f>Таблица18[[#This Row],[Вес нетто]]-Таблица18[[#This Row],[Зачетный вес]]</f>
        <v>3420.2000000000007</v>
      </c>
      <c r="U648" s="365">
        <f>Таблица18[[#This Row],[Отход]]/Таблица18[[#This Row],[Вес нетто]]</f>
        <v>0.24500000000000005</v>
      </c>
      <c r="V648" s="121">
        <f>MONTH(Таблица18[[#This Row],[Дата акта]])</f>
        <v>6</v>
      </c>
      <c r="W648" s="121">
        <v>9</v>
      </c>
      <c r="X648" s="148">
        <f>DATE(1900,Таблица18[[#This Row],[Месяц]],Таблица18[[#This Row],[Число]])</f>
        <v>161</v>
      </c>
      <c r="Y648" s="121"/>
      <c r="Z648" s="121" t="str">
        <f>Таблица18[[#This Row],[Хар-ка]]</f>
        <v>высший</v>
      </c>
      <c r="AD648" s="459"/>
      <c r="AE648" s="391"/>
    </row>
    <row r="649" spans="1:31" s="325" customFormat="1" ht="15.6" hidden="1" customHeight="1" x14ac:dyDescent="0.2">
      <c r="A649" s="40" t="s">
        <v>2592</v>
      </c>
      <c r="B649" s="360" t="s">
        <v>511</v>
      </c>
      <c r="C649" s="40">
        <v>271</v>
      </c>
      <c r="D649" s="40">
        <v>7</v>
      </c>
      <c r="E649" s="40" t="s">
        <v>2754</v>
      </c>
      <c r="F649" s="40" t="s">
        <v>2757</v>
      </c>
      <c r="G649" s="40" t="s">
        <v>2758</v>
      </c>
      <c r="H649" s="40" t="s">
        <v>2756</v>
      </c>
      <c r="I649" s="360" t="e">
        <f>VLOOKUP(Таблица18[[#This Row],[Номер акта]],$AB$1:$AF$1833,3,FALSE)</f>
        <v>#N/A</v>
      </c>
      <c r="J649" s="40" t="s">
        <v>1760</v>
      </c>
      <c r="K649" s="40" t="s">
        <v>82</v>
      </c>
      <c r="L649" s="121">
        <v>32360</v>
      </c>
      <c r="M649" s="121">
        <v>16610</v>
      </c>
      <c r="N649" s="121">
        <v>30.5</v>
      </c>
      <c r="O649" s="363">
        <v>15750</v>
      </c>
      <c r="P649" s="363">
        <v>10946.2</v>
      </c>
      <c r="Q649" s="121">
        <v>2024</v>
      </c>
      <c r="R649" s="121"/>
      <c r="S649" s="148">
        <v>45452</v>
      </c>
      <c r="T649" s="363">
        <f>Таблица18[[#This Row],[Вес нетто]]-Таблица18[[#This Row],[Зачетный вес]]</f>
        <v>4803.7999999999993</v>
      </c>
      <c r="U649" s="365">
        <f>Таблица18[[#This Row],[Отход]]/Таблица18[[#This Row],[Вес нетто]]</f>
        <v>0.30500317460317455</v>
      </c>
      <c r="V649" s="121">
        <f>MONTH(Таблица18[[#This Row],[Дата акта]])</f>
        <v>6</v>
      </c>
      <c r="W649" s="121">
        <v>9</v>
      </c>
      <c r="X649" s="148">
        <f>DATE(1900,Таблица18[[#This Row],[Месяц]],Таблица18[[#This Row],[Число]])</f>
        <v>161</v>
      </c>
      <c r="Y649" s="121"/>
      <c r="Z649" s="121" t="str">
        <f>Таблица18[[#This Row],[Хар-ка]]</f>
        <v>высший</v>
      </c>
      <c r="AD649" s="459"/>
      <c r="AE649" s="391"/>
    </row>
    <row r="650" spans="1:31" s="325" customFormat="1" ht="15.6" hidden="1" customHeight="1" x14ac:dyDescent="0.2">
      <c r="A650" s="40" t="s">
        <v>2593</v>
      </c>
      <c r="B650" s="360" t="s">
        <v>511</v>
      </c>
      <c r="C650" s="40">
        <v>272</v>
      </c>
      <c r="D650" s="40">
        <v>8</v>
      </c>
      <c r="E650" s="40" t="s">
        <v>2754</v>
      </c>
      <c r="F650" s="40" t="s">
        <v>2759</v>
      </c>
      <c r="G650" s="40" t="s">
        <v>2760</v>
      </c>
      <c r="H650" s="40" t="s">
        <v>2756</v>
      </c>
      <c r="I650" s="360" t="e">
        <f>VLOOKUP(Таблица18[[#This Row],[Номер акта]],$AB$1:$AF$1833,3,FALSE)</f>
        <v>#N/A</v>
      </c>
      <c r="J650" s="40" t="s">
        <v>1760</v>
      </c>
      <c r="K650" s="40" t="s">
        <v>82</v>
      </c>
      <c r="L650" s="121">
        <v>39070</v>
      </c>
      <c r="M650" s="121">
        <v>21210</v>
      </c>
      <c r="N650" s="121">
        <v>25.5</v>
      </c>
      <c r="O650" s="363">
        <v>17860</v>
      </c>
      <c r="P650" s="363">
        <v>13305.7</v>
      </c>
      <c r="Q650" s="121">
        <v>2024</v>
      </c>
      <c r="R650" s="121"/>
      <c r="S650" s="148">
        <v>45453</v>
      </c>
      <c r="T650" s="363">
        <f>Таблица18[[#This Row],[Вес нетто]]-Таблица18[[#This Row],[Зачетный вес]]</f>
        <v>4554.2999999999993</v>
      </c>
      <c r="U650" s="365">
        <f>Таблица18[[#This Row],[Отход]]/Таблица18[[#This Row],[Вес нетто]]</f>
        <v>0.25499999999999995</v>
      </c>
      <c r="V650" s="121">
        <f>MONTH(Таблица18[[#This Row],[Дата акта]])</f>
        <v>6</v>
      </c>
      <c r="W650" s="121">
        <v>10</v>
      </c>
      <c r="X650" s="148">
        <f>DATE(1900,Таблица18[[#This Row],[Месяц]],Таблица18[[#This Row],[Число]])</f>
        <v>162</v>
      </c>
      <c r="Y650" s="121"/>
      <c r="Z650" s="121" t="str">
        <f>Таблица18[[#This Row],[Хар-ка]]</f>
        <v>высший</v>
      </c>
      <c r="AD650" s="459"/>
      <c r="AE650" s="391"/>
    </row>
    <row r="651" spans="1:31" s="325" customFormat="1" ht="15.6" hidden="1" customHeight="1" x14ac:dyDescent="0.2">
      <c r="A651" s="40" t="s">
        <v>2594</v>
      </c>
      <c r="B651" s="360" t="s">
        <v>511</v>
      </c>
      <c r="C651" s="40">
        <v>273</v>
      </c>
      <c r="D651" s="40">
        <v>9</v>
      </c>
      <c r="E651" s="40" t="s">
        <v>2754</v>
      </c>
      <c r="F651" s="40" t="s">
        <v>2749</v>
      </c>
      <c r="G651" s="40" t="s">
        <v>270</v>
      </c>
      <c r="H651" s="40" t="s">
        <v>2756</v>
      </c>
      <c r="I651" s="360" t="e">
        <f>VLOOKUP(Таблица18[[#This Row],[Номер акта]],$AB$1:$AF$1833,3,FALSE)</f>
        <v>#N/A</v>
      </c>
      <c r="J651" s="40" t="s">
        <v>1760</v>
      </c>
      <c r="K651" s="40" t="s">
        <v>82</v>
      </c>
      <c r="L651" s="121">
        <v>28390</v>
      </c>
      <c r="M651" s="121">
        <v>14940</v>
      </c>
      <c r="N651" s="121">
        <v>27</v>
      </c>
      <c r="O651" s="363">
        <v>13450</v>
      </c>
      <c r="P651" s="363">
        <v>9818.5</v>
      </c>
      <c r="Q651" s="121">
        <v>2024</v>
      </c>
      <c r="R651" s="121"/>
      <c r="S651" s="148">
        <v>45453</v>
      </c>
      <c r="T651" s="363">
        <f>Таблица18[[#This Row],[Вес нетто]]-Таблица18[[#This Row],[Зачетный вес]]</f>
        <v>3631.5</v>
      </c>
      <c r="U651" s="365">
        <f>Таблица18[[#This Row],[Отход]]/Таблица18[[#This Row],[Вес нетто]]</f>
        <v>0.27</v>
      </c>
      <c r="V651" s="121">
        <f>MONTH(Таблица18[[#This Row],[Дата акта]])</f>
        <v>6</v>
      </c>
      <c r="W651" s="121">
        <v>10</v>
      </c>
      <c r="X651" s="148">
        <f>DATE(1900,Таблица18[[#This Row],[Месяц]],Таблица18[[#This Row],[Число]])</f>
        <v>162</v>
      </c>
      <c r="Y651" s="121"/>
      <c r="Z651" s="121" t="str">
        <f>Таблица18[[#This Row],[Хар-ка]]</f>
        <v>высший</v>
      </c>
      <c r="AD651" s="459"/>
      <c r="AE651" s="391"/>
    </row>
    <row r="652" spans="1:31" s="325" customFormat="1" ht="15.6" hidden="1" customHeight="1" x14ac:dyDescent="0.2">
      <c r="A652" s="40" t="s">
        <v>2595</v>
      </c>
      <c r="B652" s="360" t="s">
        <v>511</v>
      </c>
      <c r="C652" s="40">
        <v>275</v>
      </c>
      <c r="D652" s="40">
        <v>10</v>
      </c>
      <c r="E652" s="40" t="s">
        <v>2754</v>
      </c>
      <c r="F652" s="40" t="s">
        <v>2761</v>
      </c>
      <c r="G652" s="40" t="s">
        <v>149</v>
      </c>
      <c r="H652" s="40" t="s">
        <v>2756</v>
      </c>
      <c r="I652" s="360" t="e">
        <f>VLOOKUP(Таблица18[[#This Row],[Номер акта]],$AB$1:$AF$1833,3,FALSE)</f>
        <v>#N/A</v>
      </c>
      <c r="J652" s="40" t="s">
        <v>1760</v>
      </c>
      <c r="K652" s="40" t="s">
        <v>82</v>
      </c>
      <c r="L652" s="121">
        <v>28870</v>
      </c>
      <c r="M652" s="121">
        <v>15090</v>
      </c>
      <c r="N652" s="121">
        <v>26</v>
      </c>
      <c r="O652" s="363">
        <v>13780</v>
      </c>
      <c r="P652" s="363">
        <v>10197.200000000001</v>
      </c>
      <c r="Q652" s="121">
        <v>2024</v>
      </c>
      <c r="R652" s="121"/>
      <c r="S652" s="148">
        <v>45453</v>
      </c>
      <c r="T652" s="363">
        <f>Таблица18[[#This Row],[Вес нетто]]-Таблица18[[#This Row],[Зачетный вес]]</f>
        <v>3582.7999999999993</v>
      </c>
      <c r="U652" s="365">
        <f>Таблица18[[#This Row],[Отход]]/Таблица18[[#This Row],[Вес нетто]]</f>
        <v>0.25999999999999995</v>
      </c>
      <c r="V652" s="121">
        <f>MONTH(Таблица18[[#This Row],[Дата акта]])</f>
        <v>6</v>
      </c>
      <c r="W652" s="121">
        <v>10</v>
      </c>
      <c r="X652" s="148">
        <f>DATE(1900,Таблица18[[#This Row],[Месяц]],Таблица18[[#This Row],[Число]])</f>
        <v>162</v>
      </c>
      <c r="Y652" s="121"/>
      <c r="Z652" s="121" t="str">
        <f>Таблица18[[#This Row],[Хар-ка]]</f>
        <v>высший</v>
      </c>
      <c r="AD652" s="459"/>
      <c r="AE652" s="391"/>
    </row>
    <row r="653" spans="1:31" s="325" customFormat="1" ht="15.6" hidden="1" customHeight="1" x14ac:dyDescent="0.2">
      <c r="A653" s="40" t="s">
        <v>2596</v>
      </c>
      <c r="B653" s="360" t="s">
        <v>511</v>
      </c>
      <c r="C653" s="40">
        <v>276</v>
      </c>
      <c r="D653" s="40">
        <v>11</v>
      </c>
      <c r="E653" s="40" t="s">
        <v>2754</v>
      </c>
      <c r="F653" s="40" t="s">
        <v>2762</v>
      </c>
      <c r="G653" s="40" t="s">
        <v>145</v>
      </c>
      <c r="H653" s="40" t="s">
        <v>2756</v>
      </c>
      <c r="I653" s="360" t="e">
        <f>VLOOKUP(Таблица18[[#This Row],[Номер акта]],$AB$1:$AF$1833,3,FALSE)</f>
        <v>#N/A</v>
      </c>
      <c r="J653" s="40" t="s">
        <v>1760</v>
      </c>
      <c r="K653" s="40" t="s">
        <v>82</v>
      </c>
      <c r="L653" s="121">
        <v>29350</v>
      </c>
      <c r="M653" s="121">
        <v>15660</v>
      </c>
      <c r="N653" s="121">
        <v>28</v>
      </c>
      <c r="O653" s="363">
        <v>13690</v>
      </c>
      <c r="P653" s="363">
        <v>9856.7999999999993</v>
      </c>
      <c r="Q653" s="121">
        <v>2024</v>
      </c>
      <c r="R653" s="121"/>
      <c r="S653" s="148">
        <v>45453</v>
      </c>
      <c r="T653" s="363">
        <f>Таблица18[[#This Row],[Вес нетто]]-Таблица18[[#This Row],[Зачетный вес]]</f>
        <v>3833.2000000000007</v>
      </c>
      <c r="U653" s="365">
        <f>Таблица18[[#This Row],[Отход]]/Таблица18[[#This Row],[Вес нетто]]</f>
        <v>0.28000000000000003</v>
      </c>
      <c r="V653" s="121">
        <f>MONTH(Таблица18[[#This Row],[Дата акта]])</f>
        <v>6</v>
      </c>
      <c r="W653" s="121">
        <v>10</v>
      </c>
      <c r="X653" s="148">
        <f>DATE(1900,Таблица18[[#This Row],[Месяц]],Таблица18[[#This Row],[Число]])</f>
        <v>162</v>
      </c>
      <c r="Y653" s="121"/>
      <c r="Z653" s="121" t="str">
        <f>Таблица18[[#This Row],[Хар-ка]]</f>
        <v>высший</v>
      </c>
      <c r="AD653" s="459"/>
      <c r="AE653" s="391"/>
    </row>
    <row r="654" spans="1:31" s="325" customFormat="1" ht="15.6" hidden="1" customHeight="1" x14ac:dyDescent="0.2">
      <c r="A654" s="40" t="s">
        <v>2597</v>
      </c>
      <c r="B654" s="360" t="s">
        <v>511</v>
      </c>
      <c r="C654" s="40">
        <v>277</v>
      </c>
      <c r="D654" s="40">
        <v>12</v>
      </c>
      <c r="E654" s="40" t="s">
        <v>2754</v>
      </c>
      <c r="F654" s="40" t="s">
        <v>2232</v>
      </c>
      <c r="G654" s="40" t="s">
        <v>2233</v>
      </c>
      <c r="H654" s="40" t="s">
        <v>2756</v>
      </c>
      <c r="I654" s="360" t="e">
        <f>VLOOKUP(Таблица18[[#This Row],[Номер акта]],$AB$1:$AF$1833,3,FALSE)</f>
        <v>#N/A</v>
      </c>
      <c r="J654" s="40" t="s">
        <v>1760</v>
      </c>
      <c r="K654" s="40" t="s">
        <v>82</v>
      </c>
      <c r="L654" s="121">
        <v>28440</v>
      </c>
      <c r="M654" s="121">
        <v>14690</v>
      </c>
      <c r="N654" s="121">
        <v>14</v>
      </c>
      <c r="O654" s="363">
        <v>13750</v>
      </c>
      <c r="P654" s="363">
        <v>11825</v>
      </c>
      <c r="Q654" s="121">
        <v>2024</v>
      </c>
      <c r="R654" s="121"/>
      <c r="S654" s="148">
        <v>45453</v>
      </c>
      <c r="T654" s="363">
        <f>Таблица18[[#This Row],[Вес нетто]]-Таблица18[[#This Row],[Зачетный вес]]</f>
        <v>1925</v>
      </c>
      <c r="U654" s="365">
        <f>Таблица18[[#This Row],[Отход]]/Таблица18[[#This Row],[Вес нетто]]</f>
        <v>0.14000000000000001</v>
      </c>
      <c r="V654" s="121">
        <f>MONTH(Таблица18[[#This Row],[Дата акта]])</f>
        <v>6</v>
      </c>
      <c r="W654" s="121">
        <v>10</v>
      </c>
      <c r="X654" s="148">
        <f>DATE(1900,Таблица18[[#This Row],[Месяц]],Таблица18[[#This Row],[Число]])</f>
        <v>162</v>
      </c>
      <c r="Y654" s="121"/>
      <c r="Z654" s="121" t="str">
        <f>Таблица18[[#This Row],[Хар-ка]]</f>
        <v>высший</v>
      </c>
      <c r="AD654" s="459"/>
      <c r="AE654" s="391"/>
    </row>
    <row r="655" spans="1:31" s="325" customFormat="1" ht="15.6" hidden="1" customHeight="1" x14ac:dyDescent="0.2">
      <c r="A655" s="40" t="s">
        <v>2598</v>
      </c>
      <c r="B655" s="360" t="s">
        <v>511</v>
      </c>
      <c r="C655" s="40">
        <v>278</v>
      </c>
      <c r="D655" s="40">
        <v>13</v>
      </c>
      <c r="E655" s="40" t="s">
        <v>2754</v>
      </c>
      <c r="F655" s="40" t="s">
        <v>121</v>
      </c>
      <c r="G655" s="40" t="s">
        <v>125</v>
      </c>
      <c r="H655" s="40" t="s">
        <v>2756</v>
      </c>
      <c r="I655" s="360" t="e">
        <f>VLOOKUP(Таблица18[[#This Row],[Номер акта]],$AB$1:$AF$1833,3,FALSE)</f>
        <v>#N/A</v>
      </c>
      <c r="J655" s="40" t="s">
        <v>1760</v>
      </c>
      <c r="K655" s="40" t="s">
        <v>82</v>
      </c>
      <c r="L655" s="121">
        <v>27930</v>
      </c>
      <c r="M655" s="121">
        <v>14490</v>
      </c>
      <c r="N655" s="121">
        <v>24.5</v>
      </c>
      <c r="O655" s="363">
        <v>13440</v>
      </c>
      <c r="P655" s="363">
        <v>10147.200000000001</v>
      </c>
      <c r="Q655" s="121">
        <v>2024</v>
      </c>
      <c r="R655" s="121"/>
      <c r="S655" s="148">
        <v>45453</v>
      </c>
      <c r="T655" s="363">
        <f>Таблица18[[#This Row],[Вес нетто]]-Таблица18[[#This Row],[Зачетный вес]]</f>
        <v>3292.7999999999993</v>
      </c>
      <c r="U655" s="365">
        <f>Таблица18[[#This Row],[Отход]]/Таблица18[[#This Row],[Вес нетто]]</f>
        <v>0.24499999999999994</v>
      </c>
      <c r="V655" s="121">
        <f>MONTH(Таблица18[[#This Row],[Дата акта]])</f>
        <v>6</v>
      </c>
      <c r="W655" s="121">
        <v>10</v>
      </c>
      <c r="X655" s="148">
        <f>DATE(1900,Таблица18[[#This Row],[Месяц]],Таблица18[[#This Row],[Число]])</f>
        <v>162</v>
      </c>
      <c r="Y655" s="121"/>
      <c r="Z655" s="121" t="str">
        <f>Таблица18[[#This Row],[Хар-ка]]</f>
        <v>высший</v>
      </c>
      <c r="AD655" s="459"/>
      <c r="AE655" s="391"/>
    </row>
    <row r="656" spans="1:31" s="325" customFormat="1" ht="15.6" hidden="1" customHeight="1" x14ac:dyDescent="0.2">
      <c r="A656" s="40" t="s">
        <v>2599</v>
      </c>
      <c r="B656" s="360" t="s">
        <v>511</v>
      </c>
      <c r="C656" s="40">
        <v>279</v>
      </c>
      <c r="D656" s="40">
        <v>14</v>
      </c>
      <c r="E656" s="40" t="s">
        <v>2754</v>
      </c>
      <c r="F656" s="40" t="s">
        <v>347</v>
      </c>
      <c r="G656" s="40" t="s">
        <v>351</v>
      </c>
      <c r="H656" s="40" t="s">
        <v>2756</v>
      </c>
      <c r="I656" s="360" t="e">
        <f>VLOOKUP(Таблица18[[#This Row],[Номер акта]],$AB$1:$AF$1833,3,FALSE)</f>
        <v>#N/A</v>
      </c>
      <c r="J656" s="40" t="s">
        <v>1760</v>
      </c>
      <c r="K656" s="40" t="s">
        <v>82</v>
      </c>
      <c r="L656" s="121">
        <v>33990</v>
      </c>
      <c r="M656" s="121">
        <v>18690</v>
      </c>
      <c r="N656" s="121">
        <v>22.5</v>
      </c>
      <c r="O656" s="363">
        <v>15300</v>
      </c>
      <c r="P656" s="363">
        <v>11857.5</v>
      </c>
      <c r="Q656" s="121">
        <v>2024</v>
      </c>
      <c r="R656" s="121"/>
      <c r="S656" s="148">
        <v>45453</v>
      </c>
      <c r="T656" s="363">
        <f>Таблица18[[#This Row],[Вес нетто]]-Таблица18[[#This Row],[Зачетный вес]]</f>
        <v>3442.5</v>
      </c>
      <c r="U656" s="365">
        <f>Таблица18[[#This Row],[Отход]]/Таблица18[[#This Row],[Вес нетто]]</f>
        <v>0.22500000000000001</v>
      </c>
      <c r="V656" s="121">
        <f>MONTH(Таблица18[[#This Row],[Дата акта]])</f>
        <v>6</v>
      </c>
      <c r="W656" s="121">
        <v>10</v>
      </c>
      <c r="X656" s="148">
        <f>DATE(1900,Таблица18[[#This Row],[Месяц]],Таблица18[[#This Row],[Число]])</f>
        <v>162</v>
      </c>
      <c r="Y656" s="121"/>
      <c r="Z656" s="121" t="str">
        <f>Таблица18[[#This Row],[Хар-ка]]</f>
        <v>высший</v>
      </c>
      <c r="AD656" s="459"/>
      <c r="AE656" s="391"/>
    </row>
    <row r="657" spans="1:31" s="325" customFormat="1" ht="15.6" hidden="1" customHeight="1" x14ac:dyDescent="0.2">
      <c r="A657" s="40" t="s">
        <v>2600</v>
      </c>
      <c r="B657" s="360" t="s">
        <v>511</v>
      </c>
      <c r="C657" s="40">
        <v>280</v>
      </c>
      <c r="D657" s="40">
        <v>15</v>
      </c>
      <c r="E657" s="40" t="s">
        <v>2754</v>
      </c>
      <c r="F657" s="40" t="s">
        <v>1367</v>
      </c>
      <c r="G657" s="40" t="s">
        <v>1368</v>
      </c>
      <c r="H657" s="40" t="s">
        <v>2756</v>
      </c>
      <c r="I657" s="360" t="e">
        <f>VLOOKUP(Таблица18[[#This Row],[Номер акта]],$AB$1:$AF$1833,3,FALSE)</f>
        <v>#N/A</v>
      </c>
      <c r="J657" s="40" t="s">
        <v>1760</v>
      </c>
      <c r="K657" s="40" t="s">
        <v>82</v>
      </c>
      <c r="L657" s="121">
        <v>28300</v>
      </c>
      <c r="M657" s="121">
        <v>14880</v>
      </c>
      <c r="N657" s="121">
        <v>26.5</v>
      </c>
      <c r="O657" s="363">
        <v>13420</v>
      </c>
      <c r="P657" s="363">
        <v>9863.7000000000007</v>
      </c>
      <c r="Q657" s="121">
        <v>2024</v>
      </c>
      <c r="R657" s="121"/>
      <c r="S657" s="148">
        <v>45453</v>
      </c>
      <c r="T657" s="363">
        <f>Таблица18[[#This Row],[Вес нетто]]-Таблица18[[#This Row],[Зачетный вес]]</f>
        <v>3556.2999999999993</v>
      </c>
      <c r="U657" s="365">
        <f>Таблица18[[#This Row],[Отход]]/Таблица18[[#This Row],[Вес нетто]]</f>
        <v>0.26499999999999996</v>
      </c>
      <c r="V657" s="121">
        <f>MONTH(Таблица18[[#This Row],[Дата акта]])</f>
        <v>6</v>
      </c>
      <c r="W657" s="121">
        <v>10</v>
      </c>
      <c r="X657" s="148">
        <f>DATE(1900,Таблица18[[#This Row],[Месяц]],Таблица18[[#This Row],[Число]])</f>
        <v>162</v>
      </c>
      <c r="Y657" s="121"/>
      <c r="Z657" s="121" t="str">
        <f>Таблица18[[#This Row],[Хар-ка]]</f>
        <v>высший</v>
      </c>
      <c r="AD657" s="459"/>
      <c r="AE657" s="391"/>
    </row>
    <row r="658" spans="1:31" s="325" customFormat="1" ht="15.6" hidden="1" customHeight="1" x14ac:dyDescent="0.2">
      <c r="A658" s="40" t="s">
        <v>2601</v>
      </c>
      <c r="B658" s="360" t="s">
        <v>511</v>
      </c>
      <c r="C658" s="40">
        <v>281</v>
      </c>
      <c r="D658" s="40">
        <v>16</v>
      </c>
      <c r="E658" s="40" t="s">
        <v>2754</v>
      </c>
      <c r="F658" s="40" t="s">
        <v>133</v>
      </c>
      <c r="G658" s="40" t="s">
        <v>137</v>
      </c>
      <c r="H658" s="40" t="s">
        <v>2756</v>
      </c>
      <c r="I658" s="360" t="e">
        <f>VLOOKUP(Таблица18[[#This Row],[Номер акта]],$AB$1:$AF$1833,3,FALSE)</f>
        <v>#N/A</v>
      </c>
      <c r="J658" s="40" t="s">
        <v>1760</v>
      </c>
      <c r="K658" s="40" t="s">
        <v>82</v>
      </c>
      <c r="L658" s="121">
        <v>32650</v>
      </c>
      <c r="M658" s="121">
        <v>17290</v>
      </c>
      <c r="N658" s="121">
        <v>22.5</v>
      </c>
      <c r="O658" s="363">
        <v>15360</v>
      </c>
      <c r="P658" s="363">
        <v>11904</v>
      </c>
      <c r="Q658" s="121">
        <v>2024</v>
      </c>
      <c r="R658" s="121"/>
      <c r="S658" s="148">
        <v>45453</v>
      </c>
      <c r="T658" s="363">
        <f>Таблица18[[#This Row],[Вес нетто]]-Таблица18[[#This Row],[Зачетный вес]]</f>
        <v>3456</v>
      </c>
      <c r="U658" s="365">
        <f>Таблица18[[#This Row],[Отход]]/Таблица18[[#This Row],[Вес нетто]]</f>
        <v>0.22500000000000001</v>
      </c>
      <c r="V658" s="121">
        <f>MONTH(Таблица18[[#This Row],[Дата акта]])</f>
        <v>6</v>
      </c>
      <c r="W658" s="121">
        <v>10</v>
      </c>
      <c r="X658" s="148">
        <f>DATE(1900,Таблица18[[#This Row],[Месяц]],Таблица18[[#This Row],[Число]])</f>
        <v>162</v>
      </c>
      <c r="Y658" s="121"/>
      <c r="Z658" s="121" t="str">
        <f>Таблица18[[#This Row],[Хар-ка]]</f>
        <v>высший</v>
      </c>
      <c r="AD658" s="459"/>
      <c r="AE658" s="391"/>
    </row>
    <row r="659" spans="1:31" s="325" customFormat="1" ht="15.6" hidden="1" customHeight="1" x14ac:dyDescent="0.2">
      <c r="A659" s="40" t="s">
        <v>2602</v>
      </c>
      <c r="B659" s="360" t="s">
        <v>511</v>
      </c>
      <c r="C659" s="40">
        <v>282</v>
      </c>
      <c r="D659" s="40">
        <v>17</v>
      </c>
      <c r="E659" s="40" t="s">
        <v>2754</v>
      </c>
      <c r="F659" s="40" t="s">
        <v>2155</v>
      </c>
      <c r="G659" s="40" t="s">
        <v>320</v>
      </c>
      <c r="H659" s="40" t="s">
        <v>2756</v>
      </c>
      <c r="I659" s="360" t="e">
        <f>VLOOKUP(Таблица18[[#This Row],[Номер акта]],$AB$1:$AF$1833,3,FALSE)</f>
        <v>#N/A</v>
      </c>
      <c r="J659" s="40" t="s">
        <v>1760</v>
      </c>
      <c r="K659" s="40" t="s">
        <v>82</v>
      </c>
      <c r="L659" s="121">
        <v>27770</v>
      </c>
      <c r="M659" s="121">
        <v>14390</v>
      </c>
      <c r="N659" s="121">
        <v>16.5</v>
      </c>
      <c r="O659" s="363">
        <v>13380</v>
      </c>
      <c r="P659" s="363">
        <v>11172.3</v>
      </c>
      <c r="Q659" s="121">
        <v>2024</v>
      </c>
      <c r="R659" s="121"/>
      <c r="S659" s="148">
        <v>45453</v>
      </c>
      <c r="T659" s="363">
        <f>Таблица18[[#This Row],[Вес нетто]]-Таблица18[[#This Row],[Зачетный вес]]</f>
        <v>2207.7000000000007</v>
      </c>
      <c r="U659" s="365">
        <f>Таблица18[[#This Row],[Отход]]/Таблица18[[#This Row],[Вес нетто]]</f>
        <v>0.16500000000000006</v>
      </c>
      <c r="V659" s="121">
        <f>MONTH(Таблица18[[#This Row],[Дата акта]])</f>
        <v>6</v>
      </c>
      <c r="W659" s="121">
        <v>10</v>
      </c>
      <c r="X659" s="148">
        <f>DATE(1900,Таблица18[[#This Row],[Месяц]],Таблица18[[#This Row],[Число]])</f>
        <v>162</v>
      </c>
      <c r="Y659" s="121"/>
      <c r="Z659" s="121" t="str">
        <f>Таблица18[[#This Row],[Хар-ка]]</f>
        <v>высший</v>
      </c>
      <c r="AD659" s="459"/>
      <c r="AE659" s="391"/>
    </row>
    <row r="660" spans="1:31" s="325" customFormat="1" ht="15.6" hidden="1" customHeight="1" x14ac:dyDescent="0.2">
      <c r="A660" s="40" t="s">
        <v>2603</v>
      </c>
      <c r="B660" s="360" t="s">
        <v>511</v>
      </c>
      <c r="C660" s="40">
        <v>283</v>
      </c>
      <c r="D660" s="40">
        <v>18</v>
      </c>
      <c r="E660" s="40" t="s">
        <v>2754</v>
      </c>
      <c r="F660" s="40" t="s">
        <v>272</v>
      </c>
      <c r="G660" s="40" t="s">
        <v>276</v>
      </c>
      <c r="H660" s="40" t="s">
        <v>2756</v>
      </c>
      <c r="I660" s="360" t="e">
        <f>VLOOKUP(Таблица18[[#This Row],[Номер акта]],$AB$1:$AF$1833,3,FALSE)</f>
        <v>#N/A</v>
      </c>
      <c r="J660" s="40" t="s">
        <v>1760</v>
      </c>
      <c r="K660" s="40" t="s">
        <v>82</v>
      </c>
      <c r="L660" s="121">
        <v>27830</v>
      </c>
      <c r="M660" s="121">
        <v>14500</v>
      </c>
      <c r="N660" s="121">
        <v>23.5</v>
      </c>
      <c r="O660" s="363">
        <v>13330</v>
      </c>
      <c r="P660" s="363">
        <v>10197.4</v>
      </c>
      <c r="Q660" s="121">
        <v>2024</v>
      </c>
      <c r="R660" s="121"/>
      <c r="S660" s="148">
        <v>45453</v>
      </c>
      <c r="T660" s="363">
        <f>Таблица18[[#This Row],[Вес нетто]]-Таблица18[[#This Row],[Зачетный вес]]</f>
        <v>3132.6000000000004</v>
      </c>
      <c r="U660" s="365">
        <f>Таблица18[[#This Row],[Отход]]/Таблица18[[#This Row],[Вес нетто]]</f>
        <v>0.23500375093773446</v>
      </c>
      <c r="V660" s="121">
        <f>MONTH(Таблица18[[#This Row],[Дата акта]])</f>
        <v>6</v>
      </c>
      <c r="W660" s="121">
        <v>10</v>
      </c>
      <c r="X660" s="148">
        <f>DATE(1900,Таблица18[[#This Row],[Месяц]],Таблица18[[#This Row],[Число]])</f>
        <v>162</v>
      </c>
      <c r="Y660" s="121"/>
      <c r="Z660" s="121" t="str">
        <f>Таблица18[[#This Row],[Хар-ка]]</f>
        <v>высший</v>
      </c>
      <c r="AD660" s="459"/>
      <c r="AE660" s="391"/>
    </row>
    <row r="661" spans="1:31" s="325" customFormat="1" ht="15.6" hidden="1" customHeight="1" x14ac:dyDescent="0.2">
      <c r="A661" s="40" t="s">
        <v>2604</v>
      </c>
      <c r="B661" s="360" t="s">
        <v>511</v>
      </c>
      <c r="C661" s="40">
        <v>284</v>
      </c>
      <c r="D661" s="40">
        <v>19</v>
      </c>
      <c r="E661" s="40" t="s">
        <v>2754</v>
      </c>
      <c r="F661" s="40" t="s">
        <v>2747</v>
      </c>
      <c r="G661" s="40" t="s">
        <v>2748</v>
      </c>
      <c r="H661" s="40" t="s">
        <v>2756</v>
      </c>
      <c r="I661" s="360" t="e">
        <f>VLOOKUP(Таблица18[[#This Row],[Номер акта]],$AB$1:$AF$1833,3,FALSE)</f>
        <v>#N/A</v>
      </c>
      <c r="J661" s="40" t="s">
        <v>1760</v>
      </c>
      <c r="K661" s="40" t="s">
        <v>82</v>
      </c>
      <c r="L661" s="121">
        <v>28350</v>
      </c>
      <c r="M661" s="121">
        <v>14900</v>
      </c>
      <c r="N661" s="121">
        <v>25.5</v>
      </c>
      <c r="O661" s="363">
        <v>13450</v>
      </c>
      <c r="P661" s="363">
        <v>10020.200000000001</v>
      </c>
      <c r="Q661" s="121">
        <v>2024</v>
      </c>
      <c r="R661" s="121"/>
      <c r="S661" s="148">
        <v>45453</v>
      </c>
      <c r="T661" s="363">
        <f>Таблица18[[#This Row],[Вес нетто]]-Таблица18[[#This Row],[Зачетный вес]]</f>
        <v>3429.7999999999993</v>
      </c>
      <c r="U661" s="365">
        <f>Таблица18[[#This Row],[Отход]]/Таблица18[[#This Row],[Вес нетто]]</f>
        <v>0.25500371747211892</v>
      </c>
      <c r="V661" s="121">
        <f>MONTH(Таблица18[[#This Row],[Дата акта]])</f>
        <v>6</v>
      </c>
      <c r="W661" s="121">
        <v>10</v>
      </c>
      <c r="X661" s="148">
        <f>DATE(1900,Таблица18[[#This Row],[Месяц]],Таблица18[[#This Row],[Число]])</f>
        <v>162</v>
      </c>
      <c r="Y661" s="121"/>
      <c r="Z661" s="121" t="str">
        <f>Таблица18[[#This Row],[Хар-ка]]</f>
        <v>высший</v>
      </c>
      <c r="AD661" s="459"/>
      <c r="AE661" s="391"/>
    </row>
    <row r="662" spans="1:31" s="325" customFormat="1" ht="15.6" hidden="1" customHeight="1" x14ac:dyDescent="0.2">
      <c r="A662" s="40" t="s">
        <v>2605</v>
      </c>
      <c r="B662" s="360" t="s">
        <v>511</v>
      </c>
      <c r="C662" s="40">
        <v>285</v>
      </c>
      <c r="D662" s="40">
        <v>20</v>
      </c>
      <c r="E662" s="40" t="s">
        <v>2754</v>
      </c>
      <c r="F662" s="40" t="s">
        <v>239</v>
      </c>
      <c r="G662" s="40" t="s">
        <v>243</v>
      </c>
      <c r="H662" s="40" t="s">
        <v>2755</v>
      </c>
      <c r="I662" s="360" t="e">
        <f>VLOOKUP(Таблица18[[#This Row],[Номер акта]],$AB$1:$AF$1833,3,FALSE)</f>
        <v>#N/A</v>
      </c>
      <c r="J662" s="40" t="s">
        <v>1763</v>
      </c>
      <c r="K662" s="40" t="s">
        <v>82</v>
      </c>
      <c r="L662" s="121">
        <v>29360</v>
      </c>
      <c r="M662" s="121">
        <v>22700</v>
      </c>
      <c r="N662" s="121">
        <v>31.5</v>
      </c>
      <c r="O662" s="363">
        <v>6660</v>
      </c>
      <c r="P662" s="363">
        <v>4562.1000000000004</v>
      </c>
      <c r="Q662" s="121">
        <v>2024</v>
      </c>
      <c r="R662" s="121"/>
      <c r="S662" s="148">
        <v>45453</v>
      </c>
      <c r="T662" s="363">
        <f>Таблица18[[#This Row],[Вес нетто]]-Таблица18[[#This Row],[Зачетный вес]]</f>
        <v>2097.8999999999996</v>
      </c>
      <c r="U662" s="365">
        <f>Таблица18[[#This Row],[Отход]]/Таблица18[[#This Row],[Вес нетто]]</f>
        <v>0.31499999999999995</v>
      </c>
      <c r="V662" s="121">
        <f>MONTH(Таблица18[[#This Row],[Дата акта]])</f>
        <v>6</v>
      </c>
      <c r="W662" s="121">
        <v>10</v>
      </c>
      <c r="X662" s="148">
        <f>DATE(1900,Таблица18[[#This Row],[Месяц]],Таблица18[[#This Row],[Число]])</f>
        <v>162</v>
      </c>
      <c r="Y662" s="121"/>
      <c r="Z662" s="121" t="str">
        <f>Таблица18[[#This Row],[Хар-ка]]</f>
        <v>высший</v>
      </c>
      <c r="AD662" s="459"/>
      <c r="AE662" s="391"/>
    </row>
    <row r="663" spans="1:31" s="325" customFormat="1" ht="15.6" hidden="1" customHeight="1" x14ac:dyDescent="0.2">
      <c r="A663" s="40" t="s">
        <v>2606</v>
      </c>
      <c r="B663" s="360" t="s">
        <v>511</v>
      </c>
      <c r="C663" s="40">
        <v>286</v>
      </c>
      <c r="D663" s="40">
        <v>20</v>
      </c>
      <c r="E663" s="40" t="s">
        <v>2754</v>
      </c>
      <c r="F663" s="40" t="s">
        <v>239</v>
      </c>
      <c r="G663" s="40" t="s">
        <v>243</v>
      </c>
      <c r="H663" s="40" t="s">
        <v>2756</v>
      </c>
      <c r="I663" s="360" t="e">
        <f>VLOOKUP(Таблица18[[#This Row],[Номер акта]],$AB$1:$AF$1833,3,FALSE)</f>
        <v>#N/A</v>
      </c>
      <c r="J663" s="40" t="s">
        <v>1760</v>
      </c>
      <c r="K663" s="40" t="s">
        <v>82</v>
      </c>
      <c r="L663" s="121">
        <v>22700</v>
      </c>
      <c r="M663" s="121">
        <v>14520</v>
      </c>
      <c r="N663" s="121">
        <v>23.5</v>
      </c>
      <c r="O663" s="363">
        <v>8180</v>
      </c>
      <c r="P663" s="363">
        <v>6257.7</v>
      </c>
      <c r="Q663" s="121">
        <v>2024</v>
      </c>
      <c r="R663" s="121"/>
      <c r="S663" s="148">
        <v>45453</v>
      </c>
      <c r="T663" s="363">
        <f>Таблица18[[#This Row],[Вес нетто]]-Таблица18[[#This Row],[Зачетный вес]]</f>
        <v>1922.3000000000002</v>
      </c>
      <c r="U663" s="365">
        <f>Таблица18[[#This Row],[Отход]]/Таблица18[[#This Row],[Вес нетто]]</f>
        <v>0.23500000000000001</v>
      </c>
      <c r="V663" s="121">
        <f>MONTH(Таблица18[[#This Row],[Дата акта]])</f>
        <v>6</v>
      </c>
      <c r="W663" s="121">
        <v>10</v>
      </c>
      <c r="X663" s="148">
        <f>DATE(1900,Таблица18[[#This Row],[Месяц]],Таблица18[[#This Row],[Число]])</f>
        <v>162</v>
      </c>
      <c r="Y663" s="121"/>
      <c r="Z663" s="121" t="str">
        <f>Таблица18[[#This Row],[Хар-ка]]</f>
        <v>высший</v>
      </c>
      <c r="AD663" s="459"/>
      <c r="AE663" s="391"/>
    </row>
    <row r="664" spans="1:31" s="325" customFormat="1" ht="15.6" hidden="1" customHeight="1" x14ac:dyDescent="0.2">
      <c r="A664" s="40" t="s">
        <v>2607</v>
      </c>
      <c r="B664" s="360" t="s">
        <v>511</v>
      </c>
      <c r="C664" s="40">
        <v>287</v>
      </c>
      <c r="D664" s="40">
        <v>21</v>
      </c>
      <c r="E664" s="40" t="s">
        <v>2754</v>
      </c>
      <c r="F664" s="40" t="s">
        <v>2757</v>
      </c>
      <c r="G664" s="40" t="s">
        <v>2758</v>
      </c>
      <c r="H664" s="40" t="s">
        <v>2755</v>
      </c>
      <c r="I664" s="360" t="e">
        <f>VLOOKUP(Таблица18[[#This Row],[Номер акта]],$AB$1:$AF$1833,3,FALSE)</f>
        <v>#N/A</v>
      </c>
      <c r="J664" s="40" t="s">
        <v>1763</v>
      </c>
      <c r="K664" s="40" t="s">
        <v>82</v>
      </c>
      <c r="L664" s="121">
        <v>32310</v>
      </c>
      <c r="M664" s="121">
        <v>16720</v>
      </c>
      <c r="N664" s="121">
        <v>33.5</v>
      </c>
      <c r="O664" s="363">
        <v>15590</v>
      </c>
      <c r="P664" s="363">
        <v>10367.299999999999</v>
      </c>
      <c r="Q664" s="121">
        <v>2024</v>
      </c>
      <c r="R664" s="121"/>
      <c r="S664" s="148">
        <v>45453</v>
      </c>
      <c r="T664" s="363">
        <f>Таблица18[[#This Row],[Вес нетто]]-Таблица18[[#This Row],[Зачетный вес]]</f>
        <v>5222.7000000000007</v>
      </c>
      <c r="U664" s="365">
        <f>Таблица18[[#This Row],[Отход]]/Таблица18[[#This Row],[Вес нетто]]</f>
        <v>0.33500320718409243</v>
      </c>
      <c r="V664" s="121">
        <f>MONTH(Таблица18[[#This Row],[Дата акта]])</f>
        <v>6</v>
      </c>
      <c r="W664" s="121">
        <v>10</v>
      </c>
      <c r="X664" s="148">
        <f>DATE(1900,Таблица18[[#This Row],[Месяц]],Таблица18[[#This Row],[Число]])</f>
        <v>162</v>
      </c>
      <c r="Y664" s="121"/>
      <c r="Z664" s="121" t="str">
        <f>Таблица18[[#This Row],[Хар-ка]]</f>
        <v>высший</v>
      </c>
      <c r="AD664" s="459"/>
      <c r="AE664" s="391"/>
    </row>
    <row r="665" spans="1:31" s="325" customFormat="1" ht="15.6" hidden="1" customHeight="1" x14ac:dyDescent="0.2">
      <c r="A665" s="40" t="s">
        <v>2608</v>
      </c>
      <c r="B665" s="360" t="s">
        <v>511</v>
      </c>
      <c r="C665" s="40">
        <v>288</v>
      </c>
      <c r="D665" s="40">
        <v>22</v>
      </c>
      <c r="E665" s="40" t="s">
        <v>2754</v>
      </c>
      <c r="F665" s="40" t="s">
        <v>2749</v>
      </c>
      <c r="G665" s="40" t="s">
        <v>270</v>
      </c>
      <c r="H665" s="40" t="s">
        <v>2755</v>
      </c>
      <c r="I665" s="360" t="e">
        <f>VLOOKUP(Таблица18[[#This Row],[Номер акта]],$AB$1:$AF$1833,3,FALSE)</f>
        <v>#N/A</v>
      </c>
      <c r="J665" s="40" t="s">
        <v>1763</v>
      </c>
      <c r="K665" s="40" t="s">
        <v>82</v>
      </c>
      <c r="L665" s="121">
        <v>28270</v>
      </c>
      <c r="M665" s="121">
        <v>14900</v>
      </c>
      <c r="N665" s="121">
        <v>32.5</v>
      </c>
      <c r="O665" s="363">
        <v>13370</v>
      </c>
      <c r="P665" s="363">
        <v>9024.7000000000007</v>
      </c>
      <c r="Q665" s="121">
        <v>2024</v>
      </c>
      <c r="R665" s="121"/>
      <c r="S665" s="148">
        <v>45454</v>
      </c>
      <c r="T665" s="363">
        <f>Таблица18[[#This Row],[Вес нетто]]-Таблица18[[#This Row],[Зачетный вес]]</f>
        <v>4345.2999999999993</v>
      </c>
      <c r="U665" s="365">
        <f>Таблица18[[#This Row],[Отход]]/Таблица18[[#This Row],[Вес нетто]]</f>
        <v>0.32500373971578156</v>
      </c>
      <c r="V665" s="121">
        <f>MONTH(Таблица18[[#This Row],[Дата акта]])</f>
        <v>6</v>
      </c>
      <c r="W665" s="121">
        <v>11</v>
      </c>
      <c r="X665" s="148">
        <f>DATE(1900,Таблица18[[#This Row],[Месяц]],Таблица18[[#This Row],[Число]])</f>
        <v>163</v>
      </c>
      <c r="Y665" s="121"/>
      <c r="Z665" s="121" t="str">
        <f>Таблица18[[#This Row],[Хар-ка]]</f>
        <v>высший</v>
      </c>
      <c r="AD665" s="459"/>
      <c r="AE665" s="391"/>
    </row>
    <row r="666" spans="1:31" s="325" customFormat="1" ht="15.6" hidden="1" customHeight="1" x14ac:dyDescent="0.2">
      <c r="A666" s="40" t="s">
        <v>2609</v>
      </c>
      <c r="B666" s="360" t="s">
        <v>511</v>
      </c>
      <c r="C666" s="40">
        <v>289</v>
      </c>
      <c r="D666" s="40">
        <v>23</v>
      </c>
      <c r="E666" s="40" t="s">
        <v>2754</v>
      </c>
      <c r="F666" s="40" t="s">
        <v>2759</v>
      </c>
      <c r="G666" s="40" t="s">
        <v>2760</v>
      </c>
      <c r="H666" s="40" t="s">
        <v>2755</v>
      </c>
      <c r="I666" s="360" t="e">
        <f>VLOOKUP(Таблица18[[#This Row],[Номер акта]],$AB$1:$AF$1833,3,FALSE)</f>
        <v>#N/A</v>
      </c>
      <c r="J666" s="40" t="s">
        <v>1763</v>
      </c>
      <c r="K666" s="40" t="s">
        <v>82</v>
      </c>
      <c r="L666" s="121">
        <v>38940</v>
      </c>
      <c r="M666" s="121">
        <v>21370</v>
      </c>
      <c r="N666" s="121">
        <v>29.5</v>
      </c>
      <c r="O666" s="363">
        <v>17570</v>
      </c>
      <c r="P666" s="363">
        <v>12386.8</v>
      </c>
      <c r="Q666" s="121">
        <v>2024</v>
      </c>
      <c r="R666" s="121"/>
      <c r="S666" s="148">
        <v>45454</v>
      </c>
      <c r="T666" s="363">
        <f>Таблица18[[#This Row],[Вес нетто]]-Таблица18[[#This Row],[Зачетный вес]]</f>
        <v>5183.2000000000007</v>
      </c>
      <c r="U666" s="365">
        <f>Таблица18[[#This Row],[Отход]]/Таблица18[[#This Row],[Вес нетто]]</f>
        <v>0.29500284575981789</v>
      </c>
      <c r="V666" s="121">
        <f>MONTH(Таблица18[[#This Row],[Дата акта]])</f>
        <v>6</v>
      </c>
      <c r="W666" s="121">
        <v>11</v>
      </c>
      <c r="X666" s="148">
        <f>DATE(1900,Таблица18[[#This Row],[Месяц]],Таблица18[[#This Row],[Число]])</f>
        <v>163</v>
      </c>
      <c r="Y666" s="121"/>
      <c r="Z666" s="121" t="str">
        <f>Таблица18[[#This Row],[Хар-ка]]</f>
        <v>высший</v>
      </c>
      <c r="AD666" s="459"/>
      <c r="AE666" s="391"/>
    </row>
    <row r="667" spans="1:31" s="325" customFormat="1" ht="15.6" hidden="1" customHeight="1" x14ac:dyDescent="0.2">
      <c r="A667" s="40" t="s">
        <v>2610</v>
      </c>
      <c r="B667" s="360" t="s">
        <v>511</v>
      </c>
      <c r="C667" s="40">
        <v>290</v>
      </c>
      <c r="D667" s="40">
        <v>24</v>
      </c>
      <c r="E667" s="40" t="s">
        <v>2754</v>
      </c>
      <c r="F667" s="40" t="s">
        <v>2761</v>
      </c>
      <c r="G667" s="40" t="s">
        <v>149</v>
      </c>
      <c r="H667" s="40" t="s">
        <v>2755</v>
      </c>
      <c r="I667" s="360" t="e">
        <f>VLOOKUP(Таблица18[[#This Row],[Номер акта]],$AB$1:$AF$1833,3,FALSE)</f>
        <v>#N/A</v>
      </c>
      <c r="J667" s="40" t="s">
        <v>1763</v>
      </c>
      <c r="K667" s="40" t="s">
        <v>82</v>
      </c>
      <c r="L667" s="121">
        <v>28400</v>
      </c>
      <c r="M667" s="121">
        <v>15040</v>
      </c>
      <c r="N667" s="121">
        <v>31.5</v>
      </c>
      <c r="O667" s="363">
        <v>13360</v>
      </c>
      <c r="P667" s="363">
        <v>9151.6</v>
      </c>
      <c r="Q667" s="121">
        <v>2024</v>
      </c>
      <c r="R667" s="121"/>
      <c r="S667" s="148">
        <v>45454</v>
      </c>
      <c r="T667" s="363">
        <f>Таблица18[[#This Row],[Вес нетто]]-Таблица18[[#This Row],[Зачетный вес]]</f>
        <v>4208.3999999999996</v>
      </c>
      <c r="U667" s="365">
        <f>Таблица18[[#This Row],[Отход]]/Таблица18[[#This Row],[Вес нетто]]</f>
        <v>0.31499999999999995</v>
      </c>
      <c r="V667" s="121">
        <f>MONTH(Таблица18[[#This Row],[Дата акта]])</f>
        <v>6</v>
      </c>
      <c r="W667" s="121">
        <v>11</v>
      </c>
      <c r="X667" s="148">
        <f>DATE(1900,Таблица18[[#This Row],[Месяц]],Таблица18[[#This Row],[Число]])</f>
        <v>163</v>
      </c>
      <c r="Y667" s="121"/>
      <c r="Z667" s="121" t="str">
        <f>Таблица18[[#This Row],[Хар-ка]]</f>
        <v>высший</v>
      </c>
      <c r="AD667" s="459"/>
      <c r="AE667" s="391"/>
    </row>
    <row r="668" spans="1:31" s="325" customFormat="1" ht="15.6" hidden="1" customHeight="1" x14ac:dyDescent="0.2">
      <c r="A668" s="40" t="s">
        <v>2611</v>
      </c>
      <c r="B668" s="360" t="s">
        <v>511</v>
      </c>
      <c r="C668" s="40">
        <v>291</v>
      </c>
      <c r="D668" s="40">
        <v>25</v>
      </c>
      <c r="E668" s="40" t="s">
        <v>2754</v>
      </c>
      <c r="F668" s="40" t="s">
        <v>1880</v>
      </c>
      <c r="G668" s="40" t="s">
        <v>1802</v>
      </c>
      <c r="H668" s="40" t="s">
        <v>2755</v>
      </c>
      <c r="I668" s="360" t="e">
        <f>VLOOKUP(Таблица18[[#This Row],[Номер акта]],$AB$1:$AF$1833,3,FALSE)</f>
        <v>#N/A</v>
      </c>
      <c r="J668" s="40" t="s">
        <v>1763</v>
      </c>
      <c r="K668" s="40" t="s">
        <v>82</v>
      </c>
      <c r="L668" s="121">
        <v>28110</v>
      </c>
      <c r="M668" s="121">
        <v>14730</v>
      </c>
      <c r="N668" s="121">
        <v>33.5</v>
      </c>
      <c r="O668" s="363">
        <v>13380</v>
      </c>
      <c r="P668" s="363">
        <v>8897.7000000000007</v>
      </c>
      <c r="Q668" s="121">
        <v>2024</v>
      </c>
      <c r="R668" s="121"/>
      <c r="S668" s="148">
        <v>45454</v>
      </c>
      <c r="T668" s="363">
        <f>Таблица18[[#This Row],[Вес нетто]]-Таблица18[[#This Row],[Зачетный вес]]</f>
        <v>4482.2999999999993</v>
      </c>
      <c r="U668" s="365">
        <f>Таблица18[[#This Row],[Отход]]/Таблица18[[#This Row],[Вес нетто]]</f>
        <v>0.33499999999999996</v>
      </c>
      <c r="V668" s="121">
        <f>MONTH(Таблица18[[#This Row],[Дата акта]])</f>
        <v>6</v>
      </c>
      <c r="W668" s="121">
        <v>11</v>
      </c>
      <c r="X668" s="148">
        <f>DATE(1900,Таблица18[[#This Row],[Месяц]],Таблица18[[#This Row],[Число]])</f>
        <v>163</v>
      </c>
      <c r="Y668" s="121"/>
      <c r="Z668" s="121" t="str">
        <f>Таблица18[[#This Row],[Хар-ка]]</f>
        <v>высший</v>
      </c>
      <c r="AD668" s="459"/>
      <c r="AE668" s="391"/>
    </row>
    <row r="669" spans="1:31" s="325" customFormat="1" ht="15.6" hidden="1" customHeight="1" x14ac:dyDescent="0.2">
      <c r="A669" s="40" t="s">
        <v>2612</v>
      </c>
      <c r="B669" s="360" t="s">
        <v>511</v>
      </c>
      <c r="C669" s="40">
        <v>292</v>
      </c>
      <c r="D669" s="40">
        <v>26</v>
      </c>
      <c r="E669" s="40" t="s">
        <v>2754</v>
      </c>
      <c r="F669" s="40" t="s">
        <v>2762</v>
      </c>
      <c r="G669" s="40" t="s">
        <v>145</v>
      </c>
      <c r="H669" s="40" t="s">
        <v>2755</v>
      </c>
      <c r="I669" s="360" t="e">
        <f>VLOOKUP(Таблица18[[#This Row],[Номер акта]],$AB$1:$AF$1833,3,FALSE)</f>
        <v>#N/A</v>
      </c>
      <c r="J669" s="40" t="s">
        <v>1763</v>
      </c>
      <c r="K669" s="40" t="s">
        <v>82</v>
      </c>
      <c r="L669" s="121">
        <v>29000</v>
      </c>
      <c r="M669" s="121">
        <v>15590</v>
      </c>
      <c r="N669" s="121">
        <v>30.5</v>
      </c>
      <c r="O669" s="363">
        <v>13410</v>
      </c>
      <c r="P669" s="363">
        <v>9319.9</v>
      </c>
      <c r="Q669" s="121">
        <v>2024</v>
      </c>
      <c r="R669" s="121"/>
      <c r="S669" s="148">
        <v>45454</v>
      </c>
      <c r="T669" s="363">
        <f>Таблица18[[#This Row],[Вес нетто]]-Таблица18[[#This Row],[Зачетный вес]]</f>
        <v>4090.1000000000004</v>
      </c>
      <c r="U669" s="365">
        <f>Таблица18[[#This Row],[Отход]]/Таблица18[[#This Row],[Вес нетто]]</f>
        <v>0.30500372856077557</v>
      </c>
      <c r="V669" s="121">
        <f>MONTH(Таблица18[[#This Row],[Дата акта]])</f>
        <v>6</v>
      </c>
      <c r="W669" s="121">
        <v>11</v>
      </c>
      <c r="X669" s="148">
        <f>DATE(1900,Таблица18[[#This Row],[Месяц]],Таблица18[[#This Row],[Число]])</f>
        <v>163</v>
      </c>
      <c r="Y669" s="121"/>
      <c r="Z669" s="121" t="str">
        <f>Таблица18[[#This Row],[Хар-ка]]</f>
        <v>высший</v>
      </c>
      <c r="AD669" s="459"/>
      <c r="AE669" s="391"/>
    </row>
    <row r="670" spans="1:31" s="325" customFormat="1" ht="15.6" hidden="1" customHeight="1" x14ac:dyDescent="0.2">
      <c r="A670" s="40" t="s">
        <v>2613</v>
      </c>
      <c r="B670" s="360" t="s">
        <v>511</v>
      </c>
      <c r="C670" s="40">
        <v>293</v>
      </c>
      <c r="D670" s="40">
        <v>28</v>
      </c>
      <c r="E670" s="40" t="s">
        <v>2754</v>
      </c>
      <c r="F670" s="40" t="s">
        <v>311</v>
      </c>
      <c r="G670" s="40" t="s">
        <v>315</v>
      </c>
      <c r="H670" s="40" t="s">
        <v>2755</v>
      </c>
      <c r="I670" s="360" t="e">
        <f>VLOOKUP(Таблица18[[#This Row],[Номер акта]],$AB$1:$AF$1833,3,FALSE)</f>
        <v>#N/A</v>
      </c>
      <c r="J670" s="40" t="s">
        <v>1763</v>
      </c>
      <c r="K670" s="40" t="s">
        <v>82</v>
      </c>
      <c r="L670" s="121">
        <v>28390</v>
      </c>
      <c r="M670" s="121">
        <v>15110</v>
      </c>
      <c r="N670" s="121">
        <v>22.5</v>
      </c>
      <c r="O670" s="363">
        <v>13280</v>
      </c>
      <c r="P670" s="363">
        <v>10292</v>
      </c>
      <c r="Q670" s="121">
        <v>2024</v>
      </c>
      <c r="R670" s="121"/>
      <c r="S670" s="148">
        <v>45454</v>
      </c>
      <c r="T670" s="363">
        <f>Таблица18[[#This Row],[Вес нетто]]-Таблица18[[#This Row],[Зачетный вес]]</f>
        <v>2988</v>
      </c>
      <c r="U670" s="365">
        <f>Таблица18[[#This Row],[Отход]]/Таблица18[[#This Row],[Вес нетто]]</f>
        <v>0.22500000000000001</v>
      </c>
      <c r="V670" s="121">
        <f>MONTH(Таблица18[[#This Row],[Дата акта]])</f>
        <v>6</v>
      </c>
      <c r="W670" s="121">
        <v>11</v>
      </c>
      <c r="X670" s="148">
        <f>DATE(1900,Таблица18[[#This Row],[Месяц]],Таблица18[[#This Row],[Число]])</f>
        <v>163</v>
      </c>
      <c r="Y670" s="121"/>
      <c r="Z670" s="121" t="str">
        <f>Таблица18[[#This Row],[Хар-ка]]</f>
        <v>высший</v>
      </c>
      <c r="AD670" s="459"/>
      <c r="AE670" s="391"/>
    </row>
    <row r="671" spans="1:31" s="325" customFormat="1" ht="15.6" hidden="1" customHeight="1" x14ac:dyDescent="0.2">
      <c r="A671" s="40" t="s">
        <v>2614</v>
      </c>
      <c r="B671" s="360" t="s">
        <v>511</v>
      </c>
      <c r="C671" s="40">
        <v>294</v>
      </c>
      <c r="D671" s="40">
        <v>27</v>
      </c>
      <c r="E671" s="40" t="s">
        <v>2754</v>
      </c>
      <c r="F671" s="40" t="s">
        <v>212</v>
      </c>
      <c r="G671" s="40" t="s">
        <v>216</v>
      </c>
      <c r="H671" s="40" t="s">
        <v>2755</v>
      </c>
      <c r="I671" s="360" t="e">
        <f>VLOOKUP(Таблица18[[#This Row],[Номер акта]],$AB$1:$AF$1833,3,FALSE)</f>
        <v>#N/A</v>
      </c>
      <c r="J671" s="40" t="s">
        <v>1763</v>
      </c>
      <c r="K671" s="40" t="s">
        <v>82</v>
      </c>
      <c r="L671" s="121">
        <v>27250</v>
      </c>
      <c r="M671" s="121">
        <v>14090</v>
      </c>
      <c r="N671" s="121">
        <v>18.5</v>
      </c>
      <c r="O671" s="363">
        <v>13160</v>
      </c>
      <c r="P671" s="363">
        <v>10725.4</v>
      </c>
      <c r="Q671" s="121">
        <v>2024</v>
      </c>
      <c r="R671" s="121"/>
      <c r="S671" s="148">
        <v>45454</v>
      </c>
      <c r="T671" s="363">
        <f>Таблица18[[#This Row],[Вес нетто]]-Таблица18[[#This Row],[Зачетный вес]]</f>
        <v>2434.6000000000004</v>
      </c>
      <c r="U671" s="365">
        <f>Таблица18[[#This Row],[Отход]]/Таблица18[[#This Row],[Вес нетто]]</f>
        <v>0.18500000000000003</v>
      </c>
      <c r="V671" s="121">
        <f>MONTH(Таблица18[[#This Row],[Дата акта]])</f>
        <v>6</v>
      </c>
      <c r="W671" s="121">
        <v>11</v>
      </c>
      <c r="X671" s="148">
        <f>DATE(1900,Таблица18[[#This Row],[Месяц]],Таблица18[[#This Row],[Число]])</f>
        <v>163</v>
      </c>
      <c r="Y671" s="121"/>
      <c r="Z671" s="121" t="str">
        <f>Таблица18[[#This Row],[Хар-ка]]</f>
        <v>высший</v>
      </c>
      <c r="AD671" s="459"/>
      <c r="AE671" s="391"/>
    </row>
    <row r="672" spans="1:31" s="325" customFormat="1" ht="15.6" hidden="1" customHeight="1" x14ac:dyDescent="0.2">
      <c r="A672" s="40" t="s">
        <v>2615</v>
      </c>
      <c r="B672" s="360" t="s">
        <v>511</v>
      </c>
      <c r="C672" s="40">
        <v>295</v>
      </c>
      <c r="D672" s="40">
        <v>30</v>
      </c>
      <c r="E672" s="40" t="s">
        <v>2754</v>
      </c>
      <c r="F672" s="40" t="s">
        <v>2750</v>
      </c>
      <c r="G672" s="40" t="s">
        <v>2751</v>
      </c>
      <c r="H672" s="40" t="s">
        <v>2756</v>
      </c>
      <c r="I672" s="360" t="e">
        <f>VLOOKUP(Таблица18[[#This Row],[Номер акта]],$AB$1:$AF$1833,3,FALSE)</f>
        <v>#N/A</v>
      </c>
      <c r="J672" s="40" t="s">
        <v>1755</v>
      </c>
      <c r="K672" s="40" t="s">
        <v>82</v>
      </c>
      <c r="L672" s="121">
        <v>33520</v>
      </c>
      <c r="M672" s="121">
        <v>17400</v>
      </c>
      <c r="N672" s="121">
        <v>18.5</v>
      </c>
      <c r="O672" s="363">
        <v>16120</v>
      </c>
      <c r="P672" s="363">
        <v>13137.8</v>
      </c>
      <c r="Q672" s="121">
        <v>2024</v>
      </c>
      <c r="R672" s="121"/>
      <c r="S672" s="148">
        <v>45454</v>
      </c>
      <c r="T672" s="363">
        <f>Таблица18[[#This Row],[Вес нетто]]-Таблица18[[#This Row],[Зачетный вес]]</f>
        <v>2982.2000000000007</v>
      </c>
      <c r="U672" s="365">
        <f>Таблица18[[#This Row],[Отход]]/Таблица18[[#This Row],[Вес нетто]]</f>
        <v>0.18500000000000005</v>
      </c>
      <c r="V672" s="121">
        <f>MONTH(Таблица18[[#This Row],[Дата акта]])</f>
        <v>6</v>
      </c>
      <c r="W672" s="121">
        <v>11</v>
      </c>
      <c r="X672" s="148">
        <f>DATE(1900,Таблица18[[#This Row],[Месяц]],Таблица18[[#This Row],[Число]])</f>
        <v>163</v>
      </c>
      <c r="Y672" s="121"/>
      <c r="Z672" s="121" t="str">
        <f>Таблица18[[#This Row],[Хар-ка]]</f>
        <v>высший</v>
      </c>
      <c r="AD672" s="459"/>
      <c r="AE672" s="391"/>
    </row>
    <row r="673" spans="1:31" s="325" customFormat="1" ht="15.6" hidden="1" customHeight="1" x14ac:dyDescent="0.2">
      <c r="A673" s="40" t="s">
        <v>2616</v>
      </c>
      <c r="B673" s="360" t="s">
        <v>511</v>
      </c>
      <c r="C673" s="40">
        <v>296</v>
      </c>
      <c r="D673" s="40">
        <v>29</v>
      </c>
      <c r="E673" s="40" t="s">
        <v>2754</v>
      </c>
      <c r="F673" s="40" t="s">
        <v>1367</v>
      </c>
      <c r="G673" s="40" t="s">
        <v>1368</v>
      </c>
      <c r="H673" s="40" t="s">
        <v>2756</v>
      </c>
      <c r="I673" s="360" t="e">
        <f>VLOOKUP(Таблица18[[#This Row],[Номер акта]],$AB$1:$AF$1833,3,FALSE)</f>
        <v>#N/A</v>
      </c>
      <c r="J673" s="40" t="s">
        <v>1755</v>
      </c>
      <c r="K673" s="40" t="s">
        <v>82</v>
      </c>
      <c r="L673" s="121">
        <v>30300</v>
      </c>
      <c r="M673" s="121">
        <v>14800</v>
      </c>
      <c r="N673" s="121">
        <v>15.5</v>
      </c>
      <c r="O673" s="363">
        <v>15500</v>
      </c>
      <c r="P673" s="363">
        <v>13097.5</v>
      </c>
      <c r="Q673" s="121">
        <v>2024</v>
      </c>
      <c r="R673" s="121"/>
      <c r="S673" s="148">
        <v>45454</v>
      </c>
      <c r="T673" s="363">
        <f>Таблица18[[#This Row],[Вес нетто]]-Таблица18[[#This Row],[Зачетный вес]]</f>
        <v>2402.5</v>
      </c>
      <c r="U673" s="365">
        <f>Таблица18[[#This Row],[Отход]]/Таблица18[[#This Row],[Вес нетто]]</f>
        <v>0.155</v>
      </c>
      <c r="V673" s="121">
        <f>MONTH(Таблица18[[#This Row],[Дата акта]])</f>
        <v>6</v>
      </c>
      <c r="W673" s="121">
        <v>11</v>
      </c>
      <c r="X673" s="148">
        <f>DATE(1900,Таблица18[[#This Row],[Месяц]],Таблица18[[#This Row],[Число]])</f>
        <v>163</v>
      </c>
      <c r="Y673" s="121"/>
      <c r="Z673" s="121" t="str">
        <f>Таблица18[[#This Row],[Хар-ка]]</f>
        <v>высший</v>
      </c>
      <c r="AD673" s="459"/>
      <c r="AE673" s="391"/>
    </row>
    <row r="674" spans="1:31" s="325" customFormat="1" ht="15.6" hidden="1" customHeight="1" x14ac:dyDescent="0.2">
      <c r="A674" s="40" t="s">
        <v>2617</v>
      </c>
      <c r="B674" s="360" t="s">
        <v>511</v>
      </c>
      <c r="C674" s="40">
        <v>297</v>
      </c>
      <c r="D674" s="40">
        <v>31</v>
      </c>
      <c r="E674" s="40" t="s">
        <v>2754</v>
      </c>
      <c r="F674" s="40" t="s">
        <v>1843</v>
      </c>
      <c r="G674" s="40" t="s">
        <v>119</v>
      </c>
      <c r="H674" s="40" t="s">
        <v>2756</v>
      </c>
      <c r="I674" s="360" t="e">
        <f>VLOOKUP(Таблица18[[#This Row],[Номер акта]],$AB$1:$AF$1833,3,FALSE)</f>
        <v>#N/A</v>
      </c>
      <c r="J674" s="40" t="s">
        <v>1755</v>
      </c>
      <c r="K674" s="40" t="s">
        <v>82</v>
      </c>
      <c r="L674" s="121">
        <v>39020</v>
      </c>
      <c r="M674" s="121">
        <v>21070</v>
      </c>
      <c r="N674" s="121">
        <v>22.5</v>
      </c>
      <c r="O674" s="363">
        <v>17950</v>
      </c>
      <c r="P674" s="363">
        <v>13911.2</v>
      </c>
      <c r="Q674" s="121">
        <v>2024</v>
      </c>
      <c r="R674" s="121"/>
      <c r="S674" s="148">
        <v>45455</v>
      </c>
      <c r="T674" s="363">
        <f>Таблица18[[#This Row],[Вес нетто]]-Таблица18[[#This Row],[Зачетный вес]]</f>
        <v>4038.7999999999993</v>
      </c>
      <c r="U674" s="365">
        <f>Таблица18[[#This Row],[Отход]]/Таблица18[[#This Row],[Вес нетто]]</f>
        <v>0.2250027855153203</v>
      </c>
      <c r="V674" s="121">
        <f>MONTH(Таблица18[[#This Row],[Дата акта]])</f>
        <v>6</v>
      </c>
      <c r="W674" s="121">
        <v>12</v>
      </c>
      <c r="X674" s="148">
        <f>DATE(1900,Таблица18[[#This Row],[Месяц]],Таблица18[[#This Row],[Число]])</f>
        <v>164</v>
      </c>
      <c r="Y674" s="121"/>
      <c r="Z674" s="121" t="str">
        <f>Таблица18[[#This Row],[Хар-ка]]</f>
        <v>высший</v>
      </c>
      <c r="AD674" s="459"/>
      <c r="AE674" s="391"/>
    </row>
    <row r="675" spans="1:31" s="325" customFormat="1" ht="15.6" hidden="1" customHeight="1" x14ac:dyDescent="0.2">
      <c r="A675" s="40" t="s">
        <v>2618</v>
      </c>
      <c r="B675" s="360" t="s">
        <v>511</v>
      </c>
      <c r="C675" s="40">
        <v>298</v>
      </c>
      <c r="D675" s="40">
        <v>32</v>
      </c>
      <c r="E675" s="40" t="s">
        <v>2754</v>
      </c>
      <c r="F675" s="40" t="s">
        <v>272</v>
      </c>
      <c r="G675" s="40" t="s">
        <v>276</v>
      </c>
      <c r="H675" s="40" t="s">
        <v>2756</v>
      </c>
      <c r="I675" s="360" t="e">
        <f>VLOOKUP(Таблица18[[#This Row],[Номер акта]],$AB$1:$AF$1833,3,FALSE)</f>
        <v>#N/A</v>
      </c>
      <c r="J675" s="40" t="s">
        <v>1755</v>
      </c>
      <c r="K675" s="40" t="s">
        <v>82</v>
      </c>
      <c r="L675" s="121">
        <v>28070</v>
      </c>
      <c r="M675" s="121">
        <v>14420</v>
      </c>
      <c r="N675" s="121">
        <v>23.5</v>
      </c>
      <c r="O675" s="363">
        <v>13650</v>
      </c>
      <c r="P675" s="363">
        <v>10442.200000000001</v>
      </c>
      <c r="Q675" s="121">
        <v>2024</v>
      </c>
      <c r="R675" s="121"/>
      <c r="S675" s="148">
        <v>45455</v>
      </c>
      <c r="T675" s="363">
        <f>Таблица18[[#This Row],[Вес нетто]]-Таблица18[[#This Row],[Зачетный вес]]</f>
        <v>3207.7999999999993</v>
      </c>
      <c r="U675" s="365">
        <f>Таблица18[[#This Row],[Отход]]/Таблица18[[#This Row],[Вес нетто]]</f>
        <v>0.23500366300366296</v>
      </c>
      <c r="V675" s="121">
        <f>MONTH(Таблица18[[#This Row],[Дата акта]])</f>
        <v>6</v>
      </c>
      <c r="W675" s="121">
        <v>12</v>
      </c>
      <c r="X675" s="148">
        <f>DATE(1900,Таблица18[[#This Row],[Месяц]],Таблица18[[#This Row],[Число]])</f>
        <v>164</v>
      </c>
      <c r="Y675" s="121"/>
      <c r="Z675" s="121" t="str">
        <f>Таблица18[[#This Row],[Хар-ка]]</f>
        <v>высший</v>
      </c>
      <c r="AD675" s="459"/>
      <c r="AE675" s="391"/>
    </row>
    <row r="676" spans="1:31" s="325" customFormat="1" ht="15.6" hidden="1" customHeight="1" x14ac:dyDescent="0.2">
      <c r="A676" s="40" t="s">
        <v>2619</v>
      </c>
      <c r="B676" s="360" t="s">
        <v>511</v>
      </c>
      <c r="C676" s="40">
        <v>299</v>
      </c>
      <c r="D676" s="40">
        <v>33</v>
      </c>
      <c r="E676" s="40" t="s">
        <v>2754</v>
      </c>
      <c r="F676" s="40" t="s">
        <v>2747</v>
      </c>
      <c r="G676" s="40" t="s">
        <v>2748</v>
      </c>
      <c r="H676" s="40" t="s">
        <v>2756</v>
      </c>
      <c r="I676" s="360" t="e">
        <f>VLOOKUP(Таблица18[[#This Row],[Номер акта]],$AB$1:$AF$1833,3,FALSE)</f>
        <v>#N/A</v>
      </c>
      <c r="J676" s="40" t="s">
        <v>1755</v>
      </c>
      <c r="K676" s="40" t="s">
        <v>82</v>
      </c>
      <c r="L676" s="121">
        <v>28140</v>
      </c>
      <c r="M676" s="121">
        <v>14780</v>
      </c>
      <c r="N676" s="121">
        <v>30.5</v>
      </c>
      <c r="O676" s="363">
        <v>13360</v>
      </c>
      <c r="P676" s="363">
        <v>9285.2000000000007</v>
      </c>
      <c r="Q676" s="121">
        <v>2024</v>
      </c>
      <c r="R676" s="121"/>
      <c r="S676" s="148">
        <v>45455</v>
      </c>
      <c r="T676" s="363">
        <f>Таблица18[[#This Row],[Вес нетто]]-Таблица18[[#This Row],[Зачетный вес]]</f>
        <v>4074.7999999999993</v>
      </c>
      <c r="U676" s="365">
        <f>Таблица18[[#This Row],[Отход]]/Таблица18[[#This Row],[Вес нетто]]</f>
        <v>0.30499999999999994</v>
      </c>
      <c r="V676" s="121">
        <f>MONTH(Таблица18[[#This Row],[Дата акта]])</f>
        <v>6</v>
      </c>
      <c r="W676" s="121">
        <v>12</v>
      </c>
      <c r="X676" s="148">
        <f>DATE(1900,Таблица18[[#This Row],[Месяц]],Таблица18[[#This Row],[Число]])</f>
        <v>164</v>
      </c>
      <c r="Y676" s="121"/>
      <c r="Z676" s="121" t="str">
        <f>Таблица18[[#This Row],[Хар-ка]]</f>
        <v>высший</v>
      </c>
      <c r="AD676" s="459"/>
      <c r="AE676" s="391"/>
    </row>
    <row r="677" spans="1:31" s="325" customFormat="1" ht="15.6" hidden="1" customHeight="1" x14ac:dyDescent="0.2">
      <c r="A677" s="40" t="s">
        <v>2620</v>
      </c>
      <c r="B677" s="360" t="s">
        <v>511</v>
      </c>
      <c r="C677" s="40">
        <v>300</v>
      </c>
      <c r="D677" s="40">
        <v>34</v>
      </c>
      <c r="E677" s="40" t="s">
        <v>2754</v>
      </c>
      <c r="F677" s="40" t="s">
        <v>2757</v>
      </c>
      <c r="G677" s="40" t="s">
        <v>2758</v>
      </c>
      <c r="H677" s="40" t="s">
        <v>2756</v>
      </c>
      <c r="I677" s="360" t="e">
        <f>VLOOKUP(Таблица18[[#This Row],[Номер акта]],$AB$1:$AF$1833,3,FALSE)</f>
        <v>#N/A</v>
      </c>
      <c r="J677" s="40" t="s">
        <v>1755</v>
      </c>
      <c r="K677" s="40" t="s">
        <v>82</v>
      </c>
      <c r="L677" s="121">
        <v>32590</v>
      </c>
      <c r="M677" s="121">
        <v>16670</v>
      </c>
      <c r="N677" s="121">
        <v>26.5</v>
      </c>
      <c r="O677" s="363">
        <v>15920</v>
      </c>
      <c r="P677" s="363">
        <v>11701.2</v>
      </c>
      <c r="Q677" s="121">
        <v>2024</v>
      </c>
      <c r="R677" s="121"/>
      <c r="S677" s="148">
        <v>45455</v>
      </c>
      <c r="T677" s="363">
        <f>Таблица18[[#This Row],[Вес нетто]]-Таблица18[[#This Row],[Зачетный вес]]</f>
        <v>4218.7999999999993</v>
      </c>
      <c r="U677" s="365">
        <f>Таблица18[[#This Row],[Отход]]/Таблица18[[#This Row],[Вес нетто]]</f>
        <v>0.26499999999999996</v>
      </c>
      <c r="V677" s="121">
        <f>MONTH(Таблица18[[#This Row],[Дата акта]])</f>
        <v>6</v>
      </c>
      <c r="W677" s="121">
        <v>12</v>
      </c>
      <c r="X677" s="148">
        <f>DATE(1900,Таблица18[[#This Row],[Месяц]],Таблица18[[#This Row],[Число]])</f>
        <v>164</v>
      </c>
      <c r="Y677" s="121"/>
      <c r="Z677" s="121" t="str">
        <f>Таблица18[[#This Row],[Хар-ка]]</f>
        <v>высший</v>
      </c>
      <c r="AD677" s="459"/>
      <c r="AE677" s="391"/>
    </row>
    <row r="678" spans="1:31" s="325" customFormat="1" ht="15.6" hidden="1" customHeight="1" x14ac:dyDescent="0.2">
      <c r="A678" s="40" t="s">
        <v>2621</v>
      </c>
      <c r="B678" s="360" t="s">
        <v>511</v>
      </c>
      <c r="C678" s="40">
        <v>301</v>
      </c>
      <c r="D678" s="40">
        <v>35</v>
      </c>
      <c r="E678" s="40" t="s">
        <v>2754</v>
      </c>
      <c r="F678" s="40" t="s">
        <v>2749</v>
      </c>
      <c r="G678" s="40" t="s">
        <v>270</v>
      </c>
      <c r="H678" s="40" t="s">
        <v>2756</v>
      </c>
      <c r="I678" s="360" t="e">
        <f>VLOOKUP(Таблица18[[#This Row],[Номер акта]],$AB$1:$AF$1833,3,FALSE)</f>
        <v>#N/A</v>
      </c>
      <c r="J678" s="40" t="s">
        <v>1755</v>
      </c>
      <c r="K678" s="40" t="s">
        <v>82</v>
      </c>
      <c r="L678" s="121">
        <v>31130</v>
      </c>
      <c r="M678" s="121">
        <v>15010</v>
      </c>
      <c r="N678" s="121">
        <v>24.5</v>
      </c>
      <c r="O678" s="363">
        <v>16120</v>
      </c>
      <c r="P678" s="363">
        <v>12170.6</v>
      </c>
      <c r="Q678" s="121">
        <v>2024</v>
      </c>
      <c r="R678" s="121"/>
      <c r="S678" s="148">
        <v>45455</v>
      </c>
      <c r="T678" s="363">
        <f>Таблица18[[#This Row],[Вес нетто]]-Таблица18[[#This Row],[Зачетный вес]]</f>
        <v>3949.3999999999996</v>
      </c>
      <c r="U678" s="365">
        <f>Таблица18[[#This Row],[Отход]]/Таблица18[[#This Row],[Вес нетто]]</f>
        <v>0.24499999999999997</v>
      </c>
      <c r="V678" s="121">
        <f>MONTH(Таблица18[[#This Row],[Дата акта]])</f>
        <v>6</v>
      </c>
      <c r="W678" s="121">
        <v>12</v>
      </c>
      <c r="X678" s="148">
        <f>DATE(1900,Таблица18[[#This Row],[Месяц]],Таблица18[[#This Row],[Число]])</f>
        <v>164</v>
      </c>
      <c r="Y678" s="121"/>
      <c r="Z678" s="121" t="str">
        <f>Таблица18[[#This Row],[Хар-ка]]</f>
        <v>высший</v>
      </c>
      <c r="AD678" s="459"/>
      <c r="AE678" s="391"/>
    </row>
    <row r="679" spans="1:31" s="325" customFormat="1" ht="15.6" hidden="1" customHeight="1" x14ac:dyDescent="0.2">
      <c r="A679" s="40" t="s">
        <v>2622</v>
      </c>
      <c r="B679" s="360" t="s">
        <v>511</v>
      </c>
      <c r="C679" s="40">
        <v>302</v>
      </c>
      <c r="D679" s="40">
        <v>36</v>
      </c>
      <c r="E679" s="40" t="s">
        <v>2754</v>
      </c>
      <c r="F679" s="40" t="s">
        <v>133</v>
      </c>
      <c r="G679" s="40" t="s">
        <v>137</v>
      </c>
      <c r="H679" s="40" t="s">
        <v>2756</v>
      </c>
      <c r="I679" s="360" t="e">
        <f>VLOOKUP(Таблица18[[#This Row],[Номер акта]],$AB$1:$AF$1833,3,FALSE)</f>
        <v>#N/A</v>
      </c>
      <c r="J679" s="40" t="s">
        <v>1755</v>
      </c>
      <c r="K679" s="40" t="s">
        <v>82</v>
      </c>
      <c r="L679" s="121">
        <v>29430</v>
      </c>
      <c r="M679" s="121">
        <v>17180</v>
      </c>
      <c r="N679" s="121">
        <v>23.5</v>
      </c>
      <c r="O679" s="363">
        <v>12250</v>
      </c>
      <c r="P679" s="363">
        <v>9371.2000000000007</v>
      </c>
      <c r="Q679" s="121">
        <v>2024</v>
      </c>
      <c r="R679" s="121"/>
      <c r="S679" s="148">
        <v>45455</v>
      </c>
      <c r="T679" s="363">
        <f>Таблица18[[#This Row],[Вес нетто]]-Таблица18[[#This Row],[Зачетный вес]]</f>
        <v>2878.7999999999993</v>
      </c>
      <c r="U679" s="365">
        <f>Таблица18[[#This Row],[Отход]]/Таблица18[[#This Row],[Вес нетто]]</f>
        <v>0.23500408163265299</v>
      </c>
      <c r="V679" s="121">
        <f>MONTH(Таблица18[[#This Row],[Дата акта]])</f>
        <v>6</v>
      </c>
      <c r="W679" s="121">
        <v>12</v>
      </c>
      <c r="X679" s="148">
        <f>DATE(1900,Таблица18[[#This Row],[Месяц]],Таблица18[[#This Row],[Число]])</f>
        <v>164</v>
      </c>
      <c r="Y679" s="121"/>
      <c r="Z679" s="121" t="str">
        <f>Таблица18[[#This Row],[Хар-ка]]</f>
        <v>высший</v>
      </c>
      <c r="AD679" s="459"/>
      <c r="AE679" s="391"/>
    </row>
    <row r="680" spans="1:31" s="325" customFormat="1" ht="15.6" hidden="1" customHeight="1" x14ac:dyDescent="0.2">
      <c r="A680" s="40" t="s">
        <v>2623</v>
      </c>
      <c r="B680" s="360" t="s">
        <v>511</v>
      </c>
      <c r="C680" s="40">
        <v>303</v>
      </c>
      <c r="D680" s="40">
        <v>38</v>
      </c>
      <c r="E680" s="40" t="s">
        <v>2754</v>
      </c>
      <c r="F680" s="40" t="s">
        <v>2761</v>
      </c>
      <c r="G680" s="40" t="s">
        <v>149</v>
      </c>
      <c r="H680" s="40" t="s">
        <v>2755</v>
      </c>
      <c r="I680" s="360" t="e">
        <f>VLOOKUP(Таблица18[[#This Row],[Номер акта]],$AB$1:$AF$1833,3,FALSE)</f>
        <v>#N/A</v>
      </c>
      <c r="J680" s="40" t="s">
        <v>1762</v>
      </c>
      <c r="K680" s="40" t="s">
        <v>82</v>
      </c>
      <c r="L680" s="121">
        <v>28180</v>
      </c>
      <c r="M680" s="121">
        <v>14900</v>
      </c>
      <c r="N680" s="121">
        <v>15.5</v>
      </c>
      <c r="O680" s="363">
        <v>13280</v>
      </c>
      <c r="P680" s="363">
        <v>11221.6</v>
      </c>
      <c r="Q680" s="121">
        <v>2024</v>
      </c>
      <c r="R680" s="121"/>
      <c r="S680" s="148">
        <v>45455</v>
      </c>
      <c r="T680" s="363">
        <f>Таблица18[[#This Row],[Вес нетто]]-Таблица18[[#This Row],[Зачетный вес]]</f>
        <v>2058.3999999999996</v>
      </c>
      <c r="U680" s="365">
        <f>Таблица18[[#This Row],[Отход]]/Таблица18[[#This Row],[Вес нетто]]</f>
        <v>0.15499999999999997</v>
      </c>
      <c r="V680" s="121">
        <f>MONTH(Таблица18[[#This Row],[Дата акта]])</f>
        <v>6</v>
      </c>
      <c r="W680" s="121">
        <v>12</v>
      </c>
      <c r="X680" s="148">
        <f>DATE(1900,Таблица18[[#This Row],[Месяц]],Таблица18[[#This Row],[Число]])</f>
        <v>164</v>
      </c>
      <c r="Y680" s="121"/>
      <c r="Z680" s="121" t="str">
        <f>Таблица18[[#This Row],[Хар-ка]]</f>
        <v>высший</v>
      </c>
      <c r="AD680" s="459"/>
      <c r="AE680" s="391"/>
    </row>
    <row r="681" spans="1:31" s="325" customFormat="1" ht="15.6" hidden="1" customHeight="1" x14ac:dyDescent="0.2">
      <c r="A681" s="40" t="s">
        <v>2624</v>
      </c>
      <c r="B681" s="360" t="s">
        <v>511</v>
      </c>
      <c r="C681" s="40">
        <v>304</v>
      </c>
      <c r="D681" s="40">
        <v>121</v>
      </c>
      <c r="E681" s="40" t="s">
        <v>78</v>
      </c>
      <c r="F681" s="40" t="s">
        <v>239</v>
      </c>
      <c r="G681" s="40" t="s">
        <v>243</v>
      </c>
      <c r="H681" s="40" t="s">
        <v>1757</v>
      </c>
      <c r="I681" s="360" t="e">
        <f>VLOOKUP(Таблица18[[#This Row],[Номер акта]],$AB$1:$AF$1833,3,FALSE)</f>
        <v>#N/A</v>
      </c>
      <c r="J681" s="40" t="s">
        <v>900</v>
      </c>
      <c r="K681" s="40" t="s">
        <v>82</v>
      </c>
      <c r="L681" s="121">
        <v>23690</v>
      </c>
      <c r="M681" s="121">
        <v>14480</v>
      </c>
      <c r="N681" s="121">
        <v>17.5</v>
      </c>
      <c r="O681" s="363">
        <v>9210</v>
      </c>
      <c r="P681" s="363">
        <v>7598.2</v>
      </c>
      <c r="Q681" s="121">
        <v>2024</v>
      </c>
      <c r="R681" s="121"/>
      <c r="S681" s="148">
        <v>45455</v>
      </c>
      <c r="T681" s="363">
        <f>Таблица18[[#This Row],[Вес нетто]]-Таблица18[[#This Row],[Зачетный вес]]</f>
        <v>1611.8000000000002</v>
      </c>
      <c r="U681" s="365">
        <f>Таблица18[[#This Row],[Отход]]/Таблица18[[#This Row],[Вес нетто]]</f>
        <v>0.17500542888165041</v>
      </c>
      <c r="V681" s="121">
        <f>MONTH(Таблица18[[#This Row],[Дата акта]])</f>
        <v>6</v>
      </c>
      <c r="W681" s="121">
        <v>12</v>
      </c>
      <c r="X681" s="148">
        <f>DATE(1900,Таблица18[[#This Row],[Месяц]],Таблица18[[#This Row],[Число]])</f>
        <v>164</v>
      </c>
      <c r="Y681" s="121"/>
      <c r="Z681" s="121" t="str">
        <f>Таблица18[[#This Row],[Хар-ка]]</f>
        <v>высший</v>
      </c>
      <c r="AD681" s="459"/>
      <c r="AE681" s="391"/>
    </row>
    <row r="682" spans="1:31" s="325" customFormat="1" ht="15.6" hidden="1" customHeight="1" x14ac:dyDescent="0.2">
      <c r="A682" s="40" t="s">
        <v>2625</v>
      </c>
      <c r="B682" s="360" t="s">
        <v>511</v>
      </c>
      <c r="C682" s="40">
        <v>305</v>
      </c>
      <c r="D682" s="40">
        <v>39</v>
      </c>
      <c r="E682" s="40" t="s">
        <v>2754</v>
      </c>
      <c r="F682" s="40" t="s">
        <v>2762</v>
      </c>
      <c r="G682" s="40" t="s">
        <v>145</v>
      </c>
      <c r="H682" s="40" t="s">
        <v>2755</v>
      </c>
      <c r="I682" s="360" t="e">
        <f>VLOOKUP(Таблица18[[#This Row],[Номер акта]],$AB$1:$AF$1833,3,FALSE)</f>
        <v>#N/A</v>
      </c>
      <c r="J682" s="40" t="s">
        <v>1762</v>
      </c>
      <c r="K682" s="40" t="s">
        <v>82</v>
      </c>
      <c r="L682" s="121">
        <v>31630</v>
      </c>
      <c r="M682" s="121">
        <v>15690</v>
      </c>
      <c r="N682" s="121">
        <v>14.5</v>
      </c>
      <c r="O682" s="363">
        <v>15940</v>
      </c>
      <c r="P682" s="363">
        <v>13628.7</v>
      </c>
      <c r="Q682" s="121">
        <v>2024</v>
      </c>
      <c r="R682" s="121"/>
      <c r="S682" s="148">
        <v>45455</v>
      </c>
      <c r="T682" s="363">
        <f>Таблица18[[#This Row],[Вес нетто]]-Таблица18[[#This Row],[Зачетный вес]]</f>
        <v>2311.2999999999993</v>
      </c>
      <c r="U682" s="365">
        <f>Таблица18[[#This Row],[Отход]]/Таблица18[[#This Row],[Вес нетто]]</f>
        <v>0.14499999999999996</v>
      </c>
      <c r="V682" s="121">
        <f>MONTH(Таблица18[[#This Row],[Дата акта]])</f>
        <v>6</v>
      </c>
      <c r="W682" s="121">
        <v>12</v>
      </c>
      <c r="X682" s="148">
        <f>DATE(1900,Таблица18[[#This Row],[Месяц]],Таблица18[[#This Row],[Число]])</f>
        <v>164</v>
      </c>
      <c r="Y682" s="121"/>
      <c r="Z682" s="121" t="str">
        <f>Таблица18[[#This Row],[Хар-ка]]</f>
        <v>высший</v>
      </c>
      <c r="AD682" s="459"/>
      <c r="AE682" s="391"/>
    </row>
    <row r="683" spans="1:31" s="325" customFormat="1" ht="15.6" hidden="1" customHeight="1" x14ac:dyDescent="0.2">
      <c r="A683" s="40" t="s">
        <v>2626</v>
      </c>
      <c r="B683" s="360" t="s">
        <v>511</v>
      </c>
      <c r="C683" s="40">
        <v>306</v>
      </c>
      <c r="D683" s="40">
        <v>40</v>
      </c>
      <c r="E683" s="40" t="s">
        <v>2754</v>
      </c>
      <c r="F683" s="40" t="s">
        <v>2232</v>
      </c>
      <c r="G683" s="40" t="s">
        <v>2233</v>
      </c>
      <c r="H683" s="40" t="s">
        <v>2755</v>
      </c>
      <c r="I683" s="360" t="e">
        <f>VLOOKUP(Таблица18[[#This Row],[Номер акта]],$AB$1:$AF$1833,3,FALSE)</f>
        <v>#N/A</v>
      </c>
      <c r="J683" s="40" t="s">
        <v>1762</v>
      </c>
      <c r="K683" s="40" t="s">
        <v>82</v>
      </c>
      <c r="L683" s="121">
        <v>30660</v>
      </c>
      <c r="M683" s="121">
        <v>14660</v>
      </c>
      <c r="N683" s="121">
        <v>13</v>
      </c>
      <c r="O683" s="363">
        <v>16000</v>
      </c>
      <c r="P683" s="363">
        <v>13920</v>
      </c>
      <c r="Q683" s="121">
        <v>2024</v>
      </c>
      <c r="R683" s="121"/>
      <c r="S683" s="148">
        <v>45455</v>
      </c>
      <c r="T683" s="363">
        <f>Таблица18[[#This Row],[Вес нетто]]-Таблица18[[#This Row],[Зачетный вес]]</f>
        <v>2080</v>
      </c>
      <c r="U683" s="365">
        <f>Таблица18[[#This Row],[Отход]]/Таблица18[[#This Row],[Вес нетто]]</f>
        <v>0.13</v>
      </c>
      <c r="V683" s="121">
        <f>MONTH(Таблица18[[#This Row],[Дата акта]])</f>
        <v>6</v>
      </c>
      <c r="W683" s="121">
        <v>12</v>
      </c>
      <c r="X683" s="148">
        <f>DATE(1900,Таблица18[[#This Row],[Месяц]],Таблица18[[#This Row],[Число]])</f>
        <v>164</v>
      </c>
      <c r="Y683" s="121"/>
      <c r="Z683" s="121" t="str">
        <f>Таблица18[[#This Row],[Хар-ка]]</f>
        <v>высший</v>
      </c>
      <c r="AD683" s="459"/>
      <c r="AE683" s="391"/>
    </row>
    <row r="684" spans="1:31" s="325" customFormat="1" ht="15.6" hidden="1" customHeight="1" x14ac:dyDescent="0.2">
      <c r="A684" s="40" t="s">
        <v>2627</v>
      </c>
      <c r="B684" s="360" t="s">
        <v>511</v>
      </c>
      <c r="C684" s="40">
        <v>307</v>
      </c>
      <c r="D684" s="40">
        <v>41</v>
      </c>
      <c r="E684" s="40" t="s">
        <v>2754</v>
      </c>
      <c r="F684" s="40" t="s">
        <v>121</v>
      </c>
      <c r="G684" s="40" t="s">
        <v>125</v>
      </c>
      <c r="H684" s="40" t="s">
        <v>2755</v>
      </c>
      <c r="I684" s="360" t="e">
        <f>VLOOKUP(Таблица18[[#This Row],[Номер акта]],$AB$1:$AF$1833,3,FALSE)</f>
        <v>#N/A</v>
      </c>
      <c r="J684" s="40" t="s">
        <v>1762</v>
      </c>
      <c r="K684" s="40" t="s">
        <v>82</v>
      </c>
      <c r="L684" s="121">
        <v>30540</v>
      </c>
      <c r="M684" s="121">
        <v>14560</v>
      </c>
      <c r="N684" s="121">
        <v>14.5</v>
      </c>
      <c r="O684" s="363">
        <v>15980</v>
      </c>
      <c r="P684" s="363">
        <v>13662.9</v>
      </c>
      <c r="Q684" s="121">
        <v>2024</v>
      </c>
      <c r="R684" s="121"/>
      <c r="S684" s="148">
        <v>45455</v>
      </c>
      <c r="T684" s="363">
        <f>Таблица18[[#This Row],[Вес нетто]]-Таблица18[[#This Row],[Зачетный вес]]</f>
        <v>2317.1000000000004</v>
      </c>
      <c r="U684" s="365">
        <f>Таблица18[[#This Row],[Отход]]/Таблица18[[#This Row],[Вес нетто]]</f>
        <v>0.14500000000000002</v>
      </c>
      <c r="V684" s="121">
        <f>MONTH(Таблица18[[#This Row],[Дата акта]])</f>
        <v>6</v>
      </c>
      <c r="W684" s="121">
        <v>12</v>
      </c>
      <c r="X684" s="148">
        <f>DATE(1900,Таблица18[[#This Row],[Месяц]],Таблица18[[#This Row],[Число]])</f>
        <v>164</v>
      </c>
      <c r="Y684" s="121"/>
      <c r="Z684" s="121" t="str">
        <f>Таблица18[[#This Row],[Хар-ка]]</f>
        <v>высший</v>
      </c>
      <c r="AD684" s="459"/>
      <c r="AE684" s="391"/>
    </row>
    <row r="685" spans="1:31" s="325" customFormat="1" ht="15.6" hidden="1" customHeight="1" x14ac:dyDescent="0.2">
      <c r="A685" s="40" t="s">
        <v>2628</v>
      </c>
      <c r="B685" s="360" t="s">
        <v>511</v>
      </c>
      <c r="C685" s="40">
        <v>308</v>
      </c>
      <c r="D685" s="40">
        <v>42</v>
      </c>
      <c r="E685" s="40" t="s">
        <v>2754</v>
      </c>
      <c r="F685" s="40" t="s">
        <v>1935</v>
      </c>
      <c r="G685" s="40" t="s">
        <v>1813</v>
      </c>
      <c r="H685" s="40" t="s">
        <v>2755</v>
      </c>
      <c r="I685" s="360" t="e">
        <f>VLOOKUP(Таблица18[[#This Row],[Номер акта]],$AB$1:$AF$1833,3,FALSE)</f>
        <v>#N/A</v>
      </c>
      <c r="J685" s="40" t="s">
        <v>1762</v>
      </c>
      <c r="K685" s="40" t="s">
        <v>82</v>
      </c>
      <c r="L685" s="121">
        <v>30540</v>
      </c>
      <c r="M685" s="121">
        <v>14360</v>
      </c>
      <c r="N685" s="121">
        <v>17.5</v>
      </c>
      <c r="O685" s="363">
        <v>16180</v>
      </c>
      <c r="P685" s="363">
        <v>13348.5</v>
      </c>
      <c r="Q685" s="121">
        <v>2024</v>
      </c>
      <c r="R685" s="121"/>
      <c r="S685" s="148">
        <v>45455</v>
      </c>
      <c r="T685" s="363">
        <f>Таблица18[[#This Row],[Вес нетто]]-Таблица18[[#This Row],[Зачетный вес]]</f>
        <v>2831.5</v>
      </c>
      <c r="U685" s="365">
        <f>Таблица18[[#This Row],[Отход]]/Таблица18[[#This Row],[Вес нетто]]</f>
        <v>0.17499999999999999</v>
      </c>
      <c r="V685" s="121">
        <f>MONTH(Таблица18[[#This Row],[Дата акта]])</f>
        <v>6</v>
      </c>
      <c r="W685" s="121">
        <v>12</v>
      </c>
      <c r="X685" s="148">
        <f>DATE(1900,Таблица18[[#This Row],[Месяц]],Таблица18[[#This Row],[Число]])</f>
        <v>164</v>
      </c>
      <c r="Y685" s="121"/>
      <c r="Z685" s="121" t="str">
        <f>Таблица18[[#This Row],[Хар-ка]]</f>
        <v>высший</v>
      </c>
      <c r="AD685" s="459"/>
      <c r="AE685" s="391"/>
    </row>
    <row r="686" spans="1:31" s="325" customFormat="1" ht="15.6" hidden="1" customHeight="1" x14ac:dyDescent="0.2">
      <c r="A686" s="40" t="s">
        <v>2629</v>
      </c>
      <c r="B686" s="360" t="s">
        <v>550</v>
      </c>
      <c r="C686" s="40">
        <v>309</v>
      </c>
      <c r="D686" s="40">
        <v>43</v>
      </c>
      <c r="E686" s="40" t="s">
        <v>2754</v>
      </c>
      <c r="F686" s="40" t="s">
        <v>2757</v>
      </c>
      <c r="G686" s="40" t="s">
        <v>2758</v>
      </c>
      <c r="H686" s="40" t="s">
        <v>2755</v>
      </c>
      <c r="I686" s="360" t="e">
        <f>VLOOKUP(Таблица18[[#This Row],[Номер акта]],$AB$1:$AF$1833,3,FALSE)</f>
        <v>#N/A</v>
      </c>
      <c r="J686" s="40" t="s">
        <v>1762</v>
      </c>
      <c r="K686" s="40" t="s">
        <v>82</v>
      </c>
      <c r="L686" s="121">
        <v>34940</v>
      </c>
      <c r="M686" s="121">
        <v>16530</v>
      </c>
      <c r="N686" s="121">
        <v>16.5</v>
      </c>
      <c r="O686" s="363">
        <v>18410</v>
      </c>
      <c r="P686" s="363">
        <v>15372.3</v>
      </c>
      <c r="Q686" s="121">
        <v>2024</v>
      </c>
      <c r="R686" s="121"/>
      <c r="S686" s="148">
        <v>45455</v>
      </c>
      <c r="T686" s="363">
        <f>Таблица18[[#This Row],[Вес нетто]]-Таблица18[[#This Row],[Зачетный вес]]</f>
        <v>3037.7000000000007</v>
      </c>
      <c r="U686" s="365">
        <f>Таблица18[[#This Row],[Отход]]/Таблица18[[#This Row],[Вес нетто]]</f>
        <v>0.16500271591526347</v>
      </c>
      <c r="V686" s="121">
        <f>MONTH(Таблица18[[#This Row],[Дата акта]])</f>
        <v>6</v>
      </c>
      <c r="W686" s="121">
        <v>12</v>
      </c>
      <c r="X686" s="148">
        <f>DATE(1900,Таблица18[[#This Row],[Месяц]],Таблица18[[#This Row],[Число]])</f>
        <v>164</v>
      </c>
      <c r="Y686" s="121"/>
      <c r="Z686" s="121" t="str">
        <f>Таблица18[[#This Row],[Хар-ка]]</f>
        <v>первый</v>
      </c>
      <c r="AD686" s="459"/>
      <c r="AE686" s="391"/>
    </row>
    <row r="687" spans="1:31" s="325" customFormat="1" ht="15.6" hidden="1" customHeight="1" x14ac:dyDescent="0.2">
      <c r="A687" s="40" t="s">
        <v>2630</v>
      </c>
      <c r="B687" s="360" t="s">
        <v>511</v>
      </c>
      <c r="C687" s="40">
        <v>310</v>
      </c>
      <c r="D687" s="40">
        <v>586128</v>
      </c>
      <c r="E687" s="40" t="s">
        <v>2763</v>
      </c>
      <c r="F687" s="40" t="s">
        <v>1880</v>
      </c>
      <c r="G687" s="40" t="s">
        <v>1802</v>
      </c>
      <c r="H687" s="40" t="s">
        <v>2764</v>
      </c>
      <c r="I687" s="360" t="e">
        <f>VLOOKUP(Таблица18[[#This Row],[Номер акта]],$AB$1:$AF$1833,3,FALSE)</f>
        <v>#N/A</v>
      </c>
      <c r="J687" s="40" t="s">
        <v>1755</v>
      </c>
      <c r="K687" s="40" t="s">
        <v>82</v>
      </c>
      <c r="L687" s="121">
        <v>23450</v>
      </c>
      <c r="M687" s="121">
        <v>14840</v>
      </c>
      <c r="N687" s="121">
        <v>25.5</v>
      </c>
      <c r="O687" s="363">
        <v>8610</v>
      </c>
      <c r="P687" s="363">
        <v>6414.4</v>
      </c>
      <c r="Q687" s="121">
        <v>2024</v>
      </c>
      <c r="R687" s="121"/>
      <c r="S687" s="148">
        <v>45455</v>
      </c>
      <c r="T687" s="363">
        <f>Таблица18[[#This Row],[Вес нетто]]-Таблица18[[#This Row],[Зачетный вес]]</f>
        <v>2195.6000000000004</v>
      </c>
      <c r="U687" s="365">
        <f>Таблица18[[#This Row],[Отход]]/Таблица18[[#This Row],[Вес нетто]]</f>
        <v>0.25500580720092919</v>
      </c>
      <c r="V687" s="121">
        <f>MONTH(Таблица18[[#This Row],[Дата акта]])</f>
        <v>6</v>
      </c>
      <c r="W687" s="121">
        <v>12</v>
      </c>
      <c r="X687" s="148">
        <f>DATE(1900,Таблица18[[#This Row],[Месяц]],Таблица18[[#This Row],[Число]])</f>
        <v>164</v>
      </c>
      <c r="Y687" s="121"/>
      <c r="Z687" s="121" t="str">
        <f>Таблица18[[#This Row],[Хар-ка]]</f>
        <v>высший</v>
      </c>
      <c r="AD687" s="459"/>
      <c r="AE687" s="391"/>
    </row>
    <row r="688" spans="1:31" s="325" customFormat="1" ht="15.6" hidden="1" customHeight="1" x14ac:dyDescent="0.2">
      <c r="A688" s="40" t="s">
        <v>2631</v>
      </c>
      <c r="B688" s="360" t="s">
        <v>511</v>
      </c>
      <c r="C688" s="40">
        <v>311</v>
      </c>
      <c r="D688" s="40">
        <v>44</v>
      </c>
      <c r="E688" s="40" t="s">
        <v>2754</v>
      </c>
      <c r="F688" s="40" t="s">
        <v>1367</v>
      </c>
      <c r="G688" s="40" t="s">
        <v>1368</v>
      </c>
      <c r="H688" s="40" t="s">
        <v>2755</v>
      </c>
      <c r="I688" s="360" t="e">
        <f>VLOOKUP(Таблица18[[#This Row],[Номер акта]],$AB$1:$AF$1833,3,FALSE)</f>
        <v>#N/A</v>
      </c>
      <c r="J688" s="40" t="s">
        <v>1762</v>
      </c>
      <c r="K688" s="40" t="s">
        <v>82</v>
      </c>
      <c r="L688" s="121">
        <v>33480</v>
      </c>
      <c r="M688" s="121">
        <v>14940</v>
      </c>
      <c r="N688" s="121">
        <v>17</v>
      </c>
      <c r="O688" s="363">
        <v>18540</v>
      </c>
      <c r="P688" s="363">
        <v>15388.2</v>
      </c>
      <c r="Q688" s="121">
        <v>2024</v>
      </c>
      <c r="R688" s="121"/>
      <c r="S688" s="148">
        <v>45455</v>
      </c>
      <c r="T688" s="363">
        <f>Таблица18[[#This Row],[Вес нетто]]-Таблица18[[#This Row],[Зачетный вес]]</f>
        <v>3151.7999999999993</v>
      </c>
      <c r="U688" s="365">
        <f>Таблица18[[#This Row],[Отход]]/Таблица18[[#This Row],[Вес нетто]]</f>
        <v>0.16999999999999996</v>
      </c>
      <c r="V688" s="121">
        <f>MONTH(Таблица18[[#This Row],[Дата акта]])</f>
        <v>6</v>
      </c>
      <c r="W688" s="121">
        <v>12</v>
      </c>
      <c r="X688" s="148">
        <f>DATE(1900,Таблица18[[#This Row],[Месяц]],Таблица18[[#This Row],[Число]])</f>
        <v>164</v>
      </c>
      <c r="Y688" s="121"/>
      <c r="Z688" s="121" t="str">
        <f>Таблица18[[#This Row],[Хар-ка]]</f>
        <v>высший</v>
      </c>
      <c r="AD688" s="459"/>
      <c r="AE688" s="391"/>
    </row>
    <row r="689" spans="1:31" s="325" customFormat="1" ht="15.6" hidden="1" customHeight="1" x14ac:dyDescent="0.2">
      <c r="A689" s="40" t="s">
        <v>2632</v>
      </c>
      <c r="B689" s="360" t="s">
        <v>511</v>
      </c>
      <c r="C689" s="40">
        <v>313</v>
      </c>
      <c r="D689" s="40">
        <v>45</v>
      </c>
      <c r="E689" s="40" t="s">
        <v>2754</v>
      </c>
      <c r="F689" s="40" t="s">
        <v>272</v>
      </c>
      <c r="G689" s="40" t="s">
        <v>276</v>
      </c>
      <c r="H689" s="40" t="s">
        <v>2755</v>
      </c>
      <c r="I689" s="360" t="e">
        <f>VLOOKUP(Таблица18[[#This Row],[Номер акта]],$AB$1:$AF$1833,3,FALSE)</f>
        <v>#N/A</v>
      </c>
      <c r="J689" s="40" t="s">
        <v>1762</v>
      </c>
      <c r="K689" s="40" t="s">
        <v>82</v>
      </c>
      <c r="L689" s="121">
        <v>32040</v>
      </c>
      <c r="M689" s="121">
        <v>14480</v>
      </c>
      <c r="N689" s="121">
        <v>18.5</v>
      </c>
      <c r="O689" s="363">
        <v>17560</v>
      </c>
      <c r="P689" s="363">
        <v>14305.8</v>
      </c>
      <c r="Q689" s="121">
        <v>2024</v>
      </c>
      <c r="R689" s="121"/>
      <c r="S689" s="148">
        <v>45456</v>
      </c>
      <c r="T689" s="363">
        <f>Таблица18[[#This Row],[Вес нетто]]-Таблица18[[#This Row],[Зачетный вес]]</f>
        <v>3254.2000000000007</v>
      </c>
      <c r="U689" s="365">
        <f>Таблица18[[#This Row],[Отход]]/Таблица18[[#This Row],[Вес нетто]]</f>
        <v>0.1853189066059226</v>
      </c>
      <c r="V689" s="121">
        <f>MONTH(Таблица18[[#This Row],[Дата акта]])</f>
        <v>6</v>
      </c>
      <c r="W689" s="121">
        <v>13</v>
      </c>
      <c r="X689" s="148">
        <f>DATE(1900,Таблица18[[#This Row],[Месяц]],Таблица18[[#This Row],[Число]])</f>
        <v>165</v>
      </c>
      <c r="Y689" s="121"/>
      <c r="Z689" s="121" t="str">
        <f>Таблица18[[#This Row],[Хар-ка]]</f>
        <v>высший</v>
      </c>
      <c r="AD689" s="459"/>
      <c r="AE689" s="391"/>
    </row>
    <row r="690" spans="1:31" s="325" customFormat="1" ht="15.6" hidden="1" customHeight="1" x14ac:dyDescent="0.2">
      <c r="A690" s="40" t="s">
        <v>2633</v>
      </c>
      <c r="B690" s="360" t="s">
        <v>511</v>
      </c>
      <c r="C690" s="40">
        <v>314</v>
      </c>
      <c r="D690" s="40">
        <v>586127</v>
      </c>
      <c r="E690" s="40" t="s">
        <v>2763</v>
      </c>
      <c r="F690" s="40" t="s">
        <v>311</v>
      </c>
      <c r="G690" s="40" t="s">
        <v>315</v>
      </c>
      <c r="H690" s="40" t="s">
        <v>2764</v>
      </c>
      <c r="I690" s="360" t="e">
        <f>VLOOKUP(Таблица18[[#This Row],[Номер акта]],$AB$1:$AF$1833,3,FALSE)</f>
        <v>#N/A</v>
      </c>
      <c r="J690" s="40" t="s">
        <v>1755</v>
      </c>
      <c r="K690" s="40" t="s">
        <v>82</v>
      </c>
      <c r="L690" s="121">
        <v>28360</v>
      </c>
      <c r="M690" s="121">
        <v>15080</v>
      </c>
      <c r="N690" s="121">
        <v>19.5</v>
      </c>
      <c r="O690" s="363">
        <v>13280</v>
      </c>
      <c r="P690" s="363">
        <v>10690.4</v>
      </c>
      <c r="Q690" s="121">
        <v>2024</v>
      </c>
      <c r="R690" s="121"/>
      <c r="S690" s="148">
        <v>45456</v>
      </c>
      <c r="T690" s="363">
        <f>Таблица18[[#This Row],[Вес нетто]]-Таблица18[[#This Row],[Зачетный вес]]</f>
        <v>2589.6000000000004</v>
      </c>
      <c r="U690" s="365">
        <f>Таблица18[[#This Row],[Отход]]/Таблица18[[#This Row],[Вес нетто]]</f>
        <v>0.19500000000000003</v>
      </c>
      <c r="V690" s="121">
        <f>MONTH(Таблица18[[#This Row],[Дата акта]])</f>
        <v>6</v>
      </c>
      <c r="W690" s="121">
        <v>13</v>
      </c>
      <c r="X690" s="148">
        <f>DATE(1900,Таблица18[[#This Row],[Месяц]],Таблица18[[#This Row],[Число]])</f>
        <v>165</v>
      </c>
      <c r="Y690" s="121"/>
      <c r="Z690" s="121" t="str">
        <f>Таблица18[[#This Row],[Хар-ка]]</f>
        <v>высший</v>
      </c>
      <c r="AD690" s="459"/>
      <c r="AE690" s="391"/>
    </row>
    <row r="691" spans="1:31" s="325" customFormat="1" ht="15.6" hidden="1" customHeight="1" x14ac:dyDescent="0.2">
      <c r="A691" s="40" t="s">
        <v>2634</v>
      </c>
      <c r="B691" s="360" t="s">
        <v>511</v>
      </c>
      <c r="C691" s="40">
        <v>316</v>
      </c>
      <c r="D691" s="40">
        <v>46</v>
      </c>
      <c r="E691" s="40" t="s">
        <v>2754</v>
      </c>
      <c r="F691" s="40" t="s">
        <v>2747</v>
      </c>
      <c r="G691" s="40" t="s">
        <v>2748</v>
      </c>
      <c r="H691" s="40" t="s">
        <v>2755</v>
      </c>
      <c r="I691" s="360" t="e">
        <f>VLOOKUP(Таблица18[[#This Row],[Номер акта]],$AB$1:$AF$1833,3,FALSE)</f>
        <v>#N/A</v>
      </c>
      <c r="J691" s="40" t="s">
        <v>1762</v>
      </c>
      <c r="K691" s="40" t="s">
        <v>82</v>
      </c>
      <c r="L691" s="121">
        <v>24580</v>
      </c>
      <c r="M691" s="121">
        <v>14800</v>
      </c>
      <c r="N691" s="121">
        <v>20.5</v>
      </c>
      <c r="O691" s="363">
        <v>9780</v>
      </c>
      <c r="P691" s="363">
        <v>7775.1</v>
      </c>
      <c r="Q691" s="121">
        <v>2024</v>
      </c>
      <c r="R691" s="121"/>
      <c r="S691" s="148">
        <v>45456</v>
      </c>
      <c r="T691" s="363">
        <f>Таблица18[[#This Row],[Вес нетто]]-Таблица18[[#This Row],[Зачетный вес]]</f>
        <v>2004.8999999999996</v>
      </c>
      <c r="U691" s="365">
        <f>Таблица18[[#This Row],[Отход]]/Таблица18[[#This Row],[Вес нетто]]</f>
        <v>0.20499999999999996</v>
      </c>
      <c r="V691" s="121">
        <f>MONTH(Таблица18[[#This Row],[Дата акта]])</f>
        <v>6</v>
      </c>
      <c r="W691" s="121">
        <v>13</v>
      </c>
      <c r="X691" s="148">
        <f>DATE(1900,Таблица18[[#This Row],[Месяц]],Таблица18[[#This Row],[Число]])</f>
        <v>165</v>
      </c>
      <c r="Y691" s="121"/>
      <c r="Z691" s="121" t="str">
        <f>Таблица18[[#This Row],[Хар-ка]]</f>
        <v>высший</v>
      </c>
      <c r="AD691" s="459"/>
      <c r="AE691" s="391"/>
    </row>
    <row r="692" spans="1:31" s="325" customFormat="1" ht="15.6" hidden="1" customHeight="1" x14ac:dyDescent="0.2">
      <c r="A692" s="40" t="s">
        <v>2635</v>
      </c>
      <c r="B692" s="360" t="s">
        <v>511</v>
      </c>
      <c r="C692" s="40">
        <v>317</v>
      </c>
      <c r="D692" s="40">
        <v>586126</v>
      </c>
      <c r="E692" s="40" t="s">
        <v>2763</v>
      </c>
      <c r="F692" s="40" t="s">
        <v>212</v>
      </c>
      <c r="G692" s="40" t="s">
        <v>216</v>
      </c>
      <c r="H692" s="40" t="s">
        <v>2764</v>
      </c>
      <c r="I692" s="360" t="e">
        <f>VLOOKUP(Таблица18[[#This Row],[Номер акта]],$AB$1:$AF$1833,3,FALSE)</f>
        <v>#N/A</v>
      </c>
      <c r="J692" s="40" t="s">
        <v>1755</v>
      </c>
      <c r="K692" s="40" t="s">
        <v>82</v>
      </c>
      <c r="L692" s="121">
        <v>29480</v>
      </c>
      <c r="M692" s="121">
        <v>14040</v>
      </c>
      <c r="N692" s="121">
        <v>19.5</v>
      </c>
      <c r="O692" s="363">
        <v>15440</v>
      </c>
      <c r="P692" s="363">
        <v>12429.2</v>
      </c>
      <c r="Q692" s="121">
        <v>2024</v>
      </c>
      <c r="R692" s="121"/>
      <c r="S692" s="148">
        <v>45456</v>
      </c>
      <c r="T692" s="363">
        <f>Таблица18[[#This Row],[Вес нетто]]-Таблица18[[#This Row],[Зачетный вес]]</f>
        <v>3010.7999999999993</v>
      </c>
      <c r="U692" s="365">
        <f>Таблица18[[#This Row],[Отход]]/Таблица18[[#This Row],[Вес нетто]]</f>
        <v>0.19499999999999995</v>
      </c>
      <c r="V692" s="121">
        <f>MONTH(Таблица18[[#This Row],[Дата акта]])</f>
        <v>6</v>
      </c>
      <c r="W692" s="121">
        <v>13</v>
      </c>
      <c r="X692" s="148">
        <f>DATE(1900,Таблица18[[#This Row],[Месяц]],Таблица18[[#This Row],[Число]])</f>
        <v>165</v>
      </c>
      <c r="Y692" s="121"/>
      <c r="Z692" s="121" t="str">
        <f>Таблица18[[#This Row],[Хар-ка]]</f>
        <v>высший</v>
      </c>
      <c r="AD692" s="459"/>
      <c r="AE692" s="391"/>
    </row>
    <row r="693" spans="1:31" s="325" customFormat="1" ht="15.6" hidden="1" customHeight="1" x14ac:dyDescent="0.2">
      <c r="A693" s="40" t="s">
        <v>2636</v>
      </c>
      <c r="B693" s="360" t="s">
        <v>511</v>
      </c>
      <c r="C693" s="40">
        <v>318</v>
      </c>
      <c r="D693" s="40">
        <v>586129</v>
      </c>
      <c r="E693" s="40" t="s">
        <v>2763</v>
      </c>
      <c r="F693" s="40" t="s">
        <v>2750</v>
      </c>
      <c r="G693" s="40" t="s">
        <v>2751</v>
      </c>
      <c r="H693" s="40" t="s">
        <v>2764</v>
      </c>
      <c r="I693" s="360" t="e">
        <f>VLOOKUP(Таблица18[[#This Row],[Номер акта]],$AB$1:$AF$1833,3,FALSE)</f>
        <v>#N/A</v>
      </c>
      <c r="J693" s="40" t="s">
        <v>1755</v>
      </c>
      <c r="K693" s="40" t="s">
        <v>82</v>
      </c>
      <c r="L693" s="121">
        <v>33510</v>
      </c>
      <c r="M693" s="121">
        <v>17350</v>
      </c>
      <c r="N693" s="121">
        <v>21.5</v>
      </c>
      <c r="O693" s="363">
        <v>16160</v>
      </c>
      <c r="P693" s="363">
        <v>12685.6</v>
      </c>
      <c r="Q693" s="121">
        <v>2024</v>
      </c>
      <c r="R693" s="121"/>
      <c r="S693" s="148">
        <v>45456</v>
      </c>
      <c r="T693" s="363">
        <f>Таблица18[[#This Row],[Вес нетто]]-Таблица18[[#This Row],[Зачетный вес]]</f>
        <v>3474.3999999999996</v>
      </c>
      <c r="U693" s="365">
        <f>Таблица18[[#This Row],[Отход]]/Таблица18[[#This Row],[Вес нетто]]</f>
        <v>0.21499999999999997</v>
      </c>
      <c r="V693" s="121">
        <f>MONTH(Таблица18[[#This Row],[Дата акта]])</f>
        <v>6</v>
      </c>
      <c r="W693" s="121">
        <v>13</v>
      </c>
      <c r="X693" s="148">
        <f>DATE(1900,Таблица18[[#This Row],[Месяц]],Таблица18[[#This Row],[Число]])</f>
        <v>165</v>
      </c>
      <c r="Y693" s="121"/>
      <c r="Z693" s="121" t="str">
        <f>Таблица18[[#This Row],[Хар-ка]]</f>
        <v>высший</v>
      </c>
      <c r="AD693" s="459"/>
      <c r="AE693" s="391"/>
    </row>
    <row r="694" spans="1:31" s="325" customFormat="1" ht="15.6" hidden="1" customHeight="1" x14ac:dyDescent="0.2">
      <c r="A694" s="40" t="s">
        <v>2637</v>
      </c>
      <c r="B694" s="360" t="s">
        <v>511</v>
      </c>
      <c r="C694" s="40">
        <v>319</v>
      </c>
      <c r="D694" s="40">
        <v>586130</v>
      </c>
      <c r="E694" s="40" t="s">
        <v>2763</v>
      </c>
      <c r="F694" s="40" t="s">
        <v>347</v>
      </c>
      <c r="G694" s="40" t="s">
        <v>351</v>
      </c>
      <c r="H694" s="40" t="s">
        <v>2764</v>
      </c>
      <c r="I694" s="360" t="e">
        <f>VLOOKUP(Таблица18[[#This Row],[Номер акта]],$AB$1:$AF$1833,3,FALSE)</f>
        <v>#N/A</v>
      </c>
      <c r="J694" s="40" t="s">
        <v>1755</v>
      </c>
      <c r="K694" s="40" t="s">
        <v>82</v>
      </c>
      <c r="L694" s="121">
        <v>34320</v>
      </c>
      <c r="M694" s="121">
        <v>18610</v>
      </c>
      <c r="N694" s="121">
        <v>20.5</v>
      </c>
      <c r="O694" s="363">
        <v>15710</v>
      </c>
      <c r="P694" s="363">
        <v>12489.4</v>
      </c>
      <c r="Q694" s="121">
        <v>2024</v>
      </c>
      <c r="R694" s="121"/>
      <c r="S694" s="148">
        <v>45456</v>
      </c>
      <c r="T694" s="363">
        <f>Таблица18[[#This Row],[Вес нетто]]-Таблица18[[#This Row],[Зачетный вес]]</f>
        <v>3220.6000000000004</v>
      </c>
      <c r="U694" s="365">
        <f>Таблица18[[#This Row],[Отход]]/Таблица18[[#This Row],[Вес нетто]]</f>
        <v>0.20500318268618717</v>
      </c>
      <c r="V694" s="121">
        <f>MONTH(Таблица18[[#This Row],[Дата акта]])</f>
        <v>6</v>
      </c>
      <c r="W694" s="121">
        <v>13</v>
      </c>
      <c r="X694" s="148">
        <f>DATE(1900,Таблица18[[#This Row],[Месяц]],Таблица18[[#This Row],[Число]])</f>
        <v>165</v>
      </c>
      <c r="Y694" s="121"/>
      <c r="Z694" s="121" t="str">
        <f>Таблица18[[#This Row],[Хар-ка]]</f>
        <v>высший</v>
      </c>
      <c r="AD694" s="459"/>
      <c r="AE694" s="391"/>
    </row>
    <row r="695" spans="1:31" s="325" customFormat="1" ht="15.6" hidden="1" customHeight="1" x14ac:dyDescent="0.2">
      <c r="A695" s="40" t="s">
        <v>2638</v>
      </c>
      <c r="B695" s="360" t="s">
        <v>511</v>
      </c>
      <c r="C695" s="40">
        <v>321</v>
      </c>
      <c r="D695" s="40">
        <v>586131</v>
      </c>
      <c r="E695" s="40" t="s">
        <v>2763</v>
      </c>
      <c r="F695" s="40" t="s">
        <v>133</v>
      </c>
      <c r="G695" s="40" t="s">
        <v>137</v>
      </c>
      <c r="H695" s="40" t="s">
        <v>2764</v>
      </c>
      <c r="I695" s="360" t="e">
        <f>VLOOKUP(Таблица18[[#This Row],[Номер акта]],$AB$1:$AF$1833,3,FALSE)</f>
        <v>#N/A</v>
      </c>
      <c r="J695" s="40" t="s">
        <v>1755</v>
      </c>
      <c r="K695" s="40" t="s">
        <v>82</v>
      </c>
      <c r="L695" s="121">
        <v>32960</v>
      </c>
      <c r="M695" s="121">
        <v>17360</v>
      </c>
      <c r="N695" s="121">
        <v>38.5</v>
      </c>
      <c r="O695" s="363">
        <v>15600</v>
      </c>
      <c r="P695" s="363">
        <v>9594</v>
      </c>
      <c r="Q695" s="121">
        <v>2024</v>
      </c>
      <c r="R695" s="121"/>
      <c r="S695" s="148">
        <v>45456</v>
      </c>
      <c r="T695" s="363">
        <f>Таблица18[[#This Row],[Вес нетто]]-Таблица18[[#This Row],[Зачетный вес]]</f>
        <v>6006</v>
      </c>
      <c r="U695" s="365">
        <f>Таблица18[[#This Row],[Отход]]/Таблица18[[#This Row],[Вес нетто]]</f>
        <v>0.38500000000000001</v>
      </c>
      <c r="V695" s="121">
        <f>MONTH(Таблица18[[#This Row],[Дата акта]])</f>
        <v>6</v>
      </c>
      <c r="W695" s="121">
        <v>13</v>
      </c>
      <c r="X695" s="148">
        <f>DATE(1900,Таблица18[[#This Row],[Месяц]],Таблица18[[#This Row],[Число]])</f>
        <v>165</v>
      </c>
      <c r="Y695" s="121"/>
      <c r="Z695" s="121" t="str">
        <f>Таблица18[[#This Row],[Хар-ка]]</f>
        <v>высший</v>
      </c>
      <c r="AD695" s="459"/>
      <c r="AE695" s="391"/>
    </row>
    <row r="696" spans="1:31" s="325" customFormat="1" ht="15.6" hidden="1" customHeight="1" x14ac:dyDescent="0.2">
      <c r="A696" s="40" t="s">
        <v>2639</v>
      </c>
      <c r="B696" s="360" t="s">
        <v>511</v>
      </c>
      <c r="C696" s="40">
        <v>323</v>
      </c>
      <c r="D696" s="40">
        <v>586132</v>
      </c>
      <c r="E696" s="40" t="s">
        <v>2763</v>
      </c>
      <c r="F696" s="40" t="s">
        <v>1843</v>
      </c>
      <c r="G696" s="40" t="s">
        <v>119</v>
      </c>
      <c r="H696" s="40" t="s">
        <v>2764</v>
      </c>
      <c r="I696" s="360" t="e">
        <f>VLOOKUP(Таблица18[[#This Row],[Номер акта]],$AB$1:$AF$1833,3,FALSE)</f>
        <v>#N/A</v>
      </c>
      <c r="J696" s="40" t="s">
        <v>1755</v>
      </c>
      <c r="K696" s="40" t="s">
        <v>82</v>
      </c>
      <c r="L696" s="121">
        <v>38990</v>
      </c>
      <c r="M696" s="121">
        <v>21120</v>
      </c>
      <c r="N696" s="121">
        <v>21.5</v>
      </c>
      <c r="O696" s="363">
        <v>17870</v>
      </c>
      <c r="P696" s="363">
        <v>14027.9</v>
      </c>
      <c r="Q696" s="121">
        <v>2024</v>
      </c>
      <c r="R696" s="121"/>
      <c r="S696" s="148">
        <v>45456</v>
      </c>
      <c r="T696" s="363">
        <f>Таблица18[[#This Row],[Вес нетто]]-Таблица18[[#This Row],[Зачетный вес]]</f>
        <v>3842.1000000000004</v>
      </c>
      <c r="U696" s="365">
        <f>Таблица18[[#This Row],[Отход]]/Таблица18[[#This Row],[Вес нетто]]</f>
        <v>0.21500279798545049</v>
      </c>
      <c r="V696" s="121">
        <f>MONTH(Таблица18[[#This Row],[Дата акта]])</f>
        <v>6</v>
      </c>
      <c r="W696" s="121">
        <v>13</v>
      </c>
      <c r="X696" s="148">
        <f>DATE(1900,Таблица18[[#This Row],[Месяц]],Таблица18[[#This Row],[Число]])</f>
        <v>165</v>
      </c>
      <c r="Y696" s="121"/>
      <c r="Z696" s="121" t="str">
        <f>Таблица18[[#This Row],[Хар-ка]]</f>
        <v>высший</v>
      </c>
      <c r="AD696" s="459"/>
      <c r="AE696" s="391"/>
    </row>
    <row r="697" spans="1:31" s="325" customFormat="1" ht="15.6" hidden="1" customHeight="1" x14ac:dyDescent="0.2">
      <c r="A697" s="40" t="s">
        <v>2640</v>
      </c>
      <c r="B697" s="360" t="s">
        <v>511</v>
      </c>
      <c r="C697" s="40">
        <v>324</v>
      </c>
      <c r="D697" s="40">
        <v>586133</v>
      </c>
      <c r="E697" s="40" t="s">
        <v>2763</v>
      </c>
      <c r="F697" s="40" t="s">
        <v>1880</v>
      </c>
      <c r="G697" s="40" t="s">
        <v>1802</v>
      </c>
      <c r="H697" s="40" t="s">
        <v>2764</v>
      </c>
      <c r="I697" s="360" t="e">
        <f>VLOOKUP(Таблица18[[#This Row],[Номер акта]],$AB$1:$AF$1833,3,FALSE)</f>
        <v>#N/A</v>
      </c>
      <c r="J697" s="40" t="s">
        <v>1755</v>
      </c>
      <c r="K697" s="40" t="s">
        <v>82</v>
      </c>
      <c r="L697" s="121">
        <v>28690</v>
      </c>
      <c r="M697" s="121">
        <v>14780</v>
      </c>
      <c r="N697" s="121">
        <v>20.5</v>
      </c>
      <c r="O697" s="363">
        <v>13910</v>
      </c>
      <c r="P697" s="363">
        <v>11058.4</v>
      </c>
      <c r="Q697" s="121">
        <v>2024</v>
      </c>
      <c r="R697" s="121"/>
      <c r="S697" s="148">
        <v>45456</v>
      </c>
      <c r="T697" s="363">
        <f>Таблица18[[#This Row],[Вес нетто]]-Таблица18[[#This Row],[Зачетный вес]]</f>
        <v>2851.6000000000004</v>
      </c>
      <c r="U697" s="365">
        <f>Таблица18[[#This Row],[Отход]]/Таблица18[[#This Row],[Вес нетто]]</f>
        <v>0.20500359453630485</v>
      </c>
      <c r="V697" s="121">
        <f>MONTH(Таблица18[[#This Row],[Дата акта]])</f>
        <v>6</v>
      </c>
      <c r="W697" s="121">
        <v>13</v>
      </c>
      <c r="X697" s="148">
        <f>DATE(1900,Таблица18[[#This Row],[Месяц]],Таблица18[[#This Row],[Число]])</f>
        <v>165</v>
      </c>
      <c r="Y697" s="121"/>
      <c r="Z697" s="121" t="str">
        <f>Таблица18[[#This Row],[Хар-ка]]</f>
        <v>высший</v>
      </c>
      <c r="AD697" s="459"/>
      <c r="AE697" s="391"/>
    </row>
    <row r="698" spans="1:31" s="325" customFormat="1" ht="15.6" hidden="1" customHeight="1" x14ac:dyDescent="0.2">
      <c r="A698" s="40" t="s">
        <v>2641</v>
      </c>
      <c r="B698" s="360" t="s">
        <v>511</v>
      </c>
      <c r="C698" s="40">
        <v>325</v>
      </c>
      <c r="D698" s="40">
        <v>586134</v>
      </c>
      <c r="E698" s="40" t="s">
        <v>2763</v>
      </c>
      <c r="F698" s="40" t="s">
        <v>239</v>
      </c>
      <c r="G698" s="40" t="s">
        <v>243</v>
      </c>
      <c r="H698" s="40" t="s">
        <v>2764</v>
      </c>
      <c r="I698" s="360" t="e">
        <f>VLOOKUP(Таблица18[[#This Row],[Номер акта]],$AB$1:$AF$1833,3,FALSE)</f>
        <v>#N/A</v>
      </c>
      <c r="J698" s="40" t="s">
        <v>1755</v>
      </c>
      <c r="K698" s="40" t="s">
        <v>82</v>
      </c>
      <c r="L698" s="121">
        <v>27960</v>
      </c>
      <c r="M698" s="121">
        <v>14660</v>
      </c>
      <c r="N698" s="121">
        <v>19.5</v>
      </c>
      <c r="O698" s="363">
        <v>13300</v>
      </c>
      <c r="P698" s="363">
        <v>10706.5</v>
      </c>
      <c r="Q698" s="121">
        <v>2024</v>
      </c>
      <c r="R698" s="121"/>
      <c r="S698" s="148">
        <v>45456</v>
      </c>
      <c r="T698" s="363">
        <f>Таблица18[[#This Row],[Вес нетто]]-Таблица18[[#This Row],[Зачетный вес]]</f>
        <v>2593.5</v>
      </c>
      <c r="U698" s="365">
        <f>Таблица18[[#This Row],[Отход]]/Таблица18[[#This Row],[Вес нетто]]</f>
        <v>0.19500000000000001</v>
      </c>
      <c r="V698" s="121">
        <f>MONTH(Таблица18[[#This Row],[Дата акта]])</f>
        <v>6</v>
      </c>
      <c r="W698" s="121">
        <v>13</v>
      </c>
      <c r="X698" s="148">
        <f>DATE(1900,Таблица18[[#This Row],[Месяц]],Таблица18[[#This Row],[Число]])</f>
        <v>165</v>
      </c>
      <c r="Y698" s="121"/>
      <c r="Z698" s="121" t="str">
        <f>Таблица18[[#This Row],[Хар-ка]]</f>
        <v>высший</v>
      </c>
      <c r="AD698" s="459"/>
      <c r="AE698" s="391"/>
    </row>
    <row r="699" spans="1:31" s="325" customFormat="1" ht="15.6" hidden="1" customHeight="1" x14ac:dyDescent="0.2">
      <c r="A699" s="40" t="s">
        <v>2642</v>
      </c>
      <c r="B699" s="360" t="s">
        <v>511</v>
      </c>
      <c r="C699" s="40">
        <v>326</v>
      </c>
      <c r="D699" s="40">
        <v>586135</v>
      </c>
      <c r="E699" s="40" t="s">
        <v>2763</v>
      </c>
      <c r="F699" s="40" t="s">
        <v>2757</v>
      </c>
      <c r="G699" s="40" t="s">
        <v>2758</v>
      </c>
      <c r="H699" s="40" t="s">
        <v>2764</v>
      </c>
      <c r="I699" s="360" t="e">
        <f>VLOOKUP(Таблица18[[#This Row],[Номер акта]],$AB$1:$AF$1833,3,FALSE)</f>
        <v>#N/A</v>
      </c>
      <c r="J699" s="40" t="s">
        <v>1755</v>
      </c>
      <c r="K699" s="40" t="s">
        <v>82</v>
      </c>
      <c r="L699" s="121">
        <v>32430</v>
      </c>
      <c r="M699" s="121">
        <v>16470</v>
      </c>
      <c r="N699" s="121">
        <v>15.5</v>
      </c>
      <c r="O699" s="363">
        <v>15960</v>
      </c>
      <c r="P699" s="363">
        <v>13486.2</v>
      </c>
      <c r="Q699" s="121">
        <v>2024</v>
      </c>
      <c r="R699" s="121"/>
      <c r="S699" s="148">
        <v>45456</v>
      </c>
      <c r="T699" s="363">
        <f>Таблица18[[#This Row],[Вес нетто]]-Таблица18[[#This Row],[Зачетный вес]]</f>
        <v>2473.7999999999993</v>
      </c>
      <c r="U699" s="365">
        <f>Таблица18[[#This Row],[Отход]]/Таблица18[[#This Row],[Вес нетто]]</f>
        <v>0.15499999999999994</v>
      </c>
      <c r="V699" s="121">
        <f>MONTH(Таблица18[[#This Row],[Дата акта]])</f>
        <v>6</v>
      </c>
      <c r="W699" s="121">
        <v>13</v>
      </c>
      <c r="X699" s="148">
        <f>DATE(1900,Таблица18[[#This Row],[Месяц]],Таблица18[[#This Row],[Число]])</f>
        <v>165</v>
      </c>
      <c r="Y699" s="121"/>
      <c r="Z699" s="121" t="str">
        <f>Таблица18[[#This Row],[Хар-ка]]</f>
        <v>высший</v>
      </c>
      <c r="AD699" s="459"/>
      <c r="AE699" s="391"/>
    </row>
    <row r="700" spans="1:31" s="325" customFormat="1" ht="15.6" hidden="1" customHeight="1" x14ac:dyDescent="0.2">
      <c r="A700" s="40" t="s">
        <v>2643</v>
      </c>
      <c r="B700" s="360" t="s">
        <v>511</v>
      </c>
      <c r="C700" s="40">
        <v>327</v>
      </c>
      <c r="D700" s="40">
        <v>586136</v>
      </c>
      <c r="E700" s="40" t="s">
        <v>2763</v>
      </c>
      <c r="F700" s="40" t="s">
        <v>311</v>
      </c>
      <c r="G700" s="40" t="s">
        <v>315</v>
      </c>
      <c r="H700" s="40" t="s">
        <v>2764</v>
      </c>
      <c r="I700" s="360" t="e">
        <f>VLOOKUP(Таблица18[[#This Row],[Номер акта]],$AB$1:$AF$1833,3,FALSE)</f>
        <v>#N/A</v>
      </c>
      <c r="J700" s="40" t="s">
        <v>1755</v>
      </c>
      <c r="K700" s="40" t="s">
        <v>82</v>
      </c>
      <c r="L700" s="121">
        <v>28690</v>
      </c>
      <c r="M700" s="121">
        <v>15120</v>
      </c>
      <c r="N700" s="121">
        <v>15.5</v>
      </c>
      <c r="O700" s="363">
        <v>13570</v>
      </c>
      <c r="P700" s="363">
        <v>11466.6</v>
      </c>
      <c r="Q700" s="121">
        <v>2024</v>
      </c>
      <c r="R700" s="121"/>
      <c r="S700" s="148">
        <v>45456</v>
      </c>
      <c r="T700" s="363">
        <f>Таблица18[[#This Row],[Вес нетто]]-Таблица18[[#This Row],[Зачетный вес]]</f>
        <v>2103.3999999999996</v>
      </c>
      <c r="U700" s="365">
        <f>Таблица18[[#This Row],[Отход]]/Таблица18[[#This Row],[Вес нетто]]</f>
        <v>0.15500368459837874</v>
      </c>
      <c r="V700" s="121">
        <f>MONTH(Таблица18[[#This Row],[Дата акта]])</f>
        <v>6</v>
      </c>
      <c r="W700" s="121">
        <v>13</v>
      </c>
      <c r="X700" s="148">
        <f>DATE(1900,Таблица18[[#This Row],[Месяц]],Таблица18[[#This Row],[Число]])</f>
        <v>165</v>
      </c>
      <c r="Y700" s="121"/>
      <c r="Z700" s="121" t="str">
        <f>Таблица18[[#This Row],[Хар-ка]]</f>
        <v>высший</v>
      </c>
      <c r="AD700" s="459"/>
      <c r="AE700" s="391"/>
    </row>
    <row r="701" spans="1:31" s="325" customFormat="1" ht="15.6" hidden="1" customHeight="1" x14ac:dyDescent="0.2">
      <c r="A701" s="40" t="s">
        <v>2644</v>
      </c>
      <c r="B701" s="360" t="s">
        <v>511</v>
      </c>
      <c r="C701" s="40">
        <v>328</v>
      </c>
      <c r="D701" s="40">
        <v>586137</v>
      </c>
      <c r="E701" s="40" t="s">
        <v>2763</v>
      </c>
      <c r="F701" s="40" t="s">
        <v>212</v>
      </c>
      <c r="G701" s="40" t="s">
        <v>216</v>
      </c>
      <c r="H701" s="40" t="s">
        <v>2764</v>
      </c>
      <c r="I701" s="360" t="e">
        <f>VLOOKUP(Таблица18[[#This Row],[Номер акта]],$AB$1:$AF$1833,3,FALSE)</f>
        <v>#N/A</v>
      </c>
      <c r="J701" s="40" t="s">
        <v>1755</v>
      </c>
      <c r="K701" s="40" t="s">
        <v>82</v>
      </c>
      <c r="L701" s="121">
        <v>27010</v>
      </c>
      <c r="M701" s="121">
        <v>13980</v>
      </c>
      <c r="N701" s="121">
        <v>18.5</v>
      </c>
      <c r="O701" s="363">
        <v>13030</v>
      </c>
      <c r="P701" s="363">
        <v>10619.4</v>
      </c>
      <c r="Q701" s="121">
        <v>2024</v>
      </c>
      <c r="R701" s="121"/>
      <c r="S701" s="148">
        <v>45456</v>
      </c>
      <c r="T701" s="363">
        <f>Таблица18[[#This Row],[Вес нетто]]-Таблица18[[#This Row],[Зачетный вес]]</f>
        <v>2410.6000000000004</v>
      </c>
      <c r="U701" s="365">
        <f>Таблица18[[#This Row],[Отход]]/Таблица18[[#This Row],[Вес нетто]]</f>
        <v>0.18500383729854186</v>
      </c>
      <c r="V701" s="121">
        <f>MONTH(Таблица18[[#This Row],[Дата акта]])</f>
        <v>6</v>
      </c>
      <c r="W701" s="121">
        <v>13</v>
      </c>
      <c r="X701" s="148">
        <f>DATE(1900,Таблица18[[#This Row],[Месяц]],Таблица18[[#This Row],[Число]])</f>
        <v>165</v>
      </c>
      <c r="Y701" s="121"/>
      <c r="Z701" s="121" t="str">
        <f>Таблица18[[#This Row],[Хар-ка]]</f>
        <v>высший</v>
      </c>
      <c r="AD701" s="459"/>
      <c r="AE701" s="391"/>
    </row>
    <row r="702" spans="1:31" s="325" customFormat="1" ht="15.6" hidden="1" customHeight="1" x14ac:dyDescent="0.2">
      <c r="A702" s="40" t="s">
        <v>2645</v>
      </c>
      <c r="B702" s="360" t="s">
        <v>511</v>
      </c>
      <c r="C702" s="40">
        <v>329</v>
      </c>
      <c r="D702" s="40">
        <v>586138</v>
      </c>
      <c r="E702" s="40" t="s">
        <v>2763</v>
      </c>
      <c r="F702" s="40" t="s">
        <v>2750</v>
      </c>
      <c r="G702" s="40" t="s">
        <v>2751</v>
      </c>
      <c r="H702" s="40" t="s">
        <v>2764</v>
      </c>
      <c r="I702" s="360" t="e">
        <f>VLOOKUP(Таблица18[[#This Row],[Номер акта]],$AB$1:$AF$1833,3,FALSE)</f>
        <v>#N/A</v>
      </c>
      <c r="J702" s="40" t="s">
        <v>1755</v>
      </c>
      <c r="K702" s="40" t="s">
        <v>82</v>
      </c>
      <c r="L702" s="121">
        <v>32440</v>
      </c>
      <c r="M702" s="121">
        <v>17310</v>
      </c>
      <c r="N702" s="121">
        <v>20.5</v>
      </c>
      <c r="O702" s="363">
        <v>15130</v>
      </c>
      <c r="P702" s="363">
        <v>12028.3</v>
      </c>
      <c r="Q702" s="121">
        <v>2024</v>
      </c>
      <c r="R702" s="121"/>
      <c r="S702" s="148">
        <v>45456</v>
      </c>
      <c r="T702" s="363">
        <f>Таблица18[[#This Row],[Вес нетто]]-Таблица18[[#This Row],[Зачетный вес]]</f>
        <v>3101.7000000000007</v>
      </c>
      <c r="U702" s="365">
        <f>Таблица18[[#This Row],[Отход]]/Таблица18[[#This Row],[Вес нетто]]</f>
        <v>0.20500330469266362</v>
      </c>
      <c r="V702" s="121">
        <f>MONTH(Таблица18[[#This Row],[Дата акта]])</f>
        <v>6</v>
      </c>
      <c r="W702" s="121">
        <v>13</v>
      </c>
      <c r="X702" s="148">
        <f>DATE(1900,Таблица18[[#This Row],[Месяц]],Таблица18[[#This Row],[Число]])</f>
        <v>165</v>
      </c>
      <c r="Y702" s="121"/>
      <c r="Z702" s="121" t="str">
        <f>Таблица18[[#This Row],[Хар-ка]]</f>
        <v>высший</v>
      </c>
      <c r="AD702" s="459"/>
      <c r="AE702" s="391"/>
    </row>
    <row r="703" spans="1:31" s="325" customFormat="1" ht="15.6" hidden="1" customHeight="1" x14ac:dyDescent="0.2">
      <c r="A703" s="40" t="s">
        <v>2646</v>
      </c>
      <c r="B703" s="360" t="s">
        <v>511</v>
      </c>
      <c r="C703" s="40">
        <v>330</v>
      </c>
      <c r="D703" s="40">
        <v>586139</v>
      </c>
      <c r="E703" s="40" t="s">
        <v>2763</v>
      </c>
      <c r="F703" s="40" t="s">
        <v>121</v>
      </c>
      <c r="G703" s="40" t="s">
        <v>125</v>
      </c>
      <c r="H703" s="40" t="s">
        <v>2764</v>
      </c>
      <c r="I703" s="360" t="e">
        <f>VLOOKUP(Таблица18[[#This Row],[Номер акта]],$AB$1:$AF$1833,3,FALSE)</f>
        <v>#N/A</v>
      </c>
      <c r="J703" s="40" t="s">
        <v>1755</v>
      </c>
      <c r="K703" s="40" t="s">
        <v>82</v>
      </c>
      <c r="L703" s="121">
        <v>29910</v>
      </c>
      <c r="M703" s="121">
        <v>14510</v>
      </c>
      <c r="N703" s="121">
        <v>14.5</v>
      </c>
      <c r="O703" s="363">
        <v>15400</v>
      </c>
      <c r="P703" s="363">
        <v>13167</v>
      </c>
      <c r="Q703" s="121">
        <v>2024</v>
      </c>
      <c r="R703" s="121"/>
      <c r="S703" s="148">
        <v>45457</v>
      </c>
      <c r="T703" s="363">
        <f>Таблица18[[#This Row],[Вес нетто]]-Таблица18[[#This Row],[Зачетный вес]]</f>
        <v>2233</v>
      </c>
      <c r="U703" s="365">
        <f>Таблица18[[#This Row],[Отход]]/Таблица18[[#This Row],[Вес нетто]]</f>
        <v>0.14499999999999999</v>
      </c>
      <c r="V703" s="121">
        <f>MONTH(Таблица18[[#This Row],[Дата акта]])</f>
        <v>6</v>
      </c>
      <c r="W703" s="121">
        <v>14</v>
      </c>
      <c r="X703" s="148">
        <f>DATE(1900,Таблица18[[#This Row],[Месяц]],Таблица18[[#This Row],[Число]])</f>
        <v>166</v>
      </c>
      <c r="Y703" s="121"/>
      <c r="Z703" s="121" t="str">
        <f>Таблица18[[#This Row],[Хар-ка]]</f>
        <v>высший</v>
      </c>
      <c r="AD703" s="459"/>
      <c r="AE703" s="391"/>
    </row>
    <row r="704" spans="1:31" s="325" customFormat="1" ht="15.6" hidden="1" customHeight="1" x14ac:dyDescent="0.2">
      <c r="A704" s="40" t="s">
        <v>2647</v>
      </c>
      <c r="B704" s="360" t="s">
        <v>511</v>
      </c>
      <c r="C704" s="40">
        <v>331</v>
      </c>
      <c r="D704" s="40">
        <v>586140</v>
      </c>
      <c r="E704" s="40" t="s">
        <v>2763</v>
      </c>
      <c r="F704" s="40" t="s">
        <v>133</v>
      </c>
      <c r="G704" s="40" t="s">
        <v>137</v>
      </c>
      <c r="H704" s="40" t="s">
        <v>2764</v>
      </c>
      <c r="I704" s="360" t="e">
        <f>VLOOKUP(Таблица18[[#This Row],[Номер акта]],$AB$1:$AF$1833,3,FALSE)</f>
        <v>#N/A</v>
      </c>
      <c r="J704" s="40" t="s">
        <v>1755</v>
      </c>
      <c r="K704" s="40" t="s">
        <v>82</v>
      </c>
      <c r="L704" s="121">
        <v>32730</v>
      </c>
      <c r="M704" s="121">
        <v>17320</v>
      </c>
      <c r="N704" s="121">
        <v>14.5</v>
      </c>
      <c r="O704" s="363">
        <v>15410</v>
      </c>
      <c r="P704" s="363">
        <v>13175.5</v>
      </c>
      <c r="Q704" s="121">
        <v>2024</v>
      </c>
      <c r="R704" s="121"/>
      <c r="S704" s="148">
        <v>45457</v>
      </c>
      <c r="T704" s="363">
        <f>Таблица18[[#This Row],[Вес нетто]]-Таблица18[[#This Row],[Зачетный вес]]</f>
        <v>2234.5</v>
      </c>
      <c r="U704" s="365">
        <f>Таблица18[[#This Row],[Отход]]/Таблица18[[#This Row],[Вес нетто]]</f>
        <v>0.14500324464633355</v>
      </c>
      <c r="V704" s="121">
        <f>MONTH(Таблица18[[#This Row],[Дата акта]])</f>
        <v>6</v>
      </c>
      <c r="W704" s="121">
        <v>14</v>
      </c>
      <c r="X704" s="148">
        <f>DATE(1900,Таблица18[[#This Row],[Месяц]],Таблица18[[#This Row],[Число]])</f>
        <v>166</v>
      </c>
      <c r="Y704" s="121"/>
      <c r="Z704" s="121" t="str">
        <f>Таблица18[[#This Row],[Хар-ка]]</f>
        <v>высший</v>
      </c>
      <c r="AD704" s="459"/>
      <c r="AE704" s="391"/>
    </row>
    <row r="705" spans="1:31" s="325" customFormat="1" ht="15.6" hidden="1" customHeight="1" x14ac:dyDescent="0.2">
      <c r="A705" s="40" t="s">
        <v>2648</v>
      </c>
      <c r="B705" s="360" t="s">
        <v>511</v>
      </c>
      <c r="C705" s="40">
        <v>332</v>
      </c>
      <c r="D705" s="40">
        <v>586141</v>
      </c>
      <c r="E705" s="40" t="s">
        <v>2763</v>
      </c>
      <c r="F705" s="40" t="s">
        <v>2232</v>
      </c>
      <c r="G705" s="40" t="s">
        <v>2233</v>
      </c>
      <c r="H705" s="40" t="s">
        <v>2764</v>
      </c>
      <c r="I705" s="360" t="e">
        <f>VLOOKUP(Таблица18[[#This Row],[Номер акта]],$AB$1:$AF$1833,3,FALSE)</f>
        <v>#N/A</v>
      </c>
      <c r="J705" s="40" t="s">
        <v>1755</v>
      </c>
      <c r="K705" s="40" t="s">
        <v>82</v>
      </c>
      <c r="L705" s="121">
        <v>30880</v>
      </c>
      <c r="M705" s="121">
        <v>14620</v>
      </c>
      <c r="N705" s="121">
        <v>16.5</v>
      </c>
      <c r="O705" s="363">
        <v>16260</v>
      </c>
      <c r="P705" s="363">
        <v>13577.1</v>
      </c>
      <c r="Q705" s="121">
        <v>2024</v>
      </c>
      <c r="R705" s="121"/>
      <c r="S705" s="148">
        <v>45457</v>
      </c>
      <c r="T705" s="363">
        <f>Таблица18[[#This Row],[Вес нетто]]-Таблица18[[#This Row],[Зачетный вес]]</f>
        <v>2682.8999999999996</v>
      </c>
      <c r="U705" s="365">
        <f>Таблица18[[#This Row],[Отход]]/Таблица18[[#This Row],[Вес нетто]]</f>
        <v>0.16499999999999998</v>
      </c>
      <c r="V705" s="121">
        <f>MONTH(Таблица18[[#This Row],[Дата акта]])</f>
        <v>6</v>
      </c>
      <c r="W705" s="121">
        <v>14</v>
      </c>
      <c r="X705" s="148">
        <f>DATE(1900,Таблица18[[#This Row],[Месяц]],Таблица18[[#This Row],[Число]])</f>
        <v>166</v>
      </c>
      <c r="Y705" s="121"/>
      <c r="Z705" s="121" t="str">
        <f>Таблица18[[#This Row],[Хар-ка]]</f>
        <v>высший</v>
      </c>
      <c r="AD705" s="459"/>
      <c r="AE705" s="391"/>
    </row>
    <row r="706" spans="1:31" s="325" customFormat="1" ht="15.6" hidden="1" customHeight="1" x14ac:dyDescent="0.2">
      <c r="A706" s="40" t="s">
        <v>2649</v>
      </c>
      <c r="B706" s="360" t="s">
        <v>511</v>
      </c>
      <c r="C706" s="40">
        <v>333</v>
      </c>
      <c r="D706" s="40">
        <v>586142</v>
      </c>
      <c r="E706" s="40" t="s">
        <v>2763</v>
      </c>
      <c r="F706" s="40" t="s">
        <v>1843</v>
      </c>
      <c r="G706" s="40" t="s">
        <v>119</v>
      </c>
      <c r="H706" s="40" t="s">
        <v>2765</v>
      </c>
      <c r="I706" s="360" t="e">
        <f>VLOOKUP(Таблица18[[#This Row],[Номер акта]],$AB$1:$AF$1833,3,FALSE)</f>
        <v>#N/A</v>
      </c>
      <c r="J706" s="40" t="s">
        <v>1755</v>
      </c>
      <c r="K706" s="40" t="s">
        <v>82</v>
      </c>
      <c r="L706" s="121">
        <v>37530</v>
      </c>
      <c r="M706" s="121">
        <v>21050</v>
      </c>
      <c r="N706" s="121">
        <v>34.5</v>
      </c>
      <c r="O706" s="363">
        <v>16480</v>
      </c>
      <c r="P706" s="363">
        <v>10794.4</v>
      </c>
      <c r="Q706" s="121">
        <v>2024</v>
      </c>
      <c r="R706" s="121"/>
      <c r="S706" s="148">
        <v>45457</v>
      </c>
      <c r="T706" s="363">
        <f>Таблица18[[#This Row],[Вес нетто]]-Таблица18[[#This Row],[Зачетный вес]]</f>
        <v>5685.6</v>
      </c>
      <c r="U706" s="365">
        <f>Таблица18[[#This Row],[Отход]]/Таблица18[[#This Row],[Вес нетто]]</f>
        <v>0.34500000000000003</v>
      </c>
      <c r="V706" s="121">
        <f>MONTH(Таблица18[[#This Row],[Дата акта]])</f>
        <v>6</v>
      </c>
      <c r="W706" s="121">
        <v>14</v>
      </c>
      <c r="X706" s="148">
        <f>DATE(1900,Таблица18[[#This Row],[Месяц]],Таблица18[[#This Row],[Число]])</f>
        <v>166</v>
      </c>
      <c r="Y706" s="121"/>
      <c r="Z706" s="121" t="str">
        <f>Таблица18[[#This Row],[Хар-ка]]</f>
        <v>высший</v>
      </c>
      <c r="AD706" s="459"/>
      <c r="AE706" s="391"/>
    </row>
    <row r="707" spans="1:31" s="325" customFormat="1" ht="15.6" hidden="1" customHeight="1" x14ac:dyDescent="0.2">
      <c r="A707" s="40" t="s">
        <v>2650</v>
      </c>
      <c r="B707" s="360" t="s">
        <v>511</v>
      </c>
      <c r="C707" s="40">
        <v>334</v>
      </c>
      <c r="D707" s="40">
        <v>586144</v>
      </c>
      <c r="E707" s="40" t="s">
        <v>2763</v>
      </c>
      <c r="F707" s="40" t="s">
        <v>1880</v>
      </c>
      <c r="G707" s="40" t="s">
        <v>1802</v>
      </c>
      <c r="H707" s="40" t="s">
        <v>2765</v>
      </c>
      <c r="I707" s="360" t="e">
        <f>VLOOKUP(Таблица18[[#This Row],[Номер акта]],$AB$1:$AF$1833,3,FALSE)</f>
        <v>#N/A</v>
      </c>
      <c r="J707" s="40" t="s">
        <v>1755</v>
      </c>
      <c r="K707" s="40" t="s">
        <v>82</v>
      </c>
      <c r="L707" s="121">
        <v>27860</v>
      </c>
      <c r="M707" s="121">
        <v>14760</v>
      </c>
      <c r="N707" s="121">
        <v>16.5</v>
      </c>
      <c r="O707" s="363">
        <v>13100</v>
      </c>
      <c r="P707" s="363">
        <v>10938.5</v>
      </c>
      <c r="Q707" s="121">
        <v>2024</v>
      </c>
      <c r="R707" s="121"/>
      <c r="S707" s="148">
        <v>45457</v>
      </c>
      <c r="T707" s="363">
        <f>Таблица18[[#This Row],[Вес нетто]]-Таблица18[[#This Row],[Зачетный вес]]</f>
        <v>2161.5</v>
      </c>
      <c r="U707" s="365">
        <f>Таблица18[[#This Row],[Отход]]/Таблица18[[#This Row],[Вес нетто]]</f>
        <v>0.16500000000000001</v>
      </c>
      <c r="V707" s="121">
        <f>MONTH(Таблица18[[#This Row],[Дата акта]])</f>
        <v>6</v>
      </c>
      <c r="W707" s="121">
        <v>14</v>
      </c>
      <c r="X707" s="148">
        <f>DATE(1900,Таблица18[[#This Row],[Месяц]],Таблица18[[#This Row],[Число]])</f>
        <v>166</v>
      </c>
      <c r="Y707" s="121"/>
      <c r="Z707" s="121" t="str">
        <f>Таблица18[[#This Row],[Хар-ка]]</f>
        <v>высший</v>
      </c>
      <c r="AD707" s="459"/>
      <c r="AE707" s="391"/>
    </row>
    <row r="708" spans="1:31" s="325" customFormat="1" ht="15.6" hidden="1" customHeight="1" x14ac:dyDescent="0.2">
      <c r="A708" s="40" t="s">
        <v>2651</v>
      </c>
      <c r="B708" s="360" t="s">
        <v>511</v>
      </c>
      <c r="C708" s="40">
        <v>335</v>
      </c>
      <c r="D708" s="40">
        <v>586145</v>
      </c>
      <c r="E708" s="40" t="s">
        <v>2763</v>
      </c>
      <c r="F708" s="40" t="s">
        <v>239</v>
      </c>
      <c r="G708" s="40" t="s">
        <v>243</v>
      </c>
      <c r="H708" s="40" t="s">
        <v>2765</v>
      </c>
      <c r="I708" s="360" t="e">
        <f>VLOOKUP(Таблица18[[#This Row],[Номер акта]],$AB$1:$AF$1833,3,FALSE)</f>
        <v>#N/A</v>
      </c>
      <c r="J708" s="40" t="s">
        <v>1755</v>
      </c>
      <c r="K708" s="40" t="s">
        <v>82</v>
      </c>
      <c r="L708" s="121">
        <v>29770</v>
      </c>
      <c r="M708" s="121">
        <v>14620</v>
      </c>
      <c r="N708" s="121">
        <v>22.5</v>
      </c>
      <c r="O708" s="363">
        <v>15150</v>
      </c>
      <c r="P708" s="363">
        <v>11741.2</v>
      </c>
      <c r="Q708" s="121">
        <v>2024</v>
      </c>
      <c r="R708" s="121"/>
      <c r="S708" s="148">
        <v>45457</v>
      </c>
      <c r="T708" s="363">
        <f>Таблица18[[#This Row],[Вес нетто]]-Таблица18[[#This Row],[Зачетный вес]]</f>
        <v>3408.7999999999993</v>
      </c>
      <c r="U708" s="365">
        <f>Таблица18[[#This Row],[Отход]]/Таблица18[[#This Row],[Вес нетто]]</f>
        <v>0.22500330033003296</v>
      </c>
      <c r="V708" s="121">
        <f>MONTH(Таблица18[[#This Row],[Дата акта]])</f>
        <v>6</v>
      </c>
      <c r="W708" s="121">
        <v>14</v>
      </c>
      <c r="X708" s="148">
        <f>DATE(1900,Таблица18[[#This Row],[Месяц]],Таблица18[[#This Row],[Число]])</f>
        <v>166</v>
      </c>
      <c r="Y708" s="121"/>
      <c r="Z708" s="121" t="str">
        <f>Таблица18[[#This Row],[Хар-ка]]</f>
        <v>высший</v>
      </c>
      <c r="AD708" s="459"/>
      <c r="AE708" s="391"/>
    </row>
    <row r="709" spans="1:31" s="325" customFormat="1" ht="15.6" hidden="1" customHeight="1" x14ac:dyDescent="0.2">
      <c r="A709" s="40" t="s">
        <v>2652</v>
      </c>
      <c r="B709" s="360" t="s">
        <v>511</v>
      </c>
      <c r="C709" s="40">
        <v>336</v>
      </c>
      <c r="D709" s="40">
        <v>586146</v>
      </c>
      <c r="E709" s="40" t="s">
        <v>2763</v>
      </c>
      <c r="F709" s="40" t="s">
        <v>2757</v>
      </c>
      <c r="G709" s="40" t="s">
        <v>2758</v>
      </c>
      <c r="H709" s="40" t="s">
        <v>2765</v>
      </c>
      <c r="I709" s="360" t="e">
        <f>VLOOKUP(Таблица18[[#This Row],[Номер акта]],$AB$1:$AF$1833,3,FALSE)</f>
        <v>#N/A</v>
      </c>
      <c r="J709" s="40" t="s">
        <v>1755</v>
      </c>
      <c r="K709" s="40" t="s">
        <v>82</v>
      </c>
      <c r="L709" s="121">
        <v>32110</v>
      </c>
      <c r="M709" s="121">
        <v>16410</v>
      </c>
      <c r="N709" s="121">
        <v>23.5</v>
      </c>
      <c r="O709" s="363">
        <v>15700</v>
      </c>
      <c r="P709" s="363">
        <v>12010.5</v>
      </c>
      <c r="Q709" s="121">
        <v>2024</v>
      </c>
      <c r="R709" s="121"/>
      <c r="S709" s="148">
        <v>45457</v>
      </c>
      <c r="T709" s="363">
        <f>Таблица18[[#This Row],[Вес нетто]]-Таблица18[[#This Row],[Зачетный вес]]</f>
        <v>3689.5</v>
      </c>
      <c r="U709" s="365">
        <f>Таблица18[[#This Row],[Отход]]/Таблица18[[#This Row],[Вес нетто]]</f>
        <v>0.23499999999999999</v>
      </c>
      <c r="V709" s="121">
        <f>MONTH(Таблица18[[#This Row],[Дата акта]])</f>
        <v>6</v>
      </c>
      <c r="W709" s="121">
        <v>14</v>
      </c>
      <c r="X709" s="148">
        <f>DATE(1900,Таблица18[[#This Row],[Месяц]],Таблица18[[#This Row],[Число]])</f>
        <v>166</v>
      </c>
      <c r="Y709" s="121"/>
      <c r="Z709" s="121" t="str">
        <f>Таблица18[[#This Row],[Хар-ка]]</f>
        <v>высший</v>
      </c>
      <c r="AD709" s="459"/>
      <c r="AE709" s="391"/>
    </row>
    <row r="710" spans="1:31" s="325" customFormat="1" ht="15.6" hidden="1" customHeight="1" x14ac:dyDescent="0.2">
      <c r="A710" s="40" t="s">
        <v>2653</v>
      </c>
      <c r="B710" s="360" t="s">
        <v>511</v>
      </c>
      <c r="C710" s="40">
        <v>338</v>
      </c>
      <c r="D710" s="40">
        <v>586147</v>
      </c>
      <c r="E710" s="40" t="s">
        <v>2763</v>
      </c>
      <c r="F710" s="40" t="s">
        <v>2232</v>
      </c>
      <c r="G710" s="40" t="s">
        <v>2233</v>
      </c>
      <c r="H710" s="40" t="s">
        <v>2765</v>
      </c>
      <c r="I710" s="360" t="e">
        <f>VLOOKUP(Таблица18[[#This Row],[Номер акта]],$AB$1:$AF$1833,3,FALSE)</f>
        <v>#N/A</v>
      </c>
      <c r="J710" s="40" t="s">
        <v>1755</v>
      </c>
      <c r="K710" s="40" t="s">
        <v>82</v>
      </c>
      <c r="L710" s="121">
        <v>29760</v>
      </c>
      <c r="M710" s="121">
        <v>14570</v>
      </c>
      <c r="N710" s="121">
        <v>22.5</v>
      </c>
      <c r="O710" s="363">
        <v>15190</v>
      </c>
      <c r="P710" s="363">
        <v>11772.2</v>
      </c>
      <c r="Q710" s="121">
        <v>2024</v>
      </c>
      <c r="R710" s="121"/>
      <c r="S710" s="148">
        <v>45457</v>
      </c>
      <c r="T710" s="363">
        <f>Таблица18[[#This Row],[Вес нетто]]-Таблица18[[#This Row],[Зачетный вес]]</f>
        <v>3417.7999999999993</v>
      </c>
      <c r="U710" s="365">
        <f>Таблица18[[#This Row],[Отход]]/Таблица18[[#This Row],[Вес нетто]]</f>
        <v>0.2250032916392363</v>
      </c>
      <c r="V710" s="121">
        <f>MONTH(Таблица18[[#This Row],[Дата акта]])</f>
        <v>6</v>
      </c>
      <c r="W710" s="121">
        <v>14</v>
      </c>
      <c r="X710" s="148">
        <f>DATE(1900,Таблица18[[#This Row],[Месяц]],Таблица18[[#This Row],[Число]])</f>
        <v>166</v>
      </c>
      <c r="Y710" s="121"/>
      <c r="Z710" s="121" t="str">
        <f>Таблица18[[#This Row],[Хар-ка]]</f>
        <v>высший</v>
      </c>
      <c r="AD710" s="459"/>
      <c r="AE710" s="391"/>
    </row>
    <row r="711" spans="1:31" s="325" customFormat="1" ht="15.6" hidden="1" customHeight="1" x14ac:dyDescent="0.2">
      <c r="A711" s="40" t="s">
        <v>2654</v>
      </c>
      <c r="B711" s="360" t="s">
        <v>511</v>
      </c>
      <c r="C711" s="40">
        <v>340</v>
      </c>
      <c r="D711" s="40">
        <v>586148</v>
      </c>
      <c r="E711" s="40" t="s">
        <v>2763</v>
      </c>
      <c r="F711" s="40" t="s">
        <v>2750</v>
      </c>
      <c r="G711" s="40" t="s">
        <v>2751</v>
      </c>
      <c r="H711" s="40" t="s">
        <v>2765</v>
      </c>
      <c r="I711" s="360" t="e">
        <f>VLOOKUP(Таблица18[[#This Row],[Номер акта]],$AB$1:$AF$1833,3,FALSE)</f>
        <v>#N/A</v>
      </c>
      <c r="J711" s="40" t="s">
        <v>1755</v>
      </c>
      <c r="K711" s="40" t="s">
        <v>82</v>
      </c>
      <c r="L711" s="121">
        <v>32590</v>
      </c>
      <c r="M711" s="121">
        <v>17250</v>
      </c>
      <c r="N711" s="121">
        <v>26.5</v>
      </c>
      <c r="O711" s="363">
        <v>15340</v>
      </c>
      <c r="P711" s="363">
        <v>11274.9</v>
      </c>
      <c r="Q711" s="121">
        <v>2024</v>
      </c>
      <c r="R711" s="121"/>
      <c r="S711" s="148">
        <v>45457</v>
      </c>
      <c r="T711" s="363">
        <f>Таблица18[[#This Row],[Вес нетто]]-Таблица18[[#This Row],[Зачетный вес]]</f>
        <v>4065.1000000000004</v>
      </c>
      <c r="U711" s="365">
        <f>Таблица18[[#This Row],[Отход]]/Таблица18[[#This Row],[Вес нетто]]</f>
        <v>0.26500000000000001</v>
      </c>
      <c r="V711" s="121">
        <f>MONTH(Таблица18[[#This Row],[Дата акта]])</f>
        <v>6</v>
      </c>
      <c r="W711" s="121">
        <v>14</v>
      </c>
      <c r="X711" s="148">
        <f>DATE(1900,Таблица18[[#This Row],[Месяц]],Таблица18[[#This Row],[Число]])</f>
        <v>166</v>
      </c>
      <c r="Y711" s="121"/>
      <c r="Z711" s="121" t="str">
        <f>Таблица18[[#This Row],[Хар-ка]]</f>
        <v>высший</v>
      </c>
      <c r="AD711" s="459"/>
      <c r="AE711" s="391"/>
    </row>
    <row r="712" spans="1:31" s="325" customFormat="1" ht="15.6" hidden="1" customHeight="1" x14ac:dyDescent="0.2">
      <c r="A712" s="40" t="s">
        <v>2655</v>
      </c>
      <c r="B712" s="360" t="s">
        <v>511</v>
      </c>
      <c r="C712" s="40">
        <v>341</v>
      </c>
      <c r="D712" s="40">
        <v>586149</v>
      </c>
      <c r="E712" s="40" t="s">
        <v>2763</v>
      </c>
      <c r="F712" s="40" t="s">
        <v>1880</v>
      </c>
      <c r="G712" s="40" t="s">
        <v>1802</v>
      </c>
      <c r="H712" s="40" t="s">
        <v>2765</v>
      </c>
      <c r="I712" s="360" t="e">
        <f>VLOOKUP(Таблица18[[#This Row],[Номер акта]],$AB$1:$AF$1833,3,FALSE)</f>
        <v>#N/A</v>
      </c>
      <c r="J712" s="40" t="s">
        <v>1755</v>
      </c>
      <c r="K712" s="40" t="s">
        <v>82</v>
      </c>
      <c r="L712" s="121">
        <v>30230</v>
      </c>
      <c r="M712" s="121">
        <v>14700</v>
      </c>
      <c r="N712" s="121">
        <v>29.5</v>
      </c>
      <c r="O712" s="363">
        <v>15530</v>
      </c>
      <c r="P712" s="363">
        <v>10948.6</v>
      </c>
      <c r="Q712" s="121">
        <v>2024</v>
      </c>
      <c r="R712" s="121"/>
      <c r="S712" s="148">
        <v>45457</v>
      </c>
      <c r="T712" s="363">
        <f>Таблица18[[#This Row],[Вес нетто]]-Таблица18[[#This Row],[Зачетный вес]]</f>
        <v>4581.3999999999996</v>
      </c>
      <c r="U712" s="365">
        <f>Таблица18[[#This Row],[Отход]]/Таблица18[[#This Row],[Вес нетто]]</f>
        <v>0.29500321957501607</v>
      </c>
      <c r="V712" s="121">
        <f>MONTH(Таблица18[[#This Row],[Дата акта]])</f>
        <v>6</v>
      </c>
      <c r="W712" s="121">
        <v>14</v>
      </c>
      <c r="X712" s="148">
        <f>DATE(1900,Таблица18[[#This Row],[Месяц]],Таблица18[[#This Row],[Число]])</f>
        <v>166</v>
      </c>
      <c r="Y712" s="121"/>
      <c r="Z712" s="121" t="str">
        <f>Таблица18[[#This Row],[Хар-ка]]</f>
        <v>высший</v>
      </c>
      <c r="AD712" s="459"/>
      <c r="AE712" s="391"/>
    </row>
    <row r="713" spans="1:31" s="325" customFormat="1" ht="15.6" hidden="1" customHeight="1" x14ac:dyDescent="0.2">
      <c r="A713" s="40" t="s">
        <v>2656</v>
      </c>
      <c r="B713" s="360" t="s">
        <v>550</v>
      </c>
      <c r="C713" s="40">
        <v>342</v>
      </c>
      <c r="D713" s="40">
        <v>586150</v>
      </c>
      <c r="E713" s="40" t="s">
        <v>2763</v>
      </c>
      <c r="F713" s="40" t="s">
        <v>133</v>
      </c>
      <c r="G713" s="40" t="s">
        <v>137</v>
      </c>
      <c r="H713" s="40" t="s">
        <v>2765</v>
      </c>
      <c r="I713" s="360" t="e">
        <f>VLOOKUP(Таблица18[[#This Row],[Номер акта]],$AB$1:$AF$1833,3,FALSE)</f>
        <v>#N/A</v>
      </c>
      <c r="J713" s="40" t="s">
        <v>1755</v>
      </c>
      <c r="K713" s="40" t="s">
        <v>82</v>
      </c>
      <c r="L713" s="121">
        <v>32880</v>
      </c>
      <c r="M713" s="121">
        <v>17270</v>
      </c>
      <c r="N713" s="121">
        <v>23.5</v>
      </c>
      <c r="O713" s="363">
        <v>15610</v>
      </c>
      <c r="P713" s="363">
        <v>11941.6</v>
      </c>
      <c r="Q713" s="121">
        <v>2024</v>
      </c>
      <c r="R713" s="121"/>
      <c r="S713" s="148">
        <v>45457</v>
      </c>
      <c r="T713" s="363">
        <f>Таблица18[[#This Row],[Вес нетто]]-Таблица18[[#This Row],[Зачетный вес]]</f>
        <v>3668.3999999999996</v>
      </c>
      <c r="U713" s="365">
        <f>Таблица18[[#This Row],[Отход]]/Таблица18[[#This Row],[Вес нетто]]</f>
        <v>0.23500320307495193</v>
      </c>
      <c r="V713" s="121">
        <f>MONTH(Таблица18[[#This Row],[Дата акта]])</f>
        <v>6</v>
      </c>
      <c r="W713" s="121">
        <v>14</v>
      </c>
      <c r="X713" s="148">
        <f>DATE(1900,Таблица18[[#This Row],[Месяц]],Таблица18[[#This Row],[Число]])</f>
        <v>166</v>
      </c>
      <c r="Y713" s="121"/>
      <c r="Z713" s="121" t="str">
        <f>Таблица18[[#This Row],[Хар-ка]]</f>
        <v>первый</v>
      </c>
      <c r="AD713" s="459"/>
      <c r="AE713" s="391"/>
    </row>
    <row r="714" spans="1:31" s="325" customFormat="1" ht="15.6" hidden="1" customHeight="1" x14ac:dyDescent="0.2">
      <c r="A714" s="40" t="s">
        <v>2657</v>
      </c>
      <c r="B714" s="360" t="s">
        <v>550</v>
      </c>
      <c r="C714" s="40">
        <v>343</v>
      </c>
      <c r="D714" s="40">
        <v>586152</v>
      </c>
      <c r="E714" s="40" t="s">
        <v>2763</v>
      </c>
      <c r="F714" s="40" t="s">
        <v>2220</v>
      </c>
      <c r="G714" s="40" t="s">
        <v>2221</v>
      </c>
      <c r="H714" s="40" t="s">
        <v>2765</v>
      </c>
      <c r="I714" s="360" t="e">
        <f>VLOOKUP(Таблица18[[#This Row],[Номер акта]],$AB$1:$AF$1833,3,FALSE)</f>
        <v>#N/A</v>
      </c>
      <c r="J714" s="40" t="s">
        <v>1755</v>
      </c>
      <c r="K714" s="40" t="s">
        <v>82</v>
      </c>
      <c r="L714" s="121">
        <v>30980</v>
      </c>
      <c r="M714" s="121">
        <v>15560</v>
      </c>
      <c r="N714" s="121">
        <v>26.5</v>
      </c>
      <c r="O714" s="363">
        <v>15420</v>
      </c>
      <c r="P714" s="363">
        <v>11333.7</v>
      </c>
      <c r="Q714" s="121">
        <v>2024</v>
      </c>
      <c r="R714" s="121"/>
      <c r="S714" s="148">
        <v>45457</v>
      </c>
      <c r="T714" s="363">
        <f>Таблица18[[#This Row],[Вес нетто]]-Таблица18[[#This Row],[Зачетный вес]]</f>
        <v>4086.2999999999993</v>
      </c>
      <c r="U714" s="365">
        <f>Таблица18[[#This Row],[Отход]]/Таблица18[[#This Row],[Вес нетто]]</f>
        <v>0.26499999999999996</v>
      </c>
      <c r="V714" s="121">
        <f>MONTH(Таблица18[[#This Row],[Дата акта]])</f>
        <v>6</v>
      </c>
      <c r="W714" s="121">
        <v>14</v>
      </c>
      <c r="X714" s="148">
        <f>DATE(1900,Таблица18[[#This Row],[Месяц]],Таблица18[[#This Row],[Число]])</f>
        <v>166</v>
      </c>
      <c r="Y714" s="121"/>
      <c r="Z714" s="121" t="str">
        <f>Таблица18[[#This Row],[Хар-ка]]</f>
        <v>первый</v>
      </c>
      <c r="AD714" s="459"/>
      <c r="AE714" s="391"/>
    </row>
    <row r="715" spans="1:31" s="325" customFormat="1" ht="15.6" hidden="1" customHeight="1" x14ac:dyDescent="0.2">
      <c r="A715" s="40" t="s">
        <v>2658</v>
      </c>
      <c r="B715" s="360" t="s">
        <v>550</v>
      </c>
      <c r="C715" s="40">
        <v>344</v>
      </c>
      <c r="D715" s="40">
        <v>586151</v>
      </c>
      <c r="E715" s="40" t="s">
        <v>2763</v>
      </c>
      <c r="F715" s="40" t="s">
        <v>2223</v>
      </c>
      <c r="G715" s="40" t="s">
        <v>2224</v>
      </c>
      <c r="H715" s="40" t="s">
        <v>2765</v>
      </c>
      <c r="I715" s="360" t="e">
        <f>VLOOKUP(Таблица18[[#This Row],[Номер акта]],$AB$1:$AF$1833,3,FALSE)</f>
        <v>#N/A</v>
      </c>
      <c r="J715" s="40" t="s">
        <v>1755</v>
      </c>
      <c r="K715" s="40" t="s">
        <v>82</v>
      </c>
      <c r="L715" s="121">
        <v>27830</v>
      </c>
      <c r="M715" s="121">
        <v>14690</v>
      </c>
      <c r="N715" s="121">
        <v>27.5</v>
      </c>
      <c r="O715" s="363">
        <v>13140</v>
      </c>
      <c r="P715" s="363">
        <v>9526.5</v>
      </c>
      <c r="Q715" s="121">
        <v>2024</v>
      </c>
      <c r="R715" s="121"/>
      <c r="S715" s="148">
        <v>45457</v>
      </c>
      <c r="T715" s="363">
        <f>Таблица18[[#This Row],[Вес нетто]]-Таблица18[[#This Row],[Зачетный вес]]</f>
        <v>3613.5</v>
      </c>
      <c r="U715" s="365">
        <f>Таблица18[[#This Row],[Отход]]/Таблица18[[#This Row],[Вес нетто]]</f>
        <v>0.27500000000000002</v>
      </c>
      <c r="V715" s="121">
        <f>MONTH(Таблица18[[#This Row],[Дата акта]])</f>
        <v>6</v>
      </c>
      <c r="W715" s="121">
        <v>14</v>
      </c>
      <c r="X715" s="148">
        <f>DATE(1900,Таблица18[[#This Row],[Месяц]],Таблица18[[#This Row],[Число]])</f>
        <v>166</v>
      </c>
      <c r="Y715" s="121"/>
      <c r="Z715" s="121" t="str">
        <f>Таблица18[[#This Row],[Хар-ка]]</f>
        <v>первый</v>
      </c>
      <c r="AD715" s="459"/>
      <c r="AE715" s="391"/>
    </row>
    <row r="716" spans="1:31" s="325" customFormat="1" ht="15.6" hidden="1" customHeight="1" x14ac:dyDescent="0.2">
      <c r="A716" s="40" t="s">
        <v>2659</v>
      </c>
      <c r="B716" s="360" t="s">
        <v>550</v>
      </c>
      <c r="C716" s="40">
        <v>345</v>
      </c>
      <c r="D716" s="40">
        <v>586153</v>
      </c>
      <c r="E716" s="40" t="s">
        <v>2763</v>
      </c>
      <c r="F716" s="40" t="s">
        <v>1843</v>
      </c>
      <c r="G716" s="40" t="s">
        <v>119</v>
      </c>
      <c r="H716" s="40" t="s">
        <v>2765</v>
      </c>
      <c r="I716" s="360" t="e">
        <f>VLOOKUP(Таблица18[[#This Row],[Номер акта]],$AB$1:$AF$1833,3,FALSE)</f>
        <v>#N/A</v>
      </c>
      <c r="J716" s="40" t="s">
        <v>1755</v>
      </c>
      <c r="K716" s="40" t="s">
        <v>82</v>
      </c>
      <c r="L716" s="121">
        <v>38190</v>
      </c>
      <c r="M716" s="121">
        <v>20990</v>
      </c>
      <c r="N716" s="121">
        <v>24.5</v>
      </c>
      <c r="O716" s="363">
        <v>17200</v>
      </c>
      <c r="P716" s="363">
        <v>12986</v>
      </c>
      <c r="Q716" s="121">
        <v>2024</v>
      </c>
      <c r="R716" s="121"/>
      <c r="S716" s="148">
        <v>45458</v>
      </c>
      <c r="T716" s="363">
        <f>Таблица18[[#This Row],[Вес нетто]]-Таблица18[[#This Row],[Зачетный вес]]</f>
        <v>4214</v>
      </c>
      <c r="U716" s="365">
        <f>Таблица18[[#This Row],[Отход]]/Таблица18[[#This Row],[Вес нетто]]</f>
        <v>0.245</v>
      </c>
      <c r="V716" s="121">
        <f>MONTH(Таблица18[[#This Row],[Дата акта]])</f>
        <v>6</v>
      </c>
      <c r="W716" s="121">
        <v>15</v>
      </c>
      <c r="X716" s="148">
        <f>DATE(1900,Таблица18[[#This Row],[Месяц]],Таблица18[[#This Row],[Число]])</f>
        <v>167</v>
      </c>
      <c r="Y716" s="121"/>
      <c r="Z716" s="121" t="str">
        <f>Таблица18[[#This Row],[Хар-ка]]</f>
        <v>первый</v>
      </c>
      <c r="AD716" s="459"/>
      <c r="AE716" s="391"/>
    </row>
    <row r="717" spans="1:31" s="325" customFormat="1" ht="15.6" hidden="1" customHeight="1" x14ac:dyDescent="0.2">
      <c r="A717" s="40" t="s">
        <v>2660</v>
      </c>
      <c r="B717" s="360" t="s">
        <v>550</v>
      </c>
      <c r="C717" s="40">
        <v>346</v>
      </c>
      <c r="D717" s="40">
        <v>586154</v>
      </c>
      <c r="E717" s="40" t="s">
        <v>2763</v>
      </c>
      <c r="F717" s="40" t="s">
        <v>2757</v>
      </c>
      <c r="G717" s="40" t="s">
        <v>2758</v>
      </c>
      <c r="H717" s="40" t="s">
        <v>2765</v>
      </c>
      <c r="I717" s="360" t="e">
        <f>VLOOKUP(Таблица18[[#This Row],[Номер акта]],$AB$1:$AF$1833,3,FALSE)</f>
        <v>#N/A</v>
      </c>
      <c r="J717" s="40" t="s">
        <v>1755</v>
      </c>
      <c r="K717" s="40" t="s">
        <v>82</v>
      </c>
      <c r="L717" s="121">
        <v>33810</v>
      </c>
      <c r="M717" s="121">
        <v>16350</v>
      </c>
      <c r="N717" s="121">
        <v>26.5</v>
      </c>
      <c r="O717" s="363">
        <v>17460</v>
      </c>
      <c r="P717" s="363">
        <v>12833.1</v>
      </c>
      <c r="Q717" s="121">
        <v>2024</v>
      </c>
      <c r="R717" s="121"/>
      <c r="S717" s="148">
        <v>45458</v>
      </c>
      <c r="T717" s="363">
        <f>Таблица18[[#This Row],[Вес нетто]]-Таблица18[[#This Row],[Зачетный вес]]</f>
        <v>4626.8999999999996</v>
      </c>
      <c r="U717" s="365">
        <f>Таблица18[[#This Row],[Отход]]/Таблица18[[#This Row],[Вес нетто]]</f>
        <v>0.26499999999999996</v>
      </c>
      <c r="V717" s="121">
        <f>MONTH(Таблица18[[#This Row],[Дата акта]])</f>
        <v>6</v>
      </c>
      <c r="W717" s="121">
        <v>15</v>
      </c>
      <c r="X717" s="148">
        <f>DATE(1900,Таблица18[[#This Row],[Месяц]],Таблица18[[#This Row],[Число]])</f>
        <v>167</v>
      </c>
      <c r="Y717" s="121"/>
      <c r="Z717" s="121" t="str">
        <f>Таблица18[[#This Row],[Хар-ка]]</f>
        <v>первый</v>
      </c>
      <c r="AD717" s="459"/>
      <c r="AE717" s="391"/>
    </row>
    <row r="718" spans="1:31" s="325" customFormat="1" ht="15.6" hidden="1" customHeight="1" x14ac:dyDescent="0.2">
      <c r="A718" s="40" t="s">
        <v>2661</v>
      </c>
      <c r="B718" s="360" t="s">
        <v>550</v>
      </c>
      <c r="C718" s="40">
        <v>347</v>
      </c>
      <c r="D718" s="40">
        <v>586155</v>
      </c>
      <c r="E718" s="40" t="s">
        <v>2763</v>
      </c>
      <c r="F718" s="40" t="s">
        <v>212</v>
      </c>
      <c r="G718" s="40" t="s">
        <v>216</v>
      </c>
      <c r="H718" s="40" t="s">
        <v>2765</v>
      </c>
      <c r="I718" s="360" t="e">
        <f>VLOOKUP(Таблица18[[#This Row],[Номер акта]],$AB$1:$AF$1833,3,FALSE)</f>
        <v>#N/A</v>
      </c>
      <c r="J718" s="40" t="s">
        <v>1755</v>
      </c>
      <c r="K718" s="40" t="s">
        <v>82</v>
      </c>
      <c r="L718" s="121">
        <v>31140</v>
      </c>
      <c r="M718" s="121">
        <v>13940</v>
      </c>
      <c r="N718" s="121">
        <v>25.5</v>
      </c>
      <c r="O718" s="363">
        <v>17200</v>
      </c>
      <c r="P718" s="363">
        <v>12814</v>
      </c>
      <c r="Q718" s="121">
        <v>2024</v>
      </c>
      <c r="R718" s="121"/>
      <c r="S718" s="148">
        <v>45458</v>
      </c>
      <c r="T718" s="363">
        <f>Таблица18[[#This Row],[Вес нетто]]-Таблица18[[#This Row],[Зачетный вес]]</f>
        <v>4386</v>
      </c>
      <c r="U718" s="365">
        <f>Таблица18[[#This Row],[Отход]]/Таблица18[[#This Row],[Вес нетто]]</f>
        <v>0.255</v>
      </c>
      <c r="V718" s="121">
        <f>MONTH(Таблица18[[#This Row],[Дата акта]])</f>
        <v>6</v>
      </c>
      <c r="W718" s="121">
        <v>15</v>
      </c>
      <c r="X718" s="148">
        <f>DATE(1900,Таблица18[[#This Row],[Месяц]],Таблица18[[#This Row],[Число]])</f>
        <v>167</v>
      </c>
      <c r="Y718" s="121"/>
      <c r="Z718" s="121" t="str">
        <f>Таблица18[[#This Row],[Хар-ка]]</f>
        <v>первый</v>
      </c>
      <c r="AD718" s="459"/>
      <c r="AE718" s="391"/>
    </row>
    <row r="719" spans="1:31" s="325" customFormat="1" ht="15.6" hidden="1" customHeight="1" x14ac:dyDescent="0.2">
      <c r="A719" s="40" t="s">
        <v>2662</v>
      </c>
      <c r="B719" s="360" t="s">
        <v>550</v>
      </c>
      <c r="C719" s="40">
        <v>348</v>
      </c>
      <c r="D719" s="40">
        <v>586156</v>
      </c>
      <c r="E719" s="40" t="s">
        <v>2763</v>
      </c>
      <c r="F719" s="40" t="s">
        <v>2232</v>
      </c>
      <c r="G719" s="40" t="s">
        <v>2233</v>
      </c>
      <c r="H719" s="40" t="s">
        <v>2765</v>
      </c>
      <c r="I719" s="360" t="e">
        <f>VLOOKUP(Таблица18[[#This Row],[Номер акта]],$AB$1:$AF$1833,3,FALSE)</f>
        <v>#N/A</v>
      </c>
      <c r="J719" s="40" t="s">
        <v>1755</v>
      </c>
      <c r="K719" s="40" t="s">
        <v>82</v>
      </c>
      <c r="L719" s="121">
        <v>29910</v>
      </c>
      <c r="M719" s="121">
        <v>14620</v>
      </c>
      <c r="N719" s="121">
        <v>22.5</v>
      </c>
      <c r="O719" s="363">
        <v>15290</v>
      </c>
      <c r="P719" s="363">
        <v>11849.7</v>
      </c>
      <c r="Q719" s="121">
        <v>2024</v>
      </c>
      <c r="R719" s="121"/>
      <c r="S719" s="148">
        <v>45458</v>
      </c>
      <c r="T719" s="363">
        <f>Таблица18[[#This Row],[Вес нетто]]-Таблица18[[#This Row],[Зачетный вес]]</f>
        <v>3440.2999999999993</v>
      </c>
      <c r="U719" s="365">
        <f>Таблица18[[#This Row],[Отход]]/Таблица18[[#This Row],[Вес нетто]]</f>
        <v>0.22500327011118373</v>
      </c>
      <c r="V719" s="121">
        <f>MONTH(Таблица18[[#This Row],[Дата акта]])</f>
        <v>6</v>
      </c>
      <c r="W719" s="121">
        <v>15</v>
      </c>
      <c r="X719" s="148">
        <f>DATE(1900,Таблица18[[#This Row],[Месяц]],Таблица18[[#This Row],[Число]])</f>
        <v>167</v>
      </c>
      <c r="Y719" s="121"/>
      <c r="Z719" s="121" t="str">
        <f>Таблица18[[#This Row],[Хар-ка]]</f>
        <v>первый</v>
      </c>
      <c r="AD719" s="459"/>
      <c r="AE719" s="391"/>
    </row>
    <row r="720" spans="1:31" s="325" customFormat="1" ht="15.6" hidden="1" customHeight="1" x14ac:dyDescent="0.2">
      <c r="A720" s="40" t="s">
        <v>2663</v>
      </c>
      <c r="B720" s="360" t="s">
        <v>550</v>
      </c>
      <c r="C720" s="40">
        <v>349</v>
      </c>
      <c r="D720" s="40">
        <v>586157</v>
      </c>
      <c r="E720" s="40" t="s">
        <v>2763</v>
      </c>
      <c r="F720" s="40" t="s">
        <v>239</v>
      </c>
      <c r="G720" s="40" t="s">
        <v>243</v>
      </c>
      <c r="H720" s="40" t="s">
        <v>2765</v>
      </c>
      <c r="I720" s="360" t="e">
        <f>VLOOKUP(Таблица18[[#This Row],[Номер акта]],$AB$1:$AF$1833,3,FALSE)</f>
        <v>#N/A</v>
      </c>
      <c r="J720" s="40" t="s">
        <v>1755</v>
      </c>
      <c r="K720" s="40" t="s">
        <v>82</v>
      </c>
      <c r="L720" s="121">
        <v>29410</v>
      </c>
      <c r="M720" s="121">
        <v>14590</v>
      </c>
      <c r="N720" s="121">
        <v>24.5</v>
      </c>
      <c r="O720" s="363">
        <v>14820</v>
      </c>
      <c r="P720" s="363">
        <v>11189.1</v>
      </c>
      <c r="Q720" s="121">
        <v>2024</v>
      </c>
      <c r="R720" s="121"/>
      <c r="S720" s="148">
        <v>45458</v>
      </c>
      <c r="T720" s="363">
        <f>Таблица18[[#This Row],[Вес нетто]]-Таблица18[[#This Row],[Зачетный вес]]</f>
        <v>3630.8999999999996</v>
      </c>
      <c r="U720" s="365">
        <f>Таблица18[[#This Row],[Отход]]/Таблица18[[#This Row],[Вес нетто]]</f>
        <v>0.24499999999999997</v>
      </c>
      <c r="V720" s="121">
        <f>MONTH(Таблица18[[#This Row],[Дата акта]])</f>
        <v>6</v>
      </c>
      <c r="W720" s="121">
        <v>15</v>
      </c>
      <c r="X720" s="148">
        <f>DATE(1900,Таблица18[[#This Row],[Месяц]],Таблица18[[#This Row],[Число]])</f>
        <v>167</v>
      </c>
      <c r="Y720" s="121"/>
      <c r="Z720" s="121" t="str">
        <f>Таблица18[[#This Row],[Хар-ка]]</f>
        <v>первый</v>
      </c>
      <c r="AD720" s="459"/>
      <c r="AE720" s="391"/>
    </row>
    <row r="721" spans="1:31" s="325" customFormat="1" ht="15.6" hidden="1" customHeight="1" x14ac:dyDescent="0.2">
      <c r="A721" s="40" t="s">
        <v>2664</v>
      </c>
      <c r="B721" s="360" t="s">
        <v>550</v>
      </c>
      <c r="C721" s="40">
        <v>350</v>
      </c>
      <c r="D721" s="40">
        <v>586158</v>
      </c>
      <c r="E721" s="40" t="s">
        <v>2763</v>
      </c>
      <c r="F721" s="40" t="s">
        <v>133</v>
      </c>
      <c r="G721" s="40" t="s">
        <v>137</v>
      </c>
      <c r="H721" s="40" t="s">
        <v>2765</v>
      </c>
      <c r="I721" s="360" t="e">
        <f>VLOOKUP(Таблица18[[#This Row],[Номер акта]],$AB$1:$AF$1833,3,FALSE)</f>
        <v>#N/A</v>
      </c>
      <c r="J721" s="40" t="s">
        <v>1755</v>
      </c>
      <c r="K721" s="40" t="s">
        <v>82</v>
      </c>
      <c r="L721" s="121">
        <v>32300</v>
      </c>
      <c r="M721" s="121">
        <v>17230</v>
      </c>
      <c r="N721" s="121">
        <v>27.5</v>
      </c>
      <c r="O721" s="363">
        <v>15070</v>
      </c>
      <c r="P721" s="363">
        <v>10925.7</v>
      </c>
      <c r="Q721" s="121">
        <v>2024</v>
      </c>
      <c r="R721" s="121"/>
      <c r="S721" s="148">
        <v>45458</v>
      </c>
      <c r="T721" s="363">
        <f>Таблица18[[#This Row],[Вес нетто]]-Таблица18[[#This Row],[Зачетный вес]]</f>
        <v>4144.2999999999993</v>
      </c>
      <c r="U721" s="365">
        <f>Таблица18[[#This Row],[Отход]]/Таблица18[[#This Row],[Вес нетто]]</f>
        <v>0.27500331785003312</v>
      </c>
      <c r="V721" s="121">
        <f>MONTH(Таблица18[[#This Row],[Дата акта]])</f>
        <v>6</v>
      </c>
      <c r="W721" s="121">
        <v>15</v>
      </c>
      <c r="X721" s="148">
        <f>DATE(1900,Таблица18[[#This Row],[Месяц]],Таблица18[[#This Row],[Число]])</f>
        <v>167</v>
      </c>
      <c r="Y721" s="121"/>
      <c r="Z721" s="121" t="str">
        <f>Таблица18[[#This Row],[Хар-ка]]</f>
        <v>первый</v>
      </c>
      <c r="AD721" s="459"/>
      <c r="AE721" s="391"/>
    </row>
    <row r="722" spans="1:31" s="325" customFormat="1" ht="15.6" hidden="1" customHeight="1" x14ac:dyDescent="0.2">
      <c r="A722" s="40" t="s">
        <v>2665</v>
      </c>
      <c r="B722" s="360" t="s">
        <v>833</v>
      </c>
      <c r="C722" s="40">
        <v>352</v>
      </c>
      <c r="D722" s="40">
        <v>586159</v>
      </c>
      <c r="E722" s="40" t="s">
        <v>2763</v>
      </c>
      <c r="F722" s="40" t="s">
        <v>2220</v>
      </c>
      <c r="G722" s="40" t="s">
        <v>2221</v>
      </c>
      <c r="H722" s="40" t="s">
        <v>2765</v>
      </c>
      <c r="I722" s="360" t="e">
        <f>VLOOKUP(Таблица18[[#This Row],[Номер акта]],$AB$1:$AF$1833,3,FALSE)</f>
        <v>#N/A</v>
      </c>
      <c r="J722" s="40" t="s">
        <v>1755</v>
      </c>
      <c r="K722" s="40" t="s">
        <v>82</v>
      </c>
      <c r="L722" s="121">
        <v>28230</v>
      </c>
      <c r="M722" s="121">
        <v>15530</v>
      </c>
      <c r="N722" s="121">
        <v>29.5</v>
      </c>
      <c r="O722" s="363">
        <v>12700</v>
      </c>
      <c r="P722" s="363">
        <v>8953.5</v>
      </c>
      <c r="Q722" s="121">
        <v>2024</v>
      </c>
      <c r="R722" s="121"/>
      <c r="S722" s="148">
        <v>45458</v>
      </c>
      <c r="T722" s="363">
        <f>Таблица18[[#This Row],[Вес нетто]]-Таблица18[[#This Row],[Зачетный вес]]</f>
        <v>3746.5</v>
      </c>
      <c r="U722" s="365">
        <f>Таблица18[[#This Row],[Отход]]/Таблица18[[#This Row],[Вес нетто]]</f>
        <v>0.29499999999999998</v>
      </c>
      <c r="V722" s="121">
        <f>MONTH(Таблица18[[#This Row],[Дата акта]])</f>
        <v>6</v>
      </c>
      <c r="W722" s="121">
        <v>15</v>
      </c>
      <c r="X722" s="148">
        <f>DATE(1900,Таблица18[[#This Row],[Месяц]],Таблица18[[#This Row],[Число]])</f>
        <v>167</v>
      </c>
      <c r="Y722" s="121"/>
      <c r="Z722" s="121" t="str">
        <f>Таблица18[[#This Row],[Хар-ка]]</f>
        <v>второй</v>
      </c>
      <c r="AD722" s="459"/>
      <c r="AE722" s="391"/>
    </row>
    <row r="723" spans="1:31" s="325" customFormat="1" ht="15.6" hidden="1" customHeight="1" x14ac:dyDescent="0.2">
      <c r="A723" s="40" t="s">
        <v>2666</v>
      </c>
      <c r="B723" s="360" t="s">
        <v>511</v>
      </c>
      <c r="C723" s="40">
        <v>353</v>
      </c>
      <c r="D723" s="40">
        <v>1</v>
      </c>
      <c r="E723" s="40" t="s">
        <v>2754</v>
      </c>
      <c r="F723" s="40" t="s">
        <v>2223</v>
      </c>
      <c r="G723" s="40" t="s">
        <v>2224</v>
      </c>
      <c r="H723" s="40" t="s">
        <v>2766</v>
      </c>
      <c r="I723" s="360" t="e">
        <f>VLOOKUP(Таблица18[[#This Row],[Номер акта]],$AB$1:$AF$1833,3,FALSE)</f>
        <v>#N/A</v>
      </c>
      <c r="J723" s="40" t="s">
        <v>1763</v>
      </c>
      <c r="K723" s="40" t="s">
        <v>82</v>
      </c>
      <c r="L723" s="121">
        <v>27870</v>
      </c>
      <c r="M723" s="121">
        <v>21390</v>
      </c>
      <c r="N723" s="121">
        <v>32.5</v>
      </c>
      <c r="O723" s="363">
        <v>6480</v>
      </c>
      <c r="P723" s="363">
        <v>4374</v>
      </c>
      <c r="Q723" s="121">
        <v>2024</v>
      </c>
      <c r="R723" s="121"/>
      <c r="S723" s="148">
        <v>45459</v>
      </c>
      <c r="T723" s="363">
        <f>Таблица18[[#This Row],[Вес нетто]]-Таблица18[[#This Row],[Зачетный вес]]</f>
        <v>2106</v>
      </c>
      <c r="U723" s="365">
        <f>Таблица18[[#This Row],[Отход]]/Таблица18[[#This Row],[Вес нетто]]</f>
        <v>0.32500000000000001</v>
      </c>
      <c r="V723" s="121">
        <f>MONTH(Таблица18[[#This Row],[Дата акта]])</f>
        <v>6</v>
      </c>
      <c r="W723" s="121">
        <v>16</v>
      </c>
      <c r="X723" s="148">
        <f>DATE(1900,Таблица18[[#This Row],[Месяц]],Таблица18[[#This Row],[Число]])</f>
        <v>168</v>
      </c>
      <c r="Y723" s="121"/>
      <c r="Z723" s="121" t="str">
        <f>Таблица18[[#This Row],[Хар-ка]]</f>
        <v>высший</v>
      </c>
      <c r="AD723" s="459"/>
      <c r="AE723" s="391"/>
    </row>
    <row r="724" spans="1:31" s="325" customFormat="1" ht="15.6" hidden="1" customHeight="1" x14ac:dyDescent="0.2">
      <c r="A724" s="40" t="s">
        <v>2667</v>
      </c>
      <c r="B724" s="360" t="s">
        <v>511</v>
      </c>
      <c r="C724" s="40">
        <v>354</v>
      </c>
      <c r="D724" s="40">
        <v>1</v>
      </c>
      <c r="E724" s="40" t="s">
        <v>2754</v>
      </c>
      <c r="F724" s="40" t="s">
        <v>2223</v>
      </c>
      <c r="G724" s="40" t="s">
        <v>2224</v>
      </c>
      <c r="H724" s="40" t="s">
        <v>2766</v>
      </c>
      <c r="I724" s="360" t="e">
        <f>VLOOKUP(Таблица18[[#This Row],[Номер акта]],$AB$1:$AF$1833,3,FALSE)</f>
        <v>#N/A</v>
      </c>
      <c r="J724" s="40" t="s">
        <v>772</v>
      </c>
      <c r="K724" s="40" t="s">
        <v>82</v>
      </c>
      <c r="L724" s="121">
        <v>21390</v>
      </c>
      <c r="M724" s="121">
        <v>14570</v>
      </c>
      <c r="N724" s="121">
        <v>53.5</v>
      </c>
      <c r="O724" s="363">
        <v>6820</v>
      </c>
      <c r="P724" s="363">
        <v>3171.3</v>
      </c>
      <c r="Q724" s="121">
        <v>2024</v>
      </c>
      <c r="R724" s="121"/>
      <c r="S724" s="148">
        <v>45459</v>
      </c>
      <c r="T724" s="363">
        <f>Таблица18[[#This Row],[Вес нетто]]-Таблица18[[#This Row],[Зачетный вес]]</f>
        <v>3648.7</v>
      </c>
      <c r="U724" s="365">
        <f>Таблица18[[#This Row],[Отход]]/Таблица18[[#This Row],[Вес нетто]]</f>
        <v>0.53499999999999992</v>
      </c>
      <c r="V724" s="121">
        <f>MONTH(Таблица18[[#This Row],[Дата акта]])</f>
        <v>6</v>
      </c>
      <c r="W724" s="121">
        <v>16</v>
      </c>
      <c r="X724" s="148">
        <f>DATE(1900,Таблица18[[#This Row],[Месяц]],Таблица18[[#This Row],[Число]])</f>
        <v>168</v>
      </c>
      <c r="Y724" s="121"/>
      <c r="Z724" s="121" t="str">
        <f>Таблица18[[#This Row],[Хар-ка]]</f>
        <v>высший</v>
      </c>
      <c r="AD724" s="459"/>
      <c r="AE724" s="391"/>
    </row>
    <row r="725" spans="1:31" s="325" customFormat="1" ht="15.6" hidden="1" customHeight="1" x14ac:dyDescent="0.2">
      <c r="A725" s="40" t="s">
        <v>2668</v>
      </c>
      <c r="B725" s="360" t="s">
        <v>511</v>
      </c>
      <c r="C725" s="40">
        <v>355</v>
      </c>
      <c r="D725" s="40">
        <v>122</v>
      </c>
      <c r="E725" s="40" t="s">
        <v>78</v>
      </c>
      <c r="F725" s="40" t="s">
        <v>212</v>
      </c>
      <c r="G725" s="40" t="s">
        <v>216</v>
      </c>
      <c r="H725" s="40" t="s">
        <v>1757</v>
      </c>
      <c r="I725" s="360" t="e">
        <f>VLOOKUP(Таблица18[[#This Row],[Номер акта]],$AB$1:$AF$1833,3,FALSE)</f>
        <v>#N/A</v>
      </c>
      <c r="J725" s="40" t="s">
        <v>1316</v>
      </c>
      <c r="K725" s="40" t="s">
        <v>82</v>
      </c>
      <c r="L725" s="121">
        <v>23070</v>
      </c>
      <c r="M725" s="121">
        <v>13990</v>
      </c>
      <c r="N725" s="121">
        <v>16.5</v>
      </c>
      <c r="O725" s="363">
        <v>9080</v>
      </c>
      <c r="P725" s="363">
        <v>7581.8</v>
      </c>
      <c r="Q725" s="121">
        <v>2024</v>
      </c>
      <c r="R725" s="121"/>
      <c r="S725" s="148">
        <v>45459</v>
      </c>
      <c r="T725" s="363">
        <f>Таблица18[[#This Row],[Вес нетто]]-Таблица18[[#This Row],[Зачетный вес]]</f>
        <v>1498.1999999999998</v>
      </c>
      <c r="U725" s="365">
        <f>Таблица18[[#This Row],[Отход]]/Таблица18[[#This Row],[Вес нетто]]</f>
        <v>0.16499999999999998</v>
      </c>
      <c r="V725" s="121">
        <f>MONTH(Таблица18[[#This Row],[Дата акта]])</f>
        <v>6</v>
      </c>
      <c r="W725" s="121">
        <v>16</v>
      </c>
      <c r="X725" s="148">
        <f>DATE(1900,Таблица18[[#This Row],[Месяц]],Таблица18[[#This Row],[Число]])</f>
        <v>168</v>
      </c>
      <c r="Y725" s="121"/>
      <c r="Z725" s="121" t="str">
        <f>Таблица18[[#This Row],[Хар-ка]]</f>
        <v>высший</v>
      </c>
      <c r="AD725" s="459"/>
      <c r="AE725" s="391"/>
    </row>
    <row r="726" spans="1:31" s="325" customFormat="1" ht="15.6" hidden="1" customHeight="1" x14ac:dyDescent="0.2">
      <c r="A726" s="40" t="s">
        <v>2669</v>
      </c>
      <c r="B726" s="360" t="s">
        <v>550</v>
      </c>
      <c r="C726" s="40">
        <v>356</v>
      </c>
      <c r="D726" s="40">
        <v>6</v>
      </c>
      <c r="E726" s="40" t="s">
        <v>2754</v>
      </c>
      <c r="F726" s="40" t="s">
        <v>1843</v>
      </c>
      <c r="G726" s="40" t="s">
        <v>119</v>
      </c>
      <c r="H726" s="40" t="s">
        <v>2766</v>
      </c>
      <c r="I726" s="360" t="e">
        <f>VLOOKUP(Таблица18[[#This Row],[Номер акта]],$AB$1:$AF$1833,3,FALSE)</f>
        <v>#N/A</v>
      </c>
      <c r="J726" s="40" t="s">
        <v>1763</v>
      </c>
      <c r="K726" s="40" t="s">
        <v>82</v>
      </c>
      <c r="L726" s="121">
        <v>37370</v>
      </c>
      <c r="M726" s="121">
        <v>20850</v>
      </c>
      <c r="N726" s="121">
        <v>24.5</v>
      </c>
      <c r="O726" s="363">
        <v>16520</v>
      </c>
      <c r="P726" s="363">
        <v>12472.6</v>
      </c>
      <c r="Q726" s="121">
        <v>2024</v>
      </c>
      <c r="R726" s="121"/>
      <c r="S726" s="148">
        <v>45459</v>
      </c>
      <c r="T726" s="363">
        <f>Таблица18[[#This Row],[Вес нетто]]-Таблица18[[#This Row],[Зачетный вес]]</f>
        <v>4047.3999999999996</v>
      </c>
      <c r="U726" s="365">
        <f>Таблица18[[#This Row],[Отход]]/Таблица18[[#This Row],[Вес нетто]]</f>
        <v>0.24499999999999997</v>
      </c>
      <c r="V726" s="121">
        <f>MONTH(Таблица18[[#This Row],[Дата акта]])</f>
        <v>6</v>
      </c>
      <c r="W726" s="121">
        <v>16</v>
      </c>
      <c r="X726" s="148">
        <f>DATE(1900,Таблица18[[#This Row],[Месяц]],Таблица18[[#This Row],[Число]])</f>
        <v>168</v>
      </c>
      <c r="Y726" s="121"/>
      <c r="Z726" s="121" t="str">
        <f>Таблица18[[#This Row],[Хар-ка]]</f>
        <v>первый</v>
      </c>
      <c r="AD726" s="459"/>
      <c r="AE726" s="391"/>
    </row>
    <row r="727" spans="1:31" s="325" customFormat="1" ht="15.6" hidden="1" customHeight="1" x14ac:dyDescent="0.2">
      <c r="A727" s="40" t="s">
        <v>2670</v>
      </c>
      <c r="B727" s="360" t="s">
        <v>550</v>
      </c>
      <c r="C727" s="40">
        <v>357</v>
      </c>
      <c r="D727" s="40">
        <v>5</v>
      </c>
      <c r="E727" s="40" t="s">
        <v>2754</v>
      </c>
      <c r="F727" s="40" t="s">
        <v>2757</v>
      </c>
      <c r="G727" s="40" t="s">
        <v>2758</v>
      </c>
      <c r="H727" s="40" t="s">
        <v>2766</v>
      </c>
      <c r="I727" s="360" t="e">
        <f>VLOOKUP(Таблица18[[#This Row],[Номер акта]],$AB$1:$AF$1833,3,FALSE)</f>
        <v>#N/A</v>
      </c>
      <c r="J727" s="40" t="s">
        <v>1763</v>
      </c>
      <c r="K727" s="40" t="s">
        <v>82</v>
      </c>
      <c r="L727" s="121">
        <v>31440</v>
      </c>
      <c r="M727" s="121">
        <v>16670</v>
      </c>
      <c r="N727" s="121">
        <v>23.5</v>
      </c>
      <c r="O727" s="363">
        <v>14770</v>
      </c>
      <c r="P727" s="363">
        <v>11299</v>
      </c>
      <c r="Q727" s="121">
        <v>2024</v>
      </c>
      <c r="R727" s="121"/>
      <c r="S727" s="148">
        <v>45459</v>
      </c>
      <c r="T727" s="363">
        <f>Таблица18[[#This Row],[Вес нетто]]-Таблица18[[#This Row],[Зачетный вес]]</f>
        <v>3471</v>
      </c>
      <c r="U727" s="365">
        <f>Таблица18[[#This Row],[Отход]]/Таблица18[[#This Row],[Вес нетто]]</f>
        <v>0.23500338524035205</v>
      </c>
      <c r="V727" s="121">
        <f>MONTH(Таблица18[[#This Row],[Дата акта]])</f>
        <v>6</v>
      </c>
      <c r="W727" s="121">
        <v>16</v>
      </c>
      <c r="X727" s="148">
        <f>DATE(1900,Таблица18[[#This Row],[Месяц]],Таблица18[[#This Row],[Число]])</f>
        <v>168</v>
      </c>
      <c r="Y727" s="121"/>
      <c r="Z727" s="121" t="str">
        <f>Таблица18[[#This Row],[Хар-ка]]</f>
        <v>первый</v>
      </c>
      <c r="AD727" s="459"/>
      <c r="AE727" s="391"/>
    </row>
    <row r="728" spans="1:31" s="325" customFormat="1" ht="15.6" hidden="1" customHeight="1" x14ac:dyDescent="0.2">
      <c r="A728" s="40" t="s">
        <v>2671</v>
      </c>
      <c r="B728" s="360" t="s">
        <v>550</v>
      </c>
      <c r="C728" s="40">
        <v>358</v>
      </c>
      <c r="D728" s="40">
        <v>2</v>
      </c>
      <c r="E728" s="40" t="s">
        <v>2754</v>
      </c>
      <c r="F728" s="40" t="s">
        <v>121</v>
      </c>
      <c r="G728" s="40" t="s">
        <v>125</v>
      </c>
      <c r="H728" s="40" t="s">
        <v>2766</v>
      </c>
      <c r="I728" s="360" t="e">
        <f>VLOOKUP(Таблица18[[#This Row],[Номер акта]],$AB$1:$AF$1833,3,FALSE)</f>
        <v>#N/A</v>
      </c>
      <c r="J728" s="40" t="s">
        <v>772</v>
      </c>
      <c r="K728" s="40" t="s">
        <v>82</v>
      </c>
      <c r="L728" s="121">
        <v>26810</v>
      </c>
      <c r="M728" s="121">
        <v>14400</v>
      </c>
      <c r="N728" s="121">
        <v>33.5</v>
      </c>
      <c r="O728" s="363">
        <v>12410</v>
      </c>
      <c r="P728" s="363">
        <v>8252.6</v>
      </c>
      <c r="Q728" s="121">
        <v>2024</v>
      </c>
      <c r="R728" s="121"/>
      <c r="S728" s="148">
        <v>45459</v>
      </c>
      <c r="T728" s="363">
        <f>Таблица18[[#This Row],[Вес нетто]]-Таблица18[[#This Row],[Зачетный вес]]</f>
        <v>4157.3999999999996</v>
      </c>
      <c r="U728" s="365">
        <f>Таблица18[[#This Row],[Отход]]/Таблица18[[#This Row],[Вес нетто]]</f>
        <v>0.33500402900886378</v>
      </c>
      <c r="V728" s="121">
        <f>MONTH(Таблица18[[#This Row],[Дата акта]])</f>
        <v>6</v>
      </c>
      <c r="W728" s="121">
        <v>16</v>
      </c>
      <c r="X728" s="148">
        <f>DATE(1900,Таблица18[[#This Row],[Месяц]],Таблица18[[#This Row],[Число]])</f>
        <v>168</v>
      </c>
      <c r="Y728" s="121"/>
      <c r="Z728" s="121" t="str">
        <f>Таблица18[[#This Row],[Хар-ка]]</f>
        <v>первый</v>
      </c>
      <c r="AD728" s="459"/>
      <c r="AE728" s="391"/>
    </row>
    <row r="729" spans="1:31" s="325" customFormat="1" ht="15.6" hidden="1" customHeight="1" x14ac:dyDescent="0.2">
      <c r="A729" s="40" t="s">
        <v>2672</v>
      </c>
      <c r="B729" s="360" t="s">
        <v>511</v>
      </c>
      <c r="C729" s="40">
        <v>359</v>
      </c>
      <c r="D729" s="40">
        <v>3</v>
      </c>
      <c r="E729" s="40" t="s">
        <v>2754</v>
      </c>
      <c r="F729" s="40" t="s">
        <v>1822</v>
      </c>
      <c r="G729" s="40" t="s">
        <v>1802</v>
      </c>
      <c r="H729" s="40" t="s">
        <v>2767</v>
      </c>
      <c r="I729" s="360" t="e">
        <f>VLOOKUP(Таблица18[[#This Row],[Номер акта]],$AB$1:$AF$1833,3,FALSE)</f>
        <v>#N/A</v>
      </c>
      <c r="J729" s="40" t="s">
        <v>772</v>
      </c>
      <c r="K729" s="40" t="s">
        <v>82</v>
      </c>
      <c r="L729" s="121">
        <v>28330</v>
      </c>
      <c r="M729" s="121">
        <v>14710</v>
      </c>
      <c r="N729" s="121">
        <v>30.5</v>
      </c>
      <c r="O729" s="363">
        <v>13620</v>
      </c>
      <c r="P729" s="363">
        <v>9465.9</v>
      </c>
      <c r="Q729" s="121">
        <v>2024</v>
      </c>
      <c r="R729" s="121"/>
      <c r="S729" s="148">
        <v>45460</v>
      </c>
      <c r="T729" s="363">
        <f>Таблица18[[#This Row],[Вес нетто]]-Таблица18[[#This Row],[Зачетный вес]]</f>
        <v>4154.1000000000004</v>
      </c>
      <c r="U729" s="365">
        <f>Таблица18[[#This Row],[Отход]]/Таблица18[[#This Row],[Вес нетто]]</f>
        <v>0.30500000000000005</v>
      </c>
      <c r="V729" s="121">
        <f>MONTH(Таблица18[[#This Row],[Дата акта]])</f>
        <v>6</v>
      </c>
      <c r="W729" s="121">
        <v>17</v>
      </c>
      <c r="X729" s="148">
        <f>DATE(1900,Таблица18[[#This Row],[Месяц]],Таблица18[[#This Row],[Число]])</f>
        <v>169</v>
      </c>
      <c r="Y729" s="121"/>
      <c r="Z729" s="121" t="str">
        <f>Таблица18[[#This Row],[Хар-ка]]</f>
        <v>высший</v>
      </c>
      <c r="AD729" s="459"/>
      <c r="AE729" s="391"/>
    </row>
    <row r="730" spans="1:31" s="325" customFormat="1" ht="15.6" hidden="1" customHeight="1" x14ac:dyDescent="0.2">
      <c r="A730" s="40" t="s">
        <v>2673</v>
      </c>
      <c r="B730" s="360" t="s">
        <v>511</v>
      </c>
      <c r="C730" s="40">
        <v>360</v>
      </c>
      <c r="D730" s="40">
        <v>4</v>
      </c>
      <c r="E730" s="40" t="s">
        <v>2754</v>
      </c>
      <c r="F730" s="40" t="s">
        <v>2750</v>
      </c>
      <c r="G730" s="40" t="s">
        <v>2751</v>
      </c>
      <c r="H730" s="40" t="s">
        <v>2767</v>
      </c>
      <c r="I730" s="360" t="e">
        <f>VLOOKUP(Таблица18[[#This Row],[Номер акта]],$AB$1:$AF$1833,3,FALSE)</f>
        <v>#N/A</v>
      </c>
      <c r="J730" s="40" t="s">
        <v>1770</v>
      </c>
      <c r="K730" s="40" t="s">
        <v>82</v>
      </c>
      <c r="L730" s="121">
        <v>33380</v>
      </c>
      <c r="M730" s="121">
        <v>17440</v>
      </c>
      <c r="N730" s="121">
        <v>28.5</v>
      </c>
      <c r="O730" s="363">
        <v>15940</v>
      </c>
      <c r="P730" s="363">
        <v>11397.1</v>
      </c>
      <c r="Q730" s="121">
        <v>2024</v>
      </c>
      <c r="R730" s="121"/>
      <c r="S730" s="148">
        <v>45460</v>
      </c>
      <c r="T730" s="363">
        <f>Таблица18[[#This Row],[Вес нетто]]-Таблица18[[#This Row],[Зачетный вес]]</f>
        <v>4542.8999999999996</v>
      </c>
      <c r="U730" s="365">
        <f>Таблица18[[#This Row],[Отход]]/Таблица18[[#This Row],[Вес нетто]]</f>
        <v>0.28499999999999998</v>
      </c>
      <c r="V730" s="121">
        <f>MONTH(Таблица18[[#This Row],[Дата акта]])</f>
        <v>6</v>
      </c>
      <c r="W730" s="121">
        <v>17</v>
      </c>
      <c r="X730" s="148">
        <f>DATE(1900,Таблица18[[#This Row],[Месяц]],Таблица18[[#This Row],[Число]])</f>
        <v>169</v>
      </c>
      <c r="Y730" s="121"/>
      <c r="Z730" s="121" t="str">
        <f>Таблица18[[#This Row],[Хар-ка]]</f>
        <v>высший</v>
      </c>
      <c r="AD730" s="459"/>
      <c r="AE730" s="391"/>
    </row>
    <row r="731" spans="1:31" s="325" customFormat="1" ht="15.6" hidden="1" customHeight="1" x14ac:dyDescent="0.2">
      <c r="A731" s="40" t="s">
        <v>2674</v>
      </c>
      <c r="B731" s="360" t="s">
        <v>511</v>
      </c>
      <c r="C731" s="40">
        <v>361</v>
      </c>
      <c r="D731" s="40">
        <v>7</v>
      </c>
      <c r="E731" s="40" t="s">
        <v>2754</v>
      </c>
      <c r="F731" s="40" t="s">
        <v>2749</v>
      </c>
      <c r="G731" s="40" t="s">
        <v>270</v>
      </c>
      <c r="H731" s="40" t="s">
        <v>2767</v>
      </c>
      <c r="I731" s="360" t="e">
        <f>VLOOKUP(Таблица18[[#This Row],[Номер акта]],$AB$1:$AF$1833,3,FALSE)</f>
        <v>#N/A</v>
      </c>
      <c r="J731" s="40" t="s">
        <v>1770</v>
      </c>
      <c r="K731" s="40" t="s">
        <v>82</v>
      </c>
      <c r="L731" s="121">
        <v>28540</v>
      </c>
      <c r="M731" s="121">
        <v>14900</v>
      </c>
      <c r="N731" s="121">
        <v>27.5</v>
      </c>
      <c r="O731" s="363">
        <v>13640</v>
      </c>
      <c r="P731" s="363">
        <v>9889</v>
      </c>
      <c r="Q731" s="121">
        <v>2024</v>
      </c>
      <c r="R731" s="121"/>
      <c r="S731" s="148">
        <v>45460</v>
      </c>
      <c r="T731" s="363">
        <f>Таблица18[[#This Row],[Вес нетто]]-Таблица18[[#This Row],[Зачетный вес]]</f>
        <v>3751</v>
      </c>
      <c r="U731" s="365">
        <f>Таблица18[[#This Row],[Отход]]/Таблица18[[#This Row],[Вес нетто]]</f>
        <v>0.27500000000000002</v>
      </c>
      <c r="V731" s="121">
        <f>MONTH(Таблица18[[#This Row],[Дата акта]])</f>
        <v>6</v>
      </c>
      <c r="W731" s="121">
        <v>17</v>
      </c>
      <c r="X731" s="148">
        <f>DATE(1900,Таблица18[[#This Row],[Месяц]],Таблица18[[#This Row],[Число]])</f>
        <v>169</v>
      </c>
      <c r="Y731" s="121"/>
      <c r="Z731" s="121" t="str">
        <f>Таблица18[[#This Row],[Хар-ка]]</f>
        <v>высший</v>
      </c>
      <c r="AD731" s="459"/>
      <c r="AE731" s="391"/>
    </row>
    <row r="732" spans="1:31" s="325" customFormat="1" ht="15.6" hidden="1" customHeight="1" x14ac:dyDescent="0.2">
      <c r="A732" s="40" t="s">
        <v>2675</v>
      </c>
      <c r="B732" s="360" t="s">
        <v>511</v>
      </c>
      <c r="C732" s="40">
        <v>363</v>
      </c>
      <c r="D732" s="40">
        <v>8</v>
      </c>
      <c r="E732" s="40" t="s">
        <v>2754</v>
      </c>
      <c r="F732" s="40" t="s">
        <v>2757</v>
      </c>
      <c r="G732" s="40" t="s">
        <v>2758</v>
      </c>
      <c r="H732" s="40" t="s">
        <v>2767</v>
      </c>
      <c r="I732" s="360" t="e">
        <f>VLOOKUP(Таблица18[[#This Row],[Номер акта]],$AB$1:$AF$1833,3,FALSE)</f>
        <v>#N/A</v>
      </c>
      <c r="J732" s="40" t="s">
        <v>1770</v>
      </c>
      <c r="K732" s="40" t="s">
        <v>82</v>
      </c>
      <c r="L732" s="121">
        <v>23670</v>
      </c>
      <c r="M732" s="121">
        <v>16550</v>
      </c>
      <c r="N732" s="121">
        <v>30.5</v>
      </c>
      <c r="O732" s="363">
        <v>7120</v>
      </c>
      <c r="P732" s="363">
        <v>4948.3999999999996</v>
      </c>
      <c r="Q732" s="121">
        <v>2024</v>
      </c>
      <c r="R732" s="121"/>
      <c r="S732" s="148">
        <v>45460</v>
      </c>
      <c r="T732" s="363">
        <f>Таблица18[[#This Row],[Вес нетто]]-Таблица18[[#This Row],[Зачетный вес]]</f>
        <v>2171.6000000000004</v>
      </c>
      <c r="U732" s="365">
        <f>Таблица18[[#This Row],[Отход]]/Таблица18[[#This Row],[Вес нетто]]</f>
        <v>0.30500000000000005</v>
      </c>
      <c r="V732" s="121">
        <f>MONTH(Таблица18[[#This Row],[Дата акта]])</f>
        <v>6</v>
      </c>
      <c r="W732" s="121">
        <v>17</v>
      </c>
      <c r="X732" s="148">
        <f>DATE(1900,Таблица18[[#This Row],[Месяц]],Таблица18[[#This Row],[Число]])</f>
        <v>169</v>
      </c>
      <c r="Y732" s="121"/>
      <c r="Z732" s="121" t="str">
        <f>Таблица18[[#This Row],[Хар-ка]]</f>
        <v>высший</v>
      </c>
      <c r="AD732" s="459"/>
      <c r="AE732" s="391"/>
    </row>
    <row r="733" spans="1:31" s="325" customFormat="1" ht="15.6" hidden="1" customHeight="1" x14ac:dyDescent="0.2">
      <c r="A733" s="40" t="s">
        <v>2676</v>
      </c>
      <c r="B733" s="360" t="s">
        <v>511</v>
      </c>
      <c r="C733" s="40">
        <v>366</v>
      </c>
      <c r="D733" s="40">
        <v>57</v>
      </c>
      <c r="E733" s="40" t="s">
        <v>2754</v>
      </c>
      <c r="F733" s="40" t="s">
        <v>2761</v>
      </c>
      <c r="G733" s="40" t="s">
        <v>149</v>
      </c>
      <c r="H733" s="40" t="s">
        <v>2767</v>
      </c>
      <c r="I733" s="360" t="e">
        <f>VLOOKUP(Таблица18[[#This Row],[Номер акта]],$AB$1:$AF$1833,3,FALSE)</f>
        <v>#N/A</v>
      </c>
      <c r="J733" s="40" t="s">
        <v>1770</v>
      </c>
      <c r="K733" s="40" t="s">
        <v>82</v>
      </c>
      <c r="L733" s="121">
        <v>28460</v>
      </c>
      <c r="M733" s="121">
        <v>15140</v>
      </c>
      <c r="N733" s="121">
        <v>22.5</v>
      </c>
      <c r="O733" s="363">
        <v>13320</v>
      </c>
      <c r="P733" s="363">
        <v>10323</v>
      </c>
      <c r="Q733" s="121">
        <v>2024</v>
      </c>
      <c r="R733" s="121"/>
      <c r="S733" s="148">
        <v>45461</v>
      </c>
      <c r="T733" s="363">
        <f>Таблица18[[#This Row],[Вес нетто]]-Таблица18[[#This Row],[Зачетный вес]]</f>
        <v>2997</v>
      </c>
      <c r="U733" s="365">
        <f>Таблица18[[#This Row],[Отход]]/Таблица18[[#This Row],[Вес нетто]]</f>
        <v>0.22500000000000001</v>
      </c>
      <c r="V733" s="121">
        <f>MONTH(Таблица18[[#This Row],[Дата акта]])</f>
        <v>6</v>
      </c>
      <c r="W733" s="121">
        <v>18</v>
      </c>
      <c r="X733" s="148">
        <f>DATE(1900,Таблица18[[#This Row],[Месяц]],Таблица18[[#This Row],[Число]])</f>
        <v>170</v>
      </c>
      <c r="Y733" s="121"/>
      <c r="Z733" s="121" t="str">
        <f>Таблица18[[#This Row],[Хар-ка]]</f>
        <v>высший</v>
      </c>
      <c r="AD733" s="459"/>
      <c r="AE733" s="391"/>
    </row>
    <row r="734" spans="1:31" s="325" customFormat="1" ht="15.6" hidden="1" customHeight="1" x14ac:dyDescent="0.2">
      <c r="A734" s="40" t="s">
        <v>2677</v>
      </c>
      <c r="B734" s="360" t="s">
        <v>511</v>
      </c>
      <c r="C734" s="40">
        <v>367</v>
      </c>
      <c r="D734" s="40">
        <v>58</v>
      </c>
      <c r="E734" s="40" t="s">
        <v>2754</v>
      </c>
      <c r="F734" s="40" t="s">
        <v>2762</v>
      </c>
      <c r="G734" s="40" t="s">
        <v>145</v>
      </c>
      <c r="H734" s="40" t="s">
        <v>2767</v>
      </c>
      <c r="I734" s="360" t="e">
        <f>VLOOKUP(Таблица18[[#This Row],[Номер акта]],$AB$1:$AF$1833,3,FALSE)</f>
        <v>#N/A</v>
      </c>
      <c r="J734" s="40" t="s">
        <v>1770</v>
      </c>
      <c r="K734" s="40" t="s">
        <v>82</v>
      </c>
      <c r="L734" s="121">
        <v>31200</v>
      </c>
      <c r="M734" s="121">
        <v>15550</v>
      </c>
      <c r="N734" s="121">
        <v>23.5</v>
      </c>
      <c r="O734" s="363">
        <v>15650</v>
      </c>
      <c r="P734" s="363">
        <v>11972.2</v>
      </c>
      <c r="Q734" s="121">
        <v>2024</v>
      </c>
      <c r="R734" s="121"/>
      <c r="S734" s="148">
        <v>45461</v>
      </c>
      <c r="T734" s="363">
        <f>Таблица18[[#This Row],[Вес нетто]]-Таблица18[[#This Row],[Зачетный вес]]</f>
        <v>3677.7999999999993</v>
      </c>
      <c r="U734" s="365">
        <f>Таблица18[[#This Row],[Отход]]/Таблица18[[#This Row],[Вес нетто]]</f>
        <v>0.23500319488817886</v>
      </c>
      <c r="V734" s="121">
        <f>MONTH(Таблица18[[#This Row],[Дата акта]])</f>
        <v>6</v>
      </c>
      <c r="W734" s="121">
        <v>18</v>
      </c>
      <c r="X734" s="148">
        <f>DATE(1900,Таблица18[[#This Row],[Месяц]],Таблица18[[#This Row],[Число]])</f>
        <v>170</v>
      </c>
      <c r="Y734" s="121"/>
      <c r="Z734" s="121" t="str">
        <f>Таблица18[[#This Row],[Хар-ка]]</f>
        <v>высший</v>
      </c>
      <c r="AD734" s="459"/>
      <c r="AE734" s="391"/>
    </row>
    <row r="735" spans="1:31" s="325" customFormat="1" ht="15.6" hidden="1" customHeight="1" x14ac:dyDescent="0.2">
      <c r="A735" s="40" t="s">
        <v>2678</v>
      </c>
      <c r="B735" s="360" t="s">
        <v>511</v>
      </c>
      <c r="C735" s="40">
        <v>368</v>
      </c>
      <c r="D735" s="40">
        <v>60</v>
      </c>
      <c r="E735" s="40" t="s">
        <v>2754</v>
      </c>
      <c r="F735" s="40" t="s">
        <v>2749</v>
      </c>
      <c r="G735" s="40" t="s">
        <v>270</v>
      </c>
      <c r="H735" s="40" t="s">
        <v>2767</v>
      </c>
      <c r="I735" s="360" t="e">
        <f>VLOOKUP(Таблица18[[#This Row],[Номер акта]],$AB$1:$AF$1833,3,FALSE)</f>
        <v>#N/A</v>
      </c>
      <c r="J735" s="40" t="s">
        <v>1770</v>
      </c>
      <c r="K735" s="40" t="s">
        <v>82</v>
      </c>
      <c r="L735" s="121">
        <v>28000</v>
      </c>
      <c r="M735" s="121">
        <v>14930</v>
      </c>
      <c r="N735" s="121">
        <v>27.5</v>
      </c>
      <c r="O735" s="363">
        <v>13070</v>
      </c>
      <c r="P735" s="363">
        <v>9475.7000000000007</v>
      </c>
      <c r="Q735" s="121">
        <v>2024</v>
      </c>
      <c r="R735" s="121"/>
      <c r="S735" s="148">
        <v>45461</v>
      </c>
      <c r="T735" s="363">
        <f>Таблица18[[#This Row],[Вес нетто]]-Таблица18[[#This Row],[Зачетный вес]]</f>
        <v>3594.2999999999993</v>
      </c>
      <c r="U735" s="365">
        <f>Таблица18[[#This Row],[Отход]]/Таблица18[[#This Row],[Вес нетто]]</f>
        <v>0.27500382555470537</v>
      </c>
      <c r="V735" s="121">
        <f>MONTH(Таблица18[[#This Row],[Дата акта]])</f>
        <v>6</v>
      </c>
      <c r="W735" s="121">
        <v>18</v>
      </c>
      <c r="X735" s="148">
        <f>DATE(1900,Таблица18[[#This Row],[Месяц]],Таблица18[[#This Row],[Число]])</f>
        <v>170</v>
      </c>
      <c r="Y735" s="121"/>
      <c r="Z735" s="121" t="str">
        <f>Таблица18[[#This Row],[Хар-ка]]</f>
        <v>высший</v>
      </c>
      <c r="AD735" s="459"/>
      <c r="AE735" s="391"/>
    </row>
    <row r="736" spans="1:31" s="325" customFormat="1" ht="15.6" hidden="1" customHeight="1" x14ac:dyDescent="0.2">
      <c r="A736" s="40" t="s">
        <v>2679</v>
      </c>
      <c r="B736" s="360" t="s">
        <v>511</v>
      </c>
      <c r="C736" s="40">
        <v>369</v>
      </c>
      <c r="D736" s="40">
        <v>59</v>
      </c>
      <c r="E736" s="40" t="s">
        <v>2754</v>
      </c>
      <c r="F736" s="40" t="s">
        <v>212</v>
      </c>
      <c r="G736" s="40" t="s">
        <v>216</v>
      </c>
      <c r="H736" s="40" t="s">
        <v>2767</v>
      </c>
      <c r="I736" s="360" t="e">
        <f>VLOOKUP(Таблица18[[#This Row],[Номер акта]],$AB$1:$AF$1833,3,FALSE)</f>
        <v>#N/A</v>
      </c>
      <c r="J736" s="40" t="s">
        <v>1770</v>
      </c>
      <c r="K736" s="40" t="s">
        <v>82</v>
      </c>
      <c r="L736" s="121">
        <v>27290</v>
      </c>
      <c r="M736" s="121">
        <v>14070</v>
      </c>
      <c r="N736" s="121">
        <v>26.5</v>
      </c>
      <c r="O736" s="363">
        <v>13220</v>
      </c>
      <c r="P736" s="363">
        <v>9716.7000000000007</v>
      </c>
      <c r="Q736" s="121">
        <v>2024</v>
      </c>
      <c r="R736" s="121"/>
      <c r="S736" s="148">
        <v>45462</v>
      </c>
      <c r="T736" s="363">
        <f>Таблица18[[#This Row],[Вес нетто]]-Таблица18[[#This Row],[Зачетный вес]]</f>
        <v>3503.2999999999993</v>
      </c>
      <c r="U736" s="365">
        <f>Таблица18[[#This Row],[Отход]]/Таблица18[[#This Row],[Вес нетто]]</f>
        <v>0.26499999999999996</v>
      </c>
      <c r="V736" s="121">
        <f>MONTH(Таблица18[[#This Row],[Дата акта]])</f>
        <v>6</v>
      </c>
      <c r="W736" s="121">
        <v>19</v>
      </c>
      <c r="X736" s="148">
        <f>DATE(1900,Таблица18[[#This Row],[Месяц]],Таблица18[[#This Row],[Число]])</f>
        <v>171</v>
      </c>
      <c r="Y736" s="121"/>
      <c r="Z736" s="121" t="str">
        <f>Таблица18[[#This Row],[Хар-ка]]</f>
        <v>высший</v>
      </c>
      <c r="AD736" s="459"/>
      <c r="AE736" s="391"/>
    </row>
    <row r="737" spans="1:31" s="325" customFormat="1" ht="15.6" hidden="1" customHeight="1" x14ac:dyDescent="0.2">
      <c r="A737" s="40" t="s">
        <v>2680</v>
      </c>
      <c r="B737" s="360" t="s">
        <v>511</v>
      </c>
      <c r="C737" s="40">
        <v>370</v>
      </c>
      <c r="D737" s="40">
        <v>61</v>
      </c>
      <c r="E737" s="40" t="s">
        <v>2754</v>
      </c>
      <c r="F737" s="40" t="s">
        <v>2750</v>
      </c>
      <c r="G737" s="40" t="s">
        <v>2751</v>
      </c>
      <c r="H737" s="40" t="s">
        <v>2768</v>
      </c>
      <c r="I737" s="360" t="e">
        <f>VLOOKUP(Таблица18[[#This Row],[Номер акта]],$AB$1:$AF$1833,3,FALSE)</f>
        <v>#N/A</v>
      </c>
      <c r="J737" s="40" t="s">
        <v>2772</v>
      </c>
      <c r="K737" s="40" t="s">
        <v>82</v>
      </c>
      <c r="L737" s="121">
        <v>32510</v>
      </c>
      <c r="M737" s="121">
        <v>23900</v>
      </c>
      <c r="N737" s="121">
        <v>27.5</v>
      </c>
      <c r="O737" s="363">
        <v>8610</v>
      </c>
      <c r="P737" s="363">
        <v>6242.2</v>
      </c>
      <c r="Q737" s="121">
        <v>2024</v>
      </c>
      <c r="R737" s="121"/>
      <c r="S737" s="148">
        <v>45462</v>
      </c>
      <c r="T737" s="363">
        <f>Таблица18[[#This Row],[Вес нетто]]-Таблица18[[#This Row],[Зачетный вес]]</f>
        <v>2367.8000000000002</v>
      </c>
      <c r="U737" s="365">
        <f>Таблица18[[#This Row],[Отход]]/Таблица18[[#This Row],[Вес нетто]]</f>
        <v>0.27500580720092915</v>
      </c>
      <c r="V737" s="121">
        <f>MONTH(Таблица18[[#This Row],[Дата акта]])</f>
        <v>6</v>
      </c>
      <c r="W737" s="121">
        <v>19</v>
      </c>
      <c r="X737" s="148">
        <f>DATE(1900,Таблица18[[#This Row],[Месяц]],Таблица18[[#This Row],[Число]])</f>
        <v>171</v>
      </c>
      <c r="Y737" s="121"/>
      <c r="Z737" s="121" t="str">
        <f>Таблица18[[#This Row],[Хар-ка]]</f>
        <v>высший</v>
      </c>
      <c r="AD737" s="459"/>
      <c r="AE737" s="391"/>
    </row>
    <row r="738" spans="1:31" s="325" customFormat="1" ht="15.6" hidden="1" customHeight="1" x14ac:dyDescent="0.2">
      <c r="A738" s="40" t="s">
        <v>2681</v>
      </c>
      <c r="B738" s="360" t="s">
        <v>511</v>
      </c>
      <c r="C738" s="40">
        <v>371</v>
      </c>
      <c r="D738" s="40">
        <v>61</v>
      </c>
      <c r="E738" s="40" t="s">
        <v>2754</v>
      </c>
      <c r="F738" s="40" t="s">
        <v>2750</v>
      </c>
      <c r="G738" s="40" t="s">
        <v>2751</v>
      </c>
      <c r="H738" s="40" t="s">
        <v>2767</v>
      </c>
      <c r="I738" s="360" t="e">
        <f>VLOOKUP(Таблица18[[#This Row],[Номер акта]],$AB$1:$AF$1833,3,FALSE)</f>
        <v>#N/A</v>
      </c>
      <c r="J738" s="40" t="s">
        <v>1770</v>
      </c>
      <c r="K738" s="40" t="s">
        <v>82</v>
      </c>
      <c r="L738" s="121">
        <v>23900</v>
      </c>
      <c r="M738" s="121">
        <v>17310</v>
      </c>
      <c r="N738" s="121">
        <v>21.5</v>
      </c>
      <c r="O738" s="363">
        <v>6590</v>
      </c>
      <c r="P738" s="363">
        <v>5173.1000000000004</v>
      </c>
      <c r="Q738" s="121">
        <v>2024</v>
      </c>
      <c r="R738" s="121"/>
      <c r="S738" s="148">
        <v>45462</v>
      </c>
      <c r="T738" s="363">
        <f>Таблица18[[#This Row],[Вес нетто]]-Таблица18[[#This Row],[Зачетный вес]]</f>
        <v>1416.8999999999996</v>
      </c>
      <c r="U738" s="365">
        <f>Таблица18[[#This Row],[Отход]]/Таблица18[[#This Row],[Вес нетто]]</f>
        <v>0.21500758725341421</v>
      </c>
      <c r="V738" s="121">
        <f>MONTH(Таблица18[[#This Row],[Дата акта]])</f>
        <v>6</v>
      </c>
      <c r="W738" s="121">
        <v>19</v>
      </c>
      <c r="X738" s="148">
        <f>DATE(1900,Таблица18[[#This Row],[Месяц]],Таблица18[[#This Row],[Число]])</f>
        <v>171</v>
      </c>
      <c r="Y738" s="121"/>
      <c r="Z738" s="121" t="str">
        <f>Таблица18[[#This Row],[Хар-ка]]</f>
        <v>высший</v>
      </c>
      <c r="AD738" s="459"/>
      <c r="AE738" s="391"/>
    </row>
    <row r="739" spans="1:31" s="325" customFormat="1" ht="15.6" hidden="1" customHeight="1" x14ac:dyDescent="0.2">
      <c r="A739" s="40" t="s">
        <v>2682</v>
      </c>
      <c r="B739" s="360" t="s">
        <v>511</v>
      </c>
      <c r="C739" s="40">
        <v>373</v>
      </c>
      <c r="D739" s="40">
        <v>62</v>
      </c>
      <c r="E739" s="40" t="s">
        <v>2754</v>
      </c>
      <c r="F739" s="40" t="s">
        <v>2155</v>
      </c>
      <c r="G739" s="40" t="s">
        <v>320</v>
      </c>
      <c r="H739" s="40" t="s">
        <v>2768</v>
      </c>
      <c r="I739" s="360" t="e">
        <f>VLOOKUP(Таблица18[[#This Row],[Номер акта]],$AB$1:$AF$1833,3,FALSE)</f>
        <v>#N/A</v>
      </c>
      <c r="J739" s="40" t="s">
        <v>2772</v>
      </c>
      <c r="K739" s="40" t="s">
        <v>82</v>
      </c>
      <c r="L739" s="121">
        <v>28580</v>
      </c>
      <c r="M739" s="121">
        <v>14400</v>
      </c>
      <c r="N739" s="121">
        <v>32.5</v>
      </c>
      <c r="O739" s="363">
        <v>14180</v>
      </c>
      <c r="P739" s="363">
        <v>9571.5</v>
      </c>
      <c r="Q739" s="121">
        <v>2024</v>
      </c>
      <c r="R739" s="121"/>
      <c r="S739" s="148">
        <v>45462</v>
      </c>
      <c r="T739" s="363">
        <f>Таблица18[[#This Row],[Вес нетто]]-Таблица18[[#This Row],[Зачетный вес]]</f>
        <v>4608.5</v>
      </c>
      <c r="U739" s="365">
        <f>Таблица18[[#This Row],[Отход]]/Таблица18[[#This Row],[Вес нетто]]</f>
        <v>0.32500000000000001</v>
      </c>
      <c r="V739" s="121">
        <f>MONTH(Таблица18[[#This Row],[Дата акта]])</f>
        <v>6</v>
      </c>
      <c r="W739" s="121">
        <v>19</v>
      </c>
      <c r="X739" s="148">
        <f>DATE(1900,Таблица18[[#This Row],[Месяц]],Таблица18[[#This Row],[Число]])</f>
        <v>171</v>
      </c>
      <c r="Y739" s="121"/>
      <c r="Z739" s="121" t="str">
        <f>Таблица18[[#This Row],[Хар-ка]]</f>
        <v>высший</v>
      </c>
      <c r="AD739" s="459"/>
      <c r="AE739" s="391"/>
    </row>
    <row r="740" spans="1:31" s="325" customFormat="1" ht="15.6" hidden="1" customHeight="1" x14ac:dyDescent="0.2">
      <c r="A740" s="40" t="s">
        <v>2683</v>
      </c>
      <c r="B740" s="360" t="s">
        <v>511</v>
      </c>
      <c r="C740" s="40">
        <v>375</v>
      </c>
      <c r="D740" s="40">
        <v>63</v>
      </c>
      <c r="E740" s="40" t="s">
        <v>2754</v>
      </c>
      <c r="F740" s="40" t="s">
        <v>133</v>
      </c>
      <c r="G740" s="40" t="s">
        <v>137</v>
      </c>
      <c r="H740" s="40" t="s">
        <v>2768</v>
      </c>
      <c r="I740" s="360" t="e">
        <f>VLOOKUP(Таблица18[[#This Row],[Номер акта]],$AB$1:$AF$1833,3,FALSE)</f>
        <v>#N/A</v>
      </c>
      <c r="J740" s="40" t="s">
        <v>2772</v>
      </c>
      <c r="K740" s="40" t="s">
        <v>82</v>
      </c>
      <c r="L740" s="121">
        <v>32550</v>
      </c>
      <c r="M740" s="121">
        <v>17300</v>
      </c>
      <c r="N740" s="121">
        <v>43.5</v>
      </c>
      <c r="O740" s="363">
        <v>15250</v>
      </c>
      <c r="P740" s="363">
        <v>8616.2000000000007</v>
      </c>
      <c r="Q740" s="121">
        <v>2024</v>
      </c>
      <c r="R740" s="121"/>
      <c r="S740" s="148">
        <v>45462</v>
      </c>
      <c r="T740" s="363">
        <f>Таблица18[[#This Row],[Вес нетто]]-Таблица18[[#This Row],[Зачетный вес]]</f>
        <v>6633.7999999999993</v>
      </c>
      <c r="U740" s="365">
        <f>Таблица18[[#This Row],[Отход]]/Таблица18[[#This Row],[Вес нетто]]</f>
        <v>0.43500327868852456</v>
      </c>
      <c r="V740" s="121">
        <f>MONTH(Таблица18[[#This Row],[Дата акта]])</f>
        <v>6</v>
      </c>
      <c r="W740" s="121">
        <v>19</v>
      </c>
      <c r="X740" s="148">
        <f>DATE(1900,Таблица18[[#This Row],[Месяц]],Таблица18[[#This Row],[Число]])</f>
        <v>171</v>
      </c>
      <c r="Y740" s="121"/>
      <c r="Z740" s="121" t="str">
        <f>Таблица18[[#This Row],[Хар-ка]]</f>
        <v>высший</v>
      </c>
      <c r="AD740" s="459"/>
      <c r="AE740" s="391"/>
    </row>
    <row r="741" spans="1:31" s="325" customFormat="1" ht="15.6" hidden="1" customHeight="1" x14ac:dyDescent="0.2">
      <c r="A741" s="40" t="s">
        <v>2684</v>
      </c>
      <c r="B741" s="360" t="s">
        <v>511</v>
      </c>
      <c r="C741" s="40">
        <v>376</v>
      </c>
      <c r="D741" s="40">
        <v>64</v>
      </c>
      <c r="E741" s="40" t="s">
        <v>2754</v>
      </c>
      <c r="F741" s="40" t="s">
        <v>1843</v>
      </c>
      <c r="G741" s="40" t="s">
        <v>119</v>
      </c>
      <c r="H741" s="40" t="s">
        <v>2768</v>
      </c>
      <c r="I741" s="360" t="e">
        <f>VLOOKUP(Таблица18[[#This Row],[Номер акта]],$AB$1:$AF$1833,3,FALSE)</f>
        <v>#N/A</v>
      </c>
      <c r="J741" s="40" t="s">
        <v>2772</v>
      </c>
      <c r="K741" s="40" t="s">
        <v>82</v>
      </c>
      <c r="L741" s="121">
        <v>39730</v>
      </c>
      <c r="M741" s="121">
        <v>21050</v>
      </c>
      <c r="N741" s="121">
        <v>39.5</v>
      </c>
      <c r="O741" s="363">
        <v>18680</v>
      </c>
      <c r="P741" s="363">
        <v>11301.4</v>
      </c>
      <c r="Q741" s="121">
        <v>2024</v>
      </c>
      <c r="R741" s="121"/>
      <c r="S741" s="148">
        <v>45462</v>
      </c>
      <c r="T741" s="363">
        <f>Таблица18[[#This Row],[Вес нетто]]-Таблица18[[#This Row],[Зачетный вес]]</f>
        <v>7378.6</v>
      </c>
      <c r="U741" s="365">
        <f>Таблица18[[#This Row],[Отход]]/Таблица18[[#This Row],[Вес нетто]]</f>
        <v>0.39500000000000002</v>
      </c>
      <c r="V741" s="121">
        <f>MONTH(Таблица18[[#This Row],[Дата акта]])</f>
        <v>6</v>
      </c>
      <c r="W741" s="121">
        <v>19</v>
      </c>
      <c r="X741" s="148">
        <f>DATE(1900,Таблица18[[#This Row],[Месяц]],Таблица18[[#This Row],[Число]])</f>
        <v>171</v>
      </c>
      <c r="Y741" s="121"/>
      <c r="Z741" s="121" t="str">
        <f>Таблица18[[#This Row],[Хар-ка]]</f>
        <v>высший</v>
      </c>
      <c r="AD741" s="459"/>
      <c r="AE741" s="391"/>
    </row>
    <row r="742" spans="1:31" s="325" customFormat="1" ht="15.6" hidden="1" customHeight="1" x14ac:dyDescent="0.2">
      <c r="A742" s="40" t="s">
        <v>2685</v>
      </c>
      <c r="B742" s="360" t="s">
        <v>511</v>
      </c>
      <c r="C742" s="40">
        <v>377</v>
      </c>
      <c r="D742" s="40">
        <v>65</v>
      </c>
      <c r="E742" s="40" t="s">
        <v>2754</v>
      </c>
      <c r="F742" s="40" t="s">
        <v>2223</v>
      </c>
      <c r="G742" s="40" t="s">
        <v>2224</v>
      </c>
      <c r="H742" s="40" t="s">
        <v>2767</v>
      </c>
      <c r="I742" s="360" t="e">
        <f>VLOOKUP(Таблица18[[#This Row],[Номер акта]],$AB$1:$AF$1833,3,FALSE)</f>
        <v>#N/A</v>
      </c>
      <c r="J742" s="40" t="s">
        <v>1770</v>
      </c>
      <c r="K742" s="40" t="s">
        <v>82</v>
      </c>
      <c r="L742" s="121">
        <v>27970</v>
      </c>
      <c r="M742" s="121">
        <v>14550</v>
      </c>
      <c r="N742" s="121">
        <v>15.5</v>
      </c>
      <c r="O742" s="363">
        <v>13420</v>
      </c>
      <c r="P742" s="363">
        <v>11339.9</v>
      </c>
      <c r="Q742" s="121">
        <v>2024</v>
      </c>
      <c r="R742" s="121"/>
      <c r="S742" s="148">
        <v>45462</v>
      </c>
      <c r="T742" s="363">
        <f>Таблица18[[#This Row],[Вес нетто]]-Таблица18[[#This Row],[Зачетный вес]]</f>
        <v>2080.1000000000004</v>
      </c>
      <c r="U742" s="365">
        <f>Таблица18[[#This Row],[Отход]]/Таблица18[[#This Row],[Вес нетто]]</f>
        <v>0.15500000000000003</v>
      </c>
      <c r="V742" s="121">
        <f>MONTH(Таблица18[[#This Row],[Дата акта]])</f>
        <v>6</v>
      </c>
      <c r="W742" s="121">
        <v>19</v>
      </c>
      <c r="X742" s="148">
        <f>DATE(1900,Таблица18[[#This Row],[Месяц]],Таблица18[[#This Row],[Число]])</f>
        <v>171</v>
      </c>
      <c r="Y742" s="121"/>
      <c r="Z742" s="121" t="str">
        <f>Таблица18[[#This Row],[Хар-ка]]</f>
        <v>высший</v>
      </c>
      <c r="AD742" s="459"/>
      <c r="AE742" s="391"/>
    </row>
    <row r="743" spans="1:31" s="325" customFormat="1" ht="15.6" hidden="1" customHeight="1" x14ac:dyDescent="0.2">
      <c r="A743" s="40" t="s">
        <v>2686</v>
      </c>
      <c r="B743" s="360" t="s">
        <v>511</v>
      </c>
      <c r="C743" s="40">
        <v>378</v>
      </c>
      <c r="D743" s="40">
        <v>66</v>
      </c>
      <c r="E743" s="40" t="s">
        <v>2754</v>
      </c>
      <c r="F743" s="40" t="s">
        <v>2761</v>
      </c>
      <c r="G743" s="40" t="s">
        <v>149</v>
      </c>
      <c r="H743" s="40" t="s">
        <v>2767</v>
      </c>
      <c r="I743" s="360" t="e">
        <f>VLOOKUP(Таблица18[[#This Row],[Номер акта]],$AB$1:$AF$1833,3,FALSE)</f>
        <v>#N/A</v>
      </c>
      <c r="J743" s="40" t="s">
        <v>1770</v>
      </c>
      <c r="K743" s="40" t="s">
        <v>82</v>
      </c>
      <c r="L743" s="121">
        <v>28040</v>
      </c>
      <c r="M743" s="121">
        <v>15030</v>
      </c>
      <c r="N743" s="121">
        <v>18.5</v>
      </c>
      <c r="O743" s="363">
        <v>13010</v>
      </c>
      <c r="P743" s="363">
        <v>10603.1</v>
      </c>
      <c r="Q743" s="121">
        <v>2024</v>
      </c>
      <c r="R743" s="121"/>
      <c r="S743" s="148">
        <v>45462</v>
      </c>
      <c r="T743" s="363">
        <f>Таблица18[[#This Row],[Вес нетто]]-Таблица18[[#This Row],[Зачетный вес]]</f>
        <v>2406.8999999999996</v>
      </c>
      <c r="U743" s="365">
        <f>Таблица18[[#This Row],[Отход]]/Таблица18[[#This Row],[Вес нетто]]</f>
        <v>0.18500384319754032</v>
      </c>
      <c r="V743" s="121">
        <f>MONTH(Таблица18[[#This Row],[Дата акта]])</f>
        <v>6</v>
      </c>
      <c r="W743" s="121">
        <v>19</v>
      </c>
      <c r="X743" s="148">
        <f>DATE(1900,Таблица18[[#This Row],[Месяц]],Таблица18[[#This Row],[Число]])</f>
        <v>171</v>
      </c>
      <c r="Y743" s="121"/>
      <c r="Z743" s="121" t="str">
        <f>Таблица18[[#This Row],[Хар-ка]]</f>
        <v>высший</v>
      </c>
      <c r="AD743" s="459"/>
      <c r="AE743" s="391"/>
    </row>
    <row r="744" spans="1:31" s="325" customFormat="1" ht="15.6" hidden="1" customHeight="1" x14ac:dyDescent="0.2">
      <c r="A744" s="40" t="s">
        <v>2687</v>
      </c>
      <c r="B744" s="360" t="s">
        <v>511</v>
      </c>
      <c r="C744" s="40">
        <v>379</v>
      </c>
      <c r="D744" s="40">
        <v>67</v>
      </c>
      <c r="E744" s="40" t="s">
        <v>2754</v>
      </c>
      <c r="F744" s="40" t="s">
        <v>2762</v>
      </c>
      <c r="G744" s="40" t="s">
        <v>145</v>
      </c>
      <c r="H744" s="40" t="s">
        <v>2767</v>
      </c>
      <c r="I744" s="360" t="e">
        <f>VLOOKUP(Таблица18[[#This Row],[Номер акта]],$AB$1:$AF$1833,3,FALSE)</f>
        <v>#N/A</v>
      </c>
      <c r="J744" s="40" t="s">
        <v>1770</v>
      </c>
      <c r="K744" s="40" t="s">
        <v>82</v>
      </c>
      <c r="L744" s="121">
        <v>30690</v>
      </c>
      <c r="M744" s="121">
        <v>15430</v>
      </c>
      <c r="N744" s="121">
        <v>17.5</v>
      </c>
      <c r="O744" s="363">
        <v>15260</v>
      </c>
      <c r="P744" s="363">
        <v>12589.5</v>
      </c>
      <c r="Q744" s="121">
        <v>2024</v>
      </c>
      <c r="R744" s="121"/>
      <c r="S744" s="148">
        <v>45462</v>
      </c>
      <c r="T744" s="363">
        <f>Таблица18[[#This Row],[Вес нетто]]-Таблица18[[#This Row],[Зачетный вес]]</f>
        <v>2670.5</v>
      </c>
      <c r="U744" s="365">
        <f>Таблица18[[#This Row],[Отход]]/Таблица18[[#This Row],[Вес нетто]]</f>
        <v>0.17499999999999999</v>
      </c>
      <c r="V744" s="121">
        <f>MONTH(Таблица18[[#This Row],[Дата акта]])</f>
        <v>6</v>
      </c>
      <c r="W744" s="121">
        <v>19</v>
      </c>
      <c r="X744" s="148">
        <f>DATE(1900,Таблица18[[#This Row],[Месяц]],Таблица18[[#This Row],[Число]])</f>
        <v>171</v>
      </c>
      <c r="Y744" s="121"/>
      <c r="Z744" s="121" t="str">
        <f>Таблица18[[#This Row],[Хар-ка]]</f>
        <v>высший</v>
      </c>
      <c r="AD744" s="459"/>
      <c r="AE744" s="391"/>
    </row>
    <row r="745" spans="1:31" s="325" customFormat="1" ht="15.6" hidden="1" customHeight="1" x14ac:dyDescent="0.2">
      <c r="A745" s="40" t="s">
        <v>2688</v>
      </c>
      <c r="B745" s="360" t="s">
        <v>511</v>
      </c>
      <c r="C745" s="40">
        <v>380</v>
      </c>
      <c r="D745" s="40">
        <v>68</v>
      </c>
      <c r="E745" s="40" t="s">
        <v>2754</v>
      </c>
      <c r="F745" s="40" t="s">
        <v>2749</v>
      </c>
      <c r="G745" s="40" t="s">
        <v>270</v>
      </c>
      <c r="H745" s="40" t="s">
        <v>2767</v>
      </c>
      <c r="I745" s="360" t="e">
        <f>VLOOKUP(Таблица18[[#This Row],[Номер акта]],$AB$1:$AF$1833,3,FALSE)</f>
        <v>#N/A</v>
      </c>
      <c r="J745" s="40" t="s">
        <v>1770</v>
      </c>
      <c r="K745" s="40" t="s">
        <v>82</v>
      </c>
      <c r="L745" s="121">
        <v>30350</v>
      </c>
      <c r="M745" s="121">
        <v>14830</v>
      </c>
      <c r="N745" s="121">
        <v>27.5</v>
      </c>
      <c r="O745" s="363">
        <v>15520</v>
      </c>
      <c r="P745" s="363">
        <v>11252</v>
      </c>
      <c r="Q745" s="121">
        <v>2024</v>
      </c>
      <c r="R745" s="121"/>
      <c r="S745" s="148">
        <v>45462</v>
      </c>
      <c r="T745" s="363">
        <f>Таблица18[[#This Row],[Вес нетто]]-Таблица18[[#This Row],[Зачетный вес]]</f>
        <v>4268</v>
      </c>
      <c r="U745" s="365">
        <f>Таблица18[[#This Row],[Отход]]/Таблица18[[#This Row],[Вес нетто]]</f>
        <v>0.27500000000000002</v>
      </c>
      <c r="V745" s="121">
        <f>MONTH(Таблица18[[#This Row],[Дата акта]])</f>
        <v>6</v>
      </c>
      <c r="W745" s="121">
        <v>19</v>
      </c>
      <c r="X745" s="148">
        <f>DATE(1900,Таблица18[[#This Row],[Месяц]],Таблица18[[#This Row],[Число]])</f>
        <v>171</v>
      </c>
      <c r="Y745" s="121"/>
      <c r="Z745" s="121" t="str">
        <f>Таблица18[[#This Row],[Хар-ка]]</f>
        <v>высший</v>
      </c>
      <c r="AD745" s="459"/>
      <c r="AE745" s="391"/>
    </row>
    <row r="746" spans="1:31" s="325" customFormat="1" ht="15.6" hidden="1" customHeight="1" x14ac:dyDescent="0.2">
      <c r="A746" s="40" t="s">
        <v>2689</v>
      </c>
      <c r="B746" s="360" t="s">
        <v>511</v>
      </c>
      <c r="C746" s="40">
        <v>381</v>
      </c>
      <c r="D746" s="40">
        <v>69</v>
      </c>
      <c r="E746" s="40" t="s">
        <v>2754</v>
      </c>
      <c r="F746" s="40" t="s">
        <v>239</v>
      </c>
      <c r="G746" s="40" t="s">
        <v>243</v>
      </c>
      <c r="H746" s="40" t="s">
        <v>2767</v>
      </c>
      <c r="I746" s="360" t="e">
        <f>VLOOKUP(Таблица18[[#This Row],[Номер акта]],$AB$1:$AF$1833,3,FALSE)</f>
        <v>#N/A</v>
      </c>
      <c r="J746" s="40" t="s">
        <v>1770</v>
      </c>
      <c r="K746" s="40" t="s">
        <v>82</v>
      </c>
      <c r="L746" s="121">
        <v>27690</v>
      </c>
      <c r="M746" s="121">
        <v>14560</v>
      </c>
      <c r="N746" s="121">
        <v>23.5</v>
      </c>
      <c r="O746" s="363">
        <v>13130</v>
      </c>
      <c r="P746" s="363">
        <v>10044.4</v>
      </c>
      <c r="Q746" s="121">
        <v>2024</v>
      </c>
      <c r="R746" s="121"/>
      <c r="S746" s="148">
        <v>45463</v>
      </c>
      <c r="T746" s="363">
        <f>Таблица18[[#This Row],[Вес нетто]]-Таблица18[[#This Row],[Зачетный вес]]</f>
        <v>3085.6000000000004</v>
      </c>
      <c r="U746" s="365">
        <f>Таблица18[[#This Row],[Отход]]/Таблица18[[#This Row],[Вес нетто]]</f>
        <v>0.23500380807311502</v>
      </c>
      <c r="V746" s="121">
        <f>MONTH(Таблица18[[#This Row],[Дата акта]])</f>
        <v>6</v>
      </c>
      <c r="W746" s="121">
        <v>20</v>
      </c>
      <c r="X746" s="148">
        <f>DATE(1900,Таблица18[[#This Row],[Месяц]],Таблица18[[#This Row],[Число]])</f>
        <v>172</v>
      </c>
      <c r="Y746" s="121"/>
      <c r="Z746" s="121" t="str">
        <f>Таблица18[[#This Row],[Хар-ка]]</f>
        <v>высший</v>
      </c>
      <c r="AD746" s="459"/>
      <c r="AE746" s="391"/>
    </row>
    <row r="747" spans="1:31" s="325" customFormat="1" ht="15.6" hidden="1" customHeight="1" x14ac:dyDescent="0.2">
      <c r="A747" s="40" t="s">
        <v>2690</v>
      </c>
      <c r="B747" s="360" t="s">
        <v>511</v>
      </c>
      <c r="C747" s="40">
        <v>382</v>
      </c>
      <c r="D747" s="40">
        <v>70</v>
      </c>
      <c r="E747" s="40" t="s">
        <v>2754</v>
      </c>
      <c r="F747" s="40" t="s">
        <v>1367</v>
      </c>
      <c r="G747" s="40" t="s">
        <v>1368</v>
      </c>
      <c r="H747" s="40" t="s">
        <v>2768</v>
      </c>
      <c r="I747" s="360" t="e">
        <f>VLOOKUP(Таблица18[[#This Row],[Номер акта]],$AB$1:$AF$1833,3,FALSE)</f>
        <v>#N/A</v>
      </c>
      <c r="J747" s="40" t="s">
        <v>2772</v>
      </c>
      <c r="K747" s="40" t="s">
        <v>82</v>
      </c>
      <c r="L747" s="121">
        <v>30100</v>
      </c>
      <c r="M747" s="121">
        <v>15000</v>
      </c>
      <c r="N747" s="121">
        <v>28.5</v>
      </c>
      <c r="O747" s="363">
        <v>15100</v>
      </c>
      <c r="P747" s="363">
        <v>10796.5</v>
      </c>
      <c r="Q747" s="121">
        <v>2024</v>
      </c>
      <c r="R747" s="121"/>
      <c r="S747" s="148">
        <v>45463</v>
      </c>
      <c r="T747" s="363">
        <f>Таблица18[[#This Row],[Вес нетто]]-Таблица18[[#This Row],[Зачетный вес]]</f>
        <v>4303.5</v>
      </c>
      <c r="U747" s="365">
        <f>Таблица18[[#This Row],[Отход]]/Таблица18[[#This Row],[Вес нетто]]</f>
        <v>0.28499999999999998</v>
      </c>
      <c r="V747" s="121">
        <f>MONTH(Таблица18[[#This Row],[Дата акта]])</f>
        <v>6</v>
      </c>
      <c r="W747" s="121">
        <v>20</v>
      </c>
      <c r="X747" s="148">
        <f>DATE(1900,Таблица18[[#This Row],[Месяц]],Таблица18[[#This Row],[Число]])</f>
        <v>172</v>
      </c>
      <c r="Y747" s="121"/>
      <c r="Z747" s="121" t="str">
        <f>Таблица18[[#This Row],[Хар-ка]]</f>
        <v>высший</v>
      </c>
      <c r="AD747" s="459"/>
      <c r="AE747" s="391"/>
    </row>
    <row r="748" spans="1:31" s="325" customFormat="1" ht="15.6" hidden="1" customHeight="1" x14ac:dyDescent="0.2">
      <c r="A748" s="40" t="s">
        <v>2691</v>
      </c>
      <c r="B748" s="360" t="s">
        <v>511</v>
      </c>
      <c r="C748" s="40">
        <v>383</v>
      </c>
      <c r="D748" s="40">
        <v>71</v>
      </c>
      <c r="E748" s="40" t="s">
        <v>2754</v>
      </c>
      <c r="F748" s="40" t="s">
        <v>212</v>
      </c>
      <c r="G748" s="40" t="s">
        <v>216</v>
      </c>
      <c r="H748" s="40" t="s">
        <v>2768</v>
      </c>
      <c r="I748" s="360" t="e">
        <f>VLOOKUP(Таблица18[[#This Row],[Номер акта]],$AB$1:$AF$1833,3,FALSE)</f>
        <v>#N/A</v>
      </c>
      <c r="J748" s="40" t="s">
        <v>2772</v>
      </c>
      <c r="K748" s="40" t="s">
        <v>82</v>
      </c>
      <c r="L748" s="121">
        <v>29360</v>
      </c>
      <c r="M748" s="121">
        <v>13960</v>
      </c>
      <c r="N748" s="121">
        <v>23</v>
      </c>
      <c r="O748" s="363">
        <v>15400</v>
      </c>
      <c r="P748" s="363">
        <v>11858</v>
      </c>
      <c r="Q748" s="121">
        <v>2024</v>
      </c>
      <c r="R748" s="121"/>
      <c r="S748" s="148">
        <v>45463</v>
      </c>
      <c r="T748" s="363">
        <f>Таблица18[[#This Row],[Вес нетто]]-Таблица18[[#This Row],[Зачетный вес]]</f>
        <v>3542</v>
      </c>
      <c r="U748" s="365">
        <f>Таблица18[[#This Row],[Отход]]/Таблица18[[#This Row],[Вес нетто]]</f>
        <v>0.23</v>
      </c>
      <c r="V748" s="121">
        <f>MONTH(Таблица18[[#This Row],[Дата акта]])</f>
        <v>6</v>
      </c>
      <c r="W748" s="121">
        <v>20</v>
      </c>
      <c r="X748" s="148">
        <f>DATE(1900,Таблица18[[#This Row],[Месяц]],Таблица18[[#This Row],[Число]])</f>
        <v>172</v>
      </c>
      <c r="Y748" s="121"/>
      <c r="Z748" s="121" t="str">
        <f>Таблица18[[#This Row],[Хар-ка]]</f>
        <v>высший</v>
      </c>
      <c r="AD748" s="459"/>
      <c r="AE748" s="391"/>
    </row>
    <row r="749" spans="1:31" s="325" customFormat="1" ht="15.6" hidden="1" customHeight="1" x14ac:dyDescent="0.2">
      <c r="A749" s="40" t="s">
        <v>2692</v>
      </c>
      <c r="B749" s="360" t="s">
        <v>511</v>
      </c>
      <c r="C749" s="40">
        <v>386</v>
      </c>
      <c r="D749" s="40">
        <v>72</v>
      </c>
      <c r="E749" s="40" t="s">
        <v>2754</v>
      </c>
      <c r="F749" s="40" t="s">
        <v>133</v>
      </c>
      <c r="G749" s="40" t="s">
        <v>137</v>
      </c>
      <c r="H749" s="40" t="s">
        <v>2767</v>
      </c>
      <c r="I749" s="360" t="e">
        <f>VLOOKUP(Таблица18[[#This Row],[Номер акта]],$AB$1:$AF$1833,3,FALSE)</f>
        <v>#N/A</v>
      </c>
      <c r="J749" s="40" t="s">
        <v>1770</v>
      </c>
      <c r="K749" s="40" t="s">
        <v>82</v>
      </c>
      <c r="L749" s="121">
        <v>32080</v>
      </c>
      <c r="M749" s="121">
        <v>23630</v>
      </c>
      <c r="N749" s="121">
        <v>14.5</v>
      </c>
      <c r="O749" s="363">
        <v>8450</v>
      </c>
      <c r="P749" s="363">
        <v>7224.7</v>
      </c>
      <c r="Q749" s="121">
        <v>2024</v>
      </c>
      <c r="R749" s="121"/>
      <c r="S749" s="148">
        <v>45463</v>
      </c>
      <c r="T749" s="363">
        <f>Таблица18[[#This Row],[Вес нетто]]-Таблица18[[#This Row],[Зачетный вес]]</f>
        <v>1225.3000000000002</v>
      </c>
      <c r="U749" s="365">
        <f>Таблица18[[#This Row],[Отход]]/Таблица18[[#This Row],[Вес нетто]]</f>
        <v>0.14500591715976333</v>
      </c>
      <c r="V749" s="121">
        <f>MONTH(Таблица18[[#This Row],[Дата акта]])</f>
        <v>6</v>
      </c>
      <c r="W749" s="121">
        <v>20</v>
      </c>
      <c r="X749" s="148">
        <f>DATE(1900,Таблица18[[#This Row],[Месяц]],Таблица18[[#This Row],[Число]])</f>
        <v>172</v>
      </c>
      <c r="Y749" s="121"/>
      <c r="Z749" s="121" t="str">
        <f>Таблица18[[#This Row],[Хар-ка]]</f>
        <v>высший</v>
      </c>
      <c r="AD749" s="459"/>
      <c r="AE749" s="391"/>
    </row>
    <row r="750" spans="1:31" s="325" customFormat="1" ht="15.6" hidden="1" customHeight="1" x14ac:dyDescent="0.2">
      <c r="A750" s="40" t="s">
        <v>2693</v>
      </c>
      <c r="B750" s="360" t="s">
        <v>511</v>
      </c>
      <c r="C750" s="40">
        <v>387</v>
      </c>
      <c r="D750" s="40">
        <v>72</v>
      </c>
      <c r="E750" s="40" t="s">
        <v>2754</v>
      </c>
      <c r="F750" s="40" t="s">
        <v>133</v>
      </c>
      <c r="G750" s="40" t="s">
        <v>137</v>
      </c>
      <c r="H750" s="40" t="s">
        <v>2768</v>
      </c>
      <c r="I750" s="360" t="e">
        <f>VLOOKUP(Таблица18[[#This Row],[Номер акта]],$AB$1:$AF$1833,3,FALSE)</f>
        <v>#N/A</v>
      </c>
      <c r="J750" s="40" t="s">
        <v>2772</v>
      </c>
      <c r="K750" s="40" t="s">
        <v>82</v>
      </c>
      <c r="L750" s="121">
        <v>23630</v>
      </c>
      <c r="M750" s="121">
        <v>17200</v>
      </c>
      <c r="N750" s="121">
        <v>31.5</v>
      </c>
      <c r="O750" s="363">
        <v>6430</v>
      </c>
      <c r="P750" s="363">
        <v>4404.5</v>
      </c>
      <c r="Q750" s="121">
        <v>2024</v>
      </c>
      <c r="R750" s="121"/>
      <c r="S750" s="148">
        <v>45463</v>
      </c>
      <c r="T750" s="363">
        <f>Таблица18[[#This Row],[Вес нетто]]-Таблица18[[#This Row],[Зачетный вес]]</f>
        <v>2025.5</v>
      </c>
      <c r="U750" s="365">
        <f>Таблица18[[#This Row],[Отход]]/Таблица18[[#This Row],[Вес нетто]]</f>
        <v>0.31500777604976671</v>
      </c>
      <c r="V750" s="121">
        <f>MONTH(Таблица18[[#This Row],[Дата акта]])</f>
        <v>6</v>
      </c>
      <c r="W750" s="121">
        <v>20</v>
      </c>
      <c r="X750" s="148">
        <f>DATE(1900,Таблица18[[#This Row],[Месяц]],Таблица18[[#This Row],[Число]])</f>
        <v>172</v>
      </c>
      <c r="Y750" s="121"/>
      <c r="Z750" s="121" t="str">
        <f>Таблица18[[#This Row],[Хар-ка]]</f>
        <v>высший</v>
      </c>
      <c r="AD750" s="459"/>
      <c r="AE750" s="391"/>
    </row>
    <row r="751" spans="1:31" s="325" customFormat="1" ht="15.6" hidden="1" customHeight="1" x14ac:dyDescent="0.2">
      <c r="A751" s="40" t="s">
        <v>2694</v>
      </c>
      <c r="B751" s="360" t="s">
        <v>511</v>
      </c>
      <c r="C751" s="40">
        <v>388</v>
      </c>
      <c r="D751" s="40">
        <v>73</v>
      </c>
      <c r="E751" s="40" t="s">
        <v>2754</v>
      </c>
      <c r="F751" s="40" t="s">
        <v>2155</v>
      </c>
      <c r="G751" s="40" t="s">
        <v>320</v>
      </c>
      <c r="H751" s="40" t="s">
        <v>2767</v>
      </c>
      <c r="I751" s="360" t="e">
        <f>VLOOKUP(Таблица18[[#This Row],[Номер акта]],$AB$1:$AF$1833,3,FALSE)</f>
        <v>#N/A</v>
      </c>
      <c r="J751" s="40" t="s">
        <v>1770</v>
      </c>
      <c r="K751" s="40" t="s">
        <v>82</v>
      </c>
      <c r="L751" s="121">
        <v>27810</v>
      </c>
      <c r="M751" s="121">
        <v>14410</v>
      </c>
      <c r="N751" s="121">
        <v>11.5</v>
      </c>
      <c r="O751" s="363">
        <v>13400</v>
      </c>
      <c r="P751" s="363">
        <v>11859</v>
      </c>
      <c r="Q751" s="121">
        <v>2024</v>
      </c>
      <c r="R751" s="121"/>
      <c r="S751" s="148">
        <v>45463</v>
      </c>
      <c r="T751" s="363">
        <f>Таблица18[[#This Row],[Вес нетто]]-Таблица18[[#This Row],[Зачетный вес]]</f>
        <v>1541</v>
      </c>
      <c r="U751" s="365">
        <f>Таблица18[[#This Row],[Отход]]/Таблица18[[#This Row],[Вес нетто]]</f>
        <v>0.115</v>
      </c>
      <c r="V751" s="121">
        <f>MONTH(Таблица18[[#This Row],[Дата акта]])</f>
        <v>6</v>
      </c>
      <c r="W751" s="121">
        <v>20</v>
      </c>
      <c r="X751" s="148">
        <f>DATE(1900,Таблица18[[#This Row],[Месяц]],Таблица18[[#This Row],[Число]])</f>
        <v>172</v>
      </c>
      <c r="Y751" s="121"/>
      <c r="Z751" s="121" t="str">
        <f>Таблица18[[#This Row],[Хар-ка]]</f>
        <v>высший</v>
      </c>
      <c r="AD751" s="459"/>
      <c r="AE751" s="391"/>
    </row>
    <row r="752" spans="1:31" s="325" customFormat="1" ht="15.6" hidden="1" customHeight="1" x14ac:dyDescent="0.2">
      <c r="A752" s="40" t="s">
        <v>2695</v>
      </c>
      <c r="B752" s="360" t="s">
        <v>511</v>
      </c>
      <c r="C752" s="40">
        <v>389</v>
      </c>
      <c r="D752" s="40">
        <v>74</v>
      </c>
      <c r="E752" s="40" t="s">
        <v>2754</v>
      </c>
      <c r="F752" s="40" t="s">
        <v>894</v>
      </c>
      <c r="G752" s="40" t="s">
        <v>895</v>
      </c>
      <c r="H752" s="40" t="s">
        <v>2767</v>
      </c>
      <c r="I752" s="360" t="e">
        <f>VLOOKUP(Таблица18[[#This Row],[Номер акта]],$AB$1:$AF$1833,3,FALSE)</f>
        <v>#N/A</v>
      </c>
      <c r="J752" s="40" t="s">
        <v>1770</v>
      </c>
      <c r="K752" s="40" t="s">
        <v>82</v>
      </c>
      <c r="L752" s="121">
        <v>28100</v>
      </c>
      <c r="M752" s="121">
        <v>14950</v>
      </c>
      <c r="N752" s="121">
        <v>16.5</v>
      </c>
      <c r="O752" s="363">
        <v>13150</v>
      </c>
      <c r="P752" s="363">
        <v>10980.2</v>
      </c>
      <c r="Q752" s="121">
        <v>2024</v>
      </c>
      <c r="R752" s="121"/>
      <c r="S752" s="148">
        <v>45463</v>
      </c>
      <c r="T752" s="363">
        <f>Таблица18[[#This Row],[Вес нетто]]-Таблица18[[#This Row],[Зачетный вес]]</f>
        <v>2169.7999999999993</v>
      </c>
      <c r="U752" s="365">
        <f>Таблица18[[#This Row],[Отход]]/Таблица18[[#This Row],[Вес нетто]]</f>
        <v>0.16500380228136877</v>
      </c>
      <c r="V752" s="121">
        <f>MONTH(Таблица18[[#This Row],[Дата акта]])</f>
        <v>6</v>
      </c>
      <c r="W752" s="121">
        <v>20</v>
      </c>
      <c r="X752" s="148">
        <f>DATE(1900,Таблица18[[#This Row],[Месяц]],Таблица18[[#This Row],[Число]])</f>
        <v>172</v>
      </c>
      <c r="Y752" s="121"/>
      <c r="Z752" s="121" t="str">
        <f>Таблица18[[#This Row],[Хар-ка]]</f>
        <v>высший</v>
      </c>
      <c r="AD752" s="459"/>
      <c r="AE752" s="391"/>
    </row>
    <row r="753" spans="1:31" s="325" customFormat="1" ht="15.6" hidden="1" customHeight="1" x14ac:dyDescent="0.2">
      <c r="A753" s="40" t="s">
        <v>2696</v>
      </c>
      <c r="B753" s="360" t="s">
        <v>511</v>
      </c>
      <c r="C753" s="40">
        <v>390</v>
      </c>
      <c r="D753" s="40">
        <v>75</v>
      </c>
      <c r="E753" s="40" t="s">
        <v>2754</v>
      </c>
      <c r="F753" s="40" t="s">
        <v>2761</v>
      </c>
      <c r="G753" s="40" t="s">
        <v>149</v>
      </c>
      <c r="H753" s="40" t="s">
        <v>2767</v>
      </c>
      <c r="I753" s="360" t="e">
        <f>VLOOKUP(Таблица18[[#This Row],[Номер акта]],$AB$1:$AF$1833,3,FALSE)</f>
        <v>#N/A</v>
      </c>
      <c r="J753" s="40" t="s">
        <v>1770</v>
      </c>
      <c r="K753" s="40" t="s">
        <v>82</v>
      </c>
      <c r="L753" s="121">
        <v>28250</v>
      </c>
      <c r="M753" s="121">
        <v>14920</v>
      </c>
      <c r="N753" s="121">
        <v>15.5</v>
      </c>
      <c r="O753" s="363">
        <v>13330</v>
      </c>
      <c r="P753" s="363">
        <v>11263.8</v>
      </c>
      <c r="Q753" s="121">
        <v>2024</v>
      </c>
      <c r="R753" s="121"/>
      <c r="S753" s="148">
        <v>45463</v>
      </c>
      <c r="T753" s="363">
        <f>Таблица18[[#This Row],[Вес нетто]]-Таблица18[[#This Row],[Зачетный вес]]</f>
        <v>2066.2000000000007</v>
      </c>
      <c r="U753" s="365">
        <f>Таблица18[[#This Row],[Отход]]/Таблица18[[#This Row],[Вес нетто]]</f>
        <v>0.1550037509377345</v>
      </c>
      <c r="V753" s="121">
        <f>MONTH(Таблица18[[#This Row],[Дата акта]])</f>
        <v>6</v>
      </c>
      <c r="W753" s="121">
        <v>20</v>
      </c>
      <c r="X753" s="148">
        <f>DATE(1900,Таблица18[[#This Row],[Месяц]],Таблица18[[#This Row],[Число]])</f>
        <v>172</v>
      </c>
      <c r="Y753" s="121"/>
      <c r="Z753" s="121" t="str">
        <f>Таблица18[[#This Row],[Хар-ка]]</f>
        <v>высший</v>
      </c>
      <c r="AD753" s="459"/>
      <c r="AE753" s="391"/>
    </row>
    <row r="754" spans="1:31" s="325" customFormat="1" ht="15.6" hidden="1" customHeight="1" x14ac:dyDescent="0.2">
      <c r="A754" s="40" t="s">
        <v>2697</v>
      </c>
      <c r="B754" s="360" t="s">
        <v>511</v>
      </c>
      <c r="C754" s="40">
        <v>391</v>
      </c>
      <c r="D754" s="40">
        <v>76</v>
      </c>
      <c r="E754" s="40" t="s">
        <v>2754</v>
      </c>
      <c r="F754" s="40" t="s">
        <v>2762</v>
      </c>
      <c r="G754" s="40" t="s">
        <v>145</v>
      </c>
      <c r="H754" s="40" t="s">
        <v>2767</v>
      </c>
      <c r="I754" s="360" t="e">
        <f>VLOOKUP(Таблица18[[#This Row],[Номер акта]],$AB$1:$AF$1833,3,FALSE)</f>
        <v>#N/A</v>
      </c>
      <c r="J754" s="40" t="s">
        <v>1770</v>
      </c>
      <c r="K754" s="40" t="s">
        <v>82</v>
      </c>
      <c r="L754" s="121">
        <v>31040</v>
      </c>
      <c r="M754" s="121">
        <v>15500</v>
      </c>
      <c r="N754" s="121">
        <v>19.5</v>
      </c>
      <c r="O754" s="363">
        <v>15540</v>
      </c>
      <c r="P754" s="363">
        <v>12509.7</v>
      </c>
      <c r="Q754" s="121">
        <v>2024</v>
      </c>
      <c r="R754" s="121"/>
      <c r="S754" s="148">
        <v>45463</v>
      </c>
      <c r="T754" s="363">
        <f>Таблица18[[#This Row],[Вес нетто]]-Таблица18[[#This Row],[Зачетный вес]]</f>
        <v>3030.2999999999993</v>
      </c>
      <c r="U754" s="365">
        <f>Таблица18[[#This Row],[Отход]]/Таблица18[[#This Row],[Вес нетто]]</f>
        <v>0.19499999999999995</v>
      </c>
      <c r="V754" s="121">
        <f>MONTH(Таблица18[[#This Row],[Дата акта]])</f>
        <v>6</v>
      </c>
      <c r="W754" s="121">
        <v>20</v>
      </c>
      <c r="X754" s="148">
        <f>DATE(1900,Таблица18[[#This Row],[Месяц]],Таблица18[[#This Row],[Число]])</f>
        <v>172</v>
      </c>
      <c r="Y754" s="121"/>
      <c r="Z754" s="121" t="str">
        <f>Таблица18[[#This Row],[Хар-ка]]</f>
        <v>высший</v>
      </c>
      <c r="AD754" s="459"/>
      <c r="AE754" s="391"/>
    </row>
    <row r="755" spans="1:31" s="325" customFormat="1" ht="15.6" hidden="1" customHeight="1" x14ac:dyDescent="0.2">
      <c r="A755" s="40" t="s">
        <v>2698</v>
      </c>
      <c r="B755" s="360" t="s">
        <v>511</v>
      </c>
      <c r="C755" s="40">
        <v>392</v>
      </c>
      <c r="D755" s="40">
        <v>78</v>
      </c>
      <c r="E755" s="40" t="s">
        <v>2754</v>
      </c>
      <c r="F755" s="40" t="s">
        <v>1843</v>
      </c>
      <c r="G755" s="40" t="s">
        <v>119</v>
      </c>
      <c r="H755" s="40" t="s">
        <v>2767</v>
      </c>
      <c r="I755" s="360" t="e">
        <f>VLOOKUP(Таблица18[[#This Row],[Номер акта]],$AB$1:$AF$1833,3,FALSE)</f>
        <v>#N/A</v>
      </c>
      <c r="J755" s="40" t="s">
        <v>1770</v>
      </c>
      <c r="K755" s="40" t="s">
        <v>82</v>
      </c>
      <c r="L755" s="121">
        <v>38660</v>
      </c>
      <c r="M755" s="121">
        <v>20880</v>
      </c>
      <c r="N755" s="121">
        <v>20.5</v>
      </c>
      <c r="O755" s="363">
        <v>17780</v>
      </c>
      <c r="P755" s="363">
        <v>14135.1</v>
      </c>
      <c r="Q755" s="121">
        <v>2024</v>
      </c>
      <c r="R755" s="121"/>
      <c r="S755" s="148">
        <v>45463</v>
      </c>
      <c r="T755" s="363">
        <f>Таблица18[[#This Row],[Вес нетто]]-Таблица18[[#This Row],[Зачетный вес]]</f>
        <v>3644.8999999999996</v>
      </c>
      <c r="U755" s="365">
        <f>Таблица18[[#This Row],[Отход]]/Таблица18[[#This Row],[Вес нетто]]</f>
        <v>0.20499999999999999</v>
      </c>
      <c r="V755" s="121">
        <f>MONTH(Таблица18[[#This Row],[Дата акта]])</f>
        <v>6</v>
      </c>
      <c r="W755" s="121">
        <v>20</v>
      </c>
      <c r="X755" s="148">
        <f>DATE(1900,Таблица18[[#This Row],[Месяц]],Таблица18[[#This Row],[Число]])</f>
        <v>172</v>
      </c>
      <c r="Y755" s="121"/>
      <c r="Z755" s="121" t="str">
        <f>Таблица18[[#This Row],[Хар-ка]]</f>
        <v>высший</v>
      </c>
      <c r="AD755" s="459"/>
      <c r="AE755" s="391"/>
    </row>
    <row r="756" spans="1:31" s="325" customFormat="1" ht="15.6" hidden="1" customHeight="1" x14ac:dyDescent="0.2">
      <c r="A756" s="40" t="s">
        <v>2699</v>
      </c>
      <c r="B756" s="360" t="s">
        <v>511</v>
      </c>
      <c r="C756" s="40">
        <v>393</v>
      </c>
      <c r="D756" s="40">
        <v>79</v>
      </c>
      <c r="E756" s="40" t="s">
        <v>2754</v>
      </c>
      <c r="F756" s="40" t="s">
        <v>1367</v>
      </c>
      <c r="G756" s="40" t="s">
        <v>1368</v>
      </c>
      <c r="H756" s="40" t="s">
        <v>2767</v>
      </c>
      <c r="I756" s="360" t="e">
        <f>VLOOKUP(Таблица18[[#This Row],[Номер акта]],$AB$1:$AF$1833,3,FALSE)</f>
        <v>#N/A</v>
      </c>
      <c r="J756" s="40" t="s">
        <v>1770</v>
      </c>
      <c r="K756" s="40" t="s">
        <v>82</v>
      </c>
      <c r="L756" s="121">
        <v>29680</v>
      </c>
      <c r="M756" s="121">
        <v>14910</v>
      </c>
      <c r="N756" s="121">
        <v>18.5</v>
      </c>
      <c r="O756" s="363">
        <v>14770</v>
      </c>
      <c r="P756" s="363">
        <v>12037.5</v>
      </c>
      <c r="Q756" s="121">
        <v>2024</v>
      </c>
      <c r="R756" s="121"/>
      <c r="S756" s="148">
        <v>45463</v>
      </c>
      <c r="T756" s="363">
        <f>Таблица18[[#This Row],[Вес нетто]]-Таблица18[[#This Row],[Зачетный вес]]</f>
        <v>2732.5</v>
      </c>
      <c r="U756" s="365">
        <f>Таблица18[[#This Row],[Отход]]/Таблица18[[#This Row],[Вес нетто]]</f>
        <v>0.18500338524035206</v>
      </c>
      <c r="V756" s="121">
        <f>MONTH(Таблица18[[#This Row],[Дата акта]])</f>
        <v>6</v>
      </c>
      <c r="W756" s="121">
        <v>20</v>
      </c>
      <c r="X756" s="148">
        <f>DATE(1900,Таблица18[[#This Row],[Месяц]],Таблица18[[#This Row],[Число]])</f>
        <v>172</v>
      </c>
      <c r="Y756" s="121"/>
      <c r="Z756" s="121" t="str">
        <f>Таблица18[[#This Row],[Хар-ка]]</f>
        <v>высший</v>
      </c>
      <c r="AD756" s="459"/>
      <c r="AE756" s="391"/>
    </row>
    <row r="757" spans="1:31" s="325" customFormat="1" ht="15.6" hidden="1" customHeight="1" x14ac:dyDescent="0.2">
      <c r="A757" s="40" t="s">
        <v>2700</v>
      </c>
      <c r="B757" s="360" t="s">
        <v>511</v>
      </c>
      <c r="C757" s="40">
        <v>394</v>
      </c>
      <c r="D757" s="40">
        <v>80</v>
      </c>
      <c r="E757" s="40" t="s">
        <v>2754</v>
      </c>
      <c r="F757" s="40" t="s">
        <v>2750</v>
      </c>
      <c r="G757" s="40" t="s">
        <v>2751</v>
      </c>
      <c r="H757" s="40" t="s">
        <v>2767</v>
      </c>
      <c r="I757" s="360" t="e">
        <f>VLOOKUP(Таблица18[[#This Row],[Номер акта]],$AB$1:$AF$1833,3,FALSE)</f>
        <v>#N/A</v>
      </c>
      <c r="J757" s="40" t="s">
        <v>1770</v>
      </c>
      <c r="K757" s="40" t="s">
        <v>82</v>
      </c>
      <c r="L757" s="121">
        <v>33510</v>
      </c>
      <c r="M757" s="121">
        <v>17420</v>
      </c>
      <c r="N757" s="121">
        <v>14.5</v>
      </c>
      <c r="O757" s="363">
        <v>16090</v>
      </c>
      <c r="P757" s="363">
        <v>13756.9</v>
      </c>
      <c r="Q757" s="121">
        <v>2024</v>
      </c>
      <c r="R757" s="121"/>
      <c r="S757" s="148">
        <v>45464</v>
      </c>
      <c r="T757" s="363">
        <f>Таблица18[[#This Row],[Вес нетто]]-Таблица18[[#This Row],[Зачетный вес]]</f>
        <v>2333.1000000000004</v>
      </c>
      <c r="U757" s="365">
        <f>Таблица18[[#This Row],[Отход]]/Таблица18[[#This Row],[Вес нетто]]</f>
        <v>0.1450031075201989</v>
      </c>
      <c r="V757" s="121">
        <f>MONTH(Таблица18[[#This Row],[Дата акта]])</f>
        <v>6</v>
      </c>
      <c r="W757" s="121">
        <v>21</v>
      </c>
      <c r="X757" s="148">
        <f>DATE(1900,Таблица18[[#This Row],[Месяц]],Таблица18[[#This Row],[Число]])</f>
        <v>173</v>
      </c>
      <c r="Y757" s="121"/>
      <c r="Z757" s="121" t="str">
        <f>Таблица18[[#This Row],[Хар-ка]]</f>
        <v>высший</v>
      </c>
      <c r="AD757" s="459"/>
      <c r="AE757" s="391"/>
    </row>
    <row r="758" spans="1:31" s="325" customFormat="1" ht="15.6" hidden="1" customHeight="1" x14ac:dyDescent="0.2">
      <c r="A758" s="40" t="s">
        <v>2701</v>
      </c>
      <c r="B758" s="360" t="s">
        <v>511</v>
      </c>
      <c r="C758" s="40">
        <v>395</v>
      </c>
      <c r="D758" s="40">
        <v>81</v>
      </c>
      <c r="E758" s="40" t="s">
        <v>2754</v>
      </c>
      <c r="F758" s="40" t="s">
        <v>239</v>
      </c>
      <c r="G758" s="40" t="s">
        <v>243</v>
      </c>
      <c r="H758" s="40" t="s">
        <v>2767</v>
      </c>
      <c r="I758" s="360" t="e">
        <f>VLOOKUP(Таблица18[[#This Row],[Номер акта]],$AB$1:$AF$1833,3,FALSE)</f>
        <v>#N/A</v>
      </c>
      <c r="J758" s="40" t="s">
        <v>1770</v>
      </c>
      <c r="K758" s="40" t="s">
        <v>82</v>
      </c>
      <c r="L758" s="121">
        <v>30450</v>
      </c>
      <c r="M758" s="121">
        <v>14680</v>
      </c>
      <c r="N758" s="121">
        <v>14.5</v>
      </c>
      <c r="O758" s="363">
        <v>15770</v>
      </c>
      <c r="P758" s="363">
        <v>13483.3</v>
      </c>
      <c r="Q758" s="121">
        <v>2024</v>
      </c>
      <c r="R758" s="121"/>
      <c r="S758" s="148">
        <v>45464</v>
      </c>
      <c r="T758" s="363">
        <f>Таблица18[[#This Row],[Вес нетто]]-Таблица18[[#This Row],[Зачетный вес]]</f>
        <v>2286.7000000000007</v>
      </c>
      <c r="U758" s="365">
        <f>Таблица18[[#This Row],[Отход]]/Таблица18[[#This Row],[Вес нетто]]</f>
        <v>0.14500317057704507</v>
      </c>
      <c r="V758" s="121">
        <f>MONTH(Таблица18[[#This Row],[Дата акта]])</f>
        <v>6</v>
      </c>
      <c r="W758" s="121">
        <v>21</v>
      </c>
      <c r="X758" s="148">
        <f>DATE(1900,Таблица18[[#This Row],[Месяц]],Таблица18[[#This Row],[Число]])</f>
        <v>173</v>
      </c>
      <c r="Y758" s="121"/>
      <c r="Z758" s="121" t="str">
        <f>Таблица18[[#This Row],[Хар-ка]]</f>
        <v>высший</v>
      </c>
      <c r="AD758" s="459"/>
      <c r="AE758" s="391"/>
    </row>
    <row r="759" spans="1:31" s="325" customFormat="1" ht="15.6" hidden="1" customHeight="1" x14ac:dyDescent="0.2">
      <c r="A759" s="40" t="s">
        <v>2702</v>
      </c>
      <c r="B759" s="360" t="s">
        <v>511</v>
      </c>
      <c r="C759" s="40">
        <v>396</v>
      </c>
      <c r="D759" s="40">
        <v>77</v>
      </c>
      <c r="E759" s="40" t="s">
        <v>2754</v>
      </c>
      <c r="F759" s="40" t="s">
        <v>2749</v>
      </c>
      <c r="G759" s="40" t="s">
        <v>270</v>
      </c>
      <c r="H759" s="40" t="s">
        <v>2767</v>
      </c>
      <c r="I759" s="360" t="e">
        <f>VLOOKUP(Таблица18[[#This Row],[Номер акта]],$AB$1:$AF$1833,3,FALSE)</f>
        <v>#N/A</v>
      </c>
      <c r="J759" s="40" t="s">
        <v>1770</v>
      </c>
      <c r="K759" s="40" t="s">
        <v>82</v>
      </c>
      <c r="L759" s="121">
        <v>30060</v>
      </c>
      <c r="M759" s="121">
        <v>14780</v>
      </c>
      <c r="N759" s="121">
        <v>17.5</v>
      </c>
      <c r="O759" s="363">
        <v>15280</v>
      </c>
      <c r="P759" s="363">
        <v>12606</v>
      </c>
      <c r="Q759" s="121">
        <v>2024</v>
      </c>
      <c r="R759" s="121"/>
      <c r="S759" s="148">
        <v>45464</v>
      </c>
      <c r="T759" s="363">
        <f>Таблица18[[#This Row],[Вес нетто]]-Таблица18[[#This Row],[Зачетный вес]]</f>
        <v>2674</v>
      </c>
      <c r="U759" s="365">
        <f>Таблица18[[#This Row],[Отход]]/Таблица18[[#This Row],[Вес нетто]]</f>
        <v>0.17499999999999999</v>
      </c>
      <c r="V759" s="121">
        <f>MONTH(Таблица18[[#This Row],[Дата акта]])</f>
        <v>6</v>
      </c>
      <c r="W759" s="121">
        <v>21</v>
      </c>
      <c r="X759" s="148">
        <f>DATE(1900,Таблица18[[#This Row],[Месяц]],Таблица18[[#This Row],[Число]])</f>
        <v>173</v>
      </c>
      <c r="Y759" s="121"/>
      <c r="Z759" s="121" t="str">
        <f>Таблица18[[#This Row],[Хар-ка]]</f>
        <v>высший</v>
      </c>
      <c r="AD759" s="459"/>
      <c r="AE759" s="391"/>
    </row>
    <row r="760" spans="1:31" s="325" customFormat="1" ht="15.6" hidden="1" customHeight="1" x14ac:dyDescent="0.2">
      <c r="A760" s="40" t="s">
        <v>2703</v>
      </c>
      <c r="B760" s="360" t="s">
        <v>511</v>
      </c>
      <c r="C760" s="40">
        <v>398</v>
      </c>
      <c r="D760" s="40">
        <v>82</v>
      </c>
      <c r="E760" s="40" t="s">
        <v>2754</v>
      </c>
      <c r="F760" s="40" t="s">
        <v>2761</v>
      </c>
      <c r="G760" s="40" t="s">
        <v>149</v>
      </c>
      <c r="H760" s="40" t="s">
        <v>2767</v>
      </c>
      <c r="I760" s="360" t="e">
        <f>VLOOKUP(Таблица18[[#This Row],[Номер акта]],$AB$1:$AF$1833,3,FALSE)</f>
        <v>#N/A</v>
      </c>
      <c r="J760" s="40" t="s">
        <v>1770</v>
      </c>
      <c r="K760" s="40" t="s">
        <v>82</v>
      </c>
      <c r="L760" s="121">
        <v>28970</v>
      </c>
      <c r="M760" s="121">
        <v>14970</v>
      </c>
      <c r="N760" s="121">
        <v>15.5</v>
      </c>
      <c r="O760" s="363">
        <v>14000</v>
      </c>
      <c r="P760" s="363">
        <v>11830</v>
      </c>
      <c r="Q760" s="121">
        <v>2024</v>
      </c>
      <c r="R760" s="121"/>
      <c r="S760" s="148">
        <v>45464</v>
      </c>
      <c r="T760" s="363">
        <f>Таблица18[[#This Row],[Вес нетто]]-Таблица18[[#This Row],[Зачетный вес]]</f>
        <v>2170</v>
      </c>
      <c r="U760" s="365">
        <f>Таблица18[[#This Row],[Отход]]/Таблица18[[#This Row],[Вес нетто]]</f>
        <v>0.155</v>
      </c>
      <c r="V760" s="121">
        <f>MONTH(Таблица18[[#This Row],[Дата акта]])</f>
        <v>6</v>
      </c>
      <c r="W760" s="121">
        <v>21</v>
      </c>
      <c r="X760" s="148">
        <f>DATE(1900,Таблица18[[#This Row],[Месяц]],Таблица18[[#This Row],[Число]])</f>
        <v>173</v>
      </c>
      <c r="Y760" s="121"/>
      <c r="Z760" s="121" t="str">
        <f>Таблица18[[#This Row],[Хар-ка]]</f>
        <v>высший</v>
      </c>
      <c r="AD760" s="459"/>
      <c r="AE760" s="391"/>
    </row>
    <row r="761" spans="1:31" s="325" customFormat="1" ht="15.6" hidden="1" customHeight="1" x14ac:dyDescent="0.2">
      <c r="A761" s="40" t="s">
        <v>2704</v>
      </c>
      <c r="B761" s="360" t="s">
        <v>511</v>
      </c>
      <c r="C761" s="40">
        <v>400</v>
      </c>
      <c r="D761" s="40">
        <v>83</v>
      </c>
      <c r="E761" s="40" t="s">
        <v>2754</v>
      </c>
      <c r="F761" s="40" t="s">
        <v>2762</v>
      </c>
      <c r="G761" s="40" t="s">
        <v>145</v>
      </c>
      <c r="H761" s="40" t="s">
        <v>2768</v>
      </c>
      <c r="I761" s="360" t="e">
        <f>VLOOKUP(Таблица18[[#This Row],[Номер акта]],$AB$1:$AF$1833,3,FALSE)</f>
        <v>#N/A</v>
      </c>
      <c r="J761" s="40" t="s">
        <v>2772</v>
      </c>
      <c r="K761" s="40" t="s">
        <v>82</v>
      </c>
      <c r="L761" s="121">
        <v>30510</v>
      </c>
      <c r="M761" s="121">
        <v>15370</v>
      </c>
      <c r="N761" s="121">
        <v>23.5</v>
      </c>
      <c r="O761" s="363">
        <v>15140</v>
      </c>
      <c r="P761" s="363">
        <v>11582.1</v>
      </c>
      <c r="Q761" s="121">
        <v>2024</v>
      </c>
      <c r="R761" s="121"/>
      <c r="S761" s="148">
        <v>45464</v>
      </c>
      <c r="T761" s="363">
        <f>Таблица18[[#This Row],[Вес нетто]]-Таблица18[[#This Row],[Зачетный вес]]</f>
        <v>3557.8999999999996</v>
      </c>
      <c r="U761" s="365">
        <f>Таблица18[[#This Row],[Отход]]/Таблица18[[#This Row],[Вес нетто]]</f>
        <v>0.23499999999999999</v>
      </c>
      <c r="V761" s="121">
        <f>MONTH(Таблица18[[#This Row],[Дата акта]])</f>
        <v>6</v>
      </c>
      <c r="W761" s="121">
        <v>21</v>
      </c>
      <c r="X761" s="148">
        <f>DATE(1900,Таблица18[[#This Row],[Месяц]],Таблица18[[#This Row],[Число]])</f>
        <v>173</v>
      </c>
      <c r="Y761" s="121"/>
      <c r="Z761" s="121" t="str">
        <f>Таблица18[[#This Row],[Хар-ка]]</f>
        <v>высший</v>
      </c>
      <c r="AD761" s="459"/>
      <c r="AE761" s="391"/>
    </row>
    <row r="762" spans="1:31" s="325" customFormat="1" ht="15.6" hidden="1" customHeight="1" x14ac:dyDescent="0.2">
      <c r="A762" s="40" t="s">
        <v>2705</v>
      </c>
      <c r="B762" s="360" t="s">
        <v>511</v>
      </c>
      <c r="C762" s="40">
        <v>402</v>
      </c>
      <c r="D762" s="40">
        <v>84</v>
      </c>
      <c r="E762" s="40" t="s">
        <v>2754</v>
      </c>
      <c r="F762" s="40" t="s">
        <v>1367</v>
      </c>
      <c r="G762" s="40" t="s">
        <v>1368</v>
      </c>
      <c r="H762" s="40" t="s">
        <v>2768</v>
      </c>
      <c r="I762" s="360" t="e">
        <f>VLOOKUP(Таблица18[[#This Row],[Номер акта]],$AB$1:$AF$1833,3,FALSE)</f>
        <v>#N/A</v>
      </c>
      <c r="J762" s="40" t="s">
        <v>2772</v>
      </c>
      <c r="K762" s="40" t="s">
        <v>82</v>
      </c>
      <c r="L762" s="121">
        <v>31580</v>
      </c>
      <c r="M762" s="121">
        <v>14790</v>
      </c>
      <c r="N762" s="121">
        <v>16.5</v>
      </c>
      <c r="O762" s="363">
        <v>16790</v>
      </c>
      <c r="P762" s="363">
        <v>14019.6</v>
      </c>
      <c r="Q762" s="121">
        <v>2024</v>
      </c>
      <c r="R762" s="121"/>
      <c r="S762" s="148">
        <v>45464</v>
      </c>
      <c r="T762" s="363">
        <f>Таблица18[[#This Row],[Вес нетто]]-Таблица18[[#This Row],[Зачетный вес]]</f>
        <v>2770.3999999999996</v>
      </c>
      <c r="U762" s="365">
        <f>Таблица18[[#This Row],[Отход]]/Таблица18[[#This Row],[Вес нетто]]</f>
        <v>0.16500297796307323</v>
      </c>
      <c r="V762" s="121">
        <f>MONTH(Таблица18[[#This Row],[Дата акта]])</f>
        <v>6</v>
      </c>
      <c r="W762" s="121">
        <v>21</v>
      </c>
      <c r="X762" s="148">
        <f>DATE(1900,Таблица18[[#This Row],[Месяц]],Таблица18[[#This Row],[Число]])</f>
        <v>173</v>
      </c>
      <c r="Y762" s="121"/>
      <c r="Z762" s="121" t="str">
        <f>Таблица18[[#This Row],[Хар-ка]]</f>
        <v>высший</v>
      </c>
      <c r="AD762" s="459"/>
      <c r="AE762" s="391"/>
    </row>
    <row r="763" spans="1:31" s="325" customFormat="1" ht="15.6" hidden="1" customHeight="1" x14ac:dyDescent="0.2">
      <c r="A763" s="40" t="s">
        <v>2706</v>
      </c>
      <c r="B763" s="360" t="s">
        <v>511</v>
      </c>
      <c r="C763" s="40">
        <v>403</v>
      </c>
      <c r="D763" s="40">
        <v>85</v>
      </c>
      <c r="E763" s="40" t="s">
        <v>2754</v>
      </c>
      <c r="F763" s="40" t="s">
        <v>2749</v>
      </c>
      <c r="G763" s="40" t="s">
        <v>270</v>
      </c>
      <c r="H763" s="40" t="s">
        <v>2768</v>
      </c>
      <c r="I763" s="360" t="e">
        <f>VLOOKUP(Таблица18[[#This Row],[Номер акта]],$AB$1:$AF$1833,3,FALSE)</f>
        <v>#N/A</v>
      </c>
      <c r="J763" s="40" t="s">
        <v>2772</v>
      </c>
      <c r="K763" s="40" t="s">
        <v>82</v>
      </c>
      <c r="L763" s="121">
        <v>31580</v>
      </c>
      <c r="M763" s="121">
        <v>14890</v>
      </c>
      <c r="N763" s="121">
        <v>19.5</v>
      </c>
      <c r="O763" s="363">
        <v>16690</v>
      </c>
      <c r="P763" s="363">
        <v>13435.4</v>
      </c>
      <c r="Q763" s="121">
        <v>2024</v>
      </c>
      <c r="R763" s="121"/>
      <c r="S763" s="148">
        <v>45464</v>
      </c>
      <c r="T763" s="363">
        <f>Таблица18[[#This Row],[Вес нетто]]-Таблица18[[#This Row],[Зачетный вес]]</f>
        <v>3254.6000000000004</v>
      </c>
      <c r="U763" s="365">
        <f>Таблица18[[#This Row],[Отход]]/Таблица18[[#This Row],[Вес нетто]]</f>
        <v>0.1950029958058718</v>
      </c>
      <c r="V763" s="121">
        <f>MONTH(Таблица18[[#This Row],[Дата акта]])</f>
        <v>6</v>
      </c>
      <c r="W763" s="121">
        <v>21</v>
      </c>
      <c r="X763" s="148">
        <f>DATE(1900,Таблица18[[#This Row],[Месяц]],Таблица18[[#This Row],[Число]])</f>
        <v>173</v>
      </c>
      <c r="Y763" s="121"/>
      <c r="Z763" s="121" t="str">
        <f>Таблица18[[#This Row],[Хар-ка]]</f>
        <v>высший</v>
      </c>
      <c r="AD763" s="459"/>
      <c r="AE763" s="391"/>
    </row>
    <row r="764" spans="1:31" s="325" customFormat="1" ht="15.6" hidden="1" customHeight="1" x14ac:dyDescent="0.2">
      <c r="A764" s="40" t="s">
        <v>2707</v>
      </c>
      <c r="B764" s="360" t="s">
        <v>511</v>
      </c>
      <c r="C764" s="40">
        <v>404</v>
      </c>
      <c r="D764" s="40">
        <v>86</v>
      </c>
      <c r="E764" s="40" t="s">
        <v>2754</v>
      </c>
      <c r="F764" s="40" t="s">
        <v>133</v>
      </c>
      <c r="G764" s="40" t="s">
        <v>137</v>
      </c>
      <c r="H764" s="40" t="s">
        <v>2768</v>
      </c>
      <c r="I764" s="360" t="e">
        <f>VLOOKUP(Таблица18[[#This Row],[Номер акта]],$AB$1:$AF$1833,3,FALSE)</f>
        <v>#N/A</v>
      </c>
      <c r="J764" s="40" t="s">
        <v>2772</v>
      </c>
      <c r="K764" s="40" t="s">
        <v>82</v>
      </c>
      <c r="L764" s="121">
        <v>39930</v>
      </c>
      <c r="M764" s="121">
        <v>17290</v>
      </c>
      <c r="N764" s="121">
        <v>18.5</v>
      </c>
      <c r="O764" s="363">
        <v>22640</v>
      </c>
      <c r="P764" s="363">
        <v>18451.599999999999</v>
      </c>
      <c r="Q764" s="121">
        <v>2024</v>
      </c>
      <c r="R764" s="121"/>
      <c r="S764" s="148">
        <v>45464</v>
      </c>
      <c r="T764" s="363">
        <f>Таблица18[[#This Row],[Вес нетто]]-Таблица18[[#This Row],[Зачетный вес]]</f>
        <v>4188.4000000000015</v>
      </c>
      <c r="U764" s="365">
        <f>Таблица18[[#This Row],[Отход]]/Таблица18[[#This Row],[Вес нетто]]</f>
        <v>0.18500000000000005</v>
      </c>
      <c r="V764" s="121">
        <f>MONTH(Таблица18[[#This Row],[Дата акта]])</f>
        <v>6</v>
      </c>
      <c r="W764" s="121">
        <v>21</v>
      </c>
      <c r="X764" s="148">
        <f>DATE(1900,Таблица18[[#This Row],[Месяц]],Таблица18[[#This Row],[Число]])</f>
        <v>173</v>
      </c>
      <c r="Y764" s="121"/>
      <c r="Z764" s="121" t="str">
        <f>Таблица18[[#This Row],[Хар-ка]]</f>
        <v>высший</v>
      </c>
      <c r="AD764" s="459"/>
      <c r="AE764" s="391"/>
    </row>
    <row r="765" spans="1:31" s="325" customFormat="1" ht="15.6" hidden="1" customHeight="1" x14ac:dyDescent="0.2">
      <c r="A765" s="40" t="s">
        <v>2708</v>
      </c>
      <c r="B765" s="360" t="s">
        <v>511</v>
      </c>
      <c r="C765" s="40">
        <v>405</v>
      </c>
      <c r="D765" s="40">
        <v>87</v>
      </c>
      <c r="E765" s="40" t="s">
        <v>2754</v>
      </c>
      <c r="F765" s="40" t="s">
        <v>239</v>
      </c>
      <c r="G765" s="40" t="s">
        <v>243</v>
      </c>
      <c r="H765" s="40" t="s">
        <v>2769</v>
      </c>
      <c r="I765" s="360" t="e">
        <f>VLOOKUP(Таблица18[[#This Row],[Номер акта]],$AB$1:$AF$1833,3,FALSE)</f>
        <v>#N/A</v>
      </c>
      <c r="J765" s="40" t="s">
        <v>2772</v>
      </c>
      <c r="K765" s="40" t="s">
        <v>82</v>
      </c>
      <c r="L765" s="121">
        <v>23670</v>
      </c>
      <c r="M765" s="121">
        <v>14450</v>
      </c>
      <c r="N765" s="121">
        <v>23.5</v>
      </c>
      <c r="O765" s="363">
        <v>9220</v>
      </c>
      <c r="P765" s="363">
        <v>7053.3</v>
      </c>
      <c r="Q765" s="121">
        <v>2024</v>
      </c>
      <c r="R765" s="121"/>
      <c r="S765" s="148">
        <v>45465</v>
      </c>
      <c r="T765" s="363">
        <f>Таблица18[[#This Row],[Вес нетто]]-Таблица18[[#This Row],[Зачетный вес]]</f>
        <v>2166.6999999999998</v>
      </c>
      <c r="U765" s="365">
        <f>Таблица18[[#This Row],[Отход]]/Таблица18[[#This Row],[Вес нетто]]</f>
        <v>0.23499999999999999</v>
      </c>
      <c r="V765" s="121">
        <f>MONTH(Таблица18[[#This Row],[Дата акта]])</f>
        <v>6</v>
      </c>
      <c r="W765" s="121">
        <v>22</v>
      </c>
      <c r="X765" s="148">
        <f>DATE(1900,Таблица18[[#This Row],[Месяц]],Таблица18[[#This Row],[Число]])</f>
        <v>174</v>
      </c>
      <c r="Y765" s="121"/>
      <c r="Z765" s="121" t="str">
        <f>Таблица18[[#This Row],[Хар-ка]]</f>
        <v>высший</v>
      </c>
      <c r="AD765" s="459"/>
      <c r="AE765" s="391"/>
    </row>
    <row r="766" spans="1:31" s="325" customFormat="1" ht="15.6" hidden="1" customHeight="1" x14ac:dyDescent="0.2">
      <c r="A766" s="40" t="s">
        <v>2709</v>
      </c>
      <c r="B766" s="360" t="s">
        <v>511</v>
      </c>
      <c r="C766" s="40">
        <v>407</v>
      </c>
      <c r="D766" s="40">
        <v>88</v>
      </c>
      <c r="E766" s="40" t="s">
        <v>2754</v>
      </c>
      <c r="F766" s="40" t="s">
        <v>212</v>
      </c>
      <c r="G766" s="40" t="s">
        <v>216</v>
      </c>
      <c r="H766" s="40" t="s">
        <v>2769</v>
      </c>
      <c r="I766" s="360" t="e">
        <f>VLOOKUP(Таблица18[[#This Row],[Номер акта]],$AB$1:$AF$1833,3,FALSE)</f>
        <v>#N/A</v>
      </c>
      <c r="J766" s="40" t="s">
        <v>2772</v>
      </c>
      <c r="K766" s="40" t="s">
        <v>82</v>
      </c>
      <c r="L766" s="121">
        <v>28230</v>
      </c>
      <c r="M766" s="121">
        <v>14090</v>
      </c>
      <c r="N766" s="121">
        <v>15.5</v>
      </c>
      <c r="O766" s="363">
        <v>14140</v>
      </c>
      <c r="P766" s="363">
        <v>11948.3</v>
      </c>
      <c r="Q766" s="121">
        <v>2024</v>
      </c>
      <c r="R766" s="121"/>
      <c r="S766" s="148">
        <v>45467</v>
      </c>
      <c r="T766" s="363">
        <f>Таблица18[[#This Row],[Вес нетто]]-Таблица18[[#This Row],[Зачетный вес]]</f>
        <v>2191.7000000000007</v>
      </c>
      <c r="U766" s="365">
        <f>Таблица18[[#This Row],[Отход]]/Таблица18[[#This Row],[Вес нетто]]</f>
        <v>0.15500000000000005</v>
      </c>
      <c r="V766" s="121">
        <f>MONTH(Таблица18[[#This Row],[Дата акта]])</f>
        <v>6</v>
      </c>
      <c r="W766" s="121">
        <v>24</v>
      </c>
      <c r="X766" s="148">
        <f>DATE(1900,Таблица18[[#This Row],[Месяц]],Таблица18[[#This Row],[Число]])</f>
        <v>176</v>
      </c>
      <c r="Y766" s="121"/>
      <c r="Z766" s="121" t="str">
        <f>Таблица18[[#This Row],[Хар-ка]]</f>
        <v>высший</v>
      </c>
      <c r="AD766" s="459"/>
      <c r="AE766" s="391"/>
    </row>
    <row r="767" spans="1:31" s="325" customFormat="1" ht="15.6" hidden="1" customHeight="1" x14ac:dyDescent="0.2">
      <c r="A767" s="40" t="s">
        <v>2710</v>
      </c>
      <c r="B767" s="360" t="s">
        <v>511</v>
      </c>
      <c r="C767" s="40">
        <v>408</v>
      </c>
      <c r="D767" s="40">
        <v>89</v>
      </c>
      <c r="E767" s="40" t="s">
        <v>2754</v>
      </c>
      <c r="F767" s="40" t="s">
        <v>239</v>
      </c>
      <c r="G767" s="40" t="s">
        <v>243</v>
      </c>
      <c r="H767" s="40" t="s">
        <v>2769</v>
      </c>
      <c r="I767" s="360" t="e">
        <f>VLOOKUP(Таблица18[[#This Row],[Номер акта]],$AB$1:$AF$1833,3,FALSE)</f>
        <v>#N/A</v>
      </c>
      <c r="J767" s="40" t="s">
        <v>2772</v>
      </c>
      <c r="K767" s="40" t="s">
        <v>82</v>
      </c>
      <c r="L767" s="121">
        <v>31880</v>
      </c>
      <c r="M767" s="121">
        <v>23210</v>
      </c>
      <c r="N767" s="121">
        <v>13.5</v>
      </c>
      <c r="O767" s="363">
        <v>8670</v>
      </c>
      <c r="P767" s="363">
        <v>7499.5</v>
      </c>
      <c r="Q767" s="121">
        <v>2024</v>
      </c>
      <c r="R767" s="121"/>
      <c r="S767" s="148">
        <v>45467</v>
      </c>
      <c r="T767" s="363">
        <f>Таблица18[[#This Row],[Вес нетто]]-Таблица18[[#This Row],[Зачетный вес]]</f>
        <v>1170.5</v>
      </c>
      <c r="U767" s="365">
        <f>Таблица18[[#This Row],[Отход]]/Таблица18[[#This Row],[Вес нетто]]</f>
        <v>0.13500576701268743</v>
      </c>
      <c r="V767" s="121">
        <f>MONTH(Таблица18[[#This Row],[Дата акта]])</f>
        <v>6</v>
      </c>
      <c r="W767" s="121">
        <v>24</v>
      </c>
      <c r="X767" s="148">
        <f>DATE(1900,Таблица18[[#This Row],[Месяц]],Таблица18[[#This Row],[Число]])</f>
        <v>176</v>
      </c>
      <c r="Y767" s="121"/>
      <c r="Z767" s="121" t="str">
        <f>Таблица18[[#This Row],[Хар-ка]]</f>
        <v>высший</v>
      </c>
      <c r="AD767" s="459"/>
      <c r="AE767" s="391"/>
    </row>
    <row r="768" spans="1:31" s="325" customFormat="1" ht="15.6" hidden="1" customHeight="1" x14ac:dyDescent="0.2">
      <c r="A768" s="40" t="s">
        <v>2711</v>
      </c>
      <c r="B768" s="360" t="s">
        <v>511</v>
      </c>
      <c r="C768" s="40">
        <v>409</v>
      </c>
      <c r="D768" s="40">
        <v>89</v>
      </c>
      <c r="E768" s="40" t="s">
        <v>2754</v>
      </c>
      <c r="F768" s="40" t="s">
        <v>239</v>
      </c>
      <c r="G768" s="40" t="s">
        <v>243</v>
      </c>
      <c r="H768" s="40" t="s">
        <v>2770</v>
      </c>
      <c r="I768" s="360" t="e">
        <f>VLOOKUP(Таблица18[[#This Row],[Номер акта]],$AB$1:$AF$1833,3,FALSE)</f>
        <v>#N/A</v>
      </c>
      <c r="J768" s="40" t="s">
        <v>1765</v>
      </c>
      <c r="K768" s="40" t="s">
        <v>82</v>
      </c>
      <c r="L768" s="121">
        <v>23210</v>
      </c>
      <c r="M768" s="121">
        <v>14430</v>
      </c>
      <c r="N768" s="121">
        <v>21.5</v>
      </c>
      <c r="O768" s="363">
        <v>8780</v>
      </c>
      <c r="P768" s="363">
        <v>6892.3</v>
      </c>
      <c r="Q768" s="121">
        <v>2024</v>
      </c>
      <c r="R768" s="121"/>
      <c r="S768" s="148">
        <v>45467</v>
      </c>
      <c r="T768" s="363">
        <f>Таблица18[[#This Row],[Вес нетто]]-Таблица18[[#This Row],[Зачетный вес]]</f>
        <v>1887.6999999999998</v>
      </c>
      <c r="U768" s="365">
        <f>Таблица18[[#This Row],[Отход]]/Таблица18[[#This Row],[Вес нетто]]</f>
        <v>0.21499999999999997</v>
      </c>
      <c r="V768" s="121">
        <f>MONTH(Таблица18[[#This Row],[Дата акта]])</f>
        <v>6</v>
      </c>
      <c r="W768" s="121">
        <v>24</v>
      </c>
      <c r="X768" s="148">
        <f>DATE(1900,Таблица18[[#This Row],[Месяц]],Таблица18[[#This Row],[Число]])</f>
        <v>176</v>
      </c>
      <c r="Y768" s="121"/>
      <c r="Z768" s="121" t="str">
        <f>Таблица18[[#This Row],[Хар-ка]]</f>
        <v>высший</v>
      </c>
      <c r="AD768" s="459"/>
      <c r="AE768" s="391"/>
    </row>
    <row r="769" spans="1:31" s="325" customFormat="1" ht="15.6" hidden="1" customHeight="1" x14ac:dyDescent="0.2">
      <c r="A769" s="40" t="s">
        <v>2712</v>
      </c>
      <c r="B769" s="360" t="s">
        <v>511</v>
      </c>
      <c r="C769" s="40">
        <v>410</v>
      </c>
      <c r="D769" s="40">
        <v>90</v>
      </c>
      <c r="E769" s="40" t="s">
        <v>2754</v>
      </c>
      <c r="F769" s="40" t="s">
        <v>2750</v>
      </c>
      <c r="G769" s="40" t="s">
        <v>2751</v>
      </c>
      <c r="H769" s="40" t="s">
        <v>2769</v>
      </c>
      <c r="I769" s="360" t="e">
        <f>VLOOKUP(Таблица18[[#This Row],[Номер акта]],$AB$1:$AF$1833,3,FALSE)</f>
        <v>#N/A</v>
      </c>
      <c r="J769" s="40" t="s">
        <v>2772</v>
      </c>
      <c r="K769" s="40" t="s">
        <v>82</v>
      </c>
      <c r="L769" s="121">
        <v>35270</v>
      </c>
      <c r="M769" s="121">
        <v>17300</v>
      </c>
      <c r="N769" s="121">
        <v>10.5</v>
      </c>
      <c r="O769" s="363">
        <v>17970</v>
      </c>
      <c r="P769" s="363">
        <v>16083.1</v>
      </c>
      <c r="Q769" s="121">
        <v>2024</v>
      </c>
      <c r="R769" s="121"/>
      <c r="S769" s="148">
        <v>45467</v>
      </c>
      <c r="T769" s="363">
        <f>Таблица18[[#This Row],[Вес нетто]]-Таблица18[[#This Row],[Зачетный вес]]</f>
        <v>1886.8999999999996</v>
      </c>
      <c r="U769" s="365">
        <f>Таблица18[[#This Row],[Отход]]/Таблица18[[#This Row],[Вес нетто]]</f>
        <v>0.10500278241513632</v>
      </c>
      <c r="V769" s="121">
        <f>MONTH(Таблица18[[#This Row],[Дата акта]])</f>
        <v>6</v>
      </c>
      <c r="W769" s="121">
        <v>24</v>
      </c>
      <c r="X769" s="148">
        <f>DATE(1900,Таблица18[[#This Row],[Месяц]],Таблица18[[#This Row],[Число]])</f>
        <v>176</v>
      </c>
      <c r="Y769" s="121"/>
      <c r="Z769" s="121" t="str">
        <f>Таблица18[[#This Row],[Хар-ка]]</f>
        <v>высший</v>
      </c>
      <c r="AD769" s="459"/>
      <c r="AE769" s="391"/>
    </row>
    <row r="770" spans="1:31" s="325" customFormat="1" ht="15.6" hidden="1" customHeight="1" x14ac:dyDescent="0.2">
      <c r="A770" s="40" t="s">
        <v>2713</v>
      </c>
      <c r="B770" s="360" t="s">
        <v>511</v>
      </c>
      <c r="C770" s="40">
        <v>411</v>
      </c>
      <c r="D770" s="40">
        <v>91</v>
      </c>
      <c r="E770" s="40" t="s">
        <v>2754</v>
      </c>
      <c r="F770" s="40" t="s">
        <v>1843</v>
      </c>
      <c r="G770" s="40" t="s">
        <v>119</v>
      </c>
      <c r="H770" s="40" t="s">
        <v>2769</v>
      </c>
      <c r="I770" s="360" t="e">
        <f>VLOOKUP(Таблица18[[#This Row],[Номер акта]],$AB$1:$AF$1833,3,FALSE)</f>
        <v>#N/A</v>
      </c>
      <c r="J770" s="40" t="s">
        <v>2772</v>
      </c>
      <c r="K770" s="40" t="s">
        <v>82</v>
      </c>
      <c r="L770" s="121">
        <v>38440</v>
      </c>
      <c r="M770" s="121">
        <v>20940</v>
      </c>
      <c r="N770" s="121">
        <v>9.5</v>
      </c>
      <c r="O770" s="363">
        <v>17500</v>
      </c>
      <c r="P770" s="363">
        <v>15837.5</v>
      </c>
      <c r="Q770" s="121">
        <v>2024</v>
      </c>
      <c r="R770" s="121"/>
      <c r="S770" s="148">
        <v>45467</v>
      </c>
      <c r="T770" s="363">
        <f>Таблица18[[#This Row],[Вес нетто]]-Таблица18[[#This Row],[Зачетный вес]]</f>
        <v>1662.5</v>
      </c>
      <c r="U770" s="365">
        <f>Таблица18[[#This Row],[Отход]]/Таблица18[[#This Row],[Вес нетто]]</f>
        <v>9.5000000000000001E-2</v>
      </c>
      <c r="V770" s="121">
        <f>MONTH(Таблица18[[#This Row],[Дата акта]])</f>
        <v>6</v>
      </c>
      <c r="W770" s="121">
        <v>24</v>
      </c>
      <c r="X770" s="148">
        <f>DATE(1900,Таблица18[[#This Row],[Месяц]],Таблица18[[#This Row],[Число]])</f>
        <v>176</v>
      </c>
      <c r="Y770" s="121"/>
      <c r="Z770" s="121" t="str">
        <f>Таблица18[[#This Row],[Хар-ка]]</f>
        <v>высший</v>
      </c>
      <c r="AD770" s="459"/>
      <c r="AE770" s="391"/>
    </row>
    <row r="771" spans="1:31" s="325" customFormat="1" ht="15.6" hidden="1" customHeight="1" x14ac:dyDescent="0.2">
      <c r="A771" s="40" t="s">
        <v>2714</v>
      </c>
      <c r="B771" s="360" t="s">
        <v>511</v>
      </c>
      <c r="C771" s="40">
        <v>412</v>
      </c>
      <c r="D771" s="40">
        <v>92</v>
      </c>
      <c r="E771" s="40" t="s">
        <v>2754</v>
      </c>
      <c r="F771" s="40" t="s">
        <v>894</v>
      </c>
      <c r="G771" s="40" t="s">
        <v>895</v>
      </c>
      <c r="H771" s="40" t="s">
        <v>2769</v>
      </c>
      <c r="I771" s="360" t="e">
        <f>VLOOKUP(Таблица18[[#This Row],[Номер акта]],$AB$1:$AF$1833,3,FALSE)</f>
        <v>#N/A</v>
      </c>
      <c r="J771" s="40" t="s">
        <v>2772</v>
      </c>
      <c r="K771" s="40" t="s">
        <v>82</v>
      </c>
      <c r="L771" s="121">
        <v>27900</v>
      </c>
      <c r="M771" s="121">
        <v>14860</v>
      </c>
      <c r="N771" s="121">
        <v>10.5</v>
      </c>
      <c r="O771" s="363">
        <v>13040</v>
      </c>
      <c r="P771" s="363">
        <v>11670.8</v>
      </c>
      <c r="Q771" s="121">
        <v>2024</v>
      </c>
      <c r="R771" s="121"/>
      <c r="S771" s="148">
        <v>45467</v>
      </c>
      <c r="T771" s="363">
        <f>Таблица18[[#This Row],[Вес нетто]]-Таблица18[[#This Row],[Зачетный вес]]</f>
        <v>1369.2000000000007</v>
      </c>
      <c r="U771" s="365">
        <f>Таблица18[[#This Row],[Отход]]/Таблица18[[#This Row],[Вес нетто]]</f>
        <v>0.10500000000000005</v>
      </c>
      <c r="V771" s="121">
        <f>MONTH(Таблица18[[#This Row],[Дата акта]])</f>
        <v>6</v>
      </c>
      <c r="W771" s="121">
        <v>24</v>
      </c>
      <c r="X771" s="148">
        <f>DATE(1900,Таблица18[[#This Row],[Месяц]],Таблица18[[#This Row],[Число]])</f>
        <v>176</v>
      </c>
      <c r="Y771" s="121"/>
      <c r="Z771" s="121" t="str">
        <f>Таблица18[[#This Row],[Хар-ка]]</f>
        <v>высший</v>
      </c>
      <c r="AD771" s="459"/>
      <c r="AE771" s="391"/>
    </row>
    <row r="772" spans="1:31" s="325" customFormat="1" ht="15.6" hidden="1" customHeight="1" x14ac:dyDescent="0.2">
      <c r="A772" s="40" t="s">
        <v>2715</v>
      </c>
      <c r="B772" s="360" t="s">
        <v>511</v>
      </c>
      <c r="C772" s="40">
        <v>413</v>
      </c>
      <c r="D772" s="40">
        <v>93</v>
      </c>
      <c r="E772" s="40" t="s">
        <v>2754</v>
      </c>
      <c r="F772" s="40" t="s">
        <v>2155</v>
      </c>
      <c r="G772" s="40" t="s">
        <v>320</v>
      </c>
      <c r="H772" s="40" t="s">
        <v>2769</v>
      </c>
      <c r="I772" s="360" t="e">
        <f>VLOOKUP(Таблица18[[#This Row],[Номер акта]],$AB$1:$AF$1833,3,FALSE)</f>
        <v>#N/A</v>
      </c>
      <c r="J772" s="40" t="s">
        <v>2772</v>
      </c>
      <c r="K772" s="40" t="s">
        <v>82</v>
      </c>
      <c r="L772" s="121">
        <v>27420</v>
      </c>
      <c r="M772" s="121">
        <v>14400</v>
      </c>
      <c r="N772" s="121">
        <v>11.5</v>
      </c>
      <c r="O772" s="363">
        <v>13020</v>
      </c>
      <c r="P772" s="363">
        <v>11522.7</v>
      </c>
      <c r="Q772" s="121">
        <v>2024</v>
      </c>
      <c r="R772" s="121"/>
      <c r="S772" s="148">
        <v>45468</v>
      </c>
      <c r="T772" s="363">
        <f>Таблица18[[#This Row],[Вес нетто]]-Таблица18[[#This Row],[Зачетный вес]]</f>
        <v>1497.2999999999993</v>
      </c>
      <c r="U772" s="365">
        <f>Таблица18[[#This Row],[Отход]]/Таблица18[[#This Row],[Вес нетто]]</f>
        <v>0.11499999999999995</v>
      </c>
      <c r="V772" s="121">
        <f>MONTH(Таблица18[[#This Row],[Дата акта]])</f>
        <v>6</v>
      </c>
      <c r="W772" s="121">
        <v>25</v>
      </c>
      <c r="X772" s="148">
        <f>DATE(1900,Таблица18[[#This Row],[Месяц]],Таблица18[[#This Row],[Число]])</f>
        <v>177</v>
      </c>
      <c r="Y772" s="121"/>
      <c r="Z772" s="121" t="str">
        <f>Таблица18[[#This Row],[Хар-ка]]</f>
        <v>высший</v>
      </c>
      <c r="AD772" s="459"/>
      <c r="AE772" s="391"/>
    </row>
    <row r="773" spans="1:31" s="325" customFormat="1" ht="15.6" hidden="1" customHeight="1" x14ac:dyDescent="0.2">
      <c r="A773" s="40" t="s">
        <v>2716</v>
      </c>
      <c r="B773" s="360" t="s">
        <v>511</v>
      </c>
      <c r="C773" s="40">
        <v>414</v>
      </c>
      <c r="D773" s="40">
        <v>94</v>
      </c>
      <c r="E773" s="40" t="s">
        <v>2754</v>
      </c>
      <c r="F773" s="40" t="s">
        <v>212</v>
      </c>
      <c r="G773" s="40" t="s">
        <v>216</v>
      </c>
      <c r="H773" s="40" t="s">
        <v>2770</v>
      </c>
      <c r="I773" s="360" t="e">
        <f>VLOOKUP(Таблица18[[#This Row],[Номер акта]],$AB$1:$AF$1833,3,FALSE)</f>
        <v>#N/A</v>
      </c>
      <c r="J773" s="40" t="s">
        <v>1765</v>
      </c>
      <c r="K773" s="40" t="s">
        <v>82</v>
      </c>
      <c r="L773" s="121">
        <v>27520</v>
      </c>
      <c r="M773" s="121">
        <v>14020</v>
      </c>
      <c r="N773" s="121">
        <v>22.5</v>
      </c>
      <c r="O773" s="363">
        <v>13500</v>
      </c>
      <c r="P773" s="363">
        <v>10462.5</v>
      </c>
      <c r="Q773" s="121">
        <v>2024</v>
      </c>
      <c r="R773" s="121"/>
      <c r="S773" s="148">
        <v>45468</v>
      </c>
      <c r="T773" s="363">
        <f>Таблица18[[#This Row],[Вес нетто]]-Таблица18[[#This Row],[Зачетный вес]]</f>
        <v>3037.5</v>
      </c>
      <c r="U773" s="365">
        <f>Таблица18[[#This Row],[Отход]]/Таблица18[[#This Row],[Вес нетто]]</f>
        <v>0.22500000000000001</v>
      </c>
      <c r="V773" s="121">
        <f>MONTH(Таблица18[[#This Row],[Дата акта]])</f>
        <v>6</v>
      </c>
      <c r="W773" s="121">
        <v>25</v>
      </c>
      <c r="X773" s="148">
        <f>DATE(1900,Таблица18[[#This Row],[Месяц]],Таблица18[[#This Row],[Число]])</f>
        <v>177</v>
      </c>
      <c r="Y773" s="121"/>
      <c r="Z773" s="121" t="str">
        <f>Таблица18[[#This Row],[Хар-ка]]</f>
        <v>высший</v>
      </c>
      <c r="AD773" s="459"/>
      <c r="AE773" s="391"/>
    </row>
    <row r="774" spans="1:31" s="325" customFormat="1" ht="15.6" hidden="1" customHeight="1" x14ac:dyDescent="0.2">
      <c r="A774" s="40" t="s">
        <v>2717</v>
      </c>
      <c r="B774" s="360" t="s">
        <v>511</v>
      </c>
      <c r="C774" s="40">
        <v>415</v>
      </c>
      <c r="D774" s="40">
        <v>95</v>
      </c>
      <c r="E774" s="40" t="s">
        <v>2754</v>
      </c>
      <c r="F774" s="40" t="s">
        <v>2757</v>
      </c>
      <c r="G774" s="40" t="s">
        <v>2758</v>
      </c>
      <c r="H774" s="40" t="s">
        <v>2769</v>
      </c>
      <c r="I774" s="360" t="e">
        <f>VLOOKUP(Таблица18[[#This Row],[Номер акта]],$AB$1:$AF$1833,3,FALSE)</f>
        <v>#N/A</v>
      </c>
      <c r="J774" s="40" t="s">
        <v>2772</v>
      </c>
      <c r="K774" s="40" t="s">
        <v>82</v>
      </c>
      <c r="L774" s="121">
        <v>36100</v>
      </c>
      <c r="M774" s="121">
        <v>18730</v>
      </c>
      <c r="N774" s="121">
        <v>14.5</v>
      </c>
      <c r="O774" s="363">
        <v>17370</v>
      </c>
      <c r="P774" s="363">
        <v>14851.3</v>
      </c>
      <c r="Q774" s="121">
        <v>2024</v>
      </c>
      <c r="R774" s="121"/>
      <c r="S774" s="148">
        <v>45468</v>
      </c>
      <c r="T774" s="363">
        <f>Таблица18[[#This Row],[Вес нетто]]-Таблица18[[#This Row],[Зачетный вес]]</f>
        <v>2518.7000000000007</v>
      </c>
      <c r="U774" s="365">
        <f>Таблица18[[#This Row],[Отход]]/Таблица18[[#This Row],[Вес нетто]]</f>
        <v>0.14500287852619462</v>
      </c>
      <c r="V774" s="121">
        <f>MONTH(Таблица18[[#This Row],[Дата акта]])</f>
        <v>6</v>
      </c>
      <c r="W774" s="121">
        <v>25</v>
      </c>
      <c r="X774" s="148">
        <f>DATE(1900,Таблица18[[#This Row],[Месяц]],Таблица18[[#This Row],[Число]])</f>
        <v>177</v>
      </c>
      <c r="Y774" s="121"/>
      <c r="Z774" s="121" t="str">
        <f>Таблица18[[#This Row],[Хар-ка]]</f>
        <v>высший</v>
      </c>
      <c r="AD774" s="459"/>
      <c r="AE774" s="391"/>
    </row>
    <row r="775" spans="1:31" s="325" customFormat="1" ht="15.6" hidden="1" customHeight="1" x14ac:dyDescent="0.2">
      <c r="A775" s="40" t="s">
        <v>2718</v>
      </c>
      <c r="B775" s="360" t="s">
        <v>511</v>
      </c>
      <c r="C775" s="40">
        <v>417</v>
      </c>
      <c r="D775" s="40">
        <v>96</v>
      </c>
      <c r="E775" s="40" t="s">
        <v>2754</v>
      </c>
      <c r="F775" s="40" t="s">
        <v>2750</v>
      </c>
      <c r="G775" s="40" t="s">
        <v>2751</v>
      </c>
      <c r="H775" s="40" t="s">
        <v>2770</v>
      </c>
      <c r="I775" s="360" t="e">
        <f>VLOOKUP(Таблица18[[#This Row],[Номер акта]],$AB$1:$AF$1833,3,FALSE)</f>
        <v>#N/A</v>
      </c>
      <c r="J775" s="40" t="s">
        <v>1765</v>
      </c>
      <c r="K775" s="40" t="s">
        <v>82</v>
      </c>
      <c r="L775" s="121">
        <v>34540</v>
      </c>
      <c r="M775" s="121">
        <v>25890</v>
      </c>
      <c r="N775" s="121">
        <v>45.5</v>
      </c>
      <c r="O775" s="363">
        <v>8650</v>
      </c>
      <c r="P775" s="363">
        <v>4714.2</v>
      </c>
      <c r="Q775" s="121">
        <v>2024</v>
      </c>
      <c r="R775" s="121"/>
      <c r="S775" s="148">
        <v>45468</v>
      </c>
      <c r="T775" s="363">
        <f>Таблица18[[#This Row],[Вес нетто]]-Таблица18[[#This Row],[Зачетный вес]]</f>
        <v>3935.8</v>
      </c>
      <c r="U775" s="365">
        <f>Таблица18[[#This Row],[Отход]]/Таблица18[[#This Row],[Вес нетто]]</f>
        <v>0.45500578034682082</v>
      </c>
      <c r="V775" s="121">
        <f>MONTH(Таблица18[[#This Row],[Дата акта]])</f>
        <v>6</v>
      </c>
      <c r="W775" s="121">
        <v>25</v>
      </c>
      <c r="X775" s="148">
        <f>DATE(1900,Таблица18[[#This Row],[Месяц]],Таблица18[[#This Row],[Число]])</f>
        <v>177</v>
      </c>
      <c r="Y775" s="121"/>
      <c r="Z775" s="121" t="str">
        <f>Таблица18[[#This Row],[Хар-ка]]</f>
        <v>высший</v>
      </c>
      <c r="AD775" s="459"/>
      <c r="AE775" s="391"/>
    </row>
    <row r="776" spans="1:31" s="325" customFormat="1" ht="15.6" hidden="1" customHeight="1" x14ac:dyDescent="0.2">
      <c r="A776" s="40" t="s">
        <v>2719</v>
      </c>
      <c r="B776" s="360" t="s">
        <v>550</v>
      </c>
      <c r="C776" s="40">
        <v>418</v>
      </c>
      <c r="D776" s="40">
        <v>96</v>
      </c>
      <c r="E776" s="40" t="s">
        <v>2754</v>
      </c>
      <c r="F776" s="40" t="s">
        <v>2750</v>
      </c>
      <c r="G776" s="40" t="s">
        <v>2751</v>
      </c>
      <c r="H776" s="40" t="s">
        <v>2769</v>
      </c>
      <c r="I776" s="360" t="e">
        <f>VLOOKUP(Таблица18[[#This Row],[Номер акта]],$AB$1:$AF$1833,3,FALSE)</f>
        <v>#N/A</v>
      </c>
      <c r="J776" s="40" t="s">
        <v>2772</v>
      </c>
      <c r="K776" s="40" t="s">
        <v>82</v>
      </c>
      <c r="L776" s="121">
        <v>25890</v>
      </c>
      <c r="M776" s="121">
        <v>17420</v>
      </c>
      <c r="N776" s="121">
        <v>12</v>
      </c>
      <c r="O776" s="363">
        <v>8470</v>
      </c>
      <c r="P776" s="363">
        <v>7453.6</v>
      </c>
      <c r="Q776" s="121">
        <v>2024</v>
      </c>
      <c r="R776" s="121"/>
      <c r="S776" s="148">
        <v>45468</v>
      </c>
      <c r="T776" s="363">
        <f>Таблица18[[#This Row],[Вес нетто]]-Таблица18[[#This Row],[Зачетный вес]]</f>
        <v>1016.3999999999996</v>
      </c>
      <c r="U776" s="365">
        <f>Таблица18[[#This Row],[Отход]]/Таблица18[[#This Row],[Вес нетто]]</f>
        <v>0.11999999999999995</v>
      </c>
      <c r="V776" s="121">
        <f>MONTH(Таблица18[[#This Row],[Дата акта]])</f>
        <v>6</v>
      </c>
      <c r="W776" s="121">
        <v>25</v>
      </c>
      <c r="X776" s="148">
        <f>DATE(1900,Таблица18[[#This Row],[Месяц]],Таблица18[[#This Row],[Число]])</f>
        <v>177</v>
      </c>
      <c r="Y776" s="121"/>
      <c r="Z776" s="121" t="str">
        <f>Таблица18[[#This Row],[Хар-ка]]</f>
        <v>первый</v>
      </c>
      <c r="AD776" s="459"/>
      <c r="AE776" s="391"/>
    </row>
    <row r="777" spans="1:31" s="325" customFormat="1" ht="15.6" hidden="1" customHeight="1" x14ac:dyDescent="0.2">
      <c r="A777" s="40" t="s">
        <v>2720</v>
      </c>
      <c r="B777" s="360" t="s">
        <v>511</v>
      </c>
      <c r="C777" s="40">
        <v>419</v>
      </c>
      <c r="D777" s="40">
        <v>97</v>
      </c>
      <c r="E777" s="40" t="s">
        <v>2754</v>
      </c>
      <c r="F777" s="40" t="s">
        <v>239</v>
      </c>
      <c r="G777" s="40" t="s">
        <v>243</v>
      </c>
      <c r="H777" s="40" t="s">
        <v>2770</v>
      </c>
      <c r="I777" s="360" t="e">
        <f>VLOOKUP(Таблица18[[#This Row],[Номер акта]],$AB$1:$AF$1833,3,FALSE)</f>
        <v>#N/A</v>
      </c>
      <c r="J777" s="40" t="s">
        <v>1765</v>
      </c>
      <c r="K777" s="40" t="s">
        <v>82</v>
      </c>
      <c r="L777" s="121">
        <v>29200</v>
      </c>
      <c r="M777" s="121">
        <v>14490</v>
      </c>
      <c r="N777" s="121">
        <v>32.5</v>
      </c>
      <c r="O777" s="363">
        <v>14710</v>
      </c>
      <c r="P777" s="363">
        <v>9929.2000000000007</v>
      </c>
      <c r="Q777" s="121">
        <v>2024</v>
      </c>
      <c r="R777" s="121"/>
      <c r="S777" s="148">
        <v>45468</v>
      </c>
      <c r="T777" s="363">
        <f>Таблица18[[#This Row],[Вес нетто]]-Таблица18[[#This Row],[Зачетный вес]]</f>
        <v>4780.7999999999993</v>
      </c>
      <c r="U777" s="365">
        <f>Таблица18[[#This Row],[Отход]]/Таблица18[[#This Row],[Вес нетто]]</f>
        <v>0.32500339904826642</v>
      </c>
      <c r="V777" s="121">
        <f>MONTH(Таблица18[[#This Row],[Дата акта]])</f>
        <v>6</v>
      </c>
      <c r="W777" s="121">
        <v>25</v>
      </c>
      <c r="X777" s="148">
        <f>DATE(1900,Таблица18[[#This Row],[Месяц]],Таблица18[[#This Row],[Число]])</f>
        <v>177</v>
      </c>
      <c r="Y777" s="121"/>
      <c r="Z777" s="121" t="str">
        <f>Таблица18[[#This Row],[Хар-ка]]</f>
        <v>высший</v>
      </c>
      <c r="AD777" s="459"/>
      <c r="AE777" s="391"/>
    </row>
    <row r="778" spans="1:31" s="325" customFormat="1" ht="15.6" hidden="1" customHeight="1" x14ac:dyDescent="0.2">
      <c r="A778" s="40" t="s">
        <v>2721</v>
      </c>
      <c r="B778" s="360" t="s">
        <v>511</v>
      </c>
      <c r="C778" s="40">
        <v>420</v>
      </c>
      <c r="D778" s="40">
        <v>98</v>
      </c>
      <c r="E778" s="40" t="s">
        <v>2754</v>
      </c>
      <c r="F778" s="40" t="s">
        <v>1843</v>
      </c>
      <c r="G778" s="40" t="s">
        <v>119</v>
      </c>
      <c r="H778" s="40" t="s">
        <v>2771</v>
      </c>
      <c r="I778" s="360" t="e">
        <f>VLOOKUP(Таблица18[[#This Row],[Номер акта]],$AB$1:$AF$1833,3,FALSE)</f>
        <v>#N/A</v>
      </c>
      <c r="J778" s="40" t="s">
        <v>1765</v>
      </c>
      <c r="K778" s="40" t="s">
        <v>82</v>
      </c>
      <c r="L778" s="121">
        <v>38670</v>
      </c>
      <c r="M778" s="121">
        <v>21020</v>
      </c>
      <c r="N778" s="121">
        <v>34.5</v>
      </c>
      <c r="O778" s="363">
        <v>17650</v>
      </c>
      <c r="P778" s="363">
        <v>11560.7</v>
      </c>
      <c r="Q778" s="121">
        <v>2024</v>
      </c>
      <c r="R778" s="121"/>
      <c r="S778" s="148">
        <v>45468</v>
      </c>
      <c r="T778" s="363">
        <f>Таблица18[[#This Row],[Вес нетто]]-Таблица18[[#This Row],[Зачетный вес]]</f>
        <v>6089.2999999999993</v>
      </c>
      <c r="U778" s="365">
        <f>Таблица18[[#This Row],[Отход]]/Таблица18[[#This Row],[Вес нетто]]</f>
        <v>0.34500283286118977</v>
      </c>
      <c r="V778" s="121">
        <f>MONTH(Таблица18[[#This Row],[Дата акта]])</f>
        <v>6</v>
      </c>
      <c r="W778" s="121">
        <v>25</v>
      </c>
      <c r="X778" s="148">
        <f>DATE(1900,Таблица18[[#This Row],[Месяц]],Таблица18[[#This Row],[Число]])</f>
        <v>177</v>
      </c>
      <c r="Y778" s="121"/>
      <c r="Z778" s="121" t="str">
        <f>Таблица18[[#This Row],[Хар-ка]]</f>
        <v>высший</v>
      </c>
      <c r="AD778" s="459"/>
      <c r="AE778" s="391"/>
    </row>
    <row r="779" spans="1:31" s="325" customFormat="1" ht="15.6" hidden="1" customHeight="1" x14ac:dyDescent="0.2">
      <c r="A779" s="40" t="s">
        <v>2722</v>
      </c>
      <c r="B779" s="360" t="s">
        <v>511</v>
      </c>
      <c r="C779" s="40">
        <v>421</v>
      </c>
      <c r="D779" s="40">
        <v>99</v>
      </c>
      <c r="E779" s="40" t="s">
        <v>2754</v>
      </c>
      <c r="F779" s="40" t="s">
        <v>2155</v>
      </c>
      <c r="G779" s="40" t="s">
        <v>320</v>
      </c>
      <c r="H779" s="40" t="s">
        <v>2771</v>
      </c>
      <c r="I779" s="360" t="e">
        <f>VLOOKUP(Таблица18[[#This Row],[Номер акта]],$AB$1:$AF$1833,3,FALSE)</f>
        <v>#N/A</v>
      </c>
      <c r="J779" s="40" t="s">
        <v>1765</v>
      </c>
      <c r="K779" s="40" t="s">
        <v>82</v>
      </c>
      <c r="L779" s="121">
        <v>27310</v>
      </c>
      <c r="M779" s="121">
        <v>14440</v>
      </c>
      <c r="N779" s="121">
        <v>36.5</v>
      </c>
      <c r="O779" s="363">
        <v>12870</v>
      </c>
      <c r="P779" s="363">
        <v>8172.4</v>
      </c>
      <c r="Q779" s="121">
        <v>2024</v>
      </c>
      <c r="R779" s="121"/>
      <c r="S779" s="148">
        <v>45469</v>
      </c>
      <c r="T779" s="363">
        <f>Таблица18[[#This Row],[Вес нетто]]-Таблица18[[#This Row],[Зачетный вес]]</f>
        <v>4697.6000000000004</v>
      </c>
      <c r="U779" s="365">
        <f>Таблица18[[#This Row],[Отход]]/Таблица18[[#This Row],[Вес нетто]]</f>
        <v>0.36500388500388503</v>
      </c>
      <c r="V779" s="121">
        <f>MONTH(Таблица18[[#This Row],[Дата акта]])</f>
        <v>6</v>
      </c>
      <c r="W779" s="121">
        <v>26</v>
      </c>
      <c r="X779" s="148">
        <f>DATE(1900,Таблица18[[#This Row],[Месяц]],Таблица18[[#This Row],[Число]])</f>
        <v>178</v>
      </c>
      <c r="Y779" s="121"/>
      <c r="Z779" s="121" t="str">
        <f>Таблица18[[#This Row],[Хар-ка]]</f>
        <v>высший</v>
      </c>
      <c r="AD779" s="459"/>
      <c r="AE779" s="391"/>
    </row>
    <row r="780" spans="1:31" s="325" customFormat="1" ht="15.6" hidden="1" customHeight="1" x14ac:dyDescent="0.2">
      <c r="A780" s="40" t="s">
        <v>2723</v>
      </c>
      <c r="B780" s="360" t="s">
        <v>511</v>
      </c>
      <c r="C780" s="40">
        <v>422</v>
      </c>
      <c r="D780" s="40">
        <v>100</v>
      </c>
      <c r="E780" s="40" t="s">
        <v>2754</v>
      </c>
      <c r="F780" s="40" t="s">
        <v>894</v>
      </c>
      <c r="G780" s="40" t="s">
        <v>895</v>
      </c>
      <c r="H780" s="40" t="s">
        <v>2771</v>
      </c>
      <c r="I780" s="360" t="e">
        <f>VLOOKUP(Таблица18[[#This Row],[Номер акта]],$AB$1:$AF$1833,3,FALSE)</f>
        <v>#N/A</v>
      </c>
      <c r="J780" s="40" t="s">
        <v>1765</v>
      </c>
      <c r="K780" s="40" t="s">
        <v>82</v>
      </c>
      <c r="L780" s="121">
        <v>27850</v>
      </c>
      <c r="M780" s="121">
        <v>14910</v>
      </c>
      <c r="N780" s="121">
        <v>32</v>
      </c>
      <c r="O780" s="363">
        <v>12940</v>
      </c>
      <c r="P780" s="363">
        <v>8799.2000000000007</v>
      </c>
      <c r="Q780" s="121">
        <v>2024</v>
      </c>
      <c r="R780" s="121"/>
      <c r="S780" s="148">
        <v>45469</v>
      </c>
      <c r="T780" s="363">
        <f>Таблица18[[#This Row],[Вес нетто]]-Таблица18[[#This Row],[Зачетный вес]]</f>
        <v>4140.7999999999993</v>
      </c>
      <c r="U780" s="365">
        <f>Таблица18[[#This Row],[Отход]]/Таблица18[[#This Row],[Вес нетто]]</f>
        <v>0.31999999999999995</v>
      </c>
      <c r="V780" s="121">
        <f>MONTH(Таблица18[[#This Row],[Дата акта]])</f>
        <v>6</v>
      </c>
      <c r="W780" s="121">
        <v>26</v>
      </c>
      <c r="X780" s="148">
        <f>DATE(1900,Таблица18[[#This Row],[Месяц]],Таблица18[[#This Row],[Число]])</f>
        <v>178</v>
      </c>
      <c r="Y780" s="121"/>
      <c r="Z780" s="121" t="str">
        <f>Таблица18[[#This Row],[Хар-ка]]</f>
        <v>высший</v>
      </c>
      <c r="AD780" s="459"/>
      <c r="AE780" s="391"/>
    </row>
    <row r="781" spans="1:31" s="325" customFormat="1" ht="15.6" hidden="1" customHeight="1" x14ac:dyDescent="0.2">
      <c r="A781" s="40" t="s">
        <v>2724</v>
      </c>
      <c r="B781" s="360" t="s">
        <v>511</v>
      </c>
      <c r="C781" s="40">
        <v>423</v>
      </c>
      <c r="D781" s="40">
        <v>101</v>
      </c>
      <c r="E781" s="40" t="s">
        <v>2754</v>
      </c>
      <c r="F781" s="40" t="s">
        <v>212</v>
      </c>
      <c r="G781" s="40" t="s">
        <v>216</v>
      </c>
      <c r="H781" s="40" t="s">
        <v>2771</v>
      </c>
      <c r="I781" s="360" t="e">
        <f>VLOOKUP(Таблица18[[#This Row],[Номер акта]],$AB$1:$AF$1833,3,FALSE)</f>
        <v>#N/A</v>
      </c>
      <c r="J781" s="40" t="s">
        <v>1765</v>
      </c>
      <c r="K781" s="40" t="s">
        <v>82</v>
      </c>
      <c r="L781" s="121">
        <v>28460</v>
      </c>
      <c r="M781" s="121">
        <v>14120</v>
      </c>
      <c r="N781" s="121">
        <v>36.5</v>
      </c>
      <c r="O781" s="363">
        <v>14340</v>
      </c>
      <c r="P781" s="363">
        <v>9105.9</v>
      </c>
      <c r="Q781" s="121">
        <v>2024</v>
      </c>
      <c r="R781" s="121"/>
      <c r="S781" s="148">
        <v>45469</v>
      </c>
      <c r="T781" s="363">
        <f>Таблица18[[#This Row],[Вес нетто]]-Таблица18[[#This Row],[Зачетный вес]]</f>
        <v>5234.1000000000004</v>
      </c>
      <c r="U781" s="365">
        <f>Таблица18[[#This Row],[Отход]]/Таблица18[[#This Row],[Вес нетто]]</f>
        <v>0.36500000000000005</v>
      </c>
      <c r="V781" s="121">
        <f>MONTH(Таблица18[[#This Row],[Дата акта]])</f>
        <v>6</v>
      </c>
      <c r="W781" s="121">
        <v>26</v>
      </c>
      <c r="X781" s="148">
        <f>DATE(1900,Таблица18[[#This Row],[Месяц]],Таблица18[[#This Row],[Число]])</f>
        <v>178</v>
      </c>
      <c r="Y781" s="121"/>
      <c r="Z781" s="121" t="str">
        <f>Таблица18[[#This Row],[Хар-ка]]</f>
        <v>высший</v>
      </c>
      <c r="AD781" s="459"/>
      <c r="AE781" s="391"/>
    </row>
    <row r="782" spans="1:31" s="325" customFormat="1" ht="15.6" hidden="1" customHeight="1" x14ac:dyDescent="0.2">
      <c r="A782" s="40" t="s">
        <v>2725</v>
      </c>
      <c r="B782" s="360" t="s">
        <v>511</v>
      </c>
      <c r="C782" s="40">
        <v>425</v>
      </c>
      <c r="D782" s="40">
        <v>102</v>
      </c>
      <c r="E782" s="40" t="s">
        <v>2754</v>
      </c>
      <c r="F782" s="40" t="s">
        <v>2757</v>
      </c>
      <c r="G782" s="40" t="s">
        <v>2758</v>
      </c>
      <c r="H782" s="40" t="s">
        <v>2771</v>
      </c>
      <c r="I782" s="360" t="e">
        <f>VLOOKUP(Таблица18[[#This Row],[Номер акта]],$AB$1:$AF$1833,3,FALSE)</f>
        <v>#N/A</v>
      </c>
      <c r="J782" s="40" t="s">
        <v>1765</v>
      </c>
      <c r="K782" s="40" t="s">
        <v>82</v>
      </c>
      <c r="L782" s="121">
        <v>35620</v>
      </c>
      <c r="M782" s="121">
        <v>18550</v>
      </c>
      <c r="N782" s="121">
        <v>30.5</v>
      </c>
      <c r="O782" s="363">
        <v>17070</v>
      </c>
      <c r="P782" s="363">
        <v>11863.6</v>
      </c>
      <c r="Q782" s="121">
        <v>2024</v>
      </c>
      <c r="R782" s="121"/>
      <c r="S782" s="148">
        <v>45469</v>
      </c>
      <c r="T782" s="363">
        <f>Таблица18[[#This Row],[Вес нетто]]-Таблица18[[#This Row],[Зачетный вес]]</f>
        <v>5206.3999999999996</v>
      </c>
      <c r="U782" s="365">
        <f>Таблица18[[#This Row],[Отход]]/Таблица18[[#This Row],[Вес нетто]]</f>
        <v>0.30500292911540711</v>
      </c>
      <c r="V782" s="121">
        <f>MONTH(Таблица18[[#This Row],[Дата акта]])</f>
        <v>6</v>
      </c>
      <c r="W782" s="121">
        <v>26</v>
      </c>
      <c r="X782" s="148">
        <f>DATE(1900,Таблица18[[#This Row],[Месяц]],Таблица18[[#This Row],[Число]])</f>
        <v>178</v>
      </c>
      <c r="Y782" s="121"/>
      <c r="Z782" s="121" t="str">
        <f>Таблица18[[#This Row],[Хар-ка]]</f>
        <v>высший</v>
      </c>
      <c r="AD782" s="459"/>
      <c r="AE782" s="391"/>
    </row>
    <row r="783" spans="1:31" s="325" customFormat="1" ht="15.6" hidden="1" customHeight="1" x14ac:dyDescent="0.2">
      <c r="A783" s="40" t="s">
        <v>2726</v>
      </c>
      <c r="B783" s="360" t="s">
        <v>511</v>
      </c>
      <c r="C783" s="40">
        <v>428</v>
      </c>
      <c r="D783" s="40">
        <v>103</v>
      </c>
      <c r="E783" s="40" t="s">
        <v>2754</v>
      </c>
      <c r="F783" s="40" t="s">
        <v>2749</v>
      </c>
      <c r="G783" s="40" t="s">
        <v>270</v>
      </c>
      <c r="H783" s="40" t="s">
        <v>2771</v>
      </c>
      <c r="I783" s="360" t="e">
        <f>VLOOKUP(Таблица18[[#This Row],[Номер акта]],$AB$1:$AF$1833,3,FALSE)</f>
        <v>#N/A</v>
      </c>
      <c r="J783" s="40" t="s">
        <v>1765</v>
      </c>
      <c r="K783" s="40" t="s">
        <v>82</v>
      </c>
      <c r="L783" s="121">
        <v>30030</v>
      </c>
      <c r="M783" s="121">
        <v>14890</v>
      </c>
      <c r="N783" s="121">
        <v>35.5</v>
      </c>
      <c r="O783" s="363">
        <v>15140</v>
      </c>
      <c r="P783" s="363">
        <v>9765.2999999999993</v>
      </c>
      <c r="Q783" s="121">
        <v>2024</v>
      </c>
      <c r="R783" s="121"/>
      <c r="S783" s="148">
        <v>45469</v>
      </c>
      <c r="T783" s="363">
        <f>Таблица18[[#This Row],[Вес нетто]]-Таблица18[[#This Row],[Зачетный вес]]</f>
        <v>5374.7000000000007</v>
      </c>
      <c r="U783" s="365">
        <f>Таблица18[[#This Row],[Отход]]/Таблица18[[#This Row],[Вес нетто]]</f>
        <v>0.35500000000000004</v>
      </c>
      <c r="V783" s="121">
        <f>MONTH(Таблица18[[#This Row],[Дата акта]])</f>
        <v>6</v>
      </c>
      <c r="W783" s="121">
        <v>26</v>
      </c>
      <c r="X783" s="148">
        <f>DATE(1900,Таблица18[[#This Row],[Месяц]],Таблица18[[#This Row],[Число]])</f>
        <v>178</v>
      </c>
      <c r="Y783" s="121"/>
      <c r="Z783" s="121" t="str">
        <f>Таблица18[[#This Row],[Хар-ка]]</f>
        <v>высший</v>
      </c>
      <c r="AD783" s="459"/>
      <c r="AE783" s="391"/>
    </row>
    <row r="784" spans="1:31" s="325" customFormat="1" ht="15.6" hidden="1" customHeight="1" x14ac:dyDescent="0.2">
      <c r="A784" s="40" t="s">
        <v>2727</v>
      </c>
      <c r="B784" s="360" t="s">
        <v>511</v>
      </c>
      <c r="C784" s="40">
        <v>429</v>
      </c>
      <c r="D784" s="40">
        <v>104</v>
      </c>
      <c r="E784" s="40" t="s">
        <v>2754</v>
      </c>
      <c r="F784" s="40" t="s">
        <v>212</v>
      </c>
      <c r="G784" s="40" t="s">
        <v>216</v>
      </c>
      <c r="H784" s="40" t="s">
        <v>2771</v>
      </c>
      <c r="I784" s="360" t="e">
        <f>VLOOKUP(Таблица18[[#This Row],[Номер акта]],$AB$1:$AF$1833,3,FALSE)</f>
        <v>#N/A</v>
      </c>
      <c r="J784" s="40" t="s">
        <v>1765</v>
      </c>
      <c r="K784" s="40" t="s">
        <v>82</v>
      </c>
      <c r="L784" s="121">
        <v>29450</v>
      </c>
      <c r="M784" s="121">
        <v>13940</v>
      </c>
      <c r="N784" s="121">
        <v>32.5</v>
      </c>
      <c r="O784" s="363">
        <v>15510</v>
      </c>
      <c r="P784" s="363">
        <v>10469.200000000001</v>
      </c>
      <c r="Q784" s="121">
        <v>2024</v>
      </c>
      <c r="R784" s="121"/>
      <c r="S784" s="148">
        <v>45469</v>
      </c>
      <c r="T784" s="363">
        <f>Таблица18[[#This Row],[Вес нетто]]-Таблица18[[#This Row],[Зачетный вес]]</f>
        <v>5040.7999999999993</v>
      </c>
      <c r="U784" s="365">
        <f>Таблица18[[#This Row],[Отход]]/Таблица18[[#This Row],[Вес нетто]]</f>
        <v>0.32500322372662793</v>
      </c>
      <c r="V784" s="121">
        <f>MONTH(Таблица18[[#This Row],[Дата акта]])</f>
        <v>6</v>
      </c>
      <c r="W784" s="121">
        <v>26</v>
      </c>
      <c r="X784" s="148">
        <f>DATE(1900,Таблица18[[#This Row],[Месяц]],Таблица18[[#This Row],[Число]])</f>
        <v>178</v>
      </c>
      <c r="Y784" s="121"/>
      <c r="Z784" s="121" t="str">
        <f>Таблица18[[#This Row],[Хар-ка]]</f>
        <v>высший</v>
      </c>
      <c r="AD784" s="459"/>
      <c r="AE784" s="391"/>
    </row>
    <row r="785" spans="1:31" s="325" customFormat="1" ht="15.6" hidden="1" customHeight="1" x14ac:dyDescent="0.2">
      <c r="A785" s="40" t="s">
        <v>2728</v>
      </c>
      <c r="B785" s="360" t="s">
        <v>550</v>
      </c>
      <c r="C785" s="40">
        <v>430</v>
      </c>
      <c r="D785" s="40">
        <v>105</v>
      </c>
      <c r="E785" s="40" t="s">
        <v>2754</v>
      </c>
      <c r="F785" s="40" t="s">
        <v>1843</v>
      </c>
      <c r="G785" s="40" t="s">
        <v>119</v>
      </c>
      <c r="H785" s="40" t="s">
        <v>2769</v>
      </c>
      <c r="I785" s="360" t="e">
        <f>VLOOKUP(Таблица18[[#This Row],[Номер акта]],$AB$1:$AF$1833,3,FALSE)</f>
        <v>#N/A</v>
      </c>
      <c r="J785" s="40" t="s">
        <v>1765</v>
      </c>
      <c r="K785" s="40" t="s">
        <v>82</v>
      </c>
      <c r="L785" s="121">
        <v>38690</v>
      </c>
      <c r="M785" s="121">
        <v>20870</v>
      </c>
      <c r="N785" s="121">
        <v>26.5</v>
      </c>
      <c r="O785" s="363">
        <v>17820</v>
      </c>
      <c r="P785" s="363">
        <v>13097.7</v>
      </c>
      <c r="Q785" s="121">
        <v>2024</v>
      </c>
      <c r="R785" s="121"/>
      <c r="S785" s="148">
        <v>45469</v>
      </c>
      <c r="T785" s="363">
        <f>Таблица18[[#This Row],[Вес нетто]]-Таблица18[[#This Row],[Зачетный вес]]</f>
        <v>4722.2999999999993</v>
      </c>
      <c r="U785" s="365">
        <f>Таблица18[[#This Row],[Отход]]/Таблица18[[#This Row],[Вес нетто]]</f>
        <v>0.26499999999999996</v>
      </c>
      <c r="V785" s="121">
        <f>MONTH(Таблица18[[#This Row],[Дата акта]])</f>
        <v>6</v>
      </c>
      <c r="W785" s="121">
        <v>26</v>
      </c>
      <c r="X785" s="148">
        <f>DATE(1900,Таблица18[[#This Row],[Месяц]],Таблица18[[#This Row],[Число]])</f>
        <v>178</v>
      </c>
      <c r="Y785" s="121"/>
      <c r="Z785" s="121" t="str">
        <f>Таблица18[[#This Row],[Хар-ка]]</f>
        <v>первый</v>
      </c>
      <c r="AD785" s="459"/>
      <c r="AE785" s="391"/>
    </row>
    <row r="786" spans="1:31" s="325" customFormat="1" ht="15.6" hidden="1" customHeight="1" x14ac:dyDescent="0.2">
      <c r="A786" s="40" t="s">
        <v>2729</v>
      </c>
      <c r="B786" s="360" t="s">
        <v>550</v>
      </c>
      <c r="C786" s="40">
        <v>431</v>
      </c>
      <c r="D786" s="40">
        <v>106</v>
      </c>
      <c r="E786" s="40" t="s">
        <v>2754</v>
      </c>
      <c r="F786" s="40" t="s">
        <v>894</v>
      </c>
      <c r="G786" s="40" t="s">
        <v>895</v>
      </c>
      <c r="H786" s="40" t="s">
        <v>2769</v>
      </c>
      <c r="I786" s="360" t="e">
        <f>VLOOKUP(Таблица18[[#This Row],[Номер акта]],$AB$1:$AF$1833,3,FALSE)</f>
        <v>#N/A</v>
      </c>
      <c r="J786" s="40" t="s">
        <v>1765</v>
      </c>
      <c r="K786" s="40" t="s">
        <v>82</v>
      </c>
      <c r="L786" s="121">
        <v>27780</v>
      </c>
      <c r="M786" s="121">
        <v>14880</v>
      </c>
      <c r="N786" s="121">
        <v>18.5</v>
      </c>
      <c r="O786" s="363">
        <v>12900</v>
      </c>
      <c r="P786" s="363">
        <v>10513.5</v>
      </c>
      <c r="Q786" s="121">
        <v>2024</v>
      </c>
      <c r="R786" s="121"/>
      <c r="S786" s="148">
        <v>45470</v>
      </c>
      <c r="T786" s="363">
        <f>Таблица18[[#This Row],[Вес нетто]]-Таблица18[[#This Row],[Зачетный вес]]</f>
        <v>2386.5</v>
      </c>
      <c r="U786" s="365">
        <f>Таблица18[[#This Row],[Отход]]/Таблица18[[#This Row],[Вес нетто]]</f>
        <v>0.185</v>
      </c>
      <c r="V786" s="121">
        <f>MONTH(Таблица18[[#This Row],[Дата акта]])</f>
        <v>6</v>
      </c>
      <c r="W786" s="121">
        <v>27</v>
      </c>
      <c r="X786" s="148">
        <f>DATE(1900,Таблица18[[#This Row],[Месяц]],Таблица18[[#This Row],[Число]])</f>
        <v>179</v>
      </c>
      <c r="Y786" s="121"/>
      <c r="Z786" s="121" t="str">
        <f>Таблица18[[#This Row],[Хар-ка]]</f>
        <v>первый</v>
      </c>
      <c r="AD786" s="459"/>
      <c r="AE786" s="391"/>
    </row>
    <row r="787" spans="1:31" s="325" customFormat="1" ht="15.6" hidden="1" customHeight="1" x14ac:dyDescent="0.2">
      <c r="A787" s="40" t="s">
        <v>2730</v>
      </c>
      <c r="B787" s="360" t="s">
        <v>550</v>
      </c>
      <c r="C787" s="40">
        <v>432</v>
      </c>
      <c r="D787" s="40">
        <v>107</v>
      </c>
      <c r="E787" s="40" t="s">
        <v>2754</v>
      </c>
      <c r="F787" s="40" t="s">
        <v>2155</v>
      </c>
      <c r="G787" s="40" t="s">
        <v>320</v>
      </c>
      <c r="H787" s="40" t="s">
        <v>2769</v>
      </c>
      <c r="I787" s="360" t="e">
        <f>VLOOKUP(Таблица18[[#This Row],[Номер акта]],$AB$1:$AF$1833,3,FALSE)</f>
        <v>#N/A</v>
      </c>
      <c r="J787" s="40" t="s">
        <v>1765</v>
      </c>
      <c r="K787" s="40" t="s">
        <v>82</v>
      </c>
      <c r="L787" s="121">
        <v>27640</v>
      </c>
      <c r="M787" s="121">
        <v>14420</v>
      </c>
      <c r="N787" s="121">
        <v>19.5</v>
      </c>
      <c r="O787" s="363">
        <v>13220</v>
      </c>
      <c r="P787" s="363">
        <v>10642.1</v>
      </c>
      <c r="Q787" s="121">
        <v>2024</v>
      </c>
      <c r="R787" s="121"/>
      <c r="S787" s="148">
        <v>45470</v>
      </c>
      <c r="T787" s="363">
        <f>Таблица18[[#This Row],[Вес нетто]]-Таблица18[[#This Row],[Зачетный вес]]</f>
        <v>2577.8999999999996</v>
      </c>
      <c r="U787" s="365">
        <f>Таблица18[[#This Row],[Отход]]/Таблица18[[#This Row],[Вес нетто]]</f>
        <v>0.19499999999999998</v>
      </c>
      <c r="V787" s="121">
        <f>MONTH(Таблица18[[#This Row],[Дата акта]])</f>
        <v>6</v>
      </c>
      <c r="W787" s="121">
        <v>27</v>
      </c>
      <c r="X787" s="148">
        <f>DATE(1900,Таблица18[[#This Row],[Месяц]],Таблица18[[#This Row],[Число]])</f>
        <v>179</v>
      </c>
      <c r="Y787" s="121"/>
      <c r="Z787" s="121" t="str">
        <f>Таблица18[[#This Row],[Хар-ка]]</f>
        <v>первый</v>
      </c>
      <c r="AD787" s="459"/>
      <c r="AE787" s="391"/>
    </row>
    <row r="788" spans="1:31" s="325" customFormat="1" ht="15.6" hidden="1" customHeight="1" x14ac:dyDescent="0.2">
      <c r="A788" s="40" t="s">
        <v>2731</v>
      </c>
      <c r="B788" s="360" t="s">
        <v>511</v>
      </c>
      <c r="C788" s="40">
        <v>433</v>
      </c>
      <c r="D788" s="40">
        <v>108</v>
      </c>
      <c r="E788" s="40" t="s">
        <v>2754</v>
      </c>
      <c r="F788" s="40" t="s">
        <v>2757</v>
      </c>
      <c r="G788" s="40" t="s">
        <v>2758</v>
      </c>
      <c r="H788" s="40" t="s">
        <v>2769</v>
      </c>
      <c r="I788" s="360" t="e">
        <f>VLOOKUP(Таблица18[[#This Row],[Номер акта]],$AB$1:$AF$1833,3,FALSE)</f>
        <v>#N/A</v>
      </c>
      <c r="J788" s="40" t="s">
        <v>1765</v>
      </c>
      <c r="K788" s="40" t="s">
        <v>82</v>
      </c>
      <c r="L788" s="121">
        <v>35980</v>
      </c>
      <c r="M788" s="121">
        <v>18440</v>
      </c>
      <c r="N788" s="121">
        <v>19.5</v>
      </c>
      <c r="O788" s="363">
        <v>17540</v>
      </c>
      <c r="P788" s="363">
        <v>14119.7</v>
      </c>
      <c r="Q788" s="121">
        <v>2024</v>
      </c>
      <c r="R788" s="121"/>
      <c r="S788" s="148">
        <v>45470</v>
      </c>
      <c r="T788" s="363">
        <f>Таблица18[[#This Row],[Вес нетто]]-Таблица18[[#This Row],[Зачетный вес]]</f>
        <v>3420.2999999999993</v>
      </c>
      <c r="U788" s="365">
        <f>Таблица18[[#This Row],[Отход]]/Таблица18[[#This Row],[Вес нетто]]</f>
        <v>0.19499999999999995</v>
      </c>
      <c r="V788" s="121">
        <f>MONTH(Таблица18[[#This Row],[Дата акта]])</f>
        <v>6</v>
      </c>
      <c r="W788" s="121">
        <v>27</v>
      </c>
      <c r="X788" s="148">
        <f>DATE(1900,Таблица18[[#This Row],[Месяц]],Таблица18[[#This Row],[Число]])</f>
        <v>179</v>
      </c>
      <c r="Y788" s="121"/>
      <c r="Z788" s="121" t="str">
        <f>Таблица18[[#This Row],[Хар-ка]]</f>
        <v>высший</v>
      </c>
      <c r="AD788" s="459"/>
      <c r="AE788" s="391"/>
    </row>
    <row r="789" spans="1:31" s="325" customFormat="1" ht="15.6" hidden="1" customHeight="1" x14ac:dyDescent="0.2">
      <c r="A789" s="40" t="s">
        <v>2732</v>
      </c>
      <c r="B789" s="360" t="s">
        <v>511</v>
      </c>
      <c r="C789" s="40">
        <v>434</v>
      </c>
      <c r="D789" s="40">
        <v>109</v>
      </c>
      <c r="E789" s="40" t="s">
        <v>2754</v>
      </c>
      <c r="F789" s="40" t="s">
        <v>2749</v>
      </c>
      <c r="G789" s="40" t="s">
        <v>270</v>
      </c>
      <c r="H789" s="40" t="s">
        <v>2769</v>
      </c>
      <c r="I789" s="360" t="e">
        <f>VLOOKUP(Таблица18[[#This Row],[Номер акта]],$AB$1:$AF$1833,3,FALSE)</f>
        <v>#N/A</v>
      </c>
      <c r="J789" s="40" t="s">
        <v>1765</v>
      </c>
      <c r="K789" s="40" t="s">
        <v>82</v>
      </c>
      <c r="L789" s="121">
        <v>30100</v>
      </c>
      <c r="M789" s="121">
        <v>14780</v>
      </c>
      <c r="N789" s="121">
        <v>18.5</v>
      </c>
      <c r="O789" s="363">
        <v>15320</v>
      </c>
      <c r="P789" s="363">
        <v>12485.8</v>
      </c>
      <c r="Q789" s="121">
        <v>2024</v>
      </c>
      <c r="R789" s="121"/>
      <c r="S789" s="148">
        <v>45470</v>
      </c>
      <c r="T789" s="363">
        <f>Таблица18[[#This Row],[Вес нетто]]-Таблица18[[#This Row],[Зачетный вес]]</f>
        <v>2834.2000000000007</v>
      </c>
      <c r="U789" s="365">
        <f>Таблица18[[#This Row],[Отход]]/Таблица18[[#This Row],[Вес нетто]]</f>
        <v>0.18500000000000005</v>
      </c>
      <c r="V789" s="121">
        <f>MONTH(Таблица18[[#This Row],[Дата акта]])</f>
        <v>6</v>
      </c>
      <c r="W789" s="121">
        <v>27</v>
      </c>
      <c r="X789" s="148">
        <f>DATE(1900,Таблица18[[#This Row],[Месяц]],Таблица18[[#This Row],[Число]])</f>
        <v>179</v>
      </c>
      <c r="Y789" s="121"/>
      <c r="Z789" s="121" t="str">
        <f>Таблица18[[#This Row],[Хар-ка]]</f>
        <v>высший</v>
      </c>
      <c r="AD789" s="459"/>
      <c r="AE789" s="391"/>
    </row>
    <row r="790" spans="1:31" s="325" customFormat="1" ht="15.6" hidden="1" customHeight="1" x14ac:dyDescent="0.2">
      <c r="A790" s="40" t="s">
        <v>2733</v>
      </c>
      <c r="B790" s="360" t="s">
        <v>550</v>
      </c>
      <c r="C790" s="40">
        <v>439</v>
      </c>
      <c r="D790" s="40">
        <v>110</v>
      </c>
      <c r="E790" s="40" t="s">
        <v>2754</v>
      </c>
      <c r="F790" s="40" t="s">
        <v>2750</v>
      </c>
      <c r="G790" s="40" t="s">
        <v>2751</v>
      </c>
      <c r="H790" s="40" t="s">
        <v>2769</v>
      </c>
      <c r="I790" s="360" t="e">
        <f>VLOOKUP(Таблица18[[#This Row],[Номер акта]],$AB$1:$AF$1833,3,FALSE)</f>
        <v>#N/A</v>
      </c>
      <c r="J790" s="40" t="s">
        <v>1765</v>
      </c>
      <c r="K790" s="40" t="s">
        <v>82</v>
      </c>
      <c r="L790" s="121">
        <v>32340</v>
      </c>
      <c r="M790" s="121">
        <v>17320</v>
      </c>
      <c r="N790" s="121">
        <v>14.5</v>
      </c>
      <c r="O790" s="363">
        <v>15020</v>
      </c>
      <c r="P790" s="363">
        <v>12842.1</v>
      </c>
      <c r="Q790" s="121">
        <v>2024</v>
      </c>
      <c r="R790" s="121"/>
      <c r="S790" s="148">
        <v>45470</v>
      </c>
      <c r="T790" s="363">
        <f>Таблица18[[#This Row],[Вес нетто]]-Таблица18[[#This Row],[Зачетный вес]]</f>
        <v>2177.8999999999996</v>
      </c>
      <c r="U790" s="365">
        <f>Таблица18[[#This Row],[Отход]]/Таблица18[[#This Row],[Вес нетто]]</f>
        <v>0.14499999999999996</v>
      </c>
      <c r="V790" s="121">
        <f>MONTH(Таблица18[[#This Row],[Дата акта]])</f>
        <v>6</v>
      </c>
      <c r="W790" s="121">
        <v>27</v>
      </c>
      <c r="X790" s="148">
        <f>DATE(1900,Таблица18[[#This Row],[Месяц]],Таблица18[[#This Row],[Число]])</f>
        <v>179</v>
      </c>
      <c r="Y790" s="121"/>
      <c r="Z790" s="121" t="str">
        <f>Таблица18[[#This Row],[Хар-ка]]</f>
        <v>первый</v>
      </c>
      <c r="AD790" s="459"/>
      <c r="AE790" s="391"/>
    </row>
    <row r="791" spans="1:31" s="325" customFormat="1" ht="15.6" hidden="1" customHeight="1" x14ac:dyDescent="0.2">
      <c r="A791" s="40" t="s">
        <v>2734</v>
      </c>
      <c r="B791" s="360" t="s">
        <v>550</v>
      </c>
      <c r="C791" s="40">
        <v>440</v>
      </c>
      <c r="D791" s="40">
        <v>111</v>
      </c>
      <c r="E791" s="40" t="s">
        <v>2754</v>
      </c>
      <c r="F791" s="40" t="s">
        <v>239</v>
      </c>
      <c r="G791" s="40" t="s">
        <v>243</v>
      </c>
      <c r="H791" s="40" t="s">
        <v>2769</v>
      </c>
      <c r="I791" s="360" t="e">
        <f>VLOOKUP(Таблица18[[#This Row],[Номер акта]],$AB$1:$AF$1833,3,FALSE)</f>
        <v>#N/A</v>
      </c>
      <c r="J791" s="40" t="s">
        <v>1765</v>
      </c>
      <c r="K791" s="40" t="s">
        <v>82</v>
      </c>
      <c r="L791" s="121">
        <v>30120</v>
      </c>
      <c r="M791" s="121">
        <v>14520</v>
      </c>
      <c r="N791" s="121">
        <v>16.5</v>
      </c>
      <c r="O791" s="363">
        <v>15600</v>
      </c>
      <c r="P791" s="363">
        <v>13026</v>
      </c>
      <c r="Q791" s="121">
        <v>2024</v>
      </c>
      <c r="R791" s="121"/>
      <c r="S791" s="148">
        <v>45470</v>
      </c>
      <c r="T791" s="363">
        <f>Таблица18[[#This Row],[Вес нетто]]-Таблица18[[#This Row],[Зачетный вес]]</f>
        <v>2574</v>
      </c>
      <c r="U791" s="365">
        <f>Таблица18[[#This Row],[Отход]]/Таблица18[[#This Row],[Вес нетто]]</f>
        <v>0.16500000000000001</v>
      </c>
      <c r="V791" s="121">
        <f>MONTH(Таблица18[[#This Row],[Дата акта]])</f>
        <v>6</v>
      </c>
      <c r="W791" s="121">
        <v>27</v>
      </c>
      <c r="X791" s="148">
        <f>DATE(1900,Таблица18[[#This Row],[Месяц]],Таблица18[[#This Row],[Число]])</f>
        <v>179</v>
      </c>
      <c r="Y791" s="121"/>
      <c r="Z791" s="121" t="str">
        <f>Таблица18[[#This Row],[Хар-ка]]</f>
        <v>первый</v>
      </c>
      <c r="AD791" s="459"/>
      <c r="AE791" s="391"/>
    </row>
    <row r="792" spans="1:31" s="325" customFormat="1" ht="15.6" hidden="1" customHeight="1" x14ac:dyDescent="0.2">
      <c r="A792" s="40" t="s">
        <v>2735</v>
      </c>
      <c r="B792" s="360" t="s">
        <v>550</v>
      </c>
      <c r="C792" s="40">
        <v>441</v>
      </c>
      <c r="D792" s="40">
        <v>112</v>
      </c>
      <c r="E792" s="40" t="s">
        <v>2754</v>
      </c>
      <c r="F792" s="40" t="s">
        <v>1843</v>
      </c>
      <c r="G792" s="40" t="s">
        <v>119</v>
      </c>
      <c r="H792" s="40" t="s">
        <v>2769</v>
      </c>
      <c r="I792" s="360" t="e">
        <f>VLOOKUP(Таблица18[[#This Row],[Номер акта]],$AB$1:$AF$1833,3,FALSE)</f>
        <v>#N/A</v>
      </c>
      <c r="J792" s="40" t="s">
        <v>1765</v>
      </c>
      <c r="K792" s="40" t="s">
        <v>82</v>
      </c>
      <c r="L792" s="121">
        <v>38960</v>
      </c>
      <c r="M792" s="121">
        <v>21010</v>
      </c>
      <c r="N792" s="121">
        <v>13.5</v>
      </c>
      <c r="O792" s="363">
        <v>17950</v>
      </c>
      <c r="P792" s="363">
        <v>15526.7</v>
      </c>
      <c r="Q792" s="121">
        <v>2024</v>
      </c>
      <c r="R792" s="121"/>
      <c r="S792" s="148">
        <v>45470</v>
      </c>
      <c r="T792" s="363">
        <f>Таблица18[[#This Row],[Вес нетто]]-Таблица18[[#This Row],[Зачетный вес]]</f>
        <v>2423.2999999999993</v>
      </c>
      <c r="U792" s="365">
        <f>Таблица18[[#This Row],[Отход]]/Таблица18[[#This Row],[Вес нетто]]</f>
        <v>0.1350027855153203</v>
      </c>
      <c r="V792" s="121">
        <f>MONTH(Таблица18[[#This Row],[Дата акта]])</f>
        <v>6</v>
      </c>
      <c r="W792" s="121">
        <v>27</v>
      </c>
      <c r="X792" s="148">
        <f>DATE(1900,Таблица18[[#This Row],[Месяц]],Таблица18[[#This Row],[Число]])</f>
        <v>179</v>
      </c>
      <c r="Y792" s="121"/>
      <c r="Z792" s="121" t="str">
        <f>Таблица18[[#This Row],[Хар-ка]]</f>
        <v>первый</v>
      </c>
      <c r="AD792" s="459"/>
      <c r="AE792" s="391"/>
    </row>
    <row r="793" spans="1:31" s="325" customFormat="1" ht="15.6" hidden="1" customHeight="1" x14ac:dyDescent="0.2">
      <c r="A793" s="40" t="s">
        <v>2736</v>
      </c>
      <c r="B793" s="360" t="s">
        <v>550</v>
      </c>
      <c r="C793" s="40">
        <v>442</v>
      </c>
      <c r="D793" s="40">
        <v>113</v>
      </c>
      <c r="E793" s="40" t="s">
        <v>2754</v>
      </c>
      <c r="F793" s="40" t="s">
        <v>2749</v>
      </c>
      <c r="G793" s="40" t="s">
        <v>270</v>
      </c>
      <c r="H793" s="40" t="s">
        <v>2769</v>
      </c>
      <c r="I793" s="360" t="e">
        <f>VLOOKUP(Таблица18[[#This Row],[Номер акта]],$AB$1:$AF$1833,3,FALSE)</f>
        <v>#N/A</v>
      </c>
      <c r="J793" s="40" t="s">
        <v>1765</v>
      </c>
      <c r="K793" s="40" t="s">
        <v>82</v>
      </c>
      <c r="L793" s="121">
        <v>30500</v>
      </c>
      <c r="M793" s="121">
        <v>14830</v>
      </c>
      <c r="N793" s="121">
        <v>15.5</v>
      </c>
      <c r="O793" s="363">
        <v>15670</v>
      </c>
      <c r="P793" s="363">
        <v>13241.1</v>
      </c>
      <c r="Q793" s="121">
        <v>2024</v>
      </c>
      <c r="R793" s="121"/>
      <c r="S793" s="148">
        <v>45470</v>
      </c>
      <c r="T793" s="363">
        <f>Таблица18[[#This Row],[Вес нетто]]-Таблица18[[#This Row],[Зачетный вес]]</f>
        <v>2428.8999999999996</v>
      </c>
      <c r="U793" s="365">
        <f>Таблица18[[#This Row],[Отход]]/Таблица18[[#This Row],[Вес нетто]]</f>
        <v>0.15500319081046585</v>
      </c>
      <c r="V793" s="121">
        <f>MONTH(Таблица18[[#This Row],[Дата акта]])</f>
        <v>6</v>
      </c>
      <c r="W793" s="121">
        <v>27</v>
      </c>
      <c r="X793" s="148">
        <f>DATE(1900,Таблица18[[#This Row],[Месяц]],Таблица18[[#This Row],[Число]])</f>
        <v>179</v>
      </c>
      <c r="Y793" s="121"/>
      <c r="Z793" s="121" t="str">
        <f>Таблица18[[#This Row],[Хар-ка]]</f>
        <v>первый</v>
      </c>
      <c r="AD793" s="459"/>
      <c r="AE793" s="391"/>
    </row>
    <row r="794" spans="1:31" s="325" customFormat="1" ht="15.6" hidden="1" customHeight="1" x14ac:dyDescent="0.2">
      <c r="A794" s="40" t="s">
        <v>2737</v>
      </c>
      <c r="B794" s="360" t="s">
        <v>550</v>
      </c>
      <c r="C794" s="40">
        <v>443</v>
      </c>
      <c r="D794" s="40">
        <v>114</v>
      </c>
      <c r="E794" s="40" t="s">
        <v>2754</v>
      </c>
      <c r="F794" s="40" t="s">
        <v>2757</v>
      </c>
      <c r="G794" s="40" t="s">
        <v>2758</v>
      </c>
      <c r="H794" s="40" t="s">
        <v>2769</v>
      </c>
      <c r="I794" s="360" t="e">
        <f>VLOOKUP(Таблица18[[#This Row],[Номер акта]],$AB$1:$AF$1833,3,FALSE)</f>
        <v>#N/A</v>
      </c>
      <c r="J794" s="40" t="s">
        <v>1765</v>
      </c>
      <c r="K794" s="40" t="s">
        <v>82</v>
      </c>
      <c r="L794" s="121">
        <v>36880</v>
      </c>
      <c r="M794" s="121">
        <v>18690</v>
      </c>
      <c r="N794" s="121">
        <v>24.5</v>
      </c>
      <c r="O794" s="363">
        <v>18190</v>
      </c>
      <c r="P794" s="363">
        <v>13733.4</v>
      </c>
      <c r="Q794" s="121">
        <v>2024</v>
      </c>
      <c r="R794" s="121"/>
      <c r="S794" s="148">
        <v>45470</v>
      </c>
      <c r="T794" s="363">
        <f>Таблица18[[#This Row],[Вес нетто]]-Таблица18[[#This Row],[Зачетный вес]]</f>
        <v>4456.6000000000004</v>
      </c>
      <c r="U794" s="365">
        <f>Таблица18[[#This Row],[Отход]]/Таблица18[[#This Row],[Вес нетто]]</f>
        <v>0.24500274876305664</v>
      </c>
      <c r="V794" s="121">
        <f>MONTH(Таблица18[[#This Row],[Дата акта]])</f>
        <v>6</v>
      </c>
      <c r="W794" s="121">
        <v>27</v>
      </c>
      <c r="X794" s="148">
        <f>DATE(1900,Таблица18[[#This Row],[Месяц]],Таблица18[[#This Row],[Число]])</f>
        <v>179</v>
      </c>
      <c r="Y794" s="121"/>
      <c r="Z794" s="121" t="str">
        <f>Таблица18[[#This Row],[Хар-ка]]</f>
        <v>первый</v>
      </c>
      <c r="AD794" s="459"/>
      <c r="AE794" s="391"/>
    </row>
    <row r="795" spans="1:31" s="325" customFormat="1" ht="15.6" hidden="1" customHeight="1" x14ac:dyDescent="0.2">
      <c r="A795" s="40" t="s">
        <v>2738</v>
      </c>
      <c r="B795" s="360" t="s">
        <v>550</v>
      </c>
      <c r="C795" s="40">
        <v>444</v>
      </c>
      <c r="D795" s="40">
        <v>115</v>
      </c>
      <c r="E795" s="40" t="s">
        <v>2754</v>
      </c>
      <c r="F795" s="40" t="s">
        <v>212</v>
      </c>
      <c r="G795" s="40" t="s">
        <v>216</v>
      </c>
      <c r="H795" s="40" t="s">
        <v>2769</v>
      </c>
      <c r="I795" s="360" t="e">
        <f>VLOOKUP(Таблица18[[#This Row],[Номер акта]],$AB$1:$AF$1833,3,FALSE)</f>
        <v>#N/A</v>
      </c>
      <c r="J795" s="40" t="s">
        <v>1765</v>
      </c>
      <c r="K795" s="40" t="s">
        <v>82</v>
      </c>
      <c r="L795" s="121">
        <v>31910</v>
      </c>
      <c r="M795" s="121">
        <v>14030</v>
      </c>
      <c r="N795" s="121">
        <v>17.5</v>
      </c>
      <c r="O795" s="363">
        <v>17880</v>
      </c>
      <c r="P795" s="363">
        <v>14751</v>
      </c>
      <c r="Q795" s="121">
        <v>2024</v>
      </c>
      <c r="R795" s="121"/>
      <c r="S795" s="148">
        <v>45471</v>
      </c>
      <c r="T795" s="363">
        <f>Таблица18[[#This Row],[Вес нетто]]-Таблица18[[#This Row],[Зачетный вес]]</f>
        <v>3129</v>
      </c>
      <c r="U795" s="365">
        <f>Таблица18[[#This Row],[Отход]]/Таблица18[[#This Row],[Вес нетто]]</f>
        <v>0.17499999999999999</v>
      </c>
      <c r="V795" s="121">
        <f>MONTH(Таблица18[[#This Row],[Дата акта]])</f>
        <v>6</v>
      </c>
      <c r="W795" s="121">
        <v>28</v>
      </c>
      <c r="X795" s="148">
        <f>DATE(1900,Таблица18[[#This Row],[Месяц]],Таблица18[[#This Row],[Число]])</f>
        <v>180</v>
      </c>
      <c r="Y795" s="121"/>
      <c r="Z795" s="121" t="str">
        <f>Таблица18[[#This Row],[Хар-ка]]</f>
        <v>первый</v>
      </c>
      <c r="AD795" s="459"/>
      <c r="AE795" s="391"/>
    </row>
    <row r="796" spans="1:31" s="325" customFormat="1" ht="15.6" hidden="1" customHeight="1" x14ac:dyDescent="0.2">
      <c r="A796" s="40" t="s">
        <v>2739</v>
      </c>
      <c r="B796" s="360" t="s">
        <v>550</v>
      </c>
      <c r="C796" s="40">
        <v>445</v>
      </c>
      <c r="D796" s="40">
        <v>116</v>
      </c>
      <c r="E796" s="40" t="s">
        <v>2754</v>
      </c>
      <c r="F796" s="40" t="s">
        <v>2750</v>
      </c>
      <c r="G796" s="40" t="s">
        <v>2751</v>
      </c>
      <c r="H796" s="40" t="s">
        <v>2769</v>
      </c>
      <c r="I796" s="360" t="e">
        <f>VLOOKUP(Таблица18[[#This Row],[Номер акта]],$AB$1:$AF$1833,3,FALSE)</f>
        <v>#N/A</v>
      </c>
      <c r="J796" s="40" t="s">
        <v>1765</v>
      </c>
      <c r="K796" s="40" t="s">
        <v>82</v>
      </c>
      <c r="L796" s="121">
        <v>35030</v>
      </c>
      <c r="M796" s="121">
        <v>17220</v>
      </c>
      <c r="N796" s="121">
        <v>17.5</v>
      </c>
      <c r="O796" s="363">
        <v>17810</v>
      </c>
      <c r="P796" s="363">
        <v>14693.2</v>
      </c>
      <c r="Q796" s="121">
        <v>2024</v>
      </c>
      <c r="R796" s="121"/>
      <c r="S796" s="148">
        <v>45471</v>
      </c>
      <c r="T796" s="363">
        <f>Таблица18[[#This Row],[Вес нетто]]-Таблица18[[#This Row],[Зачетный вес]]</f>
        <v>3116.7999999999993</v>
      </c>
      <c r="U796" s="365">
        <f>Таблица18[[#This Row],[Отход]]/Таблица18[[#This Row],[Вес нетто]]</f>
        <v>0.17500280741156649</v>
      </c>
      <c r="V796" s="121">
        <f>MONTH(Таблица18[[#This Row],[Дата акта]])</f>
        <v>6</v>
      </c>
      <c r="W796" s="121">
        <v>28</v>
      </c>
      <c r="X796" s="148">
        <f>DATE(1900,Таблица18[[#This Row],[Месяц]],Таблица18[[#This Row],[Число]])</f>
        <v>180</v>
      </c>
      <c r="Y796" s="121"/>
      <c r="Z796" s="121" t="str">
        <f>Таблица18[[#This Row],[Хар-ка]]</f>
        <v>первый</v>
      </c>
      <c r="AD796" s="459"/>
      <c r="AE796" s="391"/>
    </row>
    <row r="797" spans="1:31" s="325" customFormat="1" ht="15.6" hidden="1" customHeight="1" x14ac:dyDescent="0.2">
      <c r="A797" s="40" t="s">
        <v>2740</v>
      </c>
      <c r="B797" s="360" t="s">
        <v>550</v>
      </c>
      <c r="C797" s="40">
        <v>447</v>
      </c>
      <c r="D797" s="40">
        <v>117</v>
      </c>
      <c r="E797" s="40" t="s">
        <v>2754</v>
      </c>
      <c r="F797" s="40" t="s">
        <v>2155</v>
      </c>
      <c r="G797" s="40" t="s">
        <v>320</v>
      </c>
      <c r="H797" s="40" t="s">
        <v>2769</v>
      </c>
      <c r="I797" s="360" t="e">
        <f>VLOOKUP(Таблица18[[#This Row],[Номер акта]],$AB$1:$AF$1833,3,FALSE)</f>
        <v>#N/A</v>
      </c>
      <c r="J797" s="40" t="s">
        <v>1765</v>
      </c>
      <c r="K797" s="40" t="s">
        <v>82</v>
      </c>
      <c r="L797" s="121">
        <v>30080</v>
      </c>
      <c r="M797" s="121">
        <v>14410</v>
      </c>
      <c r="N797" s="121">
        <v>15.5</v>
      </c>
      <c r="O797" s="363">
        <v>15670</v>
      </c>
      <c r="P797" s="363">
        <v>13241.1</v>
      </c>
      <c r="Q797" s="121">
        <v>2024</v>
      </c>
      <c r="R797" s="121"/>
      <c r="S797" s="148">
        <v>45471</v>
      </c>
      <c r="T797" s="363">
        <f>Таблица18[[#This Row],[Вес нетто]]-Таблица18[[#This Row],[Зачетный вес]]</f>
        <v>2428.8999999999996</v>
      </c>
      <c r="U797" s="365">
        <f>Таблица18[[#This Row],[Отход]]/Таблица18[[#This Row],[Вес нетто]]</f>
        <v>0.15500319081046585</v>
      </c>
      <c r="V797" s="121">
        <f>MONTH(Таблица18[[#This Row],[Дата акта]])</f>
        <v>6</v>
      </c>
      <c r="W797" s="121">
        <v>28</v>
      </c>
      <c r="X797" s="148">
        <f>DATE(1900,Таблица18[[#This Row],[Месяц]],Таблица18[[#This Row],[Число]])</f>
        <v>180</v>
      </c>
      <c r="Y797" s="121"/>
      <c r="Z797" s="121" t="str">
        <f>Таблица18[[#This Row],[Хар-ка]]</f>
        <v>первый</v>
      </c>
      <c r="AD797" s="459"/>
      <c r="AE797" s="391"/>
    </row>
    <row r="798" spans="1:31" s="325" customFormat="1" ht="15.6" hidden="1" customHeight="1" x14ac:dyDescent="0.2">
      <c r="A798" s="40" t="s">
        <v>2741</v>
      </c>
      <c r="B798" s="360" t="s">
        <v>550</v>
      </c>
      <c r="C798" s="40">
        <v>449</v>
      </c>
      <c r="D798" s="40">
        <v>118</v>
      </c>
      <c r="E798" s="40" t="s">
        <v>2754</v>
      </c>
      <c r="F798" s="40" t="s">
        <v>1367</v>
      </c>
      <c r="G798" s="40" t="s">
        <v>1368</v>
      </c>
      <c r="H798" s="40" t="s">
        <v>2769</v>
      </c>
      <c r="I798" s="360" t="e">
        <f>VLOOKUP(Таблица18[[#This Row],[Номер акта]],$AB$1:$AF$1833,3,FALSE)</f>
        <v>#N/A</v>
      </c>
      <c r="J798" s="40" t="s">
        <v>1765</v>
      </c>
      <c r="K798" s="40" t="s">
        <v>82</v>
      </c>
      <c r="L798" s="121">
        <v>33700</v>
      </c>
      <c r="M798" s="121">
        <v>14830</v>
      </c>
      <c r="N798" s="121">
        <v>12.5</v>
      </c>
      <c r="O798" s="363">
        <v>18870</v>
      </c>
      <c r="P798" s="363">
        <v>16511.2</v>
      </c>
      <c r="Q798" s="121">
        <v>2024</v>
      </c>
      <c r="R798" s="121"/>
      <c r="S798" s="148">
        <v>45471</v>
      </c>
      <c r="T798" s="363">
        <f>Таблица18[[#This Row],[Вес нетто]]-Таблица18[[#This Row],[Зачетный вес]]</f>
        <v>2358.7999999999993</v>
      </c>
      <c r="U798" s="365">
        <f>Таблица18[[#This Row],[Отход]]/Таблица18[[#This Row],[Вес нетто]]</f>
        <v>0.12500264970853203</v>
      </c>
      <c r="V798" s="121">
        <f>MONTH(Таблица18[[#This Row],[Дата акта]])</f>
        <v>6</v>
      </c>
      <c r="W798" s="121">
        <v>28</v>
      </c>
      <c r="X798" s="148">
        <f>DATE(1900,Таблица18[[#This Row],[Месяц]],Таблица18[[#This Row],[Число]])</f>
        <v>180</v>
      </c>
      <c r="Y798" s="121"/>
      <c r="Z798" s="121" t="str">
        <f>Таблица18[[#This Row],[Хар-ка]]</f>
        <v>первый</v>
      </c>
      <c r="AD798" s="459"/>
      <c r="AE798" s="391"/>
    </row>
    <row r="799" spans="1:31" s="325" customFormat="1" ht="15.6" hidden="1" customHeight="1" x14ac:dyDescent="0.2">
      <c r="A799" s="40" t="s">
        <v>2742</v>
      </c>
      <c r="B799" s="360" t="s">
        <v>550</v>
      </c>
      <c r="C799" s="40">
        <v>450</v>
      </c>
      <c r="D799" s="40">
        <v>119</v>
      </c>
      <c r="E799" s="40" t="s">
        <v>2754</v>
      </c>
      <c r="F799" s="40" t="s">
        <v>2749</v>
      </c>
      <c r="G799" s="40" t="s">
        <v>270</v>
      </c>
      <c r="H799" s="40" t="s">
        <v>2770</v>
      </c>
      <c r="I799" s="360" t="e">
        <f>VLOOKUP(Таблица18[[#This Row],[Номер акта]],$AB$1:$AF$1833,3,FALSE)</f>
        <v>#N/A</v>
      </c>
      <c r="J799" s="40" t="s">
        <v>1765</v>
      </c>
      <c r="K799" s="40" t="s">
        <v>82</v>
      </c>
      <c r="L799" s="121">
        <v>25480</v>
      </c>
      <c r="M799" s="121">
        <v>20760</v>
      </c>
      <c r="N799" s="121">
        <v>57.5</v>
      </c>
      <c r="O799" s="363">
        <v>4720</v>
      </c>
      <c r="P799" s="363">
        <v>2006</v>
      </c>
      <c r="Q799" s="121">
        <v>2024</v>
      </c>
      <c r="R799" s="121"/>
      <c r="S799" s="148">
        <v>45471</v>
      </c>
      <c r="T799" s="363">
        <f>Таблица18[[#This Row],[Вес нетто]]-Таблица18[[#This Row],[Зачетный вес]]</f>
        <v>2714</v>
      </c>
      <c r="U799" s="365">
        <f>Таблица18[[#This Row],[Отход]]/Таблица18[[#This Row],[Вес нетто]]</f>
        <v>0.57499999999999996</v>
      </c>
      <c r="V799" s="121">
        <f>MONTH(Таблица18[[#This Row],[Дата акта]])</f>
        <v>6</v>
      </c>
      <c r="W799" s="121">
        <v>28</v>
      </c>
      <c r="X799" s="148">
        <f>DATE(1900,Таблица18[[#This Row],[Месяц]],Таблица18[[#This Row],[Число]])</f>
        <v>180</v>
      </c>
      <c r="Y799" s="121"/>
      <c r="Z799" s="121" t="str">
        <f>Таблица18[[#This Row],[Хар-ка]]</f>
        <v>первый</v>
      </c>
      <c r="AD799" s="459"/>
      <c r="AE799" s="391"/>
    </row>
    <row r="800" spans="1:31" s="325" customFormat="1" ht="15.6" hidden="1" customHeight="1" x14ac:dyDescent="0.2">
      <c r="A800" s="40" t="s">
        <v>2743</v>
      </c>
      <c r="B800" s="360" t="s">
        <v>550</v>
      </c>
      <c r="C800" s="40">
        <v>451</v>
      </c>
      <c r="D800" s="40">
        <v>119</v>
      </c>
      <c r="E800" s="40" t="s">
        <v>2754</v>
      </c>
      <c r="F800" s="40" t="s">
        <v>2749</v>
      </c>
      <c r="G800" s="40" t="s">
        <v>270</v>
      </c>
      <c r="H800" s="40" t="s">
        <v>2769</v>
      </c>
      <c r="I800" s="360" t="e">
        <f>VLOOKUP(Таблица18[[#This Row],[Номер акта]],$AB$1:$AF$1833,3,FALSE)</f>
        <v>#N/A</v>
      </c>
      <c r="J800" s="40" t="s">
        <v>1765</v>
      </c>
      <c r="K800" s="40" t="s">
        <v>82</v>
      </c>
      <c r="L800" s="121">
        <v>20760</v>
      </c>
      <c r="M800" s="121">
        <v>14950</v>
      </c>
      <c r="N800" s="121">
        <v>11.5</v>
      </c>
      <c r="O800" s="363">
        <v>5810</v>
      </c>
      <c r="P800" s="363">
        <v>5141.8</v>
      </c>
      <c r="Q800" s="121">
        <v>2024</v>
      </c>
      <c r="R800" s="121"/>
      <c r="S800" s="148">
        <v>45471</v>
      </c>
      <c r="T800" s="363">
        <f>Таблица18[[#This Row],[Вес нетто]]-Таблица18[[#This Row],[Зачетный вес]]</f>
        <v>668.19999999999982</v>
      </c>
      <c r="U800" s="365">
        <f>Таблица18[[#This Row],[Отход]]/Таблица18[[#This Row],[Вес нетто]]</f>
        <v>0.11500860585197932</v>
      </c>
      <c r="V800" s="121">
        <f>MONTH(Таблица18[[#This Row],[Дата акта]])</f>
        <v>6</v>
      </c>
      <c r="W800" s="121">
        <v>28</v>
      </c>
      <c r="X800" s="148">
        <f>DATE(1900,Таблица18[[#This Row],[Месяц]],Таблица18[[#This Row],[Число]])</f>
        <v>180</v>
      </c>
      <c r="Y800" s="121"/>
      <c r="Z800" s="121" t="str">
        <f>Таблица18[[#This Row],[Хар-ка]]</f>
        <v>первый</v>
      </c>
      <c r="AD800" s="459"/>
      <c r="AE800" s="391"/>
    </row>
    <row r="801" spans="1:31" s="325" customFormat="1" ht="15.6" hidden="1" customHeight="1" x14ac:dyDescent="0.2">
      <c r="A801" s="40" t="s">
        <v>2744</v>
      </c>
      <c r="B801" s="360" t="s">
        <v>550</v>
      </c>
      <c r="C801" s="40">
        <v>452</v>
      </c>
      <c r="D801" s="40">
        <v>120</v>
      </c>
      <c r="E801" s="40" t="s">
        <v>2754</v>
      </c>
      <c r="F801" s="40" t="s">
        <v>239</v>
      </c>
      <c r="G801" s="40" t="s">
        <v>243</v>
      </c>
      <c r="H801" s="40" t="s">
        <v>2770</v>
      </c>
      <c r="I801" s="360" t="e">
        <f>VLOOKUP(Таблица18[[#This Row],[Номер акта]],$AB$1:$AF$1833,3,FALSE)</f>
        <v>#N/A</v>
      </c>
      <c r="J801" s="40" t="s">
        <v>1765</v>
      </c>
      <c r="K801" s="40" t="s">
        <v>82</v>
      </c>
      <c r="L801" s="121">
        <v>19550</v>
      </c>
      <c r="M801" s="121">
        <v>14530</v>
      </c>
      <c r="N801" s="121">
        <v>51.5</v>
      </c>
      <c r="O801" s="363">
        <v>5020</v>
      </c>
      <c r="P801" s="363">
        <v>2434.6999999999998</v>
      </c>
      <c r="Q801" s="121">
        <v>2024</v>
      </c>
      <c r="R801" s="121"/>
      <c r="S801" s="148">
        <v>45471</v>
      </c>
      <c r="T801" s="363">
        <f>Таблица18[[#This Row],[Вес нетто]]-Таблица18[[#This Row],[Зачетный вес]]</f>
        <v>2585.3000000000002</v>
      </c>
      <c r="U801" s="365">
        <f>Таблица18[[#This Row],[Отход]]/Таблица18[[#This Row],[Вес нетто]]</f>
        <v>0.51500000000000001</v>
      </c>
      <c r="V801" s="121">
        <f>MONTH(Таблица18[[#This Row],[Дата акта]])</f>
        <v>6</v>
      </c>
      <c r="W801" s="121">
        <v>28</v>
      </c>
      <c r="X801" s="148">
        <f>DATE(1900,Таблица18[[#This Row],[Месяц]],Таблица18[[#This Row],[Число]])</f>
        <v>180</v>
      </c>
      <c r="Y801" s="121"/>
      <c r="Z801" s="121" t="str">
        <f>Таблица18[[#This Row],[Хар-ка]]</f>
        <v>первый</v>
      </c>
      <c r="AD801" s="459"/>
      <c r="AE801" s="391"/>
    </row>
    <row r="802" spans="1:31" s="325" customFormat="1" ht="15.6" hidden="1" customHeight="1" x14ac:dyDescent="0.2">
      <c r="A802" s="40" t="s">
        <v>359</v>
      </c>
      <c r="B802" s="360" t="s">
        <v>511</v>
      </c>
      <c r="C802" s="40">
        <v>102</v>
      </c>
      <c r="D802" s="40">
        <v>65889</v>
      </c>
      <c r="E802" s="40" t="s">
        <v>105</v>
      </c>
      <c r="F802" s="40" t="s">
        <v>79</v>
      </c>
      <c r="G802" s="40" t="s">
        <v>80</v>
      </c>
      <c r="H802" s="40" t="s">
        <v>460</v>
      </c>
      <c r="I802" s="360" t="e">
        <f>VLOOKUP(Таблица18[[#This Row],[Номер акта]],$AB$1:$AF$1833,3,FALSE)</f>
        <v>#N/A</v>
      </c>
      <c r="J802" s="40" t="s">
        <v>21</v>
      </c>
      <c r="K802" s="40" t="s">
        <v>82</v>
      </c>
      <c r="L802" s="121">
        <v>27380</v>
      </c>
      <c r="M802" s="121">
        <v>13950</v>
      </c>
      <c r="N802" s="121">
        <v>27</v>
      </c>
      <c r="O802" s="363">
        <v>13430</v>
      </c>
      <c r="P802" s="363">
        <v>9803.9</v>
      </c>
      <c r="Q802" s="121">
        <v>2025</v>
      </c>
      <c r="R802" s="121"/>
      <c r="S802" s="148">
        <v>45804</v>
      </c>
      <c r="T802" s="363">
        <f>Таблица18[[#This Row],[Вес нетто]]-Таблица18[[#This Row],[Зачетный вес]]</f>
        <v>3626.1000000000004</v>
      </c>
      <c r="U802" s="365">
        <f>Таблица18[[#This Row],[Отход]]/Таблица18[[#This Row],[Вес нетто]]</f>
        <v>0.27</v>
      </c>
      <c r="V802" s="121">
        <f>MONTH(Таблица18[[#This Row],[Дата акта]])</f>
        <v>5</v>
      </c>
      <c r="W802" s="121">
        <v>27</v>
      </c>
      <c r="X802" s="148">
        <f>DATE(1900,Таблица18[[#This Row],[Месяц]],Таблица18[[#This Row],[Число]])</f>
        <v>148</v>
      </c>
      <c r="Y802" s="121"/>
      <c r="Z802" s="121" t="str">
        <f>Таблица18[[#This Row],[Хар-ка]]</f>
        <v>высший</v>
      </c>
      <c r="AD802" s="459"/>
      <c r="AE802" s="391"/>
    </row>
    <row r="803" spans="1:31" s="325" customFormat="1" ht="15.6" hidden="1" customHeight="1" x14ac:dyDescent="0.2">
      <c r="A803" s="40" t="s">
        <v>360</v>
      </c>
      <c r="B803" s="360" t="s">
        <v>511</v>
      </c>
      <c r="C803" s="40">
        <v>103</v>
      </c>
      <c r="D803" s="40">
        <v>65901</v>
      </c>
      <c r="E803" s="40" t="s">
        <v>105</v>
      </c>
      <c r="F803" s="40" t="s">
        <v>127</v>
      </c>
      <c r="G803" s="40" t="s">
        <v>131</v>
      </c>
      <c r="H803" s="40" t="s">
        <v>460</v>
      </c>
      <c r="I803" s="360" t="e">
        <f>VLOOKUP(Таблица18[[#This Row],[Номер акта]],$AB$1:$AF$1833,3,FALSE)</f>
        <v>#N/A</v>
      </c>
      <c r="J803" s="40" t="s">
        <v>21</v>
      </c>
      <c r="K803" s="40" t="s">
        <v>82</v>
      </c>
      <c r="L803" s="121">
        <v>28260</v>
      </c>
      <c r="M803" s="121">
        <v>14290</v>
      </c>
      <c r="N803" s="121">
        <v>26</v>
      </c>
      <c r="O803" s="363">
        <v>13970</v>
      </c>
      <c r="P803" s="363">
        <v>10337.799999999999</v>
      </c>
      <c r="Q803" s="121">
        <v>2025</v>
      </c>
      <c r="R803" s="121"/>
      <c r="S803" s="148">
        <v>45804</v>
      </c>
      <c r="T803" s="363">
        <f>Таблица18[[#This Row],[Вес нетто]]-Таблица18[[#This Row],[Зачетный вес]]</f>
        <v>3632.2000000000007</v>
      </c>
      <c r="U803" s="365">
        <f>Таблица18[[#This Row],[Отход]]/Таблица18[[#This Row],[Вес нетто]]</f>
        <v>0.26000000000000006</v>
      </c>
      <c r="V803" s="121">
        <f>MONTH(Таблица18[[#This Row],[Дата акта]])</f>
        <v>5</v>
      </c>
      <c r="W803" s="121">
        <v>27</v>
      </c>
      <c r="X803" s="148">
        <f>DATE(1900,Таблица18[[#This Row],[Месяц]],Таблица18[[#This Row],[Число]])</f>
        <v>148</v>
      </c>
      <c r="Y803" s="121"/>
      <c r="Z803" s="121" t="str">
        <f>Таблица18[[#This Row],[Хар-ка]]</f>
        <v>высший</v>
      </c>
      <c r="AD803" s="459"/>
      <c r="AE803" s="391"/>
    </row>
    <row r="804" spans="1:31" s="325" customFormat="1" ht="15.6" hidden="1" customHeight="1" x14ac:dyDescent="0.2">
      <c r="A804" s="40" t="s">
        <v>77</v>
      </c>
      <c r="B804" s="360" t="s">
        <v>511</v>
      </c>
      <c r="C804" s="40">
        <v>104</v>
      </c>
      <c r="D804" s="40">
        <v>1</v>
      </c>
      <c r="E804" s="40" t="s">
        <v>78</v>
      </c>
      <c r="F804" s="40" t="s">
        <v>79</v>
      </c>
      <c r="G804" s="40" t="s">
        <v>80</v>
      </c>
      <c r="H804" s="40" t="s">
        <v>110</v>
      </c>
      <c r="I804" s="360" t="e">
        <f>VLOOKUP(Таблица18[[#This Row],[Номер акта]],$AB$1:$AF$1833,3,FALSE)</f>
        <v>#N/A</v>
      </c>
      <c r="J804" s="40" t="s">
        <v>81</v>
      </c>
      <c r="K804" s="40" t="s">
        <v>82</v>
      </c>
      <c r="L804" s="121">
        <v>11320</v>
      </c>
      <c r="M804" s="121">
        <v>9270</v>
      </c>
      <c r="N804" s="121">
        <v>22</v>
      </c>
      <c r="O804" s="363">
        <v>2050</v>
      </c>
      <c r="P804" s="363">
        <v>1599</v>
      </c>
      <c r="Q804" s="121">
        <v>2025</v>
      </c>
      <c r="R804" s="121"/>
      <c r="S804" s="148">
        <v>45804</v>
      </c>
      <c r="T804" s="363">
        <f>Таблица18[[#This Row],[Вес нетто]]-Таблица18[[#This Row],[Зачетный вес]]</f>
        <v>451</v>
      </c>
      <c r="U804" s="365">
        <f>Таблица18[[#This Row],[Отход]]/Таблица18[[#This Row],[Вес нетто]]</f>
        <v>0.22</v>
      </c>
      <c r="V804" s="121">
        <f>MONTH(Таблица18[[#This Row],[Дата акта]])</f>
        <v>5</v>
      </c>
      <c r="W804" s="121">
        <v>27</v>
      </c>
      <c r="X804" s="148">
        <f>DATE(1900,Таблица18[[#This Row],[Месяц]],Таблица18[[#This Row],[Число]])</f>
        <v>148</v>
      </c>
      <c r="Y804" s="121"/>
      <c r="Z804" s="121" t="str">
        <f>Таблица18[[#This Row],[Хар-ка]]</f>
        <v>высший</v>
      </c>
      <c r="AD804" s="459"/>
      <c r="AE804" s="391"/>
    </row>
    <row r="805" spans="1:31" s="325" customFormat="1" ht="15.6" hidden="1" customHeight="1" x14ac:dyDescent="0.2">
      <c r="A805" s="40" t="s">
        <v>361</v>
      </c>
      <c r="B805" s="360" t="s">
        <v>511</v>
      </c>
      <c r="C805" s="40">
        <v>105</v>
      </c>
      <c r="D805" s="40">
        <v>65902</v>
      </c>
      <c r="E805" s="40" t="s">
        <v>105</v>
      </c>
      <c r="F805" s="40" t="s">
        <v>212</v>
      </c>
      <c r="G805" s="40" t="s">
        <v>216</v>
      </c>
      <c r="H805" s="40" t="s">
        <v>460</v>
      </c>
      <c r="I805" s="360" t="e">
        <f>VLOOKUP(Таблица18[[#This Row],[Номер акта]],$AB$1:$AF$1833,3,FALSE)</f>
        <v>#N/A</v>
      </c>
      <c r="J805" s="40" t="s">
        <v>21</v>
      </c>
      <c r="K805" s="40" t="s">
        <v>82</v>
      </c>
      <c r="L805" s="121">
        <v>27680</v>
      </c>
      <c r="M805" s="121">
        <v>13880</v>
      </c>
      <c r="N805" s="121">
        <v>20</v>
      </c>
      <c r="O805" s="363">
        <v>13800</v>
      </c>
      <c r="P805" s="363">
        <v>11040</v>
      </c>
      <c r="Q805" s="121">
        <v>2025</v>
      </c>
      <c r="R805" s="121"/>
      <c r="S805" s="148">
        <v>45805</v>
      </c>
      <c r="T805" s="363">
        <f>Таблица18[[#This Row],[Вес нетто]]-Таблица18[[#This Row],[Зачетный вес]]</f>
        <v>2760</v>
      </c>
      <c r="U805" s="365">
        <f>Таблица18[[#This Row],[Отход]]/Таблица18[[#This Row],[Вес нетто]]</f>
        <v>0.2</v>
      </c>
      <c r="V805" s="121">
        <f>MONTH(Таблица18[[#This Row],[Дата акта]])</f>
        <v>5</v>
      </c>
      <c r="W805" s="121">
        <v>28</v>
      </c>
      <c r="X805" s="148">
        <f>DATE(1900,Таблица18[[#This Row],[Месяц]],Таблица18[[#This Row],[Число]])</f>
        <v>149</v>
      </c>
      <c r="Y805" s="121"/>
      <c r="Z805" s="121" t="str">
        <f>Таблица18[[#This Row],[Хар-ка]]</f>
        <v>высший</v>
      </c>
      <c r="AD805" s="459"/>
      <c r="AE805" s="391"/>
    </row>
    <row r="806" spans="1:31" s="325" customFormat="1" ht="15.6" hidden="1" customHeight="1" x14ac:dyDescent="0.2">
      <c r="A806" s="40" t="s">
        <v>362</v>
      </c>
      <c r="B806" s="360" t="s">
        <v>511</v>
      </c>
      <c r="C806" s="40">
        <v>108</v>
      </c>
      <c r="D806" s="40">
        <v>65903</v>
      </c>
      <c r="E806" s="40" t="s">
        <v>105</v>
      </c>
      <c r="F806" s="40" t="s">
        <v>1152</v>
      </c>
      <c r="G806" s="40" t="s">
        <v>119</v>
      </c>
      <c r="H806" s="40" t="s">
        <v>460</v>
      </c>
      <c r="I806" s="360" t="e">
        <f>VLOOKUP(Таблица18[[#This Row],[Номер акта]],$AB$1:$AF$1833,3,FALSE)</f>
        <v>#N/A</v>
      </c>
      <c r="J806" s="40" t="s">
        <v>21</v>
      </c>
      <c r="K806" s="40" t="s">
        <v>82</v>
      </c>
      <c r="L806" s="121">
        <v>34970</v>
      </c>
      <c r="M806" s="121">
        <v>20920</v>
      </c>
      <c r="N806" s="121">
        <v>21</v>
      </c>
      <c r="O806" s="363">
        <v>14050</v>
      </c>
      <c r="P806" s="363">
        <v>11099.5</v>
      </c>
      <c r="Q806" s="121">
        <v>2025</v>
      </c>
      <c r="R806" s="121"/>
      <c r="S806" s="148">
        <v>45805</v>
      </c>
      <c r="T806" s="363">
        <f>Таблица18[[#This Row],[Вес нетто]]-Таблица18[[#This Row],[Зачетный вес]]</f>
        <v>2950.5</v>
      </c>
      <c r="U806" s="365">
        <f>Таблица18[[#This Row],[Отход]]/Таблица18[[#This Row],[Вес нетто]]</f>
        <v>0.21</v>
      </c>
      <c r="V806" s="121">
        <f>MONTH(Таблица18[[#This Row],[Дата акта]])</f>
        <v>5</v>
      </c>
      <c r="W806" s="121">
        <v>28</v>
      </c>
      <c r="X806" s="148">
        <f>DATE(1900,Таблица18[[#This Row],[Месяц]],Таблица18[[#This Row],[Число]])</f>
        <v>149</v>
      </c>
      <c r="Y806" s="121"/>
      <c r="Z806" s="121" t="str">
        <f>Таблица18[[#This Row],[Хар-ка]]</f>
        <v>высший</v>
      </c>
      <c r="AD806" s="459"/>
      <c r="AE806" s="391"/>
    </row>
    <row r="807" spans="1:31" s="325" customFormat="1" ht="15.6" hidden="1" customHeight="1" x14ac:dyDescent="0.2">
      <c r="A807" s="40" t="s">
        <v>363</v>
      </c>
      <c r="B807" s="360" t="s">
        <v>511</v>
      </c>
      <c r="C807" s="40">
        <v>110</v>
      </c>
      <c r="D807" s="40">
        <v>65904</v>
      </c>
      <c r="E807" s="40" t="s">
        <v>105</v>
      </c>
      <c r="F807" s="40" t="s">
        <v>151</v>
      </c>
      <c r="G807" s="40" t="s">
        <v>155</v>
      </c>
      <c r="H807" s="40" t="s">
        <v>460</v>
      </c>
      <c r="I807" s="360" t="e">
        <f>VLOOKUP(Таблица18[[#This Row],[Номер акта]],$AB$1:$AF$1833,3,FALSE)</f>
        <v>#N/A</v>
      </c>
      <c r="J807" s="40" t="s">
        <v>21</v>
      </c>
      <c r="K807" s="40" t="s">
        <v>82</v>
      </c>
      <c r="L807" s="121">
        <v>28940</v>
      </c>
      <c r="M807" s="121">
        <v>14890</v>
      </c>
      <c r="N807" s="121">
        <v>31.5</v>
      </c>
      <c r="O807" s="363">
        <v>14050</v>
      </c>
      <c r="P807" s="363">
        <v>9624.2000000000007</v>
      </c>
      <c r="Q807" s="121">
        <v>2025</v>
      </c>
      <c r="R807" s="121"/>
      <c r="S807" s="148">
        <v>45805</v>
      </c>
      <c r="T807" s="363">
        <f>Таблица18[[#This Row],[Вес нетто]]-Таблица18[[#This Row],[Зачетный вес]]</f>
        <v>4425.7999999999993</v>
      </c>
      <c r="U807" s="365">
        <f>Таблица18[[#This Row],[Отход]]/Таблица18[[#This Row],[Вес нетто]]</f>
        <v>0.31500355871886115</v>
      </c>
      <c r="V807" s="121">
        <f>MONTH(Таблица18[[#This Row],[Дата акта]])</f>
        <v>5</v>
      </c>
      <c r="W807" s="121">
        <v>28</v>
      </c>
      <c r="X807" s="148">
        <f>DATE(1900,Таблица18[[#This Row],[Месяц]],Таблица18[[#This Row],[Число]])</f>
        <v>149</v>
      </c>
      <c r="Y807" s="121"/>
      <c r="Z807" s="121" t="str">
        <f>Таблица18[[#This Row],[Хар-ка]]</f>
        <v>высший</v>
      </c>
      <c r="AD807" s="459"/>
      <c r="AE807" s="391"/>
    </row>
    <row r="808" spans="1:31" s="325" customFormat="1" ht="15.6" hidden="1" customHeight="1" x14ac:dyDescent="0.2">
      <c r="A808" s="40" t="s">
        <v>364</v>
      </c>
      <c r="B808" s="360" t="s">
        <v>511</v>
      </c>
      <c r="C808" s="40">
        <v>111</v>
      </c>
      <c r="D808" s="40">
        <v>65905</v>
      </c>
      <c r="E808" s="40" t="s">
        <v>105</v>
      </c>
      <c r="F808" s="40" t="s">
        <v>160</v>
      </c>
      <c r="G808" s="40" t="s">
        <v>164</v>
      </c>
      <c r="H808" s="40" t="s">
        <v>460</v>
      </c>
      <c r="I808" s="360" t="e">
        <f>VLOOKUP(Таблица18[[#This Row],[Номер акта]],$AB$1:$AF$1833,3,FALSE)</f>
        <v>#N/A</v>
      </c>
      <c r="J808" s="40" t="s">
        <v>21</v>
      </c>
      <c r="K808" s="40" t="s">
        <v>82</v>
      </c>
      <c r="L808" s="121">
        <v>38160</v>
      </c>
      <c r="M808" s="121">
        <v>24140</v>
      </c>
      <c r="N808" s="121">
        <v>31.5</v>
      </c>
      <c r="O808" s="363">
        <v>14180</v>
      </c>
      <c r="P808" s="363">
        <v>9713.2999999999993</v>
      </c>
      <c r="Q808" s="121">
        <v>2025</v>
      </c>
      <c r="R808" s="121"/>
      <c r="S808" s="148">
        <v>45805</v>
      </c>
      <c r="T808" s="363">
        <f>Таблица18[[#This Row],[Вес нетто]]-Таблица18[[#This Row],[Зачетный вес]]</f>
        <v>4466.7000000000007</v>
      </c>
      <c r="U808" s="365">
        <f>Таблица18[[#This Row],[Отход]]/Таблица18[[#This Row],[Вес нетто]]</f>
        <v>0.31500000000000006</v>
      </c>
      <c r="V808" s="121">
        <f>MONTH(Таблица18[[#This Row],[Дата акта]])</f>
        <v>5</v>
      </c>
      <c r="W808" s="121">
        <v>28</v>
      </c>
      <c r="X808" s="148">
        <f>DATE(1900,Таблица18[[#This Row],[Месяц]],Таблица18[[#This Row],[Число]])</f>
        <v>149</v>
      </c>
      <c r="Y808" s="121"/>
      <c r="Z808" s="121" t="str">
        <f>Таблица18[[#This Row],[Хар-ка]]</f>
        <v>высший</v>
      </c>
      <c r="AD808" s="459"/>
      <c r="AE808" s="391"/>
    </row>
    <row r="809" spans="1:31" s="325" customFormat="1" ht="15.6" hidden="1" customHeight="1" x14ac:dyDescent="0.2">
      <c r="A809" s="40" t="s">
        <v>366</v>
      </c>
      <c r="B809" s="360" t="s">
        <v>511</v>
      </c>
      <c r="C809" s="40">
        <v>112</v>
      </c>
      <c r="D809" s="40">
        <v>65907</v>
      </c>
      <c r="E809" s="40" t="s">
        <v>105</v>
      </c>
      <c r="F809" s="40" t="s">
        <v>1151</v>
      </c>
      <c r="G809" s="40" t="s">
        <v>145</v>
      </c>
      <c r="H809" s="40" t="s">
        <v>460</v>
      </c>
      <c r="I809" s="360" t="e">
        <f>VLOOKUP(Таблица18[[#This Row],[Номер акта]],$AB$1:$AF$1833,3,FALSE)</f>
        <v>#N/A</v>
      </c>
      <c r="J809" s="40" t="s">
        <v>21</v>
      </c>
      <c r="K809" s="40" t="s">
        <v>82</v>
      </c>
      <c r="L809" s="121">
        <v>29800</v>
      </c>
      <c r="M809" s="121">
        <v>15690</v>
      </c>
      <c r="N809" s="121">
        <v>30.5</v>
      </c>
      <c r="O809" s="363">
        <v>14110</v>
      </c>
      <c r="P809" s="363">
        <v>9806.4</v>
      </c>
      <c r="Q809" s="121">
        <v>2025</v>
      </c>
      <c r="R809" s="121"/>
      <c r="S809" s="148">
        <v>45805</v>
      </c>
      <c r="T809" s="363">
        <f>Таблица18[[#This Row],[Вес нетто]]-Таблица18[[#This Row],[Зачетный вес]]</f>
        <v>4303.6000000000004</v>
      </c>
      <c r="U809" s="365">
        <f>Таблица18[[#This Row],[Отход]]/Таблица18[[#This Row],[Вес нетто]]</f>
        <v>0.30500354358610915</v>
      </c>
      <c r="V809" s="121">
        <f>MONTH(Таблица18[[#This Row],[Дата акта]])</f>
        <v>5</v>
      </c>
      <c r="W809" s="121">
        <v>28</v>
      </c>
      <c r="X809" s="148">
        <f>DATE(1900,Таблица18[[#This Row],[Месяц]],Таблица18[[#This Row],[Число]])</f>
        <v>149</v>
      </c>
      <c r="Y809" s="121"/>
      <c r="Z809" s="121" t="str">
        <f>Таблица18[[#This Row],[Хар-ка]]</f>
        <v>высший</v>
      </c>
      <c r="AD809" s="459"/>
      <c r="AE809" s="391"/>
    </row>
    <row r="810" spans="1:31" s="325" customFormat="1" ht="15.6" hidden="1" customHeight="1" x14ac:dyDescent="0.2">
      <c r="A810" s="40" t="s">
        <v>367</v>
      </c>
      <c r="B810" s="360" t="s">
        <v>511</v>
      </c>
      <c r="C810" s="40">
        <v>113</v>
      </c>
      <c r="D810" s="40">
        <v>65906</v>
      </c>
      <c r="E810" s="40" t="s">
        <v>105</v>
      </c>
      <c r="F810" s="40" t="s">
        <v>1461</v>
      </c>
      <c r="G810" s="40" t="s">
        <v>149</v>
      </c>
      <c r="H810" s="40" t="s">
        <v>460</v>
      </c>
      <c r="I810" s="360" t="e">
        <f>VLOOKUP(Таблица18[[#This Row],[Номер акта]],$AB$1:$AF$1833,3,FALSE)</f>
        <v>#N/A</v>
      </c>
      <c r="J810" s="40" t="s">
        <v>21</v>
      </c>
      <c r="K810" s="40" t="s">
        <v>82</v>
      </c>
      <c r="L810" s="121">
        <v>29560</v>
      </c>
      <c r="M810" s="121">
        <v>15050</v>
      </c>
      <c r="N810" s="121">
        <v>27.5</v>
      </c>
      <c r="O810" s="363">
        <v>14510</v>
      </c>
      <c r="P810" s="363">
        <v>10519.7</v>
      </c>
      <c r="Q810" s="121">
        <v>2025</v>
      </c>
      <c r="R810" s="121"/>
      <c r="S810" s="148">
        <v>45805</v>
      </c>
      <c r="T810" s="363">
        <f>Таблица18[[#This Row],[Вес нетто]]-Таблица18[[#This Row],[Зачетный вес]]</f>
        <v>3990.2999999999993</v>
      </c>
      <c r="U810" s="365">
        <f>Таблица18[[#This Row],[Отход]]/Таблица18[[#This Row],[Вес нетто]]</f>
        <v>0.27500344589937969</v>
      </c>
      <c r="V810" s="121">
        <f>MONTH(Таблица18[[#This Row],[Дата акта]])</f>
        <v>5</v>
      </c>
      <c r="W810" s="121">
        <v>28</v>
      </c>
      <c r="X810" s="148">
        <f>DATE(1900,Таблица18[[#This Row],[Месяц]],Таблица18[[#This Row],[Число]])</f>
        <v>149</v>
      </c>
      <c r="Y810" s="121"/>
      <c r="Z810" s="121" t="str">
        <f>Таблица18[[#This Row],[Хар-ка]]</f>
        <v>высший</v>
      </c>
      <c r="AD810" s="459"/>
      <c r="AE810" s="391"/>
    </row>
    <row r="811" spans="1:31" s="325" customFormat="1" ht="15.6" hidden="1" customHeight="1" x14ac:dyDescent="0.2">
      <c r="A811" s="40" t="s">
        <v>368</v>
      </c>
      <c r="B811" s="360" t="s">
        <v>511</v>
      </c>
      <c r="C811" s="40">
        <v>114</v>
      </c>
      <c r="D811" s="40">
        <v>65908</v>
      </c>
      <c r="E811" s="40" t="s">
        <v>105</v>
      </c>
      <c r="F811" s="40" t="s">
        <v>133</v>
      </c>
      <c r="G811" s="40" t="s">
        <v>137</v>
      </c>
      <c r="H811" s="40" t="s">
        <v>460</v>
      </c>
      <c r="I811" s="360" t="e">
        <f>VLOOKUP(Таблица18[[#This Row],[Номер акта]],$AB$1:$AF$1833,3,FALSE)</f>
        <v>#N/A</v>
      </c>
      <c r="J811" s="40" t="s">
        <v>21</v>
      </c>
      <c r="K811" s="40" t="s">
        <v>82</v>
      </c>
      <c r="L811" s="121">
        <v>28960</v>
      </c>
      <c r="M811" s="121">
        <v>14870</v>
      </c>
      <c r="N811" s="121">
        <v>30.5</v>
      </c>
      <c r="O811" s="363">
        <v>14090</v>
      </c>
      <c r="P811" s="363">
        <v>9792.5</v>
      </c>
      <c r="Q811" s="121">
        <v>2025</v>
      </c>
      <c r="R811" s="121"/>
      <c r="S811" s="148">
        <v>45805</v>
      </c>
      <c r="T811" s="363">
        <f>Таблица18[[#This Row],[Вес нетто]]-Таблица18[[#This Row],[Зачетный вес]]</f>
        <v>4297.5</v>
      </c>
      <c r="U811" s="365">
        <f>Таблица18[[#This Row],[Отход]]/Таблица18[[#This Row],[Вес нетто]]</f>
        <v>0.30500354861603973</v>
      </c>
      <c r="V811" s="121">
        <f>MONTH(Таблица18[[#This Row],[Дата акта]])</f>
        <v>5</v>
      </c>
      <c r="W811" s="121">
        <v>28</v>
      </c>
      <c r="X811" s="148">
        <f>DATE(1900,Таблица18[[#This Row],[Месяц]],Таблица18[[#This Row],[Число]])</f>
        <v>149</v>
      </c>
      <c r="Y811" s="121"/>
      <c r="Z811" s="121" t="str">
        <f>Таблица18[[#This Row],[Хар-ка]]</f>
        <v>высший</v>
      </c>
      <c r="AD811" s="459"/>
      <c r="AE811" s="391"/>
    </row>
    <row r="812" spans="1:31" s="325" customFormat="1" ht="15.6" hidden="1" customHeight="1" x14ac:dyDescent="0.2">
      <c r="A812" s="40" t="s">
        <v>369</v>
      </c>
      <c r="B812" s="360" t="s">
        <v>511</v>
      </c>
      <c r="C812" s="40">
        <v>115</v>
      </c>
      <c r="D812" s="40">
        <v>65909</v>
      </c>
      <c r="E812" s="40" t="s">
        <v>105</v>
      </c>
      <c r="F812" s="40" t="s">
        <v>121</v>
      </c>
      <c r="G812" s="40" t="s">
        <v>125</v>
      </c>
      <c r="H812" s="40" t="s">
        <v>460</v>
      </c>
      <c r="I812" s="360" t="e">
        <f>VLOOKUP(Таблица18[[#This Row],[Номер акта]],$AB$1:$AF$1833,3,FALSE)</f>
        <v>#N/A</v>
      </c>
      <c r="J812" s="40" t="s">
        <v>21</v>
      </c>
      <c r="K812" s="40" t="s">
        <v>82</v>
      </c>
      <c r="L812" s="121">
        <v>28680</v>
      </c>
      <c r="M812" s="121">
        <v>14580</v>
      </c>
      <c r="N812" s="121">
        <v>32</v>
      </c>
      <c r="O812" s="363">
        <v>14100</v>
      </c>
      <c r="P812" s="363">
        <v>9588</v>
      </c>
      <c r="Q812" s="121">
        <v>2025</v>
      </c>
      <c r="R812" s="121"/>
      <c r="S812" s="148">
        <v>45806</v>
      </c>
      <c r="T812" s="363">
        <f>Таблица18[[#This Row],[Вес нетто]]-Таблица18[[#This Row],[Зачетный вес]]</f>
        <v>4512</v>
      </c>
      <c r="U812" s="365">
        <f>Таблица18[[#This Row],[Отход]]/Таблица18[[#This Row],[Вес нетто]]</f>
        <v>0.32</v>
      </c>
      <c r="V812" s="121">
        <f>MONTH(Таблица18[[#This Row],[Дата акта]])</f>
        <v>5</v>
      </c>
      <c r="W812" s="121">
        <v>29</v>
      </c>
      <c r="X812" s="148">
        <f>DATE(1900,Таблица18[[#This Row],[Месяц]],Таблица18[[#This Row],[Число]])</f>
        <v>150</v>
      </c>
      <c r="Y812" s="121"/>
      <c r="Z812" s="121" t="str">
        <f>Таблица18[[#This Row],[Хар-ка]]</f>
        <v>высший</v>
      </c>
      <c r="AD812" s="459"/>
      <c r="AE812" s="391"/>
    </row>
    <row r="813" spans="1:31" s="325" customFormat="1" ht="15.6" hidden="1" customHeight="1" x14ac:dyDescent="0.2">
      <c r="A813" s="40" t="s">
        <v>370</v>
      </c>
      <c r="B813" s="360" t="s">
        <v>511</v>
      </c>
      <c r="C813" s="40">
        <v>117</v>
      </c>
      <c r="D813" s="40">
        <v>65910</v>
      </c>
      <c r="E813" s="40" t="s">
        <v>105</v>
      </c>
      <c r="F813" s="40" t="s">
        <v>166</v>
      </c>
      <c r="G813" s="40" t="s">
        <v>170</v>
      </c>
      <c r="H813" s="40" t="s">
        <v>460</v>
      </c>
      <c r="I813" s="360" t="e">
        <f>VLOOKUP(Таблица18[[#This Row],[Номер акта]],$AB$1:$AF$1833,3,FALSE)</f>
        <v>#N/A</v>
      </c>
      <c r="J813" s="40" t="s">
        <v>21</v>
      </c>
      <c r="K813" s="40" t="s">
        <v>82</v>
      </c>
      <c r="L813" s="121">
        <v>28830</v>
      </c>
      <c r="M813" s="121">
        <v>14830</v>
      </c>
      <c r="N813" s="121">
        <v>27.5</v>
      </c>
      <c r="O813" s="363">
        <v>14000</v>
      </c>
      <c r="P813" s="363">
        <v>10150</v>
      </c>
      <c r="Q813" s="121">
        <v>2025</v>
      </c>
      <c r="R813" s="121"/>
      <c r="S813" s="148">
        <v>45806</v>
      </c>
      <c r="T813" s="363">
        <f>Таблица18[[#This Row],[Вес нетто]]-Таблица18[[#This Row],[Зачетный вес]]</f>
        <v>3850</v>
      </c>
      <c r="U813" s="365">
        <f>Таблица18[[#This Row],[Отход]]/Таблица18[[#This Row],[Вес нетто]]</f>
        <v>0.27500000000000002</v>
      </c>
      <c r="V813" s="121">
        <f>MONTH(Таблица18[[#This Row],[Дата акта]])</f>
        <v>5</v>
      </c>
      <c r="W813" s="121">
        <v>29</v>
      </c>
      <c r="X813" s="148">
        <f>DATE(1900,Таблица18[[#This Row],[Месяц]],Таблица18[[#This Row],[Число]])</f>
        <v>150</v>
      </c>
      <c r="Y813" s="121"/>
      <c r="Z813" s="121" t="str">
        <f>Таблица18[[#This Row],[Хар-ка]]</f>
        <v>высший</v>
      </c>
      <c r="AD813" s="459"/>
      <c r="AE813" s="391"/>
    </row>
    <row r="814" spans="1:31" s="325" customFormat="1" ht="15.6" hidden="1" customHeight="1" x14ac:dyDescent="0.2">
      <c r="A814" s="40" t="s">
        <v>371</v>
      </c>
      <c r="B814" s="360" t="s">
        <v>511</v>
      </c>
      <c r="C814" s="40">
        <v>118</v>
      </c>
      <c r="D814" s="40">
        <v>65911</v>
      </c>
      <c r="E814" s="40" t="s">
        <v>105</v>
      </c>
      <c r="F814" s="40" t="s">
        <v>111</v>
      </c>
      <c r="G814" s="40" t="s">
        <v>114</v>
      </c>
      <c r="H814" s="40" t="s">
        <v>460</v>
      </c>
      <c r="I814" s="360" t="e">
        <f>VLOOKUP(Таблица18[[#This Row],[Номер акта]],$AB$1:$AF$1833,3,FALSE)</f>
        <v>#N/A</v>
      </c>
      <c r="J814" s="40" t="s">
        <v>21</v>
      </c>
      <c r="K814" s="40" t="s">
        <v>82</v>
      </c>
      <c r="L814" s="121">
        <v>29110</v>
      </c>
      <c r="M814" s="121">
        <v>15320</v>
      </c>
      <c r="N814" s="121">
        <v>30</v>
      </c>
      <c r="O814" s="363">
        <v>13790</v>
      </c>
      <c r="P814" s="363">
        <v>9653</v>
      </c>
      <c r="Q814" s="121">
        <v>2025</v>
      </c>
      <c r="R814" s="121"/>
      <c r="S814" s="148">
        <v>45806</v>
      </c>
      <c r="T814" s="363">
        <f>Таблица18[[#This Row],[Вес нетто]]-Таблица18[[#This Row],[Зачетный вес]]</f>
        <v>4137</v>
      </c>
      <c r="U814" s="365">
        <f>Таблица18[[#This Row],[Отход]]/Таблица18[[#This Row],[Вес нетто]]</f>
        <v>0.3</v>
      </c>
      <c r="V814" s="121">
        <f>MONTH(Таблица18[[#This Row],[Дата акта]])</f>
        <v>5</v>
      </c>
      <c r="W814" s="121">
        <v>29</v>
      </c>
      <c r="X814" s="148">
        <f>DATE(1900,Таблица18[[#This Row],[Месяц]],Таблица18[[#This Row],[Число]])</f>
        <v>150</v>
      </c>
      <c r="Y814" s="121"/>
      <c r="Z814" s="121" t="str">
        <f>Таблица18[[#This Row],[Хар-ка]]</f>
        <v>высший</v>
      </c>
      <c r="AD814" s="459"/>
      <c r="AE814" s="391"/>
    </row>
    <row r="815" spans="1:31" s="325" customFormat="1" ht="15.6" hidden="1" customHeight="1" x14ac:dyDescent="0.2">
      <c r="A815" s="40" t="s">
        <v>372</v>
      </c>
      <c r="B815" s="360" t="s">
        <v>511</v>
      </c>
      <c r="C815" s="40">
        <v>122</v>
      </c>
      <c r="D815" s="40">
        <v>2</v>
      </c>
      <c r="E815" s="40" t="s">
        <v>78</v>
      </c>
      <c r="F815" s="40" t="s">
        <v>111</v>
      </c>
      <c r="G815" s="40" t="s">
        <v>114</v>
      </c>
      <c r="H815" s="40" t="s">
        <v>110</v>
      </c>
      <c r="I815" s="360" t="e">
        <f>VLOOKUP(Таблица18[[#This Row],[Номер акта]],$AB$1:$AF$1833,3,FALSE)</f>
        <v>#N/A</v>
      </c>
      <c r="J815" s="40" t="s">
        <v>81</v>
      </c>
      <c r="K815" s="40" t="s">
        <v>82</v>
      </c>
      <c r="L815" s="121">
        <v>13930</v>
      </c>
      <c r="M815" s="121">
        <v>9710</v>
      </c>
      <c r="N815" s="121">
        <v>27</v>
      </c>
      <c r="O815" s="363">
        <v>4220</v>
      </c>
      <c r="P815" s="363">
        <v>3080.6</v>
      </c>
      <c r="Q815" s="121">
        <v>2025</v>
      </c>
      <c r="R815" s="121"/>
      <c r="S815" s="148">
        <v>45806</v>
      </c>
      <c r="T815" s="363">
        <f>Таблица18[[#This Row],[Вес нетто]]-Таблица18[[#This Row],[Зачетный вес]]</f>
        <v>1139.4000000000001</v>
      </c>
      <c r="U815" s="365">
        <f>Таблица18[[#This Row],[Отход]]/Таблица18[[#This Row],[Вес нетто]]</f>
        <v>0.27</v>
      </c>
      <c r="V815" s="121">
        <f>MONTH(Таблица18[[#This Row],[Дата акта]])</f>
        <v>5</v>
      </c>
      <c r="W815" s="121">
        <v>29</v>
      </c>
      <c r="X815" s="148">
        <f>DATE(1900,Таблица18[[#This Row],[Месяц]],Таблица18[[#This Row],[Число]])</f>
        <v>150</v>
      </c>
      <c r="Y815" s="121"/>
      <c r="Z815" s="121" t="str">
        <f>Таблица18[[#This Row],[Хар-ка]]</f>
        <v>высший</v>
      </c>
      <c r="AD815" s="459"/>
      <c r="AE815" s="391"/>
    </row>
    <row r="816" spans="1:31" s="325" customFormat="1" ht="15.6" hidden="1" customHeight="1" x14ac:dyDescent="0.2">
      <c r="A816" s="40" t="s">
        <v>373</v>
      </c>
      <c r="B816" s="360" t="s">
        <v>511</v>
      </c>
      <c r="C816" s="40">
        <v>123</v>
      </c>
      <c r="D816" s="40">
        <v>3</v>
      </c>
      <c r="E816" s="40" t="s">
        <v>78</v>
      </c>
      <c r="F816" s="40" t="s">
        <v>111</v>
      </c>
      <c r="G816" s="40" t="s">
        <v>114</v>
      </c>
      <c r="H816" s="40" t="s">
        <v>110</v>
      </c>
      <c r="I816" s="360" t="e">
        <f>VLOOKUP(Таблица18[[#This Row],[Номер акта]],$AB$1:$AF$1833,3,FALSE)</f>
        <v>#N/A</v>
      </c>
      <c r="J816" s="40" t="s">
        <v>81</v>
      </c>
      <c r="K816" s="40" t="s">
        <v>82</v>
      </c>
      <c r="L816" s="121">
        <v>21910</v>
      </c>
      <c r="M816" s="121">
        <v>15390</v>
      </c>
      <c r="N816" s="121">
        <v>23</v>
      </c>
      <c r="O816" s="363">
        <v>6520</v>
      </c>
      <c r="P816" s="363">
        <v>5020.3999999999996</v>
      </c>
      <c r="Q816" s="121">
        <v>2025</v>
      </c>
      <c r="R816" s="121"/>
      <c r="S816" s="148">
        <v>45806</v>
      </c>
      <c r="T816" s="363">
        <f>Таблица18[[#This Row],[Вес нетто]]-Таблица18[[#This Row],[Зачетный вес]]</f>
        <v>1499.6000000000004</v>
      </c>
      <c r="U816" s="365">
        <f>Таблица18[[#This Row],[Отход]]/Таблица18[[#This Row],[Вес нетто]]</f>
        <v>0.23000000000000007</v>
      </c>
      <c r="V816" s="121">
        <f>MONTH(Таблица18[[#This Row],[Дата акта]])</f>
        <v>5</v>
      </c>
      <c r="W816" s="121">
        <v>29</v>
      </c>
      <c r="X816" s="148">
        <f>DATE(1900,Таблица18[[#This Row],[Месяц]],Таблица18[[#This Row],[Число]])</f>
        <v>150</v>
      </c>
      <c r="Y816" s="121"/>
      <c r="Z816" s="121" t="str">
        <f>Таблица18[[#This Row],[Хар-ка]]</f>
        <v>высший</v>
      </c>
      <c r="AD816" s="459"/>
      <c r="AE816" s="391"/>
    </row>
    <row r="817" spans="1:31" s="325" customFormat="1" ht="15.6" hidden="1" customHeight="1" x14ac:dyDescent="0.2">
      <c r="A817" s="40" t="s">
        <v>374</v>
      </c>
      <c r="B817" s="360" t="s">
        <v>511</v>
      </c>
      <c r="C817" s="40">
        <v>126</v>
      </c>
      <c r="D817" s="40">
        <v>4</v>
      </c>
      <c r="E817" s="40" t="s">
        <v>78</v>
      </c>
      <c r="F817" s="40" t="s">
        <v>127</v>
      </c>
      <c r="G817" s="40" t="s">
        <v>131</v>
      </c>
      <c r="H817" s="40" t="s">
        <v>110</v>
      </c>
      <c r="I817" s="360" t="e">
        <f>VLOOKUP(Таблица18[[#This Row],[Номер акта]],$AB$1:$AF$1833,3,FALSE)</f>
        <v>#N/A</v>
      </c>
      <c r="J817" s="40" t="s">
        <v>81</v>
      </c>
      <c r="K817" s="40" t="s">
        <v>82</v>
      </c>
      <c r="L817" s="121">
        <v>14120</v>
      </c>
      <c r="M817" s="121">
        <v>9740</v>
      </c>
      <c r="N817" s="121">
        <v>24.5</v>
      </c>
      <c r="O817" s="363">
        <v>4380</v>
      </c>
      <c r="P817" s="363">
        <v>3306.9</v>
      </c>
      <c r="Q817" s="121">
        <v>2025</v>
      </c>
      <c r="R817" s="121"/>
      <c r="S817" s="148">
        <v>45808</v>
      </c>
      <c r="T817" s="363">
        <f>Таблица18[[#This Row],[Вес нетто]]-Таблица18[[#This Row],[Зачетный вес]]</f>
        <v>1073.0999999999999</v>
      </c>
      <c r="U817" s="365">
        <f>Таблица18[[#This Row],[Отход]]/Таблица18[[#This Row],[Вес нетто]]</f>
        <v>0.24499999999999997</v>
      </c>
      <c r="V817" s="121">
        <f>MONTH(Таблица18[[#This Row],[Дата акта]])</f>
        <v>5</v>
      </c>
      <c r="W817" s="121">
        <v>31</v>
      </c>
      <c r="X817" s="148">
        <f>DATE(1900,Таблица18[[#This Row],[Месяц]],Таблица18[[#This Row],[Число]])</f>
        <v>152</v>
      </c>
      <c r="Y817" s="121"/>
      <c r="Z817" s="121" t="str">
        <f>Таблица18[[#This Row],[Хар-ка]]</f>
        <v>высший</v>
      </c>
      <c r="AD817" s="459"/>
      <c r="AE817" s="391"/>
    </row>
    <row r="818" spans="1:31" s="325" customFormat="1" ht="15.6" hidden="1" customHeight="1" x14ac:dyDescent="0.2">
      <c r="A818" s="40" t="s">
        <v>375</v>
      </c>
      <c r="B818" s="360" t="s">
        <v>511</v>
      </c>
      <c r="C818" s="40">
        <v>127</v>
      </c>
      <c r="D818" s="40">
        <v>5</v>
      </c>
      <c r="E818" s="40" t="s">
        <v>78</v>
      </c>
      <c r="F818" s="40" t="s">
        <v>127</v>
      </c>
      <c r="G818" s="40" t="s">
        <v>131</v>
      </c>
      <c r="H818" s="40" t="s">
        <v>110</v>
      </c>
      <c r="I818" s="360" t="e">
        <f>VLOOKUP(Таблица18[[#This Row],[Номер акта]],$AB$1:$AF$1833,3,FALSE)</f>
        <v>#N/A</v>
      </c>
      <c r="J818" s="40" t="s">
        <v>81</v>
      </c>
      <c r="K818" s="40" t="s">
        <v>82</v>
      </c>
      <c r="L818" s="121">
        <v>14320</v>
      </c>
      <c r="M818" s="121">
        <v>9730</v>
      </c>
      <c r="N818" s="121">
        <v>22.5</v>
      </c>
      <c r="O818" s="363">
        <v>4590</v>
      </c>
      <c r="P818" s="363">
        <v>3557.2</v>
      </c>
      <c r="Q818" s="121">
        <v>2025</v>
      </c>
      <c r="R818" s="121"/>
      <c r="S818" s="148">
        <v>45808</v>
      </c>
      <c r="T818" s="363">
        <f>Таблица18[[#This Row],[Вес нетто]]-Таблица18[[#This Row],[Зачетный вес]]</f>
        <v>1032.8000000000002</v>
      </c>
      <c r="U818" s="365">
        <f>Таблица18[[#This Row],[Отход]]/Таблица18[[#This Row],[Вес нетто]]</f>
        <v>0.22501089324618739</v>
      </c>
      <c r="V818" s="121">
        <f>MONTH(Таблица18[[#This Row],[Дата акта]])</f>
        <v>5</v>
      </c>
      <c r="W818" s="121">
        <v>31</v>
      </c>
      <c r="X818" s="148">
        <f>DATE(1900,Таблица18[[#This Row],[Месяц]],Таблица18[[#This Row],[Число]])</f>
        <v>152</v>
      </c>
      <c r="Y818" s="121"/>
      <c r="Z818" s="121" t="str">
        <f>Таблица18[[#This Row],[Хар-ка]]</f>
        <v>высший</v>
      </c>
      <c r="AD818" s="459"/>
      <c r="AE818" s="391"/>
    </row>
    <row r="819" spans="1:31" s="325" customFormat="1" ht="15.6" hidden="1" customHeight="1" x14ac:dyDescent="0.2">
      <c r="A819" s="40" t="s">
        <v>376</v>
      </c>
      <c r="B819" s="360" t="s">
        <v>511</v>
      </c>
      <c r="C819" s="40">
        <v>128</v>
      </c>
      <c r="D819" s="40">
        <v>6</v>
      </c>
      <c r="E819" s="40" t="s">
        <v>78</v>
      </c>
      <c r="F819" s="40" t="s">
        <v>127</v>
      </c>
      <c r="G819" s="40" t="s">
        <v>131</v>
      </c>
      <c r="H819" s="40" t="s">
        <v>110</v>
      </c>
      <c r="I819" s="360" t="e">
        <f>VLOOKUP(Таблица18[[#This Row],[Номер акта]],$AB$1:$AF$1833,3,FALSE)</f>
        <v>#N/A</v>
      </c>
      <c r="J819" s="40" t="s">
        <v>81</v>
      </c>
      <c r="K819" s="40" t="s">
        <v>82</v>
      </c>
      <c r="L819" s="121">
        <v>23120</v>
      </c>
      <c r="M819" s="121">
        <v>14360</v>
      </c>
      <c r="N819" s="121">
        <v>28.5</v>
      </c>
      <c r="O819" s="363">
        <v>8760</v>
      </c>
      <c r="P819" s="363">
        <v>6263.4</v>
      </c>
      <c r="Q819" s="121">
        <v>2025</v>
      </c>
      <c r="R819" s="121"/>
      <c r="S819" s="148">
        <v>45808</v>
      </c>
      <c r="T819" s="363">
        <f>Таблица18[[#This Row],[Вес нетто]]-Таблица18[[#This Row],[Зачетный вес]]</f>
        <v>2496.6000000000004</v>
      </c>
      <c r="U819" s="365">
        <f>Таблица18[[#This Row],[Отход]]/Таблица18[[#This Row],[Вес нетто]]</f>
        <v>0.28500000000000003</v>
      </c>
      <c r="V819" s="121">
        <f>MONTH(Таблица18[[#This Row],[Дата акта]])</f>
        <v>5</v>
      </c>
      <c r="W819" s="121">
        <v>31</v>
      </c>
      <c r="X819" s="148">
        <f>DATE(1900,Таблица18[[#This Row],[Месяц]],Таблица18[[#This Row],[Число]])</f>
        <v>152</v>
      </c>
      <c r="Y819" s="121"/>
      <c r="Z819" s="121" t="str">
        <f>Таблица18[[#This Row],[Хар-ка]]</f>
        <v>высший</v>
      </c>
      <c r="AD819" s="459"/>
      <c r="AE819" s="391"/>
    </row>
    <row r="820" spans="1:31" s="325" customFormat="1" ht="15.6" hidden="1" customHeight="1" x14ac:dyDescent="0.2">
      <c r="A820" s="40" t="s">
        <v>377</v>
      </c>
      <c r="B820" s="360" t="s">
        <v>511</v>
      </c>
      <c r="C820" s="40">
        <v>129</v>
      </c>
      <c r="D820" s="40">
        <v>7</v>
      </c>
      <c r="E820" s="40" t="s">
        <v>78</v>
      </c>
      <c r="F820" s="40" t="s">
        <v>127</v>
      </c>
      <c r="G820" s="40" t="s">
        <v>131</v>
      </c>
      <c r="H820" s="40" t="s">
        <v>110</v>
      </c>
      <c r="I820" s="360" t="e">
        <f>VLOOKUP(Таблица18[[#This Row],[Номер акта]],$AB$1:$AF$1833,3,FALSE)</f>
        <v>#N/A</v>
      </c>
      <c r="J820" s="40" t="s">
        <v>81</v>
      </c>
      <c r="K820" s="40" t="s">
        <v>82</v>
      </c>
      <c r="L820" s="121">
        <v>14470</v>
      </c>
      <c r="M820" s="121">
        <v>9700</v>
      </c>
      <c r="N820" s="121">
        <v>31</v>
      </c>
      <c r="O820" s="363">
        <v>4770</v>
      </c>
      <c r="P820" s="363">
        <v>3291.3</v>
      </c>
      <c r="Q820" s="121">
        <v>2025</v>
      </c>
      <c r="R820" s="121"/>
      <c r="S820" s="148">
        <v>45808</v>
      </c>
      <c r="T820" s="363">
        <f>Таблица18[[#This Row],[Вес нетто]]-Таблица18[[#This Row],[Зачетный вес]]</f>
        <v>1478.6999999999998</v>
      </c>
      <c r="U820" s="365">
        <f>Таблица18[[#This Row],[Отход]]/Таблица18[[#This Row],[Вес нетто]]</f>
        <v>0.30999999999999994</v>
      </c>
      <c r="V820" s="121">
        <f>MONTH(Таблица18[[#This Row],[Дата акта]])</f>
        <v>5</v>
      </c>
      <c r="W820" s="121">
        <v>31</v>
      </c>
      <c r="X820" s="148">
        <f>DATE(1900,Таблица18[[#This Row],[Месяц]],Таблица18[[#This Row],[Число]])</f>
        <v>152</v>
      </c>
      <c r="Y820" s="121"/>
      <c r="Z820" s="121" t="str">
        <f>Таблица18[[#This Row],[Хар-ка]]</f>
        <v>высший</v>
      </c>
      <c r="AD820" s="459"/>
      <c r="AE820" s="391"/>
    </row>
    <row r="821" spans="1:31" s="325" customFormat="1" ht="15.6" hidden="1" customHeight="1" x14ac:dyDescent="0.2">
      <c r="A821" s="40" t="s">
        <v>378</v>
      </c>
      <c r="B821" s="360" t="s">
        <v>511</v>
      </c>
      <c r="C821" s="40">
        <v>130</v>
      </c>
      <c r="D821" s="40">
        <v>8</v>
      </c>
      <c r="E821" s="40" t="s">
        <v>78</v>
      </c>
      <c r="F821" s="40" t="s">
        <v>127</v>
      </c>
      <c r="G821" s="40" t="s">
        <v>131</v>
      </c>
      <c r="H821" s="40" t="s">
        <v>110</v>
      </c>
      <c r="I821" s="360" t="e">
        <f>VLOOKUP(Таблица18[[#This Row],[Номер акта]],$AB$1:$AF$1833,3,FALSE)</f>
        <v>#N/A</v>
      </c>
      <c r="J821" s="40" t="s">
        <v>81</v>
      </c>
      <c r="K821" s="40" t="s">
        <v>82</v>
      </c>
      <c r="L821" s="121">
        <v>14140</v>
      </c>
      <c r="M821" s="121">
        <v>9690</v>
      </c>
      <c r="N821" s="121">
        <v>33</v>
      </c>
      <c r="O821" s="363">
        <v>4450</v>
      </c>
      <c r="P821" s="363">
        <v>2981.5</v>
      </c>
      <c r="Q821" s="121">
        <v>2025</v>
      </c>
      <c r="R821" s="121"/>
      <c r="S821" s="148">
        <v>45808</v>
      </c>
      <c r="T821" s="363">
        <f>Таблица18[[#This Row],[Вес нетто]]-Таблица18[[#This Row],[Зачетный вес]]</f>
        <v>1468.5</v>
      </c>
      <c r="U821" s="365">
        <f>Таблица18[[#This Row],[Отход]]/Таблица18[[#This Row],[Вес нетто]]</f>
        <v>0.33</v>
      </c>
      <c r="V821" s="121">
        <f>MONTH(Таблица18[[#This Row],[Дата акта]])</f>
        <v>5</v>
      </c>
      <c r="W821" s="121">
        <v>31</v>
      </c>
      <c r="X821" s="148">
        <f>DATE(1900,Таблица18[[#This Row],[Месяц]],Таблица18[[#This Row],[Число]])</f>
        <v>152</v>
      </c>
      <c r="Y821" s="121"/>
      <c r="Z821" s="121" t="str">
        <f>Таблица18[[#This Row],[Хар-ка]]</f>
        <v>высший</v>
      </c>
      <c r="AD821" s="459"/>
      <c r="AE821" s="391"/>
    </row>
    <row r="822" spans="1:31" s="325" customFormat="1" ht="15.6" hidden="1" customHeight="1" x14ac:dyDescent="0.2">
      <c r="A822" s="40" t="s">
        <v>379</v>
      </c>
      <c r="B822" s="360" t="s">
        <v>511</v>
      </c>
      <c r="C822" s="40">
        <v>131</v>
      </c>
      <c r="D822" s="40">
        <v>9</v>
      </c>
      <c r="E822" s="40" t="s">
        <v>78</v>
      </c>
      <c r="F822" s="40" t="s">
        <v>127</v>
      </c>
      <c r="G822" s="40" t="s">
        <v>131</v>
      </c>
      <c r="H822" s="40" t="s">
        <v>110</v>
      </c>
      <c r="I822" s="360" t="e">
        <f>VLOOKUP(Таблица18[[#This Row],[Номер акта]],$AB$1:$AF$1833,3,FALSE)</f>
        <v>#N/A</v>
      </c>
      <c r="J822" s="40" t="s">
        <v>81</v>
      </c>
      <c r="K822" s="40" t="s">
        <v>82</v>
      </c>
      <c r="L822" s="121">
        <v>24430</v>
      </c>
      <c r="M822" s="121">
        <v>14330</v>
      </c>
      <c r="N822" s="121">
        <v>29</v>
      </c>
      <c r="O822" s="363">
        <v>10100</v>
      </c>
      <c r="P822" s="363">
        <v>7171</v>
      </c>
      <c r="Q822" s="121">
        <v>2025</v>
      </c>
      <c r="R822" s="121"/>
      <c r="S822" s="148">
        <v>45808</v>
      </c>
      <c r="T822" s="363">
        <f>Таблица18[[#This Row],[Вес нетто]]-Таблица18[[#This Row],[Зачетный вес]]</f>
        <v>2929</v>
      </c>
      <c r="U822" s="365">
        <f>Таблица18[[#This Row],[Отход]]/Таблица18[[#This Row],[Вес нетто]]</f>
        <v>0.28999999999999998</v>
      </c>
      <c r="V822" s="121">
        <f>MONTH(Таблица18[[#This Row],[Дата акта]])</f>
        <v>5</v>
      </c>
      <c r="W822" s="121">
        <v>31</v>
      </c>
      <c r="X822" s="148">
        <f>DATE(1900,Таблица18[[#This Row],[Месяц]],Таблица18[[#This Row],[Число]])</f>
        <v>152</v>
      </c>
      <c r="Y822" s="121"/>
      <c r="Z822" s="121" t="str">
        <f>Таблица18[[#This Row],[Хар-ка]]</f>
        <v>высший</v>
      </c>
      <c r="AD822" s="459"/>
      <c r="AE822" s="391"/>
    </row>
    <row r="823" spans="1:31" s="325" customFormat="1" ht="15.6" hidden="1" customHeight="1" x14ac:dyDescent="0.2">
      <c r="A823" s="40" t="s">
        <v>380</v>
      </c>
      <c r="B823" s="360" t="s">
        <v>511</v>
      </c>
      <c r="C823" s="40">
        <v>132</v>
      </c>
      <c r="D823" s="40">
        <v>10</v>
      </c>
      <c r="E823" s="40" t="s">
        <v>78</v>
      </c>
      <c r="F823" s="40" t="s">
        <v>127</v>
      </c>
      <c r="G823" s="40" t="s">
        <v>131</v>
      </c>
      <c r="H823" s="40" t="s">
        <v>110</v>
      </c>
      <c r="I823" s="360" t="e">
        <f>VLOOKUP(Таблица18[[#This Row],[Номер акта]],$AB$1:$AF$1833,3,FALSE)</f>
        <v>#N/A</v>
      </c>
      <c r="J823" s="40" t="s">
        <v>81</v>
      </c>
      <c r="K823" s="40" t="s">
        <v>82</v>
      </c>
      <c r="L823" s="121">
        <v>23580</v>
      </c>
      <c r="M823" s="121">
        <v>14320</v>
      </c>
      <c r="N823" s="121">
        <v>23</v>
      </c>
      <c r="O823" s="363">
        <v>9260</v>
      </c>
      <c r="P823" s="363">
        <v>7130.2</v>
      </c>
      <c r="Q823" s="121">
        <v>2025</v>
      </c>
      <c r="R823" s="121"/>
      <c r="S823" s="148">
        <v>45808</v>
      </c>
      <c r="T823" s="363">
        <f>Таблица18[[#This Row],[Вес нетто]]-Таблица18[[#This Row],[Зачетный вес]]</f>
        <v>2129.8000000000002</v>
      </c>
      <c r="U823" s="365">
        <f>Таблица18[[#This Row],[Отход]]/Таблица18[[#This Row],[Вес нетто]]</f>
        <v>0.23</v>
      </c>
      <c r="V823" s="121">
        <f>MONTH(Таблица18[[#This Row],[Дата акта]])</f>
        <v>5</v>
      </c>
      <c r="W823" s="121">
        <v>31</v>
      </c>
      <c r="X823" s="148">
        <f>DATE(1900,Таблица18[[#This Row],[Месяц]],Таблица18[[#This Row],[Число]])</f>
        <v>152</v>
      </c>
      <c r="Y823" s="121"/>
      <c r="Z823" s="121" t="str">
        <f>Таблица18[[#This Row],[Хар-ка]]</f>
        <v>высший</v>
      </c>
      <c r="AD823" s="459"/>
      <c r="AE823" s="391"/>
    </row>
    <row r="824" spans="1:31" s="325" customFormat="1" ht="15.6" hidden="1" customHeight="1" x14ac:dyDescent="0.2">
      <c r="A824" s="40" t="s">
        <v>381</v>
      </c>
      <c r="B824" s="360" t="s">
        <v>511</v>
      </c>
      <c r="C824" s="40">
        <v>133</v>
      </c>
      <c r="D824" s="40">
        <v>11</v>
      </c>
      <c r="E824" s="40" t="s">
        <v>78</v>
      </c>
      <c r="F824" s="40" t="s">
        <v>127</v>
      </c>
      <c r="G824" s="40" t="s">
        <v>131</v>
      </c>
      <c r="H824" s="40" t="s">
        <v>110</v>
      </c>
      <c r="I824" s="360" t="e">
        <f>VLOOKUP(Таблица18[[#This Row],[Номер акта]],$AB$1:$AF$1833,3,FALSE)</f>
        <v>#N/A</v>
      </c>
      <c r="J824" s="40" t="s">
        <v>81</v>
      </c>
      <c r="K824" s="40" t="s">
        <v>82</v>
      </c>
      <c r="L824" s="121">
        <v>23620</v>
      </c>
      <c r="M824" s="121">
        <v>14320</v>
      </c>
      <c r="N824" s="121">
        <v>27</v>
      </c>
      <c r="O824" s="363">
        <v>9300</v>
      </c>
      <c r="P824" s="363">
        <v>6789</v>
      </c>
      <c r="Q824" s="121">
        <v>2025</v>
      </c>
      <c r="R824" s="121"/>
      <c r="S824" s="148">
        <v>45809</v>
      </c>
      <c r="T824" s="363">
        <f>Таблица18[[#This Row],[Вес нетто]]-Таблица18[[#This Row],[Зачетный вес]]</f>
        <v>2511</v>
      </c>
      <c r="U824" s="365">
        <f>Таблица18[[#This Row],[Отход]]/Таблица18[[#This Row],[Вес нетто]]</f>
        <v>0.27</v>
      </c>
      <c r="V824" s="121">
        <f>MONTH(Таблица18[[#This Row],[Дата акта]])</f>
        <v>6</v>
      </c>
      <c r="W824" s="121">
        <v>1</v>
      </c>
      <c r="X824" s="148">
        <f>DATE(1900,Таблица18[[#This Row],[Месяц]],Таблица18[[#This Row],[Число]])</f>
        <v>153</v>
      </c>
      <c r="Y824" s="121"/>
      <c r="Z824" s="121" t="str">
        <f>Таблица18[[#This Row],[Хар-ка]]</f>
        <v>высший</v>
      </c>
      <c r="AD824" s="459"/>
      <c r="AE824" s="391"/>
    </row>
    <row r="825" spans="1:31" s="325" customFormat="1" ht="15.6" hidden="1" customHeight="1" x14ac:dyDescent="0.2">
      <c r="A825" s="40" t="s">
        <v>382</v>
      </c>
      <c r="B825" s="360" t="s">
        <v>511</v>
      </c>
      <c r="C825" s="40">
        <v>134</v>
      </c>
      <c r="D825" s="40">
        <v>12</v>
      </c>
      <c r="E825" s="40" t="s">
        <v>78</v>
      </c>
      <c r="F825" s="40" t="s">
        <v>127</v>
      </c>
      <c r="G825" s="40" t="s">
        <v>131</v>
      </c>
      <c r="H825" s="40" t="s">
        <v>110</v>
      </c>
      <c r="I825" s="360" t="e">
        <f>VLOOKUP(Таблица18[[#This Row],[Номер акта]],$AB$1:$AF$1833,3,FALSE)</f>
        <v>#N/A</v>
      </c>
      <c r="J825" s="40" t="s">
        <v>81</v>
      </c>
      <c r="K825" s="40" t="s">
        <v>82</v>
      </c>
      <c r="L825" s="121">
        <v>23600</v>
      </c>
      <c r="M825" s="121">
        <v>14310</v>
      </c>
      <c r="N825" s="121">
        <v>28</v>
      </c>
      <c r="O825" s="363">
        <v>9290</v>
      </c>
      <c r="P825" s="363">
        <v>6688.8</v>
      </c>
      <c r="Q825" s="121">
        <v>2025</v>
      </c>
      <c r="R825" s="121"/>
      <c r="S825" s="148">
        <v>45809</v>
      </c>
      <c r="T825" s="363">
        <f>Таблица18[[#This Row],[Вес нетто]]-Таблица18[[#This Row],[Зачетный вес]]</f>
        <v>2601.1999999999998</v>
      </c>
      <c r="U825" s="365">
        <f>Таблица18[[#This Row],[Отход]]/Таблица18[[#This Row],[Вес нетто]]</f>
        <v>0.27999999999999997</v>
      </c>
      <c r="V825" s="121">
        <f>MONTH(Таблица18[[#This Row],[Дата акта]])</f>
        <v>6</v>
      </c>
      <c r="W825" s="121">
        <v>1</v>
      </c>
      <c r="X825" s="148">
        <f>DATE(1900,Таблица18[[#This Row],[Месяц]],Таблица18[[#This Row],[Число]])</f>
        <v>153</v>
      </c>
      <c r="Y825" s="121"/>
      <c r="Z825" s="121" t="str">
        <f>Таблица18[[#This Row],[Хар-ка]]</f>
        <v>высший</v>
      </c>
      <c r="AD825" s="459"/>
      <c r="AE825" s="391"/>
    </row>
    <row r="826" spans="1:31" s="325" customFormat="1" ht="15.6" hidden="1" customHeight="1" x14ac:dyDescent="0.2">
      <c r="A826" s="40" t="s">
        <v>383</v>
      </c>
      <c r="B826" s="360" t="s">
        <v>511</v>
      </c>
      <c r="C826" s="40">
        <v>135</v>
      </c>
      <c r="D826" s="40">
        <v>13</v>
      </c>
      <c r="E826" s="40" t="s">
        <v>78</v>
      </c>
      <c r="F826" s="40" t="s">
        <v>127</v>
      </c>
      <c r="G826" s="40" t="s">
        <v>131</v>
      </c>
      <c r="H826" s="40" t="s">
        <v>110</v>
      </c>
      <c r="I826" s="360" t="e">
        <f>VLOOKUP(Таблица18[[#This Row],[Номер акта]],$AB$1:$AF$1833,3,FALSE)</f>
        <v>#N/A</v>
      </c>
      <c r="J826" s="40" t="s">
        <v>81</v>
      </c>
      <c r="K826" s="40" t="s">
        <v>82</v>
      </c>
      <c r="L826" s="121">
        <v>23430</v>
      </c>
      <c r="M826" s="121">
        <v>14300</v>
      </c>
      <c r="N826" s="121">
        <v>21</v>
      </c>
      <c r="O826" s="363">
        <v>9130</v>
      </c>
      <c r="P826" s="363">
        <v>7212.7</v>
      </c>
      <c r="Q826" s="121">
        <v>2025</v>
      </c>
      <c r="R826" s="121"/>
      <c r="S826" s="148">
        <v>45809</v>
      </c>
      <c r="T826" s="363">
        <f>Таблица18[[#This Row],[Вес нетто]]-Таблица18[[#This Row],[Зачетный вес]]</f>
        <v>1917.3000000000002</v>
      </c>
      <c r="U826" s="365">
        <f>Таблица18[[#This Row],[Отход]]/Таблица18[[#This Row],[Вес нетто]]</f>
        <v>0.21000000000000002</v>
      </c>
      <c r="V826" s="121">
        <f>MONTH(Таблица18[[#This Row],[Дата акта]])</f>
        <v>6</v>
      </c>
      <c r="W826" s="121">
        <v>1</v>
      </c>
      <c r="X826" s="148">
        <f>DATE(1900,Таблица18[[#This Row],[Месяц]],Таблица18[[#This Row],[Число]])</f>
        <v>153</v>
      </c>
      <c r="Y826" s="121"/>
      <c r="Z826" s="121" t="str">
        <f>Таблица18[[#This Row],[Хар-ка]]</f>
        <v>высший</v>
      </c>
      <c r="AD826" s="459"/>
      <c r="AE826" s="391"/>
    </row>
    <row r="827" spans="1:31" s="325" customFormat="1" ht="15.6" hidden="1" customHeight="1" x14ac:dyDescent="0.2">
      <c r="A827" s="40" t="s">
        <v>384</v>
      </c>
      <c r="B827" s="360" t="s">
        <v>511</v>
      </c>
      <c r="C827" s="40">
        <v>137</v>
      </c>
      <c r="D827" s="40">
        <v>14</v>
      </c>
      <c r="E827" s="40" t="s">
        <v>78</v>
      </c>
      <c r="F827" s="40" t="s">
        <v>212</v>
      </c>
      <c r="G827" s="40" t="s">
        <v>216</v>
      </c>
      <c r="H827" s="40" t="s">
        <v>110</v>
      </c>
      <c r="I827" s="360" t="e">
        <f>VLOOKUP(Таблица18[[#This Row],[Номер акта]],$AB$1:$AF$1833,3,FALSE)</f>
        <v>#N/A</v>
      </c>
      <c r="J827" s="40" t="s">
        <v>81</v>
      </c>
      <c r="K827" s="40" t="s">
        <v>82</v>
      </c>
      <c r="L827" s="121">
        <v>18150</v>
      </c>
      <c r="M827" s="121">
        <v>13850</v>
      </c>
      <c r="N827" s="121">
        <v>26</v>
      </c>
      <c r="O827" s="363">
        <v>4300</v>
      </c>
      <c r="P827" s="363">
        <v>3182</v>
      </c>
      <c r="Q827" s="121">
        <v>2025</v>
      </c>
      <c r="R827" s="121"/>
      <c r="S827" s="148">
        <v>45809</v>
      </c>
      <c r="T827" s="363">
        <f>Таблица18[[#This Row],[Вес нетто]]-Таблица18[[#This Row],[Зачетный вес]]</f>
        <v>1118</v>
      </c>
      <c r="U827" s="365">
        <f>Таблица18[[#This Row],[Отход]]/Таблица18[[#This Row],[Вес нетто]]</f>
        <v>0.26</v>
      </c>
      <c r="V827" s="121">
        <f>MONTH(Таблица18[[#This Row],[Дата акта]])</f>
        <v>6</v>
      </c>
      <c r="W827" s="121">
        <v>1</v>
      </c>
      <c r="X827" s="148">
        <f>DATE(1900,Таблица18[[#This Row],[Месяц]],Таблица18[[#This Row],[Число]])</f>
        <v>153</v>
      </c>
      <c r="Y827" s="121"/>
      <c r="Z827" s="121" t="str">
        <f>Таблица18[[#This Row],[Хар-ка]]</f>
        <v>высший</v>
      </c>
      <c r="AD827" s="459"/>
      <c r="AE827" s="391"/>
    </row>
    <row r="828" spans="1:31" s="325" customFormat="1" ht="15.6" hidden="1" customHeight="1" x14ac:dyDescent="0.2">
      <c r="A828" s="40" t="s">
        <v>385</v>
      </c>
      <c r="B828" s="360" t="s">
        <v>511</v>
      </c>
      <c r="C828" s="40">
        <v>138</v>
      </c>
      <c r="D828" s="40">
        <v>15</v>
      </c>
      <c r="E828" s="40" t="s">
        <v>78</v>
      </c>
      <c r="F828" s="40" t="s">
        <v>212</v>
      </c>
      <c r="G828" s="40" t="s">
        <v>216</v>
      </c>
      <c r="H828" s="40" t="s">
        <v>110</v>
      </c>
      <c r="I828" s="360" t="e">
        <f>VLOOKUP(Таблица18[[#This Row],[Номер акта]],$AB$1:$AF$1833,3,FALSE)</f>
        <v>#N/A</v>
      </c>
      <c r="J828" s="40" t="s">
        <v>81</v>
      </c>
      <c r="K828" s="40" t="s">
        <v>82</v>
      </c>
      <c r="L828" s="121">
        <v>23060</v>
      </c>
      <c r="M828" s="121">
        <v>13840</v>
      </c>
      <c r="N828" s="121">
        <v>31</v>
      </c>
      <c r="O828" s="363">
        <v>9220</v>
      </c>
      <c r="P828" s="363">
        <v>6361.8</v>
      </c>
      <c r="Q828" s="121">
        <v>2025</v>
      </c>
      <c r="R828" s="121"/>
      <c r="S828" s="148">
        <v>45809</v>
      </c>
      <c r="T828" s="363">
        <f>Таблица18[[#This Row],[Вес нетто]]-Таблица18[[#This Row],[Зачетный вес]]</f>
        <v>2858.2</v>
      </c>
      <c r="U828" s="365">
        <f>Таблица18[[#This Row],[Отход]]/Таблица18[[#This Row],[Вес нетто]]</f>
        <v>0.31</v>
      </c>
      <c r="V828" s="121">
        <f>MONTH(Таблица18[[#This Row],[Дата акта]])</f>
        <v>6</v>
      </c>
      <c r="W828" s="121">
        <v>1</v>
      </c>
      <c r="X828" s="148">
        <f>DATE(1900,Таблица18[[#This Row],[Месяц]],Таблица18[[#This Row],[Число]])</f>
        <v>153</v>
      </c>
      <c r="Y828" s="121"/>
      <c r="Z828" s="121" t="str">
        <f>Таблица18[[#This Row],[Хар-ка]]</f>
        <v>высший</v>
      </c>
      <c r="AD828" s="459"/>
      <c r="AE828" s="391"/>
    </row>
    <row r="829" spans="1:31" s="325" customFormat="1" ht="15.6" hidden="1" customHeight="1" x14ac:dyDescent="0.2">
      <c r="A829" s="40" t="s">
        <v>386</v>
      </c>
      <c r="B829" s="360" t="s">
        <v>511</v>
      </c>
      <c r="C829" s="40">
        <v>139</v>
      </c>
      <c r="D829" s="40">
        <v>65912</v>
      </c>
      <c r="E829" s="40" t="s">
        <v>105</v>
      </c>
      <c r="F829" s="40" t="s">
        <v>262</v>
      </c>
      <c r="G829" s="40" t="s">
        <v>266</v>
      </c>
      <c r="H829" s="40" t="s">
        <v>460</v>
      </c>
      <c r="I829" s="360" t="e">
        <f>VLOOKUP(Таблица18[[#This Row],[Номер акта]],$AB$1:$AF$1833,3,FALSE)</f>
        <v>#N/A</v>
      </c>
      <c r="J829" s="40" t="s">
        <v>21</v>
      </c>
      <c r="K829" s="40" t="s">
        <v>82</v>
      </c>
      <c r="L829" s="121">
        <v>28520</v>
      </c>
      <c r="M829" s="121">
        <v>14800</v>
      </c>
      <c r="N829" s="121">
        <v>17.5</v>
      </c>
      <c r="O829" s="363">
        <v>13720</v>
      </c>
      <c r="P829" s="363">
        <v>11319</v>
      </c>
      <c r="Q829" s="121">
        <v>2025</v>
      </c>
      <c r="R829" s="121"/>
      <c r="S829" s="148">
        <v>45809</v>
      </c>
      <c r="T829" s="363">
        <f>Таблица18[[#This Row],[Вес нетто]]-Таблица18[[#This Row],[Зачетный вес]]</f>
        <v>2401</v>
      </c>
      <c r="U829" s="365">
        <f>Таблица18[[#This Row],[Отход]]/Таблица18[[#This Row],[Вес нетто]]</f>
        <v>0.17499999999999999</v>
      </c>
      <c r="V829" s="121">
        <f>MONTH(Таблица18[[#This Row],[Дата акта]])</f>
        <v>6</v>
      </c>
      <c r="W829" s="121">
        <v>1</v>
      </c>
      <c r="X829" s="148">
        <f>DATE(1900,Таблица18[[#This Row],[Месяц]],Таблица18[[#This Row],[Число]])</f>
        <v>153</v>
      </c>
      <c r="Y829" s="121"/>
      <c r="Z829" s="121" t="str">
        <f>Таблица18[[#This Row],[Хар-ка]]</f>
        <v>высший</v>
      </c>
      <c r="AD829" s="459"/>
      <c r="AE829" s="391"/>
    </row>
    <row r="830" spans="1:31" s="325" customFormat="1" ht="15.6" hidden="1" customHeight="1" x14ac:dyDescent="0.2">
      <c r="A830" s="40" t="s">
        <v>387</v>
      </c>
      <c r="B830" s="360" t="s">
        <v>511</v>
      </c>
      <c r="C830" s="40">
        <v>140</v>
      </c>
      <c r="D830" s="40">
        <v>16</v>
      </c>
      <c r="E830" s="40" t="s">
        <v>78</v>
      </c>
      <c r="F830" s="40" t="s">
        <v>212</v>
      </c>
      <c r="G830" s="40" t="s">
        <v>216</v>
      </c>
      <c r="H830" s="40" t="s">
        <v>110</v>
      </c>
      <c r="I830" s="360" t="e">
        <f>VLOOKUP(Таблица18[[#This Row],[Номер акта]],$AB$1:$AF$1833,3,FALSE)</f>
        <v>#N/A</v>
      </c>
      <c r="J830" s="40" t="s">
        <v>81</v>
      </c>
      <c r="K830" s="40" t="s">
        <v>82</v>
      </c>
      <c r="L830" s="121">
        <v>27950</v>
      </c>
      <c r="M830" s="121">
        <v>13830</v>
      </c>
      <c r="N830" s="121">
        <v>28</v>
      </c>
      <c r="O830" s="363">
        <v>14120</v>
      </c>
      <c r="P830" s="363">
        <v>10166.4</v>
      </c>
      <c r="Q830" s="121">
        <v>2025</v>
      </c>
      <c r="R830" s="121"/>
      <c r="S830" s="148">
        <v>45809</v>
      </c>
      <c r="T830" s="363">
        <f>Таблица18[[#This Row],[Вес нетто]]-Таблица18[[#This Row],[Зачетный вес]]</f>
        <v>3953.6000000000004</v>
      </c>
      <c r="U830" s="365">
        <f>Таблица18[[#This Row],[Отход]]/Таблица18[[#This Row],[Вес нетто]]</f>
        <v>0.28000000000000003</v>
      </c>
      <c r="V830" s="121">
        <f>MONTH(Таблица18[[#This Row],[Дата акта]])</f>
        <v>6</v>
      </c>
      <c r="W830" s="121">
        <v>1</v>
      </c>
      <c r="X830" s="148">
        <f>DATE(1900,Таблица18[[#This Row],[Месяц]],Таблица18[[#This Row],[Число]])</f>
        <v>153</v>
      </c>
      <c r="Y830" s="121"/>
      <c r="Z830" s="121" t="str">
        <f>Таблица18[[#This Row],[Хар-ка]]</f>
        <v>высший</v>
      </c>
      <c r="AD830" s="459"/>
      <c r="AE830" s="391"/>
    </row>
    <row r="831" spans="1:31" s="325" customFormat="1" ht="15.6" hidden="1" customHeight="1" x14ac:dyDescent="0.2">
      <c r="A831" s="40" t="s">
        <v>388</v>
      </c>
      <c r="B831" s="360" t="s">
        <v>511</v>
      </c>
      <c r="C831" s="40">
        <v>141</v>
      </c>
      <c r="D831" s="40">
        <v>65914</v>
      </c>
      <c r="E831" s="40" t="s">
        <v>105</v>
      </c>
      <c r="F831" s="40" t="s">
        <v>79</v>
      </c>
      <c r="G831" s="40" t="s">
        <v>80</v>
      </c>
      <c r="H831" s="40" t="s">
        <v>460</v>
      </c>
      <c r="I831" s="360" t="e">
        <f>VLOOKUP(Таблица18[[#This Row],[Номер акта]],$AB$1:$AF$1833,3,FALSE)</f>
        <v>#N/A</v>
      </c>
      <c r="J831" s="40" t="s">
        <v>21</v>
      </c>
      <c r="K831" s="40" t="s">
        <v>82</v>
      </c>
      <c r="L831" s="121">
        <v>27720</v>
      </c>
      <c r="M831" s="121">
        <v>14090</v>
      </c>
      <c r="N831" s="121">
        <v>22</v>
      </c>
      <c r="O831" s="363">
        <v>13630</v>
      </c>
      <c r="P831" s="363">
        <v>10631.4</v>
      </c>
      <c r="Q831" s="121">
        <v>2025</v>
      </c>
      <c r="R831" s="121"/>
      <c r="S831" s="148">
        <v>45809</v>
      </c>
      <c r="T831" s="363">
        <f>Таблица18[[#This Row],[Вес нетто]]-Таблица18[[#This Row],[Зачетный вес]]</f>
        <v>2998.6000000000004</v>
      </c>
      <c r="U831" s="365">
        <f>Таблица18[[#This Row],[Отход]]/Таблица18[[#This Row],[Вес нетто]]</f>
        <v>0.22000000000000003</v>
      </c>
      <c r="V831" s="121">
        <f>MONTH(Таблица18[[#This Row],[Дата акта]])</f>
        <v>6</v>
      </c>
      <c r="W831" s="121">
        <v>1</v>
      </c>
      <c r="X831" s="148">
        <f>DATE(1900,Таблица18[[#This Row],[Месяц]],Таблица18[[#This Row],[Число]])</f>
        <v>153</v>
      </c>
      <c r="Y831" s="121"/>
      <c r="Z831" s="121" t="str">
        <f>Таблица18[[#This Row],[Хар-ка]]</f>
        <v>высший</v>
      </c>
      <c r="AD831" s="459"/>
      <c r="AE831" s="391"/>
    </row>
    <row r="832" spans="1:31" s="325" customFormat="1" ht="15.6" hidden="1" customHeight="1" x14ac:dyDescent="0.2">
      <c r="A832" s="40" t="s">
        <v>389</v>
      </c>
      <c r="B832" s="360" t="s">
        <v>511</v>
      </c>
      <c r="C832" s="40">
        <v>142</v>
      </c>
      <c r="D832" s="40">
        <v>65915</v>
      </c>
      <c r="E832" s="40" t="s">
        <v>105</v>
      </c>
      <c r="F832" s="40" t="s">
        <v>244</v>
      </c>
      <c r="G832" s="40" t="s">
        <v>248</v>
      </c>
      <c r="H832" s="40" t="s">
        <v>460</v>
      </c>
      <c r="I832" s="360" t="e">
        <f>VLOOKUP(Таблица18[[#This Row],[Номер акта]],$AB$1:$AF$1833,3,FALSE)</f>
        <v>#N/A</v>
      </c>
      <c r="J832" s="40" t="s">
        <v>21</v>
      </c>
      <c r="K832" s="40" t="s">
        <v>82</v>
      </c>
      <c r="L832" s="121">
        <v>29140</v>
      </c>
      <c r="M832" s="121">
        <v>15640</v>
      </c>
      <c r="N832" s="121">
        <v>21</v>
      </c>
      <c r="O832" s="363">
        <v>13500</v>
      </c>
      <c r="P832" s="363">
        <v>10665</v>
      </c>
      <c r="Q832" s="121">
        <v>2025</v>
      </c>
      <c r="R832" s="121"/>
      <c r="S832" s="148">
        <v>45809</v>
      </c>
      <c r="T832" s="363">
        <f>Таблица18[[#This Row],[Вес нетто]]-Таблица18[[#This Row],[Зачетный вес]]</f>
        <v>2835</v>
      </c>
      <c r="U832" s="365">
        <f>Таблица18[[#This Row],[Отход]]/Таблица18[[#This Row],[Вес нетто]]</f>
        <v>0.21</v>
      </c>
      <c r="V832" s="121">
        <f>MONTH(Таблица18[[#This Row],[Дата акта]])</f>
        <v>6</v>
      </c>
      <c r="W832" s="121">
        <v>1</v>
      </c>
      <c r="X832" s="148">
        <f>DATE(1900,Таблица18[[#This Row],[Месяц]],Таблица18[[#This Row],[Число]])</f>
        <v>153</v>
      </c>
      <c r="Y832" s="121"/>
      <c r="Z832" s="121" t="str">
        <f>Таблица18[[#This Row],[Хар-ка]]</f>
        <v>высший</v>
      </c>
      <c r="AD832" s="459"/>
      <c r="AE832" s="391"/>
    </row>
    <row r="833" spans="1:31" s="325" customFormat="1" ht="15.6" hidden="1" customHeight="1" x14ac:dyDescent="0.2">
      <c r="A833" s="40" t="s">
        <v>390</v>
      </c>
      <c r="B833" s="360" t="s">
        <v>511</v>
      </c>
      <c r="C833" s="40">
        <v>143</v>
      </c>
      <c r="D833" s="40">
        <v>65916</v>
      </c>
      <c r="E833" s="40" t="s">
        <v>105</v>
      </c>
      <c r="F833" s="40" t="s">
        <v>239</v>
      </c>
      <c r="G833" s="40" t="s">
        <v>243</v>
      </c>
      <c r="H833" s="40" t="s">
        <v>460</v>
      </c>
      <c r="I833" s="360" t="e">
        <f>VLOOKUP(Таблица18[[#This Row],[Номер акта]],$AB$1:$AF$1833,3,FALSE)</f>
        <v>#N/A</v>
      </c>
      <c r="J833" s="40" t="s">
        <v>21</v>
      </c>
      <c r="K833" s="40" t="s">
        <v>82</v>
      </c>
      <c r="L833" s="121">
        <v>28320</v>
      </c>
      <c r="M833" s="121">
        <v>14490</v>
      </c>
      <c r="N833" s="121">
        <v>17</v>
      </c>
      <c r="O833" s="363">
        <v>13830</v>
      </c>
      <c r="P833" s="363">
        <v>11478.9</v>
      </c>
      <c r="Q833" s="121">
        <v>2025</v>
      </c>
      <c r="R833" s="121"/>
      <c r="S833" s="148">
        <v>45809</v>
      </c>
      <c r="T833" s="363">
        <f>Таблица18[[#This Row],[Вес нетто]]-Таблица18[[#This Row],[Зачетный вес]]</f>
        <v>2351.1000000000004</v>
      </c>
      <c r="U833" s="365">
        <f>Таблица18[[#This Row],[Отход]]/Таблица18[[#This Row],[Вес нетто]]</f>
        <v>0.17000000000000004</v>
      </c>
      <c r="V833" s="121">
        <f>MONTH(Таблица18[[#This Row],[Дата акта]])</f>
        <v>6</v>
      </c>
      <c r="W833" s="121">
        <v>1</v>
      </c>
      <c r="X833" s="148">
        <f>DATE(1900,Таблица18[[#This Row],[Месяц]],Таблица18[[#This Row],[Число]])</f>
        <v>153</v>
      </c>
      <c r="Y833" s="121"/>
      <c r="Z833" s="121" t="str">
        <f>Таблица18[[#This Row],[Хар-ка]]</f>
        <v>высший</v>
      </c>
      <c r="AD833" s="459"/>
      <c r="AE833" s="391"/>
    </row>
    <row r="834" spans="1:31" s="325" customFormat="1" ht="15.6" hidden="1" customHeight="1" x14ac:dyDescent="0.2">
      <c r="A834" s="40" t="s">
        <v>391</v>
      </c>
      <c r="B834" s="360" t="s">
        <v>511</v>
      </c>
      <c r="C834" s="40">
        <v>144</v>
      </c>
      <c r="D834" s="40">
        <v>65917</v>
      </c>
      <c r="E834" s="40" t="s">
        <v>105</v>
      </c>
      <c r="F834" s="40" t="s">
        <v>195</v>
      </c>
      <c r="G834" s="40" t="s">
        <v>199</v>
      </c>
      <c r="H834" s="40" t="s">
        <v>460</v>
      </c>
      <c r="I834" s="360" t="e">
        <f>VLOOKUP(Таблица18[[#This Row],[Номер акта]],$AB$1:$AF$1833,3,FALSE)</f>
        <v>#N/A</v>
      </c>
      <c r="J834" s="40" t="s">
        <v>21</v>
      </c>
      <c r="K834" s="40" t="s">
        <v>82</v>
      </c>
      <c r="L834" s="121">
        <v>29030</v>
      </c>
      <c r="M834" s="121">
        <v>15150</v>
      </c>
      <c r="N834" s="121">
        <v>22</v>
      </c>
      <c r="O834" s="363">
        <v>13880</v>
      </c>
      <c r="P834" s="363">
        <v>10826.4</v>
      </c>
      <c r="Q834" s="121">
        <v>2025</v>
      </c>
      <c r="R834" s="121"/>
      <c r="S834" s="148">
        <v>45809</v>
      </c>
      <c r="T834" s="363">
        <f>Таблица18[[#This Row],[Вес нетто]]-Таблица18[[#This Row],[Зачетный вес]]</f>
        <v>3053.6000000000004</v>
      </c>
      <c r="U834" s="365">
        <f>Таблица18[[#This Row],[Отход]]/Таблица18[[#This Row],[Вес нетто]]</f>
        <v>0.22000000000000003</v>
      </c>
      <c r="V834" s="121">
        <f>MONTH(Таблица18[[#This Row],[Дата акта]])</f>
        <v>6</v>
      </c>
      <c r="W834" s="121">
        <v>1</v>
      </c>
      <c r="X834" s="148">
        <f>DATE(1900,Таблица18[[#This Row],[Месяц]],Таблица18[[#This Row],[Число]])</f>
        <v>153</v>
      </c>
      <c r="Y834" s="121"/>
      <c r="Z834" s="121" t="str">
        <f>Таблица18[[#This Row],[Хар-ка]]</f>
        <v>высший</v>
      </c>
      <c r="AD834" s="459"/>
      <c r="AE834" s="391"/>
    </row>
    <row r="835" spans="1:31" s="325" customFormat="1" ht="15.6" hidden="1" customHeight="1" x14ac:dyDescent="0.2">
      <c r="A835" s="40" t="s">
        <v>392</v>
      </c>
      <c r="B835" s="360" t="s">
        <v>511</v>
      </c>
      <c r="C835" s="40">
        <v>146</v>
      </c>
      <c r="D835" s="40">
        <v>65918</v>
      </c>
      <c r="E835" s="40" t="s">
        <v>105</v>
      </c>
      <c r="F835" s="40" t="s">
        <v>234</v>
      </c>
      <c r="G835" s="40" t="s">
        <v>238</v>
      </c>
      <c r="H835" s="40" t="s">
        <v>460</v>
      </c>
      <c r="I835" s="360" t="e">
        <f>VLOOKUP(Таблица18[[#This Row],[Номер акта]],$AB$1:$AF$1833,3,FALSE)</f>
        <v>#N/A</v>
      </c>
      <c r="J835" s="40" t="s">
        <v>21</v>
      </c>
      <c r="K835" s="40" t="s">
        <v>82</v>
      </c>
      <c r="L835" s="121">
        <v>29310</v>
      </c>
      <c r="M835" s="121">
        <v>15540</v>
      </c>
      <c r="N835" s="121">
        <v>27</v>
      </c>
      <c r="O835" s="363">
        <v>13770</v>
      </c>
      <c r="P835" s="363">
        <v>10052.1</v>
      </c>
      <c r="Q835" s="121">
        <v>2025</v>
      </c>
      <c r="R835" s="121"/>
      <c r="S835" s="148">
        <v>45809</v>
      </c>
      <c r="T835" s="363">
        <f>Таблица18[[#This Row],[Вес нетто]]-Таблица18[[#This Row],[Зачетный вес]]</f>
        <v>3717.8999999999996</v>
      </c>
      <c r="U835" s="365">
        <f>Таблица18[[#This Row],[Отход]]/Таблица18[[#This Row],[Вес нетто]]</f>
        <v>0.26999999999999996</v>
      </c>
      <c r="V835" s="121">
        <f>MONTH(Таблица18[[#This Row],[Дата акта]])</f>
        <v>6</v>
      </c>
      <c r="W835" s="121">
        <v>1</v>
      </c>
      <c r="X835" s="148">
        <f>DATE(1900,Таблица18[[#This Row],[Месяц]],Таблица18[[#This Row],[Число]])</f>
        <v>153</v>
      </c>
      <c r="Y835" s="121"/>
      <c r="Z835" s="121" t="str">
        <f>Таблица18[[#This Row],[Хар-ка]]</f>
        <v>высший</v>
      </c>
      <c r="AD835" s="459"/>
      <c r="AE835" s="391"/>
    </row>
    <row r="836" spans="1:31" s="325" customFormat="1" ht="15.6" hidden="1" customHeight="1" x14ac:dyDescent="0.2">
      <c r="A836" s="40" t="s">
        <v>393</v>
      </c>
      <c r="B836" s="360" t="s">
        <v>511</v>
      </c>
      <c r="C836" s="40">
        <v>145</v>
      </c>
      <c r="D836" s="40">
        <v>17</v>
      </c>
      <c r="E836" s="40" t="s">
        <v>78</v>
      </c>
      <c r="F836" s="40" t="s">
        <v>79</v>
      </c>
      <c r="G836" s="40" t="s">
        <v>80</v>
      </c>
      <c r="H836" s="40" t="s">
        <v>110</v>
      </c>
      <c r="I836" s="360" t="e">
        <f>VLOOKUP(Таблица18[[#This Row],[Номер акта]],$AB$1:$AF$1833,3,FALSE)</f>
        <v>#N/A</v>
      </c>
      <c r="J836" s="40" t="s">
        <v>81</v>
      </c>
      <c r="K836" s="40" t="s">
        <v>82</v>
      </c>
      <c r="L836" s="121">
        <v>26540</v>
      </c>
      <c r="M836" s="121">
        <v>14200</v>
      </c>
      <c r="N836" s="121">
        <v>31</v>
      </c>
      <c r="O836" s="363">
        <v>12340</v>
      </c>
      <c r="P836" s="363">
        <v>8514.6</v>
      </c>
      <c r="Q836" s="121">
        <v>2025</v>
      </c>
      <c r="R836" s="121"/>
      <c r="S836" s="148">
        <v>45809</v>
      </c>
      <c r="T836" s="363">
        <f>Таблица18[[#This Row],[Вес нетто]]-Таблица18[[#This Row],[Зачетный вес]]</f>
        <v>3825.3999999999996</v>
      </c>
      <c r="U836" s="365">
        <f>Таблица18[[#This Row],[Отход]]/Таблица18[[#This Row],[Вес нетто]]</f>
        <v>0.31</v>
      </c>
      <c r="V836" s="121">
        <f>MONTH(Таблица18[[#This Row],[Дата акта]])</f>
        <v>6</v>
      </c>
      <c r="W836" s="121">
        <v>1</v>
      </c>
      <c r="X836" s="148">
        <f>DATE(1900,Таблица18[[#This Row],[Месяц]],Таблица18[[#This Row],[Число]])</f>
        <v>153</v>
      </c>
      <c r="Y836" s="121"/>
      <c r="Z836" s="121" t="str">
        <f>Таблица18[[#This Row],[Хар-ка]]</f>
        <v>высший</v>
      </c>
      <c r="AD836" s="459"/>
      <c r="AE836" s="391"/>
    </row>
    <row r="837" spans="1:31" s="325" customFormat="1" ht="15.6" hidden="1" customHeight="1" x14ac:dyDescent="0.2">
      <c r="A837" s="40" t="s">
        <v>394</v>
      </c>
      <c r="B837" s="360" t="s">
        <v>511</v>
      </c>
      <c r="C837" s="40">
        <v>147</v>
      </c>
      <c r="D837" s="40">
        <v>65919</v>
      </c>
      <c r="E837" s="40" t="s">
        <v>105</v>
      </c>
      <c r="F837" s="40" t="s">
        <v>249</v>
      </c>
      <c r="G837" s="40" t="s">
        <v>253</v>
      </c>
      <c r="H837" s="40" t="s">
        <v>460</v>
      </c>
      <c r="I837" s="360" t="e">
        <f>VLOOKUP(Таблица18[[#This Row],[Номер акта]],$AB$1:$AF$1833,3,FALSE)</f>
        <v>#N/A</v>
      </c>
      <c r="J837" s="40" t="s">
        <v>21</v>
      </c>
      <c r="K837" s="40" t="s">
        <v>82</v>
      </c>
      <c r="L837" s="121">
        <v>28810</v>
      </c>
      <c r="M837" s="121">
        <v>15140</v>
      </c>
      <c r="N837" s="121">
        <v>25</v>
      </c>
      <c r="O837" s="363">
        <v>13670</v>
      </c>
      <c r="P837" s="363">
        <v>10252.5</v>
      </c>
      <c r="Q837" s="121">
        <v>2025</v>
      </c>
      <c r="R837" s="121"/>
      <c r="S837" s="148">
        <v>45809</v>
      </c>
      <c r="T837" s="363">
        <f>Таблица18[[#This Row],[Вес нетто]]-Таблица18[[#This Row],[Зачетный вес]]</f>
        <v>3417.5</v>
      </c>
      <c r="U837" s="365">
        <f>Таблица18[[#This Row],[Отход]]/Таблица18[[#This Row],[Вес нетто]]</f>
        <v>0.25</v>
      </c>
      <c r="V837" s="121">
        <f>MONTH(Таблица18[[#This Row],[Дата акта]])</f>
        <v>6</v>
      </c>
      <c r="W837" s="121">
        <v>1</v>
      </c>
      <c r="X837" s="148">
        <f>DATE(1900,Таблица18[[#This Row],[Месяц]],Таблица18[[#This Row],[Число]])</f>
        <v>153</v>
      </c>
      <c r="Y837" s="121"/>
      <c r="Z837" s="121" t="str">
        <f>Таблица18[[#This Row],[Хар-ка]]</f>
        <v>высший</v>
      </c>
      <c r="AD837" s="459"/>
      <c r="AE837" s="391"/>
    </row>
    <row r="838" spans="1:31" s="325" customFormat="1" ht="15.6" hidden="1" customHeight="1" x14ac:dyDescent="0.2">
      <c r="A838" s="40" t="s">
        <v>395</v>
      </c>
      <c r="B838" s="360" t="s">
        <v>511</v>
      </c>
      <c r="C838" s="40">
        <v>150</v>
      </c>
      <c r="D838" s="40">
        <v>65920</v>
      </c>
      <c r="E838" s="40" t="s">
        <v>105</v>
      </c>
      <c r="F838" s="40" t="s">
        <v>254</v>
      </c>
      <c r="G838" s="40" t="s">
        <v>258</v>
      </c>
      <c r="H838" s="40" t="s">
        <v>460</v>
      </c>
      <c r="I838" s="360" t="e">
        <f>VLOOKUP(Таблица18[[#This Row],[Номер акта]],$AB$1:$AF$1833,3,FALSE)</f>
        <v>#N/A</v>
      </c>
      <c r="J838" s="40" t="s">
        <v>21</v>
      </c>
      <c r="K838" s="40" t="s">
        <v>82</v>
      </c>
      <c r="L838" s="121">
        <v>28330</v>
      </c>
      <c r="M838" s="121">
        <v>14550</v>
      </c>
      <c r="N838" s="121">
        <v>24</v>
      </c>
      <c r="O838" s="363">
        <v>13780</v>
      </c>
      <c r="P838" s="363">
        <v>10472.799999999999</v>
      </c>
      <c r="Q838" s="121">
        <v>2025</v>
      </c>
      <c r="R838" s="121"/>
      <c r="S838" s="148">
        <v>45810</v>
      </c>
      <c r="T838" s="363">
        <f>Таблица18[[#This Row],[Вес нетто]]-Таблица18[[#This Row],[Зачетный вес]]</f>
        <v>3307.2000000000007</v>
      </c>
      <c r="U838" s="365">
        <f>Таблица18[[#This Row],[Отход]]/Таблица18[[#This Row],[Вес нетто]]</f>
        <v>0.24000000000000005</v>
      </c>
      <c r="V838" s="121">
        <f>MONTH(Таблица18[[#This Row],[Дата акта]])</f>
        <v>6</v>
      </c>
      <c r="W838" s="121">
        <v>2</v>
      </c>
      <c r="X838" s="148">
        <f>DATE(1900,Таблица18[[#This Row],[Месяц]],Таблица18[[#This Row],[Число]])</f>
        <v>154</v>
      </c>
      <c r="Y838" s="121"/>
      <c r="Z838" s="121" t="str">
        <f>Таблица18[[#This Row],[Хар-ка]]</f>
        <v>высший</v>
      </c>
      <c r="AD838" s="459"/>
      <c r="AE838" s="391"/>
    </row>
    <row r="839" spans="1:31" s="325" customFormat="1" ht="15.6" hidden="1" customHeight="1" x14ac:dyDescent="0.2">
      <c r="A839" s="40" t="s">
        <v>396</v>
      </c>
      <c r="B839" s="360" t="s">
        <v>511</v>
      </c>
      <c r="C839" s="40">
        <v>151</v>
      </c>
      <c r="D839" s="40">
        <v>65921</v>
      </c>
      <c r="E839" s="40" t="s">
        <v>105</v>
      </c>
      <c r="F839" s="40" t="s">
        <v>272</v>
      </c>
      <c r="G839" s="40" t="s">
        <v>276</v>
      </c>
      <c r="H839" s="40" t="s">
        <v>460</v>
      </c>
      <c r="I839" s="360" t="e">
        <f>VLOOKUP(Таблица18[[#This Row],[Номер акта]],$AB$1:$AF$1833,3,FALSE)</f>
        <v>#N/A</v>
      </c>
      <c r="J839" s="40" t="s">
        <v>21</v>
      </c>
      <c r="K839" s="40" t="s">
        <v>82</v>
      </c>
      <c r="L839" s="121">
        <v>28370</v>
      </c>
      <c r="M839" s="121">
        <v>14790</v>
      </c>
      <c r="N839" s="121">
        <v>21</v>
      </c>
      <c r="O839" s="363">
        <v>13580</v>
      </c>
      <c r="P839" s="363">
        <v>10728.2</v>
      </c>
      <c r="Q839" s="121">
        <v>2025</v>
      </c>
      <c r="R839" s="121"/>
      <c r="S839" s="148">
        <v>45810</v>
      </c>
      <c r="T839" s="363">
        <f>Таблица18[[#This Row],[Вес нетто]]-Таблица18[[#This Row],[Зачетный вес]]</f>
        <v>2851.7999999999993</v>
      </c>
      <c r="U839" s="365">
        <f>Таблица18[[#This Row],[Отход]]/Таблица18[[#This Row],[Вес нетто]]</f>
        <v>0.20999999999999994</v>
      </c>
      <c r="V839" s="121">
        <f>MONTH(Таблица18[[#This Row],[Дата акта]])</f>
        <v>6</v>
      </c>
      <c r="W839" s="121">
        <v>2</v>
      </c>
      <c r="X839" s="148">
        <f>DATE(1900,Таблица18[[#This Row],[Месяц]],Таблица18[[#This Row],[Число]])</f>
        <v>154</v>
      </c>
      <c r="Y839" s="121"/>
      <c r="Z839" s="121" t="str">
        <f>Таблица18[[#This Row],[Хар-ка]]</f>
        <v>высший</v>
      </c>
      <c r="AD839" s="459"/>
      <c r="AE839" s="391"/>
    </row>
    <row r="840" spans="1:31" s="325" customFormat="1" ht="15.6" hidden="1" customHeight="1" x14ac:dyDescent="0.2">
      <c r="A840" s="40" t="s">
        <v>397</v>
      </c>
      <c r="B840" s="360" t="s">
        <v>511</v>
      </c>
      <c r="C840" s="40">
        <v>152</v>
      </c>
      <c r="D840" s="40">
        <v>65922</v>
      </c>
      <c r="E840" s="40" t="s">
        <v>105</v>
      </c>
      <c r="F840" s="40" t="s">
        <v>1253</v>
      </c>
      <c r="G840" s="40" t="s">
        <v>270</v>
      </c>
      <c r="H840" s="40" t="s">
        <v>460</v>
      </c>
      <c r="I840" s="360" t="e">
        <f>VLOOKUP(Таблица18[[#This Row],[Номер акта]],$AB$1:$AF$1833,3,FALSE)</f>
        <v>#N/A</v>
      </c>
      <c r="J840" s="40" t="s">
        <v>21</v>
      </c>
      <c r="K840" s="40" t="s">
        <v>82</v>
      </c>
      <c r="L840" s="121">
        <v>28660</v>
      </c>
      <c r="M840" s="121">
        <v>14970</v>
      </c>
      <c r="N840" s="121">
        <v>24</v>
      </c>
      <c r="O840" s="363">
        <v>13690</v>
      </c>
      <c r="P840" s="363">
        <v>10404.4</v>
      </c>
      <c r="Q840" s="121">
        <v>2025</v>
      </c>
      <c r="R840" s="121"/>
      <c r="S840" s="148">
        <v>45810</v>
      </c>
      <c r="T840" s="363">
        <f>Таблица18[[#This Row],[Вес нетто]]-Таблица18[[#This Row],[Зачетный вес]]</f>
        <v>3285.6000000000004</v>
      </c>
      <c r="U840" s="365">
        <f>Таблица18[[#This Row],[Отход]]/Таблица18[[#This Row],[Вес нетто]]</f>
        <v>0.24000000000000002</v>
      </c>
      <c r="V840" s="121">
        <f>MONTH(Таблица18[[#This Row],[Дата акта]])</f>
        <v>6</v>
      </c>
      <c r="W840" s="121">
        <v>2</v>
      </c>
      <c r="X840" s="148">
        <f>DATE(1900,Таблица18[[#This Row],[Месяц]],Таблица18[[#This Row],[Число]])</f>
        <v>154</v>
      </c>
      <c r="Y840" s="121"/>
      <c r="Z840" s="121" t="str">
        <f>Таблица18[[#This Row],[Хар-ка]]</f>
        <v>высший</v>
      </c>
      <c r="AD840" s="459"/>
      <c r="AE840" s="391"/>
    </row>
    <row r="841" spans="1:31" s="325" customFormat="1" ht="15.6" hidden="1" customHeight="1" x14ac:dyDescent="0.2">
      <c r="A841" s="40" t="s">
        <v>398</v>
      </c>
      <c r="B841" s="360" t="s">
        <v>511</v>
      </c>
      <c r="C841" s="40">
        <v>149</v>
      </c>
      <c r="D841" s="40">
        <v>18</v>
      </c>
      <c r="E841" s="40" t="s">
        <v>78</v>
      </c>
      <c r="F841" s="40" t="s">
        <v>212</v>
      </c>
      <c r="G841" s="40" t="s">
        <v>216</v>
      </c>
      <c r="H841" s="40" t="s">
        <v>110</v>
      </c>
      <c r="I841" s="360" t="e">
        <f>VLOOKUP(Таблица18[[#This Row],[Номер акта]],$AB$1:$AF$1833,3,FALSE)</f>
        <v>#N/A</v>
      </c>
      <c r="J841" s="40" t="s">
        <v>81</v>
      </c>
      <c r="K841" s="40" t="s">
        <v>82</v>
      </c>
      <c r="L841" s="121">
        <v>24560</v>
      </c>
      <c r="M841" s="121">
        <v>13820</v>
      </c>
      <c r="N841" s="121">
        <v>29</v>
      </c>
      <c r="O841" s="363">
        <v>10740</v>
      </c>
      <c r="P841" s="363">
        <v>7625.4</v>
      </c>
      <c r="Q841" s="121">
        <v>2025</v>
      </c>
      <c r="R841" s="121"/>
      <c r="S841" s="148">
        <v>45810</v>
      </c>
      <c r="T841" s="363">
        <f>Таблица18[[#This Row],[Вес нетто]]-Таблица18[[#This Row],[Зачетный вес]]</f>
        <v>3114.6000000000004</v>
      </c>
      <c r="U841" s="365">
        <f>Таблица18[[#This Row],[Отход]]/Таблица18[[#This Row],[Вес нетто]]</f>
        <v>0.29000000000000004</v>
      </c>
      <c r="V841" s="121">
        <f>MONTH(Таблица18[[#This Row],[Дата акта]])</f>
        <v>6</v>
      </c>
      <c r="W841" s="121">
        <v>2</v>
      </c>
      <c r="X841" s="148">
        <f>DATE(1900,Таблица18[[#This Row],[Месяц]],Таблица18[[#This Row],[Число]])</f>
        <v>154</v>
      </c>
      <c r="Y841" s="121"/>
      <c r="Z841" s="121" t="str">
        <f>Таблица18[[#This Row],[Хар-ка]]</f>
        <v>высший</v>
      </c>
      <c r="AD841" s="459"/>
      <c r="AE841" s="391"/>
    </row>
    <row r="842" spans="1:31" s="325" customFormat="1" ht="15.6" hidden="1" customHeight="1" x14ac:dyDescent="0.2">
      <c r="A842" s="40" t="s">
        <v>399</v>
      </c>
      <c r="B842" s="360" t="s">
        <v>511</v>
      </c>
      <c r="C842" s="40">
        <v>153</v>
      </c>
      <c r="D842" s="40">
        <v>65923</v>
      </c>
      <c r="E842" s="40" t="s">
        <v>105</v>
      </c>
      <c r="F842" s="40" t="s">
        <v>305</v>
      </c>
      <c r="G842" s="40" t="s">
        <v>309</v>
      </c>
      <c r="H842" s="40" t="s">
        <v>460</v>
      </c>
      <c r="I842" s="360" t="e">
        <f>VLOOKUP(Таблица18[[#This Row],[Номер акта]],$AB$1:$AF$1833,3,FALSE)</f>
        <v>#N/A</v>
      </c>
      <c r="J842" s="40" t="s">
        <v>21</v>
      </c>
      <c r="K842" s="40" t="s">
        <v>82</v>
      </c>
      <c r="L842" s="121">
        <v>28060</v>
      </c>
      <c r="M842" s="121">
        <v>14390</v>
      </c>
      <c r="N842" s="121">
        <v>25</v>
      </c>
      <c r="O842" s="363">
        <v>13670</v>
      </c>
      <c r="P842" s="363">
        <v>10252.5</v>
      </c>
      <c r="Q842" s="121">
        <v>2025</v>
      </c>
      <c r="R842" s="121"/>
      <c r="S842" s="148">
        <v>45810</v>
      </c>
      <c r="T842" s="363">
        <f>Таблица18[[#This Row],[Вес нетто]]-Таблица18[[#This Row],[Зачетный вес]]</f>
        <v>3417.5</v>
      </c>
      <c r="U842" s="365">
        <f>Таблица18[[#This Row],[Отход]]/Таблица18[[#This Row],[Вес нетто]]</f>
        <v>0.25</v>
      </c>
      <c r="V842" s="121">
        <f>MONTH(Таблица18[[#This Row],[Дата акта]])</f>
        <v>6</v>
      </c>
      <c r="W842" s="121">
        <v>2</v>
      </c>
      <c r="X842" s="148">
        <f>DATE(1900,Таблица18[[#This Row],[Месяц]],Таблица18[[#This Row],[Число]])</f>
        <v>154</v>
      </c>
      <c r="Y842" s="121"/>
      <c r="Z842" s="121" t="str">
        <f>Таблица18[[#This Row],[Хар-ка]]</f>
        <v>высший</v>
      </c>
      <c r="AD842" s="459"/>
      <c r="AE842" s="391"/>
    </row>
    <row r="843" spans="1:31" s="325" customFormat="1" ht="15.6" hidden="1" customHeight="1" x14ac:dyDescent="0.2">
      <c r="A843" s="40" t="s">
        <v>400</v>
      </c>
      <c r="B843" s="360" t="s">
        <v>511</v>
      </c>
      <c r="C843" s="40">
        <v>154</v>
      </c>
      <c r="D843" s="40">
        <v>65924</v>
      </c>
      <c r="E843" s="40" t="s">
        <v>105</v>
      </c>
      <c r="F843" s="40" t="s">
        <v>329</v>
      </c>
      <c r="G843" s="40" t="s">
        <v>333</v>
      </c>
      <c r="H843" s="40" t="s">
        <v>460</v>
      </c>
      <c r="I843" s="360" t="e">
        <f>VLOOKUP(Таблица18[[#This Row],[Номер акта]],$AB$1:$AF$1833,3,FALSE)</f>
        <v>#N/A</v>
      </c>
      <c r="J843" s="40" t="s">
        <v>21</v>
      </c>
      <c r="K843" s="40" t="s">
        <v>82</v>
      </c>
      <c r="L843" s="121">
        <v>28740</v>
      </c>
      <c r="M843" s="121">
        <v>14950</v>
      </c>
      <c r="N843" s="121">
        <v>25.5</v>
      </c>
      <c r="O843" s="363">
        <v>13790</v>
      </c>
      <c r="P843" s="363">
        <v>10273.5</v>
      </c>
      <c r="Q843" s="121">
        <v>2025</v>
      </c>
      <c r="R843" s="121"/>
      <c r="S843" s="148">
        <v>45810</v>
      </c>
      <c r="T843" s="363">
        <f>Таблица18[[#This Row],[Вес нетто]]-Таблица18[[#This Row],[Зачетный вес]]</f>
        <v>3516.5</v>
      </c>
      <c r="U843" s="365">
        <f>Таблица18[[#This Row],[Отход]]/Таблица18[[#This Row],[Вес нетто]]</f>
        <v>0.25500362581580854</v>
      </c>
      <c r="V843" s="121">
        <f>MONTH(Таблица18[[#This Row],[Дата акта]])</f>
        <v>6</v>
      </c>
      <c r="W843" s="121">
        <v>2</v>
      </c>
      <c r="X843" s="148">
        <f>DATE(1900,Таблица18[[#This Row],[Месяц]],Таблица18[[#This Row],[Число]])</f>
        <v>154</v>
      </c>
      <c r="Y843" s="121"/>
      <c r="Z843" s="121" t="str">
        <f>Таблица18[[#This Row],[Хар-ка]]</f>
        <v>высший</v>
      </c>
      <c r="AD843" s="459"/>
      <c r="AE843" s="391"/>
    </row>
    <row r="844" spans="1:31" s="325" customFormat="1" ht="15.6" hidden="1" customHeight="1" x14ac:dyDescent="0.2">
      <c r="A844" s="40" t="s">
        <v>401</v>
      </c>
      <c r="B844" s="360" t="s">
        <v>511</v>
      </c>
      <c r="C844" s="40">
        <v>155</v>
      </c>
      <c r="D844" s="40">
        <v>19</v>
      </c>
      <c r="E844" s="40" t="s">
        <v>78</v>
      </c>
      <c r="F844" s="40" t="s">
        <v>79</v>
      </c>
      <c r="G844" s="40" t="s">
        <v>80</v>
      </c>
      <c r="H844" s="40" t="s">
        <v>110</v>
      </c>
      <c r="I844" s="360" t="e">
        <f>VLOOKUP(Таблица18[[#This Row],[Номер акта]],$AB$1:$AF$1833,3,FALSE)</f>
        <v>#N/A</v>
      </c>
      <c r="J844" s="40" t="s">
        <v>81</v>
      </c>
      <c r="K844" s="40" t="s">
        <v>82</v>
      </c>
      <c r="L844" s="121">
        <v>26590</v>
      </c>
      <c r="M844" s="121">
        <v>14190</v>
      </c>
      <c r="N844" s="121">
        <v>21</v>
      </c>
      <c r="O844" s="363">
        <v>12400</v>
      </c>
      <c r="P844" s="363">
        <v>9796</v>
      </c>
      <c r="Q844" s="121">
        <v>2025</v>
      </c>
      <c r="R844" s="121"/>
      <c r="S844" s="148">
        <v>45810</v>
      </c>
      <c r="T844" s="363">
        <f>Таблица18[[#This Row],[Вес нетто]]-Таблица18[[#This Row],[Зачетный вес]]</f>
        <v>2604</v>
      </c>
      <c r="U844" s="365">
        <f>Таблица18[[#This Row],[Отход]]/Таблица18[[#This Row],[Вес нетто]]</f>
        <v>0.21</v>
      </c>
      <c r="V844" s="121">
        <f>MONTH(Таблица18[[#This Row],[Дата акта]])</f>
        <v>6</v>
      </c>
      <c r="W844" s="121">
        <v>2</v>
      </c>
      <c r="X844" s="148">
        <f>DATE(1900,Таблица18[[#This Row],[Месяц]],Таблица18[[#This Row],[Число]])</f>
        <v>154</v>
      </c>
      <c r="Y844" s="121"/>
      <c r="Z844" s="121" t="str">
        <f>Таблица18[[#This Row],[Хар-ка]]</f>
        <v>высший</v>
      </c>
      <c r="AD844" s="459"/>
      <c r="AE844" s="391"/>
    </row>
    <row r="845" spans="1:31" s="325" customFormat="1" ht="15.6" hidden="1" customHeight="1" x14ac:dyDescent="0.2">
      <c r="A845" s="40" t="s">
        <v>402</v>
      </c>
      <c r="B845" s="360" t="s">
        <v>511</v>
      </c>
      <c r="C845" s="40">
        <v>156</v>
      </c>
      <c r="D845" s="40">
        <v>65927</v>
      </c>
      <c r="E845" s="40" t="s">
        <v>105</v>
      </c>
      <c r="F845" s="40" t="s">
        <v>1312</v>
      </c>
      <c r="G845" s="40" t="s">
        <v>320</v>
      </c>
      <c r="H845" s="40" t="s">
        <v>460</v>
      </c>
      <c r="I845" s="360" t="e">
        <f>VLOOKUP(Таблица18[[#This Row],[Номер акта]],$AB$1:$AF$1833,3,FALSE)</f>
        <v>#N/A</v>
      </c>
      <c r="J845" s="40" t="s">
        <v>21</v>
      </c>
      <c r="K845" s="40" t="s">
        <v>82</v>
      </c>
      <c r="L845" s="121">
        <v>28190</v>
      </c>
      <c r="M845" s="121">
        <v>14380</v>
      </c>
      <c r="N845" s="121">
        <v>23.5</v>
      </c>
      <c r="O845" s="363">
        <v>13810</v>
      </c>
      <c r="P845" s="363">
        <v>10564.6</v>
      </c>
      <c r="Q845" s="121">
        <v>2025</v>
      </c>
      <c r="R845" s="121"/>
      <c r="S845" s="148">
        <v>45810</v>
      </c>
      <c r="T845" s="363">
        <f>Таблица18[[#This Row],[Вес нетто]]-Таблица18[[#This Row],[Зачетный вес]]</f>
        <v>3245.3999999999996</v>
      </c>
      <c r="U845" s="365">
        <f>Таблица18[[#This Row],[Отход]]/Таблица18[[#This Row],[Вес нетто]]</f>
        <v>0.23500362056480809</v>
      </c>
      <c r="V845" s="121">
        <f>MONTH(Таблица18[[#This Row],[Дата акта]])</f>
        <v>6</v>
      </c>
      <c r="W845" s="121">
        <v>2</v>
      </c>
      <c r="X845" s="148">
        <f>DATE(1900,Таблица18[[#This Row],[Месяц]],Таблица18[[#This Row],[Число]])</f>
        <v>154</v>
      </c>
      <c r="Y845" s="121"/>
      <c r="Z845" s="121" t="str">
        <f>Таблица18[[#This Row],[Хар-ка]]</f>
        <v>высший</v>
      </c>
      <c r="AD845" s="459"/>
      <c r="AE845" s="391"/>
    </row>
    <row r="846" spans="1:31" s="325" customFormat="1" ht="15.6" hidden="1" customHeight="1" x14ac:dyDescent="0.2">
      <c r="A846" s="40" t="s">
        <v>403</v>
      </c>
      <c r="B846" s="360" t="s">
        <v>511</v>
      </c>
      <c r="C846" s="40">
        <v>158</v>
      </c>
      <c r="D846" s="40">
        <v>65928</v>
      </c>
      <c r="E846" s="40" t="s">
        <v>105</v>
      </c>
      <c r="F846" s="40" t="s">
        <v>335</v>
      </c>
      <c r="G846" s="40" t="s">
        <v>339</v>
      </c>
      <c r="H846" s="40" t="s">
        <v>460</v>
      </c>
      <c r="I846" s="360" t="e">
        <f>VLOOKUP(Таблица18[[#This Row],[Номер акта]],$AB$1:$AF$1833,3,FALSE)</f>
        <v>#N/A</v>
      </c>
      <c r="J846" s="40" t="s">
        <v>21</v>
      </c>
      <c r="K846" s="40" t="s">
        <v>82</v>
      </c>
      <c r="L846" s="121">
        <v>28300</v>
      </c>
      <c r="M846" s="121">
        <v>14800</v>
      </c>
      <c r="N846" s="121">
        <v>22.5</v>
      </c>
      <c r="O846" s="363">
        <v>13500</v>
      </c>
      <c r="P846" s="363">
        <v>10462.5</v>
      </c>
      <c r="Q846" s="121">
        <v>2025</v>
      </c>
      <c r="R846" s="121"/>
      <c r="S846" s="148">
        <v>45810</v>
      </c>
      <c r="T846" s="363">
        <f>Таблица18[[#This Row],[Вес нетто]]-Таблица18[[#This Row],[Зачетный вес]]</f>
        <v>3037.5</v>
      </c>
      <c r="U846" s="365">
        <f>Таблица18[[#This Row],[Отход]]/Таблица18[[#This Row],[Вес нетто]]</f>
        <v>0.22500000000000001</v>
      </c>
      <c r="V846" s="121">
        <f>MONTH(Таблица18[[#This Row],[Дата акта]])</f>
        <v>6</v>
      </c>
      <c r="W846" s="121">
        <v>2</v>
      </c>
      <c r="X846" s="148">
        <f>DATE(1900,Таблица18[[#This Row],[Месяц]],Таблица18[[#This Row],[Число]])</f>
        <v>154</v>
      </c>
      <c r="Y846" s="121"/>
      <c r="Z846" s="121" t="str">
        <f>Таблица18[[#This Row],[Хар-ка]]</f>
        <v>высший</v>
      </c>
      <c r="AD846" s="459"/>
      <c r="AE846" s="391"/>
    </row>
    <row r="847" spans="1:31" s="325" customFormat="1" ht="15.6" hidden="1" customHeight="1" x14ac:dyDescent="0.2">
      <c r="A847" s="40" t="s">
        <v>404</v>
      </c>
      <c r="B847" s="360" t="s">
        <v>511</v>
      </c>
      <c r="C847" s="40">
        <v>164</v>
      </c>
      <c r="D847" s="40">
        <v>65929</v>
      </c>
      <c r="E847" s="40" t="s">
        <v>105</v>
      </c>
      <c r="F847" s="40" t="s">
        <v>311</v>
      </c>
      <c r="G847" s="40" t="s">
        <v>315</v>
      </c>
      <c r="H847" s="40" t="s">
        <v>460</v>
      </c>
      <c r="I847" s="360" t="e">
        <f>VLOOKUP(Таблица18[[#This Row],[Номер акта]],$AB$1:$AF$1833,3,FALSE)</f>
        <v>#N/A</v>
      </c>
      <c r="J847" s="40" t="s">
        <v>301</v>
      </c>
      <c r="K847" s="40" t="s">
        <v>82</v>
      </c>
      <c r="L847" s="121">
        <v>28400</v>
      </c>
      <c r="M847" s="121">
        <v>14970</v>
      </c>
      <c r="N847" s="121">
        <v>21.5</v>
      </c>
      <c r="O847" s="363">
        <v>13430</v>
      </c>
      <c r="P847" s="363">
        <v>10542.5</v>
      </c>
      <c r="Q847" s="121">
        <v>2025</v>
      </c>
      <c r="R847" s="121"/>
      <c r="S847" s="148">
        <v>45810</v>
      </c>
      <c r="T847" s="363">
        <f>Таблица18[[#This Row],[Вес нетто]]-Таблица18[[#This Row],[Зачетный вес]]</f>
        <v>2887.5</v>
      </c>
      <c r="U847" s="365">
        <f>Таблица18[[#This Row],[Отход]]/Таблица18[[#This Row],[Вес нетто]]</f>
        <v>0.21500372300819062</v>
      </c>
      <c r="V847" s="121">
        <f>MONTH(Таблица18[[#This Row],[Дата акта]])</f>
        <v>6</v>
      </c>
      <c r="W847" s="121">
        <v>2</v>
      </c>
      <c r="X847" s="148">
        <f>DATE(1900,Таблица18[[#This Row],[Месяц]],Таблица18[[#This Row],[Число]])</f>
        <v>154</v>
      </c>
      <c r="Y847" s="121"/>
      <c r="Z847" s="121" t="str">
        <f>Таблица18[[#This Row],[Хар-ка]]</f>
        <v>высший</v>
      </c>
      <c r="AD847" s="459"/>
      <c r="AE847" s="391"/>
    </row>
    <row r="848" spans="1:31" s="325" customFormat="1" ht="15.6" hidden="1" customHeight="1" x14ac:dyDescent="0.2">
      <c r="A848" s="40" t="s">
        <v>405</v>
      </c>
      <c r="B848" s="360" t="s">
        <v>511</v>
      </c>
      <c r="C848" s="40">
        <v>165</v>
      </c>
      <c r="D848" s="40">
        <v>65940</v>
      </c>
      <c r="E848" s="40" t="s">
        <v>105</v>
      </c>
      <c r="F848" s="40" t="s">
        <v>347</v>
      </c>
      <c r="G848" s="40" t="s">
        <v>351</v>
      </c>
      <c r="H848" s="40" t="s">
        <v>460</v>
      </c>
      <c r="I848" s="360" t="e">
        <f>VLOOKUP(Таблица18[[#This Row],[Номер акта]],$AB$1:$AF$1833,3,FALSE)</f>
        <v>#N/A</v>
      </c>
      <c r="J848" s="40" t="s">
        <v>301</v>
      </c>
      <c r="K848" s="40" t="s">
        <v>82</v>
      </c>
      <c r="L848" s="121">
        <v>32140</v>
      </c>
      <c r="M848" s="121">
        <v>18690</v>
      </c>
      <c r="N848" s="121">
        <v>21</v>
      </c>
      <c r="O848" s="363">
        <v>13450</v>
      </c>
      <c r="P848" s="363">
        <v>10625.5</v>
      </c>
      <c r="Q848" s="121">
        <v>2025</v>
      </c>
      <c r="R848" s="121"/>
      <c r="S848" s="148">
        <v>45810</v>
      </c>
      <c r="T848" s="363">
        <f>Таблица18[[#This Row],[Вес нетто]]-Таблица18[[#This Row],[Зачетный вес]]</f>
        <v>2824.5</v>
      </c>
      <c r="U848" s="365">
        <f>Таблица18[[#This Row],[Отход]]/Таблица18[[#This Row],[Вес нетто]]</f>
        <v>0.21</v>
      </c>
      <c r="V848" s="121">
        <f>MONTH(Таблица18[[#This Row],[Дата акта]])</f>
        <v>6</v>
      </c>
      <c r="W848" s="121">
        <v>2</v>
      </c>
      <c r="X848" s="148">
        <f>DATE(1900,Таблица18[[#This Row],[Месяц]],Таблица18[[#This Row],[Число]])</f>
        <v>154</v>
      </c>
      <c r="Y848" s="121"/>
      <c r="Z848" s="121" t="str">
        <f>Таблица18[[#This Row],[Хар-ка]]</f>
        <v>высший</v>
      </c>
      <c r="AD848" s="459"/>
      <c r="AE848" s="391"/>
    </row>
    <row r="849" spans="1:31" s="325" customFormat="1" ht="15.6" hidden="1" customHeight="1" x14ac:dyDescent="0.2">
      <c r="A849" s="40" t="s">
        <v>406</v>
      </c>
      <c r="B849" s="360" t="s">
        <v>511</v>
      </c>
      <c r="C849" s="40">
        <v>166</v>
      </c>
      <c r="D849" s="40">
        <v>65925</v>
      </c>
      <c r="E849" s="40" t="s">
        <v>105</v>
      </c>
      <c r="F849" s="40" t="s">
        <v>1151</v>
      </c>
      <c r="G849" s="40" t="s">
        <v>145</v>
      </c>
      <c r="H849" s="40" t="s">
        <v>460</v>
      </c>
      <c r="I849" s="360" t="e">
        <f>VLOOKUP(Таблица18[[#This Row],[Номер акта]],$AB$1:$AF$1833,3,FALSE)</f>
        <v>#N/A</v>
      </c>
      <c r="J849" s="40" t="s">
        <v>301</v>
      </c>
      <c r="K849" s="40" t="s">
        <v>82</v>
      </c>
      <c r="L849" s="121">
        <v>28920</v>
      </c>
      <c r="M849" s="121">
        <v>15610</v>
      </c>
      <c r="N849" s="121">
        <v>15.5</v>
      </c>
      <c r="O849" s="363">
        <v>13310</v>
      </c>
      <c r="P849" s="363">
        <v>11246.9</v>
      </c>
      <c r="Q849" s="121">
        <v>2025</v>
      </c>
      <c r="R849" s="121"/>
      <c r="S849" s="148">
        <v>45810</v>
      </c>
      <c r="T849" s="363">
        <f>Таблица18[[#This Row],[Вес нетто]]-Таблица18[[#This Row],[Зачетный вес]]</f>
        <v>2063.1000000000004</v>
      </c>
      <c r="U849" s="365">
        <f>Таблица18[[#This Row],[Отход]]/Таблица18[[#This Row],[Вес нетто]]</f>
        <v>0.15500375657400453</v>
      </c>
      <c r="V849" s="121">
        <f>MONTH(Таблица18[[#This Row],[Дата акта]])</f>
        <v>6</v>
      </c>
      <c r="W849" s="121">
        <v>2</v>
      </c>
      <c r="X849" s="148">
        <f>DATE(1900,Таблица18[[#This Row],[Месяц]],Таблица18[[#This Row],[Число]])</f>
        <v>154</v>
      </c>
      <c r="Y849" s="121"/>
      <c r="Z849" s="121" t="str">
        <f>Таблица18[[#This Row],[Хар-ка]]</f>
        <v>высший</v>
      </c>
      <c r="AD849" s="459"/>
      <c r="AE849" s="391"/>
    </row>
    <row r="850" spans="1:31" s="325" customFormat="1" ht="15.6" hidden="1" customHeight="1" x14ac:dyDescent="0.2">
      <c r="A850" s="40" t="s">
        <v>407</v>
      </c>
      <c r="B850" s="360" t="s">
        <v>511</v>
      </c>
      <c r="C850" s="40">
        <v>167</v>
      </c>
      <c r="D850" s="40">
        <v>23</v>
      </c>
      <c r="E850" s="40" t="s">
        <v>78</v>
      </c>
      <c r="F850" s="40" t="s">
        <v>127</v>
      </c>
      <c r="G850" s="40" t="s">
        <v>131</v>
      </c>
      <c r="H850" s="40" t="s">
        <v>110</v>
      </c>
      <c r="I850" s="360" t="e">
        <f>VLOOKUP(Таблица18[[#This Row],[Номер акта]],$AB$1:$AF$1833,3,FALSE)</f>
        <v>#N/A</v>
      </c>
      <c r="J850" s="40" t="s">
        <v>81</v>
      </c>
      <c r="K850" s="40" t="s">
        <v>82</v>
      </c>
      <c r="L850" s="121">
        <v>23520</v>
      </c>
      <c r="M850" s="121">
        <v>14390</v>
      </c>
      <c r="N850" s="121">
        <v>15.5</v>
      </c>
      <c r="O850" s="363">
        <v>9130</v>
      </c>
      <c r="P850" s="363">
        <v>7714.8</v>
      </c>
      <c r="Q850" s="121">
        <v>2025</v>
      </c>
      <c r="R850" s="121"/>
      <c r="S850" s="148">
        <v>45810</v>
      </c>
      <c r="T850" s="363">
        <f>Таблица18[[#This Row],[Вес нетто]]-Таблица18[[#This Row],[Зачетный вес]]</f>
        <v>1415.1999999999998</v>
      </c>
      <c r="U850" s="365">
        <f>Таблица18[[#This Row],[Отход]]/Таблица18[[#This Row],[Вес нетто]]</f>
        <v>0.15500547645125956</v>
      </c>
      <c r="V850" s="121">
        <f>MONTH(Таблица18[[#This Row],[Дата акта]])</f>
        <v>6</v>
      </c>
      <c r="W850" s="121">
        <v>2</v>
      </c>
      <c r="X850" s="148">
        <f>DATE(1900,Таблица18[[#This Row],[Месяц]],Таблица18[[#This Row],[Число]])</f>
        <v>154</v>
      </c>
      <c r="Y850" s="121"/>
      <c r="Z850" s="121" t="str">
        <f>Таблица18[[#This Row],[Хар-ка]]</f>
        <v>высший</v>
      </c>
      <c r="AD850" s="459"/>
      <c r="AE850" s="391"/>
    </row>
    <row r="851" spans="1:31" s="325" customFormat="1" ht="15.6" hidden="1" customHeight="1" x14ac:dyDescent="0.2">
      <c r="A851" s="40" t="s">
        <v>408</v>
      </c>
      <c r="B851" s="360" t="s">
        <v>511</v>
      </c>
      <c r="C851" s="40">
        <v>168</v>
      </c>
      <c r="D851" s="40">
        <v>65926</v>
      </c>
      <c r="E851" s="40" t="s">
        <v>105</v>
      </c>
      <c r="F851" s="40" t="s">
        <v>1461</v>
      </c>
      <c r="G851" s="40" t="s">
        <v>149</v>
      </c>
      <c r="H851" s="40" t="s">
        <v>460</v>
      </c>
      <c r="I851" s="360" t="e">
        <f>VLOOKUP(Таблица18[[#This Row],[Номер акта]],$AB$1:$AF$1833,3,FALSE)</f>
        <v>#N/A</v>
      </c>
      <c r="J851" s="40" t="s">
        <v>301</v>
      </c>
      <c r="K851" s="40" t="s">
        <v>82</v>
      </c>
      <c r="L851" s="121">
        <v>28350</v>
      </c>
      <c r="M851" s="121">
        <v>15010</v>
      </c>
      <c r="N851" s="121">
        <v>18.5</v>
      </c>
      <c r="O851" s="363">
        <v>13340</v>
      </c>
      <c r="P851" s="363">
        <v>10872.1</v>
      </c>
      <c r="Q851" s="121">
        <v>2025</v>
      </c>
      <c r="R851" s="121"/>
      <c r="S851" s="148">
        <v>45810</v>
      </c>
      <c r="T851" s="363">
        <f>Таблица18[[#This Row],[Вес нетто]]-Таблица18[[#This Row],[Зачетный вес]]</f>
        <v>2467.8999999999996</v>
      </c>
      <c r="U851" s="365">
        <f>Таблица18[[#This Row],[Отход]]/Таблица18[[#This Row],[Вес нетто]]</f>
        <v>0.18499999999999997</v>
      </c>
      <c r="V851" s="121">
        <f>MONTH(Таблица18[[#This Row],[Дата акта]])</f>
        <v>6</v>
      </c>
      <c r="W851" s="121">
        <v>2</v>
      </c>
      <c r="X851" s="148">
        <f>DATE(1900,Таблица18[[#This Row],[Месяц]],Таблица18[[#This Row],[Число]])</f>
        <v>154</v>
      </c>
      <c r="Y851" s="121"/>
      <c r="Z851" s="121" t="str">
        <f>Таблица18[[#This Row],[Хар-ка]]</f>
        <v>высший</v>
      </c>
      <c r="AD851" s="459"/>
      <c r="AE851" s="391"/>
    </row>
    <row r="852" spans="1:31" s="325" customFormat="1" ht="15.6" hidden="1" customHeight="1" x14ac:dyDescent="0.2">
      <c r="A852" s="40" t="s">
        <v>409</v>
      </c>
      <c r="B852" s="360" t="s">
        <v>511</v>
      </c>
      <c r="C852" s="40">
        <v>170</v>
      </c>
      <c r="D852" s="40">
        <v>24</v>
      </c>
      <c r="E852" s="40" t="s">
        <v>78</v>
      </c>
      <c r="F852" s="40" t="s">
        <v>335</v>
      </c>
      <c r="G852" s="40" t="s">
        <v>339</v>
      </c>
      <c r="H852" s="40" t="s">
        <v>110</v>
      </c>
      <c r="I852" s="360" t="e">
        <f>VLOOKUP(Таблица18[[#This Row],[Номер акта]],$AB$1:$AF$1833,3,FALSE)</f>
        <v>#N/A</v>
      </c>
      <c r="J852" s="40" t="s">
        <v>81</v>
      </c>
      <c r="K852" s="40" t="s">
        <v>82</v>
      </c>
      <c r="L852" s="121">
        <v>23950</v>
      </c>
      <c r="M852" s="121">
        <v>14790</v>
      </c>
      <c r="N852" s="121">
        <v>20.5</v>
      </c>
      <c r="O852" s="363">
        <v>9160</v>
      </c>
      <c r="P852" s="363">
        <v>7282.2</v>
      </c>
      <c r="Q852" s="121">
        <v>2025</v>
      </c>
      <c r="R852" s="121"/>
      <c r="S852" s="148">
        <v>45811</v>
      </c>
      <c r="T852" s="363">
        <f>Таблица18[[#This Row],[Вес нетто]]-Таблица18[[#This Row],[Зачетный вес]]</f>
        <v>1877.8000000000002</v>
      </c>
      <c r="U852" s="365">
        <f>Таблица18[[#This Row],[Отход]]/Таблица18[[#This Row],[Вес нетто]]</f>
        <v>0.20500000000000002</v>
      </c>
      <c r="V852" s="121">
        <f>MONTH(Таблица18[[#This Row],[Дата акта]])</f>
        <v>6</v>
      </c>
      <c r="W852" s="121">
        <v>3</v>
      </c>
      <c r="X852" s="148">
        <f>DATE(1900,Таблица18[[#This Row],[Месяц]],Таблица18[[#This Row],[Число]])</f>
        <v>155</v>
      </c>
      <c r="Y852" s="121"/>
      <c r="Z852" s="121" t="str">
        <f>Таблица18[[#This Row],[Хар-ка]]</f>
        <v>высший</v>
      </c>
      <c r="AD852" s="459"/>
      <c r="AE852" s="391"/>
    </row>
    <row r="853" spans="1:31" s="325" customFormat="1" ht="15.6" hidden="1" customHeight="1" x14ac:dyDescent="0.2">
      <c r="A853" s="40" t="s">
        <v>410</v>
      </c>
      <c r="B853" s="360" t="s">
        <v>511</v>
      </c>
      <c r="C853" s="40">
        <v>172</v>
      </c>
      <c r="D853" s="40">
        <v>26</v>
      </c>
      <c r="E853" s="40" t="s">
        <v>78</v>
      </c>
      <c r="F853" s="40" t="s">
        <v>127</v>
      </c>
      <c r="G853" s="40" t="s">
        <v>131</v>
      </c>
      <c r="H853" s="40" t="s">
        <v>110</v>
      </c>
      <c r="I853" s="360" t="e">
        <f>VLOOKUP(Таблица18[[#This Row],[Номер акта]],$AB$1:$AF$1833,3,FALSE)</f>
        <v>#N/A</v>
      </c>
      <c r="J853" s="40" t="s">
        <v>81</v>
      </c>
      <c r="K853" s="40" t="s">
        <v>82</v>
      </c>
      <c r="L853" s="121">
        <v>23580</v>
      </c>
      <c r="M853" s="121">
        <v>14380</v>
      </c>
      <c r="N853" s="121">
        <v>17.5</v>
      </c>
      <c r="O853" s="363">
        <v>9200</v>
      </c>
      <c r="P853" s="363">
        <v>7590</v>
      </c>
      <c r="Q853" s="121">
        <v>2025</v>
      </c>
      <c r="R853" s="121"/>
      <c r="S853" s="148">
        <v>45811</v>
      </c>
      <c r="T853" s="363">
        <f>Таблица18[[#This Row],[Вес нетто]]-Таблица18[[#This Row],[Зачетный вес]]</f>
        <v>1610</v>
      </c>
      <c r="U853" s="365">
        <f>Таблица18[[#This Row],[Отход]]/Таблица18[[#This Row],[Вес нетто]]</f>
        <v>0.17499999999999999</v>
      </c>
      <c r="V853" s="121">
        <f>MONTH(Таблица18[[#This Row],[Дата акта]])</f>
        <v>6</v>
      </c>
      <c r="W853" s="121">
        <v>3</v>
      </c>
      <c r="X853" s="148">
        <f>DATE(1900,Таблица18[[#This Row],[Месяц]],Таблица18[[#This Row],[Число]])</f>
        <v>155</v>
      </c>
      <c r="Y853" s="121"/>
      <c r="Z853" s="121" t="str">
        <f>Таблица18[[#This Row],[Хар-ка]]</f>
        <v>высший</v>
      </c>
      <c r="AD853" s="459"/>
      <c r="AE853" s="391"/>
    </row>
    <row r="854" spans="1:31" s="325" customFormat="1" ht="15.6" hidden="1" customHeight="1" x14ac:dyDescent="0.2">
      <c r="A854" s="40" t="s">
        <v>411</v>
      </c>
      <c r="B854" s="360" t="s">
        <v>511</v>
      </c>
      <c r="C854" s="40">
        <v>160</v>
      </c>
      <c r="D854" s="40" t="s">
        <v>528</v>
      </c>
      <c r="E854" s="40" t="s">
        <v>78</v>
      </c>
      <c r="F854" s="40" t="s">
        <v>283</v>
      </c>
      <c r="G854" s="40" t="s">
        <v>287</v>
      </c>
      <c r="H854" s="40" t="s">
        <v>110</v>
      </c>
      <c r="I854" s="360" t="e">
        <f>VLOOKUP(Таблица18[[#This Row],[Номер акта]],$AB$1:$AF$1833,3,FALSE)</f>
        <v>#N/A</v>
      </c>
      <c r="J854" s="40" t="s">
        <v>81</v>
      </c>
      <c r="K854" s="40" t="s">
        <v>82</v>
      </c>
      <c r="L854" s="121">
        <v>17590</v>
      </c>
      <c r="M854" s="121">
        <v>10530</v>
      </c>
      <c r="N854" s="121">
        <v>13.4</v>
      </c>
      <c r="O854" s="363">
        <v>7060</v>
      </c>
      <c r="P854" s="363">
        <v>6114.4</v>
      </c>
      <c r="Q854" s="121">
        <v>2025</v>
      </c>
      <c r="R854" s="121"/>
      <c r="S854" s="148">
        <v>45810</v>
      </c>
      <c r="T854" s="363">
        <f>Таблица18[[#This Row],[Вес нетто]]-Таблица18[[#This Row],[Зачетный вес]]</f>
        <v>945.60000000000036</v>
      </c>
      <c r="U854" s="365">
        <f>Таблица18[[#This Row],[Отход]]/Таблица18[[#This Row],[Вес нетто]]</f>
        <v>0.13393767705382442</v>
      </c>
      <c r="V854" s="121">
        <f>MONTH(Таблица18[[#This Row],[Дата акта]])</f>
        <v>6</v>
      </c>
      <c r="W854" s="121">
        <v>2</v>
      </c>
      <c r="X854" s="148">
        <f>DATE(1900,Таблица18[[#This Row],[Месяц]],Таблица18[[#This Row],[Число]])</f>
        <v>154</v>
      </c>
      <c r="Y854" s="121"/>
      <c r="Z854" s="121" t="str">
        <f>Таблица18[[#This Row],[Хар-ка]]</f>
        <v>высший</v>
      </c>
      <c r="AD854" s="459"/>
      <c r="AE854" s="391"/>
    </row>
    <row r="855" spans="1:31" s="325" customFormat="1" ht="15.6" hidden="1" customHeight="1" x14ac:dyDescent="0.2">
      <c r="A855" s="40" t="s">
        <v>412</v>
      </c>
      <c r="B855" s="360" t="s">
        <v>511</v>
      </c>
      <c r="C855" s="40">
        <v>162</v>
      </c>
      <c r="D855" s="40" t="s">
        <v>529</v>
      </c>
      <c r="E855" s="40" t="s">
        <v>78</v>
      </c>
      <c r="F855" s="40" t="s">
        <v>289</v>
      </c>
      <c r="G855" s="40" t="s">
        <v>293</v>
      </c>
      <c r="H855" s="40" t="s">
        <v>110</v>
      </c>
      <c r="I855" s="360" t="e">
        <f>VLOOKUP(Таблица18[[#This Row],[Номер акта]],$AB$1:$AF$1833,3,FALSE)</f>
        <v>#N/A</v>
      </c>
      <c r="J855" s="40" t="s">
        <v>81</v>
      </c>
      <c r="K855" s="40" t="s">
        <v>82</v>
      </c>
      <c r="L855" s="121">
        <v>27260</v>
      </c>
      <c r="M855" s="121">
        <v>17080</v>
      </c>
      <c r="N855" s="121">
        <v>13.7</v>
      </c>
      <c r="O855" s="363">
        <v>10180</v>
      </c>
      <c r="P855" s="363">
        <v>8787</v>
      </c>
      <c r="Q855" s="121">
        <v>2025</v>
      </c>
      <c r="R855" s="121"/>
      <c r="S855" s="148">
        <v>45810</v>
      </c>
      <c r="T855" s="363">
        <f>Таблица18[[#This Row],[Вес нетто]]-Таблица18[[#This Row],[Зачетный вес]]</f>
        <v>1393</v>
      </c>
      <c r="U855" s="365">
        <f>Таблица18[[#This Row],[Отход]]/Таблица18[[#This Row],[Вес нетто]]</f>
        <v>0.13683693516699411</v>
      </c>
      <c r="V855" s="121">
        <f>MONTH(Таблица18[[#This Row],[Дата акта]])</f>
        <v>6</v>
      </c>
      <c r="W855" s="121">
        <v>2</v>
      </c>
      <c r="X855" s="148">
        <f>DATE(1900,Таблица18[[#This Row],[Месяц]],Таблица18[[#This Row],[Число]])</f>
        <v>154</v>
      </c>
      <c r="Y855" s="121"/>
      <c r="Z855" s="121" t="str">
        <f>Таблица18[[#This Row],[Хар-ка]]</f>
        <v>высший</v>
      </c>
      <c r="AD855" s="459"/>
      <c r="AE855" s="391"/>
    </row>
    <row r="856" spans="1:31" s="325" customFormat="1" ht="15.6" hidden="1" customHeight="1" x14ac:dyDescent="0.2">
      <c r="A856" s="40" t="s">
        <v>413</v>
      </c>
      <c r="B856" s="360" t="s">
        <v>511</v>
      </c>
      <c r="C856" s="40">
        <v>163</v>
      </c>
      <c r="D856" s="40" t="s">
        <v>530</v>
      </c>
      <c r="E856" s="40" t="s">
        <v>78</v>
      </c>
      <c r="F856" s="40" t="s">
        <v>295</v>
      </c>
      <c r="G856" s="40" t="s">
        <v>299</v>
      </c>
      <c r="H856" s="40" t="s">
        <v>110</v>
      </c>
      <c r="I856" s="360" t="e">
        <f>VLOOKUP(Таблица18[[#This Row],[Номер акта]],$AB$1:$AF$1833,3,FALSE)</f>
        <v>#N/A</v>
      </c>
      <c r="J856" s="40" t="s">
        <v>81</v>
      </c>
      <c r="K856" s="40" t="s">
        <v>82</v>
      </c>
      <c r="L856" s="121">
        <v>32700</v>
      </c>
      <c r="M856" s="121">
        <v>17790</v>
      </c>
      <c r="N856" s="121">
        <v>13.4</v>
      </c>
      <c r="O856" s="363">
        <v>14910</v>
      </c>
      <c r="P856" s="363">
        <v>12905.6</v>
      </c>
      <c r="Q856" s="121">
        <v>2025</v>
      </c>
      <c r="R856" s="121"/>
      <c r="S856" s="148">
        <v>45810</v>
      </c>
      <c r="T856" s="363">
        <f>Таблица18[[#This Row],[Вес нетто]]-Таблица18[[#This Row],[Зачетный вес]]</f>
        <v>2004.3999999999996</v>
      </c>
      <c r="U856" s="365">
        <f>Таблица18[[#This Row],[Отход]]/Таблица18[[#This Row],[Вес нетто]]</f>
        <v>0.13443326626425214</v>
      </c>
      <c r="V856" s="121">
        <f>MONTH(Таблица18[[#This Row],[Дата акта]])</f>
        <v>6</v>
      </c>
      <c r="W856" s="121">
        <v>2</v>
      </c>
      <c r="X856" s="148">
        <f>DATE(1900,Таблица18[[#This Row],[Месяц]],Таблица18[[#This Row],[Число]])</f>
        <v>154</v>
      </c>
      <c r="Y856" s="121"/>
      <c r="Z856" s="121" t="str">
        <f>Таблица18[[#This Row],[Хар-ка]]</f>
        <v>высший</v>
      </c>
      <c r="AD856" s="459"/>
      <c r="AE856" s="391"/>
    </row>
    <row r="857" spans="1:31" s="325" customFormat="1" ht="15.6" hidden="1" customHeight="1" x14ac:dyDescent="0.2">
      <c r="A857" s="40" t="s">
        <v>414</v>
      </c>
      <c r="B857" s="360" t="s">
        <v>511</v>
      </c>
      <c r="C857" s="40">
        <v>163</v>
      </c>
      <c r="D857" s="40" t="s">
        <v>415</v>
      </c>
      <c r="E857" s="40" t="s">
        <v>105</v>
      </c>
      <c r="F857" s="40" t="s">
        <v>302</v>
      </c>
      <c r="G857" s="40" t="s">
        <v>303</v>
      </c>
      <c r="H857" s="40" t="s">
        <v>460</v>
      </c>
      <c r="I857" s="360" t="e">
        <f>VLOOKUP(Таблица18[[#This Row],[Номер акта]],$AB$1:$AF$1833,3,FALSE)</f>
        <v>#N/A</v>
      </c>
      <c r="J857" s="40" t="s">
        <v>301</v>
      </c>
      <c r="K857" s="40" t="s">
        <v>82</v>
      </c>
      <c r="L857" s="121">
        <v>34160</v>
      </c>
      <c r="M857" s="121">
        <v>16200</v>
      </c>
      <c r="N857" s="121">
        <v>7.5</v>
      </c>
      <c r="O857" s="363">
        <v>17960</v>
      </c>
      <c r="P857" s="363">
        <v>16610</v>
      </c>
      <c r="Q857" s="121">
        <v>2025</v>
      </c>
      <c r="R857" s="121"/>
      <c r="S857" s="148">
        <v>45810</v>
      </c>
      <c r="T857" s="363">
        <f>Таблица18[[#This Row],[Вес нетто]]-Таблица18[[#This Row],[Зачетный вес]]</f>
        <v>1350</v>
      </c>
      <c r="U857" s="365">
        <f>Таблица18[[#This Row],[Отход]]/Таблица18[[#This Row],[Вес нетто]]</f>
        <v>7.5167037861915365E-2</v>
      </c>
      <c r="V857" s="121">
        <f>MONTH(Таблица18[[#This Row],[Дата акта]])</f>
        <v>6</v>
      </c>
      <c r="W857" s="121">
        <v>2</v>
      </c>
      <c r="X857" s="148">
        <f>DATE(1900,Таблица18[[#This Row],[Месяц]],Таблица18[[#This Row],[Число]])</f>
        <v>154</v>
      </c>
      <c r="Y857" s="121"/>
      <c r="Z857" s="121" t="str">
        <f>Таблица18[[#This Row],[Хар-ка]]</f>
        <v>высший</v>
      </c>
      <c r="AD857" s="459"/>
      <c r="AE857" s="391"/>
    </row>
    <row r="858" spans="1:31" s="325" customFormat="1" ht="15.6" hidden="1" customHeight="1" x14ac:dyDescent="0.2">
      <c r="A858" s="40" t="s">
        <v>421</v>
      </c>
      <c r="B858" s="360" t="s">
        <v>511</v>
      </c>
      <c r="C858" s="40">
        <v>179</v>
      </c>
      <c r="D858" s="40">
        <v>30</v>
      </c>
      <c r="E858" s="40" t="s">
        <v>78</v>
      </c>
      <c r="F858" s="40" t="s">
        <v>79</v>
      </c>
      <c r="G858" s="40" t="s">
        <v>80</v>
      </c>
      <c r="H858" s="40" t="s">
        <v>422</v>
      </c>
      <c r="I858" s="360" t="e">
        <f>VLOOKUP(Таблица18[[#This Row],[Номер акта]],$AB$1:$AF$1833,3,FALSE)</f>
        <v>#N/A</v>
      </c>
      <c r="J858" s="40" t="s">
        <v>81</v>
      </c>
      <c r="K858" s="40" t="s">
        <v>82</v>
      </c>
      <c r="L858" s="121">
        <v>29230</v>
      </c>
      <c r="M858" s="121">
        <v>22520</v>
      </c>
      <c r="N858" s="121">
        <v>29</v>
      </c>
      <c r="O858" s="363">
        <v>6710</v>
      </c>
      <c r="P858" s="363">
        <v>4764.1000000000004</v>
      </c>
      <c r="Q858" s="121">
        <v>2025</v>
      </c>
      <c r="R858" s="121"/>
      <c r="S858" s="148">
        <v>45811</v>
      </c>
      <c r="T858" s="363">
        <f>Таблица18[[#This Row],[Вес нетто]]-Таблица18[[#This Row],[Зачетный вес]]</f>
        <v>1945.8999999999996</v>
      </c>
      <c r="U858" s="365">
        <f>Таблица18[[#This Row],[Отход]]/Таблица18[[#This Row],[Вес нетто]]</f>
        <v>0.28999999999999992</v>
      </c>
      <c r="V858" s="121">
        <f>MONTH(Таблица18[[#This Row],[Дата акта]])</f>
        <v>6</v>
      </c>
      <c r="W858" s="121">
        <v>3</v>
      </c>
      <c r="X858" s="148">
        <f>DATE(1900,Таблица18[[#This Row],[Месяц]],Таблица18[[#This Row],[Число]])</f>
        <v>155</v>
      </c>
      <c r="Y858" s="121"/>
      <c r="Z858" s="121" t="str">
        <f>Таблица18[[#This Row],[Хар-ка]]</f>
        <v>высший</v>
      </c>
      <c r="AD858" s="459"/>
      <c r="AE858" s="391"/>
    </row>
    <row r="859" spans="1:31" s="325" customFormat="1" ht="15.6" hidden="1" customHeight="1" x14ac:dyDescent="0.2">
      <c r="A859" s="40" t="s">
        <v>423</v>
      </c>
      <c r="B859" s="360" t="s">
        <v>511</v>
      </c>
      <c r="C859" s="40">
        <v>180</v>
      </c>
      <c r="D859" s="40">
        <v>30</v>
      </c>
      <c r="E859" s="40" t="s">
        <v>78</v>
      </c>
      <c r="F859" s="40" t="s">
        <v>79</v>
      </c>
      <c r="G859" s="40" t="s">
        <v>80</v>
      </c>
      <c r="H859" s="40" t="s">
        <v>110</v>
      </c>
      <c r="I859" s="360" t="e">
        <f>VLOOKUP(Таблица18[[#This Row],[Номер акта]],$AB$1:$AF$1833,3,FALSE)</f>
        <v>#N/A</v>
      </c>
      <c r="J859" s="40" t="s">
        <v>81</v>
      </c>
      <c r="K859" s="40" t="s">
        <v>82</v>
      </c>
      <c r="L859" s="121">
        <v>22520</v>
      </c>
      <c r="M859" s="121">
        <v>14140</v>
      </c>
      <c r="N859" s="121">
        <v>24</v>
      </c>
      <c r="O859" s="363">
        <v>8380</v>
      </c>
      <c r="P859" s="363">
        <v>6368.8</v>
      </c>
      <c r="Q859" s="121">
        <v>2025</v>
      </c>
      <c r="R859" s="121"/>
      <c r="S859" s="148">
        <v>45811</v>
      </c>
      <c r="T859" s="363">
        <f>Таблица18[[#This Row],[Вес нетто]]-Таблица18[[#This Row],[Зачетный вес]]</f>
        <v>2011.1999999999998</v>
      </c>
      <c r="U859" s="365">
        <f>Таблица18[[#This Row],[Отход]]/Таблица18[[#This Row],[Вес нетто]]</f>
        <v>0.24</v>
      </c>
      <c r="V859" s="121">
        <f>MONTH(Таблица18[[#This Row],[Дата акта]])</f>
        <v>6</v>
      </c>
      <c r="W859" s="121">
        <v>3</v>
      </c>
      <c r="X859" s="148">
        <f>DATE(1900,Таблица18[[#This Row],[Месяц]],Таблица18[[#This Row],[Число]])</f>
        <v>155</v>
      </c>
      <c r="Y859" s="121"/>
      <c r="Z859" s="121" t="str">
        <f>Таблица18[[#This Row],[Хар-ка]]</f>
        <v>высший</v>
      </c>
      <c r="AD859" s="459"/>
      <c r="AE859" s="391"/>
    </row>
    <row r="860" spans="1:31" s="325" customFormat="1" ht="15.6" hidden="1" customHeight="1" x14ac:dyDescent="0.2">
      <c r="A860" s="40" t="s">
        <v>424</v>
      </c>
      <c r="B860" s="360" t="s">
        <v>511</v>
      </c>
      <c r="C860" s="40">
        <v>182</v>
      </c>
      <c r="D860" s="40">
        <v>30</v>
      </c>
      <c r="E860" s="40" t="s">
        <v>78</v>
      </c>
      <c r="F860" s="40" t="s">
        <v>79</v>
      </c>
      <c r="G860" s="40" t="s">
        <v>80</v>
      </c>
      <c r="H860" s="40" t="s">
        <v>422</v>
      </c>
      <c r="I860" s="360" t="e">
        <f>VLOOKUP(Таблица18[[#This Row],[Номер акта]],$AB$1:$AF$1833,3,FALSE)</f>
        <v>#N/A</v>
      </c>
      <c r="J860" s="40" t="s">
        <v>81</v>
      </c>
      <c r="K860" s="40" t="s">
        <v>82</v>
      </c>
      <c r="L860" s="121">
        <v>14110</v>
      </c>
      <c r="M860" s="121">
        <v>9450</v>
      </c>
      <c r="N860" s="121">
        <v>31</v>
      </c>
      <c r="O860" s="363">
        <v>4660</v>
      </c>
      <c r="P860" s="363">
        <v>3215.4</v>
      </c>
      <c r="Q860" s="121">
        <v>2025</v>
      </c>
      <c r="R860" s="121"/>
      <c r="S860" s="148">
        <v>45811</v>
      </c>
      <c r="T860" s="363">
        <f>Таблица18[[#This Row],[Вес нетто]]-Таблица18[[#This Row],[Зачетный вес]]</f>
        <v>1444.6</v>
      </c>
      <c r="U860" s="365">
        <f>Таблица18[[#This Row],[Отход]]/Таблица18[[#This Row],[Вес нетто]]</f>
        <v>0.31</v>
      </c>
      <c r="V860" s="121">
        <f>MONTH(Таблица18[[#This Row],[Дата акта]])</f>
        <v>6</v>
      </c>
      <c r="W860" s="121">
        <v>3</v>
      </c>
      <c r="X860" s="148">
        <f>DATE(1900,Таблица18[[#This Row],[Месяц]],Таблица18[[#This Row],[Число]])</f>
        <v>155</v>
      </c>
      <c r="Y860" s="121"/>
      <c r="Z860" s="121" t="str">
        <f>Таблица18[[#This Row],[Хар-ка]]</f>
        <v>высший</v>
      </c>
      <c r="AD860" s="459"/>
      <c r="AE860" s="391"/>
    </row>
    <row r="861" spans="1:31" s="325" customFormat="1" ht="15.6" hidden="1" customHeight="1" x14ac:dyDescent="0.2">
      <c r="A861" s="40" t="s">
        <v>425</v>
      </c>
      <c r="B861" s="360" t="s">
        <v>511</v>
      </c>
      <c r="C861" s="40">
        <v>181</v>
      </c>
      <c r="D861" s="40">
        <v>65933</v>
      </c>
      <c r="E861" s="40" t="s">
        <v>105</v>
      </c>
      <c r="F861" s="40" t="s">
        <v>1152</v>
      </c>
      <c r="G861" s="40" t="s">
        <v>119</v>
      </c>
      <c r="H861" s="40" t="s">
        <v>460</v>
      </c>
      <c r="I861" s="360" t="e">
        <f>VLOOKUP(Таблица18[[#This Row],[Номер акта]],$AB$1:$AF$1833,3,FALSE)</f>
        <v>#N/A</v>
      </c>
      <c r="J861" s="40" t="s">
        <v>21</v>
      </c>
      <c r="K861" s="40" t="s">
        <v>82</v>
      </c>
      <c r="L861" s="121">
        <v>34390</v>
      </c>
      <c r="M861" s="121">
        <v>20870</v>
      </c>
      <c r="N861" s="121">
        <v>18.5</v>
      </c>
      <c r="O861" s="363">
        <v>13520</v>
      </c>
      <c r="P861" s="363">
        <v>11018.8</v>
      </c>
      <c r="Q861" s="121">
        <v>2025</v>
      </c>
      <c r="R861" s="121"/>
      <c r="S861" s="148">
        <v>45811</v>
      </c>
      <c r="T861" s="363">
        <f>Таблица18[[#This Row],[Вес нетто]]-Таблица18[[#This Row],[Зачетный вес]]</f>
        <v>2501.2000000000007</v>
      </c>
      <c r="U861" s="365">
        <f>Таблица18[[#This Row],[Отход]]/Таблица18[[#This Row],[Вес нетто]]</f>
        <v>0.18500000000000005</v>
      </c>
      <c r="V861" s="121">
        <f>MONTH(Таблица18[[#This Row],[Дата акта]])</f>
        <v>6</v>
      </c>
      <c r="W861" s="121">
        <v>3</v>
      </c>
      <c r="X861" s="148">
        <f>DATE(1900,Таблица18[[#This Row],[Месяц]],Таблица18[[#This Row],[Число]])</f>
        <v>155</v>
      </c>
      <c r="Y861" s="121"/>
      <c r="Z861" s="121" t="str">
        <f>Таблица18[[#This Row],[Хар-ка]]</f>
        <v>высший</v>
      </c>
      <c r="AD861" s="459"/>
      <c r="AE861" s="391"/>
    </row>
    <row r="862" spans="1:31" s="325" customFormat="1" ht="15.6" hidden="1" customHeight="1" x14ac:dyDescent="0.2">
      <c r="A862" s="40" t="s">
        <v>426</v>
      </c>
      <c r="B862" s="360" t="s">
        <v>511</v>
      </c>
      <c r="C862" s="40">
        <v>186</v>
      </c>
      <c r="D862" s="40">
        <v>65935</v>
      </c>
      <c r="E862" s="40" t="s">
        <v>105</v>
      </c>
      <c r="F862" s="40" t="s">
        <v>151</v>
      </c>
      <c r="G862" s="40" t="s">
        <v>155</v>
      </c>
      <c r="H862" s="40" t="s">
        <v>460</v>
      </c>
      <c r="I862" s="360" t="e">
        <f>VLOOKUP(Таблица18[[#This Row],[Номер акта]],$AB$1:$AF$1833,3,FALSE)</f>
        <v>#N/A</v>
      </c>
      <c r="J862" s="40" t="s">
        <v>21</v>
      </c>
      <c r="K862" s="40" t="s">
        <v>82</v>
      </c>
      <c r="L862" s="121">
        <v>28460</v>
      </c>
      <c r="M862" s="121">
        <v>14860</v>
      </c>
      <c r="N862" s="121">
        <v>16.5</v>
      </c>
      <c r="O862" s="363">
        <v>13600</v>
      </c>
      <c r="P862" s="363">
        <v>11356</v>
      </c>
      <c r="Q862" s="121">
        <v>2025</v>
      </c>
      <c r="R862" s="121"/>
      <c r="S862" s="148">
        <v>45811</v>
      </c>
      <c r="T862" s="363">
        <f>Таблица18[[#This Row],[Вес нетто]]-Таблица18[[#This Row],[Зачетный вес]]</f>
        <v>2244</v>
      </c>
      <c r="U862" s="365">
        <f>Таблица18[[#This Row],[Отход]]/Таблица18[[#This Row],[Вес нетто]]</f>
        <v>0.16500000000000001</v>
      </c>
      <c r="V862" s="121">
        <f>MONTH(Таблица18[[#This Row],[Дата акта]])</f>
        <v>6</v>
      </c>
      <c r="W862" s="121">
        <v>3</v>
      </c>
      <c r="X862" s="148">
        <f>DATE(1900,Таблица18[[#This Row],[Месяц]],Таблица18[[#This Row],[Число]])</f>
        <v>155</v>
      </c>
      <c r="Y862" s="121"/>
      <c r="Z862" s="121" t="str">
        <f>Таблица18[[#This Row],[Хар-ка]]</f>
        <v>высший</v>
      </c>
      <c r="AD862" s="459"/>
      <c r="AE862" s="391"/>
    </row>
    <row r="863" spans="1:31" s="325" customFormat="1" ht="15.6" hidden="1" customHeight="1" x14ac:dyDescent="0.2">
      <c r="A863" s="40" t="s">
        <v>427</v>
      </c>
      <c r="B863" s="360" t="s">
        <v>511</v>
      </c>
      <c r="C863" s="40">
        <v>187</v>
      </c>
      <c r="D863" s="40">
        <v>65936</v>
      </c>
      <c r="E863" s="40" t="s">
        <v>105</v>
      </c>
      <c r="F863" s="40" t="s">
        <v>160</v>
      </c>
      <c r="G863" s="40" t="s">
        <v>164</v>
      </c>
      <c r="H863" s="40" t="s">
        <v>460</v>
      </c>
      <c r="I863" s="360" t="e">
        <f>VLOOKUP(Таблица18[[#This Row],[Номер акта]],$AB$1:$AF$1833,3,FALSE)</f>
        <v>#N/A</v>
      </c>
      <c r="J863" s="40" t="s">
        <v>21</v>
      </c>
      <c r="K863" s="40" t="s">
        <v>82</v>
      </c>
      <c r="L863" s="121">
        <v>37510</v>
      </c>
      <c r="M863" s="121">
        <v>24030</v>
      </c>
      <c r="N863" s="121">
        <v>13.5</v>
      </c>
      <c r="O863" s="363">
        <v>13480</v>
      </c>
      <c r="P863" s="363">
        <v>11660.2</v>
      </c>
      <c r="Q863" s="121">
        <v>2025</v>
      </c>
      <c r="R863" s="121"/>
      <c r="S863" s="148">
        <v>45811</v>
      </c>
      <c r="T863" s="363">
        <f>Таблица18[[#This Row],[Вес нетто]]-Таблица18[[#This Row],[Зачетный вес]]</f>
        <v>1819.7999999999993</v>
      </c>
      <c r="U863" s="365">
        <f>Таблица18[[#This Row],[Отход]]/Таблица18[[#This Row],[Вес нетто]]</f>
        <v>0.13499999999999995</v>
      </c>
      <c r="V863" s="121">
        <f>MONTH(Таблица18[[#This Row],[Дата акта]])</f>
        <v>6</v>
      </c>
      <c r="W863" s="121">
        <v>3</v>
      </c>
      <c r="X863" s="148">
        <f>DATE(1900,Таблица18[[#This Row],[Месяц]],Таблица18[[#This Row],[Число]])</f>
        <v>155</v>
      </c>
      <c r="Y863" s="121"/>
      <c r="Z863" s="121" t="str">
        <f>Таблица18[[#This Row],[Хар-ка]]</f>
        <v>высший</v>
      </c>
      <c r="AD863" s="459"/>
      <c r="AE863" s="391"/>
    </row>
    <row r="864" spans="1:31" s="325" customFormat="1" ht="15.6" hidden="1" customHeight="1" x14ac:dyDescent="0.2">
      <c r="A864" s="40" t="s">
        <v>428</v>
      </c>
      <c r="B864" s="360" t="s">
        <v>511</v>
      </c>
      <c r="C864" s="40">
        <v>188</v>
      </c>
      <c r="D864" s="40">
        <v>31</v>
      </c>
      <c r="E864" s="40" t="s">
        <v>78</v>
      </c>
      <c r="F864" s="40" t="s">
        <v>79</v>
      </c>
      <c r="G864" s="40" t="s">
        <v>80</v>
      </c>
      <c r="H864" s="40" t="s">
        <v>422</v>
      </c>
      <c r="I864" s="360" t="e">
        <f>VLOOKUP(Таблица18[[#This Row],[Номер акта]],$AB$1:$AF$1833,3,FALSE)</f>
        <v>#N/A</v>
      </c>
      <c r="J864" s="40" t="s">
        <v>81</v>
      </c>
      <c r="K864" s="40" t="s">
        <v>82</v>
      </c>
      <c r="L864" s="121">
        <v>13910</v>
      </c>
      <c r="M864" s="121">
        <v>9460</v>
      </c>
      <c r="N864" s="121">
        <v>19.5</v>
      </c>
      <c r="O864" s="363">
        <v>4450</v>
      </c>
      <c r="P864" s="363">
        <v>3582.2</v>
      </c>
      <c r="Q864" s="121">
        <v>2025</v>
      </c>
      <c r="R864" s="121"/>
      <c r="S864" s="148">
        <v>45811</v>
      </c>
      <c r="T864" s="363">
        <f>Таблица18[[#This Row],[Вес нетто]]-Таблица18[[#This Row],[Зачетный вес]]</f>
        <v>867.80000000000018</v>
      </c>
      <c r="U864" s="365">
        <f>Таблица18[[#This Row],[Отход]]/Таблица18[[#This Row],[Вес нетто]]</f>
        <v>0.19501123595505623</v>
      </c>
      <c r="V864" s="121">
        <f>MONTH(Таблица18[[#This Row],[Дата акта]])</f>
        <v>6</v>
      </c>
      <c r="W864" s="121">
        <v>3</v>
      </c>
      <c r="X864" s="148">
        <f>DATE(1900,Таблица18[[#This Row],[Месяц]],Таблица18[[#This Row],[Число]])</f>
        <v>155</v>
      </c>
      <c r="Y864" s="121"/>
      <c r="Z864" s="121" t="str">
        <f>Таблица18[[#This Row],[Хар-ка]]</f>
        <v>высший</v>
      </c>
      <c r="AD864" s="459"/>
      <c r="AE864" s="391"/>
    </row>
    <row r="865" spans="1:31" s="325" customFormat="1" ht="15.6" hidden="1" customHeight="1" x14ac:dyDescent="0.2">
      <c r="A865" s="40" t="s">
        <v>429</v>
      </c>
      <c r="B865" s="360" t="s">
        <v>511</v>
      </c>
      <c r="C865" s="40">
        <v>189</v>
      </c>
      <c r="D865" s="40">
        <v>65937</v>
      </c>
      <c r="E865" s="40" t="s">
        <v>105</v>
      </c>
      <c r="F865" s="40" t="s">
        <v>166</v>
      </c>
      <c r="G865" s="40" t="s">
        <v>170</v>
      </c>
      <c r="H865" s="40" t="s">
        <v>460</v>
      </c>
      <c r="I865" s="360" t="e">
        <f>VLOOKUP(Таблица18[[#This Row],[Номер акта]],$AB$1:$AF$1833,3,FALSE)</f>
        <v>#N/A</v>
      </c>
      <c r="J865" s="40" t="s">
        <v>21</v>
      </c>
      <c r="K865" s="40" t="s">
        <v>82</v>
      </c>
      <c r="L865" s="121">
        <v>28520</v>
      </c>
      <c r="M865" s="121">
        <v>14820</v>
      </c>
      <c r="N865" s="121">
        <v>16</v>
      </c>
      <c r="O865" s="363">
        <v>13700</v>
      </c>
      <c r="P865" s="363">
        <v>11508</v>
      </c>
      <c r="Q865" s="121">
        <v>2025</v>
      </c>
      <c r="R865" s="121"/>
      <c r="S865" s="148">
        <v>45811</v>
      </c>
      <c r="T865" s="363">
        <f>Таблица18[[#This Row],[Вес нетто]]-Таблица18[[#This Row],[Зачетный вес]]</f>
        <v>2192</v>
      </c>
      <c r="U865" s="365">
        <f>Таблица18[[#This Row],[Отход]]/Таблица18[[#This Row],[Вес нетто]]</f>
        <v>0.16</v>
      </c>
      <c r="V865" s="121">
        <f>MONTH(Таблица18[[#This Row],[Дата акта]])</f>
        <v>6</v>
      </c>
      <c r="W865" s="121">
        <v>3</v>
      </c>
      <c r="X865" s="148">
        <f>DATE(1900,Таблица18[[#This Row],[Месяц]],Таблица18[[#This Row],[Число]])</f>
        <v>155</v>
      </c>
      <c r="Y865" s="121"/>
      <c r="Z865" s="121" t="str">
        <f>Таблица18[[#This Row],[Хар-ка]]</f>
        <v>высший</v>
      </c>
      <c r="AD865" s="459"/>
      <c r="AE865" s="391"/>
    </row>
    <row r="866" spans="1:31" s="325" customFormat="1" ht="15.6" hidden="1" customHeight="1" x14ac:dyDescent="0.2">
      <c r="A866" s="40" t="s">
        <v>430</v>
      </c>
      <c r="B866" s="360" t="s">
        <v>511</v>
      </c>
      <c r="C866" s="40">
        <v>190</v>
      </c>
      <c r="D866" s="40">
        <v>65938</v>
      </c>
      <c r="E866" s="40" t="s">
        <v>105</v>
      </c>
      <c r="F866" s="40" t="s">
        <v>195</v>
      </c>
      <c r="G866" s="40" t="s">
        <v>199</v>
      </c>
      <c r="H866" s="40" t="s">
        <v>460</v>
      </c>
      <c r="I866" s="360" t="e">
        <f>VLOOKUP(Таблица18[[#This Row],[Номер акта]],$AB$1:$AF$1833,3,FALSE)</f>
        <v>#N/A</v>
      </c>
      <c r="J866" s="40" t="s">
        <v>21</v>
      </c>
      <c r="K866" s="40" t="s">
        <v>82</v>
      </c>
      <c r="L866" s="121">
        <v>28750</v>
      </c>
      <c r="M866" s="121">
        <v>15120</v>
      </c>
      <c r="N866" s="121">
        <v>20</v>
      </c>
      <c r="O866" s="363">
        <v>13630</v>
      </c>
      <c r="P866" s="363">
        <v>10904</v>
      </c>
      <c r="Q866" s="121">
        <v>2025</v>
      </c>
      <c r="R866" s="121"/>
      <c r="S866" s="148">
        <v>45811</v>
      </c>
      <c r="T866" s="363">
        <f>Таблица18[[#This Row],[Вес нетто]]-Таблица18[[#This Row],[Зачетный вес]]</f>
        <v>2726</v>
      </c>
      <c r="U866" s="365">
        <f>Таблица18[[#This Row],[Отход]]/Таблица18[[#This Row],[Вес нетто]]</f>
        <v>0.2</v>
      </c>
      <c r="V866" s="121">
        <f>MONTH(Таблица18[[#This Row],[Дата акта]])</f>
        <v>6</v>
      </c>
      <c r="W866" s="121">
        <v>3</v>
      </c>
      <c r="X866" s="148">
        <f>DATE(1900,Таблица18[[#This Row],[Месяц]],Таблица18[[#This Row],[Число]])</f>
        <v>155</v>
      </c>
      <c r="Y866" s="121"/>
      <c r="Z866" s="121" t="str">
        <f>Таблица18[[#This Row],[Хар-ка]]</f>
        <v>высший</v>
      </c>
      <c r="AD866" s="459"/>
      <c r="AE866" s="391"/>
    </row>
    <row r="867" spans="1:31" s="325" customFormat="1" ht="15.6" hidden="1" customHeight="1" x14ac:dyDescent="0.2">
      <c r="A867" s="40" t="s">
        <v>431</v>
      </c>
      <c r="B867" s="360" t="s">
        <v>511</v>
      </c>
      <c r="C867" s="40">
        <v>191</v>
      </c>
      <c r="D867" s="40">
        <v>65939</v>
      </c>
      <c r="E867" s="40" t="s">
        <v>105</v>
      </c>
      <c r="F867" s="40" t="s">
        <v>234</v>
      </c>
      <c r="G867" s="40" t="s">
        <v>238</v>
      </c>
      <c r="H867" s="40" t="s">
        <v>460</v>
      </c>
      <c r="I867" s="360" t="e">
        <f>VLOOKUP(Таблица18[[#This Row],[Номер акта]],$AB$1:$AF$1833,3,FALSE)</f>
        <v>#N/A</v>
      </c>
      <c r="J867" s="40" t="s">
        <v>21</v>
      </c>
      <c r="K867" s="40" t="s">
        <v>82</v>
      </c>
      <c r="L867" s="121">
        <v>28870</v>
      </c>
      <c r="M867" s="121">
        <v>15420</v>
      </c>
      <c r="N867" s="121">
        <v>18</v>
      </c>
      <c r="O867" s="363">
        <v>13450</v>
      </c>
      <c r="P867" s="363">
        <v>11029</v>
      </c>
      <c r="Q867" s="121">
        <v>2025</v>
      </c>
      <c r="R867" s="121"/>
      <c r="S867" s="148">
        <v>45811</v>
      </c>
      <c r="T867" s="363">
        <f>Таблица18[[#This Row],[Вес нетто]]-Таблица18[[#This Row],[Зачетный вес]]</f>
        <v>2421</v>
      </c>
      <c r="U867" s="365">
        <f>Таблица18[[#This Row],[Отход]]/Таблица18[[#This Row],[Вес нетто]]</f>
        <v>0.18</v>
      </c>
      <c r="V867" s="121">
        <f>MONTH(Таблица18[[#This Row],[Дата акта]])</f>
        <v>6</v>
      </c>
      <c r="W867" s="121">
        <v>3</v>
      </c>
      <c r="X867" s="148">
        <f>DATE(1900,Таблица18[[#This Row],[Месяц]],Таблица18[[#This Row],[Число]])</f>
        <v>155</v>
      </c>
      <c r="Y867" s="121"/>
      <c r="Z867" s="121" t="str">
        <f>Таблица18[[#This Row],[Хар-ка]]</f>
        <v>высший</v>
      </c>
      <c r="AD867" s="459"/>
      <c r="AE867" s="391"/>
    </row>
    <row r="868" spans="1:31" s="325" customFormat="1" ht="15.6" hidden="1" customHeight="1" x14ac:dyDescent="0.2">
      <c r="A868" s="40" t="s">
        <v>432</v>
      </c>
      <c r="B868" s="360" t="s">
        <v>511</v>
      </c>
      <c r="C868" s="40">
        <v>192</v>
      </c>
      <c r="D868" s="40">
        <v>65941</v>
      </c>
      <c r="E868" s="40" t="s">
        <v>105</v>
      </c>
      <c r="F868" s="40" t="s">
        <v>133</v>
      </c>
      <c r="G868" s="40" t="s">
        <v>137</v>
      </c>
      <c r="H868" s="40" t="s">
        <v>460</v>
      </c>
      <c r="I868" s="360" t="e">
        <f>VLOOKUP(Таблица18[[#This Row],[Номер акта]],$AB$1:$AF$1833,3,FALSE)</f>
        <v>#N/A</v>
      </c>
      <c r="J868" s="40" t="s">
        <v>21</v>
      </c>
      <c r="K868" s="40" t="s">
        <v>82</v>
      </c>
      <c r="L868" s="121">
        <v>28210</v>
      </c>
      <c r="M868" s="121">
        <v>14770</v>
      </c>
      <c r="N868" s="121">
        <v>18.5</v>
      </c>
      <c r="O868" s="363">
        <v>13440</v>
      </c>
      <c r="P868" s="363">
        <v>10953.6</v>
      </c>
      <c r="Q868" s="121">
        <v>2025</v>
      </c>
      <c r="R868" s="121"/>
      <c r="S868" s="148">
        <v>45811</v>
      </c>
      <c r="T868" s="363">
        <f>Таблица18[[#This Row],[Вес нетто]]-Таблица18[[#This Row],[Зачетный вес]]</f>
        <v>2486.3999999999996</v>
      </c>
      <c r="U868" s="365">
        <f>Таблица18[[#This Row],[Отход]]/Таблица18[[#This Row],[Вес нетто]]</f>
        <v>0.18499999999999997</v>
      </c>
      <c r="V868" s="121">
        <f>MONTH(Таблица18[[#This Row],[Дата акта]])</f>
        <v>6</v>
      </c>
      <c r="W868" s="121">
        <v>3</v>
      </c>
      <c r="X868" s="148">
        <f>DATE(1900,Таблица18[[#This Row],[Месяц]],Таблица18[[#This Row],[Число]])</f>
        <v>155</v>
      </c>
      <c r="Y868" s="121"/>
      <c r="Z868" s="121" t="str">
        <f>Таблица18[[#This Row],[Хар-ка]]</f>
        <v>высший</v>
      </c>
      <c r="AD868" s="459"/>
      <c r="AE868" s="391"/>
    </row>
    <row r="869" spans="1:31" s="325" customFormat="1" ht="15.6" hidden="1" customHeight="1" x14ac:dyDescent="0.2">
      <c r="A869" s="40" t="s">
        <v>433</v>
      </c>
      <c r="B869" s="360" t="s">
        <v>511</v>
      </c>
      <c r="C869" s="40">
        <v>194</v>
      </c>
      <c r="D869" s="40">
        <v>65930</v>
      </c>
      <c r="E869" s="40" t="s">
        <v>105</v>
      </c>
      <c r="F869" s="40" t="s">
        <v>244</v>
      </c>
      <c r="G869" s="40" t="s">
        <v>248</v>
      </c>
      <c r="H869" s="40" t="s">
        <v>460</v>
      </c>
      <c r="I869" s="360" t="e">
        <f>VLOOKUP(Таблица18[[#This Row],[Номер акта]],$AB$1:$AF$1833,3,FALSE)</f>
        <v>#N/A</v>
      </c>
      <c r="J869" s="40" t="s">
        <v>21</v>
      </c>
      <c r="K869" s="40" t="s">
        <v>82</v>
      </c>
      <c r="L869" s="121">
        <v>29090</v>
      </c>
      <c r="M869" s="121">
        <v>15650</v>
      </c>
      <c r="N869" s="121">
        <v>22</v>
      </c>
      <c r="O869" s="363">
        <v>13440</v>
      </c>
      <c r="P869" s="363">
        <v>10483.200000000001</v>
      </c>
      <c r="Q869" s="121">
        <v>2025</v>
      </c>
      <c r="R869" s="121"/>
      <c r="S869" s="148">
        <v>45812</v>
      </c>
      <c r="T869" s="363">
        <f>Таблица18[[#This Row],[Вес нетто]]-Таблица18[[#This Row],[Зачетный вес]]</f>
        <v>2956.7999999999993</v>
      </c>
      <c r="U869" s="365">
        <f>Таблица18[[#This Row],[Отход]]/Таблица18[[#This Row],[Вес нетто]]</f>
        <v>0.21999999999999995</v>
      </c>
      <c r="V869" s="121">
        <f>MONTH(Таблица18[[#This Row],[Дата акта]])</f>
        <v>6</v>
      </c>
      <c r="W869" s="121">
        <v>4</v>
      </c>
      <c r="X869" s="148">
        <f>DATE(1900,Таблица18[[#This Row],[Месяц]],Таблица18[[#This Row],[Число]])</f>
        <v>156</v>
      </c>
      <c r="Y869" s="121"/>
      <c r="Z869" s="121" t="str">
        <f>Таблица18[[#This Row],[Хар-ка]]</f>
        <v>высший</v>
      </c>
      <c r="AD869" s="459"/>
      <c r="AE869" s="391"/>
    </row>
    <row r="870" spans="1:31" s="325" customFormat="1" ht="15.6" hidden="1" customHeight="1" x14ac:dyDescent="0.2">
      <c r="A870" s="40" t="s">
        <v>434</v>
      </c>
      <c r="B870" s="360" t="s">
        <v>511</v>
      </c>
      <c r="C870" s="40">
        <v>195</v>
      </c>
      <c r="D870" s="40">
        <v>65942</v>
      </c>
      <c r="E870" s="40" t="s">
        <v>105</v>
      </c>
      <c r="F870" s="40" t="s">
        <v>121</v>
      </c>
      <c r="G870" s="40" t="s">
        <v>125</v>
      </c>
      <c r="H870" s="40" t="s">
        <v>460</v>
      </c>
      <c r="I870" s="360" t="e">
        <f>VLOOKUP(Таблица18[[#This Row],[Номер акта]],$AB$1:$AF$1833,3,FALSE)</f>
        <v>#N/A</v>
      </c>
      <c r="J870" s="40" t="s">
        <v>21</v>
      </c>
      <c r="K870" s="40" t="s">
        <v>82</v>
      </c>
      <c r="L870" s="121">
        <v>28130</v>
      </c>
      <c r="M870" s="121">
        <v>14690</v>
      </c>
      <c r="N870" s="121">
        <v>15.5</v>
      </c>
      <c r="O870" s="363">
        <v>13440</v>
      </c>
      <c r="P870" s="363">
        <v>11356.8</v>
      </c>
      <c r="Q870" s="121">
        <v>2025</v>
      </c>
      <c r="R870" s="121"/>
      <c r="S870" s="148">
        <v>45812</v>
      </c>
      <c r="T870" s="363">
        <f>Таблица18[[#This Row],[Вес нетто]]-Таблица18[[#This Row],[Зачетный вес]]</f>
        <v>2083.2000000000007</v>
      </c>
      <c r="U870" s="365">
        <f>Таблица18[[#This Row],[Отход]]/Таблица18[[#This Row],[Вес нетто]]</f>
        <v>0.15500000000000005</v>
      </c>
      <c r="V870" s="121">
        <f>MONTH(Таблица18[[#This Row],[Дата акта]])</f>
        <v>6</v>
      </c>
      <c r="W870" s="121">
        <v>4</v>
      </c>
      <c r="X870" s="148">
        <f>DATE(1900,Таблица18[[#This Row],[Месяц]],Таблица18[[#This Row],[Число]])</f>
        <v>156</v>
      </c>
      <c r="Y870" s="121"/>
      <c r="Z870" s="121" t="str">
        <f>Таблица18[[#This Row],[Хар-ка]]</f>
        <v>высший</v>
      </c>
      <c r="AD870" s="459"/>
      <c r="AE870" s="391"/>
    </row>
    <row r="871" spans="1:31" s="325" customFormat="1" ht="15.6" hidden="1" customHeight="1" x14ac:dyDescent="0.2">
      <c r="A871" s="40" t="s">
        <v>435</v>
      </c>
      <c r="B871" s="360" t="s">
        <v>511</v>
      </c>
      <c r="C871" s="40">
        <v>196</v>
      </c>
      <c r="D871" s="40">
        <v>65943</v>
      </c>
      <c r="E871" s="40" t="s">
        <v>105</v>
      </c>
      <c r="F871" s="40" t="s">
        <v>272</v>
      </c>
      <c r="G871" s="40" t="s">
        <v>276</v>
      </c>
      <c r="H871" s="40" t="s">
        <v>460</v>
      </c>
      <c r="I871" s="360" t="e">
        <f>VLOOKUP(Таблица18[[#This Row],[Номер акта]],$AB$1:$AF$1833,3,FALSE)</f>
        <v>#N/A</v>
      </c>
      <c r="J871" s="40" t="s">
        <v>21</v>
      </c>
      <c r="K871" s="40" t="s">
        <v>82</v>
      </c>
      <c r="L871" s="121">
        <v>28070</v>
      </c>
      <c r="M871" s="121">
        <v>14680</v>
      </c>
      <c r="N871" s="121">
        <v>20.5</v>
      </c>
      <c r="O871" s="363">
        <v>13390</v>
      </c>
      <c r="P871" s="363">
        <v>10645</v>
      </c>
      <c r="Q871" s="121">
        <v>2025</v>
      </c>
      <c r="R871" s="121"/>
      <c r="S871" s="148">
        <v>45812</v>
      </c>
      <c r="T871" s="363">
        <f>Таблица18[[#This Row],[Вес нетто]]-Таблица18[[#This Row],[Зачетный вес]]</f>
        <v>2745</v>
      </c>
      <c r="U871" s="365">
        <f>Таблица18[[#This Row],[Отход]]/Таблица18[[#This Row],[Вес нетто]]</f>
        <v>0.20500373412994771</v>
      </c>
      <c r="V871" s="121">
        <f>MONTH(Таблица18[[#This Row],[Дата акта]])</f>
        <v>6</v>
      </c>
      <c r="W871" s="121">
        <v>4</v>
      </c>
      <c r="X871" s="148">
        <f>DATE(1900,Таблица18[[#This Row],[Месяц]],Таблица18[[#This Row],[Число]])</f>
        <v>156</v>
      </c>
      <c r="Y871" s="121"/>
      <c r="Z871" s="121" t="str">
        <f>Таблица18[[#This Row],[Хар-ка]]</f>
        <v>высший</v>
      </c>
      <c r="AD871" s="459"/>
      <c r="AE871" s="391"/>
    </row>
    <row r="872" spans="1:31" s="325" customFormat="1" ht="15.6" hidden="1" customHeight="1" x14ac:dyDescent="0.2">
      <c r="A872" s="40" t="s">
        <v>436</v>
      </c>
      <c r="B872" s="360" t="s">
        <v>511</v>
      </c>
      <c r="C872" s="40">
        <v>197</v>
      </c>
      <c r="D872" s="40">
        <v>34</v>
      </c>
      <c r="E872" s="40" t="s">
        <v>78</v>
      </c>
      <c r="F872" s="40" t="s">
        <v>79</v>
      </c>
      <c r="G872" s="40" t="s">
        <v>80</v>
      </c>
      <c r="H872" s="40" t="s">
        <v>422</v>
      </c>
      <c r="I872" s="360" t="e">
        <f>VLOOKUP(Таблица18[[#This Row],[Номер акта]],$AB$1:$AF$1833,3,FALSE)</f>
        <v>#N/A</v>
      </c>
      <c r="J872" s="40" t="s">
        <v>81</v>
      </c>
      <c r="K872" s="40" t="s">
        <v>82</v>
      </c>
      <c r="L872" s="121">
        <v>16470</v>
      </c>
      <c r="M872" s="121">
        <v>9450</v>
      </c>
      <c r="N872" s="121">
        <v>21</v>
      </c>
      <c r="O872" s="363">
        <v>7020</v>
      </c>
      <c r="P872" s="363">
        <v>5545.8</v>
      </c>
      <c r="Q872" s="121">
        <v>2025</v>
      </c>
      <c r="R872" s="121"/>
      <c r="S872" s="148">
        <v>45812</v>
      </c>
      <c r="T872" s="363">
        <f>Таблица18[[#This Row],[Вес нетто]]-Таблица18[[#This Row],[Зачетный вес]]</f>
        <v>1474.1999999999998</v>
      </c>
      <c r="U872" s="365">
        <f>Таблица18[[#This Row],[Отход]]/Таблица18[[#This Row],[Вес нетто]]</f>
        <v>0.20999999999999996</v>
      </c>
      <c r="V872" s="121">
        <f>MONTH(Таблица18[[#This Row],[Дата акта]])</f>
        <v>6</v>
      </c>
      <c r="W872" s="121">
        <v>4</v>
      </c>
      <c r="X872" s="148">
        <f>DATE(1900,Таблица18[[#This Row],[Месяц]],Таблица18[[#This Row],[Число]])</f>
        <v>156</v>
      </c>
      <c r="Y872" s="121"/>
      <c r="Z872" s="121" t="str">
        <f>Таблица18[[#This Row],[Хар-ка]]</f>
        <v>высший</v>
      </c>
      <c r="AD872" s="459"/>
      <c r="AE872" s="391"/>
    </row>
    <row r="873" spans="1:31" s="325" customFormat="1" ht="15.6" hidden="1" customHeight="1" x14ac:dyDescent="0.2">
      <c r="A873" s="40" t="s">
        <v>437</v>
      </c>
      <c r="B873" s="360" t="s">
        <v>511</v>
      </c>
      <c r="C873" s="40">
        <v>198</v>
      </c>
      <c r="D873" s="40">
        <v>65947</v>
      </c>
      <c r="E873" s="40" t="s">
        <v>105</v>
      </c>
      <c r="F873" s="40" t="s">
        <v>1253</v>
      </c>
      <c r="G873" s="40" t="s">
        <v>270</v>
      </c>
      <c r="H873" s="40" t="s">
        <v>460</v>
      </c>
      <c r="I873" s="360" t="e">
        <f>VLOOKUP(Таблица18[[#This Row],[Номер акта]],$AB$1:$AF$1833,3,FALSE)</f>
        <v>#N/A</v>
      </c>
      <c r="J873" s="40" t="s">
        <v>21</v>
      </c>
      <c r="K873" s="40" t="s">
        <v>82</v>
      </c>
      <c r="L873" s="121">
        <v>28240</v>
      </c>
      <c r="M873" s="121">
        <v>14870</v>
      </c>
      <c r="N873" s="121">
        <v>17.5</v>
      </c>
      <c r="O873" s="363">
        <v>13370</v>
      </c>
      <c r="P873" s="363">
        <v>11030.2</v>
      </c>
      <c r="Q873" s="121">
        <v>2025</v>
      </c>
      <c r="R873" s="121"/>
      <c r="S873" s="148">
        <v>45812</v>
      </c>
      <c r="T873" s="363">
        <f>Таблица18[[#This Row],[Вес нетто]]-Таблица18[[#This Row],[Зачетный вес]]</f>
        <v>2339.7999999999993</v>
      </c>
      <c r="U873" s="365">
        <f>Таблица18[[#This Row],[Отход]]/Таблица18[[#This Row],[Вес нетто]]</f>
        <v>0.17500373971578154</v>
      </c>
      <c r="V873" s="121">
        <f>MONTH(Таблица18[[#This Row],[Дата акта]])</f>
        <v>6</v>
      </c>
      <c r="W873" s="121">
        <v>4</v>
      </c>
      <c r="X873" s="148">
        <f>DATE(1900,Таблица18[[#This Row],[Месяц]],Таблица18[[#This Row],[Число]])</f>
        <v>156</v>
      </c>
      <c r="Y873" s="121"/>
      <c r="Z873" s="121" t="str">
        <f>Таблица18[[#This Row],[Хар-ка]]</f>
        <v>высший</v>
      </c>
      <c r="AD873" s="459"/>
      <c r="AE873" s="391"/>
    </row>
    <row r="874" spans="1:31" s="325" customFormat="1" ht="15.6" hidden="1" customHeight="1" x14ac:dyDescent="0.2">
      <c r="A874" s="40" t="s">
        <v>438</v>
      </c>
      <c r="B874" s="360" t="s">
        <v>511</v>
      </c>
      <c r="C874" s="40">
        <v>171</v>
      </c>
      <c r="D874" s="40" t="s">
        <v>531</v>
      </c>
      <c r="E874" s="40" t="s">
        <v>78</v>
      </c>
      <c r="F874" s="40" t="s">
        <v>439</v>
      </c>
      <c r="G874" s="40" t="s">
        <v>440</v>
      </c>
      <c r="H874" s="40" t="s">
        <v>110</v>
      </c>
      <c r="I874" s="360" t="e">
        <f>VLOOKUP(Таблица18[[#This Row],[Номер акта]],$AB$1:$AF$1833,3,FALSE)</f>
        <v>#N/A</v>
      </c>
      <c r="J874" s="40" t="s">
        <v>81</v>
      </c>
      <c r="K874" s="40" t="s">
        <v>82</v>
      </c>
      <c r="L874" s="121">
        <v>28790</v>
      </c>
      <c r="M874" s="121">
        <v>16660</v>
      </c>
      <c r="N874" s="121">
        <v>15.5</v>
      </c>
      <c r="O874" s="363">
        <v>12130</v>
      </c>
      <c r="P874" s="363">
        <v>10251</v>
      </c>
      <c r="Q874" s="121">
        <v>2025</v>
      </c>
      <c r="R874" s="121"/>
      <c r="S874" s="148">
        <v>45811</v>
      </c>
      <c r="T874" s="363">
        <f>Таблица18[[#This Row],[Вес нетто]]-Таблица18[[#This Row],[Зачетный вес]]</f>
        <v>1879</v>
      </c>
      <c r="U874" s="365">
        <f>Таблица18[[#This Row],[Отход]]/Таблица18[[#This Row],[Вес нетто]]</f>
        <v>0.15490519373454245</v>
      </c>
      <c r="V874" s="121">
        <f>MONTH(Таблица18[[#This Row],[Дата акта]])</f>
        <v>6</v>
      </c>
      <c r="W874" s="121">
        <v>3</v>
      </c>
      <c r="X874" s="148">
        <f>DATE(1900,Таблица18[[#This Row],[Месяц]],Таблица18[[#This Row],[Число]])</f>
        <v>155</v>
      </c>
      <c r="Y874" s="121"/>
      <c r="Z874" s="121" t="str">
        <f>Таблица18[[#This Row],[Хар-ка]]</f>
        <v>высший</v>
      </c>
      <c r="AD874" s="459"/>
      <c r="AE874" s="391"/>
    </row>
    <row r="875" spans="1:31" s="325" customFormat="1" ht="15.6" hidden="1" customHeight="1" x14ac:dyDescent="0.2">
      <c r="A875" s="40" t="s">
        <v>441</v>
      </c>
      <c r="B875" s="360" t="s">
        <v>511</v>
      </c>
      <c r="C875" s="40">
        <v>174</v>
      </c>
      <c r="D875" s="40" t="s">
        <v>532</v>
      </c>
      <c r="E875" s="40" t="s">
        <v>78</v>
      </c>
      <c r="F875" s="40" t="s">
        <v>442</v>
      </c>
      <c r="G875" s="40" t="s">
        <v>443</v>
      </c>
      <c r="H875" s="40" t="s">
        <v>422</v>
      </c>
      <c r="I875" s="360" t="e">
        <f>VLOOKUP(Таблица18[[#This Row],[Номер акта]],$AB$1:$AF$1833,3,FALSE)</f>
        <v>#N/A</v>
      </c>
      <c r="J875" s="40" t="s">
        <v>81</v>
      </c>
      <c r="K875" s="40" t="s">
        <v>82</v>
      </c>
      <c r="L875" s="121">
        <v>32620</v>
      </c>
      <c r="M875" s="121">
        <v>18780</v>
      </c>
      <c r="N875" s="121">
        <v>15.4</v>
      </c>
      <c r="O875" s="363">
        <v>13840</v>
      </c>
      <c r="P875" s="363">
        <v>11709.8</v>
      </c>
      <c r="Q875" s="121">
        <v>2025</v>
      </c>
      <c r="R875" s="121"/>
      <c r="S875" s="148">
        <v>45811</v>
      </c>
      <c r="T875" s="363">
        <f>Таблица18[[#This Row],[Вес нетто]]-Таблица18[[#This Row],[Зачетный вес]]</f>
        <v>2130.2000000000007</v>
      </c>
      <c r="U875" s="365">
        <f>Таблица18[[#This Row],[Отход]]/Таблица18[[#This Row],[Вес нетто]]</f>
        <v>0.15391618497109832</v>
      </c>
      <c r="V875" s="121">
        <f>MONTH(Таблица18[[#This Row],[Дата акта]])</f>
        <v>6</v>
      </c>
      <c r="W875" s="121">
        <v>3</v>
      </c>
      <c r="X875" s="148">
        <f>DATE(1900,Таблица18[[#This Row],[Месяц]],Таблица18[[#This Row],[Число]])</f>
        <v>155</v>
      </c>
      <c r="Y875" s="121"/>
      <c r="Z875" s="121" t="str">
        <f>Таблица18[[#This Row],[Хар-ка]]</f>
        <v>высший</v>
      </c>
      <c r="AD875" s="459"/>
      <c r="AE875" s="391"/>
    </row>
    <row r="876" spans="1:31" s="325" customFormat="1" ht="15.6" hidden="1" customHeight="1" x14ac:dyDescent="0.2">
      <c r="A876" s="40" t="s">
        <v>444</v>
      </c>
      <c r="B876" s="360" t="s">
        <v>511</v>
      </c>
      <c r="C876" s="40">
        <v>173</v>
      </c>
      <c r="D876" s="40" t="s">
        <v>533</v>
      </c>
      <c r="E876" s="40" t="s">
        <v>78</v>
      </c>
      <c r="F876" s="40" t="s">
        <v>283</v>
      </c>
      <c r="G876" s="40" t="s">
        <v>287</v>
      </c>
      <c r="H876" s="40" t="s">
        <v>422</v>
      </c>
      <c r="I876" s="360" t="e">
        <f>VLOOKUP(Таблица18[[#This Row],[Номер акта]],$AB$1:$AF$1833,3,FALSE)</f>
        <v>#N/A</v>
      </c>
      <c r="J876" s="40" t="s">
        <v>81</v>
      </c>
      <c r="K876" s="40" t="s">
        <v>82</v>
      </c>
      <c r="L876" s="121">
        <v>31130</v>
      </c>
      <c r="M876" s="121">
        <v>17880</v>
      </c>
      <c r="N876" s="121">
        <v>11.6</v>
      </c>
      <c r="O876" s="363">
        <v>13250</v>
      </c>
      <c r="P876" s="363">
        <v>11713</v>
      </c>
      <c r="Q876" s="121">
        <v>2025</v>
      </c>
      <c r="R876" s="121"/>
      <c r="S876" s="148">
        <v>45811</v>
      </c>
      <c r="T876" s="363">
        <f>Таблица18[[#This Row],[Вес нетто]]-Таблица18[[#This Row],[Зачетный вес]]</f>
        <v>1537</v>
      </c>
      <c r="U876" s="365">
        <f>Таблица18[[#This Row],[Отход]]/Таблица18[[#This Row],[Вес нетто]]</f>
        <v>0.11600000000000001</v>
      </c>
      <c r="V876" s="121">
        <f>MONTH(Таблица18[[#This Row],[Дата акта]])</f>
        <v>6</v>
      </c>
      <c r="W876" s="121">
        <v>3</v>
      </c>
      <c r="X876" s="148">
        <f>DATE(1900,Таблица18[[#This Row],[Месяц]],Таблица18[[#This Row],[Число]])</f>
        <v>155</v>
      </c>
      <c r="Y876" s="121"/>
      <c r="Z876" s="121" t="str">
        <f>Таблица18[[#This Row],[Хар-ка]]</f>
        <v>высший</v>
      </c>
      <c r="AD876" s="459"/>
      <c r="AE876" s="391"/>
    </row>
    <row r="877" spans="1:31" s="325" customFormat="1" ht="15.6" hidden="1" customHeight="1" x14ac:dyDescent="0.2">
      <c r="A877" s="40" t="s">
        <v>445</v>
      </c>
      <c r="B877" s="360" t="s">
        <v>511</v>
      </c>
      <c r="C877" s="40">
        <v>175</v>
      </c>
      <c r="D877" s="40" t="s">
        <v>534</v>
      </c>
      <c r="E877" s="40" t="s">
        <v>78</v>
      </c>
      <c r="F877" s="40" t="s">
        <v>289</v>
      </c>
      <c r="G877" s="40" t="s">
        <v>293</v>
      </c>
      <c r="H877" s="40" t="s">
        <v>422</v>
      </c>
      <c r="I877" s="360" t="e">
        <f>VLOOKUP(Таблица18[[#This Row],[Номер акта]],$AB$1:$AF$1833,3,FALSE)</f>
        <v>#N/A</v>
      </c>
      <c r="J877" s="40" t="s">
        <v>81</v>
      </c>
      <c r="K877" s="40" t="s">
        <v>82</v>
      </c>
      <c r="L877" s="121">
        <v>30790</v>
      </c>
      <c r="M877" s="121">
        <v>16990</v>
      </c>
      <c r="N877" s="121">
        <v>26.7</v>
      </c>
      <c r="O877" s="363">
        <v>13800</v>
      </c>
      <c r="P877" s="363">
        <v>10115.4</v>
      </c>
      <c r="Q877" s="121">
        <v>2025</v>
      </c>
      <c r="R877" s="121"/>
      <c r="S877" s="148">
        <v>45811</v>
      </c>
      <c r="T877" s="363">
        <f>Таблица18[[#This Row],[Вес нетто]]-Таблица18[[#This Row],[Зачетный вес]]</f>
        <v>3684.6000000000004</v>
      </c>
      <c r="U877" s="365">
        <f>Таблица18[[#This Row],[Отход]]/Таблица18[[#This Row],[Вес нетто]]</f>
        <v>0.26700000000000002</v>
      </c>
      <c r="V877" s="121">
        <f>MONTH(Таблица18[[#This Row],[Дата акта]])</f>
        <v>6</v>
      </c>
      <c r="W877" s="121">
        <v>3</v>
      </c>
      <c r="X877" s="148">
        <f>DATE(1900,Таблица18[[#This Row],[Месяц]],Таблица18[[#This Row],[Число]])</f>
        <v>155</v>
      </c>
      <c r="Y877" s="121"/>
      <c r="Z877" s="121" t="str">
        <f>Таблица18[[#This Row],[Хар-ка]]</f>
        <v>высший</v>
      </c>
      <c r="AD877" s="459"/>
      <c r="AE877" s="391"/>
    </row>
    <row r="878" spans="1:31" s="325" customFormat="1" ht="15.6" hidden="1" customHeight="1" x14ac:dyDescent="0.2">
      <c r="A878" s="40" t="s">
        <v>535</v>
      </c>
      <c r="B878" s="360" t="s">
        <v>511</v>
      </c>
      <c r="C878" s="40">
        <v>201</v>
      </c>
      <c r="D878" s="40">
        <v>65950</v>
      </c>
      <c r="E878" s="40" t="s">
        <v>105</v>
      </c>
      <c r="F878" s="40" t="s">
        <v>254</v>
      </c>
      <c r="G878" s="40" t="s">
        <v>536</v>
      </c>
      <c r="H878" s="40" t="s">
        <v>460</v>
      </c>
      <c r="I878" s="360" t="e">
        <f>VLOOKUP(Таблица18[[#This Row],[Номер акта]],$AB$1:$AF$1833,3,FALSE)</f>
        <v>#N/A</v>
      </c>
      <c r="J878" s="40" t="s">
        <v>21</v>
      </c>
      <c r="K878" s="40" t="s">
        <v>82</v>
      </c>
      <c r="L878" s="121">
        <v>27790</v>
      </c>
      <c r="M878" s="121">
        <v>14630</v>
      </c>
      <c r="N878" s="121">
        <v>12.5</v>
      </c>
      <c r="O878" s="363">
        <v>13160</v>
      </c>
      <c r="P878" s="363">
        <v>11515</v>
      </c>
      <c r="Q878" s="121">
        <v>2025</v>
      </c>
      <c r="R878" s="121"/>
      <c r="S878" s="148">
        <v>45812</v>
      </c>
      <c r="T878" s="363">
        <f>Таблица18[[#This Row],[Вес нетто]]-Таблица18[[#This Row],[Зачетный вес]]</f>
        <v>1645</v>
      </c>
      <c r="U878" s="365">
        <f>Таблица18[[#This Row],[Отход]]/Таблица18[[#This Row],[Вес нетто]]</f>
        <v>0.125</v>
      </c>
      <c r="V878" s="121">
        <f>MONTH(Таблица18[[#This Row],[Дата акта]])</f>
        <v>6</v>
      </c>
      <c r="W878" s="121">
        <v>4</v>
      </c>
      <c r="X878" s="148">
        <f>DATE(1900,Таблица18[[#This Row],[Месяц]],Таблица18[[#This Row],[Число]])</f>
        <v>156</v>
      </c>
      <c r="Y878" s="121"/>
      <c r="Z878" s="121" t="str">
        <f>Таблица18[[#This Row],[Хар-ка]]</f>
        <v>высший</v>
      </c>
      <c r="AD878" s="459"/>
      <c r="AE878" s="391"/>
    </row>
    <row r="879" spans="1:31" s="325" customFormat="1" ht="15.6" hidden="1" customHeight="1" x14ac:dyDescent="0.2">
      <c r="A879" s="40" t="s">
        <v>537</v>
      </c>
      <c r="B879" s="360" t="s">
        <v>511</v>
      </c>
      <c r="C879" s="40">
        <v>199</v>
      </c>
      <c r="D879" s="40">
        <v>65948</v>
      </c>
      <c r="E879" s="40" t="s">
        <v>105</v>
      </c>
      <c r="F879" s="40" t="s">
        <v>239</v>
      </c>
      <c r="G879" s="40" t="s">
        <v>243</v>
      </c>
      <c r="H879" s="40" t="s">
        <v>460</v>
      </c>
      <c r="I879" s="360" t="e">
        <f>VLOOKUP(Таблица18[[#This Row],[Номер акта]],$AB$1:$AF$1833,3,FALSE)</f>
        <v>#N/A</v>
      </c>
      <c r="J879" s="40" t="s">
        <v>21</v>
      </c>
      <c r="K879" s="40" t="s">
        <v>82</v>
      </c>
      <c r="L879" s="121">
        <v>27800</v>
      </c>
      <c r="M879" s="121">
        <v>14550</v>
      </c>
      <c r="N879" s="121">
        <v>12.5</v>
      </c>
      <c r="O879" s="363">
        <v>13250</v>
      </c>
      <c r="P879" s="363">
        <v>11593.7</v>
      </c>
      <c r="Q879" s="121">
        <v>2025</v>
      </c>
      <c r="R879" s="121"/>
      <c r="S879" s="148">
        <v>45812</v>
      </c>
      <c r="T879" s="363">
        <f>Таблица18[[#This Row],[Вес нетто]]-Таблица18[[#This Row],[Зачетный вес]]</f>
        <v>1656.2999999999993</v>
      </c>
      <c r="U879" s="365">
        <f>Таблица18[[#This Row],[Отход]]/Таблица18[[#This Row],[Вес нетто]]</f>
        <v>0.12500377358490561</v>
      </c>
      <c r="V879" s="121">
        <f>MONTH(Таблица18[[#This Row],[Дата акта]])</f>
        <v>6</v>
      </c>
      <c r="W879" s="121">
        <v>4</v>
      </c>
      <c r="X879" s="148">
        <f>DATE(1900,Таблица18[[#This Row],[Месяц]],Таблица18[[#This Row],[Число]])</f>
        <v>156</v>
      </c>
      <c r="Y879" s="121"/>
      <c r="Z879" s="121" t="str">
        <f>Таблица18[[#This Row],[Хар-ка]]</f>
        <v>высший</v>
      </c>
      <c r="AD879" s="459"/>
      <c r="AE879" s="391"/>
    </row>
    <row r="880" spans="1:31" s="325" customFormat="1" ht="15.6" hidden="1" customHeight="1" x14ac:dyDescent="0.2">
      <c r="A880" s="40" t="s">
        <v>538</v>
      </c>
      <c r="B880" s="360" t="s">
        <v>511</v>
      </c>
      <c r="C880" s="40">
        <v>202</v>
      </c>
      <c r="D880" s="40">
        <v>130776</v>
      </c>
      <c r="E880" s="40" t="s">
        <v>105</v>
      </c>
      <c r="F880" s="40" t="s">
        <v>249</v>
      </c>
      <c r="G880" s="40" t="s">
        <v>253</v>
      </c>
      <c r="H880" s="40" t="s">
        <v>460</v>
      </c>
      <c r="I880" s="360" t="e">
        <f>VLOOKUP(Таблица18[[#This Row],[Номер акта]],$AB$1:$AF$1833,3,FALSE)</f>
        <v>#N/A</v>
      </c>
      <c r="J880" s="40" t="s">
        <v>21</v>
      </c>
      <c r="K880" s="40" t="s">
        <v>82</v>
      </c>
      <c r="L880" s="121">
        <v>28330</v>
      </c>
      <c r="M880" s="121">
        <v>15030</v>
      </c>
      <c r="N880" s="121">
        <v>11.2</v>
      </c>
      <c r="O880" s="363">
        <v>13300</v>
      </c>
      <c r="P880" s="363">
        <v>11810.4</v>
      </c>
      <c r="Q880" s="121">
        <v>2025</v>
      </c>
      <c r="R880" s="121"/>
      <c r="S880" s="148">
        <v>45812</v>
      </c>
      <c r="T880" s="363">
        <f>Таблица18[[#This Row],[Вес нетто]]-Таблица18[[#This Row],[Зачетный вес]]</f>
        <v>1489.6000000000004</v>
      </c>
      <c r="U880" s="365">
        <f>Таблица18[[#This Row],[Отход]]/Таблица18[[#This Row],[Вес нетто]]</f>
        <v>0.11200000000000003</v>
      </c>
      <c r="V880" s="121">
        <f>MONTH(Таблица18[[#This Row],[Дата акта]])</f>
        <v>6</v>
      </c>
      <c r="W880" s="121">
        <v>4</v>
      </c>
      <c r="X880" s="148">
        <f>DATE(1900,Таблица18[[#This Row],[Месяц]],Таблица18[[#This Row],[Число]])</f>
        <v>156</v>
      </c>
      <c r="Y880" s="121"/>
      <c r="Z880" s="121" t="str">
        <f>Таблица18[[#This Row],[Хар-ка]]</f>
        <v>высший</v>
      </c>
      <c r="AD880" s="459"/>
      <c r="AE880" s="391"/>
    </row>
    <row r="881" spans="1:31" s="325" customFormat="1" ht="15.6" hidden="1" customHeight="1" x14ac:dyDescent="0.2">
      <c r="A881" s="40" t="s">
        <v>539</v>
      </c>
      <c r="B881" s="360" t="s">
        <v>511</v>
      </c>
      <c r="C881" s="40">
        <v>206</v>
      </c>
      <c r="D881" s="40">
        <v>130777</v>
      </c>
      <c r="E881" s="40" t="s">
        <v>105</v>
      </c>
      <c r="F881" s="40" t="s">
        <v>1151</v>
      </c>
      <c r="G881" s="40" t="s">
        <v>145</v>
      </c>
      <c r="H881" s="40" t="s">
        <v>460</v>
      </c>
      <c r="I881" s="360" t="e">
        <f>VLOOKUP(Таблица18[[#This Row],[Номер акта]],$AB$1:$AF$1833,3,FALSE)</f>
        <v>#N/A</v>
      </c>
      <c r="J881" s="40" t="s">
        <v>21</v>
      </c>
      <c r="K881" s="40" t="s">
        <v>82</v>
      </c>
      <c r="L881" s="121">
        <v>29200</v>
      </c>
      <c r="M881" s="121">
        <v>15700</v>
      </c>
      <c r="N881" s="121">
        <v>14.5</v>
      </c>
      <c r="O881" s="363">
        <v>13500</v>
      </c>
      <c r="P881" s="363">
        <v>11542.5</v>
      </c>
      <c r="Q881" s="121">
        <v>2025</v>
      </c>
      <c r="R881" s="121"/>
      <c r="S881" s="148">
        <v>45812</v>
      </c>
      <c r="T881" s="363">
        <f>Таблица18[[#This Row],[Вес нетто]]-Таблица18[[#This Row],[Зачетный вес]]</f>
        <v>1957.5</v>
      </c>
      <c r="U881" s="365">
        <f>Таблица18[[#This Row],[Отход]]/Таблица18[[#This Row],[Вес нетто]]</f>
        <v>0.14499999999999999</v>
      </c>
      <c r="V881" s="121">
        <f>MONTH(Таблица18[[#This Row],[Дата акта]])</f>
        <v>6</v>
      </c>
      <c r="W881" s="121">
        <v>4</v>
      </c>
      <c r="X881" s="148">
        <f>DATE(1900,Таблица18[[#This Row],[Месяц]],Таблица18[[#This Row],[Число]])</f>
        <v>156</v>
      </c>
      <c r="Y881" s="121"/>
      <c r="Z881" s="121" t="str">
        <f>Таблица18[[#This Row],[Хар-ка]]</f>
        <v>высший</v>
      </c>
      <c r="AD881" s="459"/>
      <c r="AE881" s="391"/>
    </row>
    <row r="882" spans="1:31" s="325" customFormat="1" ht="15.6" hidden="1" customHeight="1" x14ac:dyDescent="0.2">
      <c r="A882" s="40" t="s">
        <v>540</v>
      </c>
      <c r="B882" s="360" t="s">
        <v>511</v>
      </c>
      <c r="C882" s="40">
        <v>208</v>
      </c>
      <c r="D882" s="40">
        <v>130778</v>
      </c>
      <c r="E882" s="40" t="s">
        <v>105</v>
      </c>
      <c r="F882" s="40" t="s">
        <v>1461</v>
      </c>
      <c r="G882" s="40" t="s">
        <v>149</v>
      </c>
      <c r="H882" s="40" t="s">
        <v>460</v>
      </c>
      <c r="I882" s="360" t="e">
        <f>VLOOKUP(Таблица18[[#This Row],[Номер акта]],$AB$1:$AF$1833,3,FALSE)</f>
        <v>#N/A</v>
      </c>
      <c r="J882" s="40" t="s">
        <v>21</v>
      </c>
      <c r="K882" s="40" t="s">
        <v>82</v>
      </c>
      <c r="L882" s="121">
        <v>28280</v>
      </c>
      <c r="M882" s="121">
        <v>15050</v>
      </c>
      <c r="N882" s="121">
        <v>12.5</v>
      </c>
      <c r="O882" s="363">
        <v>13230</v>
      </c>
      <c r="P882" s="363">
        <v>11576.2</v>
      </c>
      <c r="Q882" s="121">
        <v>2025</v>
      </c>
      <c r="R882" s="121"/>
      <c r="S882" s="148">
        <v>45812</v>
      </c>
      <c r="T882" s="363">
        <f>Таблица18[[#This Row],[Вес нетто]]-Таблица18[[#This Row],[Зачетный вес]]</f>
        <v>1653.7999999999993</v>
      </c>
      <c r="U882" s="365">
        <f>Таблица18[[#This Row],[Отход]]/Таблица18[[#This Row],[Вес нетто]]</f>
        <v>0.12500377928949352</v>
      </c>
      <c r="V882" s="121">
        <f>MONTH(Таблица18[[#This Row],[Дата акта]])</f>
        <v>6</v>
      </c>
      <c r="W882" s="121">
        <v>4</v>
      </c>
      <c r="X882" s="148">
        <f>DATE(1900,Таблица18[[#This Row],[Месяц]],Таблица18[[#This Row],[Число]])</f>
        <v>156</v>
      </c>
      <c r="Y882" s="121"/>
      <c r="Z882" s="121" t="str">
        <f>Таблица18[[#This Row],[Хар-ка]]</f>
        <v>высший</v>
      </c>
      <c r="AD882" s="459"/>
      <c r="AE882" s="391"/>
    </row>
    <row r="883" spans="1:31" s="325" customFormat="1" ht="15.6" hidden="1" customHeight="1" x14ac:dyDescent="0.2">
      <c r="A883" s="40" t="s">
        <v>541</v>
      </c>
      <c r="B883" s="360" t="s">
        <v>511</v>
      </c>
      <c r="C883" s="40">
        <v>209</v>
      </c>
      <c r="D883" s="40">
        <v>130781</v>
      </c>
      <c r="E883" s="40" t="s">
        <v>105</v>
      </c>
      <c r="F883" s="40" t="s">
        <v>311</v>
      </c>
      <c r="G883" s="40" t="s">
        <v>315</v>
      </c>
      <c r="H883" s="40" t="s">
        <v>460</v>
      </c>
      <c r="I883" s="360" t="e">
        <f>VLOOKUP(Таблица18[[#This Row],[Номер акта]],$AB$1:$AF$1833,3,FALSE)</f>
        <v>#N/A</v>
      </c>
      <c r="J883" s="40" t="s">
        <v>301</v>
      </c>
      <c r="K883" s="40" t="s">
        <v>82</v>
      </c>
      <c r="L883" s="121">
        <v>28130</v>
      </c>
      <c r="M883" s="121">
        <v>14940</v>
      </c>
      <c r="N883" s="121">
        <v>13.5</v>
      </c>
      <c r="O883" s="363">
        <v>13190</v>
      </c>
      <c r="P883" s="363">
        <v>11409.3</v>
      </c>
      <c r="Q883" s="121">
        <v>2025</v>
      </c>
      <c r="R883" s="121"/>
      <c r="S883" s="148">
        <v>45812</v>
      </c>
      <c r="T883" s="363">
        <f>Таблица18[[#This Row],[Вес нетто]]-Таблица18[[#This Row],[Зачетный вес]]</f>
        <v>1780.7000000000007</v>
      </c>
      <c r="U883" s="365">
        <f>Таблица18[[#This Row],[Отход]]/Таблица18[[#This Row],[Вес нетто]]</f>
        <v>0.13500379075056868</v>
      </c>
      <c r="V883" s="121">
        <f>MONTH(Таблица18[[#This Row],[Дата акта]])</f>
        <v>6</v>
      </c>
      <c r="W883" s="121">
        <v>4</v>
      </c>
      <c r="X883" s="148">
        <f>DATE(1900,Таблица18[[#This Row],[Месяц]],Таблица18[[#This Row],[Число]])</f>
        <v>156</v>
      </c>
      <c r="Y883" s="121"/>
      <c r="Z883" s="121" t="str">
        <f>Таблица18[[#This Row],[Хар-ка]]</f>
        <v>высший</v>
      </c>
      <c r="AD883" s="459"/>
      <c r="AE883" s="391"/>
    </row>
    <row r="884" spans="1:31" s="325" customFormat="1" ht="15.6" hidden="1" customHeight="1" x14ac:dyDescent="0.2">
      <c r="A884" s="40" t="s">
        <v>542</v>
      </c>
      <c r="B884" s="360" t="s">
        <v>511</v>
      </c>
      <c r="C884" s="40">
        <v>210</v>
      </c>
      <c r="D884" s="40">
        <v>130782</v>
      </c>
      <c r="E884" s="40" t="s">
        <v>105</v>
      </c>
      <c r="F884" s="40" t="s">
        <v>347</v>
      </c>
      <c r="G884" s="40" t="s">
        <v>351</v>
      </c>
      <c r="H884" s="40" t="s">
        <v>460</v>
      </c>
      <c r="I884" s="360" t="e">
        <f>VLOOKUP(Таблица18[[#This Row],[Номер акта]],$AB$1:$AF$1833,3,FALSE)</f>
        <v>#N/A</v>
      </c>
      <c r="J884" s="40" t="s">
        <v>21</v>
      </c>
      <c r="K884" s="40" t="s">
        <v>82</v>
      </c>
      <c r="L884" s="121">
        <v>34410</v>
      </c>
      <c r="M884" s="121">
        <v>18690</v>
      </c>
      <c r="N884" s="121">
        <v>12.5</v>
      </c>
      <c r="O884" s="363">
        <v>15720</v>
      </c>
      <c r="P884" s="363">
        <v>13755</v>
      </c>
      <c r="Q884" s="121">
        <v>2025</v>
      </c>
      <c r="R884" s="121"/>
      <c r="S884" s="148">
        <v>45812</v>
      </c>
      <c r="T884" s="363">
        <f>Таблица18[[#This Row],[Вес нетто]]-Таблица18[[#This Row],[Зачетный вес]]</f>
        <v>1965</v>
      </c>
      <c r="U884" s="365">
        <f>Таблица18[[#This Row],[Отход]]/Таблица18[[#This Row],[Вес нетто]]</f>
        <v>0.125</v>
      </c>
      <c r="V884" s="121">
        <f>MONTH(Таблица18[[#This Row],[Дата акта]])</f>
        <v>6</v>
      </c>
      <c r="W884" s="121">
        <v>4</v>
      </c>
      <c r="X884" s="148">
        <f>DATE(1900,Таблица18[[#This Row],[Месяц]],Таблица18[[#This Row],[Число]])</f>
        <v>156</v>
      </c>
      <c r="Y884" s="121"/>
      <c r="Z884" s="121" t="str">
        <f>Таблица18[[#This Row],[Хар-ка]]</f>
        <v>высший</v>
      </c>
      <c r="AD884" s="459"/>
      <c r="AE884" s="391"/>
    </row>
    <row r="885" spans="1:31" s="325" customFormat="1" ht="15.6" hidden="1" customHeight="1" x14ac:dyDescent="0.2">
      <c r="A885" s="40" t="s">
        <v>543</v>
      </c>
      <c r="B885" s="360" t="s">
        <v>511</v>
      </c>
      <c r="C885" s="40">
        <v>211</v>
      </c>
      <c r="D885" s="40">
        <v>130783</v>
      </c>
      <c r="E885" s="40" t="s">
        <v>105</v>
      </c>
      <c r="F885" s="40" t="s">
        <v>1312</v>
      </c>
      <c r="G885" s="40" t="s">
        <v>320</v>
      </c>
      <c r="H885" s="40" t="s">
        <v>460</v>
      </c>
      <c r="I885" s="360" t="e">
        <f>VLOOKUP(Таблица18[[#This Row],[Номер акта]],$AB$1:$AF$1833,3,FALSE)</f>
        <v>#N/A</v>
      </c>
      <c r="J885" s="40" t="s">
        <v>21</v>
      </c>
      <c r="K885" s="40" t="s">
        <v>82</v>
      </c>
      <c r="L885" s="121">
        <v>27680</v>
      </c>
      <c r="M885" s="121">
        <v>14390</v>
      </c>
      <c r="N885" s="121">
        <v>13.5</v>
      </c>
      <c r="O885" s="363">
        <v>13290</v>
      </c>
      <c r="P885" s="363">
        <v>11495.8</v>
      </c>
      <c r="Q885" s="121">
        <v>2025</v>
      </c>
      <c r="R885" s="121"/>
      <c r="S885" s="148">
        <v>45812</v>
      </c>
      <c r="T885" s="363">
        <f>Таблица18[[#This Row],[Вес нетто]]-Таблица18[[#This Row],[Зачетный вес]]</f>
        <v>1794.2000000000007</v>
      </c>
      <c r="U885" s="365">
        <f>Таблица18[[#This Row],[Отход]]/Таблица18[[#This Row],[Вес нетто]]</f>
        <v>0.13500376222723859</v>
      </c>
      <c r="V885" s="121">
        <f>MONTH(Таблица18[[#This Row],[Дата акта]])</f>
        <v>6</v>
      </c>
      <c r="W885" s="121">
        <v>4</v>
      </c>
      <c r="X885" s="148">
        <f>DATE(1900,Таблица18[[#This Row],[Месяц]],Таблица18[[#This Row],[Число]])</f>
        <v>156</v>
      </c>
      <c r="Y885" s="121"/>
      <c r="Z885" s="121" t="str">
        <f>Таблица18[[#This Row],[Хар-ка]]</f>
        <v>высший</v>
      </c>
      <c r="AD885" s="459"/>
      <c r="AE885" s="391"/>
    </row>
    <row r="886" spans="1:31" s="325" customFormat="1" ht="15.6" hidden="1" customHeight="1" x14ac:dyDescent="0.2">
      <c r="A886" s="40" t="s">
        <v>544</v>
      </c>
      <c r="B886" s="360" t="s">
        <v>511</v>
      </c>
      <c r="C886" s="40">
        <v>213</v>
      </c>
      <c r="D886" s="40">
        <v>37</v>
      </c>
      <c r="E886" s="40" t="s">
        <v>78</v>
      </c>
      <c r="F886" s="40" t="s">
        <v>127</v>
      </c>
      <c r="G886" s="40" t="s">
        <v>131</v>
      </c>
      <c r="H886" s="40" t="s">
        <v>523</v>
      </c>
      <c r="I886" s="360" t="e">
        <f>VLOOKUP(Таблица18[[#This Row],[Номер акта]],$AB$1:$AF$1833,3,FALSE)</f>
        <v>#N/A</v>
      </c>
      <c r="J886" s="40" t="s">
        <v>524</v>
      </c>
      <c r="K886" s="40" t="s">
        <v>82</v>
      </c>
      <c r="L886" s="121">
        <v>11950</v>
      </c>
      <c r="M886" s="121">
        <v>9730</v>
      </c>
      <c r="N886" s="121">
        <v>15.5</v>
      </c>
      <c r="O886" s="363">
        <v>2220</v>
      </c>
      <c r="P886" s="363">
        <v>1875.9</v>
      </c>
      <c r="Q886" s="121">
        <v>2025</v>
      </c>
      <c r="R886" s="121"/>
      <c r="S886" s="148">
        <v>45812</v>
      </c>
      <c r="T886" s="363">
        <f>Таблица18[[#This Row],[Вес нетто]]-Таблица18[[#This Row],[Зачетный вес]]</f>
        <v>344.09999999999991</v>
      </c>
      <c r="U886" s="365">
        <f>Таблица18[[#This Row],[Отход]]/Таблица18[[#This Row],[Вес нетто]]</f>
        <v>0.15499999999999997</v>
      </c>
      <c r="V886" s="121">
        <f>MONTH(Таблица18[[#This Row],[Дата акта]])</f>
        <v>6</v>
      </c>
      <c r="W886" s="121">
        <v>4</v>
      </c>
      <c r="X886" s="148">
        <f>DATE(1900,Таблица18[[#This Row],[Месяц]],Таблица18[[#This Row],[Число]])</f>
        <v>156</v>
      </c>
      <c r="Y886" s="121"/>
      <c r="Z886" s="121" t="str">
        <f>Таблица18[[#This Row],[Хар-ка]]</f>
        <v>высший</v>
      </c>
      <c r="AD886" s="459"/>
      <c r="AE886" s="391"/>
    </row>
    <row r="887" spans="1:31" s="325" customFormat="1" ht="15.6" hidden="1" customHeight="1" x14ac:dyDescent="0.2">
      <c r="A887" s="40" t="s">
        <v>545</v>
      </c>
      <c r="B887" s="360" t="s">
        <v>511</v>
      </c>
      <c r="C887" s="40">
        <v>212</v>
      </c>
      <c r="D887" s="40">
        <v>130784</v>
      </c>
      <c r="E887" s="40" t="s">
        <v>105</v>
      </c>
      <c r="F887" s="40" t="s">
        <v>335</v>
      </c>
      <c r="G887" s="40" t="s">
        <v>339</v>
      </c>
      <c r="H887" s="40" t="s">
        <v>460</v>
      </c>
      <c r="I887" s="360" t="e">
        <f>VLOOKUP(Таблица18[[#This Row],[Номер акта]],$AB$1:$AF$1833,3,FALSE)</f>
        <v>#N/A</v>
      </c>
      <c r="J887" s="40" t="s">
        <v>21</v>
      </c>
      <c r="K887" s="40" t="s">
        <v>82</v>
      </c>
      <c r="L887" s="121">
        <v>28130</v>
      </c>
      <c r="M887" s="121">
        <v>14780</v>
      </c>
      <c r="N887" s="121">
        <v>10.5</v>
      </c>
      <c r="O887" s="363">
        <v>13350</v>
      </c>
      <c r="P887" s="363">
        <v>11948.2</v>
      </c>
      <c r="Q887" s="121">
        <v>2025</v>
      </c>
      <c r="R887" s="121"/>
      <c r="S887" s="148">
        <v>45812</v>
      </c>
      <c r="T887" s="363">
        <f>Таблица18[[#This Row],[Вес нетто]]-Таблица18[[#This Row],[Зачетный вес]]</f>
        <v>1401.7999999999993</v>
      </c>
      <c r="U887" s="365">
        <f>Таблица18[[#This Row],[Отход]]/Таблица18[[#This Row],[Вес нетто]]</f>
        <v>0.10500374531835201</v>
      </c>
      <c r="V887" s="121">
        <f>MONTH(Таблица18[[#This Row],[Дата акта]])</f>
        <v>6</v>
      </c>
      <c r="W887" s="121">
        <v>4</v>
      </c>
      <c r="X887" s="148">
        <f>DATE(1900,Таблица18[[#This Row],[Месяц]],Таблица18[[#This Row],[Число]])</f>
        <v>156</v>
      </c>
      <c r="Y887" s="121"/>
      <c r="Z887" s="121" t="str">
        <f>Таблица18[[#This Row],[Хар-ка]]</f>
        <v>высший</v>
      </c>
      <c r="AD887" s="459"/>
      <c r="AE887" s="391"/>
    </row>
    <row r="888" spans="1:31" s="325" customFormat="1" ht="15.6" hidden="1" customHeight="1" x14ac:dyDescent="0.2">
      <c r="A888" s="40" t="s">
        <v>546</v>
      </c>
      <c r="B888" s="360" t="s">
        <v>511</v>
      </c>
      <c r="C888" s="40">
        <v>216</v>
      </c>
      <c r="D888" s="40">
        <v>130786</v>
      </c>
      <c r="E888" s="40" t="s">
        <v>105</v>
      </c>
      <c r="F888" s="40" t="s">
        <v>1152</v>
      </c>
      <c r="G888" s="40" t="s">
        <v>119</v>
      </c>
      <c r="H888" s="40" t="s">
        <v>460</v>
      </c>
      <c r="I888" s="360" t="e">
        <f>VLOOKUP(Таблица18[[#This Row],[Номер акта]],$AB$1:$AF$1833,3,FALSE)</f>
        <v>#N/A</v>
      </c>
      <c r="J888" s="40" t="s">
        <v>21</v>
      </c>
      <c r="K888" s="40" t="s">
        <v>82</v>
      </c>
      <c r="L888" s="121">
        <v>36430</v>
      </c>
      <c r="M888" s="121">
        <v>21070</v>
      </c>
      <c r="N888" s="121">
        <v>14</v>
      </c>
      <c r="O888" s="363">
        <v>15360</v>
      </c>
      <c r="P888" s="363">
        <v>13209.6</v>
      </c>
      <c r="Q888" s="121">
        <v>2025</v>
      </c>
      <c r="R888" s="121"/>
      <c r="S888" s="148">
        <v>45812</v>
      </c>
      <c r="T888" s="363">
        <f>Таблица18[[#This Row],[Вес нетто]]-Таблица18[[#This Row],[Зачетный вес]]</f>
        <v>2150.3999999999996</v>
      </c>
      <c r="U888" s="365">
        <f>Таблица18[[#This Row],[Отход]]/Таблица18[[#This Row],[Вес нетто]]</f>
        <v>0.13999999999999999</v>
      </c>
      <c r="V888" s="121">
        <f>MONTH(Таблица18[[#This Row],[Дата акта]])</f>
        <v>6</v>
      </c>
      <c r="W888" s="121">
        <v>4</v>
      </c>
      <c r="X888" s="148">
        <f>DATE(1900,Таблица18[[#This Row],[Месяц]],Таблица18[[#This Row],[Число]])</f>
        <v>156</v>
      </c>
      <c r="Y888" s="121"/>
      <c r="Z888" s="121" t="str">
        <f>Таблица18[[#This Row],[Хар-ка]]</f>
        <v>высший</v>
      </c>
      <c r="AD888" s="459"/>
      <c r="AE888" s="391"/>
    </row>
    <row r="889" spans="1:31" s="325" customFormat="1" ht="15.6" hidden="1" customHeight="1" x14ac:dyDescent="0.2">
      <c r="A889" s="40" t="s">
        <v>547</v>
      </c>
      <c r="B889" s="360" t="s">
        <v>511</v>
      </c>
      <c r="C889" s="40">
        <v>217</v>
      </c>
      <c r="D889" s="40">
        <v>130787</v>
      </c>
      <c r="E889" s="40" t="s">
        <v>105</v>
      </c>
      <c r="F889" s="40" t="s">
        <v>151</v>
      </c>
      <c r="G889" s="40" t="s">
        <v>155</v>
      </c>
      <c r="H889" s="40" t="s">
        <v>460</v>
      </c>
      <c r="I889" s="360" t="e">
        <f>VLOOKUP(Таблица18[[#This Row],[Номер акта]],$AB$1:$AF$1833,3,FALSE)</f>
        <v>#N/A</v>
      </c>
      <c r="J889" s="40" t="s">
        <v>21</v>
      </c>
      <c r="K889" s="40" t="s">
        <v>82</v>
      </c>
      <c r="L889" s="121">
        <v>28110</v>
      </c>
      <c r="M889" s="121">
        <v>14880</v>
      </c>
      <c r="N889" s="121">
        <v>8.5</v>
      </c>
      <c r="O889" s="363">
        <v>13230</v>
      </c>
      <c r="P889" s="363">
        <v>12105.4</v>
      </c>
      <c r="Q889" s="121">
        <v>2025</v>
      </c>
      <c r="R889" s="121"/>
      <c r="S889" s="148">
        <v>45812</v>
      </c>
      <c r="T889" s="363">
        <f>Таблица18[[#This Row],[Вес нетто]]-Таблица18[[#This Row],[Зачетный вес]]</f>
        <v>1124.6000000000004</v>
      </c>
      <c r="U889" s="365">
        <f>Таблица18[[#This Row],[Отход]]/Таблица18[[#This Row],[Вес нетто]]</f>
        <v>8.5003779289493597E-2</v>
      </c>
      <c r="V889" s="121">
        <f>MONTH(Таблица18[[#This Row],[Дата акта]])</f>
        <v>6</v>
      </c>
      <c r="W889" s="121">
        <v>4</v>
      </c>
      <c r="X889" s="148">
        <f>DATE(1900,Таблица18[[#This Row],[Месяц]],Таблица18[[#This Row],[Число]])</f>
        <v>156</v>
      </c>
      <c r="Y889" s="121"/>
      <c r="Z889" s="121" t="str">
        <f>Таблица18[[#This Row],[Хар-ка]]</f>
        <v>высший</v>
      </c>
      <c r="AD889" s="459"/>
      <c r="AE889" s="391"/>
    </row>
    <row r="890" spans="1:31" s="325" customFormat="1" ht="15.6" hidden="1" customHeight="1" x14ac:dyDescent="0.2">
      <c r="A890" s="40" t="s">
        <v>548</v>
      </c>
      <c r="B890" s="360" t="s">
        <v>511</v>
      </c>
      <c r="C890" s="40">
        <v>218</v>
      </c>
      <c r="D890" s="40">
        <v>39</v>
      </c>
      <c r="E890" s="40" t="s">
        <v>78</v>
      </c>
      <c r="F890" s="40" t="s">
        <v>127</v>
      </c>
      <c r="G890" s="40" t="s">
        <v>131</v>
      </c>
      <c r="H890" s="40" t="s">
        <v>422</v>
      </c>
      <c r="I890" s="360" t="e">
        <f>VLOOKUP(Таблица18[[#This Row],[Номер акта]],$AB$1:$AF$1833,3,FALSE)</f>
        <v>#N/A</v>
      </c>
      <c r="J890" s="40" t="s">
        <v>81</v>
      </c>
      <c r="K890" s="40" t="s">
        <v>82</v>
      </c>
      <c r="L890" s="121">
        <v>14600</v>
      </c>
      <c r="M890" s="121">
        <v>9720</v>
      </c>
      <c r="N890" s="121">
        <v>18</v>
      </c>
      <c r="O890" s="363">
        <v>4880</v>
      </c>
      <c r="P890" s="363">
        <v>4001.6</v>
      </c>
      <c r="Q890" s="121">
        <v>2025</v>
      </c>
      <c r="R890" s="121"/>
      <c r="S890" s="148">
        <v>45812</v>
      </c>
      <c r="T890" s="363">
        <f>Таблица18[[#This Row],[Вес нетто]]-Таблица18[[#This Row],[Зачетный вес]]</f>
        <v>878.40000000000009</v>
      </c>
      <c r="U890" s="365">
        <f>Таблица18[[#This Row],[Отход]]/Таблица18[[#This Row],[Вес нетто]]</f>
        <v>0.18000000000000002</v>
      </c>
      <c r="V890" s="121">
        <f>MONTH(Таблица18[[#This Row],[Дата акта]])</f>
        <v>6</v>
      </c>
      <c r="W890" s="121">
        <v>4</v>
      </c>
      <c r="X890" s="148">
        <f>DATE(1900,Таблица18[[#This Row],[Месяц]],Таблица18[[#This Row],[Число]])</f>
        <v>156</v>
      </c>
      <c r="Y890" s="121"/>
      <c r="Z890" s="121" t="str">
        <f>Таблица18[[#This Row],[Хар-ка]]</f>
        <v>высший</v>
      </c>
      <c r="AD890" s="459"/>
      <c r="AE890" s="391"/>
    </row>
    <row r="891" spans="1:31" s="325" customFormat="1" ht="15.6" hidden="1" customHeight="1" x14ac:dyDescent="0.2">
      <c r="A891" s="40" t="s">
        <v>549</v>
      </c>
      <c r="B891" s="360" t="s">
        <v>550</v>
      </c>
      <c r="C891" s="40">
        <v>220</v>
      </c>
      <c r="D891" s="40">
        <v>40</v>
      </c>
      <c r="E891" s="40" t="s">
        <v>78</v>
      </c>
      <c r="F891" s="40" t="s">
        <v>127</v>
      </c>
      <c r="G891" s="40" t="s">
        <v>131</v>
      </c>
      <c r="H891" s="40" t="s">
        <v>422</v>
      </c>
      <c r="I891" s="360" t="e">
        <f>VLOOKUP(Таблица18[[#This Row],[Номер акта]],$AB$1:$AF$1833,3,FALSE)</f>
        <v>#N/A</v>
      </c>
      <c r="J891" s="40" t="s">
        <v>81</v>
      </c>
      <c r="K891" s="40" t="s">
        <v>82</v>
      </c>
      <c r="L891" s="121">
        <v>14600</v>
      </c>
      <c r="M891" s="121">
        <v>9710</v>
      </c>
      <c r="N891" s="121">
        <v>17</v>
      </c>
      <c r="O891" s="363">
        <v>4890</v>
      </c>
      <c r="P891" s="363">
        <v>4058.7</v>
      </c>
      <c r="Q891" s="121">
        <v>2025</v>
      </c>
      <c r="R891" s="121"/>
      <c r="S891" s="148">
        <v>45813</v>
      </c>
      <c r="T891" s="363">
        <f>Таблица18[[#This Row],[Вес нетто]]-Таблица18[[#This Row],[Зачетный вес]]</f>
        <v>831.30000000000018</v>
      </c>
      <c r="U891" s="365">
        <f>Таблица18[[#This Row],[Отход]]/Таблица18[[#This Row],[Вес нетто]]</f>
        <v>0.17000000000000004</v>
      </c>
      <c r="V891" s="121">
        <f>MONTH(Таблица18[[#This Row],[Дата акта]])</f>
        <v>6</v>
      </c>
      <c r="W891" s="121">
        <v>5</v>
      </c>
      <c r="X891" s="148">
        <f>DATE(1900,Таблица18[[#This Row],[Месяц]],Таблица18[[#This Row],[Число]])</f>
        <v>157</v>
      </c>
      <c r="Y891" s="121"/>
      <c r="Z891" s="121" t="str">
        <f>Таблица18[[#This Row],[Хар-ка]]</f>
        <v>первый</v>
      </c>
      <c r="AD891" s="459"/>
      <c r="AE891" s="391"/>
    </row>
    <row r="892" spans="1:31" s="325" customFormat="1" ht="15.6" hidden="1" customHeight="1" x14ac:dyDescent="0.2">
      <c r="A892" s="40" t="s">
        <v>551</v>
      </c>
      <c r="B892" s="360" t="s">
        <v>511</v>
      </c>
      <c r="C892" s="40">
        <v>221</v>
      </c>
      <c r="D892" s="40">
        <v>130788</v>
      </c>
      <c r="E892" s="40" t="s">
        <v>105</v>
      </c>
      <c r="F892" s="40" t="s">
        <v>160</v>
      </c>
      <c r="G892" s="40" t="s">
        <v>164</v>
      </c>
      <c r="H892" s="40" t="s">
        <v>460</v>
      </c>
      <c r="I892" s="360" t="e">
        <f>VLOOKUP(Таблица18[[#This Row],[Номер акта]],$AB$1:$AF$1833,3,FALSE)</f>
        <v>#N/A</v>
      </c>
      <c r="J892" s="40" t="s">
        <v>21</v>
      </c>
      <c r="K892" s="40" t="s">
        <v>82</v>
      </c>
      <c r="L892" s="121">
        <v>37550</v>
      </c>
      <c r="M892" s="121">
        <v>24020</v>
      </c>
      <c r="N892" s="121">
        <v>8.5</v>
      </c>
      <c r="O892" s="363">
        <v>13530</v>
      </c>
      <c r="P892" s="363">
        <v>12379.9</v>
      </c>
      <c r="Q892" s="121">
        <v>2025</v>
      </c>
      <c r="R892" s="121"/>
      <c r="S892" s="148">
        <v>45813</v>
      </c>
      <c r="T892" s="363">
        <f>Таблица18[[#This Row],[Вес нетто]]-Таблица18[[#This Row],[Зачетный вес]]</f>
        <v>1150.1000000000004</v>
      </c>
      <c r="U892" s="365">
        <f>Таблица18[[#This Row],[Отход]]/Таблица18[[#This Row],[Вес нетто]]</f>
        <v>8.50036954915004E-2</v>
      </c>
      <c r="V892" s="121">
        <f>MONTH(Таблица18[[#This Row],[Дата акта]])</f>
        <v>6</v>
      </c>
      <c r="W892" s="121">
        <v>5</v>
      </c>
      <c r="X892" s="148">
        <f>DATE(1900,Таблица18[[#This Row],[Месяц]],Таблица18[[#This Row],[Число]])</f>
        <v>157</v>
      </c>
      <c r="Y892" s="121"/>
      <c r="Z892" s="121" t="str">
        <f>Таблица18[[#This Row],[Хар-ка]]</f>
        <v>высший</v>
      </c>
      <c r="AD892" s="459"/>
      <c r="AE892" s="391"/>
    </row>
    <row r="893" spans="1:31" s="325" customFormat="1" ht="15.6" hidden="1" customHeight="1" x14ac:dyDescent="0.2">
      <c r="A893" s="40" t="s">
        <v>552</v>
      </c>
      <c r="B893" s="360" t="s">
        <v>550</v>
      </c>
      <c r="C893" s="40">
        <v>222</v>
      </c>
      <c r="D893" s="40">
        <v>41</v>
      </c>
      <c r="E893" s="40" t="s">
        <v>78</v>
      </c>
      <c r="F893" s="40" t="s">
        <v>127</v>
      </c>
      <c r="G893" s="40" t="s">
        <v>131</v>
      </c>
      <c r="H893" s="40" t="s">
        <v>422</v>
      </c>
      <c r="I893" s="360" t="e">
        <f>VLOOKUP(Таблица18[[#This Row],[Номер акта]],$AB$1:$AF$1833,3,FALSE)</f>
        <v>#N/A</v>
      </c>
      <c r="J893" s="40" t="s">
        <v>81</v>
      </c>
      <c r="K893" s="40" t="s">
        <v>82</v>
      </c>
      <c r="L893" s="121">
        <v>14640</v>
      </c>
      <c r="M893" s="121">
        <v>9700</v>
      </c>
      <c r="N893" s="121">
        <v>16</v>
      </c>
      <c r="O893" s="363">
        <v>4940</v>
      </c>
      <c r="P893" s="363">
        <v>4149.6000000000004</v>
      </c>
      <c r="Q893" s="121">
        <v>2025</v>
      </c>
      <c r="R893" s="121"/>
      <c r="S893" s="148">
        <v>45813</v>
      </c>
      <c r="T893" s="363">
        <f>Таблица18[[#This Row],[Вес нетто]]-Таблица18[[#This Row],[Зачетный вес]]</f>
        <v>790.39999999999964</v>
      </c>
      <c r="U893" s="365">
        <f>Таблица18[[#This Row],[Отход]]/Таблица18[[#This Row],[Вес нетто]]</f>
        <v>0.15999999999999992</v>
      </c>
      <c r="V893" s="121">
        <f>MONTH(Таблица18[[#This Row],[Дата акта]])</f>
        <v>6</v>
      </c>
      <c r="W893" s="121">
        <v>5</v>
      </c>
      <c r="X893" s="148">
        <f>DATE(1900,Таблица18[[#This Row],[Месяц]],Таблица18[[#This Row],[Число]])</f>
        <v>157</v>
      </c>
      <c r="Y893" s="121"/>
      <c r="Z893" s="121" t="str">
        <f>Таблица18[[#This Row],[Хар-ка]]</f>
        <v>первый</v>
      </c>
      <c r="AD893" s="459"/>
      <c r="AE893" s="391"/>
    </row>
    <row r="894" spans="1:31" s="325" customFormat="1" ht="15.6" hidden="1" customHeight="1" x14ac:dyDescent="0.2">
      <c r="A894" s="40" t="s">
        <v>553</v>
      </c>
      <c r="B894" s="360" t="s">
        <v>511</v>
      </c>
      <c r="C894" s="40">
        <v>225</v>
      </c>
      <c r="D894" s="40">
        <v>42</v>
      </c>
      <c r="E894" s="40" t="s">
        <v>78</v>
      </c>
      <c r="F894" s="40" t="s">
        <v>127</v>
      </c>
      <c r="G894" s="40" t="s">
        <v>131</v>
      </c>
      <c r="H894" s="40" t="s">
        <v>422</v>
      </c>
      <c r="I894" s="360" t="e">
        <f>VLOOKUP(Таблица18[[#This Row],[Номер акта]],$AB$1:$AF$1833,3,FALSE)</f>
        <v>#N/A</v>
      </c>
      <c r="J894" s="40" t="s">
        <v>81</v>
      </c>
      <c r="K894" s="40" t="s">
        <v>82</v>
      </c>
      <c r="L894" s="121">
        <v>14670</v>
      </c>
      <c r="M894" s="121">
        <v>9690</v>
      </c>
      <c r="N894" s="121">
        <v>14</v>
      </c>
      <c r="O894" s="363">
        <v>4980</v>
      </c>
      <c r="P894" s="363">
        <v>4282.8</v>
      </c>
      <c r="Q894" s="121">
        <v>2025</v>
      </c>
      <c r="R894" s="121"/>
      <c r="S894" s="148">
        <v>45813</v>
      </c>
      <c r="T894" s="363">
        <f>Таблица18[[#This Row],[Вес нетто]]-Таблица18[[#This Row],[Зачетный вес]]</f>
        <v>697.19999999999982</v>
      </c>
      <c r="U894" s="365">
        <f>Таблица18[[#This Row],[Отход]]/Таблица18[[#This Row],[Вес нетто]]</f>
        <v>0.13999999999999996</v>
      </c>
      <c r="V894" s="121">
        <f>MONTH(Таблица18[[#This Row],[Дата акта]])</f>
        <v>6</v>
      </c>
      <c r="W894" s="121">
        <v>5</v>
      </c>
      <c r="X894" s="148">
        <f>DATE(1900,Таблица18[[#This Row],[Месяц]],Таблица18[[#This Row],[Число]])</f>
        <v>157</v>
      </c>
      <c r="Y894" s="121"/>
      <c r="Z894" s="121" t="str">
        <f>Таблица18[[#This Row],[Хар-ка]]</f>
        <v>высший</v>
      </c>
      <c r="AD894" s="459"/>
      <c r="AE894" s="391"/>
    </row>
    <row r="895" spans="1:31" s="325" customFormat="1" ht="15.6" hidden="1" customHeight="1" x14ac:dyDescent="0.2">
      <c r="A895" s="40" t="s">
        <v>554</v>
      </c>
      <c r="B895" s="360" t="s">
        <v>511</v>
      </c>
      <c r="C895" s="40">
        <v>223</v>
      </c>
      <c r="D895" s="40">
        <v>130790</v>
      </c>
      <c r="E895" s="40" t="s">
        <v>105</v>
      </c>
      <c r="F895" s="40" t="s">
        <v>234</v>
      </c>
      <c r="G895" s="40" t="s">
        <v>238</v>
      </c>
      <c r="H895" s="40" t="s">
        <v>460</v>
      </c>
      <c r="I895" s="360" t="e">
        <f>VLOOKUP(Таблица18[[#This Row],[Номер акта]],$AB$1:$AF$1833,3,FALSE)</f>
        <v>#N/A</v>
      </c>
      <c r="J895" s="40" t="s">
        <v>21</v>
      </c>
      <c r="K895" s="40" t="s">
        <v>82</v>
      </c>
      <c r="L895" s="121">
        <v>28860</v>
      </c>
      <c r="M895" s="121">
        <v>15560</v>
      </c>
      <c r="N895" s="121">
        <v>11</v>
      </c>
      <c r="O895" s="363">
        <v>13300</v>
      </c>
      <c r="P895" s="363">
        <v>11837</v>
      </c>
      <c r="Q895" s="121">
        <v>2025</v>
      </c>
      <c r="R895" s="121"/>
      <c r="S895" s="148">
        <v>45813</v>
      </c>
      <c r="T895" s="363">
        <f>Таблица18[[#This Row],[Вес нетто]]-Таблица18[[#This Row],[Зачетный вес]]</f>
        <v>1463</v>
      </c>
      <c r="U895" s="365">
        <f>Таблица18[[#This Row],[Отход]]/Таблица18[[#This Row],[Вес нетто]]</f>
        <v>0.11</v>
      </c>
      <c r="V895" s="121">
        <f>MONTH(Таблица18[[#This Row],[Дата акта]])</f>
        <v>6</v>
      </c>
      <c r="W895" s="121">
        <v>5</v>
      </c>
      <c r="X895" s="148">
        <f>DATE(1900,Таблица18[[#This Row],[Месяц]],Таблица18[[#This Row],[Число]])</f>
        <v>157</v>
      </c>
      <c r="Y895" s="121"/>
      <c r="Z895" s="121" t="str">
        <f>Таблица18[[#This Row],[Хар-ка]]</f>
        <v>высший</v>
      </c>
      <c r="AD895" s="459"/>
      <c r="AE895" s="391"/>
    </row>
    <row r="896" spans="1:31" s="325" customFormat="1" ht="15.6" hidden="1" customHeight="1" x14ac:dyDescent="0.2">
      <c r="A896" s="40" t="s">
        <v>555</v>
      </c>
      <c r="B896" s="360" t="s">
        <v>511</v>
      </c>
      <c r="C896" s="40">
        <v>204</v>
      </c>
      <c r="D896" s="40" t="s">
        <v>676</v>
      </c>
      <c r="E896" s="40" t="s">
        <v>78</v>
      </c>
      <c r="F896" s="40" t="s">
        <v>442</v>
      </c>
      <c r="G896" s="40" t="s">
        <v>443</v>
      </c>
      <c r="H896" s="40" t="s">
        <v>422</v>
      </c>
      <c r="I896" s="360" t="e">
        <f>VLOOKUP(Таблица18[[#This Row],[Номер акта]],$AB$1:$AF$1833,3,FALSE)</f>
        <v>#N/A</v>
      </c>
      <c r="J896" s="40" t="s">
        <v>81</v>
      </c>
      <c r="K896" s="40" t="s">
        <v>82</v>
      </c>
      <c r="L896" s="121">
        <v>33490</v>
      </c>
      <c r="M896" s="121">
        <v>18770</v>
      </c>
      <c r="N896" s="121">
        <v>16.899999999999999</v>
      </c>
      <c r="O896" s="363">
        <v>14720</v>
      </c>
      <c r="P896" s="363">
        <v>12230.4</v>
      </c>
      <c r="Q896" s="121">
        <v>2025</v>
      </c>
      <c r="R896" s="121"/>
      <c r="S896" s="148">
        <v>45812</v>
      </c>
      <c r="T896" s="363">
        <f>Таблица18[[#This Row],[Вес нетто]]-Таблица18[[#This Row],[Зачетный вес]]</f>
        <v>2489.6000000000004</v>
      </c>
      <c r="U896" s="365">
        <f>Таблица18[[#This Row],[Отход]]/Таблица18[[#This Row],[Вес нетто]]</f>
        <v>0.16913043478260872</v>
      </c>
      <c r="V896" s="121">
        <f>MONTH(Таблица18[[#This Row],[Дата акта]])</f>
        <v>6</v>
      </c>
      <c r="W896" s="121">
        <v>4</v>
      </c>
      <c r="X896" s="148">
        <f>DATE(1900,Таблица18[[#This Row],[Месяц]],Таблица18[[#This Row],[Число]])</f>
        <v>156</v>
      </c>
      <c r="Y896" s="121"/>
      <c r="Z896" s="121" t="str">
        <f>Таблица18[[#This Row],[Хар-ка]]</f>
        <v>высший</v>
      </c>
      <c r="AD896" s="459"/>
      <c r="AE896" s="391"/>
    </row>
    <row r="897" spans="1:31" s="325" customFormat="1" ht="15.6" hidden="1" customHeight="1" x14ac:dyDescent="0.2">
      <c r="A897" s="40" t="s">
        <v>556</v>
      </c>
      <c r="B897" s="360" t="s">
        <v>511</v>
      </c>
      <c r="C897" s="40">
        <v>200</v>
      </c>
      <c r="D897" s="40" t="s">
        <v>677</v>
      </c>
      <c r="E897" s="40" t="s">
        <v>557</v>
      </c>
      <c r="F897" s="40" t="s">
        <v>295</v>
      </c>
      <c r="G897" s="40" t="s">
        <v>299</v>
      </c>
      <c r="H897" s="40" t="s">
        <v>422</v>
      </c>
      <c r="I897" s="360" t="e">
        <f>VLOOKUP(Таблица18[[#This Row],[Номер акта]],$AB$1:$AF$1833,3,FALSE)</f>
        <v>#N/A</v>
      </c>
      <c r="J897" s="40" t="s">
        <v>81</v>
      </c>
      <c r="K897" s="40" t="s">
        <v>82</v>
      </c>
      <c r="L897" s="121">
        <v>32100</v>
      </c>
      <c r="M897" s="121">
        <v>17620</v>
      </c>
      <c r="N897" s="121">
        <v>23.7</v>
      </c>
      <c r="O897" s="363">
        <v>14480</v>
      </c>
      <c r="P897" s="363">
        <v>11044.8</v>
      </c>
      <c r="Q897" s="121">
        <v>2025</v>
      </c>
      <c r="R897" s="121"/>
      <c r="S897" s="148">
        <v>45812</v>
      </c>
      <c r="T897" s="363">
        <f>Таблица18[[#This Row],[Вес нетто]]-Таблица18[[#This Row],[Зачетный вес]]</f>
        <v>3435.2000000000007</v>
      </c>
      <c r="U897" s="365">
        <f>Таблица18[[#This Row],[Отход]]/Таблица18[[#This Row],[Вес нетто]]</f>
        <v>0.23723756906077353</v>
      </c>
      <c r="V897" s="121">
        <f>MONTH(Таблица18[[#This Row],[Дата акта]])</f>
        <v>6</v>
      </c>
      <c r="W897" s="121">
        <v>4</v>
      </c>
      <c r="X897" s="148">
        <f>DATE(1900,Таблица18[[#This Row],[Месяц]],Таблица18[[#This Row],[Число]])</f>
        <v>156</v>
      </c>
      <c r="Y897" s="121"/>
      <c r="Z897" s="121" t="str">
        <f>Таблица18[[#This Row],[Хар-ка]]</f>
        <v>высший</v>
      </c>
      <c r="AD897" s="459"/>
      <c r="AE897" s="391"/>
    </row>
    <row r="898" spans="1:31" s="325" customFormat="1" ht="15.6" hidden="1" customHeight="1" x14ac:dyDescent="0.2">
      <c r="A898" s="40" t="s">
        <v>558</v>
      </c>
      <c r="B898" s="360" t="s">
        <v>511</v>
      </c>
      <c r="C898" s="40">
        <v>193</v>
      </c>
      <c r="D898" s="40" t="s">
        <v>559</v>
      </c>
      <c r="E898" s="40" t="s">
        <v>78</v>
      </c>
      <c r="F898" s="40" t="s">
        <v>439</v>
      </c>
      <c r="G898" s="40" t="s">
        <v>440</v>
      </c>
      <c r="H898" s="40" t="s">
        <v>422</v>
      </c>
      <c r="I898" s="360" t="e">
        <f>VLOOKUP(Таблица18[[#This Row],[Номер акта]],$AB$1:$AF$1833,3,FALSE)</f>
        <v>#N/A</v>
      </c>
      <c r="J898" s="40" t="s">
        <v>81</v>
      </c>
      <c r="K898" s="40" t="s">
        <v>82</v>
      </c>
      <c r="L898" s="121">
        <v>30820</v>
      </c>
      <c r="M898" s="121">
        <v>16480</v>
      </c>
      <c r="N898" s="121">
        <v>31.8</v>
      </c>
      <c r="O898" s="363">
        <v>14340</v>
      </c>
      <c r="P898" s="363">
        <v>9785</v>
      </c>
      <c r="Q898" s="121">
        <v>2025</v>
      </c>
      <c r="R898" s="121"/>
      <c r="S898" s="148">
        <v>45812</v>
      </c>
      <c r="T898" s="363">
        <f>Таблица18[[#This Row],[Вес нетто]]-Таблица18[[#This Row],[Зачетный вес]]</f>
        <v>4555</v>
      </c>
      <c r="U898" s="365">
        <f>Таблица18[[#This Row],[Отход]]/Таблица18[[#This Row],[Вес нетто]]</f>
        <v>0.31764295676429566</v>
      </c>
      <c r="V898" s="121">
        <f>MONTH(Таблица18[[#This Row],[Дата акта]])</f>
        <v>6</v>
      </c>
      <c r="W898" s="121">
        <v>4</v>
      </c>
      <c r="X898" s="148">
        <f>DATE(1900,Таблица18[[#This Row],[Месяц]],Таблица18[[#This Row],[Число]])</f>
        <v>156</v>
      </c>
      <c r="Y898" s="121"/>
      <c r="Z898" s="121" t="str">
        <f>Таблица18[[#This Row],[Хар-ка]]</f>
        <v>высший</v>
      </c>
      <c r="AD898" s="459"/>
      <c r="AE898" s="391"/>
    </row>
    <row r="899" spans="1:31" s="325" customFormat="1" ht="15.6" hidden="1" customHeight="1" x14ac:dyDescent="0.2">
      <c r="A899" s="40" t="s">
        <v>560</v>
      </c>
      <c r="B899" s="360" t="s">
        <v>511</v>
      </c>
      <c r="C899" s="40">
        <v>214</v>
      </c>
      <c r="D899" s="40" t="s">
        <v>863</v>
      </c>
      <c r="E899" s="40" t="s">
        <v>557</v>
      </c>
      <c r="F899" s="40" t="s">
        <v>283</v>
      </c>
      <c r="G899" s="40" t="s">
        <v>287</v>
      </c>
      <c r="H899" s="40" t="s">
        <v>422</v>
      </c>
      <c r="I899" s="360" t="e">
        <f>VLOOKUP(Таблица18[[#This Row],[Номер акта]],$AB$1:$AF$1833,3,FALSE)</f>
        <v>#N/A</v>
      </c>
      <c r="J899" s="40" t="s">
        <v>81</v>
      </c>
      <c r="K899" s="40" t="s">
        <v>82</v>
      </c>
      <c r="L899" s="121">
        <v>32190</v>
      </c>
      <c r="M899" s="121">
        <v>17740</v>
      </c>
      <c r="N899" s="121">
        <v>12</v>
      </c>
      <c r="O899" s="363">
        <v>14450</v>
      </c>
      <c r="P899" s="363">
        <v>12716</v>
      </c>
      <c r="Q899" s="121">
        <v>2025</v>
      </c>
      <c r="R899" s="121"/>
      <c r="S899" s="148">
        <v>45812</v>
      </c>
      <c r="T899" s="363">
        <f>Таблица18[[#This Row],[Вес нетто]]-Таблица18[[#This Row],[Зачетный вес]]</f>
        <v>1734</v>
      </c>
      <c r="U899" s="365">
        <f>Таблица18[[#This Row],[Отход]]/Таблица18[[#This Row],[Вес нетто]]</f>
        <v>0.12</v>
      </c>
      <c r="V899" s="121">
        <f>MONTH(Таблица18[[#This Row],[Дата акта]])</f>
        <v>6</v>
      </c>
      <c r="W899" s="121">
        <v>4</v>
      </c>
      <c r="X899" s="148">
        <f>DATE(1900,Таблица18[[#This Row],[Месяц]],Таблица18[[#This Row],[Число]])</f>
        <v>156</v>
      </c>
      <c r="Y899" s="121"/>
      <c r="Z899" s="121" t="str">
        <f>Таблица18[[#This Row],[Хар-ка]]</f>
        <v>высший</v>
      </c>
      <c r="AD899" s="459"/>
      <c r="AE899" s="391"/>
    </row>
    <row r="900" spans="1:31" s="325" customFormat="1" ht="15.6" hidden="1" customHeight="1" x14ac:dyDescent="0.2">
      <c r="A900" s="40" t="s">
        <v>561</v>
      </c>
      <c r="B900" s="360" t="s">
        <v>511</v>
      </c>
      <c r="C900" s="40">
        <v>224</v>
      </c>
      <c r="D900" s="40">
        <v>130791</v>
      </c>
      <c r="E900" s="40" t="s">
        <v>105</v>
      </c>
      <c r="F900" s="40" t="s">
        <v>272</v>
      </c>
      <c r="G900" s="40" t="s">
        <v>276</v>
      </c>
      <c r="H900" s="40" t="s">
        <v>460</v>
      </c>
      <c r="I900" s="360" t="e">
        <f>VLOOKUP(Таблица18[[#This Row],[Номер акта]],$AB$1:$AF$1833,3,FALSE)</f>
        <v>#N/A</v>
      </c>
      <c r="J900" s="40" t="s">
        <v>21</v>
      </c>
      <c r="K900" s="40" t="s">
        <v>82</v>
      </c>
      <c r="L900" s="121">
        <v>28060</v>
      </c>
      <c r="M900" s="121">
        <v>14730</v>
      </c>
      <c r="N900" s="121">
        <v>11.5</v>
      </c>
      <c r="O900" s="363">
        <v>13330</v>
      </c>
      <c r="P900" s="363">
        <v>11797</v>
      </c>
      <c r="Q900" s="121">
        <v>2025</v>
      </c>
      <c r="R900" s="121"/>
      <c r="S900" s="148">
        <v>45813</v>
      </c>
      <c r="T900" s="363">
        <f>Таблица18[[#This Row],[Вес нетто]]-Таблица18[[#This Row],[Зачетный вес]]</f>
        <v>1533</v>
      </c>
      <c r="U900" s="365">
        <f>Таблица18[[#This Row],[Отход]]/Таблица18[[#This Row],[Вес нетто]]</f>
        <v>0.11500375093773443</v>
      </c>
      <c r="V900" s="121">
        <f>MONTH(Таблица18[[#This Row],[Дата акта]])</f>
        <v>6</v>
      </c>
      <c r="W900" s="121">
        <v>5</v>
      </c>
      <c r="X900" s="148">
        <f>DATE(1900,Таблица18[[#This Row],[Месяц]],Таблица18[[#This Row],[Число]])</f>
        <v>157</v>
      </c>
      <c r="Y900" s="121"/>
      <c r="Z900" s="121" t="str">
        <f>Таблица18[[#This Row],[Хар-ка]]</f>
        <v>высший</v>
      </c>
      <c r="AD900" s="459"/>
      <c r="AE900" s="391"/>
    </row>
    <row r="901" spans="1:31" s="325" customFormat="1" ht="15.6" hidden="1" customHeight="1" x14ac:dyDescent="0.2">
      <c r="A901" s="40" t="s">
        <v>562</v>
      </c>
      <c r="B901" s="360" t="s">
        <v>511</v>
      </c>
      <c r="C901" s="40"/>
      <c r="D901" s="40" t="s">
        <v>563</v>
      </c>
      <c r="E901" s="40" t="s">
        <v>105</v>
      </c>
      <c r="F901" s="40" t="s">
        <v>564</v>
      </c>
      <c r="G901" s="40" t="s">
        <v>565</v>
      </c>
      <c r="H901" s="40" t="s">
        <v>460</v>
      </c>
      <c r="I901" s="360" t="e">
        <f>VLOOKUP(Таблица18[[#This Row],[Номер акта]],$AB$1:$AF$1833,3,FALSE)</f>
        <v>#N/A</v>
      </c>
      <c r="J901" s="40" t="s">
        <v>21</v>
      </c>
      <c r="K901" s="40" t="s">
        <v>82</v>
      </c>
      <c r="L901" s="121">
        <v>32800</v>
      </c>
      <c r="M901" s="121">
        <v>14500</v>
      </c>
      <c r="N901" s="121">
        <v>6.5</v>
      </c>
      <c r="O901" s="363">
        <v>18300</v>
      </c>
      <c r="P901" s="363">
        <v>17110</v>
      </c>
      <c r="Q901" s="121">
        <v>2025</v>
      </c>
      <c r="R901" s="121"/>
      <c r="S901" s="148">
        <v>45811</v>
      </c>
      <c r="T901" s="363">
        <f>Таблица18[[#This Row],[Вес нетто]]-Таблица18[[#This Row],[Зачетный вес]]</f>
        <v>1190</v>
      </c>
      <c r="U901" s="365">
        <f>Таблица18[[#This Row],[Отход]]/Таблица18[[#This Row],[Вес нетто]]</f>
        <v>6.502732240437159E-2</v>
      </c>
      <c r="V901" s="121">
        <f>MONTH(Таблица18[[#This Row],[Дата акта]])</f>
        <v>6</v>
      </c>
      <c r="W901" s="121">
        <v>3</v>
      </c>
      <c r="X901" s="148">
        <f>DATE(1900,Таблица18[[#This Row],[Месяц]],Таблица18[[#This Row],[Число]])</f>
        <v>155</v>
      </c>
      <c r="Y901" s="121"/>
      <c r="Z901" s="121" t="str">
        <f>Таблица18[[#This Row],[Хар-ка]]</f>
        <v>высший</v>
      </c>
      <c r="AD901" s="459"/>
      <c r="AE901" s="391"/>
    </row>
    <row r="902" spans="1:31" s="325" customFormat="1" ht="15.6" hidden="1" customHeight="1" x14ac:dyDescent="0.2">
      <c r="A902" s="40" t="s">
        <v>566</v>
      </c>
      <c r="B902" s="360" t="s">
        <v>511</v>
      </c>
      <c r="C902" s="40">
        <v>226</v>
      </c>
      <c r="D902" s="40">
        <v>130792</v>
      </c>
      <c r="E902" s="40" t="s">
        <v>105</v>
      </c>
      <c r="F902" s="40" t="s">
        <v>1253</v>
      </c>
      <c r="G902" s="40" t="s">
        <v>270</v>
      </c>
      <c r="H902" s="40" t="s">
        <v>365</v>
      </c>
      <c r="I902" s="360" t="e">
        <f>VLOOKUP(Таблица18[[#This Row],[Номер акта]],$AB$1:$AF$1833,3,FALSE)</f>
        <v>#N/A</v>
      </c>
      <c r="J902" s="40" t="s">
        <v>21</v>
      </c>
      <c r="K902" s="40" t="s">
        <v>82</v>
      </c>
      <c r="L902" s="121">
        <v>29030</v>
      </c>
      <c r="M902" s="121">
        <v>22250</v>
      </c>
      <c r="N902" s="121"/>
      <c r="O902" s="363">
        <v>14170</v>
      </c>
      <c r="P902" s="363">
        <v>12728.9</v>
      </c>
      <c r="Q902" s="121">
        <v>2025</v>
      </c>
      <c r="R902" s="121"/>
      <c r="S902" s="148">
        <v>45813</v>
      </c>
      <c r="T902" s="363">
        <f>Таблица18[[#This Row],[Вес нетто]]-Таблица18[[#This Row],[Зачетный вес]]</f>
        <v>1441.1000000000004</v>
      </c>
      <c r="U902" s="365">
        <f>Таблица18[[#This Row],[Отход]]/Таблица18[[#This Row],[Вес нетто]]</f>
        <v>0.10170077628793228</v>
      </c>
      <c r="V902" s="121">
        <f>MONTH(Таблица18[[#This Row],[Дата акта]])</f>
        <v>6</v>
      </c>
      <c r="W902" s="121">
        <v>5</v>
      </c>
      <c r="X902" s="148">
        <f>DATE(1900,Таблица18[[#This Row],[Месяц]],Таблица18[[#This Row],[Число]])</f>
        <v>157</v>
      </c>
      <c r="Y902" s="121"/>
      <c r="Z902" s="121" t="str">
        <f>Таблица18[[#This Row],[Хар-ка]]</f>
        <v>высший</v>
      </c>
      <c r="AD902" s="459"/>
      <c r="AE902" s="391"/>
    </row>
    <row r="903" spans="1:31" s="325" customFormat="1" ht="15.6" hidden="1" customHeight="1" x14ac:dyDescent="0.2">
      <c r="A903" s="40" t="s">
        <v>510</v>
      </c>
      <c r="B903" s="360" t="s">
        <v>511</v>
      </c>
      <c r="C903" s="40">
        <v>228</v>
      </c>
      <c r="D903" s="40">
        <v>130793</v>
      </c>
      <c r="E903" s="40" t="s">
        <v>105</v>
      </c>
      <c r="F903" s="40" t="s">
        <v>121</v>
      </c>
      <c r="G903" s="40" t="s">
        <v>125</v>
      </c>
      <c r="H903" s="40" t="s">
        <v>365</v>
      </c>
      <c r="I903" s="360" t="e">
        <f>VLOOKUP(Таблица18[[#This Row],[Номер акта]],$AB$1:$AF$1833,3,FALSE)</f>
        <v>#N/A</v>
      </c>
      <c r="J903" s="40" t="s">
        <v>21</v>
      </c>
      <c r="K903" s="40" t="s">
        <v>82</v>
      </c>
      <c r="L903" s="121">
        <v>28060</v>
      </c>
      <c r="M903" s="121">
        <v>14580</v>
      </c>
      <c r="N903" s="121">
        <v>20.5</v>
      </c>
      <c r="O903" s="363">
        <v>13480</v>
      </c>
      <c r="P903" s="363">
        <v>10716.6</v>
      </c>
      <c r="Q903" s="121">
        <v>2025</v>
      </c>
      <c r="R903" s="121"/>
      <c r="S903" s="148">
        <v>45813</v>
      </c>
      <c r="T903" s="363">
        <f>Таблица18[[#This Row],[Вес нетто]]-Таблица18[[#This Row],[Зачетный вес]]</f>
        <v>2763.3999999999996</v>
      </c>
      <c r="U903" s="365">
        <f>Таблица18[[#This Row],[Отход]]/Таблица18[[#This Row],[Вес нетто]]</f>
        <v>0.20499999999999996</v>
      </c>
      <c r="V903" s="121">
        <f>MONTH(Таблица18[[#This Row],[Дата акта]])</f>
        <v>6</v>
      </c>
      <c r="W903" s="121">
        <v>5</v>
      </c>
      <c r="X903" s="148">
        <f>DATE(1900,Таблица18[[#This Row],[Месяц]],Таблица18[[#This Row],[Число]])</f>
        <v>157</v>
      </c>
      <c r="Y903" s="121"/>
      <c r="Z903" s="121" t="str">
        <f>Таблица18[[#This Row],[Хар-ка]]</f>
        <v>высший</v>
      </c>
      <c r="AD903" s="459"/>
      <c r="AE903" s="391"/>
    </row>
    <row r="904" spans="1:31" s="325" customFormat="1" ht="15.6" hidden="1" customHeight="1" x14ac:dyDescent="0.2">
      <c r="A904" s="40" t="s">
        <v>512</v>
      </c>
      <c r="B904" s="360" t="s">
        <v>511</v>
      </c>
      <c r="C904" s="40">
        <v>230</v>
      </c>
      <c r="D904" s="40">
        <v>130794</v>
      </c>
      <c r="E904" s="40" t="s">
        <v>105</v>
      </c>
      <c r="F904" s="40" t="s">
        <v>133</v>
      </c>
      <c r="G904" s="40" t="s">
        <v>137</v>
      </c>
      <c r="H904" s="40" t="s">
        <v>365</v>
      </c>
      <c r="I904" s="360" t="e">
        <f>VLOOKUP(Таблица18[[#This Row],[Номер акта]],$AB$1:$AF$1833,3,FALSE)</f>
        <v>#N/A</v>
      </c>
      <c r="J904" s="40" t="s">
        <v>21</v>
      </c>
      <c r="K904" s="40" t="s">
        <v>82</v>
      </c>
      <c r="L904" s="121">
        <v>28080</v>
      </c>
      <c r="M904" s="121">
        <v>14850</v>
      </c>
      <c r="N904" s="121">
        <v>22.5</v>
      </c>
      <c r="O904" s="363">
        <v>13230</v>
      </c>
      <c r="P904" s="363">
        <v>10253.200000000001</v>
      </c>
      <c r="Q904" s="121">
        <v>2025</v>
      </c>
      <c r="R904" s="121"/>
      <c r="S904" s="148">
        <v>45813</v>
      </c>
      <c r="T904" s="363">
        <f>Таблица18[[#This Row],[Вес нетто]]-Таблица18[[#This Row],[Зачетный вес]]</f>
        <v>2976.7999999999993</v>
      </c>
      <c r="U904" s="365">
        <f>Таблица18[[#This Row],[Отход]]/Таблица18[[#This Row],[Вес нетто]]</f>
        <v>0.22500377928949353</v>
      </c>
      <c r="V904" s="121">
        <f>MONTH(Таблица18[[#This Row],[Дата акта]])</f>
        <v>6</v>
      </c>
      <c r="W904" s="121">
        <v>5</v>
      </c>
      <c r="X904" s="148">
        <f>DATE(1900,Таблица18[[#This Row],[Месяц]],Таблица18[[#This Row],[Число]])</f>
        <v>157</v>
      </c>
      <c r="Y904" s="121"/>
      <c r="Z904" s="121" t="str">
        <f>Таблица18[[#This Row],[Хар-ка]]</f>
        <v>высший</v>
      </c>
      <c r="AD904" s="459"/>
      <c r="AE904" s="391"/>
    </row>
    <row r="905" spans="1:31" s="325" customFormat="1" ht="15.6" hidden="1" customHeight="1" x14ac:dyDescent="0.2">
      <c r="A905" s="40" t="s">
        <v>513</v>
      </c>
      <c r="B905" s="360" t="s">
        <v>511</v>
      </c>
      <c r="C905" s="40"/>
      <c r="D905" s="40" t="s">
        <v>673</v>
      </c>
      <c r="E905" s="40" t="s">
        <v>105</v>
      </c>
      <c r="F905" s="40" t="s">
        <v>514</v>
      </c>
      <c r="G905" s="40" t="s">
        <v>515</v>
      </c>
      <c r="H905" s="40" t="s">
        <v>460</v>
      </c>
      <c r="I905" s="360" t="e">
        <f>VLOOKUP(Таблица18[[#This Row],[Номер акта]],$AB$1:$AF$1833,3,FALSE)</f>
        <v>#N/A</v>
      </c>
      <c r="J905" s="40" t="s">
        <v>21</v>
      </c>
      <c r="K905" s="40" t="s">
        <v>82</v>
      </c>
      <c r="L905" s="121">
        <v>33040</v>
      </c>
      <c r="M905" s="121">
        <v>17140</v>
      </c>
      <c r="N905" s="121">
        <v>14.8</v>
      </c>
      <c r="O905" s="363">
        <v>15900</v>
      </c>
      <c r="P905" s="363">
        <v>13550.6</v>
      </c>
      <c r="Q905" s="121">
        <v>2025</v>
      </c>
      <c r="R905" s="121"/>
      <c r="S905" s="148">
        <v>45812</v>
      </c>
      <c r="T905" s="363">
        <f>Таблица18[[#This Row],[Вес нетто]]-Таблица18[[#This Row],[Зачетный вес]]</f>
        <v>2349.3999999999996</v>
      </c>
      <c r="U905" s="365">
        <f>Таблица18[[#This Row],[Отход]]/Таблица18[[#This Row],[Вес нетто]]</f>
        <v>0.14776100628930816</v>
      </c>
      <c r="V905" s="121">
        <f>MONTH(Таблица18[[#This Row],[Дата акта]])</f>
        <v>6</v>
      </c>
      <c r="W905" s="121">
        <v>4</v>
      </c>
      <c r="X905" s="148">
        <f>DATE(1900,Таблица18[[#This Row],[Месяц]],Таблица18[[#This Row],[Число]])</f>
        <v>156</v>
      </c>
      <c r="Y905" s="121"/>
      <c r="Z905" s="121" t="str">
        <f>Таблица18[[#This Row],[Хар-ка]]</f>
        <v>высший</v>
      </c>
      <c r="AD905" s="459"/>
      <c r="AE905" s="391"/>
    </row>
    <row r="906" spans="1:31" s="325" customFormat="1" ht="15.6" hidden="1" customHeight="1" x14ac:dyDescent="0.2">
      <c r="A906" s="40" t="s">
        <v>516</v>
      </c>
      <c r="B906" s="360" t="s">
        <v>511</v>
      </c>
      <c r="C906" s="40"/>
      <c r="D906" s="40" t="s">
        <v>728</v>
      </c>
      <c r="E906" s="40" t="s">
        <v>105</v>
      </c>
      <c r="F906" s="40" t="s">
        <v>517</v>
      </c>
      <c r="G906" s="40" t="s">
        <v>518</v>
      </c>
      <c r="H906" s="40" t="s">
        <v>460</v>
      </c>
      <c r="I906" s="360" t="e">
        <f>VLOOKUP(Таблица18[[#This Row],[Номер акта]],$AB$1:$AF$1833,3,FALSE)</f>
        <v>#N/A</v>
      </c>
      <c r="J906" s="40" t="s">
        <v>21</v>
      </c>
      <c r="K906" s="40" t="s">
        <v>82</v>
      </c>
      <c r="L906" s="121">
        <v>34180</v>
      </c>
      <c r="M906" s="121">
        <v>18360</v>
      </c>
      <c r="N906" s="121">
        <v>13.5</v>
      </c>
      <c r="O906" s="363">
        <v>15820</v>
      </c>
      <c r="P906" s="363">
        <v>13692.1</v>
      </c>
      <c r="Q906" s="121">
        <v>2025</v>
      </c>
      <c r="R906" s="121"/>
      <c r="S906" s="148">
        <v>45812</v>
      </c>
      <c r="T906" s="363">
        <f>Таблица18[[#This Row],[Вес нетто]]-Таблица18[[#This Row],[Зачетный вес]]</f>
        <v>2127.8999999999996</v>
      </c>
      <c r="U906" s="365">
        <f>Таблица18[[#This Row],[Отход]]/Таблица18[[#This Row],[Вес нетто]]</f>
        <v>0.13450695322376735</v>
      </c>
      <c r="V906" s="121">
        <f>MONTH(Таблица18[[#This Row],[Дата акта]])</f>
        <v>6</v>
      </c>
      <c r="W906" s="121">
        <v>4</v>
      </c>
      <c r="X906" s="148">
        <f>DATE(1900,Таблица18[[#This Row],[Месяц]],Таблица18[[#This Row],[Число]])</f>
        <v>156</v>
      </c>
      <c r="Y906" s="121"/>
      <c r="Z906" s="121" t="str">
        <f>Таблица18[[#This Row],[Хар-ка]]</f>
        <v>высший</v>
      </c>
      <c r="AD906" s="459"/>
      <c r="AE906" s="391"/>
    </row>
    <row r="907" spans="1:31" s="325" customFormat="1" ht="15.6" hidden="1" customHeight="1" x14ac:dyDescent="0.2">
      <c r="A907" s="40" t="s">
        <v>519</v>
      </c>
      <c r="B907" s="360" t="s">
        <v>511</v>
      </c>
      <c r="C907" s="40"/>
      <c r="D907" s="40" t="s">
        <v>729</v>
      </c>
      <c r="E907" s="40" t="s">
        <v>105</v>
      </c>
      <c r="F907" s="40" t="s">
        <v>514</v>
      </c>
      <c r="G907" s="40" t="s">
        <v>515</v>
      </c>
      <c r="H907" s="40" t="s">
        <v>460</v>
      </c>
      <c r="I907" s="360" t="e">
        <f>VLOOKUP(Таблица18[[#This Row],[Номер акта]],$AB$1:$AF$1833,3,FALSE)</f>
        <v>#N/A</v>
      </c>
      <c r="J907" s="40" t="s">
        <v>21</v>
      </c>
      <c r="K907" s="40" t="s">
        <v>82</v>
      </c>
      <c r="L907" s="121">
        <v>32580</v>
      </c>
      <c r="M907" s="121">
        <v>17040</v>
      </c>
      <c r="N907" s="121">
        <v>12.7</v>
      </c>
      <c r="O907" s="363">
        <v>15540</v>
      </c>
      <c r="P907" s="363">
        <v>13560.5</v>
      </c>
      <c r="Q907" s="121">
        <v>2025</v>
      </c>
      <c r="R907" s="121"/>
      <c r="S907" s="148">
        <v>45812</v>
      </c>
      <c r="T907" s="363">
        <f>Таблица18[[#This Row],[Вес нетто]]-Таблица18[[#This Row],[Зачетный вес]]</f>
        <v>1979.5</v>
      </c>
      <c r="U907" s="365">
        <f>Таблица18[[#This Row],[Отход]]/Таблица18[[#This Row],[Вес нетто]]</f>
        <v>0.12738095238095237</v>
      </c>
      <c r="V907" s="121">
        <f>MONTH(Таблица18[[#This Row],[Дата акта]])</f>
        <v>6</v>
      </c>
      <c r="W907" s="121">
        <v>4</v>
      </c>
      <c r="X907" s="148">
        <f>DATE(1900,Таблица18[[#This Row],[Месяц]],Таблица18[[#This Row],[Число]])</f>
        <v>156</v>
      </c>
      <c r="Y907" s="121"/>
      <c r="Z907" s="121" t="str">
        <f>Таблица18[[#This Row],[Хар-ка]]</f>
        <v>высший</v>
      </c>
      <c r="AD907" s="459"/>
      <c r="AE907" s="391"/>
    </row>
    <row r="908" spans="1:31" s="325" customFormat="1" ht="15.6" hidden="1" customHeight="1" x14ac:dyDescent="0.2">
      <c r="A908" s="40" t="s">
        <v>520</v>
      </c>
      <c r="B908" s="360" t="s">
        <v>511</v>
      </c>
      <c r="C908" s="40"/>
      <c r="D908" s="40" t="s">
        <v>674</v>
      </c>
      <c r="E908" s="40" t="s">
        <v>105</v>
      </c>
      <c r="F908" s="40" t="s">
        <v>521</v>
      </c>
      <c r="G908" s="40" t="s">
        <v>675</v>
      </c>
      <c r="H908" s="40" t="s">
        <v>460</v>
      </c>
      <c r="I908" s="360" t="e">
        <f>VLOOKUP(Таблица18[[#This Row],[Номер акта]],$AB$1:$AF$1833,3,FALSE)</f>
        <v>#N/A</v>
      </c>
      <c r="J908" s="40" t="s">
        <v>21</v>
      </c>
      <c r="K908" s="40" t="s">
        <v>82</v>
      </c>
      <c r="L908" s="121">
        <v>32040</v>
      </c>
      <c r="M908" s="121">
        <v>16120</v>
      </c>
      <c r="N908" s="121">
        <v>14.4</v>
      </c>
      <c r="O908" s="363">
        <v>15920</v>
      </c>
      <c r="P908" s="363">
        <v>13632.4</v>
      </c>
      <c r="Q908" s="121">
        <v>2025</v>
      </c>
      <c r="R908" s="121"/>
      <c r="S908" s="148">
        <v>45812</v>
      </c>
      <c r="T908" s="363">
        <f>Таблица18[[#This Row],[Вес нетто]]-Таблица18[[#This Row],[Зачетный вес]]</f>
        <v>2287.6000000000004</v>
      </c>
      <c r="U908" s="365">
        <f>Таблица18[[#This Row],[Отход]]/Таблица18[[#This Row],[Вес нетто]]</f>
        <v>0.14369346733668345</v>
      </c>
      <c r="V908" s="121">
        <f>MONTH(Таблица18[[#This Row],[Дата акта]])</f>
        <v>6</v>
      </c>
      <c r="W908" s="121">
        <v>4</v>
      </c>
      <c r="X908" s="148">
        <f>DATE(1900,Таблица18[[#This Row],[Месяц]],Таблица18[[#This Row],[Число]])</f>
        <v>156</v>
      </c>
      <c r="Y908" s="121"/>
      <c r="Z908" s="121" t="str">
        <f>Таблица18[[#This Row],[Хар-ка]]</f>
        <v>высший</v>
      </c>
      <c r="AD908" s="459"/>
      <c r="AE908" s="391"/>
    </row>
    <row r="909" spans="1:31" s="325" customFormat="1" ht="15.6" hidden="1" customHeight="1" x14ac:dyDescent="0.2">
      <c r="A909" s="40" t="s">
        <v>522</v>
      </c>
      <c r="B909" s="360" t="s">
        <v>511</v>
      </c>
      <c r="C909" s="40">
        <v>233</v>
      </c>
      <c r="D909" s="40">
        <v>45</v>
      </c>
      <c r="E909" s="40" t="s">
        <v>78</v>
      </c>
      <c r="F909" s="40" t="s">
        <v>79</v>
      </c>
      <c r="G909" s="40" t="s">
        <v>80</v>
      </c>
      <c r="H909" s="40" t="s">
        <v>523</v>
      </c>
      <c r="I909" s="360" t="e">
        <f>VLOOKUP(Таблица18[[#This Row],[Номер акта]],$AB$1:$AF$1833,3,FALSE)</f>
        <v>#N/A</v>
      </c>
      <c r="J909" s="40" t="s">
        <v>524</v>
      </c>
      <c r="K909" s="40" t="s">
        <v>82</v>
      </c>
      <c r="L909" s="121">
        <v>14400</v>
      </c>
      <c r="M909" s="121">
        <v>9480</v>
      </c>
      <c r="N909" s="121">
        <v>17.5</v>
      </c>
      <c r="O909" s="363">
        <v>4920</v>
      </c>
      <c r="P909" s="363">
        <v>4059</v>
      </c>
      <c r="Q909" s="121">
        <v>2025</v>
      </c>
      <c r="R909" s="121"/>
      <c r="S909" s="148">
        <v>45813</v>
      </c>
      <c r="T909" s="363">
        <f>Таблица18[[#This Row],[Вес нетто]]-Таблица18[[#This Row],[Зачетный вес]]</f>
        <v>861</v>
      </c>
      <c r="U909" s="365">
        <f>Таблица18[[#This Row],[Отход]]/Таблица18[[#This Row],[Вес нетто]]</f>
        <v>0.17499999999999999</v>
      </c>
      <c r="V909" s="121">
        <f>MONTH(Таблица18[[#This Row],[Дата акта]])</f>
        <v>6</v>
      </c>
      <c r="W909" s="121">
        <v>5</v>
      </c>
      <c r="X909" s="148">
        <f>DATE(1900,Таблица18[[#This Row],[Месяц]],Таблица18[[#This Row],[Число]])</f>
        <v>157</v>
      </c>
      <c r="Y909" s="121"/>
      <c r="Z909" s="121" t="str">
        <f>Таблица18[[#This Row],[Хар-ка]]</f>
        <v>высший</v>
      </c>
      <c r="AD909" s="459"/>
      <c r="AE909" s="391"/>
    </row>
    <row r="910" spans="1:31" s="325" customFormat="1" ht="15.6" hidden="1" customHeight="1" x14ac:dyDescent="0.2">
      <c r="A910" s="40" t="s">
        <v>525</v>
      </c>
      <c r="B910" s="360" t="s">
        <v>511</v>
      </c>
      <c r="C910" s="40">
        <v>234</v>
      </c>
      <c r="D910" s="40">
        <v>130796</v>
      </c>
      <c r="E910" s="40" t="s">
        <v>105</v>
      </c>
      <c r="F910" s="40" t="s">
        <v>239</v>
      </c>
      <c r="G910" s="40" t="s">
        <v>243</v>
      </c>
      <c r="H910" s="40" t="s">
        <v>365</v>
      </c>
      <c r="I910" s="360" t="e">
        <f>VLOOKUP(Таблица18[[#This Row],[Номер акта]],$AB$1:$AF$1833,3,FALSE)</f>
        <v>#N/A</v>
      </c>
      <c r="J910" s="40" t="s">
        <v>21</v>
      </c>
      <c r="K910" s="40" t="s">
        <v>82</v>
      </c>
      <c r="L910" s="121">
        <v>28060</v>
      </c>
      <c r="M910" s="121">
        <v>14540</v>
      </c>
      <c r="N910" s="121">
        <v>17.5</v>
      </c>
      <c r="O910" s="363">
        <v>13520</v>
      </c>
      <c r="P910" s="363">
        <v>11154</v>
      </c>
      <c r="Q910" s="121">
        <v>2025</v>
      </c>
      <c r="R910" s="121"/>
      <c r="S910" s="148">
        <v>45813</v>
      </c>
      <c r="T910" s="363">
        <f>Таблица18[[#This Row],[Вес нетто]]-Таблица18[[#This Row],[Зачетный вес]]</f>
        <v>2366</v>
      </c>
      <c r="U910" s="365">
        <f>Таблица18[[#This Row],[Отход]]/Таблица18[[#This Row],[Вес нетто]]</f>
        <v>0.17499999999999999</v>
      </c>
      <c r="V910" s="121">
        <f>MONTH(Таблица18[[#This Row],[Дата акта]])</f>
        <v>6</v>
      </c>
      <c r="W910" s="121">
        <v>5</v>
      </c>
      <c r="X910" s="148">
        <f>DATE(1900,Таблица18[[#This Row],[Месяц]],Таблица18[[#This Row],[Число]])</f>
        <v>157</v>
      </c>
      <c r="Y910" s="121"/>
      <c r="Z910" s="121" t="str">
        <f>Таблица18[[#This Row],[Хар-ка]]</f>
        <v>высший</v>
      </c>
      <c r="AD910" s="459"/>
      <c r="AE910" s="391"/>
    </row>
    <row r="911" spans="1:31" s="325" customFormat="1" ht="15.6" hidden="1" customHeight="1" x14ac:dyDescent="0.2">
      <c r="A911" s="40" t="s">
        <v>526</v>
      </c>
      <c r="B911" s="360"/>
      <c r="C911" s="40">
        <v>213</v>
      </c>
      <c r="D911" s="40">
        <v>37</v>
      </c>
      <c r="E911" s="40" t="s">
        <v>78</v>
      </c>
      <c r="F911" s="40" t="s">
        <v>127</v>
      </c>
      <c r="G911" s="40" t="s">
        <v>131</v>
      </c>
      <c r="H911" s="40" t="s">
        <v>523</v>
      </c>
      <c r="I911" s="360" t="e">
        <f>VLOOKUP(Таблица18[[#This Row],[Номер акта]],$AB$1:$AF$1833,3,FALSE)</f>
        <v>#N/A</v>
      </c>
      <c r="J911" s="40" t="s">
        <v>524</v>
      </c>
      <c r="K911" s="40" t="s">
        <v>82</v>
      </c>
      <c r="L911" s="121"/>
      <c r="M911" s="121"/>
      <c r="N911" s="121"/>
      <c r="O911" s="363"/>
      <c r="P911" s="363"/>
      <c r="Q911" s="121">
        <v>2025</v>
      </c>
      <c r="R911" s="121"/>
      <c r="S911" s="148">
        <v>45812</v>
      </c>
      <c r="T911" s="363">
        <f>Таблица18[[#This Row],[Вес нетто]]-Таблица18[[#This Row],[Зачетный вес]]</f>
        <v>0</v>
      </c>
      <c r="U911" s="365" t="e">
        <f>Таблица18[[#This Row],[Отход]]/Таблица18[[#This Row],[Вес нетто]]</f>
        <v>#DIV/0!</v>
      </c>
      <c r="V911" s="121">
        <f>MONTH(Таблица18[[#This Row],[Дата акта]])</f>
        <v>6</v>
      </c>
      <c r="W911" s="121">
        <v>4</v>
      </c>
      <c r="X911" s="148">
        <f>DATE(1900,Таблица18[[#This Row],[Месяц]],Таблица18[[#This Row],[Число]])</f>
        <v>156</v>
      </c>
      <c r="Y911" s="121"/>
      <c r="Z911" s="121">
        <f>Таблица18[[#This Row],[Хар-ка]]</f>
        <v>0</v>
      </c>
      <c r="AD911" s="459"/>
      <c r="AE911" s="391"/>
    </row>
    <row r="912" spans="1:31" s="325" customFormat="1" ht="15.6" hidden="1" customHeight="1" x14ac:dyDescent="0.2">
      <c r="A912" s="40" t="s">
        <v>527</v>
      </c>
      <c r="B912" s="360" t="s">
        <v>511</v>
      </c>
      <c r="C912" s="40">
        <v>235</v>
      </c>
      <c r="D912" s="40">
        <v>130797</v>
      </c>
      <c r="E912" s="40" t="s">
        <v>105</v>
      </c>
      <c r="F912" s="40" t="s">
        <v>249</v>
      </c>
      <c r="G912" s="40" t="s">
        <v>253</v>
      </c>
      <c r="H912" s="40" t="s">
        <v>365</v>
      </c>
      <c r="I912" s="360" t="e">
        <f>VLOOKUP(Таблица18[[#This Row],[Номер акта]],$AB$1:$AF$1833,3,FALSE)</f>
        <v>#N/A</v>
      </c>
      <c r="J912" s="40" t="s">
        <v>21</v>
      </c>
      <c r="K912" s="40" t="s">
        <v>82</v>
      </c>
      <c r="L912" s="121">
        <v>28680</v>
      </c>
      <c r="M912" s="121">
        <v>15170</v>
      </c>
      <c r="N912" s="121">
        <v>19.5</v>
      </c>
      <c r="O912" s="363">
        <v>13510</v>
      </c>
      <c r="P912" s="363">
        <v>10875.5</v>
      </c>
      <c r="Q912" s="121">
        <v>2025</v>
      </c>
      <c r="R912" s="121"/>
      <c r="S912" s="148">
        <v>45813</v>
      </c>
      <c r="T912" s="363">
        <f>Таблица18[[#This Row],[Вес нетто]]-Таблица18[[#This Row],[Зачетный вес]]</f>
        <v>2634.5</v>
      </c>
      <c r="U912" s="365">
        <f>Таблица18[[#This Row],[Отход]]/Таблица18[[#This Row],[Вес нетто]]</f>
        <v>0.1950037009622502</v>
      </c>
      <c r="V912" s="121">
        <f>MONTH(Таблица18[[#This Row],[Дата акта]])</f>
        <v>6</v>
      </c>
      <c r="W912" s="121">
        <v>5</v>
      </c>
      <c r="X912" s="148">
        <f>DATE(1900,Таблица18[[#This Row],[Месяц]],Таблица18[[#This Row],[Число]])</f>
        <v>157</v>
      </c>
      <c r="Y912" s="121"/>
      <c r="Z912" s="121" t="str">
        <f>Таблица18[[#This Row],[Хар-ка]]</f>
        <v>высший</v>
      </c>
      <c r="AD912" s="459"/>
      <c r="AE912" s="391"/>
    </row>
    <row r="913" spans="1:31" s="325" customFormat="1" ht="15.6" hidden="1" customHeight="1" x14ac:dyDescent="0.2">
      <c r="A913" s="40" t="s">
        <v>656</v>
      </c>
      <c r="B913" s="360" t="s">
        <v>511</v>
      </c>
      <c r="C913" s="40">
        <v>237</v>
      </c>
      <c r="D913" s="40">
        <v>130798</v>
      </c>
      <c r="E913" s="40" t="s">
        <v>105</v>
      </c>
      <c r="F913" s="40" t="s">
        <v>1151</v>
      </c>
      <c r="G913" s="40" t="s">
        <v>145</v>
      </c>
      <c r="H913" s="40" t="s">
        <v>365</v>
      </c>
      <c r="I913" s="360" t="e">
        <f>VLOOKUP(Таблица18[[#This Row],[Номер акта]],$AB$1:$AF$1833,3,FALSE)</f>
        <v>#N/A</v>
      </c>
      <c r="J913" s="40" t="s">
        <v>21</v>
      </c>
      <c r="K913" s="40" t="s">
        <v>82</v>
      </c>
      <c r="L913" s="121">
        <v>29330</v>
      </c>
      <c r="M913" s="121">
        <v>15640</v>
      </c>
      <c r="N913" s="121">
        <v>16.5</v>
      </c>
      <c r="O913" s="363">
        <v>13690</v>
      </c>
      <c r="P913" s="363">
        <v>11431.1</v>
      </c>
      <c r="Q913" s="121">
        <v>2025</v>
      </c>
      <c r="R913" s="121"/>
      <c r="S913" s="148">
        <v>45813</v>
      </c>
      <c r="T913" s="363">
        <f>Таблица18[[#This Row],[Вес нетто]]-Таблица18[[#This Row],[Зачетный вес]]</f>
        <v>2258.8999999999996</v>
      </c>
      <c r="U913" s="365">
        <f>Таблица18[[#This Row],[Отход]]/Таблица18[[#This Row],[Вес нетто]]</f>
        <v>0.16500365230094957</v>
      </c>
      <c r="V913" s="121">
        <f>MONTH(Таблица18[[#This Row],[Дата акта]])</f>
        <v>6</v>
      </c>
      <c r="W913" s="121">
        <v>5</v>
      </c>
      <c r="X913" s="148">
        <f>DATE(1900,Таблица18[[#This Row],[Месяц]],Таблица18[[#This Row],[Число]])</f>
        <v>157</v>
      </c>
      <c r="Y913" s="121"/>
      <c r="Z913" s="121" t="str">
        <f>Таблица18[[#This Row],[Хар-ка]]</f>
        <v>высший</v>
      </c>
      <c r="AD913" s="459"/>
      <c r="AE913" s="391"/>
    </row>
    <row r="914" spans="1:31" s="325" customFormat="1" ht="15.6" hidden="1" customHeight="1" x14ac:dyDescent="0.2">
      <c r="A914" s="40" t="s">
        <v>657</v>
      </c>
      <c r="B914" s="360" t="s">
        <v>511</v>
      </c>
      <c r="C914" s="40">
        <v>238</v>
      </c>
      <c r="D914" s="40">
        <v>130799</v>
      </c>
      <c r="E914" s="40" t="s">
        <v>105</v>
      </c>
      <c r="F914" s="40" t="s">
        <v>1461</v>
      </c>
      <c r="G914" s="40" t="s">
        <v>149</v>
      </c>
      <c r="H914" s="40" t="s">
        <v>365</v>
      </c>
      <c r="I914" s="360" t="e">
        <f>VLOOKUP(Таблица18[[#This Row],[Номер акта]],$AB$1:$AF$1833,3,FALSE)</f>
        <v>#N/A</v>
      </c>
      <c r="J914" s="40" t="s">
        <v>21</v>
      </c>
      <c r="K914" s="40" t="s">
        <v>82</v>
      </c>
      <c r="L914" s="121">
        <v>28640</v>
      </c>
      <c r="M914" s="121">
        <v>14910</v>
      </c>
      <c r="N914" s="121">
        <v>20.5</v>
      </c>
      <c r="O914" s="363">
        <v>13730</v>
      </c>
      <c r="P914" s="363">
        <v>10915.3</v>
      </c>
      <c r="Q914" s="121">
        <v>2025</v>
      </c>
      <c r="R914" s="121"/>
      <c r="S914" s="148">
        <v>45813</v>
      </c>
      <c r="T914" s="363">
        <f>Таблица18[[#This Row],[Вес нетто]]-Таблица18[[#This Row],[Зачетный вес]]</f>
        <v>2814.7000000000007</v>
      </c>
      <c r="U914" s="365">
        <f>Таблица18[[#This Row],[Отход]]/Таблица18[[#This Row],[Вес нетто]]</f>
        <v>0.20500364166059729</v>
      </c>
      <c r="V914" s="121">
        <f>MONTH(Таблица18[[#This Row],[Дата акта]])</f>
        <v>6</v>
      </c>
      <c r="W914" s="121">
        <v>5</v>
      </c>
      <c r="X914" s="148">
        <f>DATE(1900,Таблица18[[#This Row],[Месяц]],Таблица18[[#This Row],[Число]])</f>
        <v>157</v>
      </c>
      <c r="Y914" s="121"/>
      <c r="Z914" s="121" t="str">
        <f>Таблица18[[#This Row],[Хар-ка]]</f>
        <v>высший</v>
      </c>
      <c r="AD914" s="459"/>
      <c r="AE914" s="391"/>
    </row>
    <row r="915" spans="1:31" s="325" customFormat="1" ht="15.6" hidden="1" customHeight="1" x14ac:dyDescent="0.2">
      <c r="A915" s="40" t="s">
        <v>658</v>
      </c>
      <c r="B915" s="360" t="s">
        <v>511</v>
      </c>
      <c r="C915" s="40">
        <v>239</v>
      </c>
      <c r="D915" s="40">
        <v>130800</v>
      </c>
      <c r="E915" s="40" t="s">
        <v>105</v>
      </c>
      <c r="F915" s="40" t="s">
        <v>311</v>
      </c>
      <c r="G915" s="40" t="s">
        <v>315</v>
      </c>
      <c r="H915" s="40" t="s">
        <v>365</v>
      </c>
      <c r="I915" s="360" t="e">
        <f>VLOOKUP(Таблица18[[#This Row],[Номер акта]],$AB$1:$AF$1833,3,FALSE)</f>
        <v>#N/A</v>
      </c>
      <c r="J915" s="40" t="s">
        <v>21</v>
      </c>
      <c r="K915" s="40" t="s">
        <v>82</v>
      </c>
      <c r="L915" s="121">
        <v>28760</v>
      </c>
      <c r="M915" s="121">
        <v>14940</v>
      </c>
      <c r="N915" s="121">
        <v>18.5</v>
      </c>
      <c r="O915" s="363">
        <v>13820</v>
      </c>
      <c r="P915" s="363">
        <v>11263.3</v>
      </c>
      <c r="Q915" s="121">
        <v>2025</v>
      </c>
      <c r="R915" s="121"/>
      <c r="S915" s="148">
        <v>45813</v>
      </c>
      <c r="T915" s="363">
        <f>Таблица18[[#This Row],[Вес нетто]]-Таблица18[[#This Row],[Зачетный вес]]</f>
        <v>2556.7000000000007</v>
      </c>
      <c r="U915" s="365">
        <f>Таблица18[[#This Row],[Отход]]/Таблица18[[#This Row],[Вес нетто]]</f>
        <v>0.18500000000000005</v>
      </c>
      <c r="V915" s="121">
        <f>MONTH(Таблица18[[#This Row],[Дата акта]])</f>
        <v>6</v>
      </c>
      <c r="W915" s="121">
        <v>5</v>
      </c>
      <c r="X915" s="148">
        <f>DATE(1900,Таблица18[[#This Row],[Месяц]],Таблица18[[#This Row],[Число]])</f>
        <v>157</v>
      </c>
      <c r="Y915" s="121"/>
      <c r="Z915" s="121" t="str">
        <f>Таблица18[[#This Row],[Хар-ка]]</f>
        <v>высший</v>
      </c>
      <c r="AD915" s="459"/>
      <c r="AE915" s="391"/>
    </row>
    <row r="916" spans="1:31" s="325" customFormat="1" ht="15.6" hidden="1" customHeight="1" x14ac:dyDescent="0.2">
      <c r="A916" s="40" t="s">
        <v>659</v>
      </c>
      <c r="B916" s="360" t="s">
        <v>511</v>
      </c>
      <c r="C916" s="40">
        <v>240</v>
      </c>
      <c r="D916" s="40">
        <v>130751</v>
      </c>
      <c r="E916" s="40" t="s">
        <v>105</v>
      </c>
      <c r="F916" s="40" t="s">
        <v>347</v>
      </c>
      <c r="G916" s="40" t="s">
        <v>351</v>
      </c>
      <c r="H916" s="40" t="s">
        <v>365</v>
      </c>
      <c r="I916" s="360" t="e">
        <f>VLOOKUP(Таблица18[[#This Row],[Номер акта]],$AB$1:$AF$1833,3,FALSE)</f>
        <v>#N/A</v>
      </c>
      <c r="J916" s="40" t="s">
        <v>21</v>
      </c>
      <c r="K916" s="40" t="s">
        <v>82</v>
      </c>
      <c r="L916" s="121">
        <v>32460</v>
      </c>
      <c r="M916" s="121">
        <v>18700</v>
      </c>
      <c r="N916" s="121">
        <v>16.5</v>
      </c>
      <c r="O916" s="363">
        <v>13760</v>
      </c>
      <c r="P916" s="363">
        <v>11489.6</v>
      </c>
      <c r="Q916" s="121">
        <v>2025</v>
      </c>
      <c r="R916" s="121"/>
      <c r="S916" s="148">
        <v>45813</v>
      </c>
      <c r="T916" s="363">
        <f>Таблица18[[#This Row],[Вес нетто]]-Таблица18[[#This Row],[Зачетный вес]]</f>
        <v>2270.3999999999996</v>
      </c>
      <c r="U916" s="365">
        <f>Таблица18[[#This Row],[Отход]]/Таблица18[[#This Row],[Вес нетто]]</f>
        <v>0.16499999999999998</v>
      </c>
      <c r="V916" s="121">
        <f>MONTH(Таблица18[[#This Row],[Дата акта]])</f>
        <v>6</v>
      </c>
      <c r="W916" s="121">
        <v>5</v>
      </c>
      <c r="X916" s="148">
        <f>DATE(1900,Таблица18[[#This Row],[Месяц]],Таблица18[[#This Row],[Число]])</f>
        <v>157</v>
      </c>
      <c r="Y916" s="121"/>
      <c r="Z916" s="121" t="str">
        <f>Таблица18[[#This Row],[Хар-ка]]</f>
        <v>высший</v>
      </c>
      <c r="AD916" s="459"/>
      <c r="AE916" s="391"/>
    </row>
    <row r="917" spans="1:31" s="325" customFormat="1" ht="15.6" hidden="1" customHeight="1" x14ac:dyDescent="0.2">
      <c r="A917" s="40" t="s">
        <v>660</v>
      </c>
      <c r="B917" s="360" t="s">
        <v>511</v>
      </c>
      <c r="C917" s="40">
        <v>242</v>
      </c>
      <c r="D917" s="40">
        <v>130752</v>
      </c>
      <c r="E917" s="40" t="s">
        <v>105</v>
      </c>
      <c r="F917" s="40" t="s">
        <v>1312</v>
      </c>
      <c r="G917" s="40" t="s">
        <v>320</v>
      </c>
      <c r="H917" s="40" t="s">
        <v>365</v>
      </c>
      <c r="I917" s="360" t="e">
        <f>VLOOKUP(Таблица18[[#This Row],[Номер акта]],$AB$1:$AF$1833,3,FALSE)</f>
        <v>#N/A</v>
      </c>
      <c r="J917" s="40" t="s">
        <v>21</v>
      </c>
      <c r="K917" s="40" t="s">
        <v>82</v>
      </c>
      <c r="L917" s="121">
        <v>28200</v>
      </c>
      <c r="M917" s="121">
        <v>14390</v>
      </c>
      <c r="N917" s="121">
        <v>17.5</v>
      </c>
      <c r="O917" s="363">
        <v>13810</v>
      </c>
      <c r="P917" s="363">
        <v>11393.2</v>
      </c>
      <c r="Q917" s="121">
        <v>2025</v>
      </c>
      <c r="R917" s="121"/>
      <c r="S917" s="148">
        <v>45813</v>
      </c>
      <c r="T917" s="363">
        <f>Таблица18[[#This Row],[Вес нетто]]-Таблица18[[#This Row],[Зачетный вес]]</f>
        <v>2416.7999999999993</v>
      </c>
      <c r="U917" s="365">
        <f>Таблица18[[#This Row],[Отход]]/Таблица18[[#This Row],[Вес нетто]]</f>
        <v>0.17500362056480806</v>
      </c>
      <c r="V917" s="121">
        <f>MONTH(Таблица18[[#This Row],[Дата акта]])</f>
        <v>6</v>
      </c>
      <c r="W917" s="121">
        <v>5</v>
      </c>
      <c r="X917" s="148">
        <f>DATE(1900,Таблица18[[#This Row],[Месяц]],Таблица18[[#This Row],[Число]])</f>
        <v>157</v>
      </c>
      <c r="Y917" s="121"/>
      <c r="Z917" s="121" t="str">
        <f>Таблица18[[#This Row],[Хар-ка]]</f>
        <v>высший</v>
      </c>
      <c r="AD917" s="459"/>
      <c r="AE917" s="391"/>
    </row>
    <row r="918" spans="1:31" s="325" customFormat="1" ht="15.6" hidden="1" customHeight="1" x14ac:dyDescent="0.2">
      <c r="A918" s="40" t="s">
        <v>661</v>
      </c>
      <c r="B918" s="360" t="s">
        <v>511</v>
      </c>
      <c r="C918" s="40">
        <v>241</v>
      </c>
      <c r="D918" s="40">
        <v>47</v>
      </c>
      <c r="E918" s="40" t="s">
        <v>78</v>
      </c>
      <c r="F918" s="40" t="s">
        <v>79</v>
      </c>
      <c r="G918" s="40" t="s">
        <v>80</v>
      </c>
      <c r="H918" s="40" t="s">
        <v>523</v>
      </c>
      <c r="I918" s="360" t="e">
        <f>VLOOKUP(Таблица18[[#This Row],[Номер акта]],$AB$1:$AF$1833,3,FALSE)</f>
        <v>#N/A</v>
      </c>
      <c r="J918" s="40" t="s">
        <v>524</v>
      </c>
      <c r="K918" s="40" t="s">
        <v>82</v>
      </c>
      <c r="L918" s="121">
        <v>16370</v>
      </c>
      <c r="M918" s="121">
        <v>9470</v>
      </c>
      <c r="N918" s="121">
        <v>22.5</v>
      </c>
      <c r="O918" s="363">
        <v>6900</v>
      </c>
      <c r="P918" s="363">
        <v>5347.5</v>
      </c>
      <c r="Q918" s="121">
        <v>2025</v>
      </c>
      <c r="R918" s="121"/>
      <c r="S918" s="148">
        <v>45813</v>
      </c>
      <c r="T918" s="363">
        <f>Таблица18[[#This Row],[Вес нетто]]-Таблица18[[#This Row],[Зачетный вес]]</f>
        <v>1552.5</v>
      </c>
      <c r="U918" s="365">
        <f>Таблица18[[#This Row],[Отход]]/Таблица18[[#This Row],[Вес нетто]]</f>
        <v>0.22500000000000001</v>
      </c>
      <c r="V918" s="121">
        <f>MONTH(Таблица18[[#This Row],[Дата акта]])</f>
        <v>6</v>
      </c>
      <c r="W918" s="121">
        <v>5</v>
      </c>
      <c r="X918" s="148">
        <f>DATE(1900,Таблица18[[#This Row],[Месяц]],Таблица18[[#This Row],[Число]])</f>
        <v>157</v>
      </c>
      <c r="Y918" s="121"/>
      <c r="Z918" s="121" t="str">
        <f>Таблица18[[#This Row],[Хар-ка]]</f>
        <v>высший</v>
      </c>
      <c r="AD918" s="459"/>
      <c r="AE918" s="391"/>
    </row>
    <row r="919" spans="1:31" s="325" customFormat="1" ht="15.6" hidden="1" customHeight="1" x14ac:dyDescent="0.2">
      <c r="A919" s="40" t="s">
        <v>662</v>
      </c>
      <c r="B919" s="360" t="s">
        <v>511</v>
      </c>
      <c r="C919" s="40">
        <v>244</v>
      </c>
      <c r="D919" s="40">
        <v>130753</v>
      </c>
      <c r="E919" s="40" t="s">
        <v>105</v>
      </c>
      <c r="F919" s="40" t="s">
        <v>335</v>
      </c>
      <c r="G919" s="40" t="s">
        <v>339</v>
      </c>
      <c r="H919" s="40" t="s">
        <v>365</v>
      </c>
      <c r="I919" s="360" t="e">
        <f>VLOOKUP(Таблица18[[#This Row],[Номер акта]],$AB$1:$AF$1833,3,FALSE)</f>
        <v>#N/A</v>
      </c>
      <c r="J919" s="40" t="s">
        <v>21</v>
      </c>
      <c r="K919" s="40" t="s">
        <v>82</v>
      </c>
      <c r="L919" s="121">
        <v>28130</v>
      </c>
      <c r="M919" s="121">
        <v>14680</v>
      </c>
      <c r="N919" s="121">
        <v>15.5</v>
      </c>
      <c r="O919" s="363">
        <v>13450</v>
      </c>
      <c r="P919" s="363">
        <v>11365.2</v>
      </c>
      <c r="Q919" s="121">
        <v>2025</v>
      </c>
      <c r="R919" s="121"/>
      <c r="S919" s="148">
        <v>45813</v>
      </c>
      <c r="T919" s="363">
        <f>Таблица18[[#This Row],[Вес нетто]]-Таблица18[[#This Row],[Зачетный вес]]</f>
        <v>2084.7999999999993</v>
      </c>
      <c r="U919" s="365">
        <f>Таблица18[[#This Row],[Отход]]/Таблица18[[#This Row],[Вес нетто]]</f>
        <v>0.15500371747211891</v>
      </c>
      <c r="V919" s="121">
        <f>MONTH(Таблица18[[#This Row],[Дата акта]])</f>
        <v>6</v>
      </c>
      <c r="W919" s="121">
        <v>5</v>
      </c>
      <c r="X919" s="148">
        <f>DATE(1900,Таблица18[[#This Row],[Месяц]],Таблица18[[#This Row],[Число]])</f>
        <v>157</v>
      </c>
      <c r="Y919" s="121"/>
      <c r="Z919" s="121" t="str">
        <f>Таблица18[[#This Row],[Хар-ка]]</f>
        <v>высший</v>
      </c>
      <c r="AD919" s="459"/>
      <c r="AE919" s="391"/>
    </row>
    <row r="920" spans="1:31" s="325" customFormat="1" ht="15.6" hidden="1" customHeight="1" x14ac:dyDescent="0.2">
      <c r="A920" s="40" t="s">
        <v>663</v>
      </c>
      <c r="B920" s="360" t="s">
        <v>511</v>
      </c>
      <c r="C920" s="40">
        <v>245</v>
      </c>
      <c r="D920" s="40">
        <v>130756</v>
      </c>
      <c r="E920" s="40" t="s">
        <v>105</v>
      </c>
      <c r="F920" s="40" t="s">
        <v>1152</v>
      </c>
      <c r="G920" s="40" t="s">
        <v>119</v>
      </c>
      <c r="H920" s="40" t="s">
        <v>365</v>
      </c>
      <c r="I920" s="360" t="e">
        <f>VLOOKUP(Таблица18[[#This Row],[Номер акта]],$AB$1:$AF$1833,3,FALSE)</f>
        <v>#N/A</v>
      </c>
      <c r="J920" s="40" t="s">
        <v>21</v>
      </c>
      <c r="K920" s="40" t="s">
        <v>82</v>
      </c>
      <c r="L920" s="121">
        <v>34520</v>
      </c>
      <c r="M920" s="121">
        <v>20910</v>
      </c>
      <c r="N920" s="121">
        <v>18.5</v>
      </c>
      <c r="O920" s="363">
        <v>13610</v>
      </c>
      <c r="P920" s="363">
        <v>11092.1</v>
      </c>
      <c r="Q920" s="121">
        <v>2025</v>
      </c>
      <c r="R920" s="121"/>
      <c r="S920" s="148">
        <v>45813</v>
      </c>
      <c r="T920" s="363">
        <f>Таблица18[[#This Row],[Вес нетто]]-Таблица18[[#This Row],[Зачетный вес]]</f>
        <v>2517.8999999999996</v>
      </c>
      <c r="U920" s="365">
        <f>Таблица18[[#This Row],[Отход]]/Таблица18[[#This Row],[Вес нетто]]</f>
        <v>0.18500367376928725</v>
      </c>
      <c r="V920" s="121">
        <f>MONTH(Таблица18[[#This Row],[Дата акта]])</f>
        <v>6</v>
      </c>
      <c r="W920" s="121">
        <v>5</v>
      </c>
      <c r="X920" s="148">
        <f>DATE(1900,Таблица18[[#This Row],[Месяц]],Таблица18[[#This Row],[Число]])</f>
        <v>157</v>
      </c>
      <c r="Y920" s="121"/>
      <c r="Z920" s="121" t="str">
        <f>Таблица18[[#This Row],[Хар-ка]]</f>
        <v>высший</v>
      </c>
      <c r="AD920" s="459"/>
      <c r="AE920" s="391"/>
    </row>
    <row r="921" spans="1:31" s="325" customFormat="1" ht="15.6" hidden="1" customHeight="1" x14ac:dyDescent="0.2">
      <c r="A921" s="40" t="s">
        <v>664</v>
      </c>
      <c r="B921" s="360" t="s">
        <v>511</v>
      </c>
      <c r="C921" s="40">
        <v>246</v>
      </c>
      <c r="D921" s="40">
        <v>130755</v>
      </c>
      <c r="E921" s="40" t="s">
        <v>105</v>
      </c>
      <c r="F921" s="40" t="s">
        <v>151</v>
      </c>
      <c r="G921" s="40" t="s">
        <v>155</v>
      </c>
      <c r="H921" s="40" t="s">
        <v>365</v>
      </c>
      <c r="I921" s="360" t="e">
        <f>VLOOKUP(Таблица18[[#This Row],[Номер акта]],$AB$1:$AF$1833,3,FALSE)</f>
        <v>#N/A</v>
      </c>
      <c r="J921" s="40" t="s">
        <v>21</v>
      </c>
      <c r="K921" s="40" t="s">
        <v>82</v>
      </c>
      <c r="L921" s="121">
        <v>28420</v>
      </c>
      <c r="M921" s="121">
        <v>14860</v>
      </c>
      <c r="N921" s="121">
        <v>15.5</v>
      </c>
      <c r="O921" s="363">
        <v>13560</v>
      </c>
      <c r="P921" s="363">
        <v>11458.2</v>
      </c>
      <c r="Q921" s="121">
        <v>2025</v>
      </c>
      <c r="R921" s="121"/>
      <c r="S921" s="148">
        <v>45813</v>
      </c>
      <c r="T921" s="363">
        <f>Таблица18[[#This Row],[Вес нетто]]-Таблица18[[#This Row],[Зачетный вес]]</f>
        <v>2101.7999999999993</v>
      </c>
      <c r="U921" s="365">
        <f>Таблица18[[#This Row],[Отход]]/Таблица18[[#This Row],[Вес нетто]]</f>
        <v>0.15499999999999994</v>
      </c>
      <c r="V921" s="121">
        <f>MONTH(Таблица18[[#This Row],[Дата акта]])</f>
        <v>6</v>
      </c>
      <c r="W921" s="121">
        <v>5</v>
      </c>
      <c r="X921" s="148">
        <f>DATE(1900,Таблица18[[#This Row],[Месяц]],Таблица18[[#This Row],[Число]])</f>
        <v>157</v>
      </c>
      <c r="Y921" s="121"/>
      <c r="Z921" s="121" t="str">
        <f>Таблица18[[#This Row],[Хар-ка]]</f>
        <v>высший</v>
      </c>
      <c r="AD921" s="459"/>
      <c r="AE921" s="391"/>
    </row>
    <row r="922" spans="1:31" s="325" customFormat="1" ht="15.6" hidden="1" customHeight="1" x14ac:dyDescent="0.2">
      <c r="A922" s="40" t="s">
        <v>665</v>
      </c>
      <c r="B922" s="360" t="s">
        <v>511</v>
      </c>
      <c r="C922" s="40">
        <v>248</v>
      </c>
      <c r="D922" s="40">
        <v>130754</v>
      </c>
      <c r="E922" s="40" t="s">
        <v>105</v>
      </c>
      <c r="F922" s="40" t="s">
        <v>160</v>
      </c>
      <c r="G922" s="40" t="s">
        <v>164</v>
      </c>
      <c r="H922" s="40" t="s">
        <v>365</v>
      </c>
      <c r="I922" s="360" t="e">
        <f>VLOOKUP(Таблица18[[#This Row],[Номер акта]],$AB$1:$AF$1833,3,FALSE)</f>
        <v>#N/A</v>
      </c>
      <c r="J922" s="40" t="s">
        <v>21</v>
      </c>
      <c r="K922" s="40" t="s">
        <v>82</v>
      </c>
      <c r="L922" s="121">
        <v>37580</v>
      </c>
      <c r="M922" s="121">
        <v>24010</v>
      </c>
      <c r="N922" s="121">
        <v>13.5</v>
      </c>
      <c r="O922" s="363">
        <v>13570</v>
      </c>
      <c r="P922" s="363">
        <v>11738</v>
      </c>
      <c r="Q922" s="121">
        <v>2025</v>
      </c>
      <c r="R922" s="121"/>
      <c r="S922" s="148">
        <v>45813</v>
      </c>
      <c r="T922" s="363">
        <f>Таблица18[[#This Row],[Вес нетто]]-Таблица18[[#This Row],[Зачетный вес]]</f>
        <v>1832</v>
      </c>
      <c r="U922" s="365">
        <f>Таблица18[[#This Row],[Отход]]/Таблица18[[#This Row],[Вес нетто]]</f>
        <v>0.13500368459837878</v>
      </c>
      <c r="V922" s="121">
        <f>MONTH(Таблица18[[#This Row],[Дата акта]])</f>
        <v>6</v>
      </c>
      <c r="W922" s="121">
        <v>5</v>
      </c>
      <c r="X922" s="148">
        <f>DATE(1900,Таблица18[[#This Row],[Месяц]],Таблица18[[#This Row],[Число]])</f>
        <v>157</v>
      </c>
      <c r="Y922" s="121"/>
      <c r="Z922" s="121" t="str">
        <f>Таблица18[[#This Row],[Хар-ка]]</f>
        <v>высший</v>
      </c>
      <c r="AD922" s="459"/>
      <c r="AE922" s="391"/>
    </row>
    <row r="923" spans="1:31" s="325" customFormat="1" ht="15.6" hidden="1" customHeight="1" x14ac:dyDescent="0.2">
      <c r="A923" s="40" t="s">
        <v>666</v>
      </c>
      <c r="B923" s="360" t="s">
        <v>511</v>
      </c>
      <c r="C923" s="40">
        <v>250</v>
      </c>
      <c r="D923" s="40">
        <v>130757</v>
      </c>
      <c r="E923" s="40" t="s">
        <v>105</v>
      </c>
      <c r="F923" s="40" t="s">
        <v>212</v>
      </c>
      <c r="G923" s="40" t="s">
        <v>216</v>
      </c>
      <c r="H923" s="40" t="s">
        <v>672</v>
      </c>
      <c r="I923" s="360" t="e">
        <f>VLOOKUP(Таблица18[[#This Row],[Номер акта]],$AB$1:$AF$1833,3,FALSE)</f>
        <v>#N/A</v>
      </c>
      <c r="J923" s="40" t="s">
        <v>21</v>
      </c>
      <c r="K923" s="40" t="s">
        <v>82</v>
      </c>
      <c r="L923" s="121">
        <v>27270</v>
      </c>
      <c r="M923" s="121">
        <v>13760</v>
      </c>
      <c r="N923" s="121">
        <v>13.5</v>
      </c>
      <c r="O923" s="363">
        <v>13510</v>
      </c>
      <c r="P923" s="363">
        <v>11686.1</v>
      </c>
      <c r="Q923" s="121">
        <v>2025</v>
      </c>
      <c r="R923" s="121"/>
      <c r="S923" s="148">
        <v>45814</v>
      </c>
      <c r="T923" s="363">
        <f>Таблица18[[#This Row],[Вес нетто]]-Таблица18[[#This Row],[Зачетный вес]]</f>
        <v>1823.8999999999996</v>
      </c>
      <c r="U923" s="365">
        <f>Таблица18[[#This Row],[Отход]]/Таблица18[[#This Row],[Вес нетто]]</f>
        <v>0.13500370096225014</v>
      </c>
      <c r="V923" s="121">
        <f>MONTH(Таблица18[[#This Row],[Дата акта]])</f>
        <v>6</v>
      </c>
      <c r="W923" s="121">
        <v>6</v>
      </c>
      <c r="X923" s="148">
        <f>DATE(1900,Таблица18[[#This Row],[Месяц]],Таблица18[[#This Row],[Число]])</f>
        <v>158</v>
      </c>
      <c r="Y923" s="121"/>
      <c r="Z923" s="121" t="str">
        <f>Таблица18[[#This Row],[Хар-ка]]</f>
        <v>высший</v>
      </c>
      <c r="AD923" s="459"/>
      <c r="AE923" s="391"/>
    </row>
    <row r="924" spans="1:31" s="325" customFormat="1" ht="15.6" hidden="1" customHeight="1" x14ac:dyDescent="0.2">
      <c r="A924" s="40" t="s">
        <v>667</v>
      </c>
      <c r="B924" s="360" t="s">
        <v>511</v>
      </c>
      <c r="C924" s="40">
        <v>219</v>
      </c>
      <c r="D924" s="40" t="s">
        <v>730</v>
      </c>
      <c r="E924" s="40" t="s">
        <v>557</v>
      </c>
      <c r="F924" s="40" t="s">
        <v>289</v>
      </c>
      <c r="G924" s="40" t="s">
        <v>293</v>
      </c>
      <c r="H924" s="40" t="s">
        <v>422</v>
      </c>
      <c r="I924" s="360" t="e">
        <f>VLOOKUP(Таблица18[[#This Row],[Номер акта]],$AB$1:$AF$1833,3,FALSE)</f>
        <v>#N/A</v>
      </c>
      <c r="J924" s="40" t="s">
        <v>81</v>
      </c>
      <c r="K924" s="40" t="s">
        <v>82</v>
      </c>
      <c r="L924" s="121">
        <v>31040</v>
      </c>
      <c r="M924" s="121">
        <v>17100</v>
      </c>
      <c r="N924" s="121">
        <v>25.3</v>
      </c>
      <c r="O924" s="363">
        <v>13940</v>
      </c>
      <c r="P924" s="363">
        <v>10413.200000000001</v>
      </c>
      <c r="Q924" s="121">
        <v>2025</v>
      </c>
      <c r="R924" s="121"/>
      <c r="S924" s="148">
        <v>45813</v>
      </c>
      <c r="T924" s="363">
        <f>Таблица18[[#This Row],[Вес нетто]]-Таблица18[[#This Row],[Зачетный вес]]</f>
        <v>3526.7999999999993</v>
      </c>
      <c r="U924" s="365">
        <f>Таблица18[[#This Row],[Отход]]/Таблица18[[#This Row],[Вес нетто]]</f>
        <v>0.25299856527977038</v>
      </c>
      <c r="V924" s="121">
        <f>MONTH(Таблица18[[#This Row],[Дата акта]])</f>
        <v>6</v>
      </c>
      <c r="W924" s="121">
        <v>5</v>
      </c>
      <c r="X924" s="148">
        <f>DATE(1900,Таблица18[[#This Row],[Месяц]],Таблица18[[#This Row],[Число]])</f>
        <v>157</v>
      </c>
      <c r="Y924" s="121"/>
      <c r="Z924" s="121" t="str">
        <f>Таблица18[[#This Row],[Хар-ка]]</f>
        <v>высший</v>
      </c>
      <c r="AD924" s="459"/>
      <c r="AE924" s="391"/>
    </row>
    <row r="925" spans="1:31" s="325" customFormat="1" ht="15.6" hidden="1" customHeight="1" x14ac:dyDescent="0.2">
      <c r="A925" s="40" t="s">
        <v>668</v>
      </c>
      <c r="B925" s="360" t="s">
        <v>511</v>
      </c>
      <c r="C925" s="40">
        <v>215</v>
      </c>
      <c r="D925" s="40" t="s">
        <v>731</v>
      </c>
      <c r="E925" s="40" t="s">
        <v>78</v>
      </c>
      <c r="F925" s="40" t="s">
        <v>439</v>
      </c>
      <c r="G925" s="40" t="s">
        <v>440</v>
      </c>
      <c r="H925" s="40" t="s">
        <v>523</v>
      </c>
      <c r="I925" s="360" t="e">
        <f>VLOOKUP(Таблица18[[#This Row],[Номер акта]],$AB$1:$AF$1833,3,FALSE)</f>
        <v>#N/A</v>
      </c>
      <c r="J925" s="40" t="s">
        <v>524</v>
      </c>
      <c r="K925" s="40" t="s">
        <v>82</v>
      </c>
      <c r="L925" s="121">
        <v>26090</v>
      </c>
      <c r="M925" s="121">
        <v>16540</v>
      </c>
      <c r="N925" s="121">
        <v>17</v>
      </c>
      <c r="O925" s="363">
        <v>9550</v>
      </c>
      <c r="P925" s="363">
        <v>7928.2</v>
      </c>
      <c r="Q925" s="121">
        <v>2025</v>
      </c>
      <c r="R925" s="121"/>
      <c r="S925" s="148">
        <v>45813</v>
      </c>
      <c r="T925" s="363">
        <f>Таблица18[[#This Row],[Вес нетто]]-Таблица18[[#This Row],[Зачетный вес]]</f>
        <v>1621.8000000000002</v>
      </c>
      <c r="U925" s="365">
        <f>Таблица18[[#This Row],[Отход]]/Таблица18[[#This Row],[Вес нетто]]</f>
        <v>0.16982198952879582</v>
      </c>
      <c r="V925" s="121">
        <f>MONTH(Таблица18[[#This Row],[Дата акта]])</f>
        <v>6</v>
      </c>
      <c r="W925" s="121">
        <v>5</v>
      </c>
      <c r="X925" s="148">
        <f>DATE(1900,Таблица18[[#This Row],[Месяц]],Таблица18[[#This Row],[Число]])</f>
        <v>157</v>
      </c>
      <c r="Y925" s="121"/>
      <c r="Z925" s="121" t="str">
        <f>Таблица18[[#This Row],[Хар-ка]]</f>
        <v>высший</v>
      </c>
      <c r="AD925" s="459"/>
      <c r="AE925" s="391"/>
    </row>
    <row r="926" spans="1:31" s="325" customFormat="1" ht="15.6" hidden="1" customHeight="1" x14ac:dyDescent="0.2">
      <c r="A926" s="40" t="s">
        <v>669</v>
      </c>
      <c r="B926" s="360" t="s">
        <v>511</v>
      </c>
      <c r="C926" s="40">
        <v>232</v>
      </c>
      <c r="D926" s="40" t="s">
        <v>732</v>
      </c>
      <c r="E926" s="40" t="s">
        <v>78</v>
      </c>
      <c r="F926" s="40" t="s">
        <v>442</v>
      </c>
      <c r="G926" s="40" t="s">
        <v>443</v>
      </c>
      <c r="H926" s="40" t="s">
        <v>523</v>
      </c>
      <c r="I926" s="360" t="e">
        <f>VLOOKUP(Таблица18[[#This Row],[Номер акта]],$AB$1:$AF$1833,3,FALSE)</f>
        <v>#N/A</v>
      </c>
      <c r="J926" s="40" t="s">
        <v>81</v>
      </c>
      <c r="K926" s="40" t="s">
        <v>82</v>
      </c>
      <c r="L926" s="121">
        <v>33080</v>
      </c>
      <c r="M926" s="121">
        <v>18790</v>
      </c>
      <c r="N926" s="121">
        <v>10.9</v>
      </c>
      <c r="O926" s="363">
        <v>14290</v>
      </c>
      <c r="P926" s="363">
        <v>12725.4</v>
      </c>
      <c r="Q926" s="121">
        <v>2025</v>
      </c>
      <c r="R926" s="121"/>
      <c r="S926" s="148">
        <v>45813</v>
      </c>
      <c r="T926" s="363">
        <f>Таблица18[[#This Row],[Вес нетто]]-Таблица18[[#This Row],[Зачетный вес]]</f>
        <v>1564.6000000000004</v>
      </c>
      <c r="U926" s="365">
        <f>Таблица18[[#This Row],[Отход]]/Таблица18[[#This Row],[Вес нетто]]</f>
        <v>0.10948915325402382</v>
      </c>
      <c r="V926" s="121">
        <f>MONTH(Таблица18[[#This Row],[Дата акта]])</f>
        <v>6</v>
      </c>
      <c r="W926" s="121">
        <v>5</v>
      </c>
      <c r="X926" s="148">
        <f>DATE(1900,Таблица18[[#This Row],[Месяц]],Таблица18[[#This Row],[Число]])</f>
        <v>157</v>
      </c>
      <c r="Y926" s="121"/>
      <c r="Z926" s="121" t="str">
        <f>Таблица18[[#This Row],[Хар-ка]]</f>
        <v>высший</v>
      </c>
      <c r="AD926" s="459"/>
      <c r="AE926" s="391"/>
    </row>
    <row r="927" spans="1:31" s="325" customFormat="1" ht="15.6" hidden="1" customHeight="1" x14ac:dyDescent="0.2">
      <c r="A927" s="40" t="s">
        <v>670</v>
      </c>
      <c r="B927" s="360" t="s">
        <v>511</v>
      </c>
      <c r="C927" s="40">
        <v>227</v>
      </c>
      <c r="D927" s="40" t="s">
        <v>733</v>
      </c>
      <c r="E927" s="40" t="s">
        <v>557</v>
      </c>
      <c r="F927" s="40" t="s">
        <v>295</v>
      </c>
      <c r="G927" s="40" t="s">
        <v>299</v>
      </c>
      <c r="H927" s="40" t="s">
        <v>523</v>
      </c>
      <c r="I927" s="360" t="e">
        <f>VLOOKUP(Таблица18[[#This Row],[Номер акта]],$AB$1:$AF$1833,3,FALSE)</f>
        <v>#N/A</v>
      </c>
      <c r="J927" s="40" t="s">
        <v>524</v>
      </c>
      <c r="K927" s="40" t="s">
        <v>82</v>
      </c>
      <c r="L927" s="121">
        <v>31650</v>
      </c>
      <c r="M927" s="121">
        <v>17790</v>
      </c>
      <c r="N927" s="121">
        <v>17.399999999999999</v>
      </c>
      <c r="O927" s="363">
        <v>13860</v>
      </c>
      <c r="P927" s="363">
        <v>11448.4</v>
      </c>
      <c r="Q927" s="121">
        <v>2025</v>
      </c>
      <c r="R927" s="121"/>
      <c r="S927" s="148">
        <v>45813</v>
      </c>
      <c r="T927" s="363">
        <f>Таблица18[[#This Row],[Вес нетто]]-Таблица18[[#This Row],[Зачетный вес]]</f>
        <v>2411.6000000000004</v>
      </c>
      <c r="U927" s="365">
        <f>Таблица18[[#This Row],[Отход]]/Таблица18[[#This Row],[Вес нетто]]</f>
        <v>0.17399711399711401</v>
      </c>
      <c r="V927" s="121">
        <f>MONTH(Таблица18[[#This Row],[Дата акта]])</f>
        <v>6</v>
      </c>
      <c r="W927" s="121">
        <v>5</v>
      </c>
      <c r="X927" s="148">
        <f>DATE(1900,Таблица18[[#This Row],[Месяц]],Таблица18[[#This Row],[Число]])</f>
        <v>157</v>
      </c>
      <c r="Y927" s="121"/>
      <c r="Z927" s="121" t="str">
        <f>Таблица18[[#This Row],[Хар-ка]]</f>
        <v>высший</v>
      </c>
      <c r="AD927" s="459"/>
      <c r="AE927" s="391"/>
    </row>
    <row r="928" spans="1:31" s="325" customFormat="1" ht="15.6" hidden="1" customHeight="1" x14ac:dyDescent="0.2">
      <c r="A928" s="40" t="s">
        <v>671</v>
      </c>
      <c r="B928" s="360" t="s">
        <v>511</v>
      </c>
      <c r="C928" s="40">
        <v>251</v>
      </c>
      <c r="D928" s="40">
        <v>130758</v>
      </c>
      <c r="E928" s="40" t="s">
        <v>105</v>
      </c>
      <c r="F928" s="40" t="s">
        <v>254</v>
      </c>
      <c r="G928" s="40" t="s">
        <v>536</v>
      </c>
      <c r="H928" s="40" t="s">
        <v>672</v>
      </c>
      <c r="I928" s="360" t="e">
        <f>VLOOKUP(Таблица18[[#This Row],[Номер акта]],$AB$1:$AF$1833,3,FALSE)</f>
        <v>#N/A</v>
      </c>
      <c r="J928" s="40" t="s">
        <v>21</v>
      </c>
      <c r="K928" s="40" t="s">
        <v>82</v>
      </c>
      <c r="L928" s="121">
        <v>28040</v>
      </c>
      <c r="M928" s="121">
        <v>14590</v>
      </c>
      <c r="N928" s="121">
        <v>12.5</v>
      </c>
      <c r="O928" s="363">
        <v>13450</v>
      </c>
      <c r="P928" s="363">
        <v>11768.7</v>
      </c>
      <c r="Q928" s="121">
        <v>2025</v>
      </c>
      <c r="R928" s="121"/>
      <c r="S928" s="148">
        <v>45814</v>
      </c>
      <c r="T928" s="363">
        <f>Таблица18[[#This Row],[Вес нетто]]-Таблица18[[#This Row],[Зачетный вес]]</f>
        <v>1681.2999999999993</v>
      </c>
      <c r="U928" s="365">
        <f>Таблица18[[#This Row],[Отход]]/Таблица18[[#This Row],[Вес нетто]]</f>
        <v>0.12500371747211891</v>
      </c>
      <c r="V928" s="121">
        <f>MONTH(Таблица18[[#This Row],[Дата акта]])</f>
        <v>6</v>
      </c>
      <c r="W928" s="121">
        <v>6</v>
      </c>
      <c r="X928" s="148">
        <f>DATE(1900,Таблица18[[#This Row],[Месяц]],Таблица18[[#This Row],[Число]])</f>
        <v>158</v>
      </c>
      <c r="Y928" s="121"/>
      <c r="Z928" s="121" t="str">
        <f>Таблица18[[#This Row],[Хар-ка]]</f>
        <v>высший</v>
      </c>
      <c r="AD928" s="459"/>
      <c r="AE928" s="391"/>
    </row>
    <row r="929" spans="1:31" s="325" customFormat="1" ht="15.6" hidden="1" customHeight="1" x14ac:dyDescent="0.2">
      <c r="A929" s="40" t="s">
        <v>734</v>
      </c>
      <c r="B929" s="360" t="s">
        <v>511</v>
      </c>
      <c r="C929" s="40">
        <v>252</v>
      </c>
      <c r="D929" s="40">
        <v>130759</v>
      </c>
      <c r="E929" s="40" t="s">
        <v>105</v>
      </c>
      <c r="F929" s="40" t="s">
        <v>272</v>
      </c>
      <c r="G929" s="40" t="s">
        <v>276</v>
      </c>
      <c r="H929" s="40" t="s">
        <v>672</v>
      </c>
      <c r="I929" s="360" t="e">
        <f>VLOOKUP(Таблица18[[#This Row],[Номер акта]],$AB$1:$AF$1833,3,FALSE)</f>
        <v>#N/A</v>
      </c>
      <c r="J929" s="40" t="s">
        <v>21</v>
      </c>
      <c r="K929" s="40" t="s">
        <v>82</v>
      </c>
      <c r="L929" s="121">
        <v>28180</v>
      </c>
      <c r="M929" s="121">
        <v>14740</v>
      </c>
      <c r="N929" s="121">
        <v>15.5</v>
      </c>
      <c r="O929" s="363">
        <v>13440</v>
      </c>
      <c r="P929" s="363">
        <v>11356.8</v>
      </c>
      <c r="Q929" s="121">
        <v>2025</v>
      </c>
      <c r="R929" s="121"/>
      <c r="S929" s="148">
        <v>45814</v>
      </c>
      <c r="T929" s="363">
        <f>Таблица18[[#This Row],[Вес нетто]]-Таблица18[[#This Row],[Зачетный вес]]</f>
        <v>2083.2000000000007</v>
      </c>
      <c r="U929" s="365">
        <f>Таблица18[[#This Row],[Отход]]/Таблица18[[#This Row],[Вес нетто]]</f>
        <v>0.15500000000000005</v>
      </c>
      <c r="V929" s="121">
        <f>MONTH(Таблица18[[#This Row],[Дата акта]])</f>
        <v>6</v>
      </c>
      <c r="W929" s="121">
        <v>6</v>
      </c>
      <c r="X929" s="148">
        <f>DATE(1900,Таблица18[[#This Row],[Месяц]],Таблица18[[#This Row],[Число]])</f>
        <v>158</v>
      </c>
      <c r="Y929" s="121"/>
      <c r="Z929" s="121" t="str">
        <f>Таблица18[[#This Row],[Хар-ка]]</f>
        <v>высший</v>
      </c>
      <c r="AD929" s="459"/>
      <c r="AE929" s="391"/>
    </row>
    <row r="930" spans="1:31" s="325" customFormat="1" ht="15.6" hidden="1" customHeight="1" x14ac:dyDescent="0.2">
      <c r="A930" s="40" t="s">
        <v>735</v>
      </c>
      <c r="B930" s="360" t="s">
        <v>511</v>
      </c>
      <c r="C930" s="40">
        <v>253</v>
      </c>
      <c r="D930" s="40">
        <v>130760</v>
      </c>
      <c r="E930" s="40" t="s">
        <v>105</v>
      </c>
      <c r="F930" s="40" t="s">
        <v>1253</v>
      </c>
      <c r="G930" s="40" t="s">
        <v>270</v>
      </c>
      <c r="H930" s="40" t="s">
        <v>672</v>
      </c>
      <c r="I930" s="360" t="e">
        <f>VLOOKUP(Таблица18[[#This Row],[Номер акта]],$AB$1:$AF$1833,3,FALSE)</f>
        <v>#N/A</v>
      </c>
      <c r="J930" s="40" t="s">
        <v>21</v>
      </c>
      <c r="K930" s="40" t="s">
        <v>82</v>
      </c>
      <c r="L930" s="121">
        <v>28240</v>
      </c>
      <c r="M930" s="121">
        <v>14820</v>
      </c>
      <c r="N930" s="121">
        <v>14.5</v>
      </c>
      <c r="O930" s="363">
        <v>13420</v>
      </c>
      <c r="P930" s="363">
        <v>11474.1</v>
      </c>
      <c r="Q930" s="121">
        <v>2025</v>
      </c>
      <c r="R930" s="121"/>
      <c r="S930" s="148">
        <v>45814</v>
      </c>
      <c r="T930" s="363">
        <f>Таблица18[[#This Row],[Вес нетто]]-Таблица18[[#This Row],[Зачетный вес]]</f>
        <v>1945.8999999999996</v>
      </c>
      <c r="U930" s="365">
        <f>Таблица18[[#This Row],[Отход]]/Таблица18[[#This Row],[Вес нетто]]</f>
        <v>0.14499999999999996</v>
      </c>
      <c r="V930" s="121">
        <f>MONTH(Таблица18[[#This Row],[Дата акта]])</f>
        <v>6</v>
      </c>
      <c r="W930" s="121">
        <v>6</v>
      </c>
      <c r="X930" s="148">
        <f>DATE(1900,Таблица18[[#This Row],[Месяц]],Таблица18[[#This Row],[Число]])</f>
        <v>158</v>
      </c>
      <c r="Y930" s="121"/>
      <c r="Z930" s="121" t="str">
        <f>Таблица18[[#This Row],[Хар-ка]]</f>
        <v>высший</v>
      </c>
      <c r="AD930" s="459"/>
      <c r="AE930" s="391"/>
    </row>
    <row r="931" spans="1:31" s="325" customFormat="1" ht="15.6" hidden="1" customHeight="1" x14ac:dyDescent="0.2">
      <c r="A931" s="40" t="s">
        <v>736</v>
      </c>
      <c r="B931" s="360" t="s">
        <v>511</v>
      </c>
      <c r="C931" s="40">
        <v>258</v>
      </c>
      <c r="D931" s="40">
        <v>51</v>
      </c>
      <c r="E931" s="40" t="s">
        <v>78</v>
      </c>
      <c r="F931" s="40" t="s">
        <v>737</v>
      </c>
      <c r="G931" s="40" t="s">
        <v>738</v>
      </c>
      <c r="H931" s="40" t="s">
        <v>523</v>
      </c>
      <c r="I931" s="360" t="e">
        <f>VLOOKUP(Таблица18[[#This Row],[Номер акта]],$AB$1:$AF$1833,3,FALSE)</f>
        <v>#N/A</v>
      </c>
      <c r="J931" s="40" t="s">
        <v>524</v>
      </c>
      <c r="K931" s="40" t="s">
        <v>82</v>
      </c>
      <c r="L931" s="121">
        <v>9090</v>
      </c>
      <c r="M931" s="121">
        <v>4600</v>
      </c>
      <c r="N931" s="121">
        <v>13</v>
      </c>
      <c r="O931" s="363">
        <v>4490</v>
      </c>
      <c r="P931" s="363">
        <v>3906.3</v>
      </c>
      <c r="Q931" s="121">
        <v>2025</v>
      </c>
      <c r="R931" s="121"/>
      <c r="S931" s="148">
        <v>45814</v>
      </c>
      <c r="T931" s="363">
        <f>Таблица18[[#This Row],[Вес нетто]]-Таблица18[[#This Row],[Зачетный вес]]</f>
        <v>583.69999999999982</v>
      </c>
      <c r="U931" s="365">
        <f>Таблица18[[#This Row],[Отход]]/Таблица18[[#This Row],[Вес нетто]]</f>
        <v>0.12999999999999995</v>
      </c>
      <c r="V931" s="121">
        <f>MONTH(Таблица18[[#This Row],[Дата акта]])</f>
        <v>6</v>
      </c>
      <c r="W931" s="121">
        <v>6</v>
      </c>
      <c r="X931" s="148">
        <f>DATE(1900,Таблица18[[#This Row],[Месяц]],Таблица18[[#This Row],[Число]])</f>
        <v>158</v>
      </c>
      <c r="Y931" s="121"/>
      <c r="Z931" s="121" t="str">
        <f>Таблица18[[#This Row],[Хар-ка]]</f>
        <v>высший</v>
      </c>
      <c r="AD931" s="459"/>
      <c r="AE931" s="391"/>
    </row>
    <row r="932" spans="1:31" s="325" customFormat="1" ht="15.6" hidden="1" customHeight="1" x14ac:dyDescent="0.2">
      <c r="A932" s="40" t="s">
        <v>739</v>
      </c>
      <c r="B932" s="360" t="s">
        <v>511</v>
      </c>
      <c r="C932" s="40">
        <v>254</v>
      </c>
      <c r="D932" s="40">
        <v>130761</v>
      </c>
      <c r="E932" s="40" t="s">
        <v>105</v>
      </c>
      <c r="F932" s="40" t="s">
        <v>234</v>
      </c>
      <c r="G932" s="40" t="s">
        <v>238</v>
      </c>
      <c r="H932" s="40" t="s">
        <v>672</v>
      </c>
      <c r="I932" s="360" t="e">
        <f>VLOOKUP(Таблица18[[#This Row],[Номер акта]],$AB$1:$AF$1833,3,FALSE)</f>
        <v>#N/A</v>
      </c>
      <c r="J932" s="40" t="s">
        <v>21</v>
      </c>
      <c r="K932" s="40" t="s">
        <v>82</v>
      </c>
      <c r="L932" s="121">
        <v>28880</v>
      </c>
      <c r="M932" s="121">
        <v>15440</v>
      </c>
      <c r="N932" s="121">
        <v>18.5</v>
      </c>
      <c r="O932" s="363">
        <v>13440</v>
      </c>
      <c r="P932" s="363">
        <v>10953.6</v>
      </c>
      <c r="Q932" s="121">
        <v>2025</v>
      </c>
      <c r="R932" s="121"/>
      <c r="S932" s="148">
        <v>45814</v>
      </c>
      <c r="T932" s="363">
        <f>Таблица18[[#This Row],[Вес нетто]]-Таблица18[[#This Row],[Зачетный вес]]</f>
        <v>2486.3999999999996</v>
      </c>
      <c r="U932" s="365">
        <f>Таблица18[[#This Row],[Отход]]/Таблица18[[#This Row],[Вес нетто]]</f>
        <v>0.18499999999999997</v>
      </c>
      <c r="V932" s="121">
        <f>MONTH(Таблица18[[#This Row],[Дата акта]])</f>
        <v>6</v>
      </c>
      <c r="W932" s="121">
        <v>6</v>
      </c>
      <c r="X932" s="148">
        <f>DATE(1900,Таблица18[[#This Row],[Месяц]],Таблица18[[#This Row],[Число]])</f>
        <v>158</v>
      </c>
      <c r="Y932" s="121"/>
      <c r="Z932" s="121" t="str">
        <f>Таблица18[[#This Row],[Хар-ка]]</f>
        <v>высший</v>
      </c>
      <c r="AD932" s="459"/>
      <c r="AE932" s="391"/>
    </row>
    <row r="933" spans="1:31" s="325" customFormat="1" ht="15.6" hidden="1" customHeight="1" x14ac:dyDescent="0.2">
      <c r="A933" s="40" t="s">
        <v>740</v>
      </c>
      <c r="B933" s="360" t="s">
        <v>511</v>
      </c>
      <c r="C933" s="40">
        <v>255</v>
      </c>
      <c r="D933" s="40">
        <v>130762</v>
      </c>
      <c r="E933" s="40" t="s">
        <v>105</v>
      </c>
      <c r="F933" s="40" t="s">
        <v>133</v>
      </c>
      <c r="G933" s="40" t="s">
        <v>137</v>
      </c>
      <c r="H933" s="40" t="s">
        <v>672</v>
      </c>
      <c r="I933" s="360" t="e">
        <f>VLOOKUP(Таблица18[[#This Row],[Номер акта]],$AB$1:$AF$1833,3,FALSE)</f>
        <v>#N/A</v>
      </c>
      <c r="J933" s="40" t="s">
        <v>21</v>
      </c>
      <c r="K933" s="40" t="s">
        <v>82</v>
      </c>
      <c r="L933" s="121">
        <v>28090</v>
      </c>
      <c r="M933" s="121">
        <v>14790</v>
      </c>
      <c r="N933" s="121">
        <v>17.5</v>
      </c>
      <c r="O933" s="363">
        <v>13300</v>
      </c>
      <c r="P933" s="363">
        <v>10972.5</v>
      </c>
      <c r="Q933" s="121">
        <v>2025</v>
      </c>
      <c r="R933" s="121"/>
      <c r="S933" s="148">
        <v>45814</v>
      </c>
      <c r="T933" s="363">
        <f>Таблица18[[#This Row],[Вес нетто]]-Таблица18[[#This Row],[Зачетный вес]]</f>
        <v>2327.5</v>
      </c>
      <c r="U933" s="365">
        <f>Таблица18[[#This Row],[Отход]]/Таблица18[[#This Row],[Вес нетто]]</f>
        <v>0.17499999999999999</v>
      </c>
      <c r="V933" s="121">
        <f>MONTH(Таблица18[[#This Row],[Дата акта]])</f>
        <v>6</v>
      </c>
      <c r="W933" s="121">
        <v>6</v>
      </c>
      <c r="X933" s="148">
        <f>DATE(1900,Таблица18[[#This Row],[Месяц]],Таблица18[[#This Row],[Число]])</f>
        <v>158</v>
      </c>
      <c r="Y933" s="121"/>
      <c r="Z933" s="121" t="str">
        <f>Таблица18[[#This Row],[Хар-ка]]</f>
        <v>высший</v>
      </c>
      <c r="AD933" s="459"/>
      <c r="AE933" s="391"/>
    </row>
    <row r="934" spans="1:31" s="325" customFormat="1" ht="15.6" hidden="1" customHeight="1" x14ac:dyDescent="0.2">
      <c r="A934" s="40" t="s">
        <v>741</v>
      </c>
      <c r="B934" s="360" t="s">
        <v>511</v>
      </c>
      <c r="C934" s="40">
        <v>257</v>
      </c>
      <c r="D934" s="40">
        <v>130763</v>
      </c>
      <c r="E934" s="40" t="s">
        <v>105</v>
      </c>
      <c r="F934" s="40" t="s">
        <v>249</v>
      </c>
      <c r="G934" s="40" t="s">
        <v>253</v>
      </c>
      <c r="H934" s="40" t="s">
        <v>672</v>
      </c>
      <c r="I934" s="360" t="e">
        <f>VLOOKUP(Таблица18[[#This Row],[Номер акта]],$AB$1:$AF$1833,3,FALSE)</f>
        <v>#N/A</v>
      </c>
      <c r="J934" s="40" t="s">
        <v>21</v>
      </c>
      <c r="K934" s="40" t="s">
        <v>82</v>
      </c>
      <c r="L934" s="121">
        <v>28290</v>
      </c>
      <c r="M934" s="121">
        <v>15060</v>
      </c>
      <c r="N934" s="121">
        <v>10.5</v>
      </c>
      <c r="O934" s="363">
        <v>13230</v>
      </c>
      <c r="P934" s="363">
        <v>11840.8</v>
      </c>
      <c r="Q934" s="121">
        <v>2025</v>
      </c>
      <c r="R934" s="121"/>
      <c r="S934" s="148">
        <v>45814</v>
      </c>
      <c r="T934" s="363">
        <f>Таблица18[[#This Row],[Вес нетто]]-Таблица18[[#This Row],[Зачетный вес]]</f>
        <v>1389.2000000000007</v>
      </c>
      <c r="U934" s="365">
        <f>Таблица18[[#This Row],[Отход]]/Таблица18[[#This Row],[Вес нетто]]</f>
        <v>0.10500377928949363</v>
      </c>
      <c r="V934" s="121">
        <f>MONTH(Таблица18[[#This Row],[Дата акта]])</f>
        <v>6</v>
      </c>
      <c r="W934" s="121">
        <v>6</v>
      </c>
      <c r="X934" s="148">
        <f>DATE(1900,Таблица18[[#This Row],[Месяц]],Таблица18[[#This Row],[Число]])</f>
        <v>158</v>
      </c>
      <c r="Y934" s="121"/>
      <c r="Z934" s="121" t="str">
        <f>Таблица18[[#This Row],[Хар-ка]]</f>
        <v>высший</v>
      </c>
      <c r="AD934" s="459"/>
      <c r="AE934" s="391"/>
    </row>
    <row r="935" spans="1:31" s="325" customFormat="1" ht="15.6" hidden="1" customHeight="1" x14ac:dyDescent="0.2">
      <c r="A935" s="40" t="s">
        <v>742</v>
      </c>
      <c r="B935" s="360" t="s">
        <v>511</v>
      </c>
      <c r="C935" s="40">
        <v>259</v>
      </c>
      <c r="D935" s="40">
        <v>52</v>
      </c>
      <c r="E935" s="40" t="s">
        <v>78</v>
      </c>
      <c r="F935" s="40" t="s">
        <v>127</v>
      </c>
      <c r="G935" s="40" t="s">
        <v>131</v>
      </c>
      <c r="H935" s="40" t="s">
        <v>523</v>
      </c>
      <c r="I935" s="360" t="e">
        <f>VLOOKUP(Таблица18[[#This Row],[Номер акта]],$AB$1:$AF$1833,3,FALSE)</f>
        <v>#N/A</v>
      </c>
      <c r="J935" s="40" t="s">
        <v>524</v>
      </c>
      <c r="K935" s="40" t="s">
        <v>82</v>
      </c>
      <c r="L935" s="121">
        <v>14210</v>
      </c>
      <c r="M935" s="121">
        <v>9720</v>
      </c>
      <c r="N935" s="121">
        <v>10.5</v>
      </c>
      <c r="O935" s="363">
        <v>4490</v>
      </c>
      <c r="P935" s="363">
        <v>4018.5</v>
      </c>
      <c r="Q935" s="121">
        <v>2025</v>
      </c>
      <c r="R935" s="121"/>
      <c r="S935" s="148">
        <v>45814</v>
      </c>
      <c r="T935" s="363">
        <f>Таблица18[[#This Row],[Вес нетто]]-Таблица18[[#This Row],[Зачетный вес]]</f>
        <v>471.5</v>
      </c>
      <c r="U935" s="365">
        <f>Таблица18[[#This Row],[Отход]]/Таблица18[[#This Row],[Вес нетто]]</f>
        <v>0.10501113585746102</v>
      </c>
      <c r="V935" s="121">
        <f>MONTH(Таблица18[[#This Row],[Дата акта]])</f>
        <v>6</v>
      </c>
      <c r="W935" s="121">
        <v>6</v>
      </c>
      <c r="X935" s="148">
        <f>DATE(1900,Таблица18[[#This Row],[Месяц]],Таблица18[[#This Row],[Число]])</f>
        <v>158</v>
      </c>
      <c r="Y935" s="121"/>
      <c r="Z935" s="121" t="str">
        <f>Таблица18[[#This Row],[Хар-ка]]</f>
        <v>высший</v>
      </c>
      <c r="AD935" s="459"/>
      <c r="AE935" s="391"/>
    </row>
    <row r="936" spans="1:31" s="325" customFormat="1" ht="15.6" hidden="1" customHeight="1" x14ac:dyDescent="0.2">
      <c r="A936" s="40" t="s">
        <v>743</v>
      </c>
      <c r="B936" s="360" t="s">
        <v>511</v>
      </c>
      <c r="C936" s="40">
        <v>260</v>
      </c>
      <c r="D936" s="40">
        <v>130764</v>
      </c>
      <c r="E936" s="40" t="s">
        <v>105</v>
      </c>
      <c r="F936" s="40" t="s">
        <v>1151</v>
      </c>
      <c r="G936" s="40" t="s">
        <v>145</v>
      </c>
      <c r="H936" s="40" t="s">
        <v>672</v>
      </c>
      <c r="I936" s="360" t="e">
        <f>VLOOKUP(Таблица18[[#This Row],[Номер акта]],$AB$1:$AF$1833,3,FALSE)</f>
        <v>#N/A</v>
      </c>
      <c r="J936" s="40" t="s">
        <v>21</v>
      </c>
      <c r="K936" s="40" t="s">
        <v>82</v>
      </c>
      <c r="L936" s="121">
        <v>29310</v>
      </c>
      <c r="M936" s="121">
        <v>15640</v>
      </c>
      <c r="N936" s="121">
        <v>20</v>
      </c>
      <c r="O936" s="363">
        <v>13670</v>
      </c>
      <c r="P936" s="363">
        <v>10936</v>
      </c>
      <c r="Q936" s="121">
        <v>2025</v>
      </c>
      <c r="R936" s="121"/>
      <c r="S936" s="148">
        <v>45814</v>
      </c>
      <c r="T936" s="363">
        <f>Таблица18[[#This Row],[Вес нетто]]-Таблица18[[#This Row],[Зачетный вес]]</f>
        <v>2734</v>
      </c>
      <c r="U936" s="365">
        <f>Таблица18[[#This Row],[Отход]]/Таблица18[[#This Row],[Вес нетто]]</f>
        <v>0.2</v>
      </c>
      <c r="V936" s="121">
        <f>MONTH(Таблица18[[#This Row],[Дата акта]])</f>
        <v>6</v>
      </c>
      <c r="W936" s="121">
        <v>6</v>
      </c>
      <c r="X936" s="148">
        <f>DATE(1900,Таблица18[[#This Row],[Месяц]],Таблица18[[#This Row],[Число]])</f>
        <v>158</v>
      </c>
      <c r="Y936" s="121"/>
      <c r="Z936" s="121" t="str">
        <f>Таблица18[[#This Row],[Хар-ка]]</f>
        <v>высший</v>
      </c>
      <c r="AD936" s="459"/>
      <c r="AE936" s="391"/>
    </row>
    <row r="937" spans="1:31" s="325" customFormat="1" ht="15.6" hidden="1" customHeight="1" x14ac:dyDescent="0.2">
      <c r="A937" s="40" t="s">
        <v>744</v>
      </c>
      <c r="B937" s="360" t="s">
        <v>511</v>
      </c>
      <c r="C937" s="40">
        <v>266</v>
      </c>
      <c r="D937" s="40">
        <v>130765</v>
      </c>
      <c r="E937" s="40" t="s">
        <v>105</v>
      </c>
      <c r="F937" s="40" t="s">
        <v>1461</v>
      </c>
      <c r="G937" s="40" t="s">
        <v>149</v>
      </c>
      <c r="H937" s="40" t="s">
        <v>672</v>
      </c>
      <c r="I937" s="360" t="e">
        <f>VLOOKUP(Таблица18[[#This Row],[Номер акта]],$AB$1:$AF$1833,3,FALSE)</f>
        <v>#N/A</v>
      </c>
      <c r="J937" s="40" t="s">
        <v>21</v>
      </c>
      <c r="K937" s="40" t="s">
        <v>82</v>
      </c>
      <c r="L937" s="121">
        <v>28580</v>
      </c>
      <c r="M937" s="121">
        <v>14910</v>
      </c>
      <c r="N937" s="121">
        <v>19.5</v>
      </c>
      <c r="O937" s="363">
        <v>13670</v>
      </c>
      <c r="P937" s="363">
        <v>11004.3</v>
      </c>
      <c r="Q937" s="121">
        <v>2025</v>
      </c>
      <c r="R937" s="121"/>
      <c r="S937" s="148">
        <v>45814</v>
      </c>
      <c r="T937" s="363">
        <f>Таблица18[[#This Row],[Вес нетто]]-Таблица18[[#This Row],[Зачетный вес]]</f>
        <v>2665.7000000000007</v>
      </c>
      <c r="U937" s="365">
        <f>Таблица18[[#This Row],[Отход]]/Таблица18[[#This Row],[Вес нетто]]</f>
        <v>0.195003657644477</v>
      </c>
      <c r="V937" s="121">
        <f>MONTH(Таблица18[[#This Row],[Дата акта]])</f>
        <v>6</v>
      </c>
      <c r="W937" s="121">
        <v>6</v>
      </c>
      <c r="X937" s="148">
        <f>DATE(1900,Таблица18[[#This Row],[Месяц]],Таблица18[[#This Row],[Число]])</f>
        <v>158</v>
      </c>
      <c r="Y937" s="121"/>
      <c r="Z937" s="121" t="str">
        <f>Таблица18[[#This Row],[Хар-ка]]</f>
        <v>высший</v>
      </c>
      <c r="AD937" s="459"/>
      <c r="AE937" s="391"/>
    </row>
    <row r="938" spans="1:31" s="325" customFormat="1" ht="15.6" hidden="1" customHeight="1" x14ac:dyDescent="0.2">
      <c r="A938" s="40" t="s">
        <v>745</v>
      </c>
      <c r="B938" s="360" t="s">
        <v>511</v>
      </c>
      <c r="C938" s="40">
        <v>263</v>
      </c>
      <c r="D938" s="40">
        <v>53</v>
      </c>
      <c r="E938" s="40" t="s">
        <v>78</v>
      </c>
      <c r="F938" s="40" t="s">
        <v>737</v>
      </c>
      <c r="G938" s="40" t="s">
        <v>738</v>
      </c>
      <c r="H938" s="40" t="s">
        <v>746</v>
      </c>
      <c r="I938" s="360" t="e">
        <f>VLOOKUP(Таблица18[[#This Row],[Номер акта]],$AB$1:$AF$1833,3,FALSE)</f>
        <v>#N/A</v>
      </c>
      <c r="J938" s="40" t="s">
        <v>747</v>
      </c>
      <c r="K938" s="40" t="s">
        <v>82</v>
      </c>
      <c r="L938" s="121">
        <v>6920</v>
      </c>
      <c r="M938" s="121">
        <v>4600</v>
      </c>
      <c r="N938" s="121">
        <v>12.5</v>
      </c>
      <c r="O938" s="363">
        <v>2320</v>
      </c>
      <c r="P938" s="363">
        <v>2030</v>
      </c>
      <c r="Q938" s="121">
        <v>2025</v>
      </c>
      <c r="R938" s="121"/>
      <c r="S938" s="148">
        <v>45814</v>
      </c>
      <c r="T938" s="363">
        <f>Таблица18[[#This Row],[Вес нетто]]-Таблица18[[#This Row],[Зачетный вес]]</f>
        <v>290</v>
      </c>
      <c r="U938" s="365">
        <f>Таблица18[[#This Row],[Отход]]/Таблица18[[#This Row],[Вес нетто]]</f>
        <v>0.125</v>
      </c>
      <c r="V938" s="121">
        <f>MONTH(Таблица18[[#This Row],[Дата акта]])</f>
        <v>6</v>
      </c>
      <c r="W938" s="121">
        <v>6</v>
      </c>
      <c r="X938" s="148">
        <f>DATE(1900,Таблица18[[#This Row],[Месяц]],Таблица18[[#This Row],[Число]])</f>
        <v>158</v>
      </c>
      <c r="Y938" s="121"/>
      <c r="Z938" s="121" t="str">
        <f>Таблица18[[#This Row],[Хар-ка]]</f>
        <v>высший</v>
      </c>
      <c r="AD938" s="459"/>
      <c r="AE938" s="391"/>
    </row>
    <row r="939" spans="1:31" s="325" customFormat="1" ht="15.6" hidden="1" customHeight="1" x14ac:dyDescent="0.2">
      <c r="A939" s="40" t="s">
        <v>748</v>
      </c>
      <c r="B939" s="360" t="s">
        <v>511</v>
      </c>
      <c r="C939" s="40">
        <v>270</v>
      </c>
      <c r="D939" s="40">
        <v>130767</v>
      </c>
      <c r="E939" s="40" t="s">
        <v>105</v>
      </c>
      <c r="F939" s="40" t="s">
        <v>329</v>
      </c>
      <c r="G939" s="40" t="s">
        <v>333</v>
      </c>
      <c r="H939" s="40" t="s">
        <v>672</v>
      </c>
      <c r="I939" s="360" t="e">
        <f>VLOOKUP(Таблица18[[#This Row],[Номер акта]],$AB$1:$AF$1833,3,FALSE)</f>
        <v>#N/A</v>
      </c>
      <c r="J939" s="40" t="s">
        <v>21</v>
      </c>
      <c r="K939" s="40" t="s">
        <v>82</v>
      </c>
      <c r="L939" s="121">
        <v>28770</v>
      </c>
      <c r="M939" s="121">
        <v>14930</v>
      </c>
      <c r="N939" s="121">
        <v>16.5</v>
      </c>
      <c r="O939" s="363">
        <v>13840</v>
      </c>
      <c r="P939" s="363">
        <v>11556.4</v>
      </c>
      <c r="Q939" s="121">
        <v>2025</v>
      </c>
      <c r="R939" s="121"/>
      <c r="S939" s="148">
        <v>45814</v>
      </c>
      <c r="T939" s="363">
        <f>Таблица18[[#This Row],[Вес нетто]]-Таблица18[[#This Row],[Зачетный вес]]</f>
        <v>2283.6000000000004</v>
      </c>
      <c r="U939" s="365">
        <f>Таблица18[[#This Row],[Отход]]/Таблица18[[#This Row],[Вес нетто]]</f>
        <v>0.16500000000000004</v>
      </c>
      <c r="V939" s="121">
        <f>MONTH(Таблица18[[#This Row],[Дата акта]])</f>
        <v>6</v>
      </c>
      <c r="W939" s="121">
        <v>6</v>
      </c>
      <c r="X939" s="148">
        <f>DATE(1900,Таблица18[[#This Row],[Месяц]],Таблица18[[#This Row],[Число]])</f>
        <v>158</v>
      </c>
      <c r="Y939" s="121"/>
      <c r="Z939" s="121" t="str">
        <f>Таблица18[[#This Row],[Хар-ка]]</f>
        <v>высший</v>
      </c>
      <c r="AD939" s="459"/>
      <c r="AE939" s="391"/>
    </row>
    <row r="940" spans="1:31" s="325" customFormat="1" ht="15.6" hidden="1" customHeight="1" x14ac:dyDescent="0.2">
      <c r="A940" s="40" t="s">
        <v>749</v>
      </c>
      <c r="B940" s="360" t="s">
        <v>511</v>
      </c>
      <c r="C940" s="40">
        <v>268</v>
      </c>
      <c r="D940" s="40">
        <v>130766</v>
      </c>
      <c r="E940" s="40" t="s">
        <v>105</v>
      </c>
      <c r="F940" s="40" t="s">
        <v>166</v>
      </c>
      <c r="G940" s="40" t="s">
        <v>170</v>
      </c>
      <c r="H940" s="40" t="s">
        <v>672</v>
      </c>
      <c r="I940" s="360" t="e">
        <f>VLOOKUP(Таблица18[[#This Row],[Номер акта]],$AB$1:$AF$1833,3,FALSE)</f>
        <v>#N/A</v>
      </c>
      <c r="J940" s="40" t="s">
        <v>21</v>
      </c>
      <c r="K940" s="40" t="s">
        <v>82</v>
      </c>
      <c r="L940" s="121">
        <v>28260</v>
      </c>
      <c r="M940" s="121">
        <v>14630</v>
      </c>
      <c r="N940" s="121">
        <v>17.5</v>
      </c>
      <c r="O940" s="363">
        <v>13630</v>
      </c>
      <c r="P940" s="363">
        <v>11244.7</v>
      </c>
      <c r="Q940" s="121">
        <v>2025</v>
      </c>
      <c r="R940" s="121"/>
      <c r="S940" s="148">
        <v>45814</v>
      </c>
      <c r="T940" s="363">
        <f>Таблица18[[#This Row],[Вес нетто]]-Таблица18[[#This Row],[Зачетный вес]]</f>
        <v>2385.2999999999993</v>
      </c>
      <c r="U940" s="365">
        <f>Таблица18[[#This Row],[Отход]]/Таблица18[[#This Row],[Вес нетто]]</f>
        <v>0.17500366837857662</v>
      </c>
      <c r="V940" s="121">
        <f>MONTH(Таблица18[[#This Row],[Дата акта]])</f>
        <v>6</v>
      </c>
      <c r="W940" s="121">
        <v>6</v>
      </c>
      <c r="X940" s="148">
        <f>DATE(1900,Таблица18[[#This Row],[Месяц]],Таблица18[[#This Row],[Число]])</f>
        <v>158</v>
      </c>
      <c r="Y940" s="121"/>
      <c r="Z940" s="121" t="str">
        <f>Таблица18[[#This Row],[Хар-ка]]</f>
        <v>высший</v>
      </c>
      <c r="AD940" s="459"/>
      <c r="AE940" s="391"/>
    </row>
    <row r="941" spans="1:31" s="325" customFormat="1" ht="15.6" hidden="1" customHeight="1" x14ac:dyDescent="0.2">
      <c r="A941" s="40" t="s">
        <v>750</v>
      </c>
      <c r="B941" s="360" t="s">
        <v>511</v>
      </c>
      <c r="C941" s="40">
        <v>271</v>
      </c>
      <c r="D941" s="40">
        <v>130768</v>
      </c>
      <c r="E941" s="40" t="s">
        <v>105</v>
      </c>
      <c r="F941" s="40" t="s">
        <v>111</v>
      </c>
      <c r="G941" s="40" t="s">
        <v>114</v>
      </c>
      <c r="H941" s="40" t="s">
        <v>672</v>
      </c>
      <c r="I941" s="360" t="e">
        <f>VLOOKUP(Таблица18[[#This Row],[Номер акта]],$AB$1:$AF$1833,3,FALSE)</f>
        <v>#N/A</v>
      </c>
      <c r="J941" s="40" t="s">
        <v>21</v>
      </c>
      <c r="K941" s="40" t="s">
        <v>82</v>
      </c>
      <c r="L941" s="121">
        <v>29270</v>
      </c>
      <c r="M941" s="121">
        <v>15360</v>
      </c>
      <c r="N941" s="121">
        <v>18.5</v>
      </c>
      <c r="O941" s="363">
        <v>13910</v>
      </c>
      <c r="P941" s="363">
        <v>11336.6</v>
      </c>
      <c r="Q941" s="121">
        <v>2025</v>
      </c>
      <c r="R941" s="121"/>
      <c r="S941" s="148">
        <v>45814</v>
      </c>
      <c r="T941" s="363">
        <f>Таблица18[[#This Row],[Вес нетто]]-Таблица18[[#This Row],[Зачетный вес]]</f>
        <v>2573.3999999999996</v>
      </c>
      <c r="U941" s="365">
        <f>Таблица18[[#This Row],[Отход]]/Таблица18[[#This Row],[Вес нетто]]</f>
        <v>0.1850035945363048</v>
      </c>
      <c r="V941" s="121">
        <f>MONTH(Таблица18[[#This Row],[Дата акта]])</f>
        <v>6</v>
      </c>
      <c r="W941" s="121">
        <v>6</v>
      </c>
      <c r="X941" s="148">
        <f>DATE(1900,Таблица18[[#This Row],[Месяц]],Таблица18[[#This Row],[Число]])</f>
        <v>158</v>
      </c>
      <c r="Y941" s="121"/>
      <c r="Z941" s="121" t="str">
        <f>Таблица18[[#This Row],[Хар-ка]]</f>
        <v>высший</v>
      </c>
      <c r="AD941" s="459"/>
      <c r="AE941" s="391"/>
    </row>
    <row r="942" spans="1:31" s="325" customFormat="1" ht="15.6" hidden="1" customHeight="1" x14ac:dyDescent="0.2">
      <c r="A942" s="40" t="s">
        <v>751</v>
      </c>
      <c r="B942" s="360" t="s">
        <v>511</v>
      </c>
      <c r="C942" s="40">
        <v>272</v>
      </c>
      <c r="D942" s="40">
        <v>130770</v>
      </c>
      <c r="E942" s="40" t="s">
        <v>105</v>
      </c>
      <c r="F942" s="40" t="s">
        <v>311</v>
      </c>
      <c r="G942" s="40" t="s">
        <v>315</v>
      </c>
      <c r="H942" s="40" t="s">
        <v>672</v>
      </c>
      <c r="I942" s="360" t="e">
        <f>VLOOKUP(Таблица18[[#This Row],[Номер акта]],$AB$1:$AF$1833,3,FALSE)</f>
        <v>#N/A</v>
      </c>
      <c r="J942" s="40" t="s">
        <v>21</v>
      </c>
      <c r="K942" s="40" t="s">
        <v>82</v>
      </c>
      <c r="L942" s="121">
        <v>28690</v>
      </c>
      <c r="M942" s="121">
        <v>14960</v>
      </c>
      <c r="N942" s="121">
        <v>17.5</v>
      </c>
      <c r="O942" s="363">
        <v>13730</v>
      </c>
      <c r="P942" s="363">
        <v>11327.2</v>
      </c>
      <c r="Q942" s="121">
        <v>2025</v>
      </c>
      <c r="R942" s="121"/>
      <c r="S942" s="148">
        <v>45814</v>
      </c>
      <c r="T942" s="363">
        <f>Таблица18[[#This Row],[Вес нетто]]-Таблица18[[#This Row],[Зачетный вес]]</f>
        <v>2402.7999999999993</v>
      </c>
      <c r="U942" s="365">
        <f>Таблица18[[#This Row],[Отход]]/Таблица18[[#This Row],[Вес нетто]]</f>
        <v>0.17500364166059718</v>
      </c>
      <c r="V942" s="121">
        <f>MONTH(Таблица18[[#This Row],[Дата акта]])</f>
        <v>6</v>
      </c>
      <c r="W942" s="121">
        <v>6</v>
      </c>
      <c r="X942" s="148">
        <f>DATE(1900,Таблица18[[#This Row],[Месяц]],Таблица18[[#This Row],[Число]])</f>
        <v>158</v>
      </c>
      <c r="Y942" s="121"/>
      <c r="Z942" s="121" t="str">
        <f>Таблица18[[#This Row],[Хар-ка]]</f>
        <v>высший</v>
      </c>
      <c r="AD942" s="459"/>
      <c r="AE942" s="391"/>
    </row>
    <row r="943" spans="1:31" s="325" customFormat="1" ht="15.6" hidden="1" customHeight="1" x14ac:dyDescent="0.2">
      <c r="A943" s="40" t="s">
        <v>752</v>
      </c>
      <c r="B943" s="360" t="s">
        <v>511</v>
      </c>
      <c r="C943" s="40">
        <v>274</v>
      </c>
      <c r="D943" s="40">
        <v>130771</v>
      </c>
      <c r="E943" s="40" t="s">
        <v>105</v>
      </c>
      <c r="F943" s="40" t="s">
        <v>347</v>
      </c>
      <c r="G943" s="40" t="s">
        <v>351</v>
      </c>
      <c r="H943" s="40" t="s">
        <v>672</v>
      </c>
      <c r="I943" s="360" t="e">
        <f>VLOOKUP(Таблица18[[#This Row],[Номер акта]],$AB$1:$AF$1833,3,FALSE)</f>
        <v>#N/A</v>
      </c>
      <c r="J943" s="40" t="s">
        <v>21</v>
      </c>
      <c r="K943" s="40" t="s">
        <v>82</v>
      </c>
      <c r="L943" s="121">
        <v>32400</v>
      </c>
      <c r="M943" s="121">
        <v>18720</v>
      </c>
      <c r="N943" s="121">
        <v>18.5</v>
      </c>
      <c r="O943" s="363">
        <v>13680</v>
      </c>
      <c r="P943" s="363">
        <v>11149.2</v>
      </c>
      <c r="Q943" s="121">
        <v>2025</v>
      </c>
      <c r="R943" s="121"/>
      <c r="S943" s="148">
        <v>45815</v>
      </c>
      <c r="T943" s="363">
        <f>Таблица18[[#This Row],[Вес нетто]]-Таблица18[[#This Row],[Зачетный вес]]</f>
        <v>2530.7999999999993</v>
      </c>
      <c r="U943" s="365">
        <f>Таблица18[[#This Row],[Отход]]/Таблица18[[#This Row],[Вес нетто]]</f>
        <v>0.18499999999999994</v>
      </c>
      <c r="V943" s="121">
        <f>MONTH(Таблица18[[#This Row],[Дата акта]])</f>
        <v>6</v>
      </c>
      <c r="W943" s="121">
        <v>7</v>
      </c>
      <c r="X943" s="148">
        <f>DATE(1900,Таблица18[[#This Row],[Месяц]],Таблица18[[#This Row],[Число]])</f>
        <v>159</v>
      </c>
      <c r="Y943" s="121"/>
      <c r="Z943" s="121" t="str">
        <f>Таблица18[[#This Row],[Хар-ка]]</f>
        <v>высший</v>
      </c>
      <c r="AD943" s="459"/>
      <c r="AE943" s="391"/>
    </row>
    <row r="944" spans="1:31" s="325" customFormat="1" ht="15.6" hidden="1" customHeight="1" x14ac:dyDescent="0.2">
      <c r="A944" s="40" t="s">
        <v>753</v>
      </c>
      <c r="B944" s="360" t="s">
        <v>511</v>
      </c>
      <c r="C944" s="40">
        <v>275</v>
      </c>
      <c r="D944" s="40">
        <v>59</v>
      </c>
      <c r="E944" s="40" t="s">
        <v>78</v>
      </c>
      <c r="F944" s="40" t="s">
        <v>127</v>
      </c>
      <c r="G944" s="40" t="s">
        <v>131</v>
      </c>
      <c r="H944" s="40" t="s">
        <v>754</v>
      </c>
      <c r="I944" s="360" t="e">
        <f>VLOOKUP(Таблица18[[#This Row],[Номер акта]],$AB$1:$AF$1833,3,FALSE)</f>
        <v>#N/A</v>
      </c>
      <c r="J944" s="40" t="s">
        <v>21</v>
      </c>
      <c r="K944" s="40" t="s">
        <v>82</v>
      </c>
      <c r="L944" s="121">
        <v>28010</v>
      </c>
      <c r="M944" s="121">
        <v>14400</v>
      </c>
      <c r="N944" s="121">
        <v>13.5</v>
      </c>
      <c r="O944" s="363">
        <v>13610</v>
      </c>
      <c r="P944" s="363">
        <v>11772.6</v>
      </c>
      <c r="Q944" s="121">
        <v>2025</v>
      </c>
      <c r="R944" s="121"/>
      <c r="S944" s="148">
        <v>45815</v>
      </c>
      <c r="T944" s="363">
        <f>Таблица18[[#This Row],[Вес нетто]]-Таблица18[[#This Row],[Зачетный вес]]</f>
        <v>1837.3999999999996</v>
      </c>
      <c r="U944" s="365">
        <f>Таблица18[[#This Row],[Отход]]/Таблица18[[#This Row],[Вес нетто]]</f>
        <v>0.13500367376928726</v>
      </c>
      <c r="V944" s="121">
        <f>MONTH(Таблица18[[#This Row],[Дата акта]])</f>
        <v>6</v>
      </c>
      <c r="W944" s="121">
        <v>7</v>
      </c>
      <c r="X944" s="148">
        <f>DATE(1900,Таблица18[[#This Row],[Месяц]],Таблица18[[#This Row],[Число]])</f>
        <v>159</v>
      </c>
      <c r="Y944" s="121"/>
      <c r="Z944" s="121" t="str">
        <f>Таблица18[[#This Row],[Хар-ка]]</f>
        <v>высший</v>
      </c>
      <c r="AD944" s="459"/>
      <c r="AE944" s="391"/>
    </row>
    <row r="945" spans="1:31" s="325" customFormat="1" ht="15.6" hidden="1" customHeight="1" x14ac:dyDescent="0.2">
      <c r="A945" s="40" t="s">
        <v>755</v>
      </c>
      <c r="B945" s="360" t="s">
        <v>511</v>
      </c>
      <c r="C945" s="40">
        <v>276</v>
      </c>
      <c r="D945" s="40">
        <v>60</v>
      </c>
      <c r="E945" s="40" t="s">
        <v>726</v>
      </c>
      <c r="F945" s="40" t="s">
        <v>737</v>
      </c>
      <c r="G945" s="40" t="s">
        <v>738</v>
      </c>
      <c r="H945" s="40" t="s">
        <v>754</v>
      </c>
      <c r="I945" s="360" t="e">
        <f>VLOOKUP(Таблица18[[#This Row],[Номер акта]],$AB$1:$AF$1833,3,FALSE)</f>
        <v>#N/A</v>
      </c>
      <c r="J945" s="40" t="s">
        <v>21</v>
      </c>
      <c r="K945" s="40" t="s">
        <v>82</v>
      </c>
      <c r="L945" s="121">
        <v>9050</v>
      </c>
      <c r="M945" s="121">
        <v>4580</v>
      </c>
      <c r="N945" s="121">
        <v>11.5</v>
      </c>
      <c r="O945" s="363">
        <v>4470</v>
      </c>
      <c r="P945" s="363">
        <v>3955.9</v>
      </c>
      <c r="Q945" s="121">
        <v>2025</v>
      </c>
      <c r="R945" s="121"/>
      <c r="S945" s="148">
        <v>45815</v>
      </c>
      <c r="T945" s="363">
        <f>Таблица18[[#This Row],[Вес нетто]]-Таблица18[[#This Row],[Зачетный вес]]</f>
        <v>514.09999999999991</v>
      </c>
      <c r="U945" s="365">
        <f>Таблица18[[#This Row],[Отход]]/Таблица18[[#This Row],[Вес нетто]]</f>
        <v>0.1150111856823266</v>
      </c>
      <c r="V945" s="121">
        <f>MONTH(Таблица18[[#This Row],[Дата акта]])</f>
        <v>6</v>
      </c>
      <c r="W945" s="121">
        <v>7</v>
      </c>
      <c r="X945" s="148">
        <f>DATE(1900,Таблица18[[#This Row],[Месяц]],Таблица18[[#This Row],[Число]])</f>
        <v>159</v>
      </c>
      <c r="Y945" s="121"/>
      <c r="Z945" s="121" t="str">
        <f>Таблица18[[#This Row],[Хар-ка]]</f>
        <v>высший</v>
      </c>
      <c r="AD945" s="459"/>
      <c r="AE945" s="391"/>
    </row>
    <row r="946" spans="1:31" s="325" customFormat="1" ht="15.6" hidden="1" customHeight="1" x14ac:dyDescent="0.2">
      <c r="A946" s="40" t="s">
        <v>756</v>
      </c>
      <c r="B946" s="360" t="s">
        <v>511</v>
      </c>
      <c r="C946" s="40">
        <v>277</v>
      </c>
      <c r="D946" s="40">
        <v>130775</v>
      </c>
      <c r="E946" s="40" t="s">
        <v>105</v>
      </c>
      <c r="F946" s="40" t="s">
        <v>335</v>
      </c>
      <c r="G946" s="40" t="s">
        <v>339</v>
      </c>
      <c r="H946" s="40" t="s">
        <v>672</v>
      </c>
      <c r="I946" s="360" t="e">
        <f>VLOOKUP(Таблица18[[#This Row],[Номер акта]],$AB$1:$AF$1833,3,FALSE)</f>
        <v>#N/A</v>
      </c>
      <c r="J946" s="40" t="s">
        <v>21</v>
      </c>
      <c r="K946" s="40" t="s">
        <v>82</v>
      </c>
      <c r="L946" s="121">
        <v>28430</v>
      </c>
      <c r="M946" s="121">
        <v>14730</v>
      </c>
      <c r="N946" s="121">
        <v>18.5</v>
      </c>
      <c r="O946" s="363">
        <v>13700</v>
      </c>
      <c r="P946" s="363">
        <v>11165.5</v>
      </c>
      <c r="Q946" s="121">
        <v>2025</v>
      </c>
      <c r="R946" s="121"/>
      <c r="S946" s="148">
        <v>45815</v>
      </c>
      <c r="T946" s="363">
        <f>Таблица18[[#This Row],[Вес нетто]]-Таблица18[[#This Row],[Зачетный вес]]</f>
        <v>2534.5</v>
      </c>
      <c r="U946" s="365">
        <f>Таблица18[[#This Row],[Отход]]/Таблица18[[#This Row],[Вес нетто]]</f>
        <v>0.185</v>
      </c>
      <c r="V946" s="121">
        <f>MONTH(Таблица18[[#This Row],[Дата акта]])</f>
        <v>6</v>
      </c>
      <c r="W946" s="121">
        <v>7</v>
      </c>
      <c r="X946" s="148">
        <f>DATE(1900,Таблица18[[#This Row],[Месяц]],Таблица18[[#This Row],[Число]])</f>
        <v>159</v>
      </c>
      <c r="Y946" s="121"/>
      <c r="Z946" s="121" t="str">
        <f>Таблица18[[#This Row],[Хар-ка]]</f>
        <v>высший</v>
      </c>
      <c r="AD946" s="459"/>
      <c r="AE946" s="391"/>
    </row>
    <row r="947" spans="1:31" s="325" customFormat="1" ht="15.6" hidden="1" customHeight="1" x14ac:dyDescent="0.2">
      <c r="A947" s="40" t="s">
        <v>757</v>
      </c>
      <c r="B947" s="360" t="s">
        <v>511</v>
      </c>
      <c r="C947" s="40">
        <v>278</v>
      </c>
      <c r="D947" s="40">
        <v>130773</v>
      </c>
      <c r="E947" s="40" t="s">
        <v>105</v>
      </c>
      <c r="F947" s="40" t="s">
        <v>305</v>
      </c>
      <c r="G947" s="40" t="s">
        <v>309</v>
      </c>
      <c r="H947" s="40" t="s">
        <v>672</v>
      </c>
      <c r="I947" s="360" t="e">
        <f>VLOOKUP(Таблица18[[#This Row],[Номер акта]],$AB$1:$AF$1833,3,FALSE)</f>
        <v>#N/A</v>
      </c>
      <c r="J947" s="40" t="s">
        <v>21</v>
      </c>
      <c r="K947" s="40" t="s">
        <v>82</v>
      </c>
      <c r="L947" s="121">
        <v>28030</v>
      </c>
      <c r="M947" s="121">
        <v>14280</v>
      </c>
      <c r="N947" s="121">
        <v>11.5</v>
      </c>
      <c r="O947" s="363">
        <v>13750</v>
      </c>
      <c r="P947" s="363">
        <v>12168.7</v>
      </c>
      <c r="Q947" s="121">
        <v>2025</v>
      </c>
      <c r="R947" s="121"/>
      <c r="S947" s="148">
        <v>45815</v>
      </c>
      <c r="T947" s="363">
        <f>Таблица18[[#This Row],[Вес нетто]]-Таблица18[[#This Row],[Зачетный вес]]</f>
        <v>1581.2999999999993</v>
      </c>
      <c r="U947" s="365">
        <f>Таблица18[[#This Row],[Отход]]/Таблица18[[#This Row],[Вес нетто]]</f>
        <v>0.11500363636363631</v>
      </c>
      <c r="V947" s="121">
        <f>MONTH(Таблица18[[#This Row],[Дата акта]])</f>
        <v>6</v>
      </c>
      <c r="W947" s="121">
        <v>7</v>
      </c>
      <c r="X947" s="148">
        <f>DATE(1900,Таблица18[[#This Row],[Месяц]],Таблица18[[#This Row],[Число]])</f>
        <v>159</v>
      </c>
      <c r="Y947" s="121"/>
      <c r="Z947" s="121" t="str">
        <f>Таблица18[[#This Row],[Хар-ка]]</f>
        <v>высший</v>
      </c>
      <c r="AD947" s="459"/>
      <c r="AE947" s="391"/>
    </row>
    <row r="948" spans="1:31" s="325" customFormat="1" ht="15.6" hidden="1" customHeight="1" x14ac:dyDescent="0.2">
      <c r="A948" s="40" t="s">
        <v>758</v>
      </c>
      <c r="B948" s="360" t="s">
        <v>511</v>
      </c>
      <c r="C948" s="40">
        <v>279</v>
      </c>
      <c r="D948" s="40">
        <v>130774</v>
      </c>
      <c r="E948" s="40" t="s">
        <v>105</v>
      </c>
      <c r="F948" s="40" t="s">
        <v>195</v>
      </c>
      <c r="G948" s="40" t="s">
        <v>199</v>
      </c>
      <c r="H948" s="40" t="s">
        <v>672</v>
      </c>
      <c r="I948" s="360" t="e">
        <f>VLOOKUP(Таблица18[[#This Row],[Номер акта]],$AB$1:$AF$1833,3,FALSE)</f>
        <v>#N/A</v>
      </c>
      <c r="J948" s="40" t="s">
        <v>21</v>
      </c>
      <c r="K948" s="40" t="s">
        <v>82</v>
      </c>
      <c r="L948" s="121">
        <v>28730</v>
      </c>
      <c r="M948" s="121">
        <v>15080</v>
      </c>
      <c r="N948" s="121">
        <v>16.5</v>
      </c>
      <c r="O948" s="363">
        <v>13650</v>
      </c>
      <c r="P948" s="363">
        <v>11397.7</v>
      </c>
      <c r="Q948" s="121">
        <v>2025</v>
      </c>
      <c r="R948" s="121"/>
      <c r="S948" s="148">
        <v>45815</v>
      </c>
      <c r="T948" s="363">
        <f>Таблица18[[#This Row],[Вес нетто]]-Таблица18[[#This Row],[Зачетный вес]]</f>
        <v>2252.2999999999993</v>
      </c>
      <c r="U948" s="365">
        <f>Таблица18[[#This Row],[Отход]]/Таблица18[[#This Row],[Вес нетто]]</f>
        <v>0.16500366300366295</v>
      </c>
      <c r="V948" s="121">
        <f>MONTH(Таблица18[[#This Row],[Дата акта]])</f>
        <v>6</v>
      </c>
      <c r="W948" s="121">
        <v>7</v>
      </c>
      <c r="X948" s="148">
        <f>DATE(1900,Таблица18[[#This Row],[Месяц]],Таблица18[[#This Row],[Число]])</f>
        <v>159</v>
      </c>
      <c r="Y948" s="121"/>
      <c r="Z948" s="121" t="str">
        <f>Таблица18[[#This Row],[Хар-ка]]</f>
        <v>высший</v>
      </c>
      <c r="AD948" s="459"/>
      <c r="AE948" s="391"/>
    </row>
    <row r="949" spans="1:31" s="325" customFormat="1" ht="15.6" hidden="1" customHeight="1" x14ac:dyDescent="0.2">
      <c r="A949" s="40" t="s">
        <v>759</v>
      </c>
      <c r="B949" s="360" t="s">
        <v>511</v>
      </c>
      <c r="C949" s="40">
        <v>281</v>
      </c>
      <c r="D949" s="40">
        <v>83501</v>
      </c>
      <c r="E949" s="40" t="s">
        <v>105</v>
      </c>
      <c r="F949" s="40" t="s">
        <v>160</v>
      </c>
      <c r="G949" s="40" t="s">
        <v>164</v>
      </c>
      <c r="H949" s="40" t="s">
        <v>672</v>
      </c>
      <c r="I949" s="360" t="e">
        <f>VLOOKUP(Таблица18[[#This Row],[Номер акта]],$AB$1:$AF$1833,3,FALSE)</f>
        <v>#N/A</v>
      </c>
      <c r="J949" s="40" t="s">
        <v>21</v>
      </c>
      <c r="K949" s="40" t="s">
        <v>82</v>
      </c>
      <c r="L949" s="121">
        <v>37850</v>
      </c>
      <c r="M949" s="121">
        <v>23900</v>
      </c>
      <c r="N949" s="121">
        <v>19.5</v>
      </c>
      <c r="O949" s="363">
        <v>13950</v>
      </c>
      <c r="P949" s="363">
        <v>11229.7</v>
      </c>
      <c r="Q949" s="121">
        <v>2025</v>
      </c>
      <c r="R949" s="121"/>
      <c r="S949" s="148">
        <v>45815</v>
      </c>
      <c r="T949" s="363">
        <f>Таблица18[[#This Row],[Вес нетто]]-Таблица18[[#This Row],[Зачетный вес]]</f>
        <v>2720.2999999999993</v>
      </c>
      <c r="U949" s="365">
        <f>Таблица18[[#This Row],[Отход]]/Таблица18[[#This Row],[Вес нетто]]</f>
        <v>0.19500358422939063</v>
      </c>
      <c r="V949" s="121">
        <f>MONTH(Таблица18[[#This Row],[Дата акта]])</f>
        <v>6</v>
      </c>
      <c r="W949" s="121">
        <v>7</v>
      </c>
      <c r="X949" s="148">
        <f>DATE(1900,Таблица18[[#This Row],[Месяц]],Таблица18[[#This Row],[Число]])</f>
        <v>159</v>
      </c>
      <c r="Y949" s="121"/>
      <c r="Z949" s="121" t="str">
        <f>Таблица18[[#This Row],[Хар-ка]]</f>
        <v>высший</v>
      </c>
      <c r="AD949" s="459"/>
      <c r="AE949" s="391"/>
    </row>
    <row r="950" spans="1:31" s="325" customFormat="1" ht="15.6" hidden="1" customHeight="1" x14ac:dyDescent="0.2">
      <c r="A950" s="40" t="s">
        <v>760</v>
      </c>
      <c r="B950" s="360" t="s">
        <v>511</v>
      </c>
      <c r="C950" s="40">
        <v>285</v>
      </c>
      <c r="D950" s="40">
        <v>65</v>
      </c>
      <c r="E950" s="40" t="s">
        <v>78</v>
      </c>
      <c r="F950" s="40" t="s">
        <v>79</v>
      </c>
      <c r="G950" s="40" t="s">
        <v>80</v>
      </c>
      <c r="H950" s="40" t="s">
        <v>754</v>
      </c>
      <c r="I950" s="360" t="e">
        <f>VLOOKUP(Таблица18[[#This Row],[Номер акта]],$AB$1:$AF$1833,3,FALSE)</f>
        <v>#N/A</v>
      </c>
      <c r="J950" s="40" t="s">
        <v>21</v>
      </c>
      <c r="K950" s="40" t="s">
        <v>82</v>
      </c>
      <c r="L950" s="121">
        <v>23240</v>
      </c>
      <c r="M950" s="121">
        <v>14120</v>
      </c>
      <c r="N950" s="121">
        <v>11</v>
      </c>
      <c r="O950" s="363">
        <v>9120</v>
      </c>
      <c r="P950" s="363">
        <v>8116.8</v>
      </c>
      <c r="Q950" s="121">
        <v>2025</v>
      </c>
      <c r="R950" s="121"/>
      <c r="S950" s="148">
        <v>45815</v>
      </c>
      <c r="T950" s="363">
        <f>Таблица18[[#This Row],[Вес нетто]]-Таблица18[[#This Row],[Зачетный вес]]</f>
        <v>1003.1999999999998</v>
      </c>
      <c r="U950" s="365">
        <f>Таблица18[[#This Row],[Отход]]/Таблица18[[#This Row],[Вес нетто]]</f>
        <v>0.10999999999999999</v>
      </c>
      <c r="V950" s="121">
        <f>MONTH(Таблица18[[#This Row],[Дата акта]])</f>
        <v>6</v>
      </c>
      <c r="W950" s="121">
        <v>7</v>
      </c>
      <c r="X950" s="148">
        <f>DATE(1900,Таблица18[[#This Row],[Месяц]],Таблица18[[#This Row],[Число]])</f>
        <v>159</v>
      </c>
      <c r="Y950" s="121"/>
      <c r="Z950" s="121" t="str">
        <f>Таблица18[[#This Row],[Хар-ка]]</f>
        <v>высший</v>
      </c>
      <c r="AD950" s="459"/>
      <c r="AE950" s="391"/>
    </row>
    <row r="951" spans="1:31" s="325" customFormat="1" ht="15.6" hidden="1" customHeight="1" x14ac:dyDescent="0.2">
      <c r="A951" s="40" t="s">
        <v>761</v>
      </c>
      <c r="B951" s="360" t="s">
        <v>511</v>
      </c>
      <c r="C951" s="40">
        <v>286</v>
      </c>
      <c r="D951" s="40">
        <v>66</v>
      </c>
      <c r="E951" s="40" t="s">
        <v>78</v>
      </c>
      <c r="F951" s="40" t="s">
        <v>762</v>
      </c>
      <c r="G951" s="40" t="s">
        <v>763</v>
      </c>
      <c r="H951" s="40" t="s">
        <v>754</v>
      </c>
      <c r="I951" s="360" t="e">
        <f>VLOOKUP(Таблица18[[#This Row],[Номер акта]],$AB$1:$AF$1833,3,FALSE)</f>
        <v>#N/A</v>
      </c>
      <c r="J951" s="40" t="s">
        <v>21</v>
      </c>
      <c r="K951" s="40" t="s">
        <v>82</v>
      </c>
      <c r="L951" s="121">
        <v>8900</v>
      </c>
      <c r="M951" s="121">
        <v>4630</v>
      </c>
      <c r="N951" s="121">
        <v>8.5</v>
      </c>
      <c r="O951" s="363">
        <v>4270</v>
      </c>
      <c r="P951" s="363">
        <v>3907</v>
      </c>
      <c r="Q951" s="121">
        <v>2025</v>
      </c>
      <c r="R951" s="121"/>
      <c r="S951" s="148">
        <v>45815</v>
      </c>
      <c r="T951" s="363">
        <f>Таблица18[[#This Row],[Вес нетто]]-Таблица18[[#This Row],[Зачетный вес]]</f>
        <v>363</v>
      </c>
      <c r="U951" s="365">
        <f>Таблица18[[#This Row],[Отход]]/Таблица18[[#This Row],[Вес нетто]]</f>
        <v>8.5011709601873542E-2</v>
      </c>
      <c r="V951" s="121">
        <f>MONTH(Таблица18[[#This Row],[Дата акта]])</f>
        <v>6</v>
      </c>
      <c r="W951" s="121">
        <v>7</v>
      </c>
      <c r="X951" s="148">
        <f>DATE(1900,Таблица18[[#This Row],[Месяц]],Таблица18[[#This Row],[Число]])</f>
        <v>159</v>
      </c>
      <c r="Y951" s="121"/>
      <c r="Z951" s="121" t="str">
        <f>Таблица18[[#This Row],[Хар-ка]]</f>
        <v>высший</v>
      </c>
      <c r="AD951" s="459"/>
      <c r="AE951" s="391"/>
    </row>
    <row r="952" spans="1:31" s="325" customFormat="1" ht="15.6" hidden="1" customHeight="1" x14ac:dyDescent="0.2">
      <c r="A952" s="40" t="s">
        <v>764</v>
      </c>
      <c r="B952" s="360" t="s">
        <v>511</v>
      </c>
      <c r="C952" s="40">
        <v>288</v>
      </c>
      <c r="D952" s="40">
        <v>67</v>
      </c>
      <c r="E952" s="40" t="s">
        <v>78</v>
      </c>
      <c r="F952" s="40" t="s">
        <v>1312</v>
      </c>
      <c r="G952" s="40" t="s">
        <v>320</v>
      </c>
      <c r="H952" s="40" t="s">
        <v>754</v>
      </c>
      <c r="I952" s="360" t="e">
        <f>VLOOKUP(Таблица18[[#This Row],[Номер акта]],$AB$1:$AF$1833,3,FALSE)</f>
        <v>#N/A</v>
      </c>
      <c r="J952" s="40" t="s">
        <v>21</v>
      </c>
      <c r="K952" s="40" t="s">
        <v>82</v>
      </c>
      <c r="L952" s="121">
        <v>27260</v>
      </c>
      <c r="M952" s="121">
        <v>14480</v>
      </c>
      <c r="N952" s="121">
        <v>16</v>
      </c>
      <c r="O952" s="363">
        <v>12780</v>
      </c>
      <c r="P952" s="363">
        <v>10735.2</v>
      </c>
      <c r="Q952" s="121">
        <v>2025</v>
      </c>
      <c r="R952" s="121"/>
      <c r="S952" s="148">
        <v>45815</v>
      </c>
      <c r="T952" s="363">
        <f>Таблица18[[#This Row],[Вес нетто]]-Таблица18[[#This Row],[Зачетный вес]]</f>
        <v>2044.7999999999993</v>
      </c>
      <c r="U952" s="365">
        <f>Таблица18[[#This Row],[Отход]]/Таблица18[[#This Row],[Вес нетто]]</f>
        <v>0.15999999999999995</v>
      </c>
      <c r="V952" s="121">
        <f>MONTH(Таблица18[[#This Row],[Дата акта]])</f>
        <v>6</v>
      </c>
      <c r="W952" s="121">
        <v>7</v>
      </c>
      <c r="X952" s="148">
        <f>DATE(1900,Таблица18[[#This Row],[Месяц]],Таблица18[[#This Row],[Число]])</f>
        <v>159</v>
      </c>
      <c r="Y952" s="121"/>
      <c r="Z952" s="121" t="str">
        <f>Таблица18[[#This Row],[Хар-ка]]</f>
        <v>высший</v>
      </c>
      <c r="AD952" s="459"/>
      <c r="AE952" s="391"/>
    </row>
    <row r="953" spans="1:31" s="325" customFormat="1" ht="15.6" hidden="1" customHeight="1" x14ac:dyDescent="0.2">
      <c r="A953" s="40" t="s">
        <v>765</v>
      </c>
      <c r="B953" s="360" t="s">
        <v>511</v>
      </c>
      <c r="C953" s="40">
        <v>289</v>
      </c>
      <c r="D953" s="40">
        <v>68</v>
      </c>
      <c r="E953" s="40" t="s">
        <v>78</v>
      </c>
      <c r="F953" s="40" t="s">
        <v>329</v>
      </c>
      <c r="G953" s="40" t="s">
        <v>333</v>
      </c>
      <c r="H953" s="40" t="s">
        <v>754</v>
      </c>
      <c r="I953" s="360" t="e">
        <f>VLOOKUP(Таблица18[[#This Row],[Номер акта]],$AB$1:$AF$1833,3,FALSE)</f>
        <v>#N/A</v>
      </c>
      <c r="J953" s="40" t="s">
        <v>21</v>
      </c>
      <c r="K953" s="40" t="s">
        <v>82</v>
      </c>
      <c r="L953" s="121">
        <v>24210</v>
      </c>
      <c r="M953" s="121">
        <v>14880</v>
      </c>
      <c r="N953" s="121">
        <v>15</v>
      </c>
      <c r="O953" s="363">
        <v>9330</v>
      </c>
      <c r="P953" s="363">
        <v>7930.5</v>
      </c>
      <c r="Q953" s="121">
        <v>2025</v>
      </c>
      <c r="R953" s="121"/>
      <c r="S953" s="148">
        <v>45815</v>
      </c>
      <c r="T953" s="363">
        <f>Таблица18[[#This Row],[Вес нетто]]-Таблица18[[#This Row],[Зачетный вес]]</f>
        <v>1399.5</v>
      </c>
      <c r="U953" s="365">
        <f>Таблица18[[#This Row],[Отход]]/Таблица18[[#This Row],[Вес нетто]]</f>
        <v>0.15</v>
      </c>
      <c r="V953" s="121">
        <f>MONTH(Таблица18[[#This Row],[Дата акта]])</f>
        <v>6</v>
      </c>
      <c r="W953" s="121">
        <v>7</v>
      </c>
      <c r="X953" s="148">
        <f>DATE(1900,Таблица18[[#This Row],[Месяц]],Таблица18[[#This Row],[Число]])</f>
        <v>159</v>
      </c>
      <c r="Y953" s="121"/>
      <c r="Z953" s="121" t="str">
        <f>Таблица18[[#This Row],[Хар-ка]]</f>
        <v>высший</v>
      </c>
      <c r="AD953" s="459"/>
      <c r="AE953" s="391"/>
    </row>
    <row r="954" spans="1:31" s="325" customFormat="1" ht="15.6" hidden="1" customHeight="1" x14ac:dyDescent="0.2">
      <c r="A954" s="40" t="s">
        <v>766</v>
      </c>
      <c r="B954" s="360" t="s">
        <v>511</v>
      </c>
      <c r="C954" s="40">
        <v>290</v>
      </c>
      <c r="D954" s="40">
        <v>69</v>
      </c>
      <c r="E954" s="40" t="s">
        <v>78</v>
      </c>
      <c r="F954" s="40" t="s">
        <v>79</v>
      </c>
      <c r="G954" s="40" t="s">
        <v>767</v>
      </c>
      <c r="H954" s="40" t="s">
        <v>754</v>
      </c>
      <c r="I954" s="360" t="e">
        <f>VLOOKUP(Таблица18[[#This Row],[Номер акта]],$AB$1:$AF$1833,3,FALSE)</f>
        <v>#N/A</v>
      </c>
      <c r="J954" s="40" t="s">
        <v>21</v>
      </c>
      <c r="K954" s="40" t="s">
        <v>82</v>
      </c>
      <c r="L954" s="121">
        <v>23310</v>
      </c>
      <c r="M954" s="121">
        <v>14100</v>
      </c>
      <c r="N954" s="121">
        <v>18.5</v>
      </c>
      <c r="O954" s="363">
        <v>9210</v>
      </c>
      <c r="P954" s="363">
        <v>7506.1</v>
      </c>
      <c r="Q954" s="121">
        <v>2025</v>
      </c>
      <c r="R954" s="121"/>
      <c r="S954" s="148">
        <v>45815</v>
      </c>
      <c r="T954" s="363">
        <f>Таблица18[[#This Row],[Вес нетто]]-Таблица18[[#This Row],[Зачетный вес]]</f>
        <v>1703.8999999999996</v>
      </c>
      <c r="U954" s="365">
        <f>Таблица18[[#This Row],[Отход]]/Таблица18[[#This Row],[Вес нетто]]</f>
        <v>0.18500542888165034</v>
      </c>
      <c r="V954" s="121">
        <f>MONTH(Таблица18[[#This Row],[Дата акта]])</f>
        <v>6</v>
      </c>
      <c r="W954" s="121">
        <v>7</v>
      </c>
      <c r="X954" s="148">
        <f>DATE(1900,Таблица18[[#This Row],[Месяц]],Таблица18[[#This Row],[Число]])</f>
        <v>159</v>
      </c>
      <c r="Y954" s="121"/>
      <c r="Z954" s="121" t="str">
        <f>Таблица18[[#This Row],[Хар-ка]]</f>
        <v>высший</v>
      </c>
      <c r="AD954" s="459"/>
      <c r="AE954" s="391"/>
    </row>
    <row r="955" spans="1:31" s="325" customFormat="1" ht="15.6" hidden="1" customHeight="1" x14ac:dyDescent="0.2">
      <c r="A955" s="40" t="s">
        <v>768</v>
      </c>
      <c r="B955" s="360" t="s">
        <v>511</v>
      </c>
      <c r="C955" s="40">
        <v>291</v>
      </c>
      <c r="D955" s="40">
        <v>70</v>
      </c>
      <c r="E955" s="40" t="s">
        <v>78</v>
      </c>
      <c r="F955" s="40" t="s">
        <v>762</v>
      </c>
      <c r="G955" s="40" t="s">
        <v>763</v>
      </c>
      <c r="H955" s="40" t="s">
        <v>754</v>
      </c>
      <c r="I955" s="360" t="e">
        <f>VLOOKUP(Таблица18[[#This Row],[Номер акта]],$AB$1:$AF$1833,3,FALSE)</f>
        <v>#N/A</v>
      </c>
      <c r="J955" s="40" t="s">
        <v>21</v>
      </c>
      <c r="K955" s="40" t="s">
        <v>82</v>
      </c>
      <c r="L955" s="121">
        <v>9180</v>
      </c>
      <c r="M955" s="121">
        <v>4620</v>
      </c>
      <c r="N955" s="121">
        <v>15.5</v>
      </c>
      <c r="O955" s="363">
        <v>4560</v>
      </c>
      <c r="P955" s="363">
        <v>3853.2</v>
      </c>
      <c r="Q955" s="121">
        <v>2025</v>
      </c>
      <c r="R955" s="121"/>
      <c r="S955" s="148">
        <v>45815</v>
      </c>
      <c r="T955" s="363">
        <f>Таблица18[[#This Row],[Вес нетто]]-Таблица18[[#This Row],[Зачетный вес]]</f>
        <v>706.80000000000018</v>
      </c>
      <c r="U955" s="365">
        <f>Таблица18[[#This Row],[Отход]]/Таблица18[[#This Row],[Вес нетто]]</f>
        <v>0.15500000000000003</v>
      </c>
      <c r="V955" s="121">
        <f>MONTH(Таблица18[[#This Row],[Дата акта]])</f>
        <v>6</v>
      </c>
      <c r="W955" s="121">
        <v>7</v>
      </c>
      <c r="X955" s="148">
        <f>DATE(1900,Таблица18[[#This Row],[Месяц]],Таблица18[[#This Row],[Число]])</f>
        <v>159</v>
      </c>
      <c r="Y955" s="121"/>
      <c r="Z955" s="121" t="str">
        <f>Таблица18[[#This Row],[Хар-ка]]</f>
        <v>высший</v>
      </c>
      <c r="AD955" s="459"/>
      <c r="AE955" s="391"/>
    </row>
    <row r="956" spans="1:31" s="325" customFormat="1" ht="15.6" hidden="1" customHeight="1" x14ac:dyDescent="0.2">
      <c r="A956" s="40" t="s">
        <v>769</v>
      </c>
      <c r="B956" s="360" t="s">
        <v>511</v>
      </c>
      <c r="C956" s="40">
        <v>293</v>
      </c>
      <c r="D956" s="40">
        <v>71</v>
      </c>
      <c r="E956" s="40" t="s">
        <v>78</v>
      </c>
      <c r="F956" s="40" t="s">
        <v>1312</v>
      </c>
      <c r="G956" s="40" t="s">
        <v>320</v>
      </c>
      <c r="H956" s="40" t="s">
        <v>754</v>
      </c>
      <c r="I956" s="360" t="e">
        <f>VLOOKUP(Таблица18[[#This Row],[Номер акта]],$AB$1:$AF$1833,3,FALSE)</f>
        <v>#N/A</v>
      </c>
      <c r="J956" s="40" t="s">
        <v>21</v>
      </c>
      <c r="K956" s="40" t="s">
        <v>82</v>
      </c>
      <c r="L956" s="121">
        <v>31060</v>
      </c>
      <c r="M956" s="121">
        <v>14460</v>
      </c>
      <c r="N956" s="121">
        <v>14</v>
      </c>
      <c r="O956" s="363">
        <v>16600</v>
      </c>
      <c r="P956" s="363">
        <v>14276</v>
      </c>
      <c r="Q956" s="121">
        <v>2025</v>
      </c>
      <c r="R956" s="121"/>
      <c r="S956" s="148">
        <v>45815</v>
      </c>
      <c r="T956" s="363">
        <f>Таблица18[[#This Row],[Вес нетто]]-Таблица18[[#This Row],[Зачетный вес]]</f>
        <v>2324</v>
      </c>
      <c r="U956" s="365">
        <f>Таблица18[[#This Row],[Отход]]/Таблица18[[#This Row],[Вес нетто]]</f>
        <v>0.14000000000000001</v>
      </c>
      <c r="V956" s="121">
        <f>MONTH(Таблица18[[#This Row],[Дата акта]])</f>
        <v>6</v>
      </c>
      <c r="W956" s="121">
        <v>7</v>
      </c>
      <c r="X956" s="148">
        <f>DATE(1900,Таблица18[[#This Row],[Месяц]],Таблица18[[#This Row],[Число]])</f>
        <v>159</v>
      </c>
      <c r="Y956" s="121"/>
      <c r="Z956" s="121" t="str">
        <f>Таблица18[[#This Row],[Хар-ка]]</f>
        <v>высший</v>
      </c>
      <c r="AD956" s="459"/>
      <c r="AE956" s="391"/>
    </row>
    <row r="957" spans="1:31" s="325" customFormat="1" ht="15.6" hidden="1" customHeight="1" x14ac:dyDescent="0.2">
      <c r="A957" s="40" t="s">
        <v>770</v>
      </c>
      <c r="B957" s="360" t="s">
        <v>511</v>
      </c>
      <c r="C957" s="40">
        <v>294</v>
      </c>
      <c r="D957" s="40">
        <v>72</v>
      </c>
      <c r="E957" s="40" t="s">
        <v>78</v>
      </c>
      <c r="F957" s="40" t="s">
        <v>329</v>
      </c>
      <c r="G957" s="40" t="s">
        <v>333</v>
      </c>
      <c r="H957" s="40" t="s">
        <v>771</v>
      </c>
      <c r="I957" s="360" t="e">
        <f>VLOOKUP(Таблица18[[#This Row],[Номер акта]],$AB$1:$AF$1833,3,FALSE)</f>
        <v>#N/A</v>
      </c>
      <c r="J957" s="40" t="s">
        <v>772</v>
      </c>
      <c r="K957" s="40" t="s">
        <v>82</v>
      </c>
      <c r="L957" s="121">
        <v>28630</v>
      </c>
      <c r="M957" s="121">
        <v>14990</v>
      </c>
      <c r="N957" s="121">
        <v>12</v>
      </c>
      <c r="O957" s="363">
        <v>13640</v>
      </c>
      <c r="P957" s="363">
        <v>12003.2</v>
      </c>
      <c r="Q957" s="121">
        <v>2025</v>
      </c>
      <c r="R957" s="121"/>
      <c r="S957" s="148">
        <v>45815</v>
      </c>
      <c r="T957" s="363">
        <f>Таблица18[[#This Row],[Вес нетто]]-Таблица18[[#This Row],[Зачетный вес]]</f>
        <v>1636.7999999999993</v>
      </c>
      <c r="U957" s="365">
        <f>Таблица18[[#This Row],[Отход]]/Таблица18[[#This Row],[Вес нетто]]</f>
        <v>0.11999999999999994</v>
      </c>
      <c r="V957" s="121">
        <f>MONTH(Таблица18[[#This Row],[Дата акта]])</f>
        <v>6</v>
      </c>
      <c r="W957" s="121">
        <v>7</v>
      </c>
      <c r="X957" s="148">
        <f>DATE(1900,Таблица18[[#This Row],[Месяц]],Таблица18[[#This Row],[Число]])</f>
        <v>159</v>
      </c>
      <c r="Y957" s="121"/>
      <c r="Z957" s="121" t="str">
        <f>Таблица18[[#This Row],[Хар-ка]]</f>
        <v>высший</v>
      </c>
      <c r="AD957" s="459"/>
      <c r="AE957" s="391"/>
    </row>
    <row r="958" spans="1:31" s="325" customFormat="1" ht="15.6" hidden="1" customHeight="1" x14ac:dyDescent="0.2">
      <c r="A958" s="40" t="s">
        <v>773</v>
      </c>
      <c r="B958" s="360" t="s">
        <v>511</v>
      </c>
      <c r="C958" s="40">
        <v>295</v>
      </c>
      <c r="D958" s="40">
        <v>73</v>
      </c>
      <c r="E958" s="40" t="s">
        <v>78</v>
      </c>
      <c r="F958" s="40" t="s">
        <v>79</v>
      </c>
      <c r="G958" s="40" t="s">
        <v>80</v>
      </c>
      <c r="H958" s="40" t="s">
        <v>771</v>
      </c>
      <c r="I958" s="360" t="e">
        <f>VLOOKUP(Таблица18[[#This Row],[Номер акта]],$AB$1:$AF$1833,3,FALSE)</f>
        <v>#N/A</v>
      </c>
      <c r="J958" s="40" t="s">
        <v>772</v>
      </c>
      <c r="K958" s="40" t="s">
        <v>82</v>
      </c>
      <c r="L958" s="121">
        <v>27400</v>
      </c>
      <c r="M958" s="121">
        <v>14090</v>
      </c>
      <c r="N958" s="121">
        <v>15</v>
      </c>
      <c r="O958" s="363">
        <v>13310</v>
      </c>
      <c r="P958" s="363">
        <v>11313.5</v>
      </c>
      <c r="Q958" s="121">
        <v>2025</v>
      </c>
      <c r="R958" s="121"/>
      <c r="S958" s="148">
        <v>45815</v>
      </c>
      <c r="T958" s="363">
        <f>Таблица18[[#This Row],[Вес нетто]]-Таблица18[[#This Row],[Зачетный вес]]</f>
        <v>1996.5</v>
      </c>
      <c r="U958" s="365">
        <f>Таблица18[[#This Row],[Отход]]/Таблица18[[#This Row],[Вес нетто]]</f>
        <v>0.15</v>
      </c>
      <c r="V958" s="121">
        <f>MONTH(Таблица18[[#This Row],[Дата акта]])</f>
        <v>6</v>
      </c>
      <c r="W958" s="121">
        <v>7</v>
      </c>
      <c r="X958" s="148">
        <f>DATE(1900,Таблица18[[#This Row],[Месяц]],Таблица18[[#This Row],[Число]])</f>
        <v>159</v>
      </c>
      <c r="Y958" s="121"/>
      <c r="Z958" s="121" t="str">
        <f>Таблица18[[#This Row],[Хар-ка]]</f>
        <v>высший</v>
      </c>
      <c r="AD958" s="459"/>
      <c r="AE958" s="391"/>
    </row>
    <row r="959" spans="1:31" s="325" customFormat="1" ht="15.6" hidden="1" customHeight="1" x14ac:dyDescent="0.2">
      <c r="A959" s="40" t="s">
        <v>774</v>
      </c>
      <c r="B959" s="360" t="s">
        <v>550</v>
      </c>
      <c r="C959" s="40">
        <v>296</v>
      </c>
      <c r="D959" s="40">
        <v>74</v>
      </c>
      <c r="E959" s="40" t="s">
        <v>78</v>
      </c>
      <c r="F959" s="40" t="s">
        <v>762</v>
      </c>
      <c r="G959" s="40" t="s">
        <v>763</v>
      </c>
      <c r="H959" s="40" t="s">
        <v>771</v>
      </c>
      <c r="I959" s="360" t="e">
        <f>VLOOKUP(Таблица18[[#This Row],[Номер акта]],$AB$1:$AF$1833,3,FALSE)</f>
        <v>#N/A</v>
      </c>
      <c r="J959" s="40" t="s">
        <v>772</v>
      </c>
      <c r="K959" s="40" t="s">
        <v>82</v>
      </c>
      <c r="L959" s="121">
        <v>8620</v>
      </c>
      <c r="M959" s="121">
        <v>4610</v>
      </c>
      <c r="N959" s="121">
        <v>16.5</v>
      </c>
      <c r="O959" s="363">
        <v>4010</v>
      </c>
      <c r="P959" s="363">
        <v>3348.3</v>
      </c>
      <c r="Q959" s="121">
        <v>2025</v>
      </c>
      <c r="R959" s="121"/>
      <c r="S959" s="148">
        <v>45815</v>
      </c>
      <c r="T959" s="363">
        <f>Таблица18[[#This Row],[Вес нетто]]-Таблица18[[#This Row],[Зачетный вес]]</f>
        <v>661.69999999999982</v>
      </c>
      <c r="U959" s="365">
        <f>Таблица18[[#This Row],[Отход]]/Таблица18[[#This Row],[Вес нетто]]</f>
        <v>0.16501246882793014</v>
      </c>
      <c r="V959" s="121">
        <f>MONTH(Таблица18[[#This Row],[Дата акта]])</f>
        <v>6</v>
      </c>
      <c r="W959" s="121">
        <v>7</v>
      </c>
      <c r="X959" s="148">
        <f>DATE(1900,Таблица18[[#This Row],[Месяц]],Таблица18[[#This Row],[Число]])</f>
        <v>159</v>
      </c>
      <c r="Y959" s="121"/>
      <c r="Z959" s="121" t="str">
        <f>Таблица18[[#This Row],[Хар-ка]]</f>
        <v>первый</v>
      </c>
      <c r="AD959" s="459"/>
      <c r="AE959" s="391"/>
    </row>
    <row r="960" spans="1:31" s="325" customFormat="1" ht="15.6" hidden="1" customHeight="1" x14ac:dyDescent="0.2">
      <c r="A960" s="40" t="s">
        <v>775</v>
      </c>
      <c r="B960" s="360" t="s">
        <v>550</v>
      </c>
      <c r="C960" s="40">
        <v>297</v>
      </c>
      <c r="D960" s="40">
        <v>75</v>
      </c>
      <c r="E960" s="40" t="s">
        <v>78</v>
      </c>
      <c r="F960" s="40" t="s">
        <v>1312</v>
      </c>
      <c r="G960" s="40" t="s">
        <v>320</v>
      </c>
      <c r="H960" s="40" t="s">
        <v>771</v>
      </c>
      <c r="I960" s="360" t="e">
        <f>VLOOKUP(Таблица18[[#This Row],[Номер акта]],$AB$1:$AF$1833,3,FALSE)</f>
        <v>#N/A</v>
      </c>
      <c r="J960" s="40" t="s">
        <v>772</v>
      </c>
      <c r="K960" s="40" t="s">
        <v>82</v>
      </c>
      <c r="L960" s="121">
        <v>31480</v>
      </c>
      <c r="M960" s="121">
        <v>14460</v>
      </c>
      <c r="N960" s="121">
        <v>12</v>
      </c>
      <c r="O960" s="363">
        <v>17020</v>
      </c>
      <c r="P960" s="363">
        <v>14977.6</v>
      </c>
      <c r="Q960" s="121">
        <v>2025</v>
      </c>
      <c r="R960" s="121"/>
      <c r="S960" s="148">
        <v>45815</v>
      </c>
      <c r="T960" s="363">
        <f>Таблица18[[#This Row],[Вес нетто]]-Таблица18[[#This Row],[Зачетный вес]]</f>
        <v>2042.3999999999996</v>
      </c>
      <c r="U960" s="365">
        <f>Таблица18[[#This Row],[Отход]]/Таблица18[[#This Row],[Вес нетто]]</f>
        <v>0.11999999999999998</v>
      </c>
      <c r="V960" s="121">
        <f>MONTH(Таблица18[[#This Row],[Дата акта]])</f>
        <v>6</v>
      </c>
      <c r="W960" s="121">
        <v>7</v>
      </c>
      <c r="X960" s="148">
        <f>DATE(1900,Таблица18[[#This Row],[Месяц]],Таблица18[[#This Row],[Число]])</f>
        <v>159</v>
      </c>
      <c r="Y960" s="121"/>
      <c r="Z960" s="121" t="str">
        <f>Таблица18[[#This Row],[Хар-ка]]</f>
        <v>первый</v>
      </c>
      <c r="AD960" s="459"/>
      <c r="AE960" s="391"/>
    </row>
    <row r="961" spans="1:31" s="325" customFormat="1" ht="15.6" hidden="1" customHeight="1" x14ac:dyDescent="0.2">
      <c r="A961" s="40" t="s">
        <v>776</v>
      </c>
      <c r="B961" s="360" t="s">
        <v>550</v>
      </c>
      <c r="C961" s="40">
        <v>298</v>
      </c>
      <c r="D961" s="40">
        <v>76</v>
      </c>
      <c r="E961" s="40" t="s">
        <v>78</v>
      </c>
      <c r="F961" s="40" t="s">
        <v>329</v>
      </c>
      <c r="G961" s="40" t="s">
        <v>333</v>
      </c>
      <c r="H961" s="40" t="s">
        <v>771</v>
      </c>
      <c r="I961" s="360" t="e">
        <f>VLOOKUP(Таблица18[[#This Row],[Номер акта]],$AB$1:$AF$1833,3,FALSE)</f>
        <v>#N/A</v>
      </c>
      <c r="J961" s="40" t="s">
        <v>772</v>
      </c>
      <c r="K961" s="40" t="s">
        <v>82</v>
      </c>
      <c r="L961" s="121">
        <v>28100</v>
      </c>
      <c r="M961" s="121">
        <v>14970</v>
      </c>
      <c r="N961" s="121">
        <v>17</v>
      </c>
      <c r="O961" s="363">
        <v>13130</v>
      </c>
      <c r="P961" s="363">
        <v>10897.9</v>
      </c>
      <c r="Q961" s="121">
        <v>2025</v>
      </c>
      <c r="R961" s="121"/>
      <c r="S961" s="148">
        <v>45815</v>
      </c>
      <c r="T961" s="363">
        <f>Таблица18[[#This Row],[Вес нетто]]-Таблица18[[#This Row],[Зачетный вес]]</f>
        <v>2232.1000000000004</v>
      </c>
      <c r="U961" s="365">
        <f>Таблица18[[#This Row],[Отход]]/Таблица18[[#This Row],[Вес нетто]]</f>
        <v>0.17000000000000004</v>
      </c>
      <c r="V961" s="121">
        <f>MONTH(Таблица18[[#This Row],[Дата акта]])</f>
        <v>6</v>
      </c>
      <c r="W961" s="121">
        <v>7</v>
      </c>
      <c r="X961" s="148">
        <f>DATE(1900,Таблица18[[#This Row],[Месяц]],Таблица18[[#This Row],[Число]])</f>
        <v>159</v>
      </c>
      <c r="Y961" s="121"/>
      <c r="Z961" s="121" t="str">
        <f>Таблица18[[#This Row],[Хар-ка]]</f>
        <v>первый</v>
      </c>
      <c r="AD961" s="459"/>
      <c r="AE961" s="391"/>
    </row>
    <row r="962" spans="1:31" s="325" customFormat="1" ht="15.6" hidden="1" customHeight="1" x14ac:dyDescent="0.2">
      <c r="A962" s="40" t="s">
        <v>777</v>
      </c>
      <c r="B962" s="360" t="s">
        <v>550</v>
      </c>
      <c r="C962" s="40">
        <v>299</v>
      </c>
      <c r="D962" s="40">
        <v>77</v>
      </c>
      <c r="E962" s="40" t="s">
        <v>78</v>
      </c>
      <c r="F962" s="40" t="s">
        <v>79</v>
      </c>
      <c r="G962" s="40" t="s">
        <v>80</v>
      </c>
      <c r="H962" s="40" t="s">
        <v>771</v>
      </c>
      <c r="I962" s="360" t="e">
        <f>VLOOKUP(Таблица18[[#This Row],[Номер акта]],$AB$1:$AF$1833,3,FALSE)</f>
        <v>#N/A</v>
      </c>
      <c r="J962" s="40" t="s">
        <v>772</v>
      </c>
      <c r="K962" s="40" t="s">
        <v>82</v>
      </c>
      <c r="L962" s="121">
        <v>27200</v>
      </c>
      <c r="M962" s="121">
        <v>14080</v>
      </c>
      <c r="N962" s="121">
        <v>11</v>
      </c>
      <c r="O962" s="363">
        <v>13120</v>
      </c>
      <c r="P962" s="363">
        <v>11676.8</v>
      </c>
      <c r="Q962" s="121">
        <v>2025</v>
      </c>
      <c r="R962" s="121"/>
      <c r="S962" s="148">
        <v>45816</v>
      </c>
      <c r="T962" s="363">
        <f>Таблица18[[#This Row],[Вес нетто]]-Таблица18[[#This Row],[Зачетный вес]]</f>
        <v>1443.2000000000007</v>
      </c>
      <c r="U962" s="365">
        <f>Таблица18[[#This Row],[Отход]]/Таблица18[[#This Row],[Вес нетто]]</f>
        <v>0.11000000000000006</v>
      </c>
      <c r="V962" s="121">
        <f>MONTH(Таблица18[[#This Row],[Дата акта]])</f>
        <v>6</v>
      </c>
      <c r="W962" s="121">
        <v>8</v>
      </c>
      <c r="X962" s="148">
        <f>DATE(1900,Таблица18[[#This Row],[Месяц]],Таблица18[[#This Row],[Число]])</f>
        <v>160</v>
      </c>
      <c r="Y962" s="121"/>
      <c r="Z962" s="121" t="str">
        <f>Таблица18[[#This Row],[Хар-ка]]</f>
        <v>первый</v>
      </c>
      <c r="AD962" s="459"/>
      <c r="AE962" s="391"/>
    </row>
    <row r="963" spans="1:31" s="325" customFormat="1" ht="15.6" hidden="1" customHeight="1" x14ac:dyDescent="0.2">
      <c r="A963" s="40" t="s">
        <v>778</v>
      </c>
      <c r="B963" s="360" t="s">
        <v>550</v>
      </c>
      <c r="C963" s="40">
        <v>300</v>
      </c>
      <c r="D963" s="40">
        <v>78</v>
      </c>
      <c r="E963" s="40" t="s">
        <v>78</v>
      </c>
      <c r="F963" s="40" t="s">
        <v>762</v>
      </c>
      <c r="G963" s="40" t="s">
        <v>763</v>
      </c>
      <c r="H963" s="40" t="s">
        <v>771</v>
      </c>
      <c r="I963" s="360" t="e">
        <f>VLOOKUP(Таблица18[[#This Row],[Номер акта]],$AB$1:$AF$1833,3,FALSE)</f>
        <v>#N/A</v>
      </c>
      <c r="J963" s="40" t="s">
        <v>772</v>
      </c>
      <c r="K963" s="40" t="s">
        <v>82</v>
      </c>
      <c r="L963" s="121">
        <v>9060</v>
      </c>
      <c r="M963" s="121">
        <v>4530</v>
      </c>
      <c r="N963" s="121">
        <v>9.5</v>
      </c>
      <c r="O963" s="363">
        <v>4530</v>
      </c>
      <c r="P963" s="363">
        <v>4099.6000000000004</v>
      </c>
      <c r="Q963" s="121">
        <v>2025</v>
      </c>
      <c r="R963" s="121"/>
      <c r="S963" s="148">
        <v>45816</v>
      </c>
      <c r="T963" s="363">
        <f>Таблица18[[#This Row],[Вес нетто]]-Таблица18[[#This Row],[Зачетный вес]]</f>
        <v>430.39999999999964</v>
      </c>
      <c r="U963" s="365">
        <f>Таблица18[[#This Row],[Отход]]/Таблица18[[#This Row],[Вес нетто]]</f>
        <v>9.5011037527593739E-2</v>
      </c>
      <c r="V963" s="121">
        <f>MONTH(Таблица18[[#This Row],[Дата акта]])</f>
        <v>6</v>
      </c>
      <c r="W963" s="121">
        <v>8</v>
      </c>
      <c r="X963" s="148">
        <f>DATE(1900,Таблица18[[#This Row],[Месяц]],Таблица18[[#This Row],[Число]])</f>
        <v>160</v>
      </c>
      <c r="Y963" s="121"/>
      <c r="Z963" s="121" t="str">
        <f>Таблица18[[#This Row],[Хар-ка]]</f>
        <v>первый</v>
      </c>
      <c r="AD963" s="459"/>
      <c r="AE963" s="391"/>
    </row>
    <row r="964" spans="1:31" s="325" customFormat="1" ht="15.6" hidden="1" customHeight="1" x14ac:dyDescent="0.2">
      <c r="A964" s="40" t="s">
        <v>779</v>
      </c>
      <c r="B964" s="360"/>
      <c r="C964" s="40">
        <v>300</v>
      </c>
      <c r="D964" s="40">
        <v>78</v>
      </c>
      <c r="E964" s="40" t="s">
        <v>78</v>
      </c>
      <c r="F964" s="40" t="s">
        <v>762</v>
      </c>
      <c r="G964" s="40" t="s">
        <v>763</v>
      </c>
      <c r="H964" s="40" t="s">
        <v>771</v>
      </c>
      <c r="I964" s="360" t="e">
        <f>VLOOKUP(Таблица18[[#This Row],[Номер акта]],$AB$1:$AF$1833,3,FALSE)</f>
        <v>#N/A</v>
      </c>
      <c r="J964" s="40" t="s">
        <v>772</v>
      </c>
      <c r="K964" s="40" t="s">
        <v>82</v>
      </c>
      <c r="L964" s="121"/>
      <c r="M964" s="121"/>
      <c r="N964" s="121"/>
      <c r="O964" s="363"/>
      <c r="P964" s="363"/>
      <c r="Q964" s="121">
        <v>2025</v>
      </c>
      <c r="R964" s="121"/>
      <c r="S964" s="148">
        <v>45816</v>
      </c>
      <c r="T964" s="363">
        <f>Таблица18[[#This Row],[Вес нетто]]-Таблица18[[#This Row],[Зачетный вес]]</f>
        <v>0</v>
      </c>
      <c r="U964" s="365" t="e">
        <f>Таблица18[[#This Row],[Отход]]/Таблица18[[#This Row],[Вес нетто]]</f>
        <v>#DIV/0!</v>
      </c>
      <c r="V964" s="121">
        <f>MONTH(Таблица18[[#This Row],[Дата акта]])</f>
        <v>6</v>
      </c>
      <c r="W964" s="121">
        <v>8</v>
      </c>
      <c r="X964" s="148">
        <f>DATE(1900,Таблица18[[#This Row],[Месяц]],Таблица18[[#This Row],[Число]])</f>
        <v>160</v>
      </c>
      <c r="Y964" s="121"/>
      <c r="Z964" s="121">
        <f>Таблица18[[#This Row],[Хар-ка]]</f>
        <v>0</v>
      </c>
      <c r="AD964" s="459"/>
      <c r="AE964" s="391"/>
    </row>
    <row r="965" spans="1:31" s="325" customFormat="1" ht="15.6" hidden="1" customHeight="1" x14ac:dyDescent="0.2">
      <c r="A965" s="40" t="s">
        <v>780</v>
      </c>
      <c r="B965" s="360" t="s">
        <v>550</v>
      </c>
      <c r="C965" s="40">
        <v>302</v>
      </c>
      <c r="D965" s="40">
        <v>80</v>
      </c>
      <c r="E965" s="40" t="s">
        <v>78</v>
      </c>
      <c r="F965" s="40" t="s">
        <v>1312</v>
      </c>
      <c r="G965" s="40" t="s">
        <v>320</v>
      </c>
      <c r="H965" s="40" t="s">
        <v>771</v>
      </c>
      <c r="I965" s="360" t="e">
        <f>VLOOKUP(Таблица18[[#This Row],[Номер акта]],$AB$1:$AF$1833,3,FALSE)</f>
        <v>#N/A</v>
      </c>
      <c r="J965" s="40" t="s">
        <v>772</v>
      </c>
      <c r="K965" s="40" t="s">
        <v>82</v>
      </c>
      <c r="L965" s="121">
        <v>20660</v>
      </c>
      <c r="M965" s="121">
        <v>14450</v>
      </c>
      <c r="N965" s="121">
        <v>11.5</v>
      </c>
      <c r="O965" s="363">
        <v>6210</v>
      </c>
      <c r="P965" s="363">
        <v>5495.8</v>
      </c>
      <c r="Q965" s="121">
        <v>2025</v>
      </c>
      <c r="R965" s="121"/>
      <c r="S965" s="148">
        <v>45816</v>
      </c>
      <c r="T965" s="363">
        <f>Таблица18[[#This Row],[Вес нетто]]-Таблица18[[#This Row],[Зачетный вес]]</f>
        <v>714.19999999999982</v>
      </c>
      <c r="U965" s="365">
        <f>Таблица18[[#This Row],[Отход]]/Таблица18[[#This Row],[Вес нетто]]</f>
        <v>0.11500805152979063</v>
      </c>
      <c r="V965" s="121">
        <f>MONTH(Таблица18[[#This Row],[Дата акта]])</f>
        <v>6</v>
      </c>
      <c r="W965" s="121">
        <v>8</v>
      </c>
      <c r="X965" s="148">
        <f>DATE(1900,Таблица18[[#This Row],[Месяц]],Таблица18[[#This Row],[Число]])</f>
        <v>160</v>
      </c>
      <c r="Y965" s="121"/>
      <c r="Z965" s="121" t="str">
        <f>Таблица18[[#This Row],[Хар-ка]]</f>
        <v>первый</v>
      </c>
      <c r="AD965" s="459"/>
      <c r="AE965" s="391"/>
    </row>
    <row r="966" spans="1:31" s="325" customFormat="1" ht="15.6" hidden="1" customHeight="1" x14ac:dyDescent="0.2">
      <c r="A966" s="40" t="s">
        <v>781</v>
      </c>
      <c r="B966" s="360" t="s">
        <v>511</v>
      </c>
      <c r="C966" s="40">
        <v>301</v>
      </c>
      <c r="D966" s="40">
        <v>79</v>
      </c>
      <c r="E966" s="40" t="s">
        <v>78</v>
      </c>
      <c r="F966" s="40" t="s">
        <v>1312</v>
      </c>
      <c r="G966" s="40" t="s">
        <v>320</v>
      </c>
      <c r="H966" s="40" t="s">
        <v>523</v>
      </c>
      <c r="I966" s="360" t="e">
        <f>VLOOKUP(Таблица18[[#This Row],[Номер акта]],$AB$1:$AF$1833,3,FALSE)</f>
        <v>#N/A</v>
      </c>
      <c r="J966" s="40" t="s">
        <v>782</v>
      </c>
      <c r="K966" s="40" t="s">
        <v>82</v>
      </c>
      <c r="L966" s="121">
        <v>27510</v>
      </c>
      <c r="M966" s="121">
        <v>20660</v>
      </c>
      <c r="N966" s="121">
        <v>13.5</v>
      </c>
      <c r="O966" s="363">
        <v>6850</v>
      </c>
      <c r="P966" s="363">
        <v>5925.2</v>
      </c>
      <c r="Q966" s="121">
        <v>2025</v>
      </c>
      <c r="R966" s="121"/>
      <c r="S966" s="148">
        <v>45816</v>
      </c>
      <c r="T966" s="363">
        <f>Таблица18[[#This Row],[Вес нетто]]-Таблица18[[#This Row],[Зачетный вес]]</f>
        <v>924.80000000000018</v>
      </c>
      <c r="U966" s="365">
        <f>Таблица18[[#This Row],[Отход]]/Таблица18[[#This Row],[Вес нетто]]</f>
        <v>0.13500729927007302</v>
      </c>
      <c r="V966" s="121">
        <f>MONTH(Таблица18[[#This Row],[Дата акта]])</f>
        <v>6</v>
      </c>
      <c r="W966" s="121">
        <v>8</v>
      </c>
      <c r="X966" s="148">
        <f>DATE(1900,Таблица18[[#This Row],[Месяц]],Таблица18[[#This Row],[Число]])</f>
        <v>160</v>
      </c>
      <c r="Y966" s="121"/>
      <c r="Z966" s="121" t="str">
        <f>Таблица18[[#This Row],[Хар-ка]]</f>
        <v>высший</v>
      </c>
      <c r="AD966" s="459"/>
      <c r="AE966" s="391"/>
    </row>
    <row r="967" spans="1:31" s="325" customFormat="1" ht="15.6" hidden="1" customHeight="1" x14ac:dyDescent="0.2">
      <c r="A967" s="40" t="s">
        <v>783</v>
      </c>
      <c r="B967" s="360" t="s">
        <v>511</v>
      </c>
      <c r="C967" s="40">
        <v>303</v>
      </c>
      <c r="D967" s="40">
        <v>81</v>
      </c>
      <c r="E967" s="40" t="s">
        <v>78</v>
      </c>
      <c r="F967" s="40" t="s">
        <v>329</v>
      </c>
      <c r="G967" s="40" t="s">
        <v>333</v>
      </c>
      <c r="H967" s="40" t="s">
        <v>523</v>
      </c>
      <c r="I967" s="360" t="e">
        <f>VLOOKUP(Таблица18[[#This Row],[Номер акта]],$AB$1:$AF$1833,3,FALSE)</f>
        <v>#N/A</v>
      </c>
      <c r="J967" s="40" t="s">
        <v>782</v>
      </c>
      <c r="K967" s="40" t="s">
        <v>82</v>
      </c>
      <c r="L967" s="121">
        <v>28740</v>
      </c>
      <c r="M967" s="121">
        <v>14970</v>
      </c>
      <c r="N967" s="121">
        <v>16</v>
      </c>
      <c r="O967" s="363">
        <v>13770</v>
      </c>
      <c r="P967" s="363">
        <v>11566.8</v>
      </c>
      <c r="Q967" s="121">
        <v>2025</v>
      </c>
      <c r="R967" s="121"/>
      <c r="S967" s="148">
        <v>45816</v>
      </c>
      <c r="T967" s="363">
        <f>Таблица18[[#This Row],[Вес нетто]]-Таблица18[[#This Row],[Зачетный вес]]</f>
        <v>2203.2000000000007</v>
      </c>
      <c r="U967" s="365">
        <f>Таблица18[[#This Row],[Отход]]/Таблица18[[#This Row],[Вес нетто]]</f>
        <v>0.16000000000000006</v>
      </c>
      <c r="V967" s="121">
        <f>MONTH(Таблица18[[#This Row],[Дата акта]])</f>
        <v>6</v>
      </c>
      <c r="W967" s="121">
        <v>8</v>
      </c>
      <c r="X967" s="148">
        <f>DATE(1900,Таблица18[[#This Row],[Месяц]],Таблица18[[#This Row],[Число]])</f>
        <v>160</v>
      </c>
      <c r="Y967" s="121"/>
      <c r="Z967" s="121" t="str">
        <f>Таблица18[[#This Row],[Хар-ка]]</f>
        <v>высший</v>
      </c>
      <c r="AD967" s="459"/>
      <c r="AE967" s="391"/>
    </row>
    <row r="968" spans="1:31" s="325" customFormat="1" ht="15.6" hidden="1" customHeight="1" x14ac:dyDescent="0.2">
      <c r="A968" s="40" t="s">
        <v>784</v>
      </c>
      <c r="B968" s="360"/>
      <c r="C968" s="40">
        <v>292</v>
      </c>
      <c r="D968" s="40">
        <v>65</v>
      </c>
      <c r="E968" s="40" t="s">
        <v>78</v>
      </c>
      <c r="F968" s="40" t="s">
        <v>79</v>
      </c>
      <c r="G968" s="40" t="s">
        <v>80</v>
      </c>
      <c r="H968" s="40"/>
      <c r="I968" s="360" t="e">
        <f>VLOOKUP(Таблица18[[#This Row],[Номер акта]],$AB$1:$AF$1833,3,FALSE)</f>
        <v>#N/A</v>
      </c>
      <c r="J968" s="40" t="s">
        <v>21</v>
      </c>
      <c r="K968" s="40" t="s">
        <v>82</v>
      </c>
      <c r="L968" s="121"/>
      <c r="M968" s="121"/>
      <c r="N968" s="121"/>
      <c r="O968" s="363"/>
      <c r="P968" s="363"/>
      <c r="Q968" s="121">
        <v>2025</v>
      </c>
      <c r="R968" s="121"/>
      <c r="S968" s="148">
        <v>45815</v>
      </c>
      <c r="T968" s="363">
        <f>Таблица18[[#This Row],[Вес нетто]]-Таблица18[[#This Row],[Зачетный вес]]</f>
        <v>0</v>
      </c>
      <c r="U968" s="365" t="e">
        <f>Таблица18[[#This Row],[Отход]]/Таблица18[[#This Row],[Вес нетто]]</f>
        <v>#DIV/0!</v>
      </c>
      <c r="V968" s="121">
        <f>MONTH(Таблица18[[#This Row],[Дата акта]])</f>
        <v>6</v>
      </c>
      <c r="W968" s="121">
        <v>7</v>
      </c>
      <c r="X968" s="148">
        <f>DATE(1900,Таблица18[[#This Row],[Месяц]],Таблица18[[#This Row],[Число]])</f>
        <v>159</v>
      </c>
      <c r="Y968" s="121"/>
      <c r="Z968" s="121">
        <f>Таблица18[[#This Row],[Хар-ка]]</f>
        <v>0</v>
      </c>
      <c r="AD968" s="459"/>
      <c r="AE968" s="391"/>
    </row>
    <row r="969" spans="1:31" s="325" customFormat="1" ht="15.6" hidden="1" customHeight="1" x14ac:dyDescent="0.2">
      <c r="A969" s="40" t="s">
        <v>785</v>
      </c>
      <c r="B969" s="360" t="s">
        <v>511</v>
      </c>
      <c r="C969" s="40">
        <v>304</v>
      </c>
      <c r="D969" s="40">
        <v>82</v>
      </c>
      <c r="E969" s="40" t="s">
        <v>78</v>
      </c>
      <c r="F969" s="40" t="s">
        <v>79</v>
      </c>
      <c r="G969" s="40" t="s">
        <v>80</v>
      </c>
      <c r="H969" s="40" t="s">
        <v>523</v>
      </c>
      <c r="I969" s="360" t="e">
        <f>VLOOKUP(Таблица18[[#This Row],[Номер акта]],$AB$1:$AF$1833,3,FALSE)</f>
        <v>#N/A</v>
      </c>
      <c r="J969" s="40" t="s">
        <v>782</v>
      </c>
      <c r="K969" s="40" t="s">
        <v>82</v>
      </c>
      <c r="L969" s="121">
        <v>27790</v>
      </c>
      <c r="M969" s="121">
        <v>14070</v>
      </c>
      <c r="N969" s="121">
        <v>9</v>
      </c>
      <c r="O969" s="363">
        <v>13720</v>
      </c>
      <c r="P969" s="363">
        <v>12485.2</v>
      </c>
      <c r="Q969" s="121">
        <v>2025</v>
      </c>
      <c r="R969" s="121"/>
      <c r="S969" s="148">
        <v>45816</v>
      </c>
      <c r="T969" s="363">
        <f>Таблица18[[#This Row],[Вес нетто]]-Таблица18[[#This Row],[Зачетный вес]]</f>
        <v>1234.7999999999993</v>
      </c>
      <c r="U969" s="365">
        <f>Таблица18[[#This Row],[Отход]]/Таблица18[[#This Row],[Вес нетто]]</f>
        <v>8.9999999999999941E-2</v>
      </c>
      <c r="V969" s="121">
        <f>MONTH(Таблица18[[#This Row],[Дата акта]])</f>
        <v>6</v>
      </c>
      <c r="W969" s="121">
        <v>8</v>
      </c>
      <c r="X969" s="148">
        <f>DATE(1900,Таблица18[[#This Row],[Месяц]],Таблица18[[#This Row],[Число]])</f>
        <v>160</v>
      </c>
      <c r="Y969" s="121"/>
      <c r="Z969" s="121" t="str">
        <f>Таблица18[[#This Row],[Хар-ка]]</f>
        <v>высший</v>
      </c>
      <c r="AD969" s="459"/>
      <c r="AE969" s="391"/>
    </row>
    <row r="970" spans="1:31" s="325" customFormat="1" ht="15.6" hidden="1" customHeight="1" x14ac:dyDescent="0.2">
      <c r="A970" s="40" t="s">
        <v>786</v>
      </c>
      <c r="B970" s="360" t="s">
        <v>511</v>
      </c>
      <c r="C970" s="40">
        <v>305</v>
      </c>
      <c r="D970" s="40">
        <v>83</v>
      </c>
      <c r="E970" s="40" t="s">
        <v>78</v>
      </c>
      <c r="F970" s="40" t="s">
        <v>762</v>
      </c>
      <c r="G970" s="40" t="s">
        <v>763</v>
      </c>
      <c r="H970" s="40" t="s">
        <v>523</v>
      </c>
      <c r="I970" s="360" t="e">
        <f>VLOOKUP(Таблица18[[#This Row],[Номер акта]],$AB$1:$AF$1833,3,FALSE)</f>
        <v>#N/A</v>
      </c>
      <c r="J970" s="40" t="s">
        <v>782</v>
      </c>
      <c r="K970" s="40" t="s">
        <v>82</v>
      </c>
      <c r="L970" s="121">
        <v>9040</v>
      </c>
      <c r="M970" s="121">
        <v>4520</v>
      </c>
      <c r="N970" s="121">
        <v>7.5</v>
      </c>
      <c r="O970" s="363">
        <v>4520</v>
      </c>
      <c r="P970" s="363">
        <v>4181</v>
      </c>
      <c r="Q970" s="121">
        <v>2025</v>
      </c>
      <c r="R970" s="121"/>
      <c r="S970" s="148">
        <v>45816</v>
      </c>
      <c r="T970" s="363">
        <f>Таблица18[[#This Row],[Вес нетто]]-Таблица18[[#This Row],[Зачетный вес]]</f>
        <v>339</v>
      </c>
      <c r="U970" s="365">
        <f>Таблица18[[#This Row],[Отход]]/Таблица18[[#This Row],[Вес нетто]]</f>
        <v>7.4999999999999997E-2</v>
      </c>
      <c r="V970" s="121">
        <f>MONTH(Таблица18[[#This Row],[Дата акта]])</f>
        <v>6</v>
      </c>
      <c r="W970" s="121">
        <v>8</v>
      </c>
      <c r="X970" s="148">
        <f>DATE(1900,Таблица18[[#This Row],[Месяц]],Таблица18[[#This Row],[Число]])</f>
        <v>160</v>
      </c>
      <c r="Y970" s="121"/>
      <c r="Z970" s="121" t="str">
        <f>Таблица18[[#This Row],[Хар-ка]]</f>
        <v>высший</v>
      </c>
      <c r="AD970" s="459"/>
      <c r="AE970" s="391"/>
    </row>
    <row r="971" spans="1:31" s="325" customFormat="1" ht="15.6" hidden="1" customHeight="1" x14ac:dyDescent="0.2">
      <c r="A971" s="40" t="s">
        <v>787</v>
      </c>
      <c r="B971" s="360" t="s">
        <v>511</v>
      </c>
      <c r="C971" s="40">
        <v>306</v>
      </c>
      <c r="D971" s="40">
        <v>84</v>
      </c>
      <c r="E971" s="40" t="s">
        <v>78</v>
      </c>
      <c r="F971" s="40" t="s">
        <v>1312</v>
      </c>
      <c r="G971" s="40" t="s">
        <v>320</v>
      </c>
      <c r="H971" s="40" t="s">
        <v>523</v>
      </c>
      <c r="I971" s="360" t="e">
        <f>VLOOKUP(Таблица18[[#This Row],[Номер акта]],$AB$1:$AF$1833,3,FALSE)</f>
        <v>#N/A</v>
      </c>
      <c r="J971" s="40" t="s">
        <v>782</v>
      </c>
      <c r="K971" s="40" t="s">
        <v>82</v>
      </c>
      <c r="L971" s="121">
        <v>27630</v>
      </c>
      <c r="M971" s="121">
        <v>14440</v>
      </c>
      <c r="N971" s="121">
        <v>9.5</v>
      </c>
      <c r="O971" s="363">
        <v>13190</v>
      </c>
      <c r="P971" s="363">
        <v>11936.9</v>
      </c>
      <c r="Q971" s="121">
        <v>2025</v>
      </c>
      <c r="R971" s="121"/>
      <c r="S971" s="148">
        <v>45816</v>
      </c>
      <c r="T971" s="363">
        <f>Таблица18[[#This Row],[Вес нетто]]-Таблица18[[#This Row],[Зачетный вес]]</f>
        <v>1253.1000000000004</v>
      </c>
      <c r="U971" s="365">
        <f>Таблица18[[#This Row],[Отход]]/Таблица18[[#This Row],[Вес нетто]]</f>
        <v>9.500379075056864E-2</v>
      </c>
      <c r="V971" s="121">
        <f>MONTH(Таблица18[[#This Row],[Дата акта]])</f>
        <v>6</v>
      </c>
      <c r="W971" s="121">
        <v>8</v>
      </c>
      <c r="X971" s="148">
        <f>DATE(1900,Таблица18[[#This Row],[Месяц]],Таблица18[[#This Row],[Число]])</f>
        <v>160</v>
      </c>
      <c r="Y971" s="121"/>
      <c r="Z971" s="121" t="str">
        <f>Таблица18[[#This Row],[Хар-ка]]</f>
        <v>высший</v>
      </c>
      <c r="AD971" s="459"/>
      <c r="AE971" s="391"/>
    </row>
    <row r="972" spans="1:31" s="325" customFormat="1" ht="15.6" hidden="1" customHeight="1" x14ac:dyDescent="0.2">
      <c r="A972" s="40" t="s">
        <v>788</v>
      </c>
      <c r="B972" s="360" t="s">
        <v>511</v>
      </c>
      <c r="C972" s="40">
        <v>307</v>
      </c>
      <c r="D972" s="40">
        <v>85</v>
      </c>
      <c r="E972" s="40" t="s">
        <v>78</v>
      </c>
      <c r="F972" s="40" t="s">
        <v>329</v>
      </c>
      <c r="G972" s="40" t="s">
        <v>333</v>
      </c>
      <c r="H972" s="40" t="s">
        <v>523</v>
      </c>
      <c r="I972" s="360" t="e">
        <f>VLOOKUP(Таблица18[[#This Row],[Номер акта]],$AB$1:$AF$1833,3,FALSE)</f>
        <v>#N/A</v>
      </c>
      <c r="J972" s="40" t="s">
        <v>782</v>
      </c>
      <c r="K972" s="40" t="s">
        <v>82</v>
      </c>
      <c r="L972" s="121">
        <v>28590</v>
      </c>
      <c r="M972" s="121">
        <v>14950</v>
      </c>
      <c r="N972" s="121">
        <v>9.5</v>
      </c>
      <c r="O972" s="363">
        <v>13640</v>
      </c>
      <c r="P972" s="363">
        <v>12344.2</v>
      </c>
      <c r="Q972" s="121">
        <v>2025</v>
      </c>
      <c r="R972" s="121"/>
      <c r="S972" s="148">
        <v>45816</v>
      </c>
      <c r="T972" s="363">
        <f>Таблица18[[#This Row],[Вес нетто]]-Таблица18[[#This Row],[Зачетный вес]]</f>
        <v>1295.7999999999993</v>
      </c>
      <c r="U972" s="365">
        <f>Таблица18[[#This Row],[Отход]]/Таблица18[[#This Row],[Вес нетто]]</f>
        <v>9.4999999999999946E-2</v>
      </c>
      <c r="V972" s="121">
        <f>MONTH(Таблица18[[#This Row],[Дата акта]])</f>
        <v>6</v>
      </c>
      <c r="W972" s="121">
        <v>8</v>
      </c>
      <c r="X972" s="148">
        <f>DATE(1900,Таблица18[[#This Row],[Месяц]],Таблица18[[#This Row],[Число]])</f>
        <v>160</v>
      </c>
      <c r="Y972" s="121"/>
      <c r="Z972" s="121" t="str">
        <f>Таблица18[[#This Row],[Хар-ка]]</f>
        <v>высший</v>
      </c>
      <c r="AD972" s="459"/>
      <c r="AE972" s="391"/>
    </row>
    <row r="973" spans="1:31" s="325" customFormat="1" ht="15.6" hidden="1" customHeight="1" x14ac:dyDescent="0.2">
      <c r="A973" s="40" t="s">
        <v>789</v>
      </c>
      <c r="B973" s="360" t="s">
        <v>511</v>
      </c>
      <c r="C973" s="40">
        <v>309</v>
      </c>
      <c r="D973" s="40">
        <v>86</v>
      </c>
      <c r="E973" s="40" t="s">
        <v>78</v>
      </c>
      <c r="F973" s="40" t="s">
        <v>790</v>
      </c>
      <c r="G973" s="40" t="s">
        <v>243</v>
      </c>
      <c r="H973" s="40" t="s">
        <v>523</v>
      </c>
      <c r="I973" s="360" t="e">
        <f>VLOOKUP(Таблица18[[#This Row],[Номер акта]],$AB$1:$AF$1833,3,FALSE)</f>
        <v>#N/A</v>
      </c>
      <c r="J973" s="40" t="s">
        <v>782</v>
      </c>
      <c r="K973" s="40" t="s">
        <v>82</v>
      </c>
      <c r="L973" s="121">
        <v>27300</v>
      </c>
      <c r="M973" s="121">
        <v>14610</v>
      </c>
      <c r="N973" s="121">
        <v>10.5</v>
      </c>
      <c r="O973" s="363">
        <v>12690</v>
      </c>
      <c r="P973" s="363">
        <v>11357.5</v>
      </c>
      <c r="Q973" s="121">
        <v>2025</v>
      </c>
      <c r="R973" s="121"/>
      <c r="S973" s="148">
        <v>45816</v>
      </c>
      <c r="T973" s="363">
        <f>Таблица18[[#This Row],[Вес нетто]]-Таблица18[[#This Row],[Зачетный вес]]</f>
        <v>1332.5</v>
      </c>
      <c r="U973" s="365">
        <f>Таблица18[[#This Row],[Отход]]/Таблица18[[#This Row],[Вес нетто]]</f>
        <v>0.10500394011032309</v>
      </c>
      <c r="V973" s="121">
        <f>MONTH(Таблица18[[#This Row],[Дата акта]])</f>
        <v>6</v>
      </c>
      <c r="W973" s="121">
        <v>8</v>
      </c>
      <c r="X973" s="148">
        <f>DATE(1900,Таблица18[[#This Row],[Месяц]],Таблица18[[#This Row],[Число]])</f>
        <v>160</v>
      </c>
      <c r="Y973" s="121"/>
      <c r="Z973" s="121" t="str">
        <f>Таблица18[[#This Row],[Хар-ка]]</f>
        <v>высший</v>
      </c>
      <c r="AD973" s="459"/>
      <c r="AE973" s="391"/>
    </row>
    <row r="974" spans="1:31" s="325" customFormat="1" ht="15.6" hidden="1" customHeight="1" x14ac:dyDescent="0.2">
      <c r="A974" s="40" t="s">
        <v>791</v>
      </c>
      <c r="B974" s="360" t="s">
        <v>511</v>
      </c>
      <c r="C974" s="40">
        <v>310</v>
      </c>
      <c r="D974" s="40">
        <v>87</v>
      </c>
      <c r="E974" s="40" t="s">
        <v>726</v>
      </c>
      <c r="F974" s="40" t="s">
        <v>737</v>
      </c>
      <c r="G974" s="40" t="s">
        <v>738</v>
      </c>
      <c r="H974" s="40" t="s">
        <v>523</v>
      </c>
      <c r="I974" s="360" t="e">
        <f>VLOOKUP(Таблица18[[#This Row],[Номер акта]],$AB$1:$AF$1833,3,FALSE)</f>
        <v>#N/A</v>
      </c>
      <c r="J974" s="40" t="s">
        <v>782</v>
      </c>
      <c r="K974" s="40" t="s">
        <v>82</v>
      </c>
      <c r="L974" s="121">
        <v>9060</v>
      </c>
      <c r="M974" s="121">
        <v>4570</v>
      </c>
      <c r="N974" s="121">
        <v>14</v>
      </c>
      <c r="O974" s="363">
        <v>4490</v>
      </c>
      <c r="P974" s="363">
        <v>3861.4</v>
      </c>
      <c r="Q974" s="121">
        <v>2025</v>
      </c>
      <c r="R974" s="121"/>
      <c r="S974" s="148">
        <v>45816</v>
      </c>
      <c r="T974" s="363">
        <f>Таблица18[[#This Row],[Вес нетто]]-Таблица18[[#This Row],[Зачетный вес]]</f>
        <v>628.59999999999991</v>
      </c>
      <c r="U974" s="365">
        <f>Таблица18[[#This Row],[Отход]]/Таблица18[[#This Row],[Вес нетто]]</f>
        <v>0.13999999999999999</v>
      </c>
      <c r="V974" s="121">
        <f>MONTH(Таблица18[[#This Row],[Дата акта]])</f>
        <v>6</v>
      </c>
      <c r="W974" s="121">
        <v>8</v>
      </c>
      <c r="X974" s="148">
        <f>DATE(1900,Таблица18[[#This Row],[Месяц]],Таблица18[[#This Row],[Число]])</f>
        <v>160</v>
      </c>
      <c r="Y974" s="121"/>
      <c r="Z974" s="121" t="str">
        <f>Таблица18[[#This Row],[Хар-ка]]</f>
        <v>высший</v>
      </c>
      <c r="AD974" s="459"/>
      <c r="AE974" s="391"/>
    </row>
    <row r="975" spans="1:31" s="325" customFormat="1" ht="15.6" hidden="1" customHeight="1" x14ac:dyDescent="0.2">
      <c r="A975" s="40" t="s">
        <v>792</v>
      </c>
      <c r="B975" s="360" t="s">
        <v>511</v>
      </c>
      <c r="C975" s="40">
        <v>311</v>
      </c>
      <c r="D975" s="40">
        <v>88</v>
      </c>
      <c r="E975" s="40" t="s">
        <v>78</v>
      </c>
      <c r="F975" s="40" t="s">
        <v>127</v>
      </c>
      <c r="G975" s="40" t="s">
        <v>131</v>
      </c>
      <c r="H975" s="40" t="s">
        <v>523</v>
      </c>
      <c r="I975" s="360" t="e">
        <f>VLOOKUP(Таблица18[[#This Row],[Номер акта]],$AB$1:$AF$1833,3,FALSE)</f>
        <v>#N/A</v>
      </c>
      <c r="J975" s="40" t="s">
        <v>782</v>
      </c>
      <c r="K975" s="40" t="s">
        <v>82</v>
      </c>
      <c r="L975" s="121">
        <v>28280</v>
      </c>
      <c r="M975" s="121">
        <v>14320</v>
      </c>
      <c r="N975" s="121">
        <v>12.5</v>
      </c>
      <c r="O975" s="363">
        <v>13960</v>
      </c>
      <c r="P975" s="363">
        <v>12215</v>
      </c>
      <c r="Q975" s="121">
        <v>2025</v>
      </c>
      <c r="R975" s="121"/>
      <c r="S975" s="148">
        <v>45816</v>
      </c>
      <c r="T975" s="363">
        <f>Таблица18[[#This Row],[Вес нетто]]-Таблица18[[#This Row],[Зачетный вес]]</f>
        <v>1745</v>
      </c>
      <c r="U975" s="365">
        <f>Таблица18[[#This Row],[Отход]]/Таблица18[[#This Row],[Вес нетто]]</f>
        <v>0.125</v>
      </c>
      <c r="V975" s="121">
        <f>MONTH(Таблица18[[#This Row],[Дата акта]])</f>
        <v>6</v>
      </c>
      <c r="W975" s="121">
        <v>8</v>
      </c>
      <c r="X975" s="148">
        <f>DATE(1900,Таблица18[[#This Row],[Месяц]],Таблица18[[#This Row],[Число]])</f>
        <v>160</v>
      </c>
      <c r="Y975" s="121"/>
      <c r="Z975" s="121" t="str">
        <f>Таблица18[[#This Row],[Хар-ка]]</f>
        <v>высший</v>
      </c>
      <c r="AD975" s="459"/>
      <c r="AE975" s="391"/>
    </row>
    <row r="976" spans="1:31" s="325" customFormat="1" ht="15.6" hidden="1" customHeight="1" x14ac:dyDescent="0.2">
      <c r="A976" s="40" t="s">
        <v>793</v>
      </c>
      <c r="B976" s="360" t="s">
        <v>550</v>
      </c>
      <c r="C976" s="40">
        <v>313</v>
      </c>
      <c r="D976" s="40">
        <v>89</v>
      </c>
      <c r="E976" s="40" t="s">
        <v>78</v>
      </c>
      <c r="F976" s="40" t="s">
        <v>311</v>
      </c>
      <c r="G976" s="40" t="s">
        <v>315</v>
      </c>
      <c r="H976" s="40" t="s">
        <v>523</v>
      </c>
      <c r="I976" s="360" t="e">
        <f>VLOOKUP(Таблица18[[#This Row],[Номер акта]],$AB$1:$AF$1833,3,FALSE)</f>
        <v>#N/A</v>
      </c>
      <c r="J976" s="40" t="s">
        <v>782</v>
      </c>
      <c r="K976" s="40" t="s">
        <v>82</v>
      </c>
      <c r="L976" s="121">
        <v>28870</v>
      </c>
      <c r="M976" s="121">
        <v>14930</v>
      </c>
      <c r="N976" s="121">
        <v>11</v>
      </c>
      <c r="O976" s="363">
        <v>13940</v>
      </c>
      <c r="P976" s="363">
        <v>12406.6</v>
      </c>
      <c r="Q976" s="121">
        <v>2025</v>
      </c>
      <c r="R976" s="121"/>
      <c r="S976" s="148">
        <v>45816</v>
      </c>
      <c r="T976" s="363">
        <f>Таблица18[[#This Row],[Вес нетто]]-Таблица18[[#This Row],[Зачетный вес]]</f>
        <v>1533.3999999999996</v>
      </c>
      <c r="U976" s="365">
        <f>Таблица18[[#This Row],[Отход]]/Таблица18[[#This Row],[Вес нетто]]</f>
        <v>0.10999999999999997</v>
      </c>
      <c r="V976" s="121">
        <f>MONTH(Таблица18[[#This Row],[Дата акта]])</f>
        <v>6</v>
      </c>
      <c r="W976" s="121">
        <v>8</v>
      </c>
      <c r="X976" s="148">
        <f>DATE(1900,Таблица18[[#This Row],[Месяц]],Таблица18[[#This Row],[Число]])</f>
        <v>160</v>
      </c>
      <c r="Y976" s="121"/>
      <c r="Z976" s="121" t="str">
        <f>Таблица18[[#This Row],[Хар-ка]]</f>
        <v>первый</v>
      </c>
      <c r="AD976" s="459"/>
      <c r="AE976" s="391"/>
    </row>
    <row r="977" spans="1:31" s="325" customFormat="1" ht="15.6" hidden="1" customHeight="1" x14ac:dyDescent="0.2">
      <c r="A977" s="40" t="s">
        <v>794</v>
      </c>
      <c r="B977" s="360" t="s">
        <v>550</v>
      </c>
      <c r="C977" s="40">
        <v>314</v>
      </c>
      <c r="D977" s="40">
        <v>90</v>
      </c>
      <c r="E977" s="40" t="s">
        <v>78</v>
      </c>
      <c r="F977" s="40" t="s">
        <v>133</v>
      </c>
      <c r="G977" s="40" t="s">
        <v>137</v>
      </c>
      <c r="H977" s="40" t="s">
        <v>523</v>
      </c>
      <c r="I977" s="360" t="e">
        <f>VLOOKUP(Таблица18[[#This Row],[Номер акта]],$AB$1:$AF$1833,3,FALSE)</f>
        <v>#N/A</v>
      </c>
      <c r="J977" s="40" t="s">
        <v>782</v>
      </c>
      <c r="K977" s="40" t="s">
        <v>82</v>
      </c>
      <c r="L977" s="121">
        <v>29020</v>
      </c>
      <c r="M977" s="121">
        <v>14980</v>
      </c>
      <c r="N977" s="121">
        <v>14</v>
      </c>
      <c r="O977" s="363">
        <v>14040</v>
      </c>
      <c r="P977" s="363">
        <v>12074.4</v>
      </c>
      <c r="Q977" s="121">
        <v>2025</v>
      </c>
      <c r="R977" s="121"/>
      <c r="S977" s="148">
        <v>45816</v>
      </c>
      <c r="T977" s="363">
        <f>Таблица18[[#This Row],[Вес нетто]]-Таблица18[[#This Row],[Зачетный вес]]</f>
        <v>1965.6000000000004</v>
      </c>
      <c r="U977" s="365">
        <f>Таблица18[[#This Row],[Отход]]/Таблица18[[#This Row],[Вес нетто]]</f>
        <v>0.14000000000000001</v>
      </c>
      <c r="V977" s="121">
        <f>MONTH(Таблица18[[#This Row],[Дата акта]])</f>
        <v>6</v>
      </c>
      <c r="W977" s="121">
        <v>8</v>
      </c>
      <c r="X977" s="148">
        <f>DATE(1900,Таблица18[[#This Row],[Месяц]],Таблица18[[#This Row],[Число]])</f>
        <v>160</v>
      </c>
      <c r="Y977" s="121"/>
      <c r="Z977" s="121" t="str">
        <f>Таблица18[[#This Row],[Хар-ка]]</f>
        <v>первый</v>
      </c>
      <c r="AD977" s="459"/>
      <c r="AE977" s="391"/>
    </row>
    <row r="978" spans="1:31" s="325" customFormat="1" ht="15.6" hidden="1" customHeight="1" x14ac:dyDescent="0.2">
      <c r="A978" s="40" t="s">
        <v>795</v>
      </c>
      <c r="B978" s="360" t="s">
        <v>511</v>
      </c>
      <c r="C978" s="40">
        <v>316</v>
      </c>
      <c r="D978" s="40">
        <v>91</v>
      </c>
      <c r="E978" s="40" t="s">
        <v>726</v>
      </c>
      <c r="F978" s="40" t="s">
        <v>737</v>
      </c>
      <c r="G978" s="40" t="s">
        <v>738</v>
      </c>
      <c r="H978" s="40" t="s">
        <v>796</v>
      </c>
      <c r="I978" s="360" t="e">
        <f>VLOOKUP(Таблица18[[#This Row],[Номер акта]],$AB$1:$AF$1833,3,FALSE)</f>
        <v>#N/A</v>
      </c>
      <c r="J978" s="40" t="s">
        <v>782</v>
      </c>
      <c r="K978" s="40" t="s">
        <v>82</v>
      </c>
      <c r="L978" s="121">
        <v>9360</v>
      </c>
      <c r="M978" s="121">
        <v>4590</v>
      </c>
      <c r="N978" s="121">
        <v>22</v>
      </c>
      <c r="O978" s="363">
        <v>4770</v>
      </c>
      <c r="P978" s="363">
        <v>3720.6</v>
      </c>
      <c r="Q978" s="121">
        <v>2025</v>
      </c>
      <c r="R978" s="121"/>
      <c r="S978" s="148">
        <v>45816</v>
      </c>
      <c r="T978" s="363">
        <f>Таблица18[[#This Row],[Вес нетто]]-Таблица18[[#This Row],[Зачетный вес]]</f>
        <v>1049.4000000000001</v>
      </c>
      <c r="U978" s="365">
        <f>Таблица18[[#This Row],[Отход]]/Таблица18[[#This Row],[Вес нетто]]</f>
        <v>0.22000000000000003</v>
      </c>
      <c r="V978" s="121">
        <f>MONTH(Таблица18[[#This Row],[Дата акта]])</f>
        <v>6</v>
      </c>
      <c r="W978" s="121">
        <v>8</v>
      </c>
      <c r="X978" s="148">
        <f>DATE(1900,Таблица18[[#This Row],[Месяц]],Таблица18[[#This Row],[Число]])</f>
        <v>160</v>
      </c>
      <c r="Y978" s="121"/>
      <c r="Z978" s="121" t="str">
        <f>Таблица18[[#This Row],[Хар-ка]]</f>
        <v>высший</v>
      </c>
      <c r="AD978" s="459"/>
      <c r="AE978" s="391"/>
    </row>
    <row r="979" spans="1:31" s="325" customFormat="1" ht="15.6" hidden="1" customHeight="1" x14ac:dyDescent="0.2">
      <c r="A979" s="40" t="s">
        <v>797</v>
      </c>
      <c r="B979" s="360" t="s">
        <v>550</v>
      </c>
      <c r="C979" s="40">
        <v>317</v>
      </c>
      <c r="D979" s="40">
        <v>92</v>
      </c>
      <c r="E979" s="40" t="s">
        <v>78</v>
      </c>
      <c r="F979" s="40" t="s">
        <v>239</v>
      </c>
      <c r="G979" s="40" t="s">
        <v>243</v>
      </c>
      <c r="H979" s="40" t="s">
        <v>523</v>
      </c>
      <c r="I979" s="360" t="e">
        <f>VLOOKUP(Таблица18[[#This Row],[Номер акта]],$AB$1:$AF$1833,3,FALSE)</f>
        <v>#N/A</v>
      </c>
      <c r="J979" s="40" t="s">
        <v>782</v>
      </c>
      <c r="K979" s="40" t="s">
        <v>82</v>
      </c>
      <c r="L979" s="121">
        <v>28500</v>
      </c>
      <c r="M979" s="121">
        <v>14590</v>
      </c>
      <c r="N979" s="121">
        <v>23</v>
      </c>
      <c r="O979" s="363">
        <v>13910</v>
      </c>
      <c r="P979" s="363">
        <v>10710.7</v>
      </c>
      <c r="Q979" s="121">
        <v>2025</v>
      </c>
      <c r="R979" s="121"/>
      <c r="S979" s="148">
        <v>45816</v>
      </c>
      <c r="T979" s="363">
        <f>Таблица18[[#This Row],[Вес нетто]]-Таблица18[[#This Row],[Зачетный вес]]</f>
        <v>3199.2999999999993</v>
      </c>
      <c r="U979" s="365">
        <f>Таблица18[[#This Row],[Отход]]/Таблица18[[#This Row],[Вес нетто]]</f>
        <v>0.22999999999999995</v>
      </c>
      <c r="V979" s="121">
        <f>MONTH(Таблица18[[#This Row],[Дата акта]])</f>
        <v>6</v>
      </c>
      <c r="W979" s="121">
        <v>8</v>
      </c>
      <c r="X979" s="148">
        <f>DATE(1900,Таблица18[[#This Row],[Месяц]],Таблица18[[#This Row],[Число]])</f>
        <v>160</v>
      </c>
      <c r="Y979" s="121"/>
      <c r="Z979" s="121" t="str">
        <f>Таблица18[[#This Row],[Хар-ка]]</f>
        <v>первый</v>
      </c>
      <c r="AD979" s="459"/>
      <c r="AE979" s="391"/>
    </row>
    <row r="980" spans="1:31" s="325" customFormat="1" ht="15.6" hidden="1" customHeight="1" x14ac:dyDescent="0.2">
      <c r="A980" s="40" t="s">
        <v>798</v>
      </c>
      <c r="B980" s="360" t="s">
        <v>550</v>
      </c>
      <c r="C980" s="40">
        <v>318</v>
      </c>
      <c r="D980" s="40">
        <v>93</v>
      </c>
      <c r="E980" s="40" t="s">
        <v>78</v>
      </c>
      <c r="F980" s="40" t="s">
        <v>127</v>
      </c>
      <c r="G980" s="40" t="s">
        <v>799</v>
      </c>
      <c r="H980" s="40" t="s">
        <v>523</v>
      </c>
      <c r="I980" s="360" t="e">
        <f>VLOOKUP(Таблица18[[#This Row],[Номер акта]],$AB$1:$AF$1833,3,FALSE)</f>
        <v>#N/A</v>
      </c>
      <c r="J980" s="40" t="s">
        <v>782</v>
      </c>
      <c r="K980" s="40" t="s">
        <v>82</v>
      </c>
      <c r="L980" s="121">
        <v>25680</v>
      </c>
      <c r="M980" s="121">
        <v>14310</v>
      </c>
      <c r="N980" s="121">
        <v>14</v>
      </c>
      <c r="O980" s="363">
        <v>11370</v>
      </c>
      <c r="P980" s="363">
        <v>9778.2000000000007</v>
      </c>
      <c r="Q980" s="121">
        <v>2025</v>
      </c>
      <c r="R980" s="121"/>
      <c r="S980" s="148">
        <v>45816</v>
      </c>
      <c r="T980" s="363">
        <f>Таблица18[[#This Row],[Вес нетто]]-Таблица18[[#This Row],[Зачетный вес]]</f>
        <v>1591.7999999999993</v>
      </c>
      <c r="U980" s="365">
        <f>Таблица18[[#This Row],[Отход]]/Таблица18[[#This Row],[Вес нетто]]</f>
        <v>0.13999999999999993</v>
      </c>
      <c r="V980" s="121">
        <f>MONTH(Таблица18[[#This Row],[Дата акта]])</f>
        <v>6</v>
      </c>
      <c r="W980" s="121">
        <v>8</v>
      </c>
      <c r="X980" s="148">
        <f>DATE(1900,Таблица18[[#This Row],[Месяц]],Таблица18[[#This Row],[Число]])</f>
        <v>160</v>
      </c>
      <c r="Y980" s="121"/>
      <c r="Z980" s="121" t="str">
        <f>Таблица18[[#This Row],[Хар-ка]]</f>
        <v>первый</v>
      </c>
      <c r="AD980" s="459"/>
      <c r="AE980" s="391"/>
    </row>
    <row r="981" spans="1:31" s="325" customFormat="1" ht="15.6" hidden="1" customHeight="1" x14ac:dyDescent="0.2">
      <c r="A981" s="40" t="s">
        <v>800</v>
      </c>
      <c r="B981" s="360" t="s">
        <v>511</v>
      </c>
      <c r="C981" s="40">
        <v>319</v>
      </c>
      <c r="D981" s="40">
        <v>94</v>
      </c>
      <c r="E981" s="40" t="s">
        <v>78</v>
      </c>
      <c r="F981" s="40" t="s">
        <v>737</v>
      </c>
      <c r="G981" s="40" t="s">
        <v>738</v>
      </c>
      <c r="H981" s="40" t="s">
        <v>796</v>
      </c>
      <c r="I981" s="360" t="e">
        <f>VLOOKUP(Таблица18[[#This Row],[Номер акта]],$AB$1:$AF$1833,3,FALSE)</f>
        <v>#N/A</v>
      </c>
      <c r="J981" s="40" t="s">
        <v>782</v>
      </c>
      <c r="K981" s="40" t="s">
        <v>82</v>
      </c>
      <c r="L981" s="121">
        <v>9380</v>
      </c>
      <c r="M981" s="121">
        <v>4590</v>
      </c>
      <c r="N981" s="121">
        <v>17.5</v>
      </c>
      <c r="O981" s="363">
        <v>4790</v>
      </c>
      <c r="P981" s="363">
        <v>3951.7</v>
      </c>
      <c r="Q981" s="121">
        <v>2025</v>
      </c>
      <c r="R981" s="121"/>
      <c r="S981" s="148">
        <v>45816</v>
      </c>
      <c r="T981" s="363">
        <f>Таблица18[[#This Row],[Вес нетто]]-Таблица18[[#This Row],[Зачетный вес]]</f>
        <v>838.30000000000018</v>
      </c>
      <c r="U981" s="365">
        <f>Таблица18[[#This Row],[Отход]]/Таблица18[[#This Row],[Вес нетто]]</f>
        <v>0.1750104384133612</v>
      </c>
      <c r="V981" s="121">
        <f>MONTH(Таблица18[[#This Row],[Дата акта]])</f>
        <v>6</v>
      </c>
      <c r="W981" s="121">
        <v>8</v>
      </c>
      <c r="X981" s="148">
        <f>DATE(1900,Таблица18[[#This Row],[Месяц]],Таблица18[[#This Row],[Число]])</f>
        <v>160</v>
      </c>
      <c r="Y981" s="121"/>
      <c r="Z981" s="121" t="str">
        <f>Таблица18[[#This Row],[Хар-ка]]</f>
        <v>высший</v>
      </c>
      <c r="AD981" s="459"/>
      <c r="AE981" s="391"/>
    </row>
    <row r="982" spans="1:31" s="325" customFormat="1" ht="15.6" hidden="1" customHeight="1" x14ac:dyDescent="0.2">
      <c r="A982" s="40" t="s">
        <v>801</v>
      </c>
      <c r="B982" s="360" t="s">
        <v>550</v>
      </c>
      <c r="C982" s="40">
        <v>320</v>
      </c>
      <c r="D982" s="40">
        <v>95</v>
      </c>
      <c r="E982" s="40" t="s">
        <v>78</v>
      </c>
      <c r="F982" s="40" t="s">
        <v>311</v>
      </c>
      <c r="G982" s="40" t="s">
        <v>315</v>
      </c>
      <c r="H982" s="40" t="s">
        <v>523</v>
      </c>
      <c r="I982" s="360" t="e">
        <f>VLOOKUP(Таблица18[[#This Row],[Номер акта]],$AB$1:$AF$1833,3,FALSE)</f>
        <v>#N/A</v>
      </c>
      <c r="J982" s="40" t="s">
        <v>782</v>
      </c>
      <c r="K982" s="40" t="s">
        <v>82</v>
      </c>
      <c r="L982" s="121">
        <v>28720</v>
      </c>
      <c r="M982" s="121">
        <v>14930</v>
      </c>
      <c r="N982" s="121">
        <v>8.5</v>
      </c>
      <c r="O982" s="363">
        <v>13790</v>
      </c>
      <c r="P982" s="363">
        <v>12617.8</v>
      </c>
      <c r="Q982" s="121">
        <v>2025</v>
      </c>
      <c r="R982" s="121"/>
      <c r="S982" s="148">
        <v>45816</v>
      </c>
      <c r="T982" s="363">
        <f>Таблица18[[#This Row],[Вес нетто]]-Таблица18[[#This Row],[Зачетный вес]]</f>
        <v>1172.2000000000007</v>
      </c>
      <c r="U982" s="365">
        <f>Таблица18[[#This Row],[Отход]]/Таблица18[[#This Row],[Вес нетто]]</f>
        <v>8.5003625815808614E-2</v>
      </c>
      <c r="V982" s="121">
        <f>MONTH(Таблица18[[#This Row],[Дата акта]])</f>
        <v>6</v>
      </c>
      <c r="W982" s="121">
        <v>8</v>
      </c>
      <c r="X982" s="148">
        <f>DATE(1900,Таблица18[[#This Row],[Месяц]],Таблица18[[#This Row],[Число]])</f>
        <v>160</v>
      </c>
      <c r="Y982" s="121"/>
      <c r="Z982" s="121" t="str">
        <f>Таблица18[[#This Row],[Хар-ка]]</f>
        <v>первый</v>
      </c>
      <c r="AD982" s="459"/>
      <c r="AE982" s="391"/>
    </row>
    <row r="983" spans="1:31" s="325" customFormat="1" ht="15.6" hidden="1" customHeight="1" x14ac:dyDescent="0.2">
      <c r="A983" s="40" t="s">
        <v>802</v>
      </c>
      <c r="B983" s="360" t="s">
        <v>550</v>
      </c>
      <c r="C983" s="40">
        <v>322</v>
      </c>
      <c r="D983" s="40">
        <v>97</v>
      </c>
      <c r="E983" s="40" t="s">
        <v>78</v>
      </c>
      <c r="F983" s="40" t="s">
        <v>133</v>
      </c>
      <c r="G983" s="40" t="s">
        <v>137</v>
      </c>
      <c r="H983" s="40" t="s">
        <v>754</v>
      </c>
      <c r="I983" s="360" t="e">
        <f>VLOOKUP(Таблица18[[#This Row],[Номер акта]],$AB$1:$AF$1833,3,FALSE)</f>
        <v>#N/A</v>
      </c>
      <c r="J983" s="40" t="s">
        <v>21</v>
      </c>
      <c r="K983" s="40" t="s">
        <v>82</v>
      </c>
      <c r="L983" s="121">
        <v>29060</v>
      </c>
      <c r="M983" s="121">
        <v>22220</v>
      </c>
      <c r="N983" s="121">
        <v>8.5</v>
      </c>
      <c r="O983" s="363">
        <v>6840</v>
      </c>
      <c r="P983" s="363">
        <v>6258.6</v>
      </c>
      <c r="Q983" s="121">
        <v>2025</v>
      </c>
      <c r="R983" s="121"/>
      <c r="S983" s="148">
        <v>45816</v>
      </c>
      <c r="T983" s="363">
        <f>Таблица18[[#This Row],[Вес нетто]]-Таблица18[[#This Row],[Зачетный вес]]</f>
        <v>581.39999999999964</v>
      </c>
      <c r="U983" s="365">
        <f>Таблица18[[#This Row],[Отход]]/Таблица18[[#This Row],[Вес нетто]]</f>
        <v>8.4999999999999951E-2</v>
      </c>
      <c r="V983" s="121">
        <f>MONTH(Таблица18[[#This Row],[Дата акта]])</f>
        <v>6</v>
      </c>
      <c r="W983" s="121">
        <v>8</v>
      </c>
      <c r="X983" s="148">
        <f>DATE(1900,Таблица18[[#This Row],[Месяц]],Таблица18[[#This Row],[Число]])</f>
        <v>160</v>
      </c>
      <c r="Y983" s="121"/>
      <c r="Z983" s="121" t="str">
        <f>Таблица18[[#This Row],[Хар-ка]]</f>
        <v>первый</v>
      </c>
      <c r="AD983" s="459"/>
      <c r="AE983" s="391"/>
    </row>
    <row r="984" spans="1:31" s="325" customFormat="1" ht="15.6" hidden="1" customHeight="1" x14ac:dyDescent="0.2">
      <c r="A984" s="40" t="s">
        <v>803</v>
      </c>
      <c r="B984" s="360" t="s">
        <v>550</v>
      </c>
      <c r="C984" s="40">
        <v>324</v>
      </c>
      <c r="D984" s="40">
        <v>97</v>
      </c>
      <c r="E984" s="40" t="s">
        <v>78</v>
      </c>
      <c r="F984" s="40" t="s">
        <v>133</v>
      </c>
      <c r="G984" s="40" t="s">
        <v>137</v>
      </c>
      <c r="H984" s="40" t="s">
        <v>523</v>
      </c>
      <c r="I984" s="360" t="e">
        <f>VLOOKUP(Таблица18[[#This Row],[Номер акта]],$AB$1:$AF$1833,3,FALSE)</f>
        <v>#N/A</v>
      </c>
      <c r="J984" s="40" t="s">
        <v>782</v>
      </c>
      <c r="K984" s="40" t="s">
        <v>82</v>
      </c>
      <c r="L984" s="121">
        <v>22220</v>
      </c>
      <c r="M984" s="121">
        <v>14960</v>
      </c>
      <c r="N984" s="121">
        <v>10</v>
      </c>
      <c r="O984" s="363">
        <v>7260</v>
      </c>
      <c r="P984" s="363">
        <v>6534</v>
      </c>
      <c r="Q984" s="121">
        <v>2025</v>
      </c>
      <c r="R984" s="121"/>
      <c r="S984" s="148">
        <v>45816</v>
      </c>
      <c r="T984" s="363">
        <f>Таблица18[[#This Row],[Вес нетто]]-Таблица18[[#This Row],[Зачетный вес]]</f>
        <v>726</v>
      </c>
      <c r="U984" s="365">
        <f>Таблица18[[#This Row],[Отход]]/Таблица18[[#This Row],[Вес нетто]]</f>
        <v>0.1</v>
      </c>
      <c r="V984" s="121">
        <f>MONTH(Таблица18[[#This Row],[Дата акта]])</f>
        <v>6</v>
      </c>
      <c r="W984" s="121">
        <v>8</v>
      </c>
      <c r="X984" s="148">
        <f>DATE(1900,Таблица18[[#This Row],[Месяц]],Таблица18[[#This Row],[Число]])</f>
        <v>160</v>
      </c>
      <c r="Y984" s="121"/>
      <c r="Z984" s="121" t="str">
        <f>Таблица18[[#This Row],[Хар-ка]]</f>
        <v>первый</v>
      </c>
      <c r="AD984" s="459"/>
      <c r="AE984" s="391"/>
    </row>
    <row r="985" spans="1:31" s="325" customFormat="1" ht="15.6" hidden="1" customHeight="1" x14ac:dyDescent="0.2">
      <c r="A985" s="40" t="s">
        <v>804</v>
      </c>
      <c r="B985" s="360" t="s">
        <v>511</v>
      </c>
      <c r="C985" s="40">
        <v>323</v>
      </c>
      <c r="D985" s="40">
        <v>96</v>
      </c>
      <c r="E985" s="40" t="s">
        <v>78</v>
      </c>
      <c r="F985" s="40" t="s">
        <v>239</v>
      </c>
      <c r="G985" s="40" t="s">
        <v>243</v>
      </c>
      <c r="H985" s="40" t="s">
        <v>796</v>
      </c>
      <c r="I985" s="360" t="e">
        <f>VLOOKUP(Таблица18[[#This Row],[Номер акта]],$AB$1:$AF$1833,3,FALSE)</f>
        <v>#N/A</v>
      </c>
      <c r="J985" s="40" t="s">
        <v>805</v>
      </c>
      <c r="K985" s="40" t="s">
        <v>82</v>
      </c>
      <c r="L985" s="121">
        <v>29740</v>
      </c>
      <c r="M985" s="121">
        <v>22640</v>
      </c>
      <c r="N985" s="121">
        <v>14.5</v>
      </c>
      <c r="O985" s="363">
        <v>7100</v>
      </c>
      <c r="P985" s="363">
        <v>6070.5</v>
      </c>
      <c r="Q985" s="121">
        <v>2025</v>
      </c>
      <c r="R985" s="121"/>
      <c r="S985" s="148">
        <v>45816</v>
      </c>
      <c r="T985" s="363">
        <f>Таблица18[[#This Row],[Вес нетто]]-Таблица18[[#This Row],[Зачетный вес]]</f>
        <v>1029.5</v>
      </c>
      <c r="U985" s="365">
        <f>Таблица18[[#This Row],[Отход]]/Таблица18[[#This Row],[Вес нетто]]</f>
        <v>0.14499999999999999</v>
      </c>
      <c r="V985" s="121">
        <f>MONTH(Таблица18[[#This Row],[Дата акта]])</f>
        <v>6</v>
      </c>
      <c r="W985" s="121">
        <v>8</v>
      </c>
      <c r="X985" s="148">
        <f>DATE(1900,Таблица18[[#This Row],[Месяц]],Таблица18[[#This Row],[Число]])</f>
        <v>160</v>
      </c>
      <c r="Y985" s="121"/>
      <c r="Z985" s="121" t="str">
        <f>Таблица18[[#This Row],[Хар-ка]]</f>
        <v>высший</v>
      </c>
      <c r="AD985" s="459"/>
      <c r="AE985" s="391"/>
    </row>
    <row r="986" spans="1:31" s="325" customFormat="1" ht="15.6" hidden="1" customHeight="1" x14ac:dyDescent="0.2">
      <c r="A986" s="40" t="s">
        <v>806</v>
      </c>
      <c r="B986" s="360" t="s">
        <v>511</v>
      </c>
      <c r="C986" s="40">
        <v>326</v>
      </c>
      <c r="D986" s="40">
        <v>96</v>
      </c>
      <c r="E986" s="40" t="s">
        <v>78</v>
      </c>
      <c r="F986" s="40" t="s">
        <v>239</v>
      </c>
      <c r="G986" s="40" t="s">
        <v>243</v>
      </c>
      <c r="H986" s="40" t="s">
        <v>796</v>
      </c>
      <c r="I986" s="360" t="e">
        <f>VLOOKUP(Таблица18[[#This Row],[Номер акта]],$AB$1:$AF$1833,3,FALSE)</f>
        <v>#N/A</v>
      </c>
      <c r="J986" s="40" t="s">
        <v>782</v>
      </c>
      <c r="K986" s="40" t="s">
        <v>82</v>
      </c>
      <c r="L986" s="121">
        <v>22640</v>
      </c>
      <c r="M986" s="121">
        <v>14580</v>
      </c>
      <c r="N986" s="121">
        <v>14.5</v>
      </c>
      <c r="O986" s="363">
        <v>8060</v>
      </c>
      <c r="P986" s="363">
        <v>6891.3</v>
      </c>
      <c r="Q986" s="121">
        <v>2025</v>
      </c>
      <c r="R986" s="121"/>
      <c r="S986" s="148">
        <v>45816</v>
      </c>
      <c r="T986" s="363">
        <f>Таблица18[[#This Row],[Вес нетто]]-Таблица18[[#This Row],[Зачетный вес]]</f>
        <v>1168.6999999999998</v>
      </c>
      <c r="U986" s="365">
        <f>Таблица18[[#This Row],[Отход]]/Таблица18[[#This Row],[Вес нетто]]</f>
        <v>0.14499999999999999</v>
      </c>
      <c r="V986" s="121">
        <f>MONTH(Таблица18[[#This Row],[Дата акта]])</f>
        <v>6</v>
      </c>
      <c r="W986" s="121">
        <v>8</v>
      </c>
      <c r="X986" s="148">
        <f>DATE(1900,Таблица18[[#This Row],[Месяц]],Таблица18[[#This Row],[Число]])</f>
        <v>160</v>
      </c>
      <c r="Y986" s="121"/>
      <c r="Z986" s="121" t="str">
        <f>Таблица18[[#This Row],[Хар-ка]]</f>
        <v>высший</v>
      </c>
      <c r="AD986" s="459"/>
      <c r="AE986" s="391"/>
    </row>
    <row r="987" spans="1:31" s="325" customFormat="1" ht="15.6" hidden="1" customHeight="1" x14ac:dyDescent="0.2">
      <c r="A987" s="40" t="s">
        <v>807</v>
      </c>
      <c r="B987" s="360" t="s">
        <v>511</v>
      </c>
      <c r="C987" s="40">
        <v>325</v>
      </c>
      <c r="D987" s="40">
        <v>98</v>
      </c>
      <c r="E987" s="40" t="s">
        <v>78</v>
      </c>
      <c r="F987" s="40" t="s">
        <v>737</v>
      </c>
      <c r="G987" s="40" t="s">
        <v>738</v>
      </c>
      <c r="H987" s="40" t="s">
        <v>796</v>
      </c>
      <c r="I987" s="360" t="e">
        <f>VLOOKUP(Таблица18[[#This Row],[Номер акта]],$AB$1:$AF$1833,3,FALSE)</f>
        <v>#N/A</v>
      </c>
      <c r="J987" s="40" t="s">
        <v>805</v>
      </c>
      <c r="K987" s="40" t="s">
        <v>82</v>
      </c>
      <c r="L987" s="121">
        <v>9220</v>
      </c>
      <c r="M987" s="121">
        <v>4580</v>
      </c>
      <c r="N987" s="121">
        <v>14.5</v>
      </c>
      <c r="O987" s="363">
        <v>4640</v>
      </c>
      <c r="P987" s="363">
        <v>3967.2</v>
      </c>
      <c r="Q987" s="121">
        <v>2025</v>
      </c>
      <c r="R987" s="121"/>
      <c r="S987" s="148">
        <v>45816</v>
      </c>
      <c r="T987" s="363">
        <f>Таблица18[[#This Row],[Вес нетто]]-Таблица18[[#This Row],[Зачетный вес]]</f>
        <v>672.80000000000018</v>
      </c>
      <c r="U987" s="365">
        <f>Таблица18[[#This Row],[Отход]]/Таблица18[[#This Row],[Вес нетто]]</f>
        <v>0.14500000000000005</v>
      </c>
      <c r="V987" s="121">
        <f>MONTH(Таблица18[[#This Row],[Дата акта]])</f>
        <v>6</v>
      </c>
      <c r="W987" s="121">
        <v>8</v>
      </c>
      <c r="X987" s="148">
        <f>DATE(1900,Таблица18[[#This Row],[Месяц]],Таблица18[[#This Row],[Число]])</f>
        <v>160</v>
      </c>
      <c r="Y987" s="121"/>
      <c r="Z987" s="121" t="str">
        <f>Таблица18[[#This Row],[Хар-ка]]</f>
        <v>высший</v>
      </c>
      <c r="AD987" s="459"/>
      <c r="AE987" s="391"/>
    </row>
    <row r="988" spans="1:31" s="325" customFormat="1" ht="15.6" hidden="1" customHeight="1" x14ac:dyDescent="0.2">
      <c r="A988" s="40" t="s">
        <v>808</v>
      </c>
      <c r="B988" s="360" t="s">
        <v>550</v>
      </c>
      <c r="C988" s="40">
        <v>327</v>
      </c>
      <c r="D988" s="40">
        <v>99</v>
      </c>
      <c r="E988" s="40" t="s">
        <v>78</v>
      </c>
      <c r="F988" s="40" t="s">
        <v>127</v>
      </c>
      <c r="G988" s="40" t="s">
        <v>131</v>
      </c>
      <c r="H988" s="40" t="s">
        <v>754</v>
      </c>
      <c r="I988" s="360" t="e">
        <f>VLOOKUP(Таблица18[[#This Row],[Номер акта]],$AB$1:$AF$1833,3,FALSE)</f>
        <v>#N/A</v>
      </c>
      <c r="J988" s="40" t="s">
        <v>21</v>
      </c>
      <c r="K988" s="40" t="s">
        <v>82</v>
      </c>
      <c r="L988" s="121">
        <v>27940</v>
      </c>
      <c r="M988" s="121">
        <v>14300</v>
      </c>
      <c r="N988" s="121">
        <v>11.5</v>
      </c>
      <c r="O988" s="363">
        <v>13640</v>
      </c>
      <c r="P988" s="363">
        <v>12071.4</v>
      </c>
      <c r="Q988" s="121">
        <v>2025</v>
      </c>
      <c r="R988" s="121"/>
      <c r="S988" s="148">
        <v>45816</v>
      </c>
      <c r="T988" s="363">
        <f>Таблица18[[#This Row],[Вес нетто]]-Таблица18[[#This Row],[Зачетный вес]]</f>
        <v>1568.6000000000004</v>
      </c>
      <c r="U988" s="365">
        <f>Таблица18[[#This Row],[Отход]]/Таблица18[[#This Row],[Вес нетто]]</f>
        <v>0.11500000000000003</v>
      </c>
      <c r="V988" s="121">
        <f>MONTH(Таблица18[[#This Row],[Дата акта]])</f>
        <v>6</v>
      </c>
      <c r="W988" s="121">
        <v>8</v>
      </c>
      <c r="X988" s="148">
        <f>DATE(1900,Таблица18[[#This Row],[Месяц]],Таблица18[[#This Row],[Число]])</f>
        <v>160</v>
      </c>
      <c r="Y988" s="121"/>
      <c r="Z988" s="121" t="str">
        <f>Таблица18[[#This Row],[Хар-ка]]</f>
        <v>первый</v>
      </c>
      <c r="AD988" s="459"/>
      <c r="AE988" s="391"/>
    </row>
    <row r="989" spans="1:31" s="325" customFormat="1" ht="15.6" hidden="1" customHeight="1" x14ac:dyDescent="0.2">
      <c r="A989" s="40" t="s">
        <v>809</v>
      </c>
      <c r="B989" s="360" t="s">
        <v>550</v>
      </c>
      <c r="C989" s="40">
        <v>328</v>
      </c>
      <c r="D989" s="40">
        <v>100</v>
      </c>
      <c r="E989" s="40" t="s">
        <v>78</v>
      </c>
      <c r="F989" s="40" t="s">
        <v>311</v>
      </c>
      <c r="G989" s="40" t="s">
        <v>315</v>
      </c>
      <c r="H989" s="40" t="s">
        <v>754</v>
      </c>
      <c r="I989" s="360" t="e">
        <f>VLOOKUP(Таблица18[[#This Row],[Номер акта]],$AB$1:$AF$1833,3,FALSE)</f>
        <v>#N/A</v>
      </c>
      <c r="J989" s="40" t="s">
        <v>21</v>
      </c>
      <c r="K989" s="40" t="s">
        <v>82</v>
      </c>
      <c r="L989" s="121">
        <v>28390</v>
      </c>
      <c r="M989" s="121">
        <v>14920</v>
      </c>
      <c r="N989" s="121">
        <v>14.5</v>
      </c>
      <c r="O989" s="363">
        <v>13470</v>
      </c>
      <c r="P989" s="363">
        <v>11516.8</v>
      </c>
      <c r="Q989" s="121">
        <v>2025</v>
      </c>
      <c r="R989" s="121"/>
      <c r="S989" s="148">
        <v>45817</v>
      </c>
      <c r="T989" s="363">
        <f>Таблица18[[#This Row],[Вес нетто]]-Таблица18[[#This Row],[Зачетный вес]]</f>
        <v>1953.2000000000007</v>
      </c>
      <c r="U989" s="365">
        <f>Таблица18[[#This Row],[Отход]]/Таблица18[[#This Row],[Вес нетто]]</f>
        <v>0.14500371195248707</v>
      </c>
      <c r="V989" s="121">
        <f>MONTH(Таблица18[[#This Row],[Дата акта]])</f>
        <v>6</v>
      </c>
      <c r="W989" s="121">
        <v>9</v>
      </c>
      <c r="X989" s="148">
        <f>DATE(1900,Таблица18[[#This Row],[Месяц]],Таблица18[[#This Row],[Число]])</f>
        <v>161</v>
      </c>
      <c r="Y989" s="121"/>
      <c r="Z989" s="121" t="str">
        <f>Таблица18[[#This Row],[Хар-ка]]</f>
        <v>первый</v>
      </c>
      <c r="AD989" s="459"/>
      <c r="AE989" s="391"/>
    </row>
    <row r="990" spans="1:31" s="325" customFormat="1" ht="15.6" hidden="1" customHeight="1" x14ac:dyDescent="0.2">
      <c r="A990" s="40" t="s">
        <v>810</v>
      </c>
      <c r="B990" s="360" t="s">
        <v>511</v>
      </c>
      <c r="C990" s="40">
        <v>329</v>
      </c>
      <c r="D990" s="40">
        <v>101</v>
      </c>
      <c r="E990" s="40" t="s">
        <v>78</v>
      </c>
      <c r="F990" s="40" t="s">
        <v>239</v>
      </c>
      <c r="G990" s="40" t="s">
        <v>243</v>
      </c>
      <c r="H990" s="40" t="s">
        <v>754</v>
      </c>
      <c r="I990" s="360" t="e">
        <f>VLOOKUP(Таблица18[[#This Row],[Номер акта]],$AB$1:$AF$1833,3,FALSE)</f>
        <v>#N/A</v>
      </c>
      <c r="J990" s="40" t="s">
        <v>21</v>
      </c>
      <c r="K990" s="40" t="s">
        <v>82</v>
      </c>
      <c r="L990" s="121">
        <v>28980</v>
      </c>
      <c r="M990" s="121">
        <v>20040</v>
      </c>
      <c r="N990" s="121">
        <v>26.5</v>
      </c>
      <c r="O990" s="363">
        <v>8940</v>
      </c>
      <c r="P990" s="363">
        <v>6570.9</v>
      </c>
      <c r="Q990" s="121">
        <v>2025</v>
      </c>
      <c r="R990" s="121"/>
      <c r="S990" s="148">
        <v>45817</v>
      </c>
      <c r="T990" s="363">
        <f>Таблица18[[#This Row],[Вес нетто]]-Таблица18[[#This Row],[Зачетный вес]]</f>
        <v>2369.1000000000004</v>
      </c>
      <c r="U990" s="365">
        <f>Таблица18[[#This Row],[Отход]]/Таблица18[[#This Row],[Вес нетто]]</f>
        <v>0.26500000000000001</v>
      </c>
      <c r="V990" s="121">
        <f>MONTH(Таблица18[[#This Row],[Дата акта]])</f>
        <v>6</v>
      </c>
      <c r="W990" s="121">
        <v>9</v>
      </c>
      <c r="X990" s="148">
        <f>DATE(1900,Таблица18[[#This Row],[Месяц]],Таблица18[[#This Row],[Число]])</f>
        <v>161</v>
      </c>
      <c r="Y990" s="121"/>
      <c r="Z990" s="121" t="str">
        <f>Таблица18[[#This Row],[Хар-ка]]</f>
        <v>высший</v>
      </c>
      <c r="AD990" s="459"/>
      <c r="AE990" s="391"/>
    </row>
    <row r="991" spans="1:31" s="325" customFormat="1" ht="15.6" hidden="1" customHeight="1" x14ac:dyDescent="0.2">
      <c r="A991" s="40" t="s">
        <v>811</v>
      </c>
      <c r="B991" s="360" t="s">
        <v>511</v>
      </c>
      <c r="C991" s="40">
        <v>330</v>
      </c>
      <c r="D991" s="40">
        <v>101</v>
      </c>
      <c r="E991" s="40" t="s">
        <v>78</v>
      </c>
      <c r="F991" s="40" t="s">
        <v>239</v>
      </c>
      <c r="G991" s="40" t="s">
        <v>243</v>
      </c>
      <c r="H991" s="40" t="s">
        <v>796</v>
      </c>
      <c r="I991" s="360" t="e">
        <f>VLOOKUP(Таблица18[[#This Row],[Номер акта]],$AB$1:$AF$1833,3,FALSE)</f>
        <v>#N/A</v>
      </c>
      <c r="J991" s="40" t="s">
        <v>805</v>
      </c>
      <c r="K991" s="40" t="s">
        <v>82</v>
      </c>
      <c r="L991" s="121">
        <v>20040</v>
      </c>
      <c r="M991" s="121">
        <v>14560</v>
      </c>
      <c r="N991" s="121">
        <v>15.5</v>
      </c>
      <c r="O991" s="363">
        <v>5480</v>
      </c>
      <c r="P991" s="363">
        <v>4630.6000000000004</v>
      </c>
      <c r="Q991" s="121">
        <v>2025</v>
      </c>
      <c r="R991" s="121"/>
      <c r="S991" s="148">
        <v>45817</v>
      </c>
      <c r="T991" s="363">
        <f>Таблица18[[#This Row],[Вес нетто]]-Таблица18[[#This Row],[Зачетный вес]]</f>
        <v>849.39999999999964</v>
      </c>
      <c r="U991" s="365">
        <f>Таблица18[[#This Row],[Отход]]/Таблица18[[#This Row],[Вес нетто]]</f>
        <v>0.15499999999999994</v>
      </c>
      <c r="V991" s="121">
        <f>MONTH(Таблица18[[#This Row],[Дата акта]])</f>
        <v>6</v>
      </c>
      <c r="W991" s="121">
        <v>9</v>
      </c>
      <c r="X991" s="148">
        <f>DATE(1900,Таблица18[[#This Row],[Месяц]],Таблица18[[#This Row],[Число]])</f>
        <v>161</v>
      </c>
      <c r="Y991" s="121"/>
      <c r="Z991" s="121" t="str">
        <f>Таблица18[[#This Row],[Хар-ка]]</f>
        <v>высший</v>
      </c>
      <c r="AD991" s="459"/>
      <c r="AE991" s="391"/>
    </row>
    <row r="992" spans="1:31" s="325" customFormat="1" ht="15.6" hidden="1" customHeight="1" x14ac:dyDescent="0.2">
      <c r="A992" s="40" t="s">
        <v>812</v>
      </c>
      <c r="B992" s="360" t="s">
        <v>511</v>
      </c>
      <c r="C992" s="40">
        <v>331</v>
      </c>
      <c r="D992" s="40">
        <v>102</v>
      </c>
      <c r="E992" s="40" t="s">
        <v>78</v>
      </c>
      <c r="F992" s="40" t="s">
        <v>133</v>
      </c>
      <c r="G992" s="40" t="s">
        <v>137</v>
      </c>
      <c r="H992" s="40" t="s">
        <v>754</v>
      </c>
      <c r="I992" s="360" t="e">
        <f>VLOOKUP(Таблица18[[#This Row],[Номер акта]],$AB$1:$AF$1833,3,FALSE)</f>
        <v>#N/A</v>
      </c>
      <c r="J992" s="40" t="s">
        <v>21</v>
      </c>
      <c r="K992" s="40" t="s">
        <v>82</v>
      </c>
      <c r="L992" s="121">
        <v>29040</v>
      </c>
      <c r="M992" s="121">
        <v>14960</v>
      </c>
      <c r="N992" s="121">
        <v>27</v>
      </c>
      <c r="O992" s="363">
        <v>14080</v>
      </c>
      <c r="P992" s="363">
        <v>10278.4</v>
      </c>
      <c r="Q992" s="121">
        <v>2025</v>
      </c>
      <c r="R992" s="121"/>
      <c r="S992" s="148">
        <v>45817</v>
      </c>
      <c r="T992" s="363">
        <f>Таблица18[[#This Row],[Вес нетто]]-Таблица18[[#This Row],[Зачетный вес]]</f>
        <v>3801.6000000000004</v>
      </c>
      <c r="U992" s="365">
        <f>Таблица18[[#This Row],[Отход]]/Таблица18[[#This Row],[Вес нетто]]</f>
        <v>0.27</v>
      </c>
      <c r="V992" s="121">
        <f>MONTH(Таблица18[[#This Row],[Дата акта]])</f>
        <v>6</v>
      </c>
      <c r="W992" s="121">
        <v>9</v>
      </c>
      <c r="X992" s="148">
        <f>DATE(1900,Таблица18[[#This Row],[Месяц]],Таблица18[[#This Row],[Число]])</f>
        <v>161</v>
      </c>
      <c r="Y992" s="121"/>
      <c r="Z992" s="121" t="str">
        <f>Таблица18[[#This Row],[Хар-ка]]</f>
        <v>высший</v>
      </c>
      <c r="AD992" s="459"/>
      <c r="AE992" s="391"/>
    </row>
    <row r="993" spans="1:31" s="325" customFormat="1" ht="15.6" hidden="1" customHeight="1" x14ac:dyDescent="0.2">
      <c r="A993" s="40" t="s">
        <v>813</v>
      </c>
      <c r="B993" s="360" t="s">
        <v>511</v>
      </c>
      <c r="C993" s="40">
        <v>332</v>
      </c>
      <c r="D993" s="40">
        <v>103</v>
      </c>
      <c r="E993" s="40" t="s">
        <v>78</v>
      </c>
      <c r="F993" s="40" t="s">
        <v>737</v>
      </c>
      <c r="G993" s="40" t="s">
        <v>738</v>
      </c>
      <c r="H993" s="40" t="s">
        <v>754</v>
      </c>
      <c r="I993" s="360" t="e">
        <f>VLOOKUP(Таблица18[[#This Row],[Номер акта]],$AB$1:$AF$1833,3,FALSE)</f>
        <v>#N/A</v>
      </c>
      <c r="J993" s="40" t="s">
        <v>21</v>
      </c>
      <c r="K993" s="40" t="s">
        <v>82</v>
      </c>
      <c r="L993" s="121">
        <v>7930</v>
      </c>
      <c r="M993" s="121">
        <v>4570</v>
      </c>
      <c r="N993" s="121">
        <v>11.5</v>
      </c>
      <c r="O993" s="363">
        <v>3360</v>
      </c>
      <c r="P993" s="363">
        <v>2973.6</v>
      </c>
      <c r="Q993" s="121">
        <v>2025</v>
      </c>
      <c r="R993" s="121"/>
      <c r="S993" s="148">
        <v>45817</v>
      </c>
      <c r="T993" s="363">
        <f>Таблица18[[#This Row],[Вес нетто]]-Таблица18[[#This Row],[Зачетный вес]]</f>
        <v>386.40000000000009</v>
      </c>
      <c r="U993" s="365">
        <f>Таблица18[[#This Row],[Отход]]/Таблица18[[#This Row],[Вес нетто]]</f>
        <v>0.11500000000000003</v>
      </c>
      <c r="V993" s="121">
        <f>MONTH(Таблица18[[#This Row],[Дата акта]])</f>
        <v>6</v>
      </c>
      <c r="W993" s="121">
        <v>9</v>
      </c>
      <c r="X993" s="148">
        <f>DATE(1900,Таблица18[[#This Row],[Месяц]],Таблица18[[#This Row],[Число]])</f>
        <v>161</v>
      </c>
      <c r="Y993" s="121"/>
      <c r="Z993" s="121" t="str">
        <f>Таблица18[[#This Row],[Хар-ка]]</f>
        <v>высший</v>
      </c>
      <c r="AD993" s="459"/>
      <c r="AE993" s="391"/>
    </row>
    <row r="994" spans="1:31" s="325" customFormat="1" ht="15.6" hidden="1" customHeight="1" x14ac:dyDescent="0.2">
      <c r="A994" s="40" t="s">
        <v>814</v>
      </c>
      <c r="B994" s="360" t="s">
        <v>550</v>
      </c>
      <c r="C994" s="40">
        <v>333</v>
      </c>
      <c r="D994" s="40">
        <v>104</v>
      </c>
      <c r="E994" s="40" t="s">
        <v>78</v>
      </c>
      <c r="F994" s="40" t="s">
        <v>127</v>
      </c>
      <c r="G994" s="40" t="s">
        <v>131</v>
      </c>
      <c r="H994" s="40" t="s">
        <v>754</v>
      </c>
      <c r="I994" s="360" t="e">
        <f>VLOOKUP(Таблица18[[#This Row],[Номер акта]],$AB$1:$AF$1833,3,FALSE)</f>
        <v>#N/A</v>
      </c>
      <c r="J994" s="40" t="s">
        <v>21</v>
      </c>
      <c r="K994" s="40" t="s">
        <v>82</v>
      </c>
      <c r="L994" s="121">
        <v>29700</v>
      </c>
      <c r="M994" s="121">
        <v>14290</v>
      </c>
      <c r="N994" s="121">
        <v>13</v>
      </c>
      <c r="O994" s="363">
        <v>15410</v>
      </c>
      <c r="P994" s="363">
        <v>13406.7</v>
      </c>
      <c r="Q994" s="121">
        <v>2025</v>
      </c>
      <c r="R994" s="121"/>
      <c r="S994" s="148">
        <v>45817</v>
      </c>
      <c r="T994" s="363">
        <f>Таблица18[[#This Row],[Вес нетто]]-Таблица18[[#This Row],[Зачетный вес]]</f>
        <v>2003.2999999999993</v>
      </c>
      <c r="U994" s="365">
        <f>Таблица18[[#This Row],[Отход]]/Таблица18[[#This Row],[Вес нетто]]</f>
        <v>0.12999999999999995</v>
      </c>
      <c r="V994" s="121">
        <f>MONTH(Таблица18[[#This Row],[Дата акта]])</f>
        <v>6</v>
      </c>
      <c r="W994" s="121">
        <v>9</v>
      </c>
      <c r="X994" s="148">
        <f>DATE(1900,Таблица18[[#This Row],[Месяц]],Таблица18[[#This Row],[Число]])</f>
        <v>161</v>
      </c>
      <c r="Y994" s="121"/>
      <c r="Z994" s="121" t="str">
        <f>Таблица18[[#This Row],[Хар-ка]]</f>
        <v>первый</v>
      </c>
      <c r="AD994" s="459"/>
      <c r="AE994" s="391"/>
    </row>
    <row r="995" spans="1:31" s="325" customFormat="1" ht="15.6" hidden="1" customHeight="1" x14ac:dyDescent="0.2">
      <c r="A995" s="40" t="s">
        <v>815</v>
      </c>
      <c r="B995" s="360" t="s">
        <v>511</v>
      </c>
      <c r="C995" s="40">
        <v>243</v>
      </c>
      <c r="D995" s="40" t="s">
        <v>842</v>
      </c>
      <c r="E995" s="40" t="s">
        <v>78</v>
      </c>
      <c r="F995" s="40" t="s">
        <v>283</v>
      </c>
      <c r="G995" s="40" t="s">
        <v>287</v>
      </c>
      <c r="H995" s="40" t="s">
        <v>523</v>
      </c>
      <c r="I995" s="360" t="e">
        <f>VLOOKUP(Таблица18[[#This Row],[Номер акта]],$AB$1:$AF$1833,3,FALSE)</f>
        <v>#N/A</v>
      </c>
      <c r="J995" s="40" t="s">
        <v>524</v>
      </c>
      <c r="K995" s="40" t="s">
        <v>82</v>
      </c>
      <c r="L995" s="121">
        <v>31330</v>
      </c>
      <c r="M995" s="121">
        <v>17860</v>
      </c>
      <c r="N995" s="121">
        <v>17.600000000000001</v>
      </c>
      <c r="O995" s="363">
        <v>13470</v>
      </c>
      <c r="P995" s="363">
        <v>11105.4</v>
      </c>
      <c r="Q995" s="121">
        <v>2025</v>
      </c>
      <c r="R995" s="121"/>
      <c r="S995" s="148">
        <v>45814</v>
      </c>
      <c r="T995" s="363">
        <f>Таблица18[[#This Row],[Вес нетто]]-Таблица18[[#This Row],[Зачетный вес]]</f>
        <v>2364.6000000000004</v>
      </c>
      <c r="U995" s="365">
        <f>Таблица18[[#This Row],[Отход]]/Таблица18[[#This Row],[Вес нетто]]</f>
        <v>0.17554565701559022</v>
      </c>
      <c r="V995" s="121">
        <f>MONTH(Таблица18[[#This Row],[Дата акта]])</f>
        <v>6</v>
      </c>
      <c r="W995" s="121">
        <v>6</v>
      </c>
      <c r="X995" s="148">
        <f>DATE(1900,Таблица18[[#This Row],[Месяц]],Таблица18[[#This Row],[Число]])</f>
        <v>158</v>
      </c>
      <c r="Y995" s="121"/>
      <c r="Z995" s="121" t="str">
        <f>Таблица18[[#This Row],[Хар-ка]]</f>
        <v>высший</v>
      </c>
      <c r="AD995" s="459"/>
      <c r="AE995" s="391"/>
    </row>
    <row r="996" spans="1:31" s="325" customFormat="1" ht="15.6" hidden="1" customHeight="1" x14ac:dyDescent="0.2">
      <c r="A996" s="40" t="s">
        <v>816</v>
      </c>
      <c r="B996" s="360" t="s">
        <v>511</v>
      </c>
      <c r="C996" s="40">
        <v>247</v>
      </c>
      <c r="D996" s="40" t="s">
        <v>843</v>
      </c>
      <c r="E996" s="40" t="s">
        <v>557</v>
      </c>
      <c r="F996" s="40" t="s">
        <v>289</v>
      </c>
      <c r="G996" s="40" t="s">
        <v>293</v>
      </c>
      <c r="H996" s="40" t="s">
        <v>523</v>
      </c>
      <c r="I996" s="360" t="e">
        <f>VLOOKUP(Таблица18[[#This Row],[Номер акта]],$AB$1:$AF$1833,3,FALSE)</f>
        <v>#N/A</v>
      </c>
      <c r="J996" s="40" t="s">
        <v>524</v>
      </c>
      <c r="K996" s="40" t="s">
        <v>82</v>
      </c>
      <c r="L996" s="121">
        <v>30930</v>
      </c>
      <c r="M996" s="121">
        <v>16950</v>
      </c>
      <c r="N996" s="121">
        <v>17.100000000000001</v>
      </c>
      <c r="O996" s="363">
        <v>13980</v>
      </c>
      <c r="P996" s="363">
        <v>11587</v>
      </c>
      <c r="Q996" s="121">
        <v>2025</v>
      </c>
      <c r="R996" s="121"/>
      <c r="S996" s="148">
        <v>45814</v>
      </c>
      <c r="T996" s="363">
        <f>Таблица18[[#This Row],[Вес нетто]]-Таблица18[[#This Row],[Зачетный вес]]</f>
        <v>2393</v>
      </c>
      <c r="U996" s="365">
        <f>Таблица18[[#This Row],[Отход]]/Таблица18[[#This Row],[Вес нетто]]</f>
        <v>0.17117310443490702</v>
      </c>
      <c r="V996" s="121">
        <f>MONTH(Таблица18[[#This Row],[Дата акта]])</f>
        <v>6</v>
      </c>
      <c r="W996" s="121">
        <v>6</v>
      </c>
      <c r="X996" s="148">
        <f>DATE(1900,Таблица18[[#This Row],[Месяц]],Таблица18[[#This Row],[Число]])</f>
        <v>158</v>
      </c>
      <c r="Y996" s="121"/>
      <c r="Z996" s="121" t="str">
        <f>Таблица18[[#This Row],[Хар-ка]]</f>
        <v>высший</v>
      </c>
      <c r="AD996" s="459"/>
      <c r="AE996" s="391"/>
    </row>
    <row r="997" spans="1:31" s="325" customFormat="1" ht="15.6" hidden="1" customHeight="1" x14ac:dyDescent="0.2">
      <c r="A997" s="40" t="s">
        <v>817</v>
      </c>
      <c r="B997" s="360" t="s">
        <v>511</v>
      </c>
      <c r="C997" s="40">
        <v>262</v>
      </c>
      <c r="D997" s="40" t="s">
        <v>844</v>
      </c>
      <c r="E997" s="40" t="s">
        <v>78</v>
      </c>
      <c r="F997" s="40" t="s">
        <v>439</v>
      </c>
      <c r="G997" s="40" t="s">
        <v>440</v>
      </c>
      <c r="H997" s="40" t="s">
        <v>523</v>
      </c>
      <c r="I997" s="360" t="e">
        <f>VLOOKUP(Таблица18[[#This Row],[Номер акта]],$AB$1:$AF$1833,3,FALSE)</f>
        <v>#N/A</v>
      </c>
      <c r="J997" s="40" t="s">
        <v>524</v>
      </c>
      <c r="K997" s="40" t="s">
        <v>82</v>
      </c>
      <c r="L997" s="121">
        <v>32070</v>
      </c>
      <c r="M997" s="121">
        <v>16710</v>
      </c>
      <c r="N997" s="121">
        <v>18.3</v>
      </c>
      <c r="O997" s="363">
        <v>15360</v>
      </c>
      <c r="P997" s="363">
        <v>12544.9</v>
      </c>
      <c r="Q997" s="121">
        <v>2025</v>
      </c>
      <c r="R997" s="121"/>
      <c r="S997" s="148">
        <v>45814</v>
      </c>
      <c r="T997" s="363">
        <f>Таблица18[[#This Row],[Вес нетто]]-Таблица18[[#This Row],[Зачетный вес]]</f>
        <v>2815.1000000000004</v>
      </c>
      <c r="U997" s="365">
        <f>Таблица18[[#This Row],[Отход]]/Таблица18[[#This Row],[Вес нетто]]</f>
        <v>0.18327473958333335</v>
      </c>
      <c r="V997" s="121">
        <f>MONTH(Таблица18[[#This Row],[Дата акта]])</f>
        <v>6</v>
      </c>
      <c r="W997" s="121">
        <v>6</v>
      </c>
      <c r="X997" s="148">
        <f>DATE(1900,Таблица18[[#This Row],[Месяц]],Таблица18[[#This Row],[Число]])</f>
        <v>158</v>
      </c>
      <c r="Y997" s="121"/>
      <c r="Z997" s="121" t="str">
        <f>Таблица18[[#This Row],[Хар-ка]]</f>
        <v>высший</v>
      </c>
      <c r="AD997" s="459"/>
      <c r="AE997" s="391"/>
    </row>
    <row r="998" spans="1:31" s="325" customFormat="1" ht="15.6" hidden="1" customHeight="1" x14ac:dyDescent="0.2">
      <c r="A998" s="40" t="s">
        <v>818</v>
      </c>
      <c r="B998" s="360" t="s">
        <v>511</v>
      </c>
      <c r="C998" s="40">
        <v>264</v>
      </c>
      <c r="D998" s="40" t="s">
        <v>845</v>
      </c>
      <c r="E998" s="40" t="s">
        <v>557</v>
      </c>
      <c r="F998" s="40" t="s">
        <v>295</v>
      </c>
      <c r="G998" s="40" t="s">
        <v>299</v>
      </c>
      <c r="H998" s="40" t="s">
        <v>523</v>
      </c>
      <c r="I998" s="360" t="e">
        <f>VLOOKUP(Таблица18[[#This Row],[Номер акта]],$AB$1:$AF$1833,3,FALSE)</f>
        <v>#N/A</v>
      </c>
      <c r="J998" s="40" t="s">
        <v>21</v>
      </c>
      <c r="K998" s="40" t="s">
        <v>82</v>
      </c>
      <c r="L998" s="121">
        <v>30510</v>
      </c>
      <c r="M998" s="121">
        <v>17670</v>
      </c>
      <c r="N998" s="121">
        <v>16.7</v>
      </c>
      <c r="O998" s="363">
        <v>12840</v>
      </c>
      <c r="P998" s="363">
        <v>10697.5</v>
      </c>
      <c r="Q998" s="121">
        <v>2025</v>
      </c>
      <c r="R998" s="121"/>
      <c r="S998" s="148">
        <v>45814</v>
      </c>
      <c r="T998" s="363">
        <f>Таблица18[[#This Row],[Вес нетто]]-Таблица18[[#This Row],[Зачетный вес]]</f>
        <v>2142.5</v>
      </c>
      <c r="U998" s="365">
        <f>Таблица18[[#This Row],[Отход]]/Таблица18[[#This Row],[Вес нетто]]</f>
        <v>0.16686137071651092</v>
      </c>
      <c r="V998" s="121">
        <f>MONTH(Таблица18[[#This Row],[Дата акта]])</f>
        <v>6</v>
      </c>
      <c r="W998" s="121">
        <v>6</v>
      </c>
      <c r="X998" s="148">
        <f>DATE(1900,Таблица18[[#This Row],[Месяц]],Таблица18[[#This Row],[Число]])</f>
        <v>158</v>
      </c>
      <c r="Y998" s="121"/>
      <c r="Z998" s="121" t="str">
        <f>Таблица18[[#This Row],[Хар-ка]]</f>
        <v>высший</v>
      </c>
      <c r="AD998" s="459"/>
      <c r="AE998" s="391"/>
    </row>
    <row r="999" spans="1:31" s="325" customFormat="1" ht="15.6" hidden="1" customHeight="1" x14ac:dyDescent="0.2">
      <c r="A999" s="40" t="s">
        <v>819</v>
      </c>
      <c r="B999" s="360" t="s">
        <v>511</v>
      </c>
      <c r="C999" s="40">
        <v>261</v>
      </c>
      <c r="D999" s="40" t="s">
        <v>846</v>
      </c>
      <c r="E999" s="40" t="s">
        <v>78</v>
      </c>
      <c r="F999" s="40" t="s">
        <v>442</v>
      </c>
      <c r="G999" s="40" t="s">
        <v>443</v>
      </c>
      <c r="H999" s="40" t="s">
        <v>754</v>
      </c>
      <c r="I999" s="360" t="e">
        <f>VLOOKUP(Таблица18[[#This Row],[Номер акта]],$AB$1:$AF$1833,3,FALSE)</f>
        <v>#N/A</v>
      </c>
      <c r="J999" s="40" t="s">
        <v>21</v>
      </c>
      <c r="K999" s="40" t="s">
        <v>82</v>
      </c>
      <c r="L999" s="121">
        <v>35150</v>
      </c>
      <c r="M999" s="121">
        <v>18810</v>
      </c>
      <c r="N999" s="121">
        <v>13.5</v>
      </c>
      <c r="O999" s="363">
        <v>16340</v>
      </c>
      <c r="P999" s="363">
        <v>14133.1</v>
      </c>
      <c r="Q999" s="121">
        <v>2025</v>
      </c>
      <c r="R999" s="121"/>
      <c r="S999" s="148">
        <v>45814</v>
      </c>
      <c r="T999" s="363">
        <f>Таблица18[[#This Row],[Вес нетто]]-Таблица18[[#This Row],[Зачетный вес]]</f>
        <v>2206.8999999999996</v>
      </c>
      <c r="U999" s="365">
        <f>Таблица18[[#This Row],[Отход]]/Таблица18[[#This Row],[Вес нетто]]</f>
        <v>0.13506119951040391</v>
      </c>
      <c r="V999" s="121">
        <f>MONTH(Таблица18[[#This Row],[Дата акта]])</f>
        <v>6</v>
      </c>
      <c r="W999" s="121">
        <v>6</v>
      </c>
      <c r="X999" s="148">
        <f>DATE(1900,Таблица18[[#This Row],[Месяц]],Таблица18[[#This Row],[Число]])</f>
        <v>158</v>
      </c>
      <c r="Y999" s="121"/>
      <c r="Z999" s="121" t="str">
        <f>Таблица18[[#This Row],[Хар-ка]]</f>
        <v>высший</v>
      </c>
      <c r="AD999" s="459"/>
      <c r="AE999" s="391"/>
    </row>
    <row r="1000" spans="1:31" s="325" customFormat="1" ht="15.6" hidden="1" customHeight="1" x14ac:dyDescent="0.2">
      <c r="A1000" s="40" t="s">
        <v>829</v>
      </c>
      <c r="B1000" s="360" t="s">
        <v>511</v>
      </c>
      <c r="C1000" s="40">
        <v>337</v>
      </c>
      <c r="D1000" s="40">
        <v>64</v>
      </c>
      <c r="E1000" s="40" t="s">
        <v>78</v>
      </c>
      <c r="F1000" s="40" t="s">
        <v>329</v>
      </c>
      <c r="G1000" s="40" t="s">
        <v>333</v>
      </c>
      <c r="H1000" s="40" t="s">
        <v>754</v>
      </c>
      <c r="I1000" s="360" t="e">
        <f>VLOOKUP(Таблица18[[#This Row],[Номер акта]],$AB$1:$AF$1833,3,FALSE)</f>
        <v>#N/A</v>
      </c>
      <c r="J1000" s="40" t="s">
        <v>21</v>
      </c>
      <c r="K1000" s="40" t="s">
        <v>82</v>
      </c>
      <c r="L1000" s="121">
        <v>23850</v>
      </c>
      <c r="M1000" s="121">
        <v>14890</v>
      </c>
      <c r="N1000" s="121">
        <v>16</v>
      </c>
      <c r="O1000" s="363">
        <v>8960</v>
      </c>
      <c r="P1000" s="363">
        <v>7526.4</v>
      </c>
      <c r="Q1000" s="121">
        <v>2025</v>
      </c>
      <c r="R1000" s="121"/>
      <c r="S1000" s="148">
        <v>45815</v>
      </c>
      <c r="T1000" s="363">
        <f>Таблица18[[#This Row],[Вес нетто]]-Таблица18[[#This Row],[Зачетный вес]]</f>
        <v>1433.6000000000004</v>
      </c>
      <c r="U1000" s="365">
        <f>Таблица18[[#This Row],[Отход]]/Таблица18[[#This Row],[Вес нетто]]</f>
        <v>0.16000000000000003</v>
      </c>
      <c r="V1000" s="121">
        <f>MONTH(Таблица18[[#This Row],[Дата акта]])</f>
        <v>6</v>
      </c>
      <c r="W1000" s="121">
        <v>7</v>
      </c>
      <c r="X1000" s="148">
        <f>DATE(1900,Таблица18[[#This Row],[Месяц]],Таблица18[[#This Row],[Число]])</f>
        <v>159</v>
      </c>
      <c r="Y1000" s="121"/>
      <c r="Z1000" s="121" t="str">
        <f>Таблица18[[#This Row],[Хар-ка]]</f>
        <v>высший</v>
      </c>
      <c r="AD1000" s="459"/>
      <c r="AE1000" s="391"/>
    </row>
    <row r="1001" spans="1:31" s="325" customFormat="1" ht="15.6" hidden="1" customHeight="1" x14ac:dyDescent="0.2">
      <c r="A1001" s="40" t="s">
        <v>835</v>
      </c>
      <c r="B1001" s="360" t="s">
        <v>511</v>
      </c>
      <c r="C1001" s="40">
        <v>280</v>
      </c>
      <c r="D1001" s="40" t="s">
        <v>847</v>
      </c>
      <c r="E1001" s="40" t="s">
        <v>78</v>
      </c>
      <c r="F1001" s="40" t="s">
        <v>514</v>
      </c>
      <c r="G1001" s="40" t="s">
        <v>515</v>
      </c>
      <c r="H1001" s="40" t="s">
        <v>754</v>
      </c>
      <c r="I1001" s="360" t="e">
        <f>VLOOKUP(Таблица18[[#This Row],[Номер акта]],$AB$1:$AF$1833,3,FALSE)</f>
        <v>#N/A</v>
      </c>
      <c r="J1001" s="40" t="s">
        <v>21</v>
      </c>
      <c r="K1001" s="40" t="s">
        <v>82</v>
      </c>
      <c r="L1001" s="121">
        <v>31050</v>
      </c>
      <c r="M1001" s="121">
        <v>17130</v>
      </c>
      <c r="N1001" s="121">
        <v>19</v>
      </c>
      <c r="O1001" s="363">
        <v>13920</v>
      </c>
      <c r="P1001" s="363">
        <v>11279.6</v>
      </c>
      <c r="Q1001" s="121">
        <v>2025</v>
      </c>
      <c r="R1001" s="121"/>
      <c r="S1001" s="148">
        <v>45815</v>
      </c>
      <c r="T1001" s="363">
        <f>Таблица18[[#This Row],[Вес нетто]]-Таблица18[[#This Row],[Зачетный вес]]</f>
        <v>2640.3999999999996</v>
      </c>
      <c r="U1001" s="365">
        <f>Таблица18[[#This Row],[Отход]]/Таблица18[[#This Row],[Вес нетто]]</f>
        <v>0.18968390804597698</v>
      </c>
      <c r="V1001" s="121">
        <f>MONTH(Таблица18[[#This Row],[Дата акта]])</f>
        <v>6</v>
      </c>
      <c r="W1001" s="121">
        <v>7</v>
      </c>
      <c r="X1001" s="148">
        <f>DATE(1900,Таблица18[[#This Row],[Месяц]],Таблица18[[#This Row],[Число]])</f>
        <v>159</v>
      </c>
      <c r="Y1001" s="121"/>
      <c r="Z1001" s="121" t="str">
        <f>Таблица18[[#This Row],[Хар-ка]]</f>
        <v>высший</v>
      </c>
      <c r="AD1001" s="459"/>
      <c r="AE1001" s="391"/>
    </row>
    <row r="1002" spans="1:31" s="325" customFormat="1" ht="15.6" hidden="1" customHeight="1" x14ac:dyDescent="0.2">
      <c r="A1002" s="40" t="s">
        <v>830</v>
      </c>
      <c r="B1002" s="360" t="s">
        <v>511</v>
      </c>
      <c r="C1002" s="40">
        <v>269</v>
      </c>
      <c r="D1002" s="40" t="s">
        <v>848</v>
      </c>
      <c r="E1002" s="40" t="s">
        <v>78</v>
      </c>
      <c r="F1002" s="40" t="s">
        <v>521</v>
      </c>
      <c r="G1002" s="40" t="s">
        <v>675</v>
      </c>
      <c r="H1002" s="40" t="s">
        <v>754</v>
      </c>
      <c r="I1002" s="360" t="e">
        <f>VLOOKUP(Таблица18[[#This Row],[Номер акта]],$AB$1:$AF$1833,3,FALSE)</f>
        <v>#N/A</v>
      </c>
      <c r="J1002" s="40" t="s">
        <v>21</v>
      </c>
      <c r="K1002" s="40" t="s">
        <v>82</v>
      </c>
      <c r="L1002" s="121">
        <v>32130</v>
      </c>
      <c r="M1002" s="121">
        <v>16130</v>
      </c>
      <c r="N1002" s="121">
        <v>18.899999999999999</v>
      </c>
      <c r="O1002" s="363">
        <v>16000</v>
      </c>
      <c r="P1002" s="363">
        <v>12975.8</v>
      </c>
      <c r="Q1002" s="121">
        <v>2025</v>
      </c>
      <c r="R1002" s="121"/>
      <c r="S1002" s="148">
        <v>45815</v>
      </c>
      <c r="T1002" s="363">
        <f>Таблица18[[#This Row],[Вес нетто]]-Таблица18[[#This Row],[Зачетный вес]]</f>
        <v>3024.2000000000007</v>
      </c>
      <c r="U1002" s="365">
        <f>Таблица18[[#This Row],[Отход]]/Таблица18[[#This Row],[Вес нетто]]</f>
        <v>0.18901250000000006</v>
      </c>
      <c r="V1002" s="121">
        <f>MONTH(Таблица18[[#This Row],[Дата акта]])</f>
        <v>6</v>
      </c>
      <c r="W1002" s="121">
        <v>7</v>
      </c>
      <c r="X1002" s="148">
        <f>DATE(1900,Таблица18[[#This Row],[Месяц]],Таблица18[[#This Row],[Число]])</f>
        <v>159</v>
      </c>
      <c r="Y1002" s="121"/>
      <c r="Z1002" s="121" t="str">
        <f>Таблица18[[#This Row],[Хар-ка]]</f>
        <v>высший</v>
      </c>
      <c r="AD1002" s="459"/>
      <c r="AE1002" s="391"/>
    </row>
    <row r="1003" spans="1:31" s="325" customFormat="1" ht="15.6" hidden="1" customHeight="1" x14ac:dyDescent="0.2">
      <c r="A1003" s="40" t="s">
        <v>834</v>
      </c>
      <c r="B1003" s="360" t="s">
        <v>833</v>
      </c>
      <c r="C1003" s="40">
        <v>336</v>
      </c>
      <c r="D1003" s="40">
        <v>105</v>
      </c>
      <c r="E1003" s="40" t="s">
        <v>78</v>
      </c>
      <c r="F1003" s="40" t="s">
        <v>212</v>
      </c>
      <c r="G1003" s="40" t="s">
        <v>216</v>
      </c>
      <c r="H1003" s="40" t="s">
        <v>849</v>
      </c>
      <c r="I1003" s="360" t="e">
        <f>VLOOKUP(Таблица18[[#This Row],[Номер акта]],$AB$1:$AF$1833,3,FALSE)</f>
        <v>#N/A</v>
      </c>
      <c r="J1003" s="40" t="s">
        <v>524</v>
      </c>
      <c r="K1003" s="40" t="s">
        <v>82</v>
      </c>
      <c r="L1003" s="121">
        <v>22920</v>
      </c>
      <c r="M1003" s="121">
        <v>13920</v>
      </c>
      <c r="N1003" s="121">
        <v>12</v>
      </c>
      <c r="O1003" s="363">
        <v>9000</v>
      </c>
      <c r="P1003" s="363">
        <v>7920</v>
      </c>
      <c r="Q1003" s="121">
        <v>2025</v>
      </c>
      <c r="R1003" s="121"/>
      <c r="S1003" s="148">
        <v>45817</v>
      </c>
      <c r="T1003" s="363">
        <f>Таблица18[[#This Row],[Вес нетто]]-Таблица18[[#This Row],[Зачетный вес]]</f>
        <v>1080</v>
      </c>
      <c r="U1003" s="365">
        <f>Таблица18[[#This Row],[Отход]]/Таблица18[[#This Row],[Вес нетто]]</f>
        <v>0.12</v>
      </c>
      <c r="V1003" s="121">
        <f>MONTH(Таблица18[[#This Row],[Дата акта]])</f>
        <v>6</v>
      </c>
      <c r="W1003" s="121">
        <v>9</v>
      </c>
      <c r="X1003" s="148">
        <f>DATE(1900,Таблица18[[#This Row],[Месяц]],Таблица18[[#This Row],[Число]])</f>
        <v>161</v>
      </c>
      <c r="Y1003" s="121"/>
      <c r="Z1003" s="121" t="str">
        <f>Таблица18[[#This Row],[Хар-ка]]</f>
        <v>второй</v>
      </c>
      <c r="AD1003" s="459"/>
      <c r="AE1003" s="391"/>
    </row>
    <row r="1004" spans="1:31" s="325" customFormat="1" ht="15.6" hidden="1" customHeight="1" x14ac:dyDescent="0.2">
      <c r="A1004" s="40" t="s">
        <v>832</v>
      </c>
      <c r="B1004" s="360" t="s">
        <v>550</v>
      </c>
      <c r="C1004" s="40">
        <v>338</v>
      </c>
      <c r="D1004" s="40">
        <v>106</v>
      </c>
      <c r="E1004" s="40" t="s">
        <v>78</v>
      </c>
      <c r="F1004" s="40" t="s">
        <v>121</v>
      </c>
      <c r="G1004" s="40" t="s">
        <v>125</v>
      </c>
      <c r="H1004" s="40" t="s">
        <v>754</v>
      </c>
      <c r="I1004" s="360" t="e">
        <f>VLOOKUP(Таблица18[[#This Row],[Номер акта]],$AB$1:$AF$1833,3,FALSE)</f>
        <v>#N/A</v>
      </c>
      <c r="J1004" s="40" t="s">
        <v>21</v>
      </c>
      <c r="K1004" s="40" t="s">
        <v>82</v>
      </c>
      <c r="L1004" s="121">
        <v>27980</v>
      </c>
      <c r="M1004" s="121">
        <v>14750</v>
      </c>
      <c r="N1004" s="121">
        <v>16</v>
      </c>
      <c r="O1004" s="363">
        <v>13230</v>
      </c>
      <c r="P1004" s="363">
        <v>11113.2</v>
      </c>
      <c r="Q1004" s="121">
        <v>2025</v>
      </c>
      <c r="R1004" s="121"/>
      <c r="S1004" s="148">
        <v>45817</v>
      </c>
      <c r="T1004" s="363">
        <f>Таблица18[[#This Row],[Вес нетто]]-Таблица18[[#This Row],[Зачетный вес]]</f>
        <v>2116.7999999999993</v>
      </c>
      <c r="U1004" s="365">
        <f>Таблица18[[#This Row],[Отход]]/Таблица18[[#This Row],[Вес нетто]]</f>
        <v>0.15999999999999995</v>
      </c>
      <c r="V1004" s="121">
        <f>MONTH(Таблица18[[#This Row],[Дата акта]])</f>
        <v>6</v>
      </c>
      <c r="W1004" s="121">
        <v>9</v>
      </c>
      <c r="X1004" s="148">
        <f>DATE(1900,Таблица18[[#This Row],[Месяц]],Таблица18[[#This Row],[Число]])</f>
        <v>161</v>
      </c>
      <c r="Y1004" s="121"/>
      <c r="Z1004" s="121" t="str">
        <f>Таблица18[[#This Row],[Хар-ка]]</f>
        <v>первый</v>
      </c>
      <c r="AD1004" s="459"/>
      <c r="AE1004" s="391"/>
    </row>
    <row r="1005" spans="1:31" s="325" customFormat="1" ht="15.6" hidden="1" customHeight="1" x14ac:dyDescent="0.2">
      <c r="A1005" s="40" t="s">
        <v>831</v>
      </c>
      <c r="B1005" s="360" t="s">
        <v>550</v>
      </c>
      <c r="C1005" s="40">
        <v>339</v>
      </c>
      <c r="D1005" s="40">
        <v>107</v>
      </c>
      <c r="E1005" s="40" t="s">
        <v>78</v>
      </c>
      <c r="F1005" s="40" t="s">
        <v>79</v>
      </c>
      <c r="G1005" s="40" t="s">
        <v>850</v>
      </c>
      <c r="H1005" s="40" t="s">
        <v>849</v>
      </c>
      <c r="I1005" s="360" t="e">
        <f>VLOOKUP(Таблица18[[#This Row],[Номер акта]],$AB$1:$AF$1833,3,FALSE)</f>
        <v>#N/A</v>
      </c>
      <c r="J1005" s="40" t="s">
        <v>524</v>
      </c>
      <c r="K1005" s="40" t="s">
        <v>82</v>
      </c>
      <c r="L1005" s="121">
        <v>23280</v>
      </c>
      <c r="M1005" s="121">
        <v>14180</v>
      </c>
      <c r="N1005" s="121">
        <v>14.5</v>
      </c>
      <c r="O1005" s="363">
        <v>9100</v>
      </c>
      <c r="P1005" s="363">
        <v>7780.5</v>
      </c>
      <c r="Q1005" s="121">
        <v>2025</v>
      </c>
      <c r="R1005" s="121"/>
      <c r="S1005" s="148">
        <v>45817</v>
      </c>
      <c r="T1005" s="363">
        <f>Таблица18[[#This Row],[Вес нетто]]-Таблица18[[#This Row],[Зачетный вес]]</f>
        <v>1319.5</v>
      </c>
      <c r="U1005" s="365">
        <f>Таблица18[[#This Row],[Отход]]/Таблица18[[#This Row],[Вес нетто]]</f>
        <v>0.14499999999999999</v>
      </c>
      <c r="V1005" s="121">
        <f>MONTH(Таблица18[[#This Row],[Дата акта]])</f>
        <v>6</v>
      </c>
      <c r="W1005" s="121">
        <v>9</v>
      </c>
      <c r="X1005" s="148">
        <f>DATE(1900,Таблица18[[#This Row],[Месяц]],Таблица18[[#This Row],[Число]])</f>
        <v>161</v>
      </c>
      <c r="Y1005" s="121"/>
      <c r="Z1005" s="121" t="str">
        <f>Таблица18[[#This Row],[Хар-ка]]</f>
        <v>первый</v>
      </c>
      <c r="AD1005" s="459"/>
      <c r="AE1005" s="391"/>
    </row>
    <row r="1006" spans="1:31" s="325" customFormat="1" ht="15.6" hidden="1" customHeight="1" x14ac:dyDescent="0.2">
      <c r="A1006" s="40" t="s">
        <v>851</v>
      </c>
      <c r="B1006" s="360" t="s">
        <v>550</v>
      </c>
      <c r="C1006" s="40">
        <v>340</v>
      </c>
      <c r="D1006" s="40">
        <v>108</v>
      </c>
      <c r="E1006" s="40" t="s">
        <v>78</v>
      </c>
      <c r="F1006" s="40" t="s">
        <v>762</v>
      </c>
      <c r="G1006" s="40" t="s">
        <v>763</v>
      </c>
      <c r="H1006" s="40" t="s">
        <v>754</v>
      </c>
      <c r="I1006" s="360" t="e">
        <f>VLOOKUP(Таблица18[[#This Row],[Номер акта]],$AB$1:$AF$1833,3,FALSE)</f>
        <v>#N/A</v>
      </c>
      <c r="J1006" s="40" t="s">
        <v>21</v>
      </c>
      <c r="K1006" s="40" t="s">
        <v>82</v>
      </c>
      <c r="L1006" s="121">
        <v>9270</v>
      </c>
      <c r="M1006" s="121">
        <v>4600</v>
      </c>
      <c r="N1006" s="121">
        <v>20.5</v>
      </c>
      <c r="O1006" s="363">
        <v>4670</v>
      </c>
      <c r="P1006" s="363">
        <v>3712.6</v>
      </c>
      <c r="Q1006" s="121">
        <v>2025</v>
      </c>
      <c r="R1006" s="121"/>
      <c r="S1006" s="148">
        <v>45817</v>
      </c>
      <c r="T1006" s="363">
        <f>Таблица18[[#This Row],[Вес нетто]]-Таблица18[[#This Row],[Зачетный вес]]</f>
        <v>957.40000000000009</v>
      </c>
      <c r="U1006" s="365">
        <f>Таблица18[[#This Row],[Отход]]/Таблица18[[#This Row],[Вес нетто]]</f>
        <v>0.20501070663811566</v>
      </c>
      <c r="V1006" s="121">
        <f>MONTH(Таблица18[[#This Row],[Дата акта]])</f>
        <v>6</v>
      </c>
      <c r="W1006" s="121">
        <v>9</v>
      </c>
      <c r="X1006" s="148">
        <f>DATE(1900,Таблица18[[#This Row],[Месяц]],Таблица18[[#This Row],[Число]])</f>
        <v>161</v>
      </c>
      <c r="Y1006" s="121"/>
      <c r="Z1006" s="121" t="str">
        <f>Таблица18[[#This Row],[Хар-ка]]</f>
        <v>первый</v>
      </c>
      <c r="AD1006" s="459"/>
      <c r="AE1006" s="391"/>
    </row>
    <row r="1007" spans="1:31" s="325" customFormat="1" ht="15.6" hidden="1" customHeight="1" x14ac:dyDescent="0.2">
      <c r="A1007" s="40" t="s">
        <v>852</v>
      </c>
      <c r="B1007" s="360" t="s">
        <v>833</v>
      </c>
      <c r="C1007" s="40">
        <v>341</v>
      </c>
      <c r="D1007" s="40">
        <v>109</v>
      </c>
      <c r="E1007" s="40" t="s">
        <v>78</v>
      </c>
      <c r="F1007" s="40" t="s">
        <v>212</v>
      </c>
      <c r="G1007" s="40" t="s">
        <v>216</v>
      </c>
      <c r="H1007" s="40" t="s">
        <v>849</v>
      </c>
      <c r="I1007" s="360" t="e">
        <f>VLOOKUP(Таблица18[[#This Row],[Номер акта]],$AB$1:$AF$1833,3,FALSE)</f>
        <v>#N/A</v>
      </c>
      <c r="J1007" s="40" t="s">
        <v>524</v>
      </c>
      <c r="K1007" s="40" t="s">
        <v>82</v>
      </c>
      <c r="L1007" s="121">
        <v>22650</v>
      </c>
      <c r="M1007" s="121">
        <v>13900</v>
      </c>
      <c r="N1007" s="121">
        <v>15.5</v>
      </c>
      <c r="O1007" s="363">
        <v>8750</v>
      </c>
      <c r="P1007" s="363">
        <v>7393.7</v>
      </c>
      <c r="Q1007" s="121">
        <v>2025</v>
      </c>
      <c r="R1007" s="121"/>
      <c r="S1007" s="148">
        <v>45817</v>
      </c>
      <c r="T1007" s="363">
        <f>Таблица18[[#This Row],[Вес нетто]]-Таблица18[[#This Row],[Зачетный вес]]</f>
        <v>1356.3000000000002</v>
      </c>
      <c r="U1007" s="365">
        <f>Таблица18[[#This Row],[Отход]]/Таблица18[[#This Row],[Вес нетто]]</f>
        <v>0.1550057142857143</v>
      </c>
      <c r="V1007" s="121">
        <f>MONTH(Таблица18[[#This Row],[Дата акта]])</f>
        <v>6</v>
      </c>
      <c r="W1007" s="121">
        <v>9</v>
      </c>
      <c r="X1007" s="148">
        <f>DATE(1900,Таблица18[[#This Row],[Месяц]],Таблица18[[#This Row],[Число]])</f>
        <v>161</v>
      </c>
      <c r="Y1007" s="121"/>
      <c r="Z1007" s="121" t="str">
        <f>Таблица18[[#This Row],[Хар-ка]]</f>
        <v>второй</v>
      </c>
      <c r="AD1007" s="459"/>
      <c r="AE1007" s="391"/>
    </row>
    <row r="1008" spans="1:31" s="325" customFormat="1" ht="15.6" hidden="1" customHeight="1" x14ac:dyDescent="0.2">
      <c r="A1008" s="40" t="s">
        <v>853</v>
      </c>
      <c r="B1008" s="360" t="s">
        <v>511</v>
      </c>
      <c r="C1008" s="40"/>
      <c r="D1008" s="40" t="s">
        <v>854</v>
      </c>
      <c r="E1008" s="40" t="s">
        <v>105</v>
      </c>
      <c r="F1008" s="40" t="s">
        <v>855</v>
      </c>
      <c r="G1008" s="40" t="s">
        <v>518</v>
      </c>
      <c r="H1008" s="40" t="s">
        <v>365</v>
      </c>
      <c r="I1008" s="360" t="e">
        <f>VLOOKUP(Таблица18[[#This Row],[Номер акта]],$AB$1:$AF$1833,3,FALSE)</f>
        <v>#N/A</v>
      </c>
      <c r="J1008" s="40" t="s">
        <v>21</v>
      </c>
      <c r="K1008" s="40" t="s">
        <v>82</v>
      </c>
      <c r="L1008" s="121">
        <v>34840</v>
      </c>
      <c r="M1008" s="121">
        <v>18500</v>
      </c>
      <c r="N1008" s="121">
        <v>21.4</v>
      </c>
      <c r="O1008" s="363">
        <v>16340</v>
      </c>
      <c r="P1008" s="363">
        <v>12845.4</v>
      </c>
      <c r="Q1008" s="121">
        <v>2025</v>
      </c>
      <c r="R1008" s="121"/>
      <c r="S1008" s="148">
        <v>45814</v>
      </c>
      <c r="T1008" s="363">
        <f>Таблица18[[#This Row],[Вес нетто]]-Таблица18[[#This Row],[Зачетный вес]]</f>
        <v>3494.6000000000004</v>
      </c>
      <c r="U1008" s="365">
        <f>Таблица18[[#This Row],[Отход]]/Таблица18[[#This Row],[Вес нетто]]</f>
        <v>0.21386780905752756</v>
      </c>
      <c r="V1008" s="121">
        <f>MONTH(Таблица18[[#This Row],[Дата акта]])</f>
        <v>6</v>
      </c>
      <c r="W1008" s="121">
        <v>6</v>
      </c>
      <c r="X1008" s="148">
        <f>DATE(1900,Таблица18[[#This Row],[Месяц]],Таблица18[[#This Row],[Число]])</f>
        <v>158</v>
      </c>
      <c r="Y1008" s="121"/>
      <c r="Z1008" s="121" t="str">
        <f>Таблица18[[#This Row],[Хар-ка]]</f>
        <v>высший</v>
      </c>
      <c r="AD1008" s="459"/>
      <c r="AE1008" s="391"/>
    </row>
    <row r="1009" spans="1:31" s="325" customFormat="1" ht="15.6" hidden="1" customHeight="1" x14ac:dyDescent="0.2">
      <c r="A1009" s="40" t="s">
        <v>856</v>
      </c>
      <c r="B1009" s="360" t="s">
        <v>511</v>
      </c>
      <c r="C1009" s="40"/>
      <c r="D1009" s="40" t="s">
        <v>857</v>
      </c>
      <c r="E1009" s="40" t="s">
        <v>105</v>
      </c>
      <c r="F1009" s="40" t="s">
        <v>521</v>
      </c>
      <c r="G1009" s="40" t="s">
        <v>858</v>
      </c>
      <c r="H1009" s="40" t="s">
        <v>365</v>
      </c>
      <c r="I1009" s="360" t="e">
        <f>VLOOKUP(Таблица18[[#This Row],[Номер акта]],$AB$1:$AF$1833,3,FALSE)</f>
        <v>#N/A</v>
      </c>
      <c r="J1009" s="40" t="s">
        <v>21</v>
      </c>
      <c r="K1009" s="40" t="s">
        <v>82</v>
      </c>
      <c r="L1009" s="121">
        <v>31840</v>
      </c>
      <c r="M1009" s="121">
        <v>16000</v>
      </c>
      <c r="N1009" s="121">
        <v>19</v>
      </c>
      <c r="O1009" s="363">
        <v>15840</v>
      </c>
      <c r="P1009" s="363">
        <v>12823.2</v>
      </c>
      <c r="Q1009" s="121">
        <v>2025</v>
      </c>
      <c r="R1009" s="121"/>
      <c r="S1009" s="148">
        <v>45814</v>
      </c>
      <c r="T1009" s="363">
        <f>Таблица18[[#This Row],[Вес нетто]]-Таблица18[[#This Row],[Зачетный вес]]</f>
        <v>3016.7999999999993</v>
      </c>
      <c r="U1009" s="365">
        <f>Таблица18[[#This Row],[Отход]]/Таблица18[[#This Row],[Вес нетто]]</f>
        <v>0.1904545454545454</v>
      </c>
      <c r="V1009" s="121">
        <f>MONTH(Таблица18[[#This Row],[Дата акта]])</f>
        <v>6</v>
      </c>
      <c r="W1009" s="121">
        <v>6</v>
      </c>
      <c r="X1009" s="148">
        <f>DATE(1900,Таблица18[[#This Row],[Месяц]],Таблица18[[#This Row],[Число]])</f>
        <v>158</v>
      </c>
      <c r="Y1009" s="121"/>
      <c r="Z1009" s="121" t="str">
        <f>Таблица18[[#This Row],[Хар-ка]]</f>
        <v>высший</v>
      </c>
      <c r="AD1009" s="459"/>
      <c r="AE1009" s="391"/>
    </row>
    <row r="1010" spans="1:31" s="325" customFormat="1" ht="15.6" hidden="1" customHeight="1" x14ac:dyDescent="0.2">
      <c r="A1010" s="40" t="s">
        <v>859</v>
      </c>
      <c r="B1010" s="360" t="s">
        <v>550</v>
      </c>
      <c r="C1010" s="40">
        <v>343</v>
      </c>
      <c r="D1010" s="40">
        <v>110</v>
      </c>
      <c r="E1010" s="40" t="s">
        <v>78</v>
      </c>
      <c r="F1010" s="40" t="s">
        <v>329</v>
      </c>
      <c r="G1010" s="40" t="s">
        <v>333</v>
      </c>
      <c r="H1010" s="40" t="s">
        <v>754</v>
      </c>
      <c r="I1010" s="360" t="e">
        <f>VLOOKUP(Таблица18[[#This Row],[Номер акта]],$AB$1:$AF$1833,3,FALSE)</f>
        <v>#N/A</v>
      </c>
      <c r="J1010" s="40" t="s">
        <v>21</v>
      </c>
      <c r="K1010" s="40" t="s">
        <v>82</v>
      </c>
      <c r="L1010" s="121">
        <v>28400</v>
      </c>
      <c r="M1010" s="121">
        <v>14930</v>
      </c>
      <c r="N1010" s="121">
        <v>15.5</v>
      </c>
      <c r="O1010" s="363">
        <v>13470</v>
      </c>
      <c r="P1010" s="363">
        <v>11382.1</v>
      </c>
      <c r="Q1010" s="121">
        <v>2025</v>
      </c>
      <c r="R1010" s="121"/>
      <c r="S1010" s="148">
        <v>45817</v>
      </c>
      <c r="T1010" s="363">
        <f>Таблица18[[#This Row],[Вес нетто]]-Таблица18[[#This Row],[Зачетный вес]]</f>
        <v>2087.8999999999996</v>
      </c>
      <c r="U1010" s="365">
        <f>Таблица18[[#This Row],[Отход]]/Таблица18[[#This Row],[Вес нетто]]</f>
        <v>0.15500371195248699</v>
      </c>
      <c r="V1010" s="121">
        <f>MONTH(Таблица18[[#This Row],[Дата акта]])</f>
        <v>6</v>
      </c>
      <c r="W1010" s="121">
        <v>9</v>
      </c>
      <c r="X1010" s="148">
        <f>DATE(1900,Таблица18[[#This Row],[Месяц]],Таблица18[[#This Row],[Число]])</f>
        <v>161</v>
      </c>
      <c r="Y1010" s="121"/>
      <c r="Z1010" s="121" t="str">
        <f>Таблица18[[#This Row],[Хар-ка]]</f>
        <v>первый</v>
      </c>
      <c r="AD1010" s="459"/>
      <c r="AE1010" s="391"/>
    </row>
    <row r="1011" spans="1:31" s="325" customFormat="1" ht="15.6" hidden="1" customHeight="1" x14ac:dyDescent="0.2">
      <c r="A1011" s="40" t="s">
        <v>860</v>
      </c>
      <c r="B1011" s="360" t="s">
        <v>550</v>
      </c>
      <c r="C1011" s="40">
        <v>344</v>
      </c>
      <c r="D1011" s="40">
        <v>111</v>
      </c>
      <c r="E1011" s="40" t="s">
        <v>78</v>
      </c>
      <c r="F1011" s="40" t="s">
        <v>79</v>
      </c>
      <c r="G1011" s="40" t="s">
        <v>80</v>
      </c>
      <c r="H1011" s="40" t="s">
        <v>849</v>
      </c>
      <c r="I1011" s="360" t="e">
        <f>VLOOKUP(Таблица18[[#This Row],[Номер акта]],$AB$1:$AF$1833,3,FALSE)</f>
        <v>#N/A</v>
      </c>
      <c r="J1011" s="40" t="s">
        <v>524</v>
      </c>
      <c r="K1011" s="40" t="s">
        <v>82</v>
      </c>
      <c r="L1011" s="121">
        <v>23630</v>
      </c>
      <c r="M1011" s="121">
        <v>14160</v>
      </c>
      <c r="N1011" s="121">
        <v>14.5</v>
      </c>
      <c r="O1011" s="363">
        <v>9470</v>
      </c>
      <c r="P1011" s="363">
        <v>8096.8</v>
      </c>
      <c r="Q1011" s="121">
        <v>2025</v>
      </c>
      <c r="R1011" s="121"/>
      <c r="S1011" s="148">
        <v>45817</v>
      </c>
      <c r="T1011" s="363">
        <f>Таблица18[[#This Row],[Вес нетто]]-Таблица18[[#This Row],[Зачетный вес]]</f>
        <v>1373.1999999999998</v>
      </c>
      <c r="U1011" s="365">
        <f>Таблица18[[#This Row],[Отход]]/Таблица18[[#This Row],[Вес нетто]]</f>
        <v>0.14500527983104539</v>
      </c>
      <c r="V1011" s="121">
        <f>MONTH(Таблица18[[#This Row],[Дата акта]])</f>
        <v>6</v>
      </c>
      <c r="W1011" s="121">
        <v>9</v>
      </c>
      <c r="X1011" s="148">
        <f>DATE(1900,Таблица18[[#This Row],[Месяц]],Таблица18[[#This Row],[Число]])</f>
        <v>161</v>
      </c>
      <c r="Y1011" s="121"/>
      <c r="Z1011" s="121" t="str">
        <f>Таблица18[[#This Row],[Хар-ка]]</f>
        <v>первый</v>
      </c>
      <c r="AD1011" s="459"/>
      <c r="AE1011" s="391"/>
    </row>
    <row r="1012" spans="1:31" s="325" customFormat="1" ht="15.6" hidden="1" customHeight="1" x14ac:dyDescent="0.2">
      <c r="A1012" s="40" t="s">
        <v>861</v>
      </c>
      <c r="B1012" s="360" t="s">
        <v>833</v>
      </c>
      <c r="C1012" s="40">
        <v>346</v>
      </c>
      <c r="D1012" s="40">
        <v>112</v>
      </c>
      <c r="E1012" s="40" t="s">
        <v>78</v>
      </c>
      <c r="F1012" s="40" t="s">
        <v>212</v>
      </c>
      <c r="G1012" s="40" t="s">
        <v>216</v>
      </c>
      <c r="H1012" s="40" t="s">
        <v>849</v>
      </c>
      <c r="I1012" s="360" t="e">
        <f>VLOOKUP(Таблица18[[#This Row],[Номер акта]],$AB$1:$AF$1833,3,FALSE)</f>
        <v>#N/A</v>
      </c>
      <c r="J1012" s="40" t="s">
        <v>524</v>
      </c>
      <c r="K1012" s="40" t="s">
        <v>82</v>
      </c>
      <c r="L1012" s="121">
        <v>24450</v>
      </c>
      <c r="M1012" s="121">
        <v>13910</v>
      </c>
      <c r="N1012" s="121">
        <v>11.5</v>
      </c>
      <c r="O1012" s="363">
        <v>10540</v>
      </c>
      <c r="P1012" s="363">
        <v>9327.9</v>
      </c>
      <c r="Q1012" s="121">
        <v>2025</v>
      </c>
      <c r="R1012" s="121"/>
      <c r="S1012" s="148">
        <v>45817</v>
      </c>
      <c r="T1012" s="363">
        <f>Таблица18[[#This Row],[Вес нетто]]-Таблица18[[#This Row],[Зачетный вес]]</f>
        <v>1212.1000000000004</v>
      </c>
      <c r="U1012" s="365">
        <f>Таблица18[[#This Row],[Отход]]/Таблица18[[#This Row],[Вес нетто]]</f>
        <v>0.11500000000000003</v>
      </c>
      <c r="V1012" s="121">
        <f>MONTH(Таблица18[[#This Row],[Дата акта]])</f>
        <v>6</v>
      </c>
      <c r="W1012" s="121">
        <v>9</v>
      </c>
      <c r="X1012" s="148">
        <f>DATE(1900,Таблица18[[#This Row],[Месяц]],Таблица18[[#This Row],[Число]])</f>
        <v>161</v>
      </c>
      <c r="Y1012" s="121"/>
      <c r="Z1012" s="121" t="str">
        <f>Таблица18[[#This Row],[Хар-ка]]</f>
        <v>второй</v>
      </c>
      <c r="AD1012" s="459"/>
      <c r="AE1012" s="391"/>
    </row>
    <row r="1013" spans="1:31" s="325" customFormat="1" ht="15.6" hidden="1" customHeight="1" x14ac:dyDescent="0.2">
      <c r="A1013" s="40" t="s">
        <v>862</v>
      </c>
      <c r="B1013" s="360" t="s">
        <v>550</v>
      </c>
      <c r="C1013" s="40">
        <v>347</v>
      </c>
      <c r="D1013" s="40">
        <v>106</v>
      </c>
      <c r="E1013" s="40" t="s">
        <v>78</v>
      </c>
      <c r="F1013" s="40" t="s">
        <v>121</v>
      </c>
      <c r="G1013" s="40" t="s">
        <v>125</v>
      </c>
      <c r="H1013" s="40" t="s">
        <v>754</v>
      </c>
      <c r="I1013" s="360" t="e">
        <f>VLOOKUP(Таблица18[[#This Row],[Номер акта]],$AB$1:$AF$1833,3,FALSE)</f>
        <v>#N/A</v>
      </c>
      <c r="J1013" s="40" t="s">
        <v>21</v>
      </c>
      <c r="K1013" s="40" t="s">
        <v>82</v>
      </c>
      <c r="L1013" s="121">
        <v>28260</v>
      </c>
      <c r="M1013" s="121">
        <v>14720</v>
      </c>
      <c r="N1013" s="121">
        <v>18.5</v>
      </c>
      <c r="O1013" s="363">
        <v>13540</v>
      </c>
      <c r="P1013" s="363">
        <v>11035.1</v>
      </c>
      <c r="Q1013" s="121">
        <v>2025</v>
      </c>
      <c r="R1013" s="121"/>
      <c r="S1013" s="148">
        <v>45817</v>
      </c>
      <c r="T1013" s="363">
        <f>Таблица18[[#This Row],[Вес нетто]]-Таблица18[[#This Row],[Зачетный вес]]</f>
        <v>2504.8999999999996</v>
      </c>
      <c r="U1013" s="365">
        <f>Таблица18[[#This Row],[Отход]]/Таблица18[[#This Row],[Вес нетто]]</f>
        <v>0.18499999999999997</v>
      </c>
      <c r="V1013" s="121">
        <f>MONTH(Таблица18[[#This Row],[Дата акта]])</f>
        <v>6</v>
      </c>
      <c r="W1013" s="121">
        <v>9</v>
      </c>
      <c r="X1013" s="148">
        <f>DATE(1900,Таблица18[[#This Row],[Месяц]],Таблица18[[#This Row],[Число]])</f>
        <v>161</v>
      </c>
      <c r="Y1013" s="121"/>
      <c r="Z1013" s="121" t="str">
        <f>Таблица18[[#This Row],[Хар-ка]]</f>
        <v>первый</v>
      </c>
      <c r="AD1013" s="459"/>
      <c r="AE1013" s="391"/>
    </row>
    <row r="1014" spans="1:31" s="325" customFormat="1" ht="15.6" hidden="1" customHeight="1" x14ac:dyDescent="0.2">
      <c r="A1014" s="40" t="s">
        <v>868</v>
      </c>
      <c r="B1014" s="360" t="s">
        <v>550</v>
      </c>
      <c r="C1014" s="40">
        <v>348</v>
      </c>
      <c r="D1014" s="40">
        <v>114</v>
      </c>
      <c r="E1014" s="40" t="s">
        <v>78</v>
      </c>
      <c r="F1014" s="40" t="s">
        <v>1312</v>
      </c>
      <c r="G1014" s="40" t="s">
        <v>320</v>
      </c>
      <c r="H1014" s="40" t="s">
        <v>771</v>
      </c>
      <c r="I1014" s="360" t="e">
        <f>VLOOKUP(Таблица18[[#This Row],[Номер акта]],$AB$1:$AF$1833,3,FALSE)</f>
        <v>#N/A</v>
      </c>
      <c r="J1014" s="40" t="s">
        <v>21</v>
      </c>
      <c r="K1014" s="40" t="s">
        <v>82</v>
      </c>
      <c r="L1014" s="121">
        <v>31620</v>
      </c>
      <c r="M1014" s="121">
        <v>14480</v>
      </c>
      <c r="N1014" s="121">
        <v>12</v>
      </c>
      <c r="O1014" s="363">
        <v>17140</v>
      </c>
      <c r="P1014" s="363">
        <v>15083.2</v>
      </c>
      <c r="Q1014" s="121">
        <v>2025</v>
      </c>
      <c r="R1014" s="121"/>
      <c r="S1014" s="148">
        <v>45818</v>
      </c>
      <c r="T1014" s="363">
        <f>Таблица18[[#This Row],[Вес нетто]]-Таблица18[[#This Row],[Зачетный вес]]</f>
        <v>2056.7999999999993</v>
      </c>
      <c r="U1014" s="365">
        <f>Таблица18[[#This Row],[Отход]]/Таблица18[[#This Row],[Вес нетто]]</f>
        <v>0.11999999999999995</v>
      </c>
      <c r="V1014" s="121">
        <f>MONTH(Таблица18[[#This Row],[Дата акта]])</f>
        <v>6</v>
      </c>
      <c r="W1014" s="121">
        <v>10</v>
      </c>
      <c r="X1014" s="148">
        <f>DATE(1900,Таблица18[[#This Row],[Месяц]],Таблица18[[#This Row],[Число]])</f>
        <v>162</v>
      </c>
      <c r="Y1014" s="121"/>
      <c r="Z1014" s="121" t="str">
        <f>Таблица18[[#This Row],[Хар-ка]]</f>
        <v>первый</v>
      </c>
      <c r="AD1014" s="459"/>
      <c r="AE1014" s="391"/>
    </row>
    <row r="1015" spans="1:31" s="325" customFormat="1" ht="15.6" hidden="1" customHeight="1" x14ac:dyDescent="0.2">
      <c r="A1015" s="40" t="s">
        <v>881</v>
      </c>
      <c r="B1015" s="360" t="s">
        <v>511</v>
      </c>
      <c r="C1015" s="40">
        <v>349</v>
      </c>
      <c r="D1015" s="40">
        <v>115</v>
      </c>
      <c r="E1015" s="40" t="s">
        <v>78</v>
      </c>
      <c r="F1015" s="40" t="s">
        <v>335</v>
      </c>
      <c r="G1015" s="40" t="s">
        <v>339</v>
      </c>
      <c r="H1015" s="40" t="s">
        <v>796</v>
      </c>
      <c r="I1015" s="360" t="e">
        <f>VLOOKUP(Таблица18[[#This Row],[Номер акта]],$AB$1:$AF$1833,3,FALSE)</f>
        <v>#N/A</v>
      </c>
      <c r="J1015" s="40" t="s">
        <v>893</v>
      </c>
      <c r="K1015" s="40" t="s">
        <v>82</v>
      </c>
      <c r="L1015" s="121">
        <v>32670</v>
      </c>
      <c r="M1015" s="121">
        <v>14700</v>
      </c>
      <c r="N1015" s="121">
        <v>16</v>
      </c>
      <c r="O1015" s="363">
        <v>17970</v>
      </c>
      <c r="P1015" s="363">
        <v>15094.8</v>
      </c>
      <c r="Q1015" s="121">
        <v>2025</v>
      </c>
      <c r="R1015" s="121"/>
      <c r="S1015" s="148">
        <v>45818</v>
      </c>
      <c r="T1015" s="363">
        <f>Таблица18[[#This Row],[Вес нетто]]-Таблица18[[#This Row],[Зачетный вес]]</f>
        <v>2875.2000000000007</v>
      </c>
      <c r="U1015" s="365">
        <f>Таблица18[[#This Row],[Отход]]/Таблица18[[#This Row],[Вес нетто]]</f>
        <v>0.16000000000000003</v>
      </c>
      <c r="V1015" s="121">
        <f>MONTH(Таблица18[[#This Row],[Дата акта]])</f>
        <v>6</v>
      </c>
      <c r="W1015" s="121">
        <v>10</v>
      </c>
      <c r="X1015" s="148">
        <f>DATE(1900,Таблица18[[#This Row],[Месяц]],Таблица18[[#This Row],[Число]])</f>
        <v>162</v>
      </c>
      <c r="Y1015" s="121"/>
      <c r="Z1015" s="121" t="str">
        <f>Таблица18[[#This Row],[Хар-ка]]</f>
        <v>высший</v>
      </c>
      <c r="AD1015" s="459"/>
      <c r="AE1015" s="391"/>
    </row>
    <row r="1016" spans="1:31" s="325" customFormat="1" ht="15.6" hidden="1" customHeight="1" x14ac:dyDescent="0.2">
      <c r="A1016" s="40" t="s">
        <v>877</v>
      </c>
      <c r="B1016" s="360" t="s">
        <v>550</v>
      </c>
      <c r="C1016" s="40">
        <v>351</v>
      </c>
      <c r="D1016" s="40">
        <v>116</v>
      </c>
      <c r="E1016" s="40" t="s">
        <v>78</v>
      </c>
      <c r="F1016" s="40" t="s">
        <v>1312</v>
      </c>
      <c r="G1016" s="40" t="s">
        <v>320</v>
      </c>
      <c r="H1016" s="40" t="s">
        <v>771</v>
      </c>
      <c r="I1016" s="360" t="e">
        <f>VLOOKUP(Таблица18[[#This Row],[Номер акта]],$AB$1:$AF$1833,3,FALSE)</f>
        <v>#N/A</v>
      </c>
      <c r="J1016" s="40" t="s">
        <v>21</v>
      </c>
      <c r="K1016" s="40" t="s">
        <v>82</v>
      </c>
      <c r="L1016" s="121">
        <v>24440</v>
      </c>
      <c r="M1016" s="121">
        <v>14460</v>
      </c>
      <c r="N1016" s="121">
        <v>8.5</v>
      </c>
      <c r="O1016" s="363">
        <v>9980</v>
      </c>
      <c r="P1016" s="363">
        <v>9131.7000000000007</v>
      </c>
      <c r="Q1016" s="121">
        <v>2025</v>
      </c>
      <c r="R1016" s="121"/>
      <c r="S1016" s="148">
        <v>45818</v>
      </c>
      <c r="T1016" s="363">
        <f>Таблица18[[#This Row],[Вес нетто]]-Таблица18[[#This Row],[Зачетный вес]]</f>
        <v>848.29999999999927</v>
      </c>
      <c r="U1016" s="365">
        <f>Таблица18[[#This Row],[Отход]]/Таблица18[[#This Row],[Вес нетто]]</f>
        <v>8.4999999999999923E-2</v>
      </c>
      <c r="V1016" s="121">
        <f>MONTH(Таблица18[[#This Row],[Дата акта]])</f>
        <v>6</v>
      </c>
      <c r="W1016" s="121">
        <v>10</v>
      </c>
      <c r="X1016" s="148">
        <f>DATE(1900,Таблица18[[#This Row],[Месяц]],Таблица18[[#This Row],[Число]])</f>
        <v>162</v>
      </c>
      <c r="Y1016" s="121"/>
      <c r="Z1016" s="121" t="str">
        <f>Таблица18[[#This Row],[Хар-ка]]</f>
        <v>первый</v>
      </c>
      <c r="AD1016" s="459"/>
      <c r="AE1016" s="391"/>
    </row>
    <row r="1017" spans="1:31" s="325" customFormat="1" ht="15.6" hidden="1" customHeight="1" x14ac:dyDescent="0.2">
      <c r="A1017" s="40" t="s">
        <v>882</v>
      </c>
      <c r="B1017" s="360" t="s">
        <v>511</v>
      </c>
      <c r="C1017" s="40">
        <v>352</v>
      </c>
      <c r="D1017" s="40">
        <v>117</v>
      </c>
      <c r="E1017" s="40" t="s">
        <v>78</v>
      </c>
      <c r="F1017" s="40" t="s">
        <v>894</v>
      </c>
      <c r="G1017" s="40" t="s">
        <v>895</v>
      </c>
      <c r="H1017" s="40" t="s">
        <v>796</v>
      </c>
      <c r="I1017" s="360" t="e">
        <f>VLOOKUP(Таблица18[[#This Row],[Номер акта]],$AB$1:$AF$1833,3,FALSE)</f>
        <v>#N/A</v>
      </c>
      <c r="J1017" s="40" t="s">
        <v>896</v>
      </c>
      <c r="K1017" s="40" t="s">
        <v>82</v>
      </c>
      <c r="L1017" s="121">
        <v>25900</v>
      </c>
      <c r="M1017" s="121">
        <v>14860</v>
      </c>
      <c r="N1017" s="121">
        <v>20.5</v>
      </c>
      <c r="O1017" s="363">
        <v>11040</v>
      </c>
      <c r="P1017" s="363">
        <v>8776.7999999999993</v>
      </c>
      <c r="Q1017" s="121">
        <v>2025</v>
      </c>
      <c r="R1017" s="121"/>
      <c r="S1017" s="148">
        <v>45818</v>
      </c>
      <c r="T1017" s="363">
        <f>Таблица18[[#This Row],[Вес нетто]]-Таблица18[[#This Row],[Зачетный вес]]</f>
        <v>2263.2000000000007</v>
      </c>
      <c r="U1017" s="365">
        <f>Таблица18[[#This Row],[Отход]]/Таблица18[[#This Row],[Вес нетто]]</f>
        <v>0.20500000000000007</v>
      </c>
      <c r="V1017" s="121">
        <f>MONTH(Таблица18[[#This Row],[Дата акта]])</f>
        <v>6</v>
      </c>
      <c r="W1017" s="121">
        <v>10</v>
      </c>
      <c r="X1017" s="148">
        <f>DATE(1900,Таблица18[[#This Row],[Месяц]],Таблица18[[#This Row],[Число]])</f>
        <v>162</v>
      </c>
      <c r="Y1017" s="121"/>
      <c r="Z1017" s="121" t="str">
        <f>Таблица18[[#This Row],[Хар-ка]]</f>
        <v>высший</v>
      </c>
      <c r="AD1017" s="459"/>
      <c r="AE1017" s="391"/>
    </row>
    <row r="1018" spans="1:31" s="325" customFormat="1" ht="15.6" hidden="1" customHeight="1" x14ac:dyDescent="0.2">
      <c r="A1018" s="40" t="s">
        <v>885</v>
      </c>
      <c r="B1018" s="360" t="s">
        <v>511</v>
      </c>
      <c r="C1018" s="40">
        <v>353</v>
      </c>
      <c r="D1018" s="40">
        <v>118</v>
      </c>
      <c r="E1018" s="40" t="s">
        <v>78</v>
      </c>
      <c r="F1018" s="40" t="s">
        <v>127</v>
      </c>
      <c r="G1018" s="40" t="s">
        <v>131</v>
      </c>
      <c r="H1018" s="40" t="s">
        <v>796</v>
      </c>
      <c r="I1018" s="360" t="e">
        <f>VLOOKUP(Таблица18[[#This Row],[Номер акта]],$AB$1:$AF$1833,3,FALSE)</f>
        <v>#N/A</v>
      </c>
      <c r="J1018" s="40" t="s">
        <v>897</v>
      </c>
      <c r="K1018" s="40" t="s">
        <v>82</v>
      </c>
      <c r="L1018" s="121">
        <v>23280</v>
      </c>
      <c r="M1018" s="121">
        <v>18880</v>
      </c>
      <c r="N1018" s="121">
        <v>12.5</v>
      </c>
      <c r="O1018" s="363">
        <v>4400</v>
      </c>
      <c r="P1018" s="363">
        <v>3850</v>
      </c>
      <c r="Q1018" s="121">
        <v>2025</v>
      </c>
      <c r="R1018" s="121"/>
      <c r="S1018" s="148">
        <v>45818</v>
      </c>
      <c r="T1018" s="363">
        <f>Таблица18[[#This Row],[Вес нетто]]-Таблица18[[#This Row],[Зачетный вес]]</f>
        <v>550</v>
      </c>
      <c r="U1018" s="365">
        <f>Таблица18[[#This Row],[Отход]]/Таблица18[[#This Row],[Вес нетто]]</f>
        <v>0.125</v>
      </c>
      <c r="V1018" s="121">
        <f>MONTH(Таблица18[[#This Row],[Дата акта]])</f>
        <v>6</v>
      </c>
      <c r="W1018" s="121">
        <v>10</v>
      </c>
      <c r="X1018" s="148">
        <f>DATE(1900,Таблица18[[#This Row],[Месяц]],Таблица18[[#This Row],[Число]])</f>
        <v>162</v>
      </c>
      <c r="Y1018" s="121"/>
      <c r="Z1018" s="121" t="str">
        <f>Таблица18[[#This Row],[Хар-ка]]</f>
        <v>высший</v>
      </c>
      <c r="AD1018" s="459"/>
      <c r="AE1018" s="391"/>
    </row>
    <row r="1019" spans="1:31" s="325" customFormat="1" ht="15.6" hidden="1" customHeight="1" x14ac:dyDescent="0.2">
      <c r="A1019" s="40" t="s">
        <v>883</v>
      </c>
      <c r="B1019" s="360" t="s">
        <v>511</v>
      </c>
      <c r="C1019" s="40">
        <v>354</v>
      </c>
      <c r="D1019" s="40">
        <v>118</v>
      </c>
      <c r="E1019" s="40" t="s">
        <v>78</v>
      </c>
      <c r="F1019" s="40" t="s">
        <v>127</v>
      </c>
      <c r="G1019" s="40" t="s">
        <v>131</v>
      </c>
      <c r="H1019" s="40" t="s">
        <v>796</v>
      </c>
      <c r="I1019" s="360" t="e">
        <f>VLOOKUP(Таблица18[[#This Row],[Номер акта]],$AB$1:$AF$1833,3,FALSE)</f>
        <v>#N/A</v>
      </c>
      <c r="J1019" s="40" t="s">
        <v>896</v>
      </c>
      <c r="K1019" s="40" t="s">
        <v>82</v>
      </c>
      <c r="L1019" s="121">
        <v>18880</v>
      </c>
      <c r="M1019" s="121">
        <v>14290</v>
      </c>
      <c r="N1019" s="121">
        <v>29.5</v>
      </c>
      <c r="O1019" s="363">
        <v>4590</v>
      </c>
      <c r="P1019" s="363">
        <v>3235.9</v>
      </c>
      <c r="Q1019" s="121">
        <v>2025</v>
      </c>
      <c r="R1019" s="121"/>
      <c r="S1019" s="148">
        <v>45818</v>
      </c>
      <c r="T1019" s="363">
        <f>Таблица18[[#This Row],[Вес нетто]]-Таблица18[[#This Row],[Зачетный вес]]</f>
        <v>1354.1</v>
      </c>
      <c r="U1019" s="365">
        <f>Таблица18[[#This Row],[Отход]]/Таблица18[[#This Row],[Вес нетто]]</f>
        <v>0.29501089324618734</v>
      </c>
      <c r="V1019" s="121">
        <f>MONTH(Таблица18[[#This Row],[Дата акта]])</f>
        <v>6</v>
      </c>
      <c r="W1019" s="121">
        <v>10</v>
      </c>
      <c r="X1019" s="148">
        <f>DATE(1900,Таблица18[[#This Row],[Месяц]],Таблица18[[#This Row],[Число]])</f>
        <v>162</v>
      </c>
      <c r="Y1019" s="121"/>
      <c r="Z1019" s="121" t="str">
        <f>Таблица18[[#This Row],[Хар-ка]]</f>
        <v>высший</v>
      </c>
      <c r="AD1019" s="459"/>
      <c r="AE1019" s="391"/>
    </row>
    <row r="1020" spans="1:31" s="325" customFormat="1" ht="15.6" hidden="1" customHeight="1" x14ac:dyDescent="0.2">
      <c r="A1020" s="40" t="s">
        <v>880</v>
      </c>
      <c r="B1020" s="360" t="s">
        <v>550</v>
      </c>
      <c r="C1020" s="40">
        <v>356</v>
      </c>
      <c r="D1020" s="40">
        <v>119</v>
      </c>
      <c r="E1020" s="40" t="s">
        <v>78</v>
      </c>
      <c r="F1020" s="40" t="s">
        <v>335</v>
      </c>
      <c r="G1020" s="40" t="s">
        <v>339</v>
      </c>
      <c r="H1020" s="40" t="s">
        <v>898</v>
      </c>
      <c r="I1020" s="360" t="e">
        <f>VLOOKUP(Таблица18[[#This Row],[Номер акта]],$AB$1:$AF$1833,3,FALSE)</f>
        <v>#N/A</v>
      </c>
      <c r="J1020" s="40" t="s">
        <v>747</v>
      </c>
      <c r="K1020" s="40" t="s">
        <v>82</v>
      </c>
      <c r="L1020" s="121">
        <v>28700</v>
      </c>
      <c r="M1020" s="121">
        <v>14680</v>
      </c>
      <c r="N1020" s="121">
        <v>10</v>
      </c>
      <c r="O1020" s="363">
        <v>14020</v>
      </c>
      <c r="P1020" s="363">
        <v>12618</v>
      </c>
      <c r="Q1020" s="121">
        <v>2025</v>
      </c>
      <c r="R1020" s="121"/>
      <c r="S1020" s="148">
        <v>45818</v>
      </c>
      <c r="T1020" s="363">
        <f>Таблица18[[#This Row],[Вес нетто]]-Таблица18[[#This Row],[Зачетный вес]]</f>
        <v>1402</v>
      </c>
      <c r="U1020" s="365">
        <f>Таблица18[[#This Row],[Отход]]/Таблица18[[#This Row],[Вес нетто]]</f>
        <v>0.1</v>
      </c>
      <c r="V1020" s="121">
        <f>MONTH(Таблица18[[#This Row],[Дата акта]])</f>
        <v>6</v>
      </c>
      <c r="W1020" s="121">
        <v>10</v>
      </c>
      <c r="X1020" s="148">
        <f>DATE(1900,Таблица18[[#This Row],[Месяц]],Таблица18[[#This Row],[Число]])</f>
        <v>162</v>
      </c>
      <c r="Y1020" s="121"/>
      <c r="Z1020" s="121" t="str">
        <f>Таблица18[[#This Row],[Хар-ка]]</f>
        <v>первый</v>
      </c>
      <c r="AD1020" s="459"/>
      <c r="AE1020" s="391"/>
    </row>
    <row r="1021" spans="1:31" s="325" customFormat="1" ht="15.6" hidden="1" customHeight="1" x14ac:dyDescent="0.2">
      <c r="A1021" s="40" t="s">
        <v>887</v>
      </c>
      <c r="B1021" s="360" t="s">
        <v>511</v>
      </c>
      <c r="C1021" s="40">
        <v>357</v>
      </c>
      <c r="D1021" s="40">
        <v>120</v>
      </c>
      <c r="E1021" s="40" t="s">
        <v>78</v>
      </c>
      <c r="F1021" s="40" t="s">
        <v>1312</v>
      </c>
      <c r="G1021" s="40" t="s">
        <v>320</v>
      </c>
      <c r="H1021" s="40" t="s">
        <v>796</v>
      </c>
      <c r="I1021" s="360" t="e">
        <f>VLOOKUP(Таблица18[[#This Row],[Номер акта]],$AB$1:$AF$1833,3,FALSE)</f>
        <v>#N/A</v>
      </c>
      <c r="J1021" s="40" t="s">
        <v>899</v>
      </c>
      <c r="K1021" s="40" t="s">
        <v>82</v>
      </c>
      <c r="L1021" s="121">
        <v>25050</v>
      </c>
      <c r="M1021" s="121">
        <v>20660</v>
      </c>
      <c r="N1021" s="121">
        <v>29.5</v>
      </c>
      <c r="O1021" s="363">
        <v>4390</v>
      </c>
      <c r="P1021" s="363">
        <v>3094.9</v>
      </c>
      <c r="Q1021" s="121">
        <v>2025</v>
      </c>
      <c r="R1021" s="121"/>
      <c r="S1021" s="148">
        <v>45818</v>
      </c>
      <c r="T1021" s="363">
        <f>Таблица18[[#This Row],[Вес нетто]]-Таблица18[[#This Row],[Зачетный вес]]</f>
        <v>1295.0999999999999</v>
      </c>
      <c r="U1021" s="365">
        <f>Таблица18[[#This Row],[Отход]]/Таблица18[[#This Row],[Вес нетто]]</f>
        <v>0.29501138952164008</v>
      </c>
      <c r="V1021" s="121">
        <f>MONTH(Таблица18[[#This Row],[Дата акта]])</f>
        <v>6</v>
      </c>
      <c r="W1021" s="121">
        <v>10</v>
      </c>
      <c r="X1021" s="148">
        <f>DATE(1900,Таблица18[[#This Row],[Месяц]],Таблица18[[#This Row],[Число]])</f>
        <v>162</v>
      </c>
      <c r="Y1021" s="121"/>
      <c r="Z1021" s="121" t="str">
        <f>Таблица18[[#This Row],[Хар-ка]]</f>
        <v>высший</v>
      </c>
      <c r="AD1021" s="459"/>
      <c r="AE1021" s="391"/>
    </row>
    <row r="1022" spans="1:31" s="325" customFormat="1" ht="15.6" hidden="1" customHeight="1" x14ac:dyDescent="0.2">
      <c r="A1022" s="40" t="s">
        <v>884</v>
      </c>
      <c r="B1022" s="360" t="s">
        <v>511</v>
      </c>
      <c r="C1022" s="40">
        <v>358</v>
      </c>
      <c r="D1022" s="40">
        <v>120</v>
      </c>
      <c r="E1022" s="40" t="s">
        <v>78</v>
      </c>
      <c r="F1022" s="40" t="s">
        <v>1312</v>
      </c>
      <c r="G1022" s="40" t="s">
        <v>320</v>
      </c>
      <c r="H1022" s="40" t="s">
        <v>796</v>
      </c>
      <c r="I1022" s="360" t="e">
        <f>VLOOKUP(Таблица18[[#This Row],[Номер акта]],$AB$1:$AF$1833,3,FALSE)</f>
        <v>#N/A</v>
      </c>
      <c r="J1022" s="40" t="s">
        <v>900</v>
      </c>
      <c r="K1022" s="40" t="s">
        <v>82</v>
      </c>
      <c r="L1022" s="121">
        <v>20660</v>
      </c>
      <c r="M1022" s="121">
        <v>14480</v>
      </c>
      <c r="N1022" s="121">
        <v>21.5</v>
      </c>
      <c r="O1022" s="363">
        <v>6180</v>
      </c>
      <c r="P1022" s="363">
        <v>4851.3</v>
      </c>
      <c r="Q1022" s="121">
        <v>2025</v>
      </c>
      <c r="R1022" s="121"/>
      <c r="S1022" s="148">
        <v>45818</v>
      </c>
      <c r="T1022" s="363">
        <f>Таблица18[[#This Row],[Вес нетто]]-Таблица18[[#This Row],[Зачетный вес]]</f>
        <v>1328.6999999999998</v>
      </c>
      <c r="U1022" s="365">
        <f>Таблица18[[#This Row],[Отход]]/Таблица18[[#This Row],[Вес нетто]]</f>
        <v>0.21499999999999997</v>
      </c>
      <c r="V1022" s="121">
        <f>MONTH(Таблица18[[#This Row],[Дата акта]])</f>
        <v>6</v>
      </c>
      <c r="W1022" s="121">
        <v>10</v>
      </c>
      <c r="X1022" s="148">
        <f>DATE(1900,Таблица18[[#This Row],[Месяц]],Таблица18[[#This Row],[Число]])</f>
        <v>162</v>
      </c>
      <c r="Y1022" s="121"/>
      <c r="Z1022" s="121" t="str">
        <f>Таблица18[[#This Row],[Хар-ка]]</f>
        <v>высший</v>
      </c>
      <c r="AD1022" s="459"/>
      <c r="AE1022" s="391"/>
    </row>
    <row r="1023" spans="1:31" s="325" customFormat="1" ht="15.6" hidden="1" customHeight="1" x14ac:dyDescent="0.2">
      <c r="A1023" s="40" t="s">
        <v>873</v>
      </c>
      <c r="B1023" s="360" t="s">
        <v>550</v>
      </c>
      <c r="C1023" s="40">
        <v>359</v>
      </c>
      <c r="D1023" s="40">
        <v>121</v>
      </c>
      <c r="E1023" s="40" t="s">
        <v>78</v>
      </c>
      <c r="F1023" s="40" t="s">
        <v>894</v>
      </c>
      <c r="G1023" s="40" t="s">
        <v>895</v>
      </c>
      <c r="H1023" s="40" t="s">
        <v>898</v>
      </c>
      <c r="I1023" s="360" t="e">
        <f>VLOOKUP(Таблица18[[#This Row],[Номер акта]],$AB$1:$AF$1833,3,FALSE)</f>
        <v>#N/A</v>
      </c>
      <c r="J1023" s="40" t="s">
        <v>524</v>
      </c>
      <c r="K1023" s="40" t="s">
        <v>82</v>
      </c>
      <c r="L1023" s="121">
        <v>30340</v>
      </c>
      <c r="M1023" s="121">
        <v>23450</v>
      </c>
      <c r="N1023" s="121">
        <v>6.5</v>
      </c>
      <c r="O1023" s="363">
        <v>6890</v>
      </c>
      <c r="P1023" s="363">
        <v>6442.1</v>
      </c>
      <c r="Q1023" s="121">
        <v>2025</v>
      </c>
      <c r="R1023" s="121"/>
      <c r="S1023" s="148">
        <v>45818</v>
      </c>
      <c r="T1023" s="363">
        <f>Таблица18[[#This Row],[Вес нетто]]-Таблица18[[#This Row],[Зачетный вес]]</f>
        <v>447.89999999999964</v>
      </c>
      <c r="U1023" s="365">
        <f>Таблица18[[#This Row],[Отход]]/Таблица18[[#This Row],[Вес нетто]]</f>
        <v>6.5007256894049292E-2</v>
      </c>
      <c r="V1023" s="121">
        <f>MONTH(Таблица18[[#This Row],[Дата акта]])</f>
        <v>6</v>
      </c>
      <c r="W1023" s="121">
        <v>10</v>
      </c>
      <c r="X1023" s="148">
        <f>DATE(1900,Таблица18[[#This Row],[Месяц]],Таблица18[[#This Row],[Число]])</f>
        <v>162</v>
      </c>
      <c r="Y1023" s="121"/>
      <c r="Z1023" s="121" t="str">
        <f>Таблица18[[#This Row],[Хар-ка]]</f>
        <v>первый</v>
      </c>
      <c r="AD1023" s="459"/>
      <c r="AE1023" s="391"/>
    </row>
    <row r="1024" spans="1:31" s="325" customFormat="1" ht="15.6" hidden="1" customHeight="1" x14ac:dyDescent="0.2">
      <c r="A1024" s="40" t="s">
        <v>869</v>
      </c>
      <c r="B1024" s="360" t="s">
        <v>550</v>
      </c>
      <c r="C1024" s="40">
        <v>361</v>
      </c>
      <c r="D1024" s="40">
        <v>121</v>
      </c>
      <c r="E1024" s="40" t="s">
        <v>78</v>
      </c>
      <c r="F1024" s="40" t="s">
        <v>894</v>
      </c>
      <c r="G1024" s="40" t="s">
        <v>895</v>
      </c>
      <c r="H1024" s="40" t="s">
        <v>898</v>
      </c>
      <c r="I1024" s="360" t="e">
        <f>VLOOKUP(Таблица18[[#This Row],[Номер акта]],$AB$1:$AF$1833,3,FALSE)</f>
        <v>#N/A</v>
      </c>
      <c r="J1024" s="40" t="s">
        <v>747</v>
      </c>
      <c r="K1024" s="40" t="s">
        <v>82</v>
      </c>
      <c r="L1024" s="121">
        <v>23450</v>
      </c>
      <c r="M1024" s="121">
        <v>14840</v>
      </c>
      <c r="N1024" s="121">
        <v>8.5</v>
      </c>
      <c r="O1024" s="363">
        <v>8610</v>
      </c>
      <c r="P1024" s="363">
        <v>7878.1</v>
      </c>
      <c r="Q1024" s="121">
        <v>2025</v>
      </c>
      <c r="R1024" s="121"/>
      <c r="S1024" s="148">
        <v>45818</v>
      </c>
      <c r="T1024" s="363">
        <f>Таблица18[[#This Row],[Вес нетто]]-Таблица18[[#This Row],[Зачетный вес]]</f>
        <v>731.89999999999964</v>
      </c>
      <c r="U1024" s="365">
        <f>Таблица18[[#This Row],[Отход]]/Таблица18[[#This Row],[Вес нетто]]</f>
        <v>8.5005807200929109E-2</v>
      </c>
      <c r="V1024" s="121">
        <f>MONTH(Таблица18[[#This Row],[Дата акта]])</f>
        <v>6</v>
      </c>
      <c r="W1024" s="121">
        <v>10</v>
      </c>
      <c r="X1024" s="148">
        <f>DATE(1900,Таблица18[[#This Row],[Месяц]],Таблица18[[#This Row],[Число]])</f>
        <v>162</v>
      </c>
      <c r="Y1024" s="121"/>
      <c r="Z1024" s="121" t="str">
        <f>Таблица18[[#This Row],[Хар-ка]]</f>
        <v>первый</v>
      </c>
      <c r="AD1024" s="459"/>
      <c r="AE1024" s="391"/>
    </row>
    <row r="1025" spans="1:31" s="325" customFormat="1" ht="15.6" hidden="1" customHeight="1" x14ac:dyDescent="0.2">
      <c r="A1025" s="40" t="s">
        <v>886</v>
      </c>
      <c r="B1025" s="360" t="s">
        <v>511</v>
      </c>
      <c r="C1025" s="40">
        <v>362</v>
      </c>
      <c r="D1025" s="40">
        <v>28</v>
      </c>
      <c r="E1025" s="40" t="s">
        <v>903</v>
      </c>
      <c r="F1025" s="40" t="s">
        <v>737</v>
      </c>
      <c r="G1025" s="40" t="s">
        <v>738</v>
      </c>
      <c r="H1025" s="40" t="s">
        <v>957</v>
      </c>
      <c r="I1025" s="360" t="e">
        <f>VLOOKUP(Таблица18[[#This Row],[Номер акта]],$AB$1:$AF$1833,3,FALSE)</f>
        <v>#N/A</v>
      </c>
      <c r="J1025" s="40" t="s">
        <v>901</v>
      </c>
      <c r="K1025" s="40" t="s">
        <v>82</v>
      </c>
      <c r="L1025" s="121">
        <v>6240</v>
      </c>
      <c r="M1025" s="121">
        <v>4560</v>
      </c>
      <c r="N1025" s="121">
        <v>12</v>
      </c>
      <c r="O1025" s="363">
        <v>1680</v>
      </c>
      <c r="P1025" s="363">
        <v>1478.4</v>
      </c>
      <c r="Q1025" s="121">
        <v>2025</v>
      </c>
      <c r="R1025" s="121"/>
      <c r="S1025" s="148">
        <v>45818</v>
      </c>
      <c r="T1025" s="363">
        <f>Таблица18[[#This Row],[Вес нетто]]-Таблица18[[#This Row],[Зачетный вес]]</f>
        <v>201.59999999999991</v>
      </c>
      <c r="U1025" s="365">
        <f>Таблица18[[#This Row],[Отход]]/Таблица18[[#This Row],[Вес нетто]]</f>
        <v>0.11999999999999994</v>
      </c>
      <c r="V1025" s="121">
        <f>MONTH(Таблица18[[#This Row],[Дата акта]])</f>
        <v>6</v>
      </c>
      <c r="W1025" s="121">
        <v>10</v>
      </c>
      <c r="X1025" s="148">
        <f>DATE(1900,Таблица18[[#This Row],[Месяц]],Таблица18[[#This Row],[Число]])</f>
        <v>162</v>
      </c>
      <c r="Y1025" s="121"/>
      <c r="Z1025" s="121" t="str">
        <f>Таблица18[[#This Row],[Хар-ка]]</f>
        <v>высший</v>
      </c>
      <c r="AD1025" s="459"/>
      <c r="AE1025" s="391"/>
    </row>
    <row r="1026" spans="1:31" s="325" customFormat="1" ht="15.6" hidden="1" customHeight="1" x14ac:dyDescent="0.2">
      <c r="A1026" s="40" t="s">
        <v>889</v>
      </c>
      <c r="B1026" s="360" t="s">
        <v>833</v>
      </c>
      <c r="C1026" s="40">
        <v>363</v>
      </c>
      <c r="D1026" s="40">
        <v>123</v>
      </c>
      <c r="E1026" s="40" t="s">
        <v>78</v>
      </c>
      <c r="F1026" s="40" t="s">
        <v>1312</v>
      </c>
      <c r="G1026" s="40" t="s">
        <v>320</v>
      </c>
      <c r="H1026" s="40" t="s">
        <v>796</v>
      </c>
      <c r="I1026" s="360" t="e">
        <f>VLOOKUP(Таблица18[[#This Row],[Номер акта]],$AB$1:$AF$1833,3,FALSE)</f>
        <v>#N/A</v>
      </c>
      <c r="J1026" s="40" t="s">
        <v>747</v>
      </c>
      <c r="K1026" s="40" t="s">
        <v>82</v>
      </c>
      <c r="L1026" s="121">
        <v>27420</v>
      </c>
      <c r="M1026" s="121">
        <v>14450</v>
      </c>
      <c r="N1026" s="121">
        <v>13.5</v>
      </c>
      <c r="O1026" s="363">
        <v>12970</v>
      </c>
      <c r="P1026" s="363">
        <v>11219</v>
      </c>
      <c r="Q1026" s="121">
        <v>2025</v>
      </c>
      <c r="R1026" s="121"/>
      <c r="S1026" s="148">
        <v>45818</v>
      </c>
      <c r="T1026" s="363">
        <f>Таблица18[[#This Row],[Вес нетто]]-Таблица18[[#This Row],[Зачетный вес]]</f>
        <v>1751</v>
      </c>
      <c r="U1026" s="365">
        <f>Таблица18[[#This Row],[Отход]]/Таблица18[[#This Row],[Вес нетто]]</f>
        <v>0.13500385505011564</v>
      </c>
      <c r="V1026" s="121">
        <f>MONTH(Таблица18[[#This Row],[Дата акта]])</f>
        <v>6</v>
      </c>
      <c r="W1026" s="121">
        <v>10</v>
      </c>
      <c r="X1026" s="148">
        <f>DATE(1900,Таблица18[[#This Row],[Месяц]],Таблица18[[#This Row],[Число]])</f>
        <v>162</v>
      </c>
      <c r="Y1026" s="121"/>
      <c r="Z1026" s="121" t="str">
        <f>Таблица18[[#This Row],[Хар-ка]]</f>
        <v>второй</v>
      </c>
      <c r="AD1026" s="459"/>
      <c r="AE1026" s="391"/>
    </row>
    <row r="1027" spans="1:31" s="325" customFormat="1" ht="15.6" hidden="1" customHeight="1" x14ac:dyDescent="0.2">
      <c r="A1027" s="40" t="s">
        <v>890</v>
      </c>
      <c r="B1027" s="360" t="s">
        <v>833</v>
      </c>
      <c r="C1027" s="40">
        <v>364</v>
      </c>
      <c r="D1027" s="40">
        <v>124</v>
      </c>
      <c r="E1027" s="40" t="s">
        <v>78</v>
      </c>
      <c r="F1027" s="40" t="s">
        <v>335</v>
      </c>
      <c r="G1027" s="40" t="s">
        <v>339</v>
      </c>
      <c r="H1027" s="40" t="s">
        <v>898</v>
      </c>
      <c r="I1027" s="360" t="e">
        <f>VLOOKUP(Таблица18[[#This Row],[Номер акта]],$AB$1:$AF$1833,3,FALSE)</f>
        <v>#N/A</v>
      </c>
      <c r="J1027" s="40" t="s">
        <v>524</v>
      </c>
      <c r="K1027" s="40" t="s">
        <v>82</v>
      </c>
      <c r="L1027" s="121">
        <v>28620</v>
      </c>
      <c r="M1027" s="121">
        <v>14660</v>
      </c>
      <c r="N1027" s="121">
        <v>13.5</v>
      </c>
      <c r="O1027" s="363">
        <v>13960</v>
      </c>
      <c r="P1027" s="363">
        <v>12075.4</v>
      </c>
      <c r="Q1027" s="121">
        <v>2025</v>
      </c>
      <c r="R1027" s="121"/>
      <c r="S1027" s="148">
        <v>45818</v>
      </c>
      <c r="T1027" s="363">
        <f>Таблица18[[#This Row],[Вес нетто]]-Таблица18[[#This Row],[Зачетный вес]]</f>
        <v>1884.6000000000004</v>
      </c>
      <c r="U1027" s="365">
        <f>Таблица18[[#This Row],[Отход]]/Таблица18[[#This Row],[Вес нетто]]</f>
        <v>0.13500000000000004</v>
      </c>
      <c r="V1027" s="121">
        <f>MONTH(Таблица18[[#This Row],[Дата акта]])</f>
        <v>6</v>
      </c>
      <c r="W1027" s="121">
        <v>10</v>
      </c>
      <c r="X1027" s="148">
        <f>DATE(1900,Таблица18[[#This Row],[Месяц]],Таблица18[[#This Row],[Число]])</f>
        <v>162</v>
      </c>
      <c r="Y1027" s="121"/>
      <c r="Z1027" s="121" t="str">
        <f>Таблица18[[#This Row],[Хар-ка]]</f>
        <v>второй</v>
      </c>
      <c r="AD1027" s="459"/>
      <c r="AE1027" s="391"/>
    </row>
    <row r="1028" spans="1:31" s="325" customFormat="1" ht="15.6" hidden="1" customHeight="1" x14ac:dyDescent="0.2">
      <c r="A1028" s="40" t="s">
        <v>867</v>
      </c>
      <c r="B1028" s="360" t="s">
        <v>550</v>
      </c>
      <c r="C1028" s="40">
        <v>365</v>
      </c>
      <c r="D1028" s="40">
        <v>125</v>
      </c>
      <c r="E1028" s="40" t="s">
        <v>78</v>
      </c>
      <c r="F1028" s="40" t="s">
        <v>127</v>
      </c>
      <c r="G1028" s="40" t="s">
        <v>131</v>
      </c>
      <c r="H1028" s="40" t="s">
        <v>796</v>
      </c>
      <c r="I1028" s="360" t="e">
        <f>VLOOKUP(Таблица18[[#This Row],[Номер акта]],$AB$1:$AF$1833,3,FALSE)</f>
        <v>#N/A</v>
      </c>
      <c r="J1028" s="40" t="s">
        <v>747</v>
      </c>
      <c r="K1028" s="40" t="s">
        <v>82</v>
      </c>
      <c r="L1028" s="121">
        <v>27130</v>
      </c>
      <c r="M1028" s="121">
        <v>14260</v>
      </c>
      <c r="N1028" s="121">
        <v>10.5</v>
      </c>
      <c r="O1028" s="363">
        <v>12870</v>
      </c>
      <c r="P1028" s="363">
        <v>11518.6</v>
      </c>
      <c r="Q1028" s="121">
        <v>2025</v>
      </c>
      <c r="R1028" s="121"/>
      <c r="S1028" s="148">
        <v>45818</v>
      </c>
      <c r="T1028" s="363">
        <f>Таблица18[[#This Row],[Вес нетто]]-Таблица18[[#This Row],[Зачетный вес]]</f>
        <v>1351.3999999999996</v>
      </c>
      <c r="U1028" s="365">
        <f>Таблица18[[#This Row],[Отход]]/Таблица18[[#This Row],[Вес нетто]]</f>
        <v>0.10500388500388498</v>
      </c>
      <c r="V1028" s="121">
        <f>MONTH(Таблица18[[#This Row],[Дата акта]])</f>
        <v>6</v>
      </c>
      <c r="W1028" s="121">
        <v>10</v>
      </c>
      <c r="X1028" s="148">
        <f>DATE(1900,Таблица18[[#This Row],[Месяц]],Таблица18[[#This Row],[Число]])</f>
        <v>162</v>
      </c>
      <c r="Y1028" s="121"/>
      <c r="Z1028" s="121" t="str">
        <f>Таблица18[[#This Row],[Хар-ка]]</f>
        <v>первый</v>
      </c>
      <c r="AD1028" s="459"/>
      <c r="AE1028" s="391"/>
    </row>
    <row r="1029" spans="1:31" s="325" customFormat="1" ht="15.6" hidden="1" customHeight="1" x14ac:dyDescent="0.2">
      <c r="A1029" s="40" t="s">
        <v>875</v>
      </c>
      <c r="B1029" s="360" t="s">
        <v>550</v>
      </c>
      <c r="C1029" s="40">
        <v>366</v>
      </c>
      <c r="D1029" s="40">
        <v>126</v>
      </c>
      <c r="E1029" s="40" t="s">
        <v>78</v>
      </c>
      <c r="F1029" s="40" t="s">
        <v>737</v>
      </c>
      <c r="G1029" s="40" t="s">
        <v>738</v>
      </c>
      <c r="H1029" s="40" t="s">
        <v>796</v>
      </c>
      <c r="I1029" s="360" t="e">
        <f>VLOOKUP(Таблица18[[#This Row],[Номер акта]],$AB$1:$AF$1833,3,FALSE)</f>
        <v>#N/A</v>
      </c>
      <c r="J1029" s="40" t="s">
        <v>747</v>
      </c>
      <c r="K1029" s="40" t="s">
        <v>82</v>
      </c>
      <c r="L1029" s="121">
        <v>8820</v>
      </c>
      <c r="M1029" s="121">
        <v>4560</v>
      </c>
      <c r="N1029" s="121">
        <v>10.5</v>
      </c>
      <c r="O1029" s="363">
        <v>4260</v>
      </c>
      <c r="P1029" s="363">
        <v>3812.7</v>
      </c>
      <c r="Q1029" s="121">
        <v>2025</v>
      </c>
      <c r="R1029" s="121"/>
      <c r="S1029" s="148">
        <v>45818</v>
      </c>
      <c r="T1029" s="363">
        <f>Таблица18[[#This Row],[Вес нетто]]-Таблица18[[#This Row],[Зачетный вес]]</f>
        <v>447.30000000000018</v>
      </c>
      <c r="U1029" s="365">
        <f>Таблица18[[#This Row],[Отход]]/Таблица18[[#This Row],[Вес нетто]]</f>
        <v>0.10500000000000004</v>
      </c>
      <c r="V1029" s="121">
        <f>MONTH(Таблица18[[#This Row],[Дата акта]])</f>
        <v>6</v>
      </c>
      <c r="W1029" s="121">
        <v>10</v>
      </c>
      <c r="X1029" s="148">
        <f>DATE(1900,Таблица18[[#This Row],[Месяц]],Таблица18[[#This Row],[Число]])</f>
        <v>162</v>
      </c>
      <c r="Y1029" s="121"/>
      <c r="Z1029" s="121" t="str">
        <f>Таблица18[[#This Row],[Хар-ка]]</f>
        <v>первый</v>
      </c>
      <c r="AD1029" s="459"/>
      <c r="AE1029" s="391"/>
    </row>
    <row r="1030" spans="1:31" s="325" customFormat="1" ht="15.6" hidden="1" customHeight="1" x14ac:dyDescent="0.2">
      <c r="A1030" s="40" t="s">
        <v>891</v>
      </c>
      <c r="B1030" s="360" t="s">
        <v>833</v>
      </c>
      <c r="C1030" s="40">
        <v>367</v>
      </c>
      <c r="D1030" s="40">
        <v>127</v>
      </c>
      <c r="E1030" s="40" t="s">
        <v>78</v>
      </c>
      <c r="F1030" s="40" t="s">
        <v>894</v>
      </c>
      <c r="G1030" s="40" t="s">
        <v>895</v>
      </c>
      <c r="H1030" s="40" t="s">
        <v>898</v>
      </c>
      <c r="I1030" s="360" t="e">
        <f>VLOOKUP(Таблица18[[#This Row],[Номер акта]],$AB$1:$AF$1833,3,FALSE)</f>
        <v>#N/A</v>
      </c>
      <c r="J1030" s="40" t="s">
        <v>524</v>
      </c>
      <c r="K1030" s="40" t="s">
        <v>82</v>
      </c>
      <c r="L1030" s="121">
        <v>28410</v>
      </c>
      <c r="M1030" s="121">
        <v>14850</v>
      </c>
      <c r="N1030" s="121">
        <v>13.5</v>
      </c>
      <c r="O1030" s="363">
        <v>13560</v>
      </c>
      <c r="P1030" s="363">
        <v>11729.4</v>
      </c>
      <c r="Q1030" s="121">
        <v>2025</v>
      </c>
      <c r="R1030" s="121"/>
      <c r="S1030" s="148">
        <v>45818</v>
      </c>
      <c r="T1030" s="363">
        <f>Таблица18[[#This Row],[Вес нетто]]-Таблица18[[#This Row],[Зачетный вес]]</f>
        <v>1830.6000000000004</v>
      </c>
      <c r="U1030" s="365">
        <f>Таблица18[[#This Row],[Отход]]/Таблица18[[#This Row],[Вес нетто]]</f>
        <v>0.13500000000000004</v>
      </c>
      <c r="V1030" s="121">
        <f>MONTH(Таблица18[[#This Row],[Дата акта]])</f>
        <v>6</v>
      </c>
      <c r="W1030" s="121">
        <v>10</v>
      </c>
      <c r="X1030" s="148">
        <f>DATE(1900,Таблица18[[#This Row],[Месяц]],Таблица18[[#This Row],[Число]])</f>
        <v>162</v>
      </c>
      <c r="Y1030" s="121"/>
      <c r="Z1030" s="121" t="str">
        <f>Таблица18[[#This Row],[Хар-ка]]</f>
        <v>второй</v>
      </c>
      <c r="AD1030" s="459"/>
      <c r="AE1030" s="391"/>
    </row>
    <row r="1031" spans="1:31" s="325" customFormat="1" ht="15.6" hidden="1" customHeight="1" x14ac:dyDescent="0.2">
      <c r="A1031" s="40" t="s">
        <v>878</v>
      </c>
      <c r="B1031" s="360" t="s">
        <v>550</v>
      </c>
      <c r="C1031" s="40">
        <v>368</v>
      </c>
      <c r="D1031" s="40">
        <v>128</v>
      </c>
      <c r="E1031" s="40" t="s">
        <v>78</v>
      </c>
      <c r="F1031" s="40" t="s">
        <v>1312</v>
      </c>
      <c r="G1031" s="40" t="s">
        <v>320</v>
      </c>
      <c r="H1031" s="40" t="s">
        <v>796</v>
      </c>
      <c r="I1031" s="360" t="e">
        <f>VLOOKUP(Таблица18[[#This Row],[Номер акта]],$AB$1:$AF$1833,3,FALSE)</f>
        <v>#N/A</v>
      </c>
      <c r="J1031" s="40" t="s">
        <v>747</v>
      </c>
      <c r="K1031" s="40" t="s">
        <v>82</v>
      </c>
      <c r="L1031" s="121">
        <v>27150</v>
      </c>
      <c r="M1031" s="121">
        <v>14430</v>
      </c>
      <c r="N1031" s="121">
        <v>11.5</v>
      </c>
      <c r="O1031" s="363">
        <v>12720</v>
      </c>
      <c r="P1031" s="363">
        <v>11257.2</v>
      </c>
      <c r="Q1031" s="121">
        <v>2025</v>
      </c>
      <c r="R1031" s="121"/>
      <c r="S1031" s="148">
        <v>45818</v>
      </c>
      <c r="T1031" s="363">
        <f>Таблица18[[#This Row],[Вес нетто]]-Таблица18[[#This Row],[Зачетный вес]]</f>
        <v>1462.7999999999993</v>
      </c>
      <c r="U1031" s="365">
        <f>Таблица18[[#This Row],[Отход]]/Таблица18[[#This Row],[Вес нетто]]</f>
        <v>0.11499999999999995</v>
      </c>
      <c r="V1031" s="121">
        <f>MONTH(Таблица18[[#This Row],[Дата акта]])</f>
        <v>6</v>
      </c>
      <c r="W1031" s="121">
        <v>10</v>
      </c>
      <c r="X1031" s="148">
        <f>DATE(1900,Таблица18[[#This Row],[Месяц]],Таблица18[[#This Row],[Число]])</f>
        <v>162</v>
      </c>
      <c r="Y1031" s="121"/>
      <c r="Z1031" s="121" t="str">
        <f>Таблица18[[#This Row],[Хар-ка]]</f>
        <v>первый</v>
      </c>
      <c r="AD1031" s="459"/>
      <c r="AE1031" s="391"/>
    </row>
    <row r="1032" spans="1:31" s="325" customFormat="1" ht="15.6" hidden="1" customHeight="1" x14ac:dyDescent="0.2">
      <c r="A1032" s="40" t="s">
        <v>879</v>
      </c>
      <c r="B1032" s="360" t="s">
        <v>550</v>
      </c>
      <c r="C1032" s="40">
        <v>369</v>
      </c>
      <c r="D1032" s="40">
        <v>129</v>
      </c>
      <c r="E1032" s="40" t="s">
        <v>78</v>
      </c>
      <c r="F1032" s="40" t="s">
        <v>335</v>
      </c>
      <c r="G1032" s="40" t="s">
        <v>339</v>
      </c>
      <c r="H1032" s="40" t="s">
        <v>898</v>
      </c>
      <c r="I1032" s="360" t="e">
        <f>VLOOKUP(Таблица18[[#This Row],[Номер акта]],$AB$1:$AF$1833,3,FALSE)</f>
        <v>#N/A</v>
      </c>
      <c r="J1032" s="40" t="s">
        <v>524</v>
      </c>
      <c r="K1032" s="40" t="s">
        <v>82</v>
      </c>
      <c r="L1032" s="121">
        <v>28490</v>
      </c>
      <c r="M1032" s="121">
        <v>14640</v>
      </c>
      <c r="N1032" s="121">
        <v>12</v>
      </c>
      <c r="O1032" s="363">
        <v>13850</v>
      </c>
      <c r="P1032" s="363">
        <v>12188</v>
      </c>
      <c r="Q1032" s="121">
        <v>2025</v>
      </c>
      <c r="R1032" s="121"/>
      <c r="S1032" s="148">
        <v>45819</v>
      </c>
      <c r="T1032" s="363">
        <f>Таблица18[[#This Row],[Вес нетто]]-Таблица18[[#This Row],[Зачетный вес]]</f>
        <v>1662</v>
      </c>
      <c r="U1032" s="365">
        <f>Таблица18[[#This Row],[Отход]]/Таблица18[[#This Row],[Вес нетто]]</f>
        <v>0.12</v>
      </c>
      <c r="V1032" s="121">
        <f>MONTH(Таблица18[[#This Row],[Дата акта]])</f>
        <v>6</v>
      </c>
      <c r="W1032" s="121">
        <v>11</v>
      </c>
      <c r="X1032" s="148">
        <f>DATE(1900,Таблица18[[#This Row],[Месяц]],Таблица18[[#This Row],[Число]])</f>
        <v>163</v>
      </c>
      <c r="Y1032" s="121"/>
      <c r="Z1032" s="121" t="str">
        <f>Таблица18[[#This Row],[Хар-ка]]</f>
        <v>первый</v>
      </c>
      <c r="AD1032" s="459"/>
      <c r="AE1032" s="391"/>
    </row>
    <row r="1033" spans="1:31" s="325" customFormat="1" ht="15.6" hidden="1" customHeight="1" x14ac:dyDescent="0.2">
      <c r="A1033" s="40" t="s">
        <v>876</v>
      </c>
      <c r="B1033" s="360" t="s">
        <v>550</v>
      </c>
      <c r="C1033" s="40">
        <v>371</v>
      </c>
      <c r="D1033" s="40">
        <v>131</v>
      </c>
      <c r="E1033" s="40" t="s">
        <v>78</v>
      </c>
      <c r="F1033" s="40" t="s">
        <v>737</v>
      </c>
      <c r="G1033" s="40" t="s">
        <v>738</v>
      </c>
      <c r="H1033" s="40" t="s">
        <v>796</v>
      </c>
      <c r="I1033" s="360" t="e">
        <f>VLOOKUP(Таблица18[[#This Row],[Номер акта]],$AB$1:$AF$1833,3,FALSE)</f>
        <v>#N/A</v>
      </c>
      <c r="J1033" s="40" t="s">
        <v>747</v>
      </c>
      <c r="K1033" s="40" t="s">
        <v>82</v>
      </c>
      <c r="L1033" s="121">
        <v>8840</v>
      </c>
      <c r="M1033" s="121">
        <v>4550</v>
      </c>
      <c r="N1033" s="121">
        <v>7</v>
      </c>
      <c r="O1033" s="363">
        <v>4290</v>
      </c>
      <c r="P1033" s="363">
        <v>3989.7</v>
      </c>
      <c r="Q1033" s="121">
        <v>2025</v>
      </c>
      <c r="R1033" s="121"/>
      <c r="S1033" s="148">
        <v>45819</v>
      </c>
      <c r="T1033" s="363">
        <f>Таблица18[[#This Row],[Вес нетто]]-Таблица18[[#This Row],[Зачетный вес]]</f>
        <v>300.30000000000018</v>
      </c>
      <c r="U1033" s="365">
        <f>Таблица18[[#This Row],[Отход]]/Таблица18[[#This Row],[Вес нетто]]</f>
        <v>7.0000000000000048E-2</v>
      </c>
      <c r="V1033" s="121">
        <f>MONTH(Таблица18[[#This Row],[Дата акта]])</f>
        <v>6</v>
      </c>
      <c r="W1033" s="121">
        <v>11</v>
      </c>
      <c r="X1033" s="148">
        <f>DATE(1900,Таблица18[[#This Row],[Месяц]],Таблица18[[#This Row],[Число]])</f>
        <v>163</v>
      </c>
      <c r="Y1033" s="121"/>
      <c r="Z1033" s="121" t="str">
        <f>Таблица18[[#This Row],[Хар-ка]]</f>
        <v>первый</v>
      </c>
      <c r="AD1033" s="459"/>
      <c r="AE1033" s="391"/>
    </row>
    <row r="1034" spans="1:31" s="325" customFormat="1" ht="15.6" hidden="1" customHeight="1" x14ac:dyDescent="0.2">
      <c r="A1034" s="40" t="s">
        <v>871</v>
      </c>
      <c r="B1034" s="360" t="s">
        <v>550</v>
      </c>
      <c r="C1034" s="40">
        <v>370</v>
      </c>
      <c r="D1034" s="40">
        <v>130</v>
      </c>
      <c r="E1034" s="40" t="s">
        <v>78</v>
      </c>
      <c r="F1034" s="40" t="s">
        <v>127</v>
      </c>
      <c r="G1034" s="40" t="s">
        <v>131</v>
      </c>
      <c r="H1034" s="40" t="s">
        <v>796</v>
      </c>
      <c r="I1034" s="360" t="e">
        <f>VLOOKUP(Таблица18[[#This Row],[Номер акта]],$AB$1:$AF$1833,3,FALSE)</f>
        <v>#N/A</v>
      </c>
      <c r="J1034" s="40" t="s">
        <v>747</v>
      </c>
      <c r="K1034" s="40" t="s">
        <v>82</v>
      </c>
      <c r="L1034" s="121">
        <v>27160</v>
      </c>
      <c r="M1034" s="121">
        <v>14250</v>
      </c>
      <c r="N1034" s="121">
        <v>10.5</v>
      </c>
      <c r="O1034" s="363">
        <v>12910</v>
      </c>
      <c r="P1034" s="363">
        <v>11554.4</v>
      </c>
      <c r="Q1034" s="121">
        <v>2025</v>
      </c>
      <c r="R1034" s="121"/>
      <c r="S1034" s="148">
        <v>45819</v>
      </c>
      <c r="T1034" s="363">
        <f>Таблица18[[#This Row],[Вес нетто]]-Таблица18[[#This Row],[Зачетный вес]]</f>
        <v>1355.6000000000004</v>
      </c>
      <c r="U1034" s="365">
        <f>Таблица18[[#This Row],[Отход]]/Таблица18[[#This Row],[Вес нетто]]</f>
        <v>0.10500387296669252</v>
      </c>
      <c r="V1034" s="121">
        <f>MONTH(Таблица18[[#This Row],[Дата акта]])</f>
        <v>6</v>
      </c>
      <c r="W1034" s="121">
        <v>11</v>
      </c>
      <c r="X1034" s="148">
        <f>DATE(1900,Таблица18[[#This Row],[Месяц]],Таблица18[[#This Row],[Число]])</f>
        <v>163</v>
      </c>
      <c r="Y1034" s="121"/>
      <c r="Z1034" s="121" t="str">
        <f>Таблица18[[#This Row],[Хар-ка]]</f>
        <v>первый</v>
      </c>
      <c r="AD1034" s="459"/>
      <c r="AE1034" s="391"/>
    </row>
    <row r="1035" spans="1:31" s="325" customFormat="1" ht="15.6" hidden="1" customHeight="1" x14ac:dyDescent="0.2">
      <c r="A1035" s="40" t="s">
        <v>866</v>
      </c>
      <c r="B1035" s="360" t="s">
        <v>511</v>
      </c>
      <c r="C1035" s="40">
        <v>360</v>
      </c>
      <c r="D1035" s="40">
        <v>122</v>
      </c>
      <c r="E1035" s="40" t="s">
        <v>78</v>
      </c>
      <c r="F1035" s="40" t="s">
        <v>127</v>
      </c>
      <c r="G1035" s="40" t="s">
        <v>131</v>
      </c>
      <c r="H1035" s="40" t="s">
        <v>796</v>
      </c>
      <c r="I1035" s="360" t="e">
        <f>VLOOKUP(Таблица18[[#This Row],[Номер акта]],$AB$1:$AF$1833,3,FALSE)</f>
        <v>#N/A</v>
      </c>
      <c r="J1035" s="40" t="s">
        <v>899</v>
      </c>
      <c r="K1035" s="40" t="s">
        <v>82</v>
      </c>
      <c r="L1035" s="121">
        <v>22670</v>
      </c>
      <c r="M1035" s="121">
        <v>14280</v>
      </c>
      <c r="N1035" s="121">
        <v>19</v>
      </c>
      <c r="O1035" s="363">
        <v>8390</v>
      </c>
      <c r="P1035" s="363">
        <v>6795.9</v>
      </c>
      <c r="Q1035" s="121">
        <v>2025</v>
      </c>
      <c r="R1035" s="121"/>
      <c r="S1035" s="148">
        <v>45818</v>
      </c>
      <c r="T1035" s="363">
        <f>Таблица18[[#This Row],[Вес нетто]]-Таблица18[[#This Row],[Зачетный вес]]</f>
        <v>1594.1000000000004</v>
      </c>
      <c r="U1035" s="365">
        <f>Таблица18[[#This Row],[Отход]]/Таблица18[[#This Row],[Вес нетто]]</f>
        <v>0.19000000000000003</v>
      </c>
      <c r="V1035" s="121">
        <f>MONTH(Таблица18[[#This Row],[Дата акта]])</f>
        <v>6</v>
      </c>
      <c r="W1035" s="121">
        <v>10</v>
      </c>
      <c r="X1035" s="148">
        <f>DATE(1900,Таблица18[[#This Row],[Месяц]],Таблица18[[#This Row],[Число]])</f>
        <v>162</v>
      </c>
      <c r="Y1035" s="121"/>
      <c r="Z1035" s="121" t="str">
        <f>Таблица18[[#This Row],[Хар-ка]]</f>
        <v>высший</v>
      </c>
      <c r="AD1035" s="459"/>
      <c r="AE1035" s="391"/>
    </row>
    <row r="1036" spans="1:31" s="325" customFormat="1" ht="15.6" hidden="1" customHeight="1" x14ac:dyDescent="0.2">
      <c r="A1036" s="40" t="s">
        <v>870</v>
      </c>
      <c r="B1036" s="360" t="s">
        <v>550</v>
      </c>
      <c r="C1036" s="40">
        <v>372</v>
      </c>
      <c r="D1036" s="40">
        <v>132</v>
      </c>
      <c r="E1036" s="40" t="s">
        <v>78</v>
      </c>
      <c r="F1036" s="40" t="s">
        <v>894</v>
      </c>
      <c r="G1036" s="40" t="s">
        <v>895</v>
      </c>
      <c r="H1036" s="40" t="s">
        <v>849</v>
      </c>
      <c r="I1036" s="360" t="e">
        <f>VLOOKUP(Таблица18[[#This Row],[Номер акта]],$AB$1:$AF$1833,3,FALSE)</f>
        <v>#N/A</v>
      </c>
      <c r="J1036" s="40" t="s">
        <v>524</v>
      </c>
      <c r="K1036" s="40" t="s">
        <v>82</v>
      </c>
      <c r="L1036" s="121">
        <v>28460</v>
      </c>
      <c r="M1036" s="121">
        <v>14840</v>
      </c>
      <c r="N1036" s="121">
        <v>9.5</v>
      </c>
      <c r="O1036" s="363">
        <v>13620</v>
      </c>
      <c r="P1036" s="363">
        <v>12326.1</v>
      </c>
      <c r="Q1036" s="121">
        <v>2025</v>
      </c>
      <c r="R1036" s="121"/>
      <c r="S1036" s="148">
        <v>45819</v>
      </c>
      <c r="T1036" s="363">
        <f>Таблица18[[#This Row],[Вес нетто]]-Таблица18[[#This Row],[Зачетный вес]]</f>
        <v>1293.8999999999996</v>
      </c>
      <c r="U1036" s="365">
        <f>Таблица18[[#This Row],[Отход]]/Таблица18[[#This Row],[Вес нетто]]</f>
        <v>9.4999999999999973E-2</v>
      </c>
      <c r="V1036" s="121">
        <f>MONTH(Таблица18[[#This Row],[Дата акта]])</f>
        <v>6</v>
      </c>
      <c r="W1036" s="121">
        <v>11</v>
      </c>
      <c r="X1036" s="148">
        <f>DATE(1900,Таблица18[[#This Row],[Месяц]],Таблица18[[#This Row],[Число]])</f>
        <v>163</v>
      </c>
      <c r="Y1036" s="121"/>
      <c r="Z1036" s="121" t="str">
        <f>Таблица18[[#This Row],[Хар-ка]]</f>
        <v>первый</v>
      </c>
      <c r="AD1036" s="459"/>
      <c r="AE1036" s="391"/>
    </row>
    <row r="1037" spans="1:31" s="325" customFormat="1" ht="15.6" hidden="1" customHeight="1" x14ac:dyDescent="0.2">
      <c r="A1037" s="40" t="s">
        <v>874</v>
      </c>
      <c r="B1037" s="360" t="s">
        <v>550</v>
      </c>
      <c r="C1037" s="40">
        <v>373</v>
      </c>
      <c r="D1037" s="40">
        <v>133</v>
      </c>
      <c r="E1037" s="40" t="s">
        <v>78</v>
      </c>
      <c r="F1037" s="40" t="s">
        <v>335</v>
      </c>
      <c r="G1037" s="40" t="s">
        <v>339</v>
      </c>
      <c r="H1037" s="40" t="s">
        <v>796</v>
      </c>
      <c r="I1037" s="360" t="e">
        <f>VLOOKUP(Таблица18[[#This Row],[Номер акта]],$AB$1:$AF$1833,3,FALSE)</f>
        <v>#N/A</v>
      </c>
      <c r="J1037" s="40" t="s">
        <v>747</v>
      </c>
      <c r="K1037" s="40" t="s">
        <v>82</v>
      </c>
      <c r="L1037" s="121">
        <v>27930</v>
      </c>
      <c r="M1037" s="121">
        <v>14640</v>
      </c>
      <c r="N1037" s="121">
        <v>10</v>
      </c>
      <c r="O1037" s="363">
        <v>13290</v>
      </c>
      <c r="P1037" s="363">
        <v>11961</v>
      </c>
      <c r="Q1037" s="121">
        <v>2025</v>
      </c>
      <c r="R1037" s="121"/>
      <c r="S1037" s="148">
        <v>45819</v>
      </c>
      <c r="T1037" s="363">
        <f>Таблица18[[#This Row],[Вес нетто]]-Таблица18[[#This Row],[Зачетный вес]]</f>
        <v>1329</v>
      </c>
      <c r="U1037" s="365">
        <f>Таблица18[[#This Row],[Отход]]/Таблица18[[#This Row],[Вес нетто]]</f>
        <v>0.1</v>
      </c>
      <c r="V1037" s="121">
        <f>MONTH(Таблица18[[#This Row],[Дата акта]])</f>
        <v>6</v>
      </c>
      <c r="W1037" s="121">
        <v>11</v>
      </c>
      <c r="X1037" s="148">
        <f>DATE(1900,Таблица18[[#This Row],[Месяц]],Таблица18[[#This Row],[Число]])</f>
        <v>163</v>
      </c>
      <c r="Y1037" s="121"/>
      <c r="Z1037" s="121" t="str">
        <f>Таблица18[[#This Row],[Хар-ка]]</f>
        <v>первый</v>
      </c>
      <c r="AD1037" s="459"/>
      <c r="AE1037" s="391"/>
    </row>
    <row r="1038" spans="1:31" s="325" customFormat="1" ht="15.6" hidden="1" customHeight="1" x14ac:dyDescent="0.2">
      <c r="A1038" s="40" t="s">
        <v>892</v>
      </c>
      <c r="B1038" s="360" t="s">
        <v>833</v>
      </c>
      <c r="C1038" s="40">
        <v>375</v>
      </c>
      <c r="D1038" s="40">
        <v>134</v>
      </c>
      <c r="E1038" s="40" t="s">
        <v>78</v>
      </c>
      <c r="F1038" s="40" t="s">
        <v>133</v>
      </c>
      <c r="G1038" s="40" t="s">
        <v>137</v>
      </c>
      <c r="H1038" s="40" t="s">
        <v>796</v>
      </c>
      <c r="I1038" s="360" t="e">
        <f>VLOOKUP(Таблица18[[#This Row],[Номер акта]],$AB$1:$AF$1833,3,FALSE)</f>
        <v>#N/A</v>
      </c>
      <c r="J1038" s="40" t="s">
        <v>747</v>
      </c>
      <c r="K1038" s="40" t="s">
        <v>82</v>
      </c>
      <c r="L1038" s="121">
        <v>25280</v>
      </c>
      <c r="M1038" s="121">
        <v>14940</v>
      </c>
      <c r="N1038" s="121">
        <v>5</v>
      </c>
      <c r="O1038" s="363">
        <v>10340</v>
      </c>
      <c r="P1038" s="363">
        <v>9823</v>
      </c>
      <c r="Q1038" s="121">
        <v>2025</v>
      </c>
      <c r="R1038" s="121"/>
      <c r="S1038" s="148">
        <v>45819</v>
      </c>
      <c r="T1038" s="363">
        <f>Таблица18[[#This Row],[Вес нетто]]-Таблица18[[#This Row],[Зачетный вес]]</f>
        <v>517</v>
      </c>
      <c r="U1038" s="365">
        <f>Таблица18[[#This Row],[Отход]]/Таблица18[[#This Row],[Вес нетто]]</f>
        <v>0.05</v>
      </c>
      <c r="V1038" s="121">
        <f>MONTH(Таблица18[[#This Row],[Дата акта]])</f>
        <v>6</v>
      </c>
      <c r="W1038" s="121">
        <v>11</v>
      </c>
      <c r="X1038" s="148">
        <f>DATE(1900,Таблица18[[#This Row],[Месяц]],Таблица18[[#This Row],[Число]])</f>
        <v>163</v>
      </c>
      <c r="Y1038" s="121"/>
      <c r="Z1038" s="121" t="str">
        <f>Таблица18[[#This Row],[Хар-ка]]</f>
        <v>второй</v>
      </c>
      <c r="AD1038" s="459"/>
      <c r="AE1038" s="391"/>
    </row>
    <row r="1039" spans="1:31" s="325" customFormat="1" ht="15.6" hidden="1" customHeight="1" x14ac:dyDescent="0.2">
      <c r="A1039" s="40" t="s">
        <v>888</v>
      </c>
      <c r="B1039" s="360" t="s">
        <v>833</v>
      </c>
      <c r="C1039" s="40">
        <v>377</v>
      </c>
      <c r="D1039" s="40">
        <v>135</v>
      </c>
      <c r="E1039" s="40" t="s">
        <v>78</v>
      </c>
      <c r="F1039" s="40" t="s">
        <v>311</v>
      </c>
      <c r="G1039" s="40" t="s">
        <v>315</v>
      </c>
      <c r="H1039" s="40" t="s">
        <v>796</v>
      </c>
      <c r="I1039" s="360" t="e">
        <f>VLOOKUP(Таблица18[[#This Row],[Номер акта]],$AB$1:$AF$1833,3,FALSE)</f>
        <v>#N/A</v>
      </c>
      <c r="J1039" s="40" t="s">
        <v>747</v>
      </c>
      <c r="K1039" s="40" t="s">
        <v>82</v>
      </c>
      <c r="L1039" s="121">
        <v>25720</v>
      </c>
      <c r="M1039" s="121">
        <v>15020</v>
      </c>
      <c r="N1039" s="121">
        <v>6.5</v>
      </c>
      <c r="O1039" s="363">
        <v>10700</v>
      </c>
      <c r="P1039" s="363">
        <v>10004.5</v>
      </c>
      <c r="Q1039" s="121">
        <v>2025</v>
      </c>
      <c r="R1039" s="121"/>
      <c r="S1039" s="148">
        <v>45819</v>
      </c>
      <c r="T1039" s="363">
        <f>Таблица18[[#This Row],[Вес нетто]]-Таблица18[[#This Row],[Зачетный вес]]</f>
        <v>695.5</v>
      </c>
      <c r="U1039" s="365">
        <f>Таблица18[[#This Row],[Отход]]/Таблица18[[#This Row],[Вес нетто]]</f>
        <v>6.5000000000000002E-2</v>
      </c>
      <c r="V1039" s="121">
        <f>MONTH(Таблица18[[#This Row],[Дата акта]])</f>
        <v>6</v>
      </c>
      <c r="W1039" s="121">
        <v>11</v>
      </c>
      <c r="X1039" s="148">
        <f>DATE(1900,Таблица18[[#This Row],[Месяц]],Таблица18[[#This Row],[Число]])</f>
        <v>163</v>
      </c>
      <c r="Y1039" s="121"/>
      <c r="Z1039" s="121" t="str">
        <f>Таблица18[[#This Row],[Хар-ка]]</f>
        <v>второй</v>
      </c>
      <c r="AD1039" s="459"/>
      <c r="AE1039" s="391"/>
    </row>
    <row r="1040" spans="1:31" s="325" customFormat="1" ht="15.6" hidden="1" customHeight="1" x14ac:dyDescent="0.2">
      <c r="A1040" s="40" t="s">
        <v>872</v>
      </c>
      <c r="B1040" s="360" t="s">
        <v>550</v>
      </c>
      <c r="C1040" s="40">
        <v>378</v>
      </c>
      <c r="D1040" s="40">
        <v>3</v>
      </c>
      <c r="E1040" s="40" t="s">
        <v>903</v>
      </c>
      <c r="F1040" s="40" t="s">
        <v>762</v>
      </c>
      <c r="G1040" s="40" t="s">
        <v>763</v>
      </c>
      <c r="H1040" s="40" t="s">
        <v>904</v>
      </c>
      <c r="I1040" s="360" t="e">
        <f>VLOOKUP(Таблица18[[#This Row],[Номер акта]],$AB$1:$AF$1833,3,FALSE)</f>
        <v>#N/A</v>
      </c>
      <c r="J1040" s="40" t="s">
        <v>901</v>
      </c>
      <c r="K1040" s="40" t="s">
        <v>82</v>
      </c>
      <c r="L1040" s="121">
        <v>8800</v>
      </c>
      <c r="M1040" s="121">
        <v>4600</v>
      </c>
      <c r="N1040" s="121">
        <v>7</v>
      </c>
      <c r="O1040" s="363">
        <v>4200</v>
      </c>
      <c r="P1040" s="363">
        <v>3906</v>
      </c>
      <c r="Q1040" s="121">
        <v>2025</v>
      </c>
      <c r="R1040" s="121"/>
      <c r="S1040" s="148">
        <v>45819</v>
      </c>
      <c r="T1040" s="363">
        <f>Таблица18[[#This Row],[Вес нетто]]-Таблица18[[#This Row],[Зачетный вес]]</f>
        <v>294</v>
      </c>
      <c r="U1040" s="365">
        <f>Таблица18[[#This Row],[Отход]]/Таблица18[[#This Row],[Вес нетто]]</f>
        <v>7.0000000000000007E-2</v>
      </c>
      <c r="V1040" s="121">
        <f>MONTH(Таблица18[[#This Row],[Дата акта]])</f>
        <v>6</v>
      </c>
      <c r="W1040" s="121">
        <v>11</v>
      </c>
      <c r="X1040" s="148">
        <f>DATE(1900,Таблица18[[#This Row],[Месяц]],Таблица18[[#This Row],[Число]])</f>
        <v>163</v>
      </c>
      <c r="Y1040" s="121"/>
      <c r="Z1040" s="121" t="str">
        <f>Таблица18[[#This Row],[Хар-ка]]</f>
        <v>первый</v>
      </c>
      <c r="AD1040" s="459"/>
      <c r="AE1040" s="391"/>
    </row>
    <row r="1041" spans="1:31" s="325" customFormat="1" ht="15.6" hidden="1" customHeight="1" x14ac:dyDescent="0.2">
      <c r="A1041" s="40" t="s">
        <v>937</v>
      </c>
      <c r="B1041" s="360" t="s">
        <v>550</v>
      </c>
      <c r="C1041" s="40">
        <v>380</v>
      </c>
      <c r="D1041" s="40">
        <v>1</v>
      </c>
      <c r="E1041" s="40" t="s">
        <v>903</v>
      </c>
      <c r="F1041" s="40" t="s">
        <v>1253</v>
      </c>
      <c r="G1041" s="40" t="s">
        <v>270</v>
      </c>
      <c r="H1041" s="40" t="s">
        <v>904</v>
      </c>
      <c r="I1041" s="360" t="e">
        <f>VLOOKUP(Таблица18[[#This Row],[Номер акта]],$AB$1:$AF$1833,3,FALSE)</f>
        <v>#N/A</v>
      </c>
      <c r="J1041" s="40" t="s">
        <v>901</v>
      </c>
      <c r="K1041" s="40" t="s">
        <v>82</v>
      </c>
      <c r="L1041" s="121">
        <v>27810</v>
      </c>
      <c r="M1041" s="121">
        <v>14980</v>
      </c>
      <c r="N1041" s="121">
        <v>9.5</v>
      </c>
      <c r="O1041" s="363">
        <v>12830</v>
      </c>
      <c r="P1041" s="363">
        <v>11611.1</v>
      </c>
      <c r="Q1041" s="121">
        <v>2025</v>
      </c>
      <c r="R1041" s="121"/>
      <c r="S1041" s="148">
        <v>45819</v>
      </c>
      <c r="T1041" s="363">
        <f>Таблица18[[#This Row],[Вес нетто]]-Таблица18[[#This Row],[Зачетный вес]]</f>
        <v>1218.8999999999996</v>
      </c>
      <c r="U1041" s="365">
        <f>Таблица18[[#This Row],[Отход]]/Таблица18[[#This Row],[Вес нетто]]</f>
        <v>9.5003897116134037E-2</v>
      </c>
      <c r="V1041" s="121">
        <f>MONTH(Таблица18[[#This Row],[Дата акта]])</f>
        <v>6</v>
      </c>
      <c r="W1041" s="121">
        <v>11</v>
      </c>
      <c r="X1041" s="148">
        <f>DATE(1900,Таблица18[[#This Row],[Месяц]],Таблица18[[#This Row],[Число]])</f>
        <v>163</v>
      </c>
      <c r="Y1041" s="121"/>
      <c r="Z1041" s="121" t="str">
        <f>Таблица18[[#This Row],[Хар-ка]]</f>
        <v>первый</v>
      </c>
      <c r="AD1041" s="459"/>
      <c r="AE1041" s="391"/>
    </row>
    <row r="1042" spans="1:31" s="325" customFormat="1" ht="15.6" hidden="1" customHeight="1" x14ac:dyDescent="0.2">
      <c r="A1042" s="40" t="s">
        <v>938</v>
      </c>
      <c r="B1042" s="360" t="s">
        <v>550</v>
      </c>
      <c r="C1042" s="40">
        <v>381</v>
      </c>
      <c r="D1042" s="40">
        <v>2</v>
      </c>
      <c r="E1042" s="40" t="s">
        <v>903</v>
      </c>
      <c r="F1042" s="40" t="s">
        <v>272</v>
      </c>
      <c r="G1042" s="40" t="s">
        <v>276</v>
      </c>
      <c r="H1042" s="40" t="s">
        <v>904</v>
      </c>
      <c r="I1042" s="360" t="e">
        <f>VLOOKUP(Таблица18[[#This Row],[Номер акта]],$AB$1:$AF$1833,3,FALSE)</f>
        <v>#N/A</v>
      </c>
      <c r="J1042" s="40" t="s">
        <v>901</v>
      </c>
      <c r="K1042" s="40" t="s">
        <v>82</v>
      </c>
      <c r="L1042" s="121">
        <v>27520</v>
      </c>
      <c r="M1042" s="121">
        <v>14770</v>
      </c>
      <c r="N1042" s="121">
        <v>5</v>
      </c>
      <c r="O1042" s="363">
        <v>12750</v>
      </c>
      <c r="P1042" s="363">
        <v>12112.5</v>
      </c>
      <c r="Q1042" s="121">
        <v>2025</v>
      </c>
      <c r="R1042" s="121"/>
      <c r="S1042" s="148">
        <v>45819</v>
      </c>
      <c r="T1042" s="363">
        <f>Таблица18[[#This Row],[Вес нетто]]-Таблица18[[#This Row],[Зачетный вес]]</f>
        <v>637.5</v>
      </c>
      <c r="U1042" s="365">
        <f>Таблица18[[#This Row],[Отход]]/Таблица18[[#This Row],[Вес нетто]]</f>
        <v>0.05</v>
      </c>
      <c r="V1042" s="121">
        <f>MONTH(Таблица18[[#This Row],[Дата акта]])</f>
        <v>6</v>
      </c>
      <c r="W1042" s="121">
        <v>11</v>
      </c>
      <c r="X1042" s="148">
        <f>DATE(1900,Таблица18[[#This Row],[Месяц]],Таблица18[[#This Row],[Число]])</f>
        <v>163</v>
      </c>
      <c r="Y1042" s="121"/>
      <c r="Z1042" s="121" t="str">
        <f>Таблица18[[#This Row],[Хар-ка]]</f>
        <v>первый</v>
      </c>
      <c r="AD1042" s="459"/>
      <c r="AE1042" s="391"/>
    </row>
    <row r="1043" spans="1:31" s="325" customFormat="1" ht="15.6" hidden="1" customHeight="1" x14ac:dyDescent="0.2">
      <c r="A1043" s="40" t="s">
        <v>939</v>
      </c>
      <c r="B1043" s="360" t="s">
        <v>550</v>
      </c>
      <c r="C1043" s="40">
        <v>382</v>
      </c>
      <c r="D1043" s="40">
        <v>4</v>
      </c>
      <c r="E1043" s="40" t="s">
        <v>903</v>
      </c>
      <c r="F1043" s="40" t="s">
        <v>239</v>
      </c>
      <c r="G1043" s="40" t="s">
        <v>243</v>
      </c>
      <c r="H1043" s="40" t="s">
        <v>904</v>
      </c>
      <c r="I1043" s="360" t="e">
        <f>VLOOKUP(Таблица18[[#This Row],[Номер акта]],$AB$1:$AF$1833,3,FALSE)</f>
        <v>#N/A</v>
      </c>
      <c r="J1043" s="40" t="s">
        <v>901</v>
      </c>
      <c r="K1043" s="40" t="s">
        <v>82</v>
      </c>
      <c r="L1043" s="121">
        <v>27190</v>
      </c>
      <c r="M1043" s="121">
        <v>14530</v>
      </c>
      <c r="N1043" s="121">
        <v>8</v>
      </c>
      <c r="O1043" s="363">
        <v>12660</v>
      </c>
      <c r="P1043" s="363">
        <v>11647.2</v>
      </c>
      <c r="Q1043" s="121">
        <v>2025</v>
      </c>
      <c r="R1043" s="121"/>
      <c r="S1043" s="148">
        <v>45819</v>
      </c>
      <c r="T1043" s="363">
        <f>Таблица18[[#This Row],[Вес нетто]]-Таблица18[[#This Row],[Зачетный вес]]</f>
        <v>1012.7999999999993</v>
      </c>
      <c r="U1043" s="365">
        <f>Таблица18[[#This Row],[Отход]]/Таблица18[[#This Row],[Вес нетто]]</f>
        <v>7.9999999999999946E-2</v>
      </c>
      <c r="V1043" s="121">
        <f>MONTH(Таблица18[[#This Row],[Дата акта]])</f>
        <v>6</v>
      </c>
      <c r="W1043" s="121">
        <v>11</v>
      </c>
      <c r="X1043" s="148">
        <f>DATE(1900,Таблица18[[#This Row],[Месяц]],Таблица18[[#This Row],[Число]])</f>
        <v>163</v>
      </c>
      <c r="Y1043" s="121"/>
      <c r="Z1043" s="121" t="str">
        <f>Таблица18[[#This Row],[Хар-ка]]</f>
        <v>первый</v>
      </c>
      <c r="AD1043" s="459"/>
      <c r="AE1043" s="391"/>
    </row>
    <row r="1044" spans="1:31" s="325" customFormat="1" ht="15.6" hidden="1" customHeight="1" x14ac:dyDescent="0.2">
      <c r="A1044" s="40" t="s">
        <v>940</v>
      </c>
      <c r="B1044" s="360" t="s">
        <v>550</v>
      </c>
      <c r="C1044" s="40">
        <v>383</v>
      </c>
      <c r="D1044" s="40">
        <v>5</v>
      </c>
      <c r="E1044" s="40" t="s">
        <v>903</v>
      </c>
      <c r="F1044" s="40" t="s">
        <v>121</v>
      </c>
      <c r="G1044" s="40" t="s">
        <v>125</v>
      </c>
      <c r="H1044" s="40" t="s">
        <v>904</v>
      </c>
      <c r="I1044" s="360" t="e">
        <f>VLOOKUP(Таблица18[[#This Row],[Номер акта]],$AB$1:$AF$1833,3,FALSE)</f>
        <v>#N/A</v>
      </c>
      <c r="J1044" s="40" t="s">
        <v>901</v>
      </c>
      <c r="K1044" s="40" t="s">
        <v>82</v>
      </c>
      <c r="L1044" s="121">
        <v>27620</v>
      </c>
      <c r="M1044" s="121">
        <v>14630</v>
      </c>
      <c r="N1044" s="121">
        <v>7</v>
      </c>
      <c r="O1044" s="363">
        <v>12990</v>
      </c>
      <c r="P1044" s="363">
        <v>12080.7</v>
      </c>
      <c r="Q1044" s="121">
        <v>2025</v>
      </c>
      <c r="R1044" s="121"/>
      <c r="S1044" s="148">
        <v>45819</v>
      </c>
      <c r="T1044" s="363">
        <f>Таблица18[[#This Row],[Вес нетто]]-Таблица18[[#This Row],[Зачетный вес]]</f>
        <v>909.29999999999927</v>
      </c>
      <c r="U1044" s="365">
        <f>Таблица18[[#This Row],[Отход]]/Таблица18[[#This Row],[Вес нетто]]</f>
        <v>6.9999999999999937E-2</v>
      </c>
      <c r="V1044" s="121">
        <f>MONTH(Таблица18[[#This Row],[Дата акта]])</f>
        <v>6</v>
      </c>
      <c r="W1044" s="121">
        <v>11</v>
      </c>
      <c r="X1044" s="148">
        <f>DATE(1900,Таблица18[[#This Row],[Месяц]],Таблица18[[#This Row],[Число]])</f>
        <v>163</v>
      </c>
      <c r="Y1044" s="121"/>
      <c r="Z1044" s="121" t="str">
        <f>Таблица18[[#This Row],[Хар-ка]]</f>
        <v>первый</v>
      </c>
      <c r="AD1044" s="459"/>
      <c r="AE1044" s="391"/>
    </row>
    <row r="1045" spans="1:31" s="325" customFormat="1" ht="15.6" hidden="1" customHeight="1" x14ac:dyDescent="0.2">
      <c r="A1045" s="40" t="s">
        <v>941</v>
      </c>
      <c r="B1045" s="360" t="s">
        <v>550</v>
      </c>
      <c r="C1045" s="40">
        <v>384</v>
      </c>
      <c r="D1045" s="40">
        <v>7</v>
      </c>
      <c r="E1045" s="40" t="s">
        <v>903</v>
      </c>
      <c r="F1045" s="40" t="s">
        <v>1461</v>
      </c>
      <c r="G1045" s="40" t="s">
        <v>149</v>
      </c>
      <c r="H1045" s="40">
        <v>40</v>
      </c>
      <c r="I1045" s="360" t="e">
        <f>VLOOKUP(Таблица18[[#This Row],[Номер акта]],$AB$1:$AF$1833,3,FALSE)</f>
        <v>#N/A</v>
      </c>
      <c r="J1045" s="40" t="s">
        <v>901</v>
      </c>
      <c r="K1045" s="40" t="s">
        <v>82</v>
      </c>
      <c r="L1045" s="121">
        <v>27430</v>
      </c>
      <c r="M1045" s="121">
        <v>15070</v>
      </c>
      <c r="N1045" s="121">
        <v>6</v>
      </c>
      <c r="O1045" s="363">
        <v>12360</v>
      </c>
      <c r="P1045" s="363">
        <v>11618.4</v>
      </c>
      <c r="Q1045" s="121">
        <v>2025</v>
      </c>
      <c r="R1045" s="121"/>
      <c r="S1045" s="148">
        <v>45819</v>
      </c>
      <c r="T1045" s="363">
        <f>Таблица18[[#This Row],[Вес нетто]]-Таблица18[[#This Row],[Зачетный вес]]</f>
        <v>741.60000000000036</v>
      </c>
      <c r="U1045" s="365">
        <f>Таблица18[[#This Row],[Отход]]/Таблица18[[#This Row],[Вес нетто]]</f>
        <v>6.0000000000000032E-2</v>
      </c>
      <c r="V1045" s="121">
        <f>MONTH(Таблица18[[#This Row],[Дата акта]])</f>
        <v>6</v>
      </c>
      <c r="W1045" s="121">
        <v>11</v>
      </c>
      <c r="X1045" s="148">
        <f>DATE(1900,Таблица18[[#This Row],[Месяц]],Таблица18[[#This Row],[Число]])</f>
        <v>163</v>
      </c>
      <c r="Y1045" s="121"/>
      <c r="Z1045" s="121" t="str">
        <f>Таблица18[[#This Row],[Хар-ка]]</f>
        <v>первый</v>
      </c>
      <c r="AD1045" s="459"/>
      <c r="AE1045" s="391"/>
    </row>
    <row r="1046" spans="1:31" s="325" customFormat="1" ht="15.6" hidden="1" customHeight="1" x14ac:dyDescent="0.2">
      <c r="A1046" s="40" t="s">
        <v>942</v>
      </c>
      <c r="B1046" s="360" t="s">
        <v>550</v>
      </c>
      <c r="C1046" s="40">
        <v>385</v>
      </c>
      <c r="D1046" s="40">
        <v>6</v>
      </c>
      <c r="E1046" s="40" t="s">
        <v>903</v>
      </c>
      <c r="F1046" s="40" t="s">
        <v>1151</v>
      </c>
      <c r="G1046" s="40" t="s">
        <v>145</v>
      </c>
      <c r="H1046" s="40">
        <v>40</v>
      </c>
      <c r="I1046" s="360" t="e">
        <f>VLOOKUP(Таблица18[[#This Row],[Номер акта]],$AB$1:$AF$1833,3,FALSE)</f>
        <v>#N/A</v>
      </c>
      <c r="J1046" s="40" t="s">
        <v>901</v>
      </c>
      <c r="K1046" s="40" t="s">
        <v>82</v>
      </c>
      <c r="L1046" s="121">
        <v>28580</v>
      </c>
      <c r="M1046" s="121">
        <v>15740</v>
      </c>
      <c r="N1046" s="121">
        <v>7</v>
      </c>
      <c r="O1046" s="363">
        <v>12840</v>
      </c>
      <c r="P1046" s="363">
        <v>11941.2</v>
      </c>
      <c r="Q1046" s="121">
        <v>2025</v>
      </c>
      <c r="R1046" s="121"/>
      <c r="S1046" s="148">
        <v>45819</v>
      </c>
      <c r="T1046" s="363">
        <f>Таблица18[[#This Row],[Вес нетто]]-Таблица18[[#This Row],[Зачетный вес]]</f>
        <v>898.79999999999927</v>
      </c>
      <c r="U1046" s="365">
        <f>Таблица18[[#This Row],[Отход]]/Таблица18[[#This Row],[Вес нетто]]</f>
        <v>6.9999999999999937E-2</v>
      </c>
      <c r="V1046" s="121">
        <f>MONTH(Таблица18[[#This Row],[Дата акта]])</f>
        <v>6</v>
      </c>
      <c r="W1046" s="121">
        <v>11</v>
      </c>
      <c r="X1046" s="148">
        <f>DATE(1900,Таблица18[[#This Row],[Месяц]],Таблица18[[#This Row],[Число]])</f>
        <v>163</v>
      </c>
      <c r="Y1046" s="121"/>
      <c r="Z1046" s="121" t="str">
        <f>Таблица18[[#This Row],[Хар-ка]]</f>
        <v>первый</v>
      </c>
      <c r="AD1046" s="459"/>
      <c r="AE1046" s="391"/>
    </row>
    <row r="1047" spans="1:31" s="325" customFormat="1" ht="15.6" hidden="1" customHeight="1" x14ac:dyDescent="0.2">
      <c r="A1047" s="40" t="s">
        <v>943</v>
      </c>
      <c r="B1047" s="360" t="s">
        <v>511</v>
      </c>
      <c r="C1047" s="40">
        <v>386</v>
      </c>
      <c r="D1047" s="40" t="s">
        <v>902</v>
      </c>
      <c r="E1047" s="40" t="s">
        <v>903</v>
      </c>
      <c r="F1047" s="40" t="s">
        <v>335</v>
      </c>
      <c r="G1047" s="40" t="s">
        <v>339</v>
      </c>
      <c r="H1047" s="40">
        <v>45</v>
      </c>
      <c r="I1047" s="360" t="e">
        <f>VLOOKUP(Таблица18[[#This Row],[Номер акта]],$AB$1:$AF$1833,3,FALSE)</f>
        <v>#N/A</v>
      </c>
      <c r="J1047" s="40" t="s">
        <v>909</v>
      </c>
      <c r="K1047" s="40" t="s">
        <v>82</v>
      </c>
      <c r="L1047" s="121">
        <v>27660</v>
      </c>
      <c r="M1047" s="121">
        <v>14730</v>
      </c>
      <c r="N1047" s="121">
        <v>18.5</v>
      </c>
      <c r="O1047" s="363">
        <v>12930</v>
      </c>
      <c r="P1047" s="363">
        <v>10537.9</v>
      </c>
      <c r="Q1047" s="121">
        <v>2025</v>
      </c>
      <c r="R1047" s="121"/>
      <c r="S1047" s="148">
        <v>45820</v>
      </c>
      <c r="T1047" s="363">
        <f>Таблица18[[#This Row],[Вес нетто]]-Таблица18[[#This Row],[Зачетный вес]]</f>
        <v>2392.1000000000004</v>
      </c>
      <c r="U1047" s="365">
        <f>Таблица18[[#This Row],[Отход]]/Таблица18[[#This Row],[Вес нетто]]</f>
        <v>0.18500386697602478</v>
      </c>
      <c r="V1047" s="121">
        <f>MONTH(Таблица18[[#This Row],[Дата акта]])</f>
        <v>6</v>
      </c>
      <c r="W1047" s="121">
        <v>12</v>
      </c>
      <c r="X1047" s="148">
        <f>DATE(1900,Таблица18[[#This Row],[Месяц]],Таблица18[[#This Row],[Число]])</f>
        <v>164</v>
      </c>
      <c r="Y1047" s="121"/>
      <c r="Z1047" s="121" t="str">
        <f>Таблица18[[#This Row],[Хар-ка]]</f>
        <v>высший</v>
      </c>
      <c r="AD1047" s="459"/>
      <c r="AE1047" s="391"/>
    </row>
    <row r="1048" spans="1:31" s="325" customFormat="1" ht="15.6" hidden="1" customHeight="1" x14ac:dyDescent="0.2">
      <c r="A1048" s="40" t="s">
        <v>944</v>
      </c>
      <c r="B1048" s="360" t="s">
        <v>511</v>
      </c>
      <c r="C1048" s="40">
        <v>387</v>
      </c>
      <c r="D1048" s="40" t="s">
        <v>902</v>
      </c>
      <c r="E1048" s="40" t="s">
        <v>903</v>
      </c>
      <c r="F1048" s="40" t="s">
        <v>111</v>
      </c>
      <c r="G1048" s="40" t="s">
        <v>114</v>
      </c>
      <c r="H1048" s="40">
        <v>45</v>
      </c>
      <c r="I1048" s="360" t="e">
        <f>VLOOKUP(Таблица18[[#This Row],[Номер акта]],$AB$1:$AF$1833,3,FALSE)</f>
        <v>#N/A</v>
      </c>
      <c r="J1048" s="40" t="s">
        <v>909</v>
      </c>
      <c r="K1048" s="40" t="s">
        <v>82</v>
      </c>
      <c r="L1048" s="121">
        <v>28780</v>
      </c>
      <c r="M1048" s="121">
        <v>15390</v>
      </c>
      <c r="N1048" s="121">
        <v>12.5</v>
      </c>
      <c r="O1048" s="363">
        <v>13390</v>
      </c>
      <c r="P1048" s="363">
        <v>11716.2</v>
      </c>
      <c r="Q1048" s="121">
        <v>2025</v>
      </c>
      <c r="R1048" s="121"/>
      <c r="S1048" s="148">
        <v>45820</v>
      </c>
      <c r="T1048" s="363">
        <f>Таблица18[[#This Row],[Вес нетто]]-Таблица18[[#This Row],[Зачетный вес]]</f>
        <v>1673.7999999999993</v>
      </c>
      <c r="U1048" s="365">
        <f>Таблица18[[#This Row],[Отход]]/Таблица18[[#This Row],[Вес нетто]]</f>
        <v>0.12500373412994767</v>
      </c>
      <c r="V1048" s="121">
        <f>MONTH(Таблица18[[#This Row],[Дата акта]])</f>
        <v>6</v>
      </c>
      <c r="W1048" s="121">
        <v>12</v>
      </c>
      <c r="X1048" s="148">
        <f>DATE(1900,Таблица18[[#This Row],[Месяц]],Таблица18[[#This Row],[Число]])</f>
        <v>164</v>
      </c>
      <c r="Y1048" s="121"/>
      <c r="Z1048" s="121" t="str">
        <f>Таблица18[[#This Row],[Хар-ка]]</f>
        <v>высший</v>
      </c>
      <c r="AD1048" s="459"/>
      <c r="AE1048" s="391"/>
    </row>
    <row r="1049" spans="1:31" s="325" customFormat="1" ht="15.6" hidden="1" customHeight="1" x14ac:dyDescent="0.2">
      <c r="A1049" s="40" t="s">
        <v>945</v>
      </c>
      <c r="B1049" s="360" t="s">
        <v>511</v>
      </c>
      <c r="C1049" s="40">
        <v>388</v>
      </c>
      <c r="D1049" s="40" t="s">
        <v>902</v>
      </c>
      <c r="E1049" s="40" t="s">
        <v>903</v>
      </c>
      <c r="F1049" s="40" t="s">
        <v>234</v>
      </c>
      <c r="G1049" s="40" t="s">
        <v>238</v>
      </c>
      <c r="H1049" s="40">
        <v>45</v>
      </c>
      <c r="I1049" s="360" t="e">
        <f>VLOOKUP(Таблица18[[#This Row],[Номер акта]],$AB$1:$AF$1833,3,FALSE)</f>
        <v>#N/A</v>
      </c>
      <c r="J1049" s="40" t="s">
        <v>909</v>
      </c>
      <c r="K1049" s="40" t="s">
        <v>82</v>
      </c>
      <c r="L1049" s="121">
        <v>28770</v>
      </c>
      <c r="M1049" s="121">
        <v>15590</v>
      </c>
      <c r="N1049" s="121">
        <v>20.5</v>
      </c>
      <c r="O1049" s="363">
        <v>13180</v>
      </c>
      <c r="P1049" s="363">
        <v>10478.1</v>
      </c>
      <c r="Q1049" s="121">
        <v>2025</v>
      </c>
      <c r="R1049" s="121"/>
      <c r="S1049" s="148">
        <v>45820</v>
      </c>
      <c r="T1049" s="363">
        <f>Таблица18[[#This Row],[Вес нетто]]-Таблица18[[#This Row],[Зачетный вес]]</f>
        <v>2701.8999999999996</v>
      </c>
      <c r="U1049" s="365">
        <f>Таблица18[[#This Row],[Отход]]/Таблица18[[#This Row],[Вес нетто]]</f>
        <v>0.20499999999999996</v>
      </c>
      <c r="V1049" s="121">
        <f>MONTH(Таблица18[[#This Row],[Дата акта]])</f>
        <v>6</v>
      </c>
      <c r="W1049" s="121">
        <v>12</v>
      </c>
      <c r="X1049" s="148">
        <f>DATE(1900,Таблица18[[#This Row],[Месяц]],Таблица18[[#This Row],[Число]])</f>
        <v>164</v>
      </c>
      <c r="Y1049" s="121"/>
      <c r="Z1049" s="121" t="str">
        <f>Таблица18[[#This Row],[Хар-ка]]</f>
        <v>высший</v>
      </c>
      <c r="AD1049" s="459"/>
      <c r="AE1049" s="391"/>
    </row>
    <row r="1050" spans="1:31" s="325" customFormat="1" ht="15.6" hidden="1" customHeight="1" x14ac:dyDescent="0.2">
      <c r="A1050" s="40" t="s">
        <v>946</v>
      </c>
      <c r="B1050" s="360" t="s">
        <v>511</v>
      </c>
      <c r="C1050" s="40">
        <v>389</v>
      </c>
      <c r="D1050" s="40" t="s">
        <v>902</v>
      </c>
      <c r="E1050" s="40" t="s">
        <v>903</v>
      </c>
      <c r="F1050" s="40" t="s">
        <v>1152</v>
      </c>
      <c r="G1050" s="40" t="s">
        <v>119</v>
      </c>
      <c r="H1050" s="40">
        <v>45</v>
      </c>
      <c r="I1050" s="360" t="e">
        <f>VLOOKUP(Таблица18[[#This Row],[Номер акта]],$AB$1:$AF$1833,3,FALSE)</f>
        <v>#N/A</v>
      </c>
      <c r="J1050" s="40" t="s">
        <v>909</v>
      </c>
      <c r="K1050" s="40" t="s">
        <v>82</v>
      </c>
      <c r="L1050" s="121">
        <v>34210</v>
      </c>
      <c r="M1050" s="121">
        <v>21060</v>
      </c>
      <c r="N1050" s="121">
        <v>16</v>
      </c>
      <c r="O1050" s="363">
        <v>13150</v>
      </c>
      <c r="P1050" s="363">
        <v>11046</v>
      </c>
      <c r="Q1050" s="121">
        <v>2025</v>
      </c>
      <c r="R1050" s="121"/>
      <c r="S1050" s="148">
        <v>45820</v>
      </c>
      <c r="T1050" s="363">
        <f>Таблица18[[#This Row],[Вес нетто]]-Таблица18[[#This Row],[Зачетный вес]]</f>
        <v>2104</v>
      </c>
      <c r="U1050" s="365">
        <f>Таблица18[[#This Row],[Отход]]/Таблица18[[#This Row],[Вес нетто]]</f>
        <v>0.16</v>
      </c>
      <c r="V1050" s="121">
        <f>MONTH(Таблица18[[#This Row],[Дата акта]])</f>
        <v>6</v>
      </c>
      <c r="W1050" s="121">
        <v>12</v>
      </c>
      <c r="X1050" s="148">
        <f>DATE(1900,Таблица18[[#This Row],[Месяц]],Таблица18[[#This Row],[Число]])</f>
        <v>164</v>
      </c>
      <c r="Y1050" s="121"/>
      <c r="Z1050" s="121" t="str">
        <f>Таблица18[[#This Row],[Хар-ка]]</f>
        <v>высший</v>
      </c>
      <c r="AD1050" s="459"/>
      <c r="AE1050" s="391"/>
    </row>
    <row r="1051" spans="1:31" s="325" customFormat="1" ht="15.6" hidden="1" customHeight="1" x14ac:dyDescent="0.2">
      <c r="A1051" s="40" t="s">
        <v>947</v>
      </c>
      <c r="B1051" s="360" t="s">
        <v>511</v>
      </c>
      <c r="C1051" s="40">
        <v>390</v>
      </c>
      <c r="D1051" s="40" t="s">
        <v>902</v>
      </c>
      <c r="E1051" s="40" t="s">
        <v>903</v>
      </c>
      <c r="F1051" s="40" t="s">
        <v>160</v>
      </c>
      <c r="G1051" s="40" t="s">
        <v>164</v>
      </c>
      <c r="H1051" s="40">
        <v>45</v>
      </c>
      <c r="I1051" s="360" t="e">
        <f>VLOOKUP(Таблица18[[#This Row],[Номер акта]],$AB$1:$AF$1833,3,FALSE)</f>
        <v>#N/A</v>
      </c>
      <c r="J1051" s="40" t="s">
        <v>909</v>
      </c>
      <c r="K1051" s="40" t="s">
        <v>82</v>
      </c>
      <c r="L1051" s="121">
        <v>37250</v>
      </c>
      <c r="M1051" s="121">
        <v>24020</v>
      </c>
      <c r="N1051" s="121">
        <v>12.5</v>
      </c>
      <c r="O1051" s="363">
        <v>13230</v>
      </c>
      <c r="P1051" s="363">
        <v>11576.2</v>
      </c>
      <c r="Q1051" s="121">
        <v>2025</v>
      </c>
      <c r="R1051" s="121"/>
      <c r="S1051" s="148">
        <v>45820</v>
      </c>
      <c r="T1051" s="363">
        <f>Таблица18[[#This Row],[Вес нетто]]-Таблица18[[#This Row],[Зачетный вес]]</f>
        <v>1653.7999999999993</v>
      </c>
      <c r="U1051" s="365">
        <f>Таблица18[[#This Row],[Отход]]/Таблица18[[#This Row],[Вес нетто]]</f>
        <v>0.12500377928949352</v>
      </c>
      <c r="V1051" s="121">
        <f>MONTH(Таблица18[[#This Row],[Дата акта]])</f>
        <v>6</v>
      </c>
      <c r="W1051" s="121">
        <v>12</v>
      </c>
      <c r="X1051" s="148">
        <f>DATE(1900,Таблица18[[#This Row],[Месяц]],Таблица18[[#This Row],[Число]])</f>
        <v>164</v>
      </c>
      <c r="Y1051" s="121"/>
      <c r="Z1051" s="121" t="str">
        <f>Таблица18[[#This Row],[Хар-ка]]</f>
        <v>высший</v>
      </c>
      <c r="AD1051" s="459"/>
      <c r="AE1051" s="391"/>
    </row>
    <row r="1052" spans="1:31" s="325" customFormat="1" ht="15.6" hidden="1" customHeight="1" x14ac:dyDescent="0.2">
      <c r="A1052" s="40" t="s">
        <v>948</v>
      </c>
      <c r="B1052" s="360" t="s">
        <v>511</v>
      </c>
      <c r="C1052" s="40">
        <v>391</v>
      </c>
      <c r="D1052" s="40" t="s">
        <v>902</v>
      </c>
      <c r="E1052" s="40" t="s">
        <v>903</v>
      </c>
      <c r="F1052" s="40" t="s">
        <v>151</v>
      </c>
      <c r="G1052" s="40" t="s">
        <v>155</v>
      </c>
      <c r="H1052" s="40">
        <v>45</v>
      </c>
      <c r="I1052" s="360" t="e">
        <f>VLOOKUP(Таблица18[[#This Row],[Номер акта]],$AB$1:$AF$1833,3,FALSE)</f>
        <v>#N/A</v>
      </c>
      <c r="J1052" s="40" t="s">
        <v>909</v>
      </c>
      <c r="K1052" s="40" t="s">
        <v>82</v>
      </c>
      <c r="L1052" s="121">
        <v>27970</v>
      </c>
      <c r="M1052" s="121">
        <v>14910</v>
      </c>
      <c r="N1052" s="121">
        <v>14.5</v>
      </c>
      <c r="O1052" s="363">
        <v>13060</v>
      </c>
      <c r="P1052" s="363">
        <v>11166.3</v>
      </c>
      <c r="Q1052" s="121">
        <v>2025</v>
      </c>
      <c r="R1052" s="121"/>
      <c r="S1052" s="148">
        <v>45820</v>
      </c>
      <c r="T1052" s="363">
        <f>Таблица18[[#This Row],[Вес нетто]]-Таблица18[[#This Row],[Зачетный вес]]</f>
        <v>1893.7000000000007</v>
      </c>
      <c r="U1052" s="365">
        <f>Таблица18[[#This Row],[Отход]]/Таблица18[[#This Row],[Вес нетто]]</f>
        <v>0.14500000000000005</v>
      </c>
      <c r="V1052" s="121">
        <f>MONTH(Таблица18[[#This Row],[Дата акта]])</f>
        <v>6</v>
      </c>
      <c r="W1052" s="121">
        <v>12</v>
      </c>
      <c r="X1052" s="148">
        <f>DATE(1900,Таблица18[[#This Row],[Месяц]],Таблица18[[#This Row],[Число]])</f>
        <v>164</v>
      </c>
      <c r="Y1052" s="121"/>
      <c r="Z1052" s="121" t="str">
        <f>Таблица18[[#This Row],[Хар-ка]]</f>
        <v>высший</v>
      </c>
      <c r="AD1052" s="459"/>
      <c r="AE1052" s="391"/>
    </row>
    <row r="1053" spans="1:31" s="325" customFormat="1" ht="15.6" hidden="1" customHeight="1" x14ac:dyDescent="0.2">
      <c r="A1053" s="40" t="s">
        <v>949</v>
      </c>
      <c r="B1053" s="360" t="s">
        <v>511</v>
      </c>
      <c r="C1053" s="40">
        <v>392</v>
      </c>
      <c r="D1053" s="40" t="s">
        <v>902</v>
      </c>
      <c r="E1053" s="40" t="s">
        <v>903</v>
      </c>
      <c r="F1053" s="40" t="s">
        <v>347</v>
      </c>
      <c r="G1053" s="40" t="s">
        <v>351</v>
      </c>
      <c r="H1053" s="40">
        <v>45</v>
      </c>
      <c r="I1053" s="360" t="e">
        <f>VLOOKUP(Таблица18[[#This Row],[Номер акта]],$AB$1:$AF$1833,3,FALSE)</f>
        <v>#N/A</v>
      </c>
      <c r="J1053" s="40" t="s">
        <v>909</v>
      </c>
      <c r="K1053" s="40" t="s">
        <v>82</v>
      </c>
      <c r="L1053" s="121">
        <v>31920</v>
      </c>
      <c r="M1053" s="121">
        <v>18730</v>
      </c>
      <c r="N1053" s="121">
        <v>8.5</v>
      </c>
      <c r="O1053" s="363">
        <v>13190</v>
      </c>
      <c r="P1053" s="363">
        <v>12068.8</v>
      </c>
      <c r="Q1053" s="121">
        <v>2025</v>
      </c>
      <c r="R1053" s="121"/>
      <c r="S1053" s="148">
        <v>45820</v>
      </c>
      <c r="T1053" s="363">
        <f>Таблица18[[#This Row],[Вес нетто]]-Таблица18[[#This Row],[Зачетный вес]]</f>
        <v>1121.2000000000007</v>
      </c>
      <c r="U1053" s="365">
        <f>Таблица18[[#This Row],[Отход]]/Таблица18[[#This Row],[Вес нетто]]</f>
        <v>8.5003790750568672E-2</v>
      </c>
      <c r="V1053" s="121">
        <f>MONTH(Таблица18[[#This Row],[Дата акта]])</f>
        <v>6</v>
      </c>
      <c r="W1053" s="121">
        <v>12</v>
      </c>
      <c r="X1053" s="148">
        <f>DATE(1900,Таблица18[[#This Row],[Месяц]],Таблица18[[#This Row],[Число]])</f>
        <v>164</v>
      </c>
      <c r="Y1053" s="121"/>
      <c r="Z1053" s="121" t="str">
        <f>Таблица18[[#This Row],[Хар-ка]]</f>
        <v>высший</v>
      </c>
      <c r="AD1053" s="459"/>
      <c r="AE1053" s="391"/>
    </row>
    <row r="1054" spans="1:31" s="325" customFormat="1" ht="15.6" hidden="1" customHeight="1" x14ac:dyDescent="0.2">
      <c r="A1054" s="40" t="s">
        <v>950</v>
      </c>
      <c r="B1054" s="360" t="s">
        <v>511</v>
      </c>
      <c r="C1054" s="40">
        <v>393</v>
      </c>
      <c r="D1054" s="40" t="s">
        <v>902</v>
      </c>
      <c r="E1054" s="40" t="s">
        <v>903</v>
      </c>
      <c r="F1054" s="40" t="s">
        <v>133</v>
      </c>
      <c r="G1054" s="40" t="s">
        <v>137</v>
      </c>
      <c r="H1054" s="40">
        <v>45</v>
      </c>
      <c r="I1054" s="360" t="e">
        <f>VLOOKUP(Таблица18[[#This Row],[Номер акта]],$AB$1:$AF$1833,3,FALSE)</f>
        <v>#N/A</v>
      </c>
      <c r="J1054" s="40" t="s">
        <v>909</v>
      </c>
      <c r="K1054" s="40" t="s">
        <v>82</v>
      </c>
      <c r="L1054" s="121">
        <v>28050</v>
      </c>
      <c r="M1054" s="121">
        <v>14910</v>
      </c>
      <c r="N1054" s="121">
        <v>14.5</v>
      </c>
      <c r="O1054" s="363">
        <v>13140</v>
      </c>
      <c r="P1054" s="363">
        <v>11234.7</v>
      </c>
      <c r="Q1054" s="121">
        <v>2025</v>
      </c>
      <c r="R1054" s="121"/>
      <c r="S1054" s="148">
        <v>45820</v>
      </c>
      <c r="T1054" s="363">
        <f>Таблица18[[#This Row],[Вес нетто]]-Таблица18[[#This Row],[Зачетный вес]]</f>
        <v>1905.2999999999993</v>
      </c>
      <c r="U1054" s="365">
        <f>Таблица18[[#This Row],[Отход]]/Таблица18[[#This Row],[Вес нетто]]</f>
        <v>0.14499999999999993</v>
      </c>
      <c r="V1054" s="121">
        <f>MONTH(Таблица18[[#This Row],[Дата акта]])</f>
        <v>6</v>
      </c>
      <c r="W1054" s="121">
        <v>12</v>
      </c>
      <c r="X1054" s="148">
        <f>DATE(1900,Таблица18[[#This Row],[Месяц]],Таблица18[[#This Row],[Число]])</f>
        <v>164</v>
      </c>
      <c r="Y1054" s="121"/>
      <c r="Z1054" s="121" t="str">
        <f>Таблица18[[#This Row],[Хар-ка]]</f>
        <v>высший</v>
      </c>
      <c r="AD1054" s="459"/>
      <c r="AE1054" s="391"/>
    </row>
    <row r="1055" spans="1:31" s="325" customFormat="1" ht="15.6" hidden="1" customHeight="1" x14ac:dyDescent="0.2">
      <c r="A1055" s="40" t="s">
        <v>951</v>
      </c>
      <c r="B1055" s="360" t="s">
        <v>511</v>
      </c>
      <c r="C1055" s="40">
        <v>394</v>
      </c>
      <c r="D1055" s="40" t="s">
        <v>902</v>
      </c>
      <c r="E1055" s="40" t="s">
        <v>903</v>
      </c>
      <c r="F1055" s="40" t="s">
        <v>212</v>
      </c>
      <c r="G1055" s="40" t="s">
        <v>216</v>
      </c>
      <c r="H1055" s="40">
        <v>45</v>
      </c>
      <c r="I1055" s="360" t="e">
        <f>VLOOKUP(Таблица18[[#This Row],[Номер акта]],$AB$1:$AF$1833,3,FALSE)</f>
        <v>#N/A</v>
      </c>
      <c r="J1055" s="40" t="s">
        <v>909</v>
      </c>
      <c r="K1055" s="40" t="s">
        <v>82</v>
      </c>
      <c r="L1055" s="121">
        <v>28480</v>
      </c>
      <c r="M1055" s="121">
        <v>13810</v>
      </c>
      <c r="N1055" s="121">
        <v>10.5</v>
      </c>
      <c r="O1055" s="363">
        <v>14670</v>
      </c>
      <c r="P1055" s="363">
        <v>13129.6</v>
      </c>
      <c r="Q1055" s="121">
        <v>2025</v>
      </c>
      <c r="R1055" s="121"/>
      <c r="S1055" s="148">
        <v>45820</v>
      </c>
      <c r="T1055" s="363">
        <f>Таблица18[[#This Row],[Вес нетто]]-Таблица18[[#This Row],[Зачетный вес]]</f>
        <v>1540.3999999999996</v>
      </c>
      <c r="U1055" s="365">
        <f>Таблица18[[#This Row],[Отход]]/Таблица18[[#This Row],[Вес нетто]]</f>
        <v>0.10500340831629172</v>
      </c>
      <c r="V1055" s="121">
        <f>MONTH(Таблица18[[#This Row],[Дата акта]])</f>
        <v>6</v>
      </c>
      <c r="W1055" s="121">
        <v>12</v>
      </c>
      <c r="X1055" s="148">
        <f>DATE(1900,Таблица18[[#This Row],[Месяц]],Таблица18[[#This Row],[Число]])</f>
        <v>164</v>
      </c>
      <c r="Y1055" s="121"/>
      <c r="Z1055" s="121" t="str">
        <f>Таблица18[[#This Row],[Хар-ка]]</f>
        <v>высший</v>
      </c>
      <c r="AD1055" s="459"/>
      <c r="AE1055" s="391"/>
    </row>
    <row r="1056" spans="1:31" s="325" customFormat="1" ht="15.6" hidden="1" customHeight="1" x14ac:dyDescent="0.2">
      <c r="A1056" s="40" t="s">
        <v>952</v>
      </c>
      <c r="B1056" s="360" t="s">
        <v>511</v>
      </c>
      <c r="C1056" s="40">
        <v>395</v>
      </c>
      <c r="D1056" s="40" t="s">
        <v>902</v>
      </c>
      <c r="E1056" s="40" t="s">
        <v>903</v>
      </c>
      <c r="F1056" s="40" t="s">
        <v>1253</v>
      </c>
      <c r="G1056" s="40" t="s">
        <v>270</v>
      </c>
      <c r="H1056" s="40">
        <v>45</v>
      </c>
      <c r="I1056" s="360" t="e">
        <f>VLOOKUP(Таблица18[[#This Row],[Номер акта]],$AB$1:$AF$1833,3,FALSE)</f>
        <v>#N/A</v>
      </c>
      <c r="J1056" s="40" t="s">
        <v>909</v>
      </c>
      <c r="K1056" s="40" t="s">
        <v>82</v>
      </c>
      <c r="L1056" s="121">
        <v>28580</v>
      </c>
      <c r="M1056" s="121">
        <v>14940</v>
      </c>
      <c r="N1056" s="121">
        <v>12</v>
      </c>
      <c r="O1056" s="363">
        <v>13640</v>
      </c>
      <c r="P1056" s="363">
        <v>12003.2</v>
      </c>
      <c r="Q1056" s="121">
        <v>2025</v>
      </c>
      <c r="R1056" s="121"/>
      <c r="S1056" s="148">
        <v>45820</v>
      </c>
      <c r="T1056" s="363">
        <f>Таблица18[[#This Row],[Вес нетто]]-Таблица18[[#This Row],[Зачетный вес]]</f>
        <v>1636.7999999999993</v>
      </c>
      <c r="U1056" s="365">
        <f>Таблица18[[#This Row],[Отход]]/Таблица18[[#This Row],[Вес нетто]]</f>
        <v>0.11999999999999994</v>
      </c>
      <c r="V1056" s="121">
        <f>MONTH(Таблица18[[#This Row],[Дата акта]])</f>
        <v>6</v>
      </c>
      <c r="W1056" s="121">
        <v>12</v>
      </c>
      <c r="X1056" s="148">
        <f>DATE(1900,Таблица18[[#This Row],[Месяц]],Таблица18[[#This Row],[Число]])</f>
        <v>164</v>
      </c>
      <c r="Y1056" s="121"/>
      <c r="Z1056" s="121" t="str">
        <f>Таблица18[[#This Row],[Хар-ка]]</f>
        <v>высший</v>
      </c>
      <c r="AD1056" s="459"/>
      <c r="AE1056" s="391"/>
    </row>
    <row r="1057" spans="1:31" s="325" customFormat="1" ht="15.6" hidden="1" customHeight="1" x14ac:dyDescent="0.2">
      <c r="A1057" s="40" t="s">
        <v>1044</v>
      </c>
      <c r="B1057" s="360" t="s">
        <v>511</v>
      </c>
      <c r="C1057" s="40">
        <v>397</v>
      </c>
      <c r="D1057" s="40" t="s">
        <v>902</v>
      </c>
      <c r="E1057" s="40" t="s">
        <v>903</v>
      </c>
      <c r="F1057" s="40" t="s">
        <v>272</v>
      </c>
      <c r="G1057" s="40" t="s">
        <v>276</v>
      </c>
      <c r="H1057" s="40">
        <v>45</v>
      </c>
      <c r="I1057" s="360" t="e">
        <f>VLOOKUP(Таблица18[[#This Row],[Номер акта]],$AB$1:$AF$1833,3,FALSE)</f>
        <v>#N/A</v>
      </c>
      <c r="J1057" s="40" t="s">
        <v>909</v>
      </c>
      <c r="K1057" s="40" t="s">
        <v>82</v>
      </c>
      <c r="L1057" s="121">
        <v>28480</v>
      </c>
      <c r="M1057" s="121">
        <v>14720</v>
      </c>
      <c r="N1057" s="121">
        <v>14.5</v>
      </c>
      <c r="O1057" s="363">
        <v>13760</v>
      </c>
      <c r="P1057" s="363">
        <v>11764.8</v>
      </c>
      <c r="Q1057" s="121">
        <v>2025</v>
      </c>
      <c r="R1057" s="121"/>
      <c r="S1057" s="148">
        <v>45820</v>
      </c>
      <c r="T1057" s="363">
        <f>Таблица18[[#This Row],[Вес нетто]]-Таблица18[[#This Row],[Зачетный вес]]</f>
        <v>1995.2000000000007</v>
      </c>
      <c r="U1057" s="365">
        <f>Таблица18[[#This Row],[Отход]]/Таблица18[[#This Row],[Вес нетто]]</f>
        <v>0.14500000000000005</v>
      </c>
      <c r="V1057" s="121">
        <f>MONTH(Таблица18[[#This Row],[Дата акта]])</f>
        <v>6</v>
      </c>
      <c r="W1057" s="121">
        <v>12</v>
      </c>
      <c r="X1057" s="148">
        <f>DATE(1900,Таблица18[[#This Row],[Месяц]],Таблица18[[#This Row],[Число]])</f>
        <v>164</v>
      </c>
      <c r="Y1057" s="121"/>
      <c r="Z1057" s="121" t="str">
        <f>Таблица18[[#This Row],[Хар-ка]]</f>
        <v>высший</v>
      </c>
      <c r="AD1057" s="459"/>
      <c r="AE1057" s="391"/>
    </row>
    <row r="1058" spans="1:31" s="325" customFormat="1" ht="15.6" hidden="1" customHeight="1" x14ac:dyDescent="0.2">
      <c r="A1058" s="40" t="s">
        <v>1045</v>
      </c>
      <c r="B1058" s="360" t="s">
        <v>511</v>
      </c>
      <c r="C1058" s="40">
        <v>398</v>
      </c>
      <c r="D1058" s="40"/>
      <c r="E1058" s="40" t="s">
        <v>903</v>
      </c>
      <c r="F1058" s="40" t="s">
        <v>239</v>
      </c>
      <c r="G1058" s="40" t="s">
        <v>243</v>
      </c>
      <c r="H1058" s="40">
        <v>45</v>
      </c>
      <c r="I1058" s="360" t="e">
        <f>VLOOKUP(Таблица18[[#This Row],[Номер акта]],$AB$1:$AF$1833,3,FALSE)</f>
        <v>#N/A</v>
      </c>
      <c r="J1058" s="40" t="s">
        <v>909</v>
      </c>
      <c r="K1058" s="40" t="s">
        <v>82</v>
      </c>
      <c r="L1058" s="121">
        <v>28360</v>
      </c>
      <c r="M1058" s="121">
        <v>14550</v>
      </c>
      <c r="N1058" s="121">
        <v>13.5</v>
      </c>
      <c r="O1058" s="363">
        <v>13810</v>
      </c>
      <c r="P1058" s="363">
        <v>11945.6</v>
      </c>
      <c r="Q1058" s="121">
        <v>2025</v>
      </c>
      <c r="R1058" s="121"/>
      <c r="S1058" s="148">
        <v>45820</v>
      </c>
      <c r="T1058" s="363">
        <f>Таблица18[[#This Row],[Вес нетто]]-Таблица18[[#This Row],[Зачетный вес]]</f>
        <v>1864.3999999999996</v>
      </c>
      <c r="U1058" s="365">
        <f>Таблица18[[#This Row],[Отход]]/Таблица18[[#This Row],[Вес нетто]]</f>
        <v>0.13500362056480808</v>
      </c>
      <c r="V1058" s="121">
        <f>MONTH(Таблица18[[#This Row],[Дата акта]])</f>
        <v>6</v>
      </c>
      <c r="W1058" s="121">
        <v>12</v>
      </c>
      <c r="X1058" s="148">
        <f>DATE(1900,Таблица18[[#This Row],[Месяц]],Таблица18[[#This Row],[Число]])</f>
        <v>164</v>
      </c>
      <c r="Y1058" s="121"/>
      <c r="Z1058" s="121" t="str">
        <f>Таблица18[[#This Row],[Хар-ка]]</f>
        <v>высший</v>
      </c>
      <c r="AD1058" s="459"/>
      <c r="AE1058" s="391"/>
    </row>
    <row r="1059" spans="1:31" s="325" customFormat="1" ht="15.6" hidden="1" customHeight="1" x14ac:dyDescent="0.2">
      <c r="A1059" s="40" t="s">
        <v>1046</v>
      </c>
      <c r="B1059" s="360" t="s">
        <v>511</v>
      </c>
      <c r="C1059" s="40">
        <v>399</v>
      </c>
      <c r="D1059" s="40" t="s">
        <v>902</v>
      </c>
      <c r="E1059" s="40" t="s">
        <v>903</v>
      </c>
      <c r="F1059" s="40" t="s">
        <v>121</v>
      </c>
      <c r="G1059" s="40" t="s">
        <v>125</v>
      </c>
      <c r="H1059" s="40">
        <v>45</v>
      </c>
      <c r="I1059" s="360" t="e">
        <f>VLOOKUP(Таблица18[[#This Row],[Номер акта]],$AB$1:$AF$1833,3,FALSE)</f>
        <v>#N/A</v>
      </c>
      <c r="J1059" s="40" t="s">
        <v>909</v>
      </c>
      <c r="K1059" s="40" t="s">
        <v>82</v>
      </c>
      <c r="L1059" s="121">
        <v>28180</v>
      </c>
      <c r="M1059" s="121">
        <v>14660</v>
      </c>
      <c r="N1059" s="121">
        <v>13</v>
      </c>
      <c r="O1059" s="363">
        <v>13520</v>
      </c>
      <c r="P1059" s="363">
        <v>11762.4</v>
      </c>
      <c r="Q1059" s="121">
        <v>2025</v>
      </c>
      <c r="R1059" s="121"/>
      <c r="S1059" s="148">
        <v>45820</v>
      </c>
      <c r="T1059" s="363">
        <f>Таблица18[[#This Row],[Вес нетто]]-Таблица18[[#This Row],[Зачетный вес]]</f>
        <v>1757.6000000000004</v>
      </c>
      <c r="U1059" s="365">
        <f>Таблица18[[#This Row],[Отход]]/Таблица18[[#This Row],[Вес нетто]]</f>
        <v>0.13000000000000003</v>
      </c>
      <c r="V1059" s="121">
        <f>MONTH(Таблица18[[#This Row],[Дата акта]])</f>
        <v>6</v>
      </c>
      <c r="W1059" s="121">
        <v>12</v>
      </c>
      <c r="X1059" s="148">
        <f>DATE(1900,Таблица18[[#This Row],[Месяц]],Таблица18[[#This Row],[Число]])</f>
        <v>164</v>
      </c>
      <c r="Y1059" s="121"/>
      <c r="Z1059" s="121" t="str">
        <f>Таблица18[[#This Row],[Хар-ка]]</f>
        <v>высший</v>
      </c>
      <c r="AD1059" s="459"/>
      <c r="AE1059" s="391"/>
    </row>
    <row r="1060" spans="1:31" s="325" customFormat="1" ht="15.6" hidden="1" customHeight="1" x14ac:dyDescent="0.2">
      <c r="A1060" s="40" t="s">
        <v>1047</v>
      </c>
      <c r="B1060" s="360" t="s">
        <v>550</v>
      </c>
      <c r="C1060" s="40">
        <v>400</v>
      </c>
      <c r="D1060" s="40" t="s">
        <v>902</v>
      </c>
      <c r="E1060" s="40" t="s">
        <v>903</v>
      </c>
      <c r="F1060" s="40" t="s">
        <v>1151</v>
      </c>
      <c r="G1060" s="40" t="s">
        <v>145</v>
      </c>
      <c r="H1060" s="40" t="s">
        <v>967</v>
      </c>
      <c r="I1060" s="360" t="e">
        <f>VLOOKUP(Таблица18[[#This Row],[Номер акта]],$AB$1:$AF$1833,3,FALSE)</f>
        <v>#N/A</v>
      </c>
      <c r="J1060" s="40" t="s">
        <v>909</v>
      </c>
      <c r="K1060" s="40" t="s">
        <v>82</v>
      </c>
      <c r="L1060" s="121">
        <v>29060</v>
      </c>
      <c r="M1060" s="121">
        <v>15720</v>
      </c>
      <c r="N1060" s="121">
        <v>11.5</v>
      </c>
      <c r="O1060" s="363">
        <v>13340</v>
      </c>
      <c r="P1060" s="363">
        <v>11805.9</v>
      </c>
      <c r="Q1060" s="121">
        <v>2025</v>
      </c>
      <c r="R1060" s="121"/>
      <c r="S1060" s="148">
        <v>45820</v>
      </c>
      <c r="T1060" s="363">
        <f>Таблица18[[#This Row],[Вес нетто]]-Таблица18[[#This Row],[Зачетный вес]]</f>
        <v>1534.1000000000004</v>
      </c>
      <c r="U1060" s="365">
        <f>Таблица18[[#This Row],[Отход]]/Таблица18[[#This Row],[Вес нетто]]</f>
        <v>0.11500000000000003</v>
      </c>
      <c r="V1060" s="121">
        <f>MONTH(Таблица18[[#This Row],[Дата акта]])</f>
        <v>6</v>
      </c>
      <c r="W1060" s="121">
        <v>12</v>
      </c>
      <c r="X1060" s="148">
        <f>DATE(1900,Таблица18[[#This Row],[Месяц]],Таблица18[[#This Row],[Число]])</f>
        <v>164</v>
      </c>
      <c r="Y1060" s="121"/>
      <c r="Z1060" s="121" t="str">
        <f>Таблица18[[#This Row],[Хар-ка]]</f>
        <v>первый</v>
      </c>
      <c r="AD1060" s="459"/>
      <c r="AE1060" s="391"/>
    </row>
    <row r="1061" spans="1:31" s="325" customFormat="1" ht="15.6" hidden="1" customHeight="1" x14ac:dyDescent="0.2">
      <c r="A1061" s="40" t="s">
        <v>1048</v>
      </c>
      <c r="B1061" s="360" t="s">
        <v>511</v>
      </c>
      <c r="C1061" s="40">
        <v>401</v>
      </c>
      <c r="D1061" s="40" t="s">
        <v>902</v>
      </c>
      <c r="E1061" s="40" t="s">
        <v>903</v>
      </c>
      <c r="F1061" s="40" t="s">
        <v>1461</v>
      </c>
      <c r="G1061" s="40" t="s">
        <v>149</v>
      </c>
      <c r="H1061" s="40" t="s">
        <v>967</v>
      </c>
      <c r="I1061" s="360" t="e">
        <f>VLOOKUP(Таблица18[[#This Row],[Номер акта]],$AB$1:$AF$1833,3,FALSE)</f>
        <v>#N/A</v>
      </c>
      <c r="J1061" s="40" t="s">
        <v>909</v>
      </c>
      <c r="K1061" s="40" t="s">
        <v>82</v>
      </c>
      <c r="L1061" s="121">
        <v>28460</v>
      </c>
      <c r="M1061" s="121">
        <v>15050</v>
      </c>
      <c r="N1061" s="121">
        <v>12</v>
      </c>
      <c r="O1061" s="363">
        <v>13410</v>
      </c>
      <c r="P1061" s="363">
        <v>11800.8</v>
      </c>
      <c r="Q1061" s="121">
        <v>2025</v>
      </c>
      <c r="R1061" s="121"/>
      <c r="S1061" s="148">
        <v>45820</v>
      </c>
      <c r="T1061" s="363">
        <f>Таблица18[[#This Row],[Вес нетто]]-Таблица18[[#This Row],[Зачетный вес]]</f>
        <v>1609.2000000000007</v>
      </c>
      <c r="U1061" s="365">
        <f>Таблица18[[#This Row],[Отход]]/Таблица18[[#This Row],[Вес нетто]]</f>
        <v>0.12000000000000005</v>
      </c>
      <c r="V1061" s="121">
        <f>MONTH(Таблица18[[#This Row],[Дата акта]])</f>
        <v>6</v>
      </c>
      <c r="W1061" s="121">
        <v>12</v>
      </c>
      <c r="X1061" s="148">
        <f>DATE(1900,Таблица18[[#This Row],[Месяц]],Таблица18[[#This Row],[Число]])</f>
        <v>164</v>
      </c>
      <c r="Y1061" s="121"/>
      <c r="Z1061" s="121" t="str">
        <f>Таблица18[[#This Row],[Хар-ка]]</f>
        <v>высший</v>
      </c>
      <c r="AD1061" s="459"/>
      <c r="AE1061" s="391"/>
    </row>
    <row r="1062" spans="1:31" s="325" customFormat="1" ht="15.6" hidden="1" customHeight="1" x14ac:dyDescent="0.2">
      <c r="A1062" s="40" t="s">
        <v>1049</v>
      </c>
      <c r="B1062" s="360" t="s">
        <v>511</v>
      </c>
      <c r="C1062" s="40">
        <v>402</v>
      </c>
      <c r="D1062" s="40" t="s">
        <v>902</v>
      </c>
      <c r="E1062" s="40" t="s">
        <v>903</v>
      </c>
      <c r="F1062" s="40" t="s">
        <v>335</v>
      </c>
      <c r="G1062" s="40" t="s">
        <v>339</v>
      </c>
      <c r="H1062" s="40" t="s">
        <v>967</v>
      </c>
      <c r="I1062" s="360" t="e">
        <f>VLOOKUP(Таблица18[[#This Row],[Номер акта]],$AB$1:$AF$1833,3,FALSE)</f>
        <v>#N/A</v>
      </c>
      <c r="J1062" s="40" t="s">
        <v>909</v>
      </c>
      <c r="K1062" s="40" t="s">
        <v>82</v>
      </c>
      <c r="L1062" s="121">
        <v>28070</v>
      </c>
      <c r="M1062" s="121">
        <v>14720</v>
      </c>
      <c r="N1062" s="121">
        <v>12.5</v>
      </c>
      <c r="O1062" s="363">
        <v>13350</v>
      </c>
      <c r="P1062" s="363">
        <v>11681.2</v>
      </c>
      <c r="Q1062" s="121">
        <v>2025</v>
      </c>
      <c r="R1062" s="121"/>
      <c r="S1062" s="148">
        <v>45820</v>
      </c>
      <c r="T1062" s="363">
        <f>Таблица18[[#This Row],[Вес нетто]]-Таблица18[[#This Row],[Зачетный вес]]</f>
        <v>1668.7999999999993</v>
      </c>
      <c r="U1062" s="365">
        <f>Таблица18[[#This Row],[Отход]]/Таблица18[[#This Row],[Вес нетто]]</f>
        <v>0.12500374531835201</v>
      </c>
      <c r="V1062" s="121">
        <f>MONTH(Таблица18[[#This Row],[Дата акта]])</f>
        <v>6</v>
      </c>
      <c r="W1062" s="121">
        <v>12</v>
      </c>
      <c r="X1062" s="148">
        <f>DATE(1900,Таблица18[[#This Row],[Месяц]],Таблица18[[#This Row],[Число]])</f>
        <v>164</v>
      </c>
      <c r="Y1062" s="121"/>
      <c r="Z1062" s="121" t="str">
        <f>Таблица18[[#This Row],[Хар-ка]]</f>
        <v>высший</v>
      </c>
      <c r="AD1062" s="459"/>
      <c r="AE1062" s="391"/>
    </row>
    <row r="1063" spans="1:31" s="325" customFormat="1" ht="15.6" hidden="1" customHeight="1" x14ac:dyDescent="0.2">
      <c r="A1063" s="40" t="s">
        <v>1050</v>
      </c>
      <c r="B1063" s="360" t="s">
        <v>511</v>
      </c>
      <c r="C1063" s="40">
        <v>403</v>
      </c>
      <c r="D1063" s="40" t="s">
        <v>902</v>
      </c>
      <c r="E1063" s="40" t="s">
        <v>903</v>
      </c>
      <c r="F1063" s="40" t="s">
        <v>234</v>
      </c>
      <c r="G1063" s="40" t="s">
        <v>238</v>
      </c>
      <c r="H1063" s="40" t="s">
        <v>967</v>
      </c>
      <c r="I1063" s="360" t="e">
        <f>VLOOKUP(Таблица18[[#This Row],[Номер акта]],$AB$1:$AF$1833,3,FALSE)</f>
        <v>#N/A</v>
      </c>
      <c r="J1063" s="40" t="s">
        <v>909</v>
      </c>
      <c r="K1063" s="40" t="s">
        <v>82</v>
      </c>
      <c r="L1063" s="121">
        <v>28930</v>
      </c>
      <c r="M1063" s="121">
        <v>15520</v>
      </c>
      <c r="N1063" s="121">
        <v>12.5</v>
      </c>
      <c r="O1063" s="363">
        <v>13410</v>
      </c>
      <c r="P1063" s="363">
        <v>11733.7</v>
      </c>
      <c r="Q1063" s="121">
        <v>2025</v>
      </c>
      <c r="R1063" s="121"/>
      <c r="S1063" s="148">
        <v>45820</v>
      </c>
      <c r="T1063" s="363">
        <f>Таблица18[[#This Row],[Вес нетто]]-Таблица18[[#This Row],[Зачетный вес]]</f>
        <v>1676.2999999999993</v>
      </c>
      <c r="U1063" s="365">
        <f>Таблица18[[#This Row],[Отход]]/Таблица18[[#This Row],[Вес нетто]]</f>
        <v>0.12500372856077549</v>
      </c>
      <c r="V1063" s="121">
        <f>MONTH(Таблица18[[#This Row],[Дата акта]])</f>
        <v>6</v>
      </c>
      <c r="W1063" s="121">
        <v>12</v>
      </c>
      <c r="X1063" s="148">
        <f>DATE(1900,Таблица18[[#This Row],[Месяц]],Таблица18[[#This Row],[Число]])</f>
        <v>164</v>
      </c>
      <c r="Y1063" s="121"/>
      <c r="Z1063" s="121" t="str">
        <f>Таблица18[[#This Row],[Хар-ка]]</f>
        <v>высший</v>
      </c>
      <c r="AD1063" s="459"/>
      <c r="AE1063" s="391"/>
    </row>
    <row r="1064" spans="1:31" s="325" customFormat="1" ht="15.6" hidden="1" customHeight="1" x14ac:dyDescent="0.2">
      <c r="A1064" s="40" t="s">
        <v>1051</v>
      </c>
      <c r="B1064" s="360" t="s">
        <v>511</v>
      </c>
      <c r="C1064" s="40">
        <v>404</v>
      </c>
      <c r="D1064" s="40" t="s">
        <v>902</v>
      </c>
      <c r="E1064" s="40" t="s">
        <v>903</v>
      </c>
      <c r="F1064" s="40" t="s">
        <v>111</v>
      </c>
      <c r="G1064" s="40" t="s">
        <v>114</v>
      </c>
      <c r="H1064" s="40" t="s">
        <v>967</v>
      </c>
      <c r="I1064" s="360" t="e">
        <f>VLOOKUP(Таблица18[[#This Row],[Номер акта]],$AB$1:$AF$1833,3,FALSE)</f>
        <v>#N/A</v>
      </c>
      <c r="J1064" s="40" t="s">
        <v>909</v>
      </c>
      <c r="K1064" s="40" t="s">
        <v>82</v>
      </c>
      <c r="L1064" s="121">
        <v>28570</v>
      </c>
      <c r="M1064" s="121">
        <v>15350</v>
      </c>
      <c r="N1064" s="121">
        <v>9.5</v>
      </c>
      <c r="O1064" s="363">
        <v>13220</v>
      </c>
      <c r="P1064" s="363">
        <v>11964.1</v>
      </c>
      <c r="Q1064" s="121">
        <v>2025</v>
      </c>
      <c r="R1064" s="121"/>
      <c r="S1064" s="148">
        <v>45820</v>
      </c>
      <c r="T1064" s="363">
        <f>Таблица18[[#This Row],[Вес нетто]]-Таблица18[[#This Row],[Зачетный вес]]</f>
        <v>1255.8999999999996</v>
      </c>
      <c r="U1064" s="365">
        <f>Таблица18[[#This Row],[Отход]]/Таблица18[[#This Row],[Вес нетто]]</f>
        <v>9.4999999999999973E-2</v>
      </c>
      <c r="V1064" s="121">
        <f>MONTH(Таблица18[[#This Row],[Дата акта]])</f>
        <v>6</v>
      </c>
      <c r="W1064" s="121">
        <v>12</v>
      </c>
      <c r="X1064" s="148">
        <f>DATE(1900,Таблица18[[#This Row],[Месяц]],Таблица18[[#This Row],[Число]])</f>
        <v>164</v>
      </c>
      <c r="Y1064" s="121"/>
      <c r="Z1064" s="121" t="str">
        <f>Таблица18[[#This Row],[Хар-ка]]</f>
        <v>высший</v>
      </c>
      <c r="AD1064" s="459"/>
      <c r="AE1064" s="391"/>
    </row>
    <row r="1065" spans="1:31" s="325" customFormat="1" ht="15.6" hidden="1" customHeight="1" x14ac:dyDescent="0.2">
      <c r="A1065" s="40" t="s">
        <v>1052</v>
      </c>
      <c r="B1065" s="360" t="s">
        <v>511</v>
      </c>
      <c r="C1065" s="40">
        <v>406</v>
      </c>
      <c r="D1065" s="40">
        <v>26</v>
      </c>
      <c r="E1065" s="40" t="s">
        <v>903</v>
      </c>
      <c r="F1065" s="40" t="s">
        <v>305</v>
      </c>
      <c r="G1065" s="40" t="s">
        <v>309</v>
      </c>
      <c r="H1065" s="40" t="s">
        <v>967</v>
      </c>
      <c r="I1065" s="360" t="e">
        <f>VLOOKUP(Таблица18[[#This Row],[Номер акта]],$AB$1:$AF$1833,3,FALSE)</f>
        <v>#N/A</v>
      </c>
      <c r="J1065" s="40" t="s">
        <v>909</v>
      </c>
      <c r="K1065" s="40" t="s">
        <v>82</v>
      </c>
      <c r="L1065" s="121">
        <v>27890</v>
      </c>
      <c r="M1065" s="121">
        <v>14420</v>
      </c>
      <c r="N1065" s="121">
        <v>13.5</v>
      </c>
      <c r="O1065" s="363">
        <v>13470</v>
      </c>
      <c r="P1065" s="363">
        <v>11651.5</v>
      </c>
      <c r="Q1065" s="121">
        <v>2025</v>
      </c>
      <c r="R1065" s="121"/>
      <c r="S1065" s="148">
        <v>45820</v>
      </c>
      <c r="T1065" s="363">
        <f>Таблица18[[#This Row],[Вес нетто]]-Таблица18[[#This Row],[Зачетный вес]]</f>
        <v>1818.5</v>
      </c>
      <c r="U1065" s="365">
        <f>Таблица18[[#This Row],[Отход]]/Таблица18[[#This Row],[Вес нетто]]</f>
        <v>0.135003711952487</v>
      </c>
      <c r="V1065" s="121">
        <f>MONTH(Таблица18[[#This Row],[Дата акта]])</f>
        <v>6</v>
      </c>
      <c r="W1065" s="121">
        <v>12</v>
      </c>
      <c r="X1065" s="148">
        <f>DATE(1900,Таблица18[[#This Row],[Месяц]],Таблица18[[#This Row],[Число]])</f>
        <v>164</v>
      </c>
      <c r="Y1065" s="121"/>
      <c r="Z1065" s="121" t="str">
        <f>Таблица18[[#This Row],[Хар-ка]]</f>
        <v>высший</v>
      </c>
      <c r="AD1065" s="459"/>
      <c r="AE1065" s="391"/>
    </row>
    <row r="1066" spans="1:31" s="325" customFormat="1" ht="15.6" hidden="1" customHeight="1" x14ac:dyDescent="0.2">
      <c r="A1066" s="40" t="s">
        <v>1053</v>
      </c>
      <c r="B1066" s="360" t="s">
        <v>511</v>
      </c>
      <c r="C1066" s="40">
        <v>408</v>
      </c>
      <c r="D1066" s="40" t="s">
        <v>902</v>
      </c>
      <c r="E1066" s="40" t="s">
        <v>903</v>
      </c>
      <c r="F1066" s="40" t="s">
        <v>195</v>
      </c>
      <c r="G1066" s="40" t="s">
        <v>199</v>
      </c>
      <c r="H1066" s="40" t="s">
        <v>967</v>
      </c>
      <c r="I1066" s="360" t="e">
        <f>VLOOKUP(Таблица18[[#This Row],[Номер акта]],$AB$1:$AF$1833,3,FALSE)</f>
        <v>#N/A</v>
      </c>
      <c r="J1066" s="40" t="s">
        <v>909</v>
      </c>
      <c r="K1066" s="40" t="s">
        <v>82</v>
      </c>
      <c r="L1066" s="121">
        <v>23210</v>
      </c>
      <c r="M1066" s="121">
        <v>15130</v>
      </c>
      <c r="N1066" s="121">
        <v>21</v>
      </c>
      <c r="O1066" s="363">
        <v>8080</v>
      </c>
      <c r="P1066" s="363">
        <v>6383.2</v>
      </c>
      <c r="Q1066" s="121">
        <v>2025</v>
      </c>
      <c r="R1066" s="121"/>
      <c r="S1066" s="148">
        <v>45820</v>
      </c>
      <c r="T1066" s="363">
        <f>Таблица18[[#This Row],[Вес нетто]]-Таблица18[[#This Row],[Зачетный вес]]</f>
        <v>1696.8000000000002</v>
      </c>
      <c r="U1066" s="365">
        <f>Таблица18[[#This Row],[Отход]]/Таблица18[[#This Row],[Вес нетто]]</f>
        <v>0.21000000000000002</v>
      </c>
      <c r="V1066" s="121">
        <f>MONTH(Таблица18[[#This Row],[Дата акта]])</f>
        <v>6</v>
      </c>
      <c r="W1066" s="121">
        <v>12</v>
      </c>
      <c r="X1066" s="148">
        <f>DATE(1900,Таблица18[[#This Row],[Месяц]],Таблица18[[#This Row],[Число]])</f>
        <v>164</v>
      </c>
      <c r="Y1066" s="121"/>
      <c r="Z1066" s="121" t="str">
        <f>Таблица18[[#This Row],[Хар-ка]]</f>
        <v>высший</v>
      </c>
      <c r="AD1066" s="459"/>
      <c r="AE1066" s="391"/>
    </row>
    <row r="1067" spans="1:31" s="325" customFormat="1" ht="15.6" hidden="1" customHeight="1" x14ac:dyDescent="0.2">
      <c r="A1067" s="40" t="s">
        <v>1054</v>
      </c>
      <c r="B1067" s="360" t="s">
        <v>511</v>
      </c>
      <c r="C1067" s="40">
        <v>407</v>
      </c>
      <c r="D1067" s="40">
        <v>28</v>
      </c>
      <c r="E1067" s="40" t="s">
        <v>903</v>
      </c>
      <c r="F1067" s="40" t="s">
        <v>1312</v>
      </c>
      <c r="G1067" s="40" t="s">
        <v>320</v>
      </c>
      <c r="H1067" s="40" t="s">
        <v>957</v>
      </c>
      <c r="I1067" s="360" t="e">
        <f>VLOOKUP(Таблица18[[#This Row],[Номер акта]],$AB$1:$AF$1833,3,FALSE)</f>
        <v>#N/A</v>
      </c>
      <c r="J1067" s="40" t="s">
        <v>901</v>
      </c>
      <c r="K1067" s="40" t="s">
        <v>82</v>
      </c>
      <c r="L1067" s="121">
        <v>27530</v>
      </c>
      <c r="M1067" s="121">
        <v>14450</v>
      </c>
      <c r="N1067" s="121">
        <v>17</v>
      </c>
      <c r="O1067" s="363">
        <v>13080</v>
      </c>
      <c r="P1067" s="363">
        <v>10856.4</v>
      </c>
      <c r="Q1067" s="121">
        <v>2025</v>
      </c>
      <c r="R1067" s="121"/>
      <c r="S1067" s="148">
        <v>45821</v>
      </c>
      <c r="T1067" s="363">
        <f>Таблица18[[#This Row],[Вес нетто]]-Таблица18[[#This Row],[Зачетный вес]]</f>
        <v>2223.6000000000004</v>
      </c>
      <c r="U1067" s="365">
        <f>Таблица18[[#This Row],[Отход]]/Таблица18[[#This Row],[Вес нетто]]</f>
        <v>0.17000000000000004</v>
      </c>
      <c r="V1067" s="121">
        <f>MONTH(Таблица18[[#This Row],[Дата акта]])</f>
        <v>6</v>
      </c>
      <c r="W1067" s="121">
        <v>13</v>
      </c>
      <c r="X1067" s="148">
        <f>DATE(1900,Таблица18[[#This Row],[Месяц]],Таблица18[[#This Row],[Число]])</f>
        <v>165</v>
      </c>
      <c r="Y1067" s="121"/>
      <c r="Z1067" s="121" t="str">
        <f>Таблица18[[#This Row],[Хар-ка]]</f>
        <v>высший</v>
      </c>
      <c r="AD1067" s="459"/>
      <c r="AE1067" s="391"/>
    </row>
    <row r="1068" spans="1:31" s="325" customFormat="1" ht="15.6" hidden="1" customHeight="1" x14ac:dyDescent="0.2">
      <c r="A1068" s="40" t="s">
        <v>1055</v>
      </c>
      <c r="B1068" s="360" t="s">
        <v>511</v>
      </c>
      <c r="C1068" s="40">
        <v>409</v>
      </c>
      <c r="D1068" s="40">
        <v>29</v>
      </c>
      <c r="E1068" s="40" t="s">
        <v>903</v>
      </c>
      <c r="F1068" s="40" t="s">
        <v>894</v>
      </c>
      <c r="G1068" s="40" t="s">
        <v>895</v>
      </c>
      <c r="H1068" s="40" t="s">
        <v>957</v>
      </c>
      <c r="I1068" s="360" t="e">
        <f>VLOOKUP(Таблица18[[#This Row],[Номер акта]],$AB$1:$AF$1833,3,FALSE)</f>
        <v>#N/A</v>
      </c>
      <c r="J1068" s="40" t="s">
        <v>901</v>
      </c>
      <c r="K1068" s="40" t="s">
        <v>82</v>
      </c>
      <c r="L1068" s="121">
        <v>28900</v>
      </c>
      <c r="M1068" s="121">
        <v>14890</v>
      </c>
      <c r="N1068" s="121">
        <v>13.5</v>
      </c>
      <c r="O1068" s="363">
        <v>14010</v>
      </c>
      <c r="P1068" s="363">
        <v>12118.6</v>
      </c>
      <c r="Q1068" s="121">
        <v>2025</v>
      </c>
      <c r="R1068" s="121"/>
      <c r="S1068" s="148">
        <v>45821</v>
      </c>
      <c r="T1068" s="363">
        <f>Таблица18[[#This Row],[Вес нетто]]-Таблица18[[#This Row],[Зачетный вес]]</f>
        <v>1891.3999999999996</v>
      </c>
      <c r="U1068" s="365">
        <f>Таблица18[[#This Row],[Отход]]/Таблица18[[#This Row],[Вес нетто]]</f>
        <v>0.13500356887937184</v>
      </c>
      <c r="V1068" s="121">
        <f>MONTH(Таблица18[[#This Row],[Дата акта]])</f>
        <v>6</v>
      </c>
      <c r="W1068" s="121">
        <v>13</v>
      </c>
      <c r="X1068" s="148">
        <f>DATE(1900,Таблица18[[#This Row],[Месяц]],Таблица18[[#This Row],[Число]])</f>
        <v>165</v>
      </c>
      <c r="Y1068" s="121"/>
      <c r="Z1068" s="121" t="str">
        <f>Таблица18[[#This Row],[Хар-ка]]</f>
        <v>высший</v>
      </c>
      <c r="AD1068" s="459"/>
      <c r="AE1068" s="391"/>
    </row>
    <row r="1069" spans="1:31" s="325" customFormat="1" ht="15.6" hidden="1" customHeight="1" x14ac:dyDescent="0.2">
      <c r="A1069" s="40" t="s">
        <v>1056</v>
      </c>
      <c r="B1069" s="360" t="s">
        <v>511</v>
      </c>
      <c r="C1069" s="40">
        <v>405</v>
      </c>
      <c r="D1069" s="40" t="s">
        <v>902</v>
      </c>
      <c r="E1069" s="40" t="s">
        <v>903</v>
      </c>
      <c r="F1069" s="40" t="s">
        <v>195</v>
      </c>
      <c r="G1069" s="40" t="s">
        <v>199</v>
      </c>
      <c r="H1069" s="40" t="s">
        <v>957</v>
      </c>
      <c r="I1069" s="360" t="e">
        <f>VLOOKUP(Таблица18[[#This Row],[Номер акта]],$AB$1:$AF$1833,3,FALSE)</f>
        <v>#N/A</v>
      </c>
      <c r="J1069" s="40" t="s">
        <v>901</v>
      </c>
      <c r="K1069" s="40" t="s">
        <v>82</v>
      </c>
      <c r="L1069" s="121">
        <v>29840</v>
      </c>
      <c r="M1069" s="121">
        <v>23210</v>
      </c>
      <c r="N1069" s="121">
        <v>14.5</v>
      </c>
      <c r="O1069" s="363">
        <v>6630</v>
      </c>
      <c r="P1069" s="363">
        <v>5668.6</v>
      </c>
      <c r="Q1069" s="121">
        <v>2025</v>
      </c>
      <c r="R1069" s="121"/>
      <c r="S1069" s="148">
        <v>45820</v>
      </c>
      <c r="T1069" s="363">
        <f>Таблица18[[#This Row],[Вес нетто]]-Таблица18[[#This Row],[Зачетный вес]]</f>
        <v>961.39999999999964</v>
      </c>
      <c r="U1069" s="365">
        <f>Таблица18[[#This Row],[Отход]]/Таблица18[[#This Row],[Вес нетто]]</f>
        <v>0.14500754147812966</v>
      </c>
      <c r="V1069" s="121">
        <f>MONTH(Таблица18[[#This Row],[Дата акта]])</f>
        <v>6</v>
      </c>
      <c r="W1069" s="121">
        <v>12</v>
      </c>
      <c r="X1069" s="148">
        <f>DATE(1900,Таблица18[[#This Row],[Месяц]],Таблица18[[#This Row],[Число]])</f>
        <v>164</v>
      </c>
      <c r="Y1069" s="121"/>
      <c r="Z1069" s="121" t="str">
        <f>Таблица18[[#This Row],[Хар-ка]]</f>
        <v>высший</v>
      </c>
      <c r="AD1069" s="459"/>
      <c r="AE1069" s="391"/>
    </row>
    <row r="1070" spans="1:31" s="325" customFormat="1" ht="15.6" hidden="1" customHeight="1" x14ac:dyDescent="0.2">
      <c r="A1070" s="40" t="s">
        <v>1057</v>
      </c>
      <c r="B1070" s="360" t="s">
        <v>511</v>
      </c>
      <c r="C1070" s="40">
        <v>410</v>
      </c>
      <c r="D1070" s="40">
        <v>30</v>
      </c>
      <c r="E1070" s="40" t="s">
        <v>903</v>
      </c>
      <c r="F1070" s="40" t="s">
        <v>1152</v>
      </c>
      <c r="G1070" s="40" t="s">
        <v>119</v>
      </c>
      <c r="H1070" s="40" t="s">
        <v>957</v>
      </c>
      <c r="I1070" s="360" t="e">
        <f>VLOOKUP(Таблица18[[#This Row],[Номер акта]],$AB$1:$AF$1833,3,FALSE)</f>
        <v>#N/A</v>
      </c>
      <c r="J1070" s="40" t="s">
        <v>909</v>
      </c>
      <c r="K1070" s="40" t="s">
        <v>82</v>
      </c>
      <c r="L1070" s="121">
        <v>36780</v>
      </c>
      <c r="M1070" s="121">
        <v>20960</v>
      </c>
      <c r="N1070" s="121">
        <v>14.8</v>
      </c>
      <c r="O1070" s="363">
        <v>15820</v>
      </c>
      <c r="P1070" s="363">
        <v>13482.7</v>
      </c>
      <c r="Q1070" s="121">
        <v>2025</v>
      </c>
      <c r="R1070" s="121"/>
      <c r="S1070" s="148">
        <v>45821</v>
      </c>
      <c r="T1070" s="363">
        <f>Таблица18[[#This Row],[Вес нетто]]-Таблица18[[#This Row],[Зачетный вес]]</f>
        <v>2337.2999999999993</v>
      </c>
      <c r="U1070" s="365">
        <f>Таблица18[[#This Row],[Отход]]/Таблица18[[#This Row],[Вес нетто]]</f>
        <v>0.14774336283185835</v>
      </c>
      <c r="V1070" s="121">
        <f>MONTH(Таблица18[[#This Row],[Дата акта]])</f>
        <v>6</v>
      </c>
      <c r="W1070" s="121">
        <v>13</v>
      </c>
      <c r="X1070" s="148">
        <f>DATE(1900,Таблица18[[#This Row],[Месяц]],Таблица18[[#This Row],[Число]])</f>
        <v>165</v>
      </c>
      <c r="Y1070" s="121"/>
      <c r="Z1070" s="121" t="str">
        <f>Таблица18[[#This Row],[Хар-ка]]</f>
        <v>высший</v>
      </c>
      <c r="AD1070" s="459"/>
      <c r="AE1070" s="391"/>
    </row>
    <row r="1071" spans="1:31" s="325" customFormat="1" ht="15.6" hidden="1" customHeight="1" x14ac:dyDescent="0.2">
      <c r="A1071" s="40" t="s">
        <v>908</v>
      </c>
      <c r="B1071" s="360" t="s">
        <v>511</v>
      </c>
      <c r="C1071" s="40">
        <v>411</v>
      </c>
      <c r="D1071" s="40">
        <v>31</v>
      </c>
      <c r="E1071" s="40" t="s">
        <v>903</v>
      </c>
      <c r="F1071" s="40" t="s">
        <v>347</v>
      </c>
      <c r="G1071" s="40" t="s">
        <v>351</v>
      </c>
      <c r="H1071" s="40" t="s">
        <v>422</v>
      </c>
      <c r="I1071" s="360" t="e">
        <f>VLOOKUP(Таблица18[[#This Row],[Номер акта]],$AB$1:$AF$1833,3,FALSE)</f>
        <v>#N/A</v>
      </c>
      <c r="J1071" s="40" t="s">
        <v>909</v>
      </c>
      <c r="K1071" s="40" t="s">
        <v>82</v>
      </c>
      <c r="L1071" s="121">
        <v>34890</v>
      </c>
      <c r="M1071" s="121">
        <v>18650</v>
      </c>
      <c r="N1071" s="121">
        <v>9.5</v>
      </c>
      <c r="O1071" s="363">
        <v>16240</v>
      </c>
      <c r="P1071" s="363">
        <v>14697.2</v>
      </c>
      <c r="Q1071" s="121">
        <v>2025</v>
      </c>
      <c r="R1071" s="121"/>
      <c r="S1071" s="148">
        <v>45821</v>
      </c>
      <c r="T1071" s="363">
        <f>Таблица18[[#This Row],[Вес нетто]]-Таблица18[[#This Row],[Зачетный вес]]</f>
        <v>1542.7999999999993</v>
      </c>
      <c r="U1071" s="365">
        <f>Таблица18[[#This Row],[Отход]]/Таблица18[[#This Row],[Вес нетто]]</f>
        <v>9.4999999999999959E-2</v>
      </c>
      <c r="V1071" s="121">
        <f>MONTH(Таблица18[[#This Row],[Дата акта]])</f>
        <v>6</v>
      </c>
      <c r="W1071" s="121">
        <v>13</v>
      </c>
      <c r="X1071" s="148">
        <f>DATE(1900,Таблица18[[#This Row],[Месяц]],Таблица18[[#This Row],[Число]])</f>
        <v>165</v>
      </c>
      <c r="Y1071" s="121"/>
      <c r="Z1071" s="121" t="str">
        <f>Таблица18[[#This Row],[Хар-ка]]</f>
        <v>высший</v>
      </c>
      <c r="AD1071" s="459"/>
      <c r="AE1071" s="391"/>
    </row>
    <row r="1072" spans="1:31" s="325" customFormat="1" ht="15.6" hidden="1" customHeight="1" x14ac:dyDescent="0.2">
      <c r="A1072" s="40" t="s">
        <v>910</v>
      </c>
      <c r="B1072" s="360" t="s">
        <v>511</v>
      </c>
      <c r="C1072" s="40">
        <v>414</v>
      </c>
      <c r="D1072" s="40">
        <v>32</v>
      </c>
      <c r="E1072" s="40" t="s">
        <v>903</v>
      </c>
      <c r="F1072" s="40" t="s">
        <v>133</v>
      </c>
      <c r="G1072" s="40" t="s">
        <v>137</v>
      </c>
      <c r="H1072" s="40" t="s">
        <v>422</v>
      </c>
      <c r="I1072" s="360" t="e">
        <f>VLOOKUP(Таблица18[[#This Row],[Номер акта]],$AB$1:$AF$1833,3,FALSE)</f>
        <v>#N/A</v>
      </c>
      <c r="J1072" s="40" t="s">
        <v>909</v>
      </c>
      <c r="K1072" s="40" t="s">
        <v>82</v>
      </c>
      <c r="L1072" s="121">
        <v>28220</v>
      </c>
      <c r="M1072" s="121">
        <v>14820</v>
      </c>
      <c r="N1072" s="121">
        <v>12.5</v>
      </c>
      <c r="O1072" s="363">
        <v>13400</v>
      </c>
      <c r="P1072" s="363">
        <v>11725</v>
      </c>
      <c r="Q1072" s="121">
        <v>2025</v>
      </c>
      <c r="R1072" s="121"/>
      <c r="S1072" s="148">
        <v>45821</v>
      </c>
      <c r="T1072" s="363">
        <f>Таблица18[[#This Row],[Вес нетто]]-Таблица18[[#This Row],[Зачетный вес]]</f>
        <v>1675</v>
      </c>
      <c r="U1072" s="365">
        <f>Таблица18[[#This Row],[Отход]]/Таблица18[[#This Row],[Вес нетто]]</f>
        <v>0.125</v>
      </c>
      <c r="V1072" s="121">
        <f>MONTH(Таблица18[[#This Row],[Дата акта]])</f>
        <v>6</v>
      </c>
      <c r="W1072" s="121">
        <v>13</v>
      </c>
      <c r="X1072" s="148">
        <f>DATE(1900,Таблица18[[#This Row],[Месяц]],Таблица18[[#This Row],[Число]])</f>
        <v>165</v>
      </c>
      <c r="Y1072" s="121"/>
      <c r="Z1072" s="121" t="str">
        <f>Таблица18[[#This Row],[Хар-ка]]</f>
        <v>высший</v>
      </c>
      <c r="AD1072" s="459"/>
      <c r="AE1072" s="391"/>
    </row>
    <row r="1073" spans="1:31" s="325" customFormat="1" ht="15.6" hidden="1" customHeight="1" x14ac:dyDescent="0.2">
      <c r="A1073" s="40" t="s">
        <v>911</v>
      </c>
      <c r="B1073" s="360" t="s">
        <v>511</v>
      </c>
      <c r="C1073" s="40">
        <v>415</v>
      </c>
      <c r="D1073" s="40">
        <v>34</v>
      </c>
      <c r="E1073" s="40" t="s">
        <v>903</v>
      </c>
      <c r="F1073" s="40" t="s">
        <v>151</v>
      </c>
      <c r="G1073" s="40" t="s">
        <v>155</v>
      </c>
      <c r="H1073" s="40" t="s">
        <v>422</v>
      </c>
      <c r="I1073" s="360" t="e">
        <f>VLOOKUP(Таблица18[[#This Row],[Номер акта]],$AB$1:$AF$1833,3,FALSE)</f>
        <v>#N/A</v>
      </c>
      <c r="J1073" s="40" t="s">
        <v>909</v>
      </c>
      <c r="K1073" s="40" t="s">
        <v>82</v>
      </c>
      <c r="L1073" s="121">
        <v>28150</v>
      </c>
      <c r="M1073" s="121">
        <v>14910</v>
      </c>
      <c r="N1073" s="121">
        <v>8.5</v>
      </c>
      <c r="O1073" s="363">
        <v>13240</v>
      </c>
      <c r="P1073" s="363">
        <v>12114.6</v>
      </c>
      <c r="Q1073" s="121">
        <v>2025</v>
      </c>
      <c r="R1073" s="121"/>
      <c r="S1073" s="148">
        <v>45821</v>
      </c>
      <c r="T1073" s="363">
        <f>Таблица18[[#This Row],[Вес нетто]]-Таблица18[[#This Row],[Зачетный вес]]</f>
        <v>1125.3999999999996</v>
      </c>
      <c r="U1073" s="365">
        <f>Таблица18[[#This Row],[Отход]]/Таблица18[[#This Row],[Вес нетто]]</f>
        <v>8.4999999999999978E-2</v>
      </c>
      <c r="V1073" s="121">
        <f>MONTH(Таблица18[[#This Row],[Дата акта]])</f>
        <v>6</v>
      </c>
      <c r="W1073" s="121">
        <v>13</v>
      </c>
      <c r="X1073" s="148">
        <f>DATE(1900,Таблица18[[#This Row],[Месяц]],Таблица18[[#This Row],[Число]])</f>
        <v>165</v>
      </c>
      <c r="Y1073" s="121"/>
      <c r="Z1073" s="121" t="str">
        <f>Таблица18[[#This Row],[Хар-ка]]</f>
        <v>высший</v>
      </c>
      <c r="AD1073" s="459"/>
      <c r="AE1073" s="391"/>
    </row>
    <row r="1074" spans="1:31" s="325" customFormat="1" ht="15.6" hidden="1" customHeight="1" x14ac:dyDescent="0.2">
      <c r="A1074" s="40" t="s">
        <v>912</v>
      </c>
      <c r="B1074" s="360" t="s">
        <v>511</v>
      </c>
      <c r="C1074" s="40">
        <v>418</v>
      </c>
      <c r="D1074" s="40">
        <v>33</v>
      </c>
      <c r="E1074" s="40" t="s">
        <v>903</v>
      </c>
      <c r="F1074" s="40" t="s">
        <v>160</v>
      </c>
      <c r="G1074" s="40" t="s">
        <v>164</v>
      </c>
      <c r="H1074" s="40" t="s">
        <v>422</v>
      </c>
      <c r="I1074" s="360" t="e">
        <f>VLOOKUP(Таблица18[[#This Row],[Номер акта]],$AB$1:$AF$1833,3,FALSE)</f>
        <v>#N/A</v>
      </c>
      <c r="J1074" s="40" t="s">
        <v>909</v>
      </c>
      <c r="K1074" s="40" t="s">
        <v>82</v>
      </c>
      <c r="L1074" s="121">
        <v>37170</v>
      </c>
      <c r="M1074" s="121">
        <v>23840</v>
      </c>
      <c r="N1074" s="121">
        <v>13.5</v>
      </c>
      <c r="O1074" s="363">
        <v>13330</v>
      </c>
      <c r="P1074" s="363">
        <v>11530.4</v>
      </c>
      <c r="Q1074" s="121">
        <v>2025</v>
      </c>
      <c r="R1074" s="121"/>
      <c r="S1074" s="148">
        <v>45821</v>
      </c>
      <c r="T1074" s="363">
        <f>Таблица18[[#This Row],[Вес нетто]]-Таблица18[[#This Row],[Зачетный вес]]</f>
        <v>1799.6000000000004</v>
      </c>
      <c r="U1074" s="365">
        <f>Таблица18[[#This Row],[Отход]]/Таблица18[[#This Row],[Вес нетто]]</f>
        <v>0.13500375093773445</v>
      </c>
      <c r="V1074" s="121">
        <f>MONTH(Таблица18[[#This Row],[Дата акта]])</f>
        <v>6</v>
      </c>
      <c r="W1074" s="121">
        <v>13</v>
      </c>
      <c r="X1074" s="148">
        <f>DATE(1900,Таблица18[[#This Row],[Месяц]],Таблица18[[#This Row],[Число]])</f>
        <v>165</v>
      </c>
      <c r="Y1074" s="121"/>
      <c r="Z1074" s="121" t="str">
        <f>Таблица18[[#This Row],[Хар-ка]]</f>
        <v>высший</v>
      </c>
      <c r="AD1074" s="459"/>
      <c r="AE1074" s="391"/>
    </row>
    <row r="1075" spans="1:31" s="325" customFormat="1" ht="15.6" hidden="1" customHeight="1" x14ac:dyDescent="0.2">
      <c r="A1075" s="40" t="s">
        <v>913</v>
      </c>
      <c r="B1075" s="360" t="s">
        <v>511</v>
      </c>
      <c r="C1075" s="40">
        <v>420</v>
      </c>
      <c r="D1075" s="40" t="s">
        <v>902</v>
      </c>
      <c r="E1075" s="40" t="s">
        <v>914</v>
      </c>
      <c r="F1075" s="40" t="s">
        <v>762</v>
      </c>
      <c r="G1075" s="40" t="s">
        <v>763</v>
      </c>
      <c r="H1075" s="40">
        <v>16</v>
      </c>
      <c r="I1075" s="360" t="e">
        <f>VLOOKUP(Таблица18[[#This Row],[Номер акта]],$AB$1:$AF$1833,3,FALSE)</f>
        <v>#N/A</v>
      </c>
      <c r="J1075" s="40" t="s">
        <v>909</v>
      </c>
      <c r="K1075" s="40" t="s">
        <v>82</v>
      </c>
      <c r="L1075" s="121">
        <v>8910</v>
      </c>
      <c r="M1075" s="121">
        <v>4610</v>
      </c>
      <c r="N1075" s="121">
        <v>27.5</v>
      </c>
      <c r="O1075" s="363">
        <v>4300</v>
      </c>
      <c r="P1075" s="363">
        <v>3117.5</v>
      </c>
      <c r="Q1075" s="121">
        <v>2025</v>
      </c>
      <c r="R1075" s="121"/>
      <c r="S1075" s="148">
        <v>45821</v>
      </c>
      <c r="T1075" s="363">
        <f>Таблица18[[#This Row],[Вес нетто]]-Таблица18[[#This Row],[Зачетный вес]]</f>
        <v>1182.5</v>
      </c>
      <c r="U1075" s="365">
        <f>Таблица18[[#This Row],[Отход]]/Таблица18[[#This Row],[Вес нетто]]</f>
        <v>0.27500000000000002</v>
      </c>
      <c r="V1075" s="121">
        <f>MONTH(Таблица18[[#This Row],[Дата акта]])</f>
        <v>6</v>
      </c>
      <c r="W1075" s="121">
        <v>13</v>
      </c>
      <c r="X1075" s="148">
        <f>DATE(1900,Таблица18[[#This Row],[Месяц]],Таблица18[[#This Row],[Число]])</f>
        <v>165</v>
      </c>
      <c r="Y1075" s="121"/>
      <c r="Z1075" s="121" t="str">
        <f>Таблица18[[#This Row],[Хар-ка]]</f>
        <v>высший</v>
      </c>
      <c r="AD1075" s="459"/>
      <c r="AE1075" s="391"/>
    </row>
    <row r="1076" spans="1:31" s="325" customFormat="1" ht="15.6" hidden="1" customHeight="1" x14ac:dyDescent="0.2">
      <c r="A1076" s="40" t="s">
        <v>953</v>
      </c>
      <c r="B1076" s="360" t="s">
        <v>511</v>
      </c>
      <c r="C1076" s="40">
        <v>421</v>
      </c>
      <c r="D1076" s="40">
        <v>35</v>
      </c>
      <c r="E1076" s="40" t="s">
        <v>903</v>
      </c>
      <c r="F1076" s="40" t="s">
        <v>212</v>
      </c>
      <c r="G1076" s="40" t="s">
        <v>216</v>
      </c>
      <c r="H1076" s="40" t="s">
        <v>422</v>
      </c>
      <c r="I1076" s="360" t="e">
        <f>VLOOKUP(Таблица18[[#This Row],[Номер акта]],$AB$1:$AF$1833,3,FALSE)</f>
        <v>#N/A</v>
      </c>
      <c r="J1076" s="40" t="s">
        <v>909</v>
      </c>
      <c r="K1076" s="40" t="s">
        <v>82</v>
      </c>
      <c r="L1076" s="121">
        <v>28520</v>
      </c>
      <c r="M1076" s="121">
        <v>13780</v>
      </c>
      <c r="N1076" s="121">
        <v>23.5</v>
      </c>
      <c r="O1076" s="363">
        <v>14740</v>
      </c>
      <c r="P1076" s="363">
        <v>11276.1</v>
      </c>
      <c r="Q1076" s="121">
        <v>2025</v>
      </c>
      <c r="R1076" s="121"/>
      <c r="S1076" s="148">
        <v>45821</v>
      </c>
      <c r="T1076" s="363">
        <f>Таблица18[[#This Row],[Вес нетто]]-Таблица18[[#This Row],[Зачетный вес]]</f>
        <v>3463.8999999999996</v>
      </c>
      <c r="U1076" s="365">
        <f>Таблица18[[#This Row],[Отход]]/Таблица18[[#This Row],[Вес нетто]]</f>
        <v>0.23499999999999999</v>
      </c>
      <c r="V1076" s="121">
        <f>MONTH(Таблица18[[#This Row],[Дата акта]])</f>
        <v>6</v>
      </c>
      <c r="W1076" s="121">
        <v>13</v>
      </c>
      <c r="X1076" s="148">
        <f>DATE(1900,Таблица18[[#This Row],[Месяц]],Таблица18[[#This Row],[Число]])</f>
        <v>165</v>
      </c>
      <c r="Y1076" s="121"/>
      <c r="Z1076" s="121" t="str">
        <f>Таблица18[[#This Row],[Хар-ка]]</f>
        <v>высший</v>
      </c>
      <c r="AD1076" s="459"/>
      <c r="AE1076" s="391"/>
    </row>
    <row r="1077" spans="1:31" s="325" customFormat="1" ht="15.6" hidden="1" customHeight="1" x14ac:dyDescent="0.2">
      <c r="A1077" s="40" t="s">
        <v>954</v>
      </c>
      <c r="B1077" s="360" t="s">
        <v>511</v>
      </c>
      <c r="C1077" s="40">
        <v>422</v>
      </c>
      <c r="D1077" s="40" t="s">
        <v>902</v>
      </c>
      <c r="E1077" s="40" t="s">
        <v>914</v>
      </c>
      <c r="F1077" s="40" t="s">
        <v>737</v>
      </c>
      <c r="G1077" s="40" t="s">
        <v>738</v>
      </c>
      <c r="H1077" s="40">
        <v>16</v>
      </c>
      <c r="I1077" s="360" t="e">
        <f>VLOOKUP(Таблица18[[#This Row],[Номер акта]],$AB$1:$AF$1833,3,FALSE)</f>
        <v>#N/A</v>
      </c>
      <c r="J1077" s="40" t="s">
        <v>909</v>
      </c>
      <c r="K1077" s="40" t="s">
        <v>82</v>
      </c>
      <c r="L1077" s="121">
        <v>8780</v>
      </c>
      <c r="M1077" s="121">
        <v>4590</v>
      </c>
      <c r="N1077" s="121">
        <v>17.5</v>
      </c>
      <c r="O1077" s="363">
        <v>4190</v>
      </c>
      <c r="P1077" s="363">
        <v>3456.7</v>
      </c>
      <c r="Q1077" s="121">
        <v>2025</v>
      </c>
      <c r="R1077" s="121"/>
      <c r="S1077" s="148">
        <v>45821</v>
      </c>
      <c r="T1077" s="363">
        <f>Таблица18[[#This Row],[Вес нетто]]-Таблица18[[#This Row],[Зачетный вес]]</f>
        <v>733.30000000000018</v>
      </c>
      <c r="U1077" s="365">
        <f>Таблица18[[#This Row],[Отход]]/Таблица18[[#This Row],[Вес нетто]]</f>
        <v>0.17501193317422439</v>
      </c>
      <c r="V1077" s="121">
        <f>MONTH(Таблица18[[#This Row],[Дата акта]])</f>
        <v>6</v>
      </c>
      <c r="W1077" s="121">
        <v>13</v>
      </c>
      <c r="X1077" s="148">
        <f>DATE(1900,Таблица18[[#This Row],[Месяц]],Таблица18[[#This Row],[Число]])</f>
        <v>165</v>
      </c>
      <c r="Y1077" s="121"/>
      <c r="Z1077" s="121" t="str">
        <f>Таблица18[[#This Row],[Хар-ка]]</f>
        <v>высший</v>
      </c>
      <c r="AD1077" s="459"/>
      <c r="AE1077" s="391"/>
    </row>
    <row r="1078" spans="1:31" s="325" customFormat="1" ht="15.6" hidden="1" customHeight="1" x14ac:dyDescent="0.2">
      <c r="A1078" s="40" t="s">
        <v>955</v>
      </c>
      <c r="B1078" s="360" t="s">
        <v>511</v>
      </c>
      <c r="C1078" s="40">
        <v>423</v>
      </c>
      <c r="D1078" s="40">
        <v>36</v>
      </c>
      <c r="E1078" s="40" t="s">
        <v>903</v>
      </c>
      <c r="F1078" s="40" t="s">
        <v>1253</v>
      </c>
      <c r="G1078" s="40" t="s">
        <v>270</v>
      </c>
      <c r="H1078" s="40" t="s">
        <v>422</v>
      </c>
      <c r="I1078" s="360" t="e">
        <f>VLOOKUP(Таблица18[[#This Row],[Номер акта]],$AB$1:$AF$1833,3,FALSE)</f>
        <v>#N/A</v>
      </c>
      <c r="J1078" s="40" t="s">
        <v>909</v>
      </c>
      <c r="K1078" s="40" t="s">
        <v>82</v>
      </c>
      <c r="L1078" s="121">
        <v>28660</v>
      </c>
      <c r="M1078" s="121">
        <v>14850</v>
      </c>
      <c r="N1078" s="121">
        <v>20.5</v>
      </c>
      <c r="O1078" s="363">
        <v>13810</v>
      </c>
      <c r="P1078" s="363">
        <v>10978.9</v>
      </c>
      <c r="Q1078" s="121">
        <v>2025</v>
      </c>
      <c r="R1078" s="121"/>
      <c r="S1078" s="148">
        <v>45821</v>
      </c>
      <c r="T1078" s="363">
        <f>Таблица18[[#This Row],[Вес нетто]]-Таблица18[[#This Row],[Зачетный вес]]</f>
        <v>2831.1000000000004</v>
      </c>
      <c r="U1078" s="365">
        <f>Таблица18[[#This Row],[Отход]]/Таблица18[[#This Row],[Вес нетто]]</f>
        <v>0.20500362056480814</v>
      </c>
      <c r="V1078" s="121">
        <f>MONTH(Таблица18[[#This Row],[Дата акта]])</f>
        <v>6</v>
      </c>
      <c r="W1078" s="121">
        <v>13</v>
      </c>
      <c r="X1078" s="148">
        <f>DATE(1900,Таблица18[[#This Row],[Месяц]],Таблица18[[#This Row],[Число]])</f>
        <v>165</v>
      </c>
      <c r="Y1078" s="121"/>
      <c r="Z1078" s="121" t="str">
        <f>Таблица18[[#This Row],[Хар-ка]]</f>
        <v>высший</v>
      </c>
      <c r="AD1078" s="459"/>
      <c r="AE1078" s="391"/>
    </row>
    <row r="1079" spans="1:31" s="325" customFormat="1" ht="15.6" hidden="1" customHeight="1" x14ac:dyDescent="0.2">
      <c r="A1079" s="40" t="s">
        <v>956</v>
      </c>
      <c r="B1079" s="360" t="s">
        <v>511</v>
      </c>
      <c r="C1079" s="40">
        <v>424</v>
      </c>
      <c r="D1079" s="40">
        <v>37</v>
      </c>
      <c r="E1079" s="40" t="s">
        <v>903</v>
      </c>
      <c r="F1079" s="40" t="s">
        <v>272</v>
      </c>
      <c r="G1079" s="40" t="s">
        <v>276</v>
      </c>
      <c r="H1079" s="40" t="s">
        <v>957</v>
      </c>
      <c r="I1079" s="360" t="e">
        <f>VLOOKUP(Таблица18[[#This Row],[Номер акта]],$AB$1:$AF$1833,3,FALSE)</f>
        <v>#N/A</v>
      </c>
      <c r="J1079" s="40" t="s">
        <v>909</v>
      </c>
      <c r="K1079" s="40" t="s">
        <v>82</v>
      </c>
      <c r="L1079" s="121">
        <v>28160</v>
      </c>
      <c r="M1079" s="121">
        <v>14620</v>
      </c>
      <c r="N1079" s="121">
        <v>13.5</v>
      </c>
      <c r="O1079" s="363">
        <v>13540</v>
      </c>
      <c r="P1079" s="363">
        <v>11712.1</v>
      </c>
      <c r="Q1079" s="121">
        <v>2025</v>
      </c>
      <c r="R1079" s="121"/>
      <c r="S1079" s="148">
        <v>45821</v>
      </c>
      <c r="T1079" s="363">
        <f>Таблица18[[#This Row],[Вес нетто]]-Таблица18[[#This Row],[Зачетный вес]]</f>
        <v>1827.8999999999996</v>
      </c>
      <c r="U1079" s="365">
        <f>Таблица18[[#This Row],[Отход]]/Таблица18[[#This Row],[Вес нетто]]</f>
        <v>0.13499999999999998</v>
      </c>
      <c r="V1079" s="121">
        <f>MONTH(Таблица18[[#This Row],[Дата акта]])</f>
        <v>6</v>
      </c>
      <c r="W1079" s="121">
        <v>13</v>
      </c>
      <c r="X1079" s="148">
        <f>DATE(1900,Таблица18[[#This Row],[Месяц]],Таблица18[[#This Row],[Число]])</f>
        <v>165</v>
      </c>
      <c r="Y1079" s="121"/>
      <c r="Z1079" s="121" t="str">
        <f>Таблица18[[#This Row],[Хар-ка]]</f>
        <v>высший</v>
      </c>
      <c r="AD1079" s="459"/>
      <c r="AE1079" s="391"/>
    </row>
    <row r="1080" spans="1:31" s="325" customFormat="1" ht="15.6" hidden="1" customHeight="1" x14ac:dyDescent="0.2">
      <c r="A1080" s="40" t="s">
        <v>958</v>
      </c>
      <c r="B1080" s="360" t="s">
        <v>511</v>
      </c>
      <c r="C1080" s="40">
        <v>426</v>
      </c>
      <c r="D1080" s="40" t="s">
        <v>902</v>
      </c>
      <c r="E1080" s="40" t="s">
        <v>914</v>
      </c>
      <c r="F1080" s="40" t="s">
        <v>762</v>
      </c>
      <c r="G1080" s="40" t="s">
        <v>763</v>
      </c>
      <c r="H1080" s="40">
        <v>16</v>
      </c>
      <c r="I1080" s="360" t="e">
        <f>VLOOKUP(Таблица18[[#This Row],[Номер акта]],$AB$1:$AF$1833,3,FALSE)</f>
        <v>#N/A</v>
      </c>
      <c r="J1080" s="40" t="s">
        <v>909</v>
      </c>
      <c r="K1080" s="40" t="s">
        <v>82</v>
      </c>
      <c r="L1080" s="121">
        <v>9430</v>
      </c>
      <c r="M1080" s="121">
        <v>4590</v>
      </c>
      <c r="N1080" s="121">
        <v>20.5</v>
      </c>
      <c r="O1080" s="363">
        <v>4840</v>
      </c>
      <c r="P1080" s="363">
        <v>3847.8</v>
      </c>
      <c r="Q1080" s="121">
        <v>2025</v>
      </c>
      <c r="R1080" s="121"/>
      <c r="S1080" s="148">
        <v>45821</v>
      </c>
      <c r="T1080" s="363">
        <f>Таблица18[[#This Row],[Вес нетто]]-Таблица18[[#This Row],[Зачетный вес]]</f>
        <v>992.19999999999982</v>
      </c>
      <c r="U1080" s="365">
        <f>Таблица18[[#This Row],[Отход]]/Таблица18[[#This Row],[Вес нетто]]</f>
        <v>0.20499999999999996</v>
      </c>
      <c r="V1080" s="121">
        <f>MONTH(Таблица18[[#This Row],[Дата акта]])</f>
        <v>6</v>
      </c>
      <c r="W1080" s="121">
        <v>13</v>
      </c>
      <c r="X1080" s="148">
        <f>DATE(1900,Таблица18[[#This Row],[Месяц]],Таблица18[[#This Row],[Число]])</f>
        <v>165</v>
      </c>
      <c r="Y1080" s="121"/>
      <c r="Z1080" s="121" t="str">
        <f>Таблица18[[#This Row],[Хар-ка]]</f>
        <v>высший</v>
      </c>
      <c r="AD1080" s="459"/>
      <c r="AE1080" s="391"/>
    </row>
    <row r="1081" spans="1:31" s="325" customFormat="1" ht="15.6" hidden="1" customHeight="1" x14ac:dyDescent="0.2">
      <c r="A1081" s="40" t="s">
        <v>959</v>
      </c>
      <c r="B1081" s="360" t="s">
        <v>511</v>
      </c>
      <c r="C1081" s="40">
        <v>425</v>
      </c>
      <c r="D1081" s="40">
        <v>38</v>
      </c>
      <c r="E1081" s="40" t="s">
        <v>903</v>
      </c>
      <c r="F1081" s="40" t="s">
        <v>239</v>
      </c>
      <c r="G1081" s="40" t="s">
        <v>243</v>
      </c>
      <c r="H1081" s="40" t="s">
        <v>422</v>
      </c>
      <c r="I1081" s="360" t="e">
        <f>VLOOKUP(Таблица18[[#This Row],[Номер акта]],$AB$1:$AF$1833,3,FALSE)</f>
        <v>#N/A</v>
      </c>
      <c r="J1081" s="40" t="s">
        <v>909</v>
      </c>
      <c r="K1081" s="40" t="s">
        <v>82</v>
      </c>
      <c r="L1081" s="121">
        <v>28330</v>
      </c>
      <c r="M1081" s="121">
        <v>14590</v>
      </c>
      <c r="N1081" s="121">
        <v>10.5</v>
      </c>
      <c r="O1081" s="363">
        <v>13740</v>
      </c>
      <c r="P1081" s="363">
        <v>12297.3</v>
      </c>
      <c r="Q1081" s="121">
        <v>2025</v>
      </c>
      <c r="R1081" s="121"/>
      <c r="S1081" s="148">
        <v>45821</v>
      </c>
      <c r="T1081" s="363">
        <f>Таблица18[[#This Row],[Вес нетто]]-Таблица18[[#This Row],[Зачетный вес]]</f>
        <v>1442.7000000000007</v>
      </c>
      <c r="U1081" s="365">
        <f>Таблица18[[#This Row],[Отход]]/Таблица18[[#This Row],[Вес нетто]]</f>
        <v>0.10500000000000005</v>
      </c>
      <c r="V1081" s="121">
        <f>MONTH(Таблица18[[#This Row],[Дата акта]])</f>
        <v>6</v>
      </c>
      <c r="W1081" s="121">
        <v>13</v>
      </c>
      <c r="X1081" s="148">
        <f>DATE(1900,Таблица18[[#This Row],[Месяц]],Таблица18[[#This Row],[Число]])</f>
        <v>165</v>
      </c>
      <c r="Y1081" s="121"/>
      <c r="Z1081" s="121" t="str">
        <f>Таблица18[[#This Row],[Хар-ка]]</f>
        <v>высший</v>
      </c>
      <c r="AD1081" s="459"/>
      <c r="AE1081" s="391"/>
    </row>
    <row r="1082" spans="1:31" s="325" customFormat="1" ht="15.6" hidden="1" customHeight="1" x14ac:dyDescent="0.2">
      <c r="A1082" s="40" t="s">
        <v>960</v>
      </c>
      <c r="B1082" s="360" t="s">
        <v>511</v>
      </c>
      <c r="C1082" s="40">
        <v>427</v>
      </c>
      <c r="D1082" s="40" t="s">
        <v>902</v>
      </c>
      <c r="E1082" s="40" t="s">
        <v>914</v>
      </c>
      <c r="F1082" s="40" t="s">
        <v>737</v>
      </c>
      <c r="G1082" s="40" t="s">
        <v>738</v>
      </c>
      <c r="H1082" s="40">
        <v>16</v>
      </c>
      <c r="I1082" s="360" t="e">
        <f>VLOOKUP(Таблица18[[#This Row],[Номер акта]],$AB$1:$AF$1833,3,FALSE)</f>
        <v>#N/A</v>
      </c>
      <c r="J1082" s="40" t="s">
        <v>909</v>
      </c>
      <c r="K1082" s="40" t="s">
        <v>82</v>
      </c>
      <c r="L1082" s="121">
        <v>9160</v>
      </c>
      <c r="M1082" s="121">
        <v>4560</v>
      </c>
      <c r="N1082" s="121">
        <v>18.5</v>
      </c>
      <c r="O1082" s="363">
        <v>4600</v>
      </c>
      <c r="P1082" s="363">
        <v>3749</v>
      </c>
      <c r="Q1082" s="121">
        <v>2025</v>
      </c>
      <c r="R1082" s="121"/>
      <c r="S1082" s="148">
        <v>45821</v>
      </c>
      <c r="T1082" s="363">
        <f>Таблица18[[#This Row],[Вес нетто]]-Таблица18[[#This Row],[Зачетный вес]]</f>
        <v>851</v>
      </c>
      <c r="U1082" s="365">
        <f>Таблица18[[#This Row],[Отход]]/Таблица18[[#This Row],[Вес нетто]]</f>
        <v>0.185</v>
      </c>
      <c r="V1082" s="121">
        <f>MONTH(Таблица18[[#This Row],[Дата акта]])</f>
        <v>6</v>
      </c>
      <c r="W1082" s="121">
        <v>13</v>
      </c>
      <c r="X1082" s="148">
        <f>DATE(1900,Таблица18[[#This Row],[Месяц]],Таблица18[[#This Row],[Число]])</f>
        <v>165</v>
      </c>
      <c r="Y1082" s="121"/>
      <c r="Z1082" s="121" t="str">
        <f>Таблица18[[#This Row],[Хар-ка]]</f>
        <v>высший</v>
      </c>
      <c r="AD1082" s="459"/>
      <c r="AE1082" s="391"/>
    </row>
    <row r="1083" spans="1:31" s="325" customFormat="1" ht="15.6" hidden="1" customHeight="1" x14ac:dyDescent="0.2">
      <c r="A1083" s="40" t="s">
        <v>961</v>
      </c>
      <c r="B1083" s="360" t="s">
        <v>550</v>
      </c>
      <c r="C1083" s="40">
        <v>428</v>
      </c>
      <c r="D1083" s="40">
        <v>40</v>
      </c>
      <c r="E1083" s="40" t="s">
        <v>903</v>
      </c>
      <c r="F1083" s="40" t="s">
        <v>1461</v>
      </c>
      <c r="G1083" s="40" t="s">
        <v>149</v>
      </c>
      <c r="H1083" s="40" t="s">
        <v>422</v>
      </c>
      <c r="I1083" s="360" t="e">
        <f>VLOOKUP(Таблица18[[#This Row],[Номер акта]],$AB$1:$AF$1833,3,FALSE)</f>
        <v>#N/A</v>
      </c>
      <c r="J1083" s="40" t="s">
        <v>909</v>
      </c>
      <c r="K1083" s="40" t="s">
        <v>82</v>
      </c>
      <c r="L1083" s="121">
        <v>28610</v>
      </c>
      <c r="M1083" s="121">
        <v>14940</v>
      </c>
      <c r="N1083" s="121">
        <v>9</v>
      </c>
      <c r="O1083" s="363">
        <v>13670</v>
      </c>
      <c r="P1083" s="363">
        <v>12439.7</v>
      </c>
      <c r="Q1083" s="121">
        <v>2025</v>
      </c>
      <c r="R1083" s="121"/>
      <c r="S1083" s="148">
        <v>45821</v>
      </c>
      <c r="T1083" s="363">
        <f>Таблица18[[#This Row],[Вес нетто]]-Таблица18[[#This Row],[Зачетный вес]]</f>
        <v>1230.2999999999993</v>
      </c>
      <c r="U1083" s="365">
        <f>Таблица18[[#This Row],[Отход]]/Таблица18[[#This Row],[Вес нетто]]</f>
        <v>8.9999999999999941E-2</v>
      </c>
      <c r="V1083" s="121">
        <f>MONTH(Таблица18[[#This Row],[Дата акта]])</f>
        <v>6</v>
      </c>
      <c r="W1083" s="121">
        <v>13</v>
      </c>
      <c r="X1083" s="148">
        <f>DATE(1900,Таблица18[[#This Row],[Месяц]],Таблица18[[#This Row],[Число]])</f>
        <v>165</v>
      </c>
      <c r="Y1083" s="121"/>
      <c r="Z1083" s="121" t="str">
        <f>Таблица18[[#This Row],[Хар-ка]]</f>
        <v>первый</v>
      </c>
      <c r="AD1083" s="459"/>
      <c r="AE1083" s="391"/>
    </row>
    <row r="1084" spans="1:31" s="325" customFormat="1" ht="15.6" hidden="1" customHeight="1" x14ac:dyDescent="0.2">
      <c r="A1084" s="40" t="s">
        <v>962</v>
      </c>
      <c r="B1084" s="360" t="s">
        <v>511</v>
      </c>
      <c r="C1084" s="40">
        <v>430</v>
      </c>
      <c r="D1084" s="40">
        <v>41</v>
      </c>
      <c r="E1084" s="40" t="s">
        <v>903</v>
      </c>
      <c r="F1084" s="40" t="s">
        <v>335</v>
      </c>
      <c r="G1084" s="40" t="s">
        <v>339</v>
      </c>
      <c r="H1084" s="40" t="s">
        <v>422</v>
      </c>
      <c r="I1084" s="360" t="e">
        <f>VLOOKUP(Таблица18[[#This Row],[Номер акта]],$AB$1:$AF$1833,3,FALSE)</f>
        <v>#N/A</v>
      </c>
      <c r="J1084" s="40" t="s">
        <v>909</v>
      </c>
      <c r="K1084" s="40" t="s">
        <v>82</v>
      </c>
      <c r="L1084" s="121">
        <v>28710</v>
      </c>
      <c r="M1084" s="121">
        <v>14780</v>
      </c>
      <c r="N1084" s="121">
        <v>20</v>
      </c>
      <c r="O1084" s="363">
        <v>13930</v>
      </c>
      <c r="P1084" s="363">
        <v>11144</v>
      </c>
      <c r="Q1084" s="121">
        <v>2025</v>
      </c>
      <c r="R1084" s="121"/>
      <c r="S1084" s="148">
        <v>45821</v>
      </c>
      <c r="T1084" s="363">
        <f>Таблица18[[#This Row],[Вес нетто]]-Таблица18[[#This Row],[Зачетный вес]]</f>
        <v>2786</v>
      </c>
      <c r="U1084" s="365">
        <f>Таблица18[[#This Row],[Отход]]/Таблица18[[#This Row],[Вес нетто]]</f>
        <v>0.2</v>
      </c>
      <c r="V1084" s="121">
        <f>MONTH(Таблица18[[#This Row],[Дата акта]])</f>
        <v>6</v>
      </c>
      <c r="W1084" s="121">
        <v>13</v>
      </c>
      <c r="X1084" s="148">
        <f>DATE(1900,Таблица18[[#This Row],[Месяц]],Таблица18[[#This Row],[Число]])</f>
        <v>165</v>
      </c>
      <c r="Y1084" s="121"/>
      <c r="Z1084" s="121" t="str">
        <f>Таблица18[[#This Row],[Хар-ка]]</f>
        <v>высший</v>
      </c>
      <c r="AD1084" s="459"/>
      <c r="AE1084" s="391"/>
    </row>
    <row r="1085" spans="1:31" s="325" customFormat="1" ht="15.6" hidden="1" customHeight="1" x14ac:dyDescent="0.2">
      <c r="A1085" s="40" t="s">
        <v>963</v>
      </c>
      <c r="B1085" s="360" t="s">
        <v>511</v>
      </c>
      <c r="C1085" s="40">
        <v>431</v>
      </c>
      <c r="D1085" s="40" t="s">
        <v>902</v>
      </c>
      <c r="E1085" s="40" t="s">
        <v>914</v>
      </c>
      <c r="F1085" s="40" t="s">
        <v>762</v>
      </c>
      <c r="G1085" s="40" t="s">
        <v>763</v>
      </c>
      <c r="H1085" s="40">
        <v>16</v>
      </c>
      <c r="I1085" s="360" t="e">
        <f>VLOOKUP(Таблица18[[#This Row],[Номер акта]],$AB$1:$AF$1833,3,FALSE)</f>
        <v>#N/A</v>
      </c>
      <c r="J1085" s="40" t="s">
        <v>909</v>
      </c>
      <c r="K1085" s="40" t="s">
        <v>82</v>
      </c>
      <c r="L1085" s="121">
        <v>8810</v>
      </c>
      <c r="M1085" s="121">
        <v>4590</v>
      </c>
      <c r="N1085" s="121">
        <v>20.5</v>
      </c>
      <c r="O1085" s="363">
        <v>4220</v>
      </c>
      <c r="P1085" s="363">
        <v>3354.9</v>
      </c>
      <c r="Q1085" s="121">
        <v>2025</v>
      </c>
      <c r="R1085" s="121"/>
      <c r="S1085" s="148">
        <v>45822</v>
      </c>
      <c r="T1085" s="363">
        <f>Таблица18[[#This Row],[Вес нетто]]-Таблица18[[#This Row],[Зачетный вес]]</f>
        <v>865.09999999999991</v>
      </c>
      <c r="U1085" s="365">
        <f>Таблица18[[#This Row],[Отход]]/Таблица18[[#This Row],[Вес нетто]]</f>
        <v>0.20499999999999999</v>
      </c>
      <c r="V1085" s="121">
        <f>MONTH(Таблица18[[#This Row],[Дата акта]])</f>
        <v>6</v>
      </c>
      <c r="W1085" s="121">
        <v>14</v>
      </c>
      <c r="X1085" s="148">
        <f>DATE(1900,Таблица18[[#This Row],[Месяц]],Таблица18[[#This Row],[Число]])</f>
        <v>166</v>
      </c>
      <c r="Y1085" s="121"/>
      <c r="Z1085" s="121" t="str">
        <f>Таблица18[[#This Row],[Хар-ка]]</f>
        <v>высший</v>
      </c>
      <c r="AD1085" s="459"/>
      <c r="AE1085" s="391"/>
    </row>
    <row r="1086" spans="1:31" s="325" customFormat="1" ht="15.6" hidden="1" customHeight="1" x14ac:dyDescent="0.2">
      <c r="A1086" s="40" t="s">
        <v>964</v>
      </c>
      <c r="B1086" s="360" t="s">
        <v>550</v>
      </c>
      <c r="C1086" s="40">
        <v>429</v>
      </c>
      <c r="D1086" s="40">
        <v>39</v>
      </c>
      <c r="E1086" s="40" t="s">
        <v>903</v>
      </c>
      <c r="F1086" s="40" t="s">
        <v>1151</v>
      </c>
      <c r="G1086" s="40" t="s">
        <v>145</v>
      </c>
      <c r="H1086" s="40" t="s">
        <v>422</v>
      </c>
      <c r="I1086" s="360" t="e">
        <f>VLOOKUP(Таблица18[[#This Row],[Номер акта]],$AB$1:$AF$1833,3,FALSE)</f>
        <v>#N/A</v>
      </c>
      <c r="J1086" s="40" t="s">
        <v>909</v>
      </c>
      <c r="K1086" s="40" t="s">
        <v>82</v>
      </c>
      <c r="L1086" s="121">
        <v>29140</v>
      </c>
      <c r="M1086" s="121">
        <v>15600</v>
      </c>
      <c r="N1086" s="121">
        <v>9</v>
      </c>
      <c r="O1086" s="363">
        <v>13540</v>
      </c>
      <c r="P1086" s="363">
        <v>12321.4</v>
      </c>
      <c r="Q1086" s="121">
        <v>2025</v>
      </c>
      <c r="R1086" s="121"/>
      <c r="S1086" s="148">
        <v>45821</v>
      </c>
      <c r="T1086" s="363">
        <f>Таблица18[[#This Row],[Вес нетто]]-Таблица18[[#This Row],[Зачетный вес]]</f>
        <v>1218.6000000000004</v>
      </c>
      <c r="U1086" s="365">
        <f>Таблица18[[#This Row],[Отход]]/Таблица18[[#This Row],[Вес нетто]]</f>
        <v>9.0000000000000024E-2</v>
      </c>
      <c r="V1086" s="121">
        <f>MONTH(Таблица18[[#This Row],[Дата акта]])</f>
        <v>6</v>
      </c>
      <c r="W1086" s="121">
        <v>13</v>
      </c>
      <c r="X1086" s="148">
        <f>DATE(1900,Таблица18[[#This Row],[Месяц]],Таблица18[[#This Row],[Число]])</f>
        <v>165</v>
      </c>
      <c r="Y1086" s="121"/>
      <c r="Z1086" s="121" t="str">
        <f>Таблица18[[#This Row],[Хар-ка]]</f>
        <v>первый</v>
      </c>
      <c r="AD1086" s="459"/>
      <c r="AE1086" s="391"/>
    </row>
    <row r="1087" spans="1:31" s="325" customFormat="1" ht="15.6" hidden="1" customHeight="1" x14ac:dyDescent="0.2">
      <c r="A1087" s="40" t="s">
        <v>965</v>
      </c>
      <c r="B1087" s="360" t="s">
        <v>511</v>
      </c>
      <c r="C1087" s="40">
        <v>432</v>
      </c>
      <c r="D1087" s="40">
        <v>42</v>
      </c>
      <c r="E1087" s="40" t="s">
        <v>903</v>
      </c>
      <c r="F1087" s="40" t="s">
        <v>121</v>
      </c>
      <c r="G1087" s="40" t="s">
        <v>125</v>
      </c>
      <c r="H1087" s="40" t="s">
        <v>422</v>
      </c>
      <c r="I1087" s="360" t="e">
        <f>VLOOKUP(Таблица18[[#This Row],[Номер акта]],$AB$1:$AF$1833,3,FALSE)</f>
        <v>#N/A</v>
      </c>
      <c r="J1087" s="40" t="s">
        <v>909</v>
      </c>
      <c r="K1087" s="40" t="s">
        <v>82</v>
      </c>
      <c r="L1087" s="121">
        <v>28150</v>
      </c>
      <c r="M1087" s="121">
        <v>14560</v>
      </c>
      <c r="N1087" s="121">
        <v>17.5</v>
      </c>
      <c r="O1087" s="363">
        <v>13590</v>
      </c>
      <c r="P1087" s="363">
        <v>11211.7</v>
      </c>
      <c r="Q1087" s="121">
        <v>2025</v>
      </c>
      <c r="R1087" s="121"/>
      <c r="S1087" s="148">
        <v>45822</v>
      </c>
      <c r="T1087" s="363">
        <f>Таблица18[[#This Row],[Вес нетто]]-Таблица18[[#This Row],[Зачетный вес]]</f>
        <v>2378.2999999999993</v>
      </c>
      <c r="U1087" s="365">
        <f>Таблица18[[#This Row],[Отход]]/Таблица18[[#This Row],[Вес нетто]]</f>
        <v>0.17500367917586454</v>
      </c>
      <c r="V1087" s="121">
        <f>MONTH(Таблица18[[#This Row],[Дата акта]])</f>
        <v>6</v>
      </c>
      <c r="W1087" s="121">
        <v>14</v>
      </c>
      <c r="X1087" s="148">
        <f>DATE(1900,Таблица18[[#This Row],[Месяц]],Таблица18[[#This Row],[Число]])</f>
        <v>166</v>
      </c>
      <c r="Y1087" s="121"/>
      <c r="Z1087" s="121" t="str">
        <f>Таблица18[[#This Row],[Хар-ка]]</f>
        <v>высший</v>
      </c>
      <c r="AD1087" s="459"/>
      <c r="AE1087" s="391"/>
    </row>
    <row r="1088" spans="1:31" s="325" customFormat="1" ht="15.6" hidden="1" customHeight="1" x14ac:dyDescent="0.2">
      <c r="A1088" s="40" t="s">
        <v>966</v>
      </c>
      <c r="B1088" s="360" t="s">
        <v>511</v>
      </c>
      <c r="C1088" s="40">
        <v>433</v>
      </c>
      <c r="D1088" s="40" t="s">
        <v>902</v>
      </c>
      <c r="E1088" s="40" t="s">
        <v>903</v>
      </c>
      <c r="F1088" s="40" t="s">
        <v>234</v>
      </c>
      <c r="G1088" s="40" t="s">
        <v>238</v>
      </c>
      <c r="H1088" s="40" t="s">
        <v>967</v>
      </c>
      <c r="I1088" s="360" t="e">
        <f>VLOOKUP(Таблица18[[#This Row],[Номер акта]],$AB$1:$AF$1833,3,FALSE)</f>
        <v>#N/A</v>
      </c>
      <c r="J1088" s="40" t="s">
        <v>909</v>
      </c>
      <c r="K1088" s="40" t="s">
        <v>82</v>
      </c>
      <c r="L1088" s="121">
        <v>28620</v>
      </c>
      <c r="M1088" s="121">
        <v>15420</v>
      </c>
      <c r="N1088" s="121">
        <v>19.5</v>
      </c>
      <c r="O1088" s="363">
        <v>13200</v>
      </c>
      <c r="P1088" s="363">
        <v>10626</v>
      </c>
      <c r="Q1088" s="121">
        <v>2025</v>
      </c>
      <c r="R1088" s="121"/>
      <c r="S1088" s="148">
        <v>45822</v>
      </c>
      <c r="T1088" s="363">
        <f>Таблица18[[#This Row],[Вес нетто]]-Таблица18[[#This Row],[Зачетный вес]]</f>
        <v>2574</v>
      </c>
      <c r="U1088" s="365">
        <f>Таблица18[[#This Row],[Отход]]/Таблица18[[#This Row],[Вес нетто]]</f>
        <v>0.19500000000000001</v>
      </c>
      <c r="V1088" s="121">
        <f>MONTH(Таблица18[[#This Row],[Дата акта]])</f>
        <v>6</v>
      </c>
      <c r="W1088" s="121">
        <v>14</v>
      </c>
      <c r="X1088" s="148">
        <f>DATE(1900,Таблица18[[#This Row],[Месяц]],Таблица18[[#This Row],[Число]])</f>
        <v>166</v>
      </c>
      <c r="Y1088" s="121"/>
      <c r="Z1088" s="121" t="str">
        <f>Таблица18[[#This Row],[Хар-ка]]</f>
        <v>высший</v>
      </c>
      <c r="AD1088" s="459"/>
      <c r="AE1088" s="391"/>
    </row>
    <row r="1089" spans="1:31" s="325" customFormat="1" ht="15.6" hidden="1" customHeight="1" x14ac:dyDescent="0.2">
      <c r="A1089" s="40" t="s">
        <v>968</v>
      </c>
      <c r="B1089" s="360" t="s">
        <v>550</v>
      </c>
      <c r="C1089" s="40">
        <v>434</v>
      </c>
      <c r="D1089" s="40" t="s">
        <v>902</v>
      </c>
      <c r="E1089" s="40" t="s">
        <v>903</v>
      </c>
      <c r="F1089" s="40" t="s">
        <v>329</v>
      </c>
      <c r="G1089" s="40" t="s">
        <v>333</v>
      </c>
      <c r="H1089" s="40">
        <v>43</v>
      </c>
      <c r="I1089" s="360" t="e">
        <f>VLOOKUP(Таблица18[[#This Row],[Номер акта]],$AB$1:$AF$1833,3,FALSE)</f>
        <v>#N/A</v>
      </c>
      <c r="J1089" s="40" t="s">
        <v>916</v>
      </c>
      <c r="K1089" s="40" t="s">
        <v>82</v>
      </c>
      <c r="L1089" s="121">
        <v>27970</v>
      </c>
      <c r="M1089" s="121">
        <v>14950</v>
      </c>
      <c r="N1089" s="121">
        <v>14.5</v>
      </c>
      <c r="O1089" s="363">
        <v>13020</v>
      </c>
      <c r="P1089" s="363">
        <v>11132.1</v>
      </c>
      <c r="Q1089" s="121">
        <v>2025</v>
      </c>
      <c r="R1089" s="121"/>
      <c r="S1089" s="148">
        <v>45822</v>
      </c>
      <c r="T1089" s="363">
        <f>Таблица18[[#This Row],[Вес нетто]]-Таблица18[[#This Row],[Зачетный вес]]</f>
        <v>1887.8999999999996</v>
      </c>
      <c r="U1089" s="365">
        <f>Таблица18[[#This Row],[Отход]]/Таблица18[[#This Row],[Вес нетто]]</f>
        <v>0.14499999999999996</v>
      </c>
      <c r="V1089" s="121">
        <f>MONTH(Таблица18[[#This Row],[Дата акта]])</f>
        <v>6</v>
      </c>
      <c r="W1089" s="121">
        <v>14</v>
      </c>
      <c r="X1089" s="148">
        <f>DATE(1900,Таблица18[[#This Row],[Месяц]],Таблица18[[#This Row],[Число]])</f>
        <v>166</v>
      </c>
      <c r="Y1089" s="121"/>
      <c r="Z1089" s="121" t="str">
        <f>Таблица18[[#This Row],[Хар-ка]]</f>
        <v>первый</v>
      </c>
      <c r="AD1089" s="459"/>
      <c r="AE1089" s="391"/>
    </row>
    <row r="1090" spans="1:31" s="325" customFormat="1" ht="15.6" hidden="1" customHeight="1" x14ac:dyDescent="0.2">
      <c r="A1090" s="40" t="s">
        <v>969</v>
      </c>
      <c r="B1090" s="360" t="s">
        <v>550</v>
      </c>
      <c r="C1090" s="40">
        <v>440</v>
      </c>
      <c r="D1090" s="40" t="s">
        <v>970</v>
      </c>
      <c r="E1090" s="40" t="s">
        <v>903</v>
      </c>
      <c r="F1090" s="40" t="s">
        <v>1152</v>
      </c>
      <c r="G1090" s="40" t="s">
        <v>119</v>
      </c>
      <c r="H1090" s="40">
        <v>43</v>
      </c>
      <c r="I1090" s="360" t="e">
        <f>VLOOKUP(Таблица18[[#This Row],[Номер акта]],$AB$1:$AF$1833,3,FALSE)</f>
        <v>#N/A</v>
      </c>
      <c r="J1090" s="40" t="s">
        <v>916</v>
      </c>
      <c r="K1090" s="40" t="s">
        <v>82</v>
      </c>
      <c r="L1090" s="121">
        <v>27650</v>
      </c>
      <c r="M1090" s="121">
        <v>21060</v>
      </c>
      <c r="N1090" s="121">
        <v>6.5</v>
      </c>
      <c r="O1090" s="363">
        <v>6590</v>
      </c>
      <c r="P1090" s="363">
        <v>6161.6</v>
      </c>
      <c r="Q1090" s="121">
        <v>2025</v>
      </c>
      <c r="R1090" s="121"/>
      <c r="S1090" s="148">
        <v>45822</v>
      </c>
      <c r="T1090" s="363">
        <f>Таблица18[[#This Row],[Вес нетто]]-Таблица18[[#This Row],[Зачетный вес]]</f>
        <v>428.39999999999964</v>
      </c>
      <c r="U1090" s="365">
        <f>Таблица18[[#This Row],[Отход]]/Таблица18[[#This Row],[Вес нетто]]</f>
        <v>6.5007587253414212E-2</v>
      </c>
      <c r="V1090" s="121">
        <f>MONTH(Таблица18[[#This Row],[Дата акта]])</f>
        <v>6</v>
      </c>
      <c r="W1090" s="121">
        <v>14</v>
      </c>
      <c r="X1090" s="148">
        <f>DATE(1900,Таблица18[[#This Row],[Месяц]],Таблица18[[#This Row],[Число]])</f>
        <v>166</v>
      </c>
      <c r="Y1090" s="121"/>
      <c r="Z1090" s="121" t="str">
        <f>Таблица18[[#This Row],[Хар-ка]]</f>
        <v>первый</v>
      </c>
      <c r="AD1090" s="459"/>
      <c r="AE1090" s="391"/>
    </row>
    <row r="1091" spans="1:31" s="325" customFormat="1" ht="15.6" hidden="1" customHeight="1" x14ac:dyDescent="0.2">
      <c r="A1091" s="40" t="s">
        <v>971</v>
      </c>
      <c r="B1091" s="360" t="s">
        <v>550</v>
      </c>
      <c r="C1091" s="40">
        <v>435</v>
      </c>
      <c r="D1091" s="40" t="s">
        <v>902</v>
      </c>
      <c r="E1091" s="40" t="s">
        <v>903</v>
      </c>
      <c r="F1091" s="40" t="s">
        <v>347</v>
      </c>
      <c r="G1091" s="40" t="s">
        <v>351</v>
      </c>
      <c r="H1091" s="40">
        <v>43</v>
      </c>
      <c r="I1091" s="360" t="e">
        <f>VLOOKUP(Таблица18[[#This Row],[Номер акта]],$AB$1:$AF$1833,3,FALSE)</f>
        <v>#N/A</v>
      </c>
      <c r="J1091" s="40" t="s">
        <v>916</v>
      </c>
      <c r="K1091" s="40" t="s">
        <v>82</v>
      </c>
      <c r="L1091" s="121">
        <v>31950</v>
      </c>
      <c r="M1091" s="121">
        <v>18710</v>
      </c>
      <c r="N1091" s="121">
        <v>9.5</v>
      </c>
      <c r="O1091" s="363">
        <v>13240</v>
      </c>
      <c r="P1091" s="363">
        <v>11982.2</v>
      </c>
      <c r="Q1091" s="121">
        <v>2025</v>
      </c>
      <c r="R1091" s="121"/>
      <c r="S1091" s="148">
        <v>45822</v>
      </c>
      <c r="T1091" s="363">
        <f>Таблица18[[#This Row],[Вес нетто]]-Таблица18[[#This Row],[Зачетный вес]]</f>
        <v>1257.7999999999993</v>
      </c>
      <c r="U1091" s="365">
        <f>Таблица18[[#This Row],[Отход]]/Таблица18[[#This Row],[Вес нетто]]</f>
        <v>9.4999999999999946E-2</v>
      </c>
      <c r="V1091" s="121">
        <f>MONTH(Таблица18[[#This Row],[Дата акта]])</f>
        <v>6</v>
      </c>
      <c r="W1091" s="121">
        <v>14</v>
      </c>
      <c r="X1091" s="148">
        <f>DATE(1900,Таблица18[[#This Row],[Месяц]],Таблица18[[#This Row],[Число]])</f>
        <v>166</v>
      </c>
      <c r="Y1091" s="121"/>
      <c r="Z1091" s="121" t="str">
        <f>Таблица18[[#This Row],[Хар-ка]]</f>
        <v>первый</v>
      </c>
      <c r="AD1091" s="459"/>
      <c r="AE1091" s="391"/>
    </row>
    <row r="1092" spans="1:31" s="325" customFormat="1" ht="15.6" hidden="1" customHeight="1" x14ac:dyDescent="0.2">
      <c r="A1092" s="40" t="s">
        <v>972</v>
      </c>
      <c r="B1092" s="360" t="s">
        <v>550</v>
      </c>
      <c r="C1092" s="40">
        <v>436</v>
      </c>
      <c r="D1092" s="40" t="s">
        <v>902</v>
      </c>
      <c r="E1092" s="40" t="s">
        <v>903</v>
      </c>
      <c r="F1092" s="40" t="s">
        <v>311</v>
      </c>
      <c r="G1092" s="40" t="s">
        <v>315</v>
      </c>
      <c r="H1092" s="40">
        <v>43</v>
      </c>
      <c r="I1092" s="360" t="e">
        <f>VLOOKUP(Таблица18[[#This Row],[Номер акта]],$AB$1:$AF$1833,3,FALSE)</f>
        <v>#N/A</v>
      </c>
      <c r="J1092" s="40" t="s">
        <v>916</v>
      </c>
      <c r="K1092" s="40" t="s">
        <v>82</v>
      </c>
      <c r="L1092" s="121">
        <v>28170</v>
      </c>
      <c r="M1092" s="121">
        <v>14970</v>
      </c>
      <c r="N1092" s="121">
        <v>6.5</v>
      </c>
      <c r="O1092" s="363">
        <v>13200</v>
      </c>
      <c r="P1092" s="363">
        <v>12342</v>
      </c>
      <c r="Q1092" s="121">
        <v>2025</v>
      </c>
      <c r="R1092" s="121"/>
      <c r="S1092" s="148">
        <v>45822</v>
      </c>
      <c r="T1092" s="363">
        <f>Таблица18[[#This Row],[Вес нетто]]-Таблица18[[#This Row],[Зачетный вес]]</f>
        <v>858</v>
      </c>
      <c r="U1092" s="365">
        <f>Таблица18[[#This Row],[Отход]]/Таблица18[[#This Row],[Вес нетто]]</f>
        <v>6.5000000000000002E-2</v>
      </c>
      <c r="V1092" s="121">
        <f>MONTH(Таблица18[[#This Row],[Дата акта]])</f>
        <v>6</v>
      </c>
      <c r="W1092" s="121">
        <v>14</v>
      </c>
      <c r="X1092" s="148">
        <f>DATE(1900,Таблица18[[#This Row],[Месяц]],Таблица18[[#This Row],[Число]])</f>
        <v>166</v>
      </c>
      <c r="Y1092" s="121"/>
      <c r="Z1092" s="121" t="str">
        <f>Таблица18[[#This Row],[Хар-ка]]</f>
        <v>первый</v>
      </c>
      <c r="AD1092" s="459"/>
      <c r="AE1092" s="391"/>
    </row>
    <row r="1093" spans="1:31" s="325" customFormat="1" ht="15.6" hidden="1" customHeight="1" x14ac:dyDescent="0.2">
      <c r="A1093" s="40" t="s">
        <v>973</v>
      </c>
      <c r="B1093" s="360" t="s">
        <v>550</v>
      </c>
      <c r="C1093" s="40">
        <v>438</v>
      </c>
      <c r="D1093" s="40" t="s">
        <v>902</v>
      </c>
      <c r="E1093" s="40" t="s">
        <v>903</v>
      </c>
      <c r="F1093" s="40" t="s">
        <v>160</v>
      </c>
      <c r="G1093" s="40" t="s">
        <v>164</v>
      </c>
      <c r="H1093" s="40">
        <v>43</v>
      </c>
      <c r="I1093" s="360" t="e">
        <f>VLOOKUP(Таблица18[[#This Row],[Номер акта]],$AB$1:$AF$1833,3,FALSE)</f>
        <v>#N/A</v>
      </c>
      <c r="J1093" s="40" t="s">
        <v>916</v>
      </c>
      <c r="K1093" s="40" t="s">
        <v>82</v>
      </c>
      <c r="L1093" s="121">
        <v>37310</v>
      </c>
      <c r="M1093" s="121">
        <v>24000</v>
      </c>
      <c r="N1093" s="121">
        <v>6.5</v>
      </c>
      <c r="O1093" s="363">
        <v>13310</v>
      </c>
      <c r="P1093" s="363">
        <v>12444.8</v>
      </c>
      <c r="Q1093" s="121">
        <v>2025</v>
      </c>
      <c r="R1093" s="121"/>
      <c r="S1093" s="148">
        <v>45822</v>
      </c>
      <c r="T1093" s="363">
        <f>Таблица18[[#This Row],[Вес нетто]]-Таблица18[[#This Row],[Зачетный вес]]</f>
        <v>865.20000000000073</v>
      </c>
      <c r="U1093" s="365">
        <f>Таблица18[[#This Row],[Отход]]/Таблица18[[#This Row],[Вес нетто]]</f>
        <v>6.5003756574004562E-2</v>
      </c>
      <c r="V1093" s="121">
        <f>MONTH(Таблица18[[#This Row],[Дата акта]])</f>
        <v>6</v>
      </c>
      <c r="W1093" s="121">
        <v>14</v>
      </c>
      <c r="X1093" s="148">
        <f>DATE(1900,Таблица18[[#This Row],[Месяц]],Таблица18[[#This Row],[Число]])</f>
        <v>166</v>
      </c>
      <c r="Y1093" s="121"/>
      <c r="Z1093" s="121" t="str">
        <f>Таблица18[[#This Row],[Хар-ка]]</f>
        <v>первый</v>
      </c>
      <c r="AD1093" s="459"/>
      <c r="AE1093" s="391"/>
    </row>
    <row r="1094" spans="1:31" s="325" customFormat="1" ht="15.6" hidden="1" customHeight="1" x14ac:dyDescent="0.2">
      <c r="A1094" s="40" t="s">
        <v>974</v>
      </c>
      <c r="B1094" s="360" t="s">
        <v>511</v>
      </c>
      <c r="C1094" s="40">
        <v>437</v>
      </c>
      <c r="D1094" s="40" t="s">
        <v>970</v>
      </c>
      <c r="E1094" s="40" t="s">
        <v>903</v>
      </c>
      <c r="F1094" s="40" t="s">
        <v>1152</v>
      </c>
      <c r="G1094" s="40" t="s">
        <v>119</v>
      </c>
      <c r="H1094" s="40">
        <v>46</v>
      </c>
      <c r="I1094" s="360" t="e">
        <f>VLOOKUP(Таблица18[[#This Row],[Номер акта]],$AB$1:$AF$1833,3,FALSE)</f>
        <v>#N/A</v>
      </c>
      <c r="J1094" s="40" t="s">
        <v>909</v>
      </c>
      <c r="K1094" s="40" t="s">
        <v>82</v>
      </c>
      <c r="L1094" s="121">
        <v>34940</v>
      </c>
      <c r="M1094" s="121">
        <v>27670</v>
      </c>
      <c r="N1094" s="121">
        <v>18.5</v>
      </c>
      <c r="O1094" s="363">
        <v>7270</v>
      </c>
      <c r="P1094" s="363">
        <v>5925</v>
      </c>
      <c r="Q1094" s="121">
        <v>2025</v>
      </c>
      <c r="R1094" s="121"/>
      <c r="S1094" s="148">
        <v>45822</v>
      </c>
      <c r="T1094" s="363">
        <f>Таблица18[[#This Row],[Вес нетто]]-Таблица18[[#This Row],[Зачетный вес]]</f>
        <v>1345</v>
      </c>
      <c r="U1094" s="365">
        <f>Таблица18[[#This Row],[Отход]]/Таблица18[[#This Row],[Вес нетто]]</f>
        <v>0.18500687757909215</v>
      </c>
      <c r="V1094" s="121">
        <f>MONTH(Таблица18[[#This Row],[Дата акта]])</f>
        <v>6</v>
      </c>
      <c r="W1094" s="121">
        <v>14</v>
      </c>
      <c r="X1094" s="148">
        <f>DATE(1900,Таблица18[[#This Row],[Месяц]],Таблица18[[#This Row],[Число]])</f>
        <v>166</v>
      </c>
      <c r="Y1094" s="121"/>
      <c r="Z1094" s="121" t="str">
        <f>Таблица18[[#This Row],[Хар-ка]]</f>
        <v>высший</v>
      </c>
      <c r="AD1094" s="459"/>
      <c r="AE1094" s="391"/>
    </row>
    <row r="1095" spans="1:31" s="325" customFormat="1" ht="15.6" hidden="1" customHeight="1" x14ac:dyDescent="0.2">
      <c r="A1095" s="40" t="s">
        <v>975</v>
      </c>
      <c r="B1095" s="360" t="s">
        <v>550</v>
      </c>
      <c r="C1095" s="40">
        <v>441</v>
      </c>
      <c r="D1095" s="40" t="s">
        <v>902</v>
      </c>
      <c r="E1095" s="40" t="s">
        <v>903</v>
      </c>
      <c r="F1095" s="40" t="s">
        <v>151</v>
      </c>
      <c r="G1095" s="40" t="s">
        <v>155</v>
      </c>
      <c r="H1095" s="40">
        <v>44</v>
      </c>
      <c r="I1095" s="360" t="e">
        <f>VLOOKUP(Таблица18[[#This Row],[Номер акта]],$AB$1:$AF$1833,3,FALSE)</f>
        <v>#N/A</v>
      </c>
      <c r="J1095" s="40" t="s">
        <v>916</v>
      </c>
      <c r="K1095" s="40" t="s">
        <v>82</v>
      </c>
      <c r="L1095" s="121">
        <v>28140</v>
      </c>
      <c r="M1095" s="121">
        <v>14940</v>
      </c>
      <c r="N1095" s="121">
        <v>10.5</v>
      </c>
      <c r="O1095" s="363">
        <v>13200</v>
      </c>
      <c r="P1095" s="363">
        <v>11814</v>
      </c>
      <c r="Q1095" s="121">
        <v>2025</v>
      </c>
      <c r="R1095" s="121"/>
      <c r="S1095" s="148">
        <v>45822</v>
      </c>
      <c r="T1095" s="363">
        <f>Таблица18[[#This Row],[Вес нетто]]-Таблица18[[#This Row],[Зачетный вес]]</f>
        <v>1386</v>
      </c>
      <c r="U1095" s="365">
        <f>Таблица18[[#This Row],[Отход]]/Таблица18[[#This Row],[Вес нетто]]</f>
        <v>0.105</v>
      </c>
      <c r="V1095" s="121">
        <f>MONTH(Таблица18[[#This Row],[Дата акта]])</f>
        <v>6</v>
      </c>
      <c r="W1095" s="121">
        <v>14</v>
      </c>
      <c r="X1095" s="148">
        <f>DATE(1900,Таблица18[[#This Row],[Месяц]],Таблица18[[#This Row],[Число]])</f>
        <v>166</v>
      </c>
      <c r="Y1095" s="121"/>
      <c r="Z1095" s="121" t="str">
        <f>Таблица18[[#This Row],[Хар-ка]]</f>
        <v>первый</v>
      </c>
      <c r="AD1095" s="459"/>
      <c r="AE1095" s="391"/>
    </row>
    <row r="1096" spans="1:31" s="325" customFormat="1" ht="15.6" hidden="1" customHeight="1" x14ac:dyDescent="0.2">
      <c r="A1096" s="40" t="s">
        <v>976</v>
      </c>
      <c r="B1096" s="360" t="s">
        <v>511</v>
      </c>
      <c r="C1096" s="40">
        <v>443</v>
      </c>
      <c r="D1096" s="40" t="s">
        <v>902</v>
      </c>
      <c r="E1096" s="40" t="s">
        <v>914</v>
      </c>
      <c r="F1096" s="40" t="s">
        <v>737</v>
      </c>
      <c r="G1096" s="40" t="s">
        <v>738</v>
      </c>
      <c r="H1096" s="40">
        <v>16</v>
      </c>
      <c r="I1096" s="360" t="e">
        <f>VLOOKUP(Таблица18[[#This Row],[Номер акта]],$AB$1:$AF$1833,3,FALSE)</f>
        <v>#N/A</v>
      </c>
      <c r="J1096" s="40" t="s">
        <v>909</v>
      </c>
      <c r="K1096" s="40" t="s">
        <v>82</v>
      </c>
      <c r="L1096" s="121">
        <v>9100</v>
      </c>
      <c r="M1096" s="121">
        <v>4590</v>
      </c>
      <c r="N1096" s="121">
        <v>18.5</v>
      </c>
      <c r="O1096" s="363">
        <v>4510</v>
      </c>
      <c r="P1096" s="363">
        <v>3675.6</v>
      </c>
      <c r="Q1096" s="121">
        <v>2025</v>
      </c>
      <c r="R1096" s="121"/>
      <c r="S1096" s="148">
        <v>45822</v>
      </c>
      <c r="T1096" s="363">
        <f>Таблица18[[#This Row],[Вес нетто]]-Таблица18[[#This Row],[Зачетный вес]]</f>
        <v>834.40000000000009</v>
      </c>
      <c r="U1096" s="365">
        <f>Таблица18[[#This Row],[Отход]]/Таблица18[[#This Row],[Вес нетто]]</f>
        <v>0.18501108647450112</v>
      </c>
      <c r="V1096" s="121">
        <f>MONTH(Таблица18[[#This Row],[Дата акта]])</f>
        <v>6</v>
      </c>
      <c r="W1096" s="121">
        <v>14</v>
      </c>
      <c r="X1096" s="148">
        <f>DATE(1900,Таблица18[[#This Row],[Месяц]],Таблица18[[#This Row],[Число]])</f>
        <v>166</v>
      </c>
      <c r="Y1096" s="121"/>
      <c r="Z1096" s="121" t="str">
        <f>Таблица18[[#This Row],[Хар-ка]]</f>
        <v>высший</v>
      </c>
      <c r="AD1096" s="459"/>
      <c r="AE1096" s="391"/>
    </row>
    <row r="1097" spans="1:31" s="325" customFormat="1" ht="15.6" hidden="1" customHeight="1" x14ac:dyDescent="0.2">
      <c r="A1097" s="40" t="s">
        <v>977</v>
      </c>
      <c r="B1097" s="360" t="s">
        <v>550</v>
      </c>
      <c r="C1097" s="40">
        <v>444</v>
      </c>
      <c r="D1097" s="40" t="s">
        <v>902</v>
      </c>
      <c r="E1097" s="40" t="s">
        <v>903</v>
      </c>
      <c r="F1097" s="40" t="s">
        <v>212</v>
      </c>
      <c r="G1097" s="40" t="s">
        <v>216</v>
      </c>
      <c r="H1097" s="40">
        <v>44</v>
      </c>
      <c r="I1097" s="360" t="e">
        <f>VLOOKUP(Таблица18[[#This Row],[Номер акта]],$AB$1:$AF$1833,3,FALSE)</f>
        <v>#N/A</v>
      </c>
      <c r="J1097" s="40" t="s">
        <v>916</v>
      </c>
      <c r="K1097" s="40" t="s">
        <v>82</v>
      </c>
      <c r="L1097" s="121">
        <v>27130</v>
      </c>
      <c r="M1097" s="121">
        <v>13770</v>
      </c>
      <c r="N1097" s="121">
        <v>12</v>
      </c>
      <c r="O1097" s="363">
        <v>13360</v>
      </c>
      <c r="P1097" s="363">
        <v>11756.8</v>
      </c>
      <c r="Q1097" s="121">
        <v>2025</v>
      </c>
      <c r="R1097" s="121"/>
      <c r="S1097" s="148">
        <v>45822</v>
      </c>
      <c r="T1097" s="363">
        <f>Таблица18[[#This Row],[Вес нетто]]-Таблица18[[#This Row],[Зачетный вес]]</f>
        <v>1603.2000000000007</v>
      </c>
      <c r="U1097" s="365">
        <f>Таблица18[[#This Row],[Отход]]/Таблица18[[#This Row],[Вес нетто]]</f>
        <v>0.12000000000000005</v>
      </c>
      <c r="V1097" s="121">
        <f>MONTH(Таблица18[[#This Row],[Дата акта]])</f>
        <v>6</v>
      </c>
      <c r="W1097" s="121">
        <v>14</v>
      </c>
      <c r="X1097" s="148">
        <f>DATE(1900,Таблица18[[#This Row],[Месяц]],Таблица18[[#This Row],[Число]])</f>
        <v>166</v>
      </c>
      <c r="Y1097" s="121"/>
      <c r="Z1097" s="121" t="str">
        <f>Таблица18[[#This Row],[Хар-ка]]</f>
        <v>первый</v>
      </c>
      <c r="AD1097" s="459"/>
      <c r="AE1097" s="391"/>
    </row>
    <row r="1098" spans="1:31" s="325" customFormat="1" ht="15.6" hidden="1" customHeight="1" x14ac:dyDescent="0.2">
      <c r="A1098" s="40" t="s">
        <v>915</v>
      </c>
      <c r="B1098" s="360" t="s">
        <v>550</v>
      </c>
      <c r="C1098" s="40">
        <v>445</v>
      </c>
      <c r="D1098" s="40" t="s">
        <v>902</v>
      </c>
      <c r="E1098" s="40" t="s">
        <v>903</v>
      </c>
      <c r="F1098" s="40" t="s">
        <v>133</v>
      </c>
      <c r="G1098" s="40" t="s">
        <v>137</v>
      </c>
      <c r="H1098" s="40">
        <v>43</v>
      </c>
      <c r="I1098" s="360" t="e">
        <f>VLOOKUP(Таблица18[[#This Row],[Номер акта]],$AB$1:$AF$1833,3,FALSE)</f>
        <v>#N/A</v>
      </c>
      <c r="J1098" s="40" t="s">
        <v>916</v>
      </c>
      <c r="K1098" s="40" t="s">
        <v>82</v>
      </c>
      <c r="L1098" s="121">
        <v>28050</v>
      </c>
      <c r="M1098" s="121">
        <v>14730</v>
      </c>
      <c r="N1098" s="121">
        <v>11</v>
      </c>
      <c r="O1098" s="363">
        <v>13320</v>
      </c>
      <c r="P1098" s="363">
        <v>11854.8</v>
      </c>
      <c r="Q1098" s="121">
        <v>2025</v>
      </c>
      <c r="R1098" s="121"/>
      <c r="S1098" s="148">
        <v>45822</v>
      </c>
      <c r="T1098" s="363">
        <f>Таблица18[[#This Row],[Вес нетто]]-Таблица18[[#This Row],[Зачетный вес]]</f>
        <v>1465.2000000000007</v>
      </c>
      <c r="U1098" s="365">
        <f>Таблица18[[#This Row],[Отход]]/Таблица18[[#This Row],[Вес нетто]]</f>
        <v>0.11000000000000006</v>
      </c>
      <c r="V1098" s="121">
        <f>MONTH(Таблица18[[#This Row],[Дата акта]])</f>
        <v>6</v>
      </c>
      <c r="W1098" s="121">
        <v>14</v>
      </c>
      <c r="X1098" s="148">
        <f>DATE(1900,Таблица18[[#This Row],[Месяц]],Таблица18[[#This Row],[Число]])</f>
        <v>166</v>
      </c>
      <c r="Y1098" s="121"/>
      <c r="Z1098" s="121" t="str">
        <f>Таблица18[[#This Row],[Хар-ка]]</f>
        <v>первый</v>
      </c>
      <c r="AD1098" s="459"/>
      <c r="AE1098" s="391"/>
    </row>
    <row r="1099" spans="1:31" s="325" customFormat="1" ht="15.6" hidden="1" customHeight="1" x14ac:dyDescent="0.2">
      <c r="A1099" s="40" t="s">
        <v>917</v>
      </c>
      <c r="B1099" s="360" t="s">
        <v>550</v>
      </c>
      <c r="C1099" s="40">
        <v>447</v>
      </c>
      <c r="D1099" s="40" t="s">
        <v>902</v>
      </c>
      <c r="E1099" s="40" t="s">
        <v>903</v>
      </c>
      <c r="F1099" s="40" t="s">
        <v>272</v>
      </c>
      <c r="G1099" s="40" t="s">
        <v>276</v>
      </c>
      <c r="H1099" s="40">
        <v>43</v>
      </c>
      <c r="I1099" s="360" t="e">
        <f>VLOOKUP(Таблица18[[#This Row],[Номер акта]],$AB$1:$AF$1833,3,FALSE)</f>
        <v>#N/A</v>
      </c>
      <c r="J1099" s="40" t="s">
        <v>916</v>
      </c>
      <c r="K1099" s="40" t="s">
        <v>82</v>
      </c>
      <c r="L1099" s="121">
        <v>27780</v>
      </c>
      <c r="M1099" s="121">
        <v>14570</v>
      </c>
      <c r="N1099" s="121">
        <v>9</v>
      </c>
      <c r="O1099" s="363">
        <v>13210</v>
      </c>
      <c r="P1099" s="363">
        <v>12021.1</v>
      </c>
      <c r="Q1099" s="121">
        <v>2025</v>
      </c>
      <c r="R1099" s="121"/>
      <c r="S1099" s="148">
        <v>45822</v>
      </c>
      <c r="T1099" s="363">
        <f>Таблица18[[#This Row],[Вес нетто]]-Таблица18[[#This Row],[Зачетный вес]]</f>
        <v>1188.8999999999996</v>
      </c>
      <c r="U1099" s="365">
        <f>Таблица18[[#This Row],[Отход]]/Таблица18[[#This Row],[Вес нетто]]</f>
        <v>8.9999999999999969E-2</v>
      </c>
      <c r="V1099" s="121">
        <f>MONTH(Таблица18[[#This Row],[Дата акта]])</f>
        <v>6</v>
      </c>
      <c r="W1099" s="121">
        <v>14</v>
      </c>
      <c r="X1099" s="148">
        <f>DATE(1900,Таблица18[[#This Row],[Месяц]],Таблица18[[#This Row],[Число]])</f>
        <v>166</v>
      </c>
      <c r="Y1099" s="121"/>
      <c r="Z1099" s="121" t="str">
        <f>Таблица18[[#This Row],[Хар-ка]]</f>
        <v>первый</v>
      </c>
      <c r="AD1099" s="459"/>
      <c r="AE1099" s="391"/>
    </row>
    <row r="1100" spans="1:31" s="325" customFormat="1" ht="15.6" hidden="1" customHeight="1" x14ac:dyDescent="0.2">
      <c r="A1100" s="40" t="s">
        <v>918</v>
      </c>
      <c r="B1100" s="360" t="s">
        <v>511</v>
      </c>
      <c r="C1100" s="40">
        <v>446</v>
      </c>
      <c r="D1100" s="40" t="s">
        <v>902</v>
      </c>
      <c r="E1100" s="40" t="s">
        <v>903</v>
      </c>
      <c r="F1100" s="40" t="s">
        <v>1253</v>
      </c>
      <c r="G1100" s="40" t="s">
        <v>270</v>
      </c>
      <c r="H1100" s="40">
        <v>43</v>
      </c>
      <c r="I1100" s="360" t="e">
        <f>VLOOKUP(Таблица18[[#This Row],[Номер акта]],$AB$1:$AF$1833,3,FALSE)</f>
        <v>#N/A</v>
      </c>
      <c r="J1100" s="40" t="s">
        <v>916</v>
      </c>
      <c r="K1100" s="40" t="s">
        <v>82</v>
      </c>
      <c r="L1100" s="121">
        <v>27970</v>
      </c>
      <c r="M1100" s="121">
        <v>14760</v>
      </c>
      <c r="N1100" s="121">
        <v>11.5</v>
      </c>
      <c r="O1100" s="363">
        <v>13210</v>
      </c>
      <c r="P1100" s="363">
        <v>11690.8</v>
      </c>
      <c r="Q1100" s="121">
        <v>2025</v>
      </c>
      <c r="R1100" s="121"/>
      <c r="S1100" s="148">
        <v>45822</v>
      </c>
      <c r="T1100" s="363">
        <f>Таблица18[[#This Row],[Вес нетто]]-Таблица18[[#This Row],[Зачетный вес]]</f>
        <v>1519.2000000000007</v>
      </c>
      <c r="U1100" s="365">
        <f>Таблица18[[#This Row],[Отход]]/Таблица18[[#This Row],[Вес нетто]]</f>
        <v>0.11500378501135509</v>
      </c>
      <c r="V1100" s="121">
        <f>MONTH(Таблица18[[#This Row],[Дата акта]])</f>
        <v>6</v>
      </c>
      <c r="W1100" s="121">
        <v>14</v>
      </c>
      <c r="X1100" s="148">
        <f>DATE(1900,Таблица18[[#This Row],[Месяц]],Таблица18[[#This Row],[Число]])</f>
        <v>166</v>
      </c>
      <c r="Y1100" s="121"/>
      <c r="Z1100" s="121" t="str">
        <f>Таблица18[[#This Row],[Хар-ка]]</f>
        <v>высший</v>
      </c>
      <c r="AD1100" s="459"/>
      <c r="AE1100" s="391"/>
    </row>
    <row r="1101" spans="1:31" s="325" customFormat="1" ht="15.6" hidden="1" customHeight="1" x14ac:dyDescent="0.2">
      <c r="A1101" s="40" t="s">
        <v>919</v>
      </c>
      <c r="B1101" s="360" t="s">
        <v>550</v>
      </c>
      <c r="C1101" s="40">
        <v>448</v>
      </c>
      <c r="D1101" s="40" t="s">
        <v>902</v>
      </c>
      <c r="E1101" s="40" t="s">
        <v>903</v>
      </c>
      <c r="F1101" s="40" t="s">
        <v>239</v>
      </c>
      <c r="G1101" s="40" t="s">
        <v>243</v>
      </c>
      <c r="H1101" s="40">
        <v>43</v>
      </c>
      <c r="I1101" s="360" t="e">
        <f>VLOOKUP(Таблица18[[#This Row],[Номер акта]],$AB$1:$AF$1833,3,FALSE)</f>
        <v>#N/A</v>
      </c>
      <c r="J1101" s="40" t="s">
        <v>916</v>
      </c>
      <c r="K1101" s="40" t="s">
        <v>82</v>
      </c>
      <c r="L1101" s="121">
        <v>27860</v>
      </c>
      <c r="M1101" s="121">
        <v>14590</v>
      </c>
      <c r="N1101" s="121">
        <v>14.5</v>
      </c>
      <c r="O1101" s="363">
        <v>13270</v>
      </c>
      <c r="P1101" s="363">
        <v>11345.8</v>
      </c>
      <c r="Q1101" s="121">
        <v>2025</v>
      </c>
      <c r="R1101" s="121"/>
      <c r="S1101" s="148">
        <v>45822</v>
      </c>
      <c r="T1101" s="363">
        <f>Таблица18[[#This Row],[Вес нетто]]-Таблица18[[#This Row],[Зачетный вес]]</f>
        <v>1924.2000000000007</v>
      </c>
      <c r="U1101" s="365">
        <f>Таблица18[[#This Row],[Отход]]/Таблица18[[#This Row],[Вес нетто]]</f>
        <v>0.14500376789751324</v>
      </c>
      <c r="V1101" s="121">
        <f>MONTH(Таблица18[[#This Row],[Дата акта]])</f>
        <v>6</v>
      </c>
      <c r="W1101" s="121">
        <v>14</v>
      </c>
      <c r="X1101" s="148">
        <f>DATE(1900,Таблица18[[#This Row],[Месяц]],Таблица18[[#This Row],[Число]])</f>
        <v>166</v>
      </c>
      <c r="Y1101" s="121"/>
      <c r="Z1101" s="121" t="str">
        <f>Таблица18[[#This Row],[Хар-ка]]</f>
        <v>первый</v>
      </c>
      <c r="AD1101" s="459"/>
      <c r="AE1101" s="391"/>
    </row>
    <row r="1102" spans="1:31" s="325" customFormat="1" ht="15.6" hidden="1" customHeight="1" x14ac:dyDescent="0.2">
      <c r="A1102" s="40" t="s">
        <v>920</v>
      </c>
      <c r="B1102" s="360" t="s">
        <v>511</v>
      </c>
      <c r="C1102" s="40">
        <v>449</v>
      </c>
      <c r="D1102" s="40" t="s">
        <v>902</v>
      </c>
      <c r="E1102" s="40" t="s">
        <v>903</v>
      </c>
      <c r="F1102" s="40" t="s">
        <v>335</v>
      </c>
      <c r="G1102" s="40" t="s">
        <v>339</v>
      </c>
      <c r="H1102" s="40">
        <v>43</v>
      </c>
      <c r="I1102" s="360" t="e">
        <f>VLOOKUP(Таблица18[[#This Row],[Номер акта]],$AB$1:$AF$1833,3,FALSE)</f>
        <v>#N/A</v>
      </c>
      <c r="J1102" s="40" t="s">
        <v>916</v>
      </c>
      <c r="K1102" s="40" t="s">
        <v>82</v>
      </c>
      <c r="L1102" s="121">
        <v>28040</v>
      </c>
      <c r="M1102" s="121">
        <v>14690</v>
      </c>
      <c r="N1102" s="121">
        <v>19.5</v>
      </c>
      <c r="O1102" s="363">
        <v>13350</v>
      </c>
      <c r="P1102" s="363">
        <v>10746.7</v>
      </c>
      <c r="Q1102" s="121">
        <v>2025</v>
      </c>
      <c r="R1102" s="121"/>
      <c r="S1102" s="148">
        <v>45822</v>
      </c>
      <c r="T1102" s="363">
        <f>Таблица18[[#This Row],[Вес нетто]]-Таблица18[[#This Row],[Зачетный вес]]</f>
        <v>2603.2999999999993</v>
      </c>
      <c r="U1102" s="365">
        <f>Таблица18[[#This Row],[Отход]]/Таблица18[[#This Row],[Вес нетто]]</f>
        <v>0.19500374531835202</v>
      </c>
      <c r="V1102" s="121">
        <f>MONTH(Таблица18[[#This Row],[Дата акта]])</f>
        <v>6</v>
      </c>
      <c r="W1102" s="121">
        <v>14</v>
      </c>
      <c r="X1102" s="148">
        <f>DATE(1900,Таблица18[[#This Row],[Месяц]],Таблица18[[#This Row],[Число]])</f>
        <v>166</v>
      </c>
      <c r="Y1102" s="121"/>
      <c r="Z1102" s="121" t="str">
        <f>Таблица18[[#This Row],[Хар-ка]]</f>
        <v>высший</v>
      </c>
      <c r="AD1102" s="459"/>
      <c r="AE1102" s="391"/>
    </row>
    <row r="1103" spans="1:31" s="325" customFormat="1" ht="15.6" hidden="1" customHeight="1" x14ac:dyDescent="0.2">
      <c r="A1103" s="40" t="s">
        <v>921</v>
      </c>
      <c r="B1103" s="360" t="s">
        <v>550</v>
      </c>
      <c r="C1103" s="40">
        <v>450</v>
      </c>
      <c r="D1103" s="40" t="s">
        <v>902</v>
      </c>
      <c r="E1103" s="40" t="s">
        <v>903</v>
      </c>
      <c r="F1103" s="40" t="s">
        <v>1461</v>
      </c>
      <c r="G1103" s="40" t="s">
        <v>149</v>
      </c>
      <c r="H1103" s="40">
        <v>43</v>
      </c>
      <c r="I1103" s="360" t="e">
        <f>VLOOKUP(Таблица18[[#This Row],[Номер акта]],$AB$1:$AF$1833,3,FALSE)</f>
        <v>#N/A</v>
      </c>
      <c r="J1103" s="40" t="s">
        <v>916</v>
      </c>
      <c r="K1103" s="40" t="s">
        <v>82</v>
      </c>
      <c r="L1103" s="121">
        <v>28180</v>
      </c>
      <c r="M1103" s="121">
        <v>14860</v>
      </c>
      <c r="N1103" s="121">
        <v>11</v>
      </c>
      <c r="O1103" s="363">
        <v>13320</v>
      </c>
      <c r="P1103" s="363">
        <v>11854.8</v>
      </c>
      <c r="Q1103" s="121">
        <v>2025</v>
      </c>
      <c r="R1103" s="121"/>
      <c r="S1103" s="148">
        <v>45822</v>
      </c>
      <c r="T1103" s="363">
        <f>Таблица18[[#This Row],[Вес нетто]]-Таблица18[[#This Row],[Зачетный вес]]</f>
        <v>1465.2000000000007</v>
      </c>
      <c r="U1103" s="365">
        <f>Таблица18[[#This Row],[Отход]]/Таблица18[[#This Row],[Вес нетто]]</f>
        <v>0.11000000000000006</v>
      </c>
      <c r="V1103" s="121">
        <f>MONTH(Таблица18[[#This Row],[Дата акта]])</f>
        <v>6</v>
      </c>
      <c r="W1103" s="121">
        <v>14</v>
      </c>
      <c r="X1103" s="148">
        <f>DATE(1900,Таблица18[[#This Row],[Месяц]],Таблица18[[#This Row],[Число]])</f>
        <v>166</v>
      </c>
      <c r="Y1103" s="121"/>
      <c r="Z1103" s="121" t="str">
        <f>Таблица18[[#This Row],[Хар-ка]]</f>
        <v>первый</v>
      </c>
      <c r="AD1103" s="459"/>
      <c r="AE1103" s="391"/>
    </row>
    <row r="1104" spans="1:31" s="325" customFormat="1" ht="15.6" hidden="1" customHeight="1" x14ac:dyDescent="0.2">
      <c r="A1104" s="40" t="s">
        <v>922</v>
      </c>
      <c r="B1104" s="360" t="s">
        <v>511</v>
      </c>
      <c r="C1104" s="40">
        <v>451</v>
      </c>
      <c r="D1104" s="40" t="s">
        <v>902</v>
      </c>
      <c r="E1104" s="40" t="s">
        <v>903</v>
      </c>
      <c r="F1104" s="40" t="s">
        <v>1151</v>
      </c>
      <c r="G1104" s="40" t="s">
        <v>145</v>
      </c>
      <c r="H1104" s="40">
        <v>44</v>
      </c>
      <c r="I1104" s="360" t="e">
        <f>VLOOKUP(Таблица18[[#This Row],[Номер акта]],$AB$1:$AF$1833,3,FALSE)</f>
        <v>#N/A</v>
      </c>
      <c r="J1104" s="40" t="s">
        <v>916</v>
      </c>
      <c r="K1104" s="40" t="s">
        <v>82</v>
      </c>
      <c r="L1104" s="121">
        <v>29070</v>
      </c>
      <c r="M1104" s="121">
        <v>15520</v>
      </c>
      <c r="N1104" s="121">
        <v>10</v>
      </c>
      <c r="O1104" s="363">
        <v>13550</v>
      </c>
      <c r="P1104" s="363">
        <v>12195</v>
      </c>
      <c r="Q1104" s="121">
        <v>2025</v>
      </c>
      <c r="R1104" s="121"/>
      <c r="S1104" s="148">
        <v>45822</v>
      </c>
      <c r="T1104" s="363">
        <f>Таблица18[[#This Row],[Вес нетто]]-Таблица18[[#This Row],[Зачетный вес]]</f>
        <v>1355</v>
      </c>
      <c r="U1104" s="365">
        <f>Таблица18[[#This Row],[Отход]]/Таблица18[[#This Row],[Вес нетто]]</f>
        <v>0.1</v>
      </c>
      <c r="V1104" s="121">
        <f>MONTH(Таблица18[[#This Row],[Дата акта]])</f>
        <v>6</v>
      </c>
      <c r="W1104" s="121">
        <v>14</v>
      </c>
      <c r="X1104" s="148">
        <f>DATE(1900,Таблица18[[#This Row],[Месяц]],Таблица18[[#This Row],[Число]])</f>
        <v>166</v>
      </c>
      <c r="Y1104" s="121"/>
      <c r="Z1104" s="121" t="str">
        <f>Таблица18[[#This Row],[Хар-ка]]</f>
        <v>высший</v>
      </c>
      <c r="AD1104" s="459"/>
      <c r="AE1104" s="391"/>
    </row>
    <row r="1105" spans="1:31" s="325" customFormat="1" ht="15.6" hidden="1" customHeight="1" x14ac:dyDescent="0.2">
      <c r="A1105" s="40" t="s">
        <v>923</v>
      </c>
      <c r="B1105" s="360" t="s">
        <v>550</v>
      </c>
      <c r="C1105" s="40">
        <v>452</v>
      </c>
      <c r="D1105" s="40" t="s">
        <v>902</v>
      </c>
      <c r="E1105" s="40" t="s">
        <v>903</v>
      </c>
      <c r="F1105" s="40" t="s">
        <v>305</v>
      </c>
      <c r="G1105" s="40" t="s">
        <v>309</v>
      </c>
      <c r="H1105" s="40">
        <v>43</v>
      </c>
      <c r="I1105" s="360" t="e">
        <f>VLOOKUP(Таблица18[[#This Row],[Номер акта]],$AB$1:$AF$1833,3,FALSE)</f>
        <v>#N/A</v>
      </c>
      <c r="J1105" s="40" t="s">
        <v>916</v>
      </c>
      <c r="K1105" s="40" t="s">
        <v>82</v>
      </c>
      <c r="L1105" s="121">
        <v>27420</v>
      </c>
      <c r="M1105" s="121">
        <v>14420</v>
      </c>
      <c r="N1105" s="121">
        <v>14</v>
      </c>
      <c r="O1105" s="363">
        <v>13000</v>
      </c>
      <c r="P1105" s="363">
        <v>11180</v>
      </c>
      <c r="Q1105" s="121">
        <v>2025</v>
      </c>
      <c r="R1105" s="121"/>
      <c r="S1105" s="148">
        <v>45822</v>
      </c>
      <c r="T1105" s="363">
        <f>Таблица18[[#This Row],[Вес нетто]]-Таблица18[[#This Row],[Зачетный вес]]</f>
        <v>1820</v>
      </c>
      <c r="U1105" s="365">
        <f>Таблица18[[#This Row],[Отход]]/Таблица18[[#This Row],[Вес нетто]]</f>
        <v>0.14000000000000001</v>
      </c>
      <c r="V1105" s="121">
        <f>MONTH(Таблица18[[#This Row],[Дата акта]])</f>
        <v>6</v>
      </c>
      <c r="W1105" s="121">
        <v>14</v>
      </c>
      <c r="X1105" s="148">
        <f>DATE(1900,Таблица18[[#This Row],[Месяц]],Таблица18[[#This Row],[Число]])</f>
        <v>166</v>
      </c>
      <c r="Y1105" s="121"/>
      <c r="Z1105" s="121" t="str">
        <f>Таблица18[[#This Row],[Хар-ка]]</f>
        <v>первый</v>
      </c>
      <c r="AD1105" s="459"/>
      <c r="AE1105" s="391"/>
    </row>
    <row r="1106" spans="1:31" s="325" customFormat="1" ht="15.6" hidden="1" customHeight="1" x14ac:dyDescent="0.2">
      <c r="A1106" s="40" t="s">
        <v>924</v>
      </c>
      <c r="B1106" s="360" t="s">
        <v>550</v>
      </c>
      <c r="C1106" s="40">
        <v>453</v>
      </c>
      <c r="D1106" s="40" t="s">
        <v>902</v>
      </c>
      <c r="E1106" s="40" t="s">
        <v>903</v>
      </c>
      <c r="F1106" s="40" t="s">
        <v>329</v>
      </c>
      <c r="G1106" s="40" t="s">
        <v>333</v>
      </c>
      <c r="H1106" s="40">
        <v>44</v>
      </c>
      <c r="I1106" s="360" t="e">
        <f>VLOOKUP(Таблица18[[#This Row],[Номер акта]],$AB$1:$AF$1833,3,FALSE)</f>
        <v>#N/A</v>
      </c>
      <c r="J1106" s="40" t="s">
        <v>916</v>
      </c>
      <c r="K1106" s="40" t="s">
        <v>82</v>
      </c>
      <c r="L1106" s="121">
        <v>28390</v>
      </c>
      <c r="M1106" s="121">
        <v>14890</v>
      </c>
      <c r="N1106" s="121">
        <v>10</v>
      </c>
      <c r="O1106" s="363">
        <v>13500</v>
      </c>
      <c r="P1106" s="363">
        <v>12150</v>
      </c>
      <c r="Q1106" s="121">
        <v>2025</v>
      </c>
      <c r="R1106" s="121"/>
      <c r="S1106" s="148">
        <v>45822</v>
      </c>
      <c r="T1106" s="363">
        <f>Таблица18[[#This Row],[Вес нетто]]-Таблица18[[#This Row],[Зачетный вес]]</f>
        <v>1350</v>
      </c>
      <c r="U1106" s="365">
        <f>Таблица18[[#This Row],[Отход]]/Таблица18[[#This Row],[Вес нетто]]</f>
        <v>0.1</v>
      </c>
      <c r="V1106" s="121">
        <f>MONTH(Таблица18[[#This Row],[Дата акта]])</f>
        <v>6</v>
      </c>
      <c r="W1106" s="121">
        <v>14</v>
      </c>
      <c r="X1106" s="148">
        <f>DATE(1900,Таблица18[[#This Row],[Месяц]],Таблица18[[#This Row],[Число]])</f>
        <v>166</v>
      </c>
      <c r="Y1106" s="121"/>
      <c r="Z1106" s="121" t="str">
        <f>Таблица18[[#This Row],[Хар-ка]]</f>
        <v>первый</v>
      </c>
      <c r="AD1106" s="459"/>
      <c r="AE1106" s="391"/>
    </row>
    <row r="1107" spans="1:31" s="325" customFormat="1" ht="15.6" hidden="1" customHeight="1" x14ac:dyDescent="0.2">
      <c r="A1107" s="40" t="s">
        <v>925</v>
      </c>
      <c r="B1107" s="360" t="s">
        <v>550</v>
      </c>
      <c r="C1107" s="40">
        <v>454</v>
      </c>
      <c r="D1107" s="40" t="s">
        <v>902</v>
      </c>
      <c r="E1107" s="40" t="s">
        <v>903</v>
      </c>
      <c r="F1107" s="40" t="s">
        <v>121</v>
      </c>
      <c r="G1107" s="40" t="s">
        <v>125</v>
      </c>
      <c r="H1107" s="40">
        <v>43</v>
      </c>
      <c r="I1107" s="360" t="e">
        <f>VLOOKUP(Таблица18[[#This Row],[Номер акта]],$AB$1:$AF$1833,3,FALSE)</f>
        <v>#N/A</v>
      </c>
      <c r="J1107" s="40" t="s">
        <v>916</v>
      </c>
      <c r="K1107" s="40" t="s">
        <v>82</v>
      </c>
      <c r="L1107" s="121">
        <v>27550</v>
      </c>
      <c r="M1107" s="121">
        <v>14700</v>
      </c>
      <c r="N1107" s="121">
        <v>9</v>
      </c>
      <c r="O1107" s="363">
        <v>12850</v>
      </c>
      <c r="P1107" s="363">
        <v>11693.5</v>
      </c>
      <c r="Q1107" s="121">
        <v>2025</v>
      </c>
      <c r="R1107" s="121"/>
      <c r="S1107" s="148">
        <v>45822</v>
      </c>
      <c r="T1107" s="363">
        <f>Таблица18[[#This Row],[Вес нетто]]-Таблица18[[#This Row],[Зачетный вес]]</f>
        <v>1156.5</v>
      </c>
      <c r="U1107" s="365">
        <f>Таблица18[[#This Row],[Отход]]/Таблица18[[#This Row],[Вес нетто]]</f>
        <v>0.09</v>
      </c>
      <c r="V1107" s="121">
        <f>MONTH(Таблица18[[#This Row],[Дата акта]])</f>
        <v>6</v>
      </c>
      <c r="W1107" s="121">
        <v>14</v>
      </c>
      <c r="X1107" s="148">
        <f>DATE(1900,Таблица18[[#This Row],[Месяц]],Таблица18[[#This Row],[Число]])</f>
        <v>166</v>
      </c>
      <c r="Y1107" s="121"/>
      <c r="Z1107" s="121" t="str">
        <f>Таблица18[[#This Row],[Хар-ка]]</f>
        <v>первый</v>
      </c>
      <c r="AD1107" s="459"/>
      <c r="AE1107" s="391"/>
    </row>
    <row r="1108" spans="1:31" s="325" customFormat="1" ht="15.6" hidden="1" customHeight="1" x14ac:dyDescent="0.2">
      <c r="A1108" s="40" t="s">
        <v>926</v>
      </c>
      <c r="B1108" s="360" t="s">
        <v>550</v>
      </c>
      <c r="C1108" s="40">
        <v>455</v>
      </c>
      <c r="D1108" s="40" t="s">
        <v>902</v>
      </c>
      <c r="E1108" s="40" t="s">
        <v>903</v>
      </c>
      <c r="F1108" s="40" t="s">
        <v>347</v>
      </c>
      <c r="G1108" s="40" t="s">
        <v>351</v>
      </c>
      <c r="H1108" s="40">
        <v>44</v>
      </c>
      <c r="I1108" s="360" t="e">
        <f>VLOOKUP(Таблица18[[#This Row],[Номер акта]],$AB$1:$AF$1833,3,FALSE)</f>
        <v>#N/A</v>
      </c>
      <c r="J1108" s="40" t="s">
        <v>916</v>
      </c>
      <c r="K1108" s="40" t="s">
        <v>82</v>
      </c>
      <c r="L1108" s="121">
        <v>32500</v>
      </c>
      <c r="M1108" s="121">
        <v>18650</v>
      </c>
      <c r="N1108" s="121">
        <v>10.5</v>
      </c>
      <c r="O1108" s="363">
        <v>13850</v>
      </c>
      <c r="P1108" s="363">
        <v>12395.7</v>
      </c>
      <c r="Q1108" s="121">
        <v>2025</v>
      </c>
      <c r="R1108" s="121"/>
      <c r="S1108" s="148">
        <v>45822</v>
      </c>
      <c r="T1108" s="363">
        <f>Таблица18[[#This Row],[Вес нетто]]-Таблица18[[#This Row],[Зачетный вес]]</f>
        <v>1454.2999999999993</v>
      </c>
      <c r="U1108" s="365">
        <f>Таблица18[[#This Row],[Отход]]/Таблица18[[#This Row],[Вес нетто]]</f>
        <v>0.1050036101083032</v>
      </c>
      <c r="V1108" s="121">
        <f>MONTH(Таблица18[[#This Row],[Дата акта]])</f>
        <v>6</v>
      </c>
      <c r="W1108" s="121">
        <v>14</v>
      </c>
      <c r="X1108" s="148">
        <f>DATE(1900,Таблица18[[#This Row],[Месяц]],Таблица18[[#This Row],[Число]])</f>
        <v>166</v>
      </c>
      <c r="Y1108" s="121"/>
      <c r="Z1108" s="121" t="str">
        <f>Таблица18[[#This Row],[Хар-ка]]</f>
        <v>первый</v>
      </c>
      <c r="AD1108" s="459"/>
      <c r="AE1108" s="391"/>
    </row>
    <row r="1109" spans="1:31" s="325" customFormat="1" ht="15.6" hidden="1" customHeight="1" x14ac:dyDescent="0.2">
      <c r="A1109" s="40" t="s">
        <v>927</v>
      </c>
      <c r="B1109" s="360" t="s">
        <v>550</v>
      </c>
      <c r="C1109" s="40">
        <v>457</v>
      </c>
      <c r="D1109" s="40" t="s">
        <v>902</v>
      </c>
      <c r="E1109" s="40" t="s">
        <v>903</v>
      </c>
      <c r="F1109" s="40" t="s">
        <v>311</v>
      </c>
      <c r="G1109" s="40" t="s">
        <v>315</v>
      </c>
      <c r="H1109" s="40">
        <v>44</v>
      </c>
      <c r="I1109" s="360" t="e">
        <f>VLOOKUP(Таблица18[[#This Row],[Номер акта]],$AB$1:$AF$1833,3,FALSE)</f>
        <v>#N/A</v>
      </c>
      <c r="J1109" s="40" t="s">
        <v>916</v>
      </c>
      <c r="K1109" s="40" t="s">
        <v>82</v>
      </c>
      <c r="L1109" s="121">
        <v>28590</v>
      </c>
      <c r="M1109" s="121">
        <v>14990</v>
      </c>
      <c r="N1109" s="121">
        <v>12.5</v>
      </c>
      <c r="O1109" s="363">
        <v>13600</v>
      </c>
      <c r="P1109" s="363">
        <v>11900</v>
      </c>
      <c r="Q1109" s="121">
        <v>2025</v>
      </c>
      <c r="R1109" s="121"/>
      <c r="S1109" s="148">
        <v>45823</v>
      </c>
      <c r="T1109" s="363">
        <f>Таблица18[[#This Row],[Вес нетто]]-Таблица18[[#This Row],[Зачетный вес]]</f>
        <v>1700</v>
      </c>
      <c r="U1109" s="365">
        <f>Таблица18[[#This Row],[Отход]]/Таблица18[[#This Row],[Вес нетто]]</f>
        <v>0.125</v>
      </c>
      <c r="V1109" s="121">
        <f>MONTH(Таблица18[[#This Row],[Дата акта]])</f>
        <v>6</v>
      </c>
      <c r="W1109" s="121">
        <v>15</v>
      </c>
      <c r="X1109" s="148">
        <f>DATE(1900,Таблица18[[#This Row],[Месяц]],Таблица18[[#This Row],[Число]])</f>
        <v>167</v>
      </c>
      <c r="Y1109" s="121"/>
      <c r="Z1109" s="121" t="str">
        <f>Таблица18[[#This Row],[Хар-ка]]</f>
        <v>первый</v>
      </c>
      <c r="AD1109" s="459"/>
      <c r="AE1109" s="391"/>
    </row>
    <row r="1110" spans="1:31" s="325" customFormat="1" ht="15.6" hidden="1" customHeight="1" x14ac:dyDescent="0.2">
      <c r="A1110" s="40" t="s">
        <v>928</v>
      </c>
      <c r="B1110" s="360" t="s">
        <v>550</v>
      </c>
      <c r="C1110" s="40">
        <v>456</v>
      </c>
      <c r="D1110" s="40" t="s">
        <v>902</v>
      </c>
      <c r="E1110" s="40" t="s">
        <v>903</v>
      </c>
      <c r="F1110" s="40" t="s">
        <v>234</v>
      </c>
      <c r="G1110" s="40" t="s">
        <v>238</v>
      </c>
      <c r="H1110" s="40">
        <v>43</v>
      </c>
      <c r="I1110" s="360" t="e">
        <f>VLOOKUP(Таблица18[[#This Row],[Номер акта]],$AB$1:$AF$1833,3,FALSE)</f>
        <v>#N/A</v>
      </c>
      <c r="J1110" s="40" t="s">
        <v>916</v>
      </c>
      <c r="K1110" s="40" t="s">
        <v>82</v>
      </c>
      <c r="L1110" s="121">
        <v>28720</v>
      </c>
      <c r="M1110" s="121">
        <v>15620</v>
      </c>
      <c r="N1110" s="121">
        <v>13.5</v>
      </c>
      <c r="O1110" s="363">
        <v>13100</v>
      </c>
      <c r="P1110" s="363">
        <v>11331.5</v>
      </c>
      <c r="Q1110" s="121">
        <v>2025</v>
      </c>
      <c r="R1110" s="121"/>
      <c r="S1110" s="148">
        <v>45822</v>
      </c>
      <c r="T1110" s="363">
        <f>Таблица18[[#This Row],[Вес нетто]]-Таблица18[[#This Row],[Зачетный вес]]</f>
        <v>1768.5</v>
      </c>
      <c r="U1110" s="365">
        <f>Таблица18[[#This Row],[Отход]]/Таблица18[[#This Row],[Вес нетто]]</f>
        <v>0.13500000000000001</v>
      </c>
      <c r="V1110" s="121">
        <f>MONTH(Таблица18[[#This Row],[Дата акта]])</f>
        <v>6</v>
      </c>
      <c r="W1110" s="121">
        <v>14</v>
      </c>
      <c r="X1110" s="148">
        <f>DATE(1900,Таблица18[[#This Row],[Месяц]],Таблица18[[#This Row],[Число]])</f>
        <v>166</v>
      </c>
      <c r="Y1110" s="121"/>
      <c r="Z1110" s="121" t="str">
        <f>Таблица18[[#This Row],[Хар-ка]]</f>
        <v>первый</v>
      </c>
      <c r="AD1110" s="459"/>
      <c r="AE1110" s="391"/>
    </row>
    <row r="1111" spans="1:31" s="325" customFormat="1" ht="15.6" hidden="1" customHeight="1" x14ac:dyDescent="0.2">
      <c r="A1111" s="40" t="s">
        <v>929</v>
      </c>
      <c r="B1111" s="360" t="s">
        <v>550</v>
      </c>
      <c r="C1111" s="40">
        <v>458</v>
      </c>
      <c r="D1111" s="40" t="s">
        <v>902</v>
      </c>
      <c r="E1111" s="40" t="s">
        <v>903</v>
      </c>
      <c r="F1111" s="40" t="s">
        <v>262</v>
      </c>
      <c r="G1111" s="40" t="s">
        <v>266</v>
      </c>
      <c r="H1111" s="40">
        <v>43</v>
      </c>
      <c r="I1111" s="360" t="e">
        <f>VLOOKUP(Таблица18[[#This Row],[Номер акта]],$AB$1:$AF$1833,3,FALSE)</f>
        <v>#N/A</v>
      </c>
      <c r="J1111" s="40" t="s">
        <v>916</v>
      </c>
      <c r="K1111" s="40" t="s">
        <v>82</v>
      </c>
      <c r="L1111" s="121">
        <v>27660</v>
      </c>
      <c r="M1111" s="121">
        <v>14660</v>
      </c>
      <c r="N1111" s="121">
        <v>11</v>
      </c>
      <c r="O1111" s="363">
        <v>13000</v>
      </c>
      <c r="P1111" s="363">
        <v>11570</v>
      </c>
      <c r="Q1111" s="121">
        <v>2025</v>
      </c>
      <c r="R1111" s="121"/>
      <c r="S1111" s="148">
        <v>45823</v>
      </c>
      <c r="T1111" s="363">
        <f>Таблица18[[#This Row],[Вес нетто]]-Таблица18[[#This Row],[Зачетный вес]]</f>
        <v>1430</v>
      </c>
      <c r="U1111" s="365">
        <f>Таблица18[[#This Row],[Отход]]/Таблица18[[#This Row],[Вес нетто]]</f>
        <v>0.11</v>
      </c>
      <c r="V1111" s="121">
        <f>MONTH(Таблица18[[#This Row],[Дата акта]])</f>
        <v>6</v>
      </c>
      <c r="W1111" s="121">
        <v>15</v>
      </c>
      <c r="X1111" s="148">
        <f>DATE(1900,Таблица18[[#This Row],[Месяц]],Таблица18[[#This Row],[Число]])</f>
        <v>167</v>
      </c>
      <c r="Y1111" s="121"/>
      <c r="Z1111" s="121" t="str">
        <f>Таблица18[[#This Row],[Хар-ка]]</f>
        <v>первый</v>
      </c>
      <c r="AD1111" s="459"/>
      <c r="AE1111" s="391"/>
    </row>
    <row r="1112" spans="1:31" s="325" customFormat="1" ht="15.6" hidden="1" customHeight="1" x14ac:dyDescent="0.2">
      <c r="A1112" s="40" t="s">
        <v>930</v>
      </c>
      <c r="B1112" s="360" t="s">
        <v>550</v>
      </c>
      <c r="C1112" s="40">
        <v>459</v>
      </c>
      <c r="D1112" s="40" t="s">
        <v>902</v>
      </c>
      <c r="E1112" s="40" t="s">
        <v>903</v>
      </c>
      <c r="F1112" s="40" t="s">
        <v>160</v>
      </c>
      <c r="G1112" s="40" t="s">
        <v>164</v>
      </c>
      <c r="H1112" s="40">
        <v>44</v>
      </c>
      <c r="I1112" s="360" t="e">
        <f>VLOOKUP(Таблица18[[#This Row],[Номер акта]],$AB$1:$AF$1833,3,FALSE)</f>
        <v>#N/A</v>
      </c>
      <c r="J1112" s="40" t="s">
        <v>916</v>
      </c>
      <c r="K1112" s="40" t="s">
        <v>82</v>
      </c>
      <c r="L1112" s="121">
        <v>37400</v>
      </c>
      <c r="M1112" s="121">
        <v>23890</v>
      </c>
      <c r="N1112" s="121">
        <v>8.5</v>
      </c>
      <c r="O1112" s="363">
        <v>13510</v>
      </c>
      <c r="P1112" s="363">
        <v>12361.6</v>
      </c>
      <c r="Q1112" s="121">
        <v>2025</v>
      </c>
      <c r="R1112" s="121"/>
      <c r="S1112" s="148">
        <v>45823</v>
      </c>
      <c r="T1112" s="363">
        <f>Таблица18[[#This Row],[Вес нетто]]-Таблица18[[#This Row],[Зачетный вес]]</f>
        <v>1148.3999999999996</v>
      </c>
      <c r="U1112" s="365">
        <f>Таблица18[[#This Row],[Отход]]/Таблица18[[#This Row],[Вес нетто]]</f>
        <v>8.5003700962250156E-2</v>
      </c>
      <c r="V1112" s="121">
        <f>MONTH(Таблица18[[#This Row],[Дата акта]])</f>
        <v>6</v>
      </c>
      <c r="W1112" s="121">
        <v>15</v>
      </c>
      <c r="X1112" s="148">
        <f>DATE(1900,Таблица18[[#This Row],[Месяц]],Таблица18[[#This Row],[Число]])</f>
        <v>167</v>
      </c>
      <c r="Y1112" s="121"/>
      <c r="Z1112" s="121" t="str">
        <f>Таблица18[[#This Row],[Хар-ка]]</f>
        <v>первый</v>
      </c>
      <c r="AD1112" s="459"/>
      <c r="AE1112" s="391"/>
    </row>
    <row r="1113" spans="1:31" s="325" customFormat="1" ht="15.6" hidden="1" customHeight="1" x14ac:dyDescent="0.2">
      <c r="A1113" s="40" t="s">
        <v>931</v>
      </c>
      <c r="B1113" s="360" t="s">
        <v>550</v>
      </c>
      <c r="C1113" s="40">
        <v>460</v>
      </c>
      <c r="D1113" s="40" t="s">
        <v>902</v>
      </c>
      <c r="E1113" s="40" t="s">
        <v>903</v>
      </c>
      <c r="F1113" s="40" t="s">
        <v>151</v>
      </c>
      <c r="G1113" s="40" t="s">
        <v>155</v>
      </c>
      <c r="H1113" s="40">
        <v>43</v>
      </c>
      <c r="I1113" s="360" t="e">
        <f>VLOOKUP(Таблица18[[#This Row],[Номер акта]],$AB$1:$AF$1833,3,FALSE)</f>
        <v>#N/A</v>
      </c>
      <c r="J1113" s="40" t="s">
        <v>916</v>
      </c>
      <c r="K1113" s="40" t="s">
        <v>82</v>
      </c>
      <c r="L1113" s="121">
        <v>28240</v>
      </c>
      <c r="M1113" s="121">
        <v>14940</v>
      </c>
      <c r="N1113" s="121">
        <v>9</v>
      </c>
      <c r="O1113" s="363">
        <v>13300</v>
      </c>
      <c r="P1113" s="363">
        <v>12103</v>
      </c>
      <c r="Q1113" s="121">
        <v>2025</v>
      </c>
      <c r="R1113" s="121"/>
      <c r="S1113" s="148">
        <v>45823</v>
      </c>
      <c r="T1113" s="363">
        <f>Таблица18[[#This Row],[Вес нетто]]-Таблица18[[#This Row],[Зачетный вес]]</f>
        <v>1197</v>
      </c>
      <c r="U1113" s="365">
        <f>Таблица18[[#This Row],[Отход]]/Таблица18[[#This Row],[Вес нетто]]</f>
        <v>0.09</v>
      </c>
      <c r="V1113" s="121">
        <f>MONTH(Таблица18[[#This Row],[Дата акта]])</f>
        <v>6</v>
      </c>
      <c r="W1113" s="121">
        <v>15</v>
      </c>
      <c r="X1113" s="148">
        <f>DATE(1900,Таблица18[[#This Row],[Месяц]],Таблица18[[#This Row],[Число]])</f>
        <v>167</v>
      </c>
      <c r="Y1113" s="121"/>
      <c r="Z1113" s="121" t="str">
        <f>Таблица18[[#This Row],[Хар-ка]]</f>
        <v>первый</v>
      </c>
      <c r="AD1113" s="459"/>
      <c r="AE1113" s="391"/>
    </row>
    <row r="1114" spans="1:31" s="325" customFormat="1" ht="15.6" hidden="1" customHeight="1" x14ac:dyDescent="0.2">
      <c r="A1114" s="40" t="s">
        <v>932</v>
      </c>
      <c r="B1114" s="360" t="s">
        <v>550</v>
      </c>
      <c r="C1114" s="40">
        <v>462</v>
      </c>
      <c r="D1114" s="40">
        <v>67</v>
      </c>
      <c r="E1114" s="40" t="s">
        <v>903</v>
      </c>
      <c r="F1114" s="40" t="s">
        <v>1152</v>
      </c>
      <c r="G1114" s="40" t="s">
        <v>119</v>
      </c>
      <c r="H1114" s="40">
        <v>44</v>
      </c>
      <c r="I1114" s="360" t="e">
        <f>VLOOKUP(Таблица18[[#This Row],[Номер акта]],$AB$1:$AF$1833,3,FALSE)</f>
        <v>#N/A</v>
      </c>
      <c r="J1114" s="40" t="s">
        <v>916</v>
      </c>
      <c r="K1114" s="40" t="s">
        <v>82</v>
      </c>
      <c r="L1114" s="121">
        <v>34370</v>
      </c>
      <c r="M1114" s="121">
        <v>20950</v>
      </c>
      <c r="N1114" s="121">
        <v>13</v>
      </c>
      <c r="O1114" s="363">
        <v>13420</v>
      </c>
      <c r="P1114" s="363">
        <v>11675.4</v>
      </c>
      <c r="Q1114" s="121">
        <v>2025</v>
      </c>
      <c r="R1114" s="121"/>
      <c r="S1114" s="148">
        <v>45823</v>
      </c>
      <c r="T1114" s="363">
        <f>Таблица18[[#This Row],[Вес нетто]]-Таблица18[[#This Row],[Зачетный вес]]</f>
        <v>1744.6000000000004</v>
      </c>
      <c r="U1114" s="365">
        <f>Таблица18[[#This Row],[Отход]]/Таблица18[[#This Row],[Вес нетто]]</f>
        <v>0.13000000000000003</v>
      </c>
      <c r="V1114" s="121">
        <f>MONTH(Таблица18[[#This Row],[Дата акта]])</f>
        <v>6</v>
      </c>
      <c r="W1114" s="121">
        <v>15</v>
      </c>
      <c r="X1114" s="148">
        <f>DATE(1900,Таблица18[[#This Row],[Месяц]],Таблица18[[#This Row],[Число]])</f>
        <v>167</v>
      </c>
      <c r="Y1114" s="121"/>
      <c r="Z1114" s="121" t="str">
        <f>Таблица18[[#This Row],[Хар-ка]]</f>
        <v>первый</v>
      </c>
      <c r="AD1114" s="459"/>
      <c r="AE1114" s="391"/>
    </row>
    <row r="1115" spans="1:31" s="325" customFormat="1" ht="15.6" hidden="1" customHeight="1" x14ac:dyDescent="0.2">
      <c r="A1115" s="40" t="s">
        <v>933</v>
      </c>
      <c r="B1115" s="360" t="s">
        <v>511</v>
      </c>
      <c r="C1115" s="40">
        <v>464</v>
      </c>
      <c r="D1115" s="40">
        <v>68</v>
      </c>
      <c r="E1115" s="40" t="s">
        <v>903</v>
      </c>
      <c r="F1115" s="40" t="s">
        <v>133</v>
      </c>
      <c r="G1115" s="40" t="s">
        <v>137</v>
      </c>
      <c r="H1115" s="40">
        <v>45</v>
      </c>
      <c r="I1115" s="360" t="e">
        <f>VLOOKUP(Таблица18[[#This Row],[Номер акта]],$AB$1:$AF$1833,3,FALSE)</f>
        <v>#N/A</v>
      </c>
      <c r="J1115" s="40" t="s">
        <v>916</v>
      </c>
      <c r="K1115" s="40" t="s">
        <v>82</v>
      </c>
      <c r="L1115" s="121">
        <v>27800</v>
      </c>
      <c r="M1115" s="121">
        <v>14820</v>
      </c>
      <c r="N1115" s="121">
        <v>15</v>
      </c>
      <c r="O1115" s="363">
        <v>12980</v>
      </c>
      <c r="P1115" s="363">
        <v>11033</v>
      </c>
      <c r="Q1115" s="121">
        <v>2025</v>
      </c>
      <c r="R1115" s="121"/>
      <c r="S1115" s="148">
        <v>45823</v>
      </c>
      <c r="T1115" s="363">
        <f>Таблица18[[#This Row],[Вес нетто]]-Таблица18[[#This Row],[Зачетный вес]]</f>
        <v>1947</v>
      </c>
      <c r="U1115" s="365">
        <f>Таблица18[[#This Row],[Отход]]/Таблица18[[#This Row],[Вес нетто]]</f>
        <v>0.15</v>
      </c>
      <c r="V1115" s="121">
        <f>MONTH(Таблица18[[#This Row],[Дата акта]])</f>
        <v>6</v>
      </c>
      <c r="W1115" s="121">
        <v>15</v>
      </c>
      <c r="X1115" s="148">
        <f>DATE(1900,Таблица18[[#This Row],[Месяц]],Таблица18[[#This Row],[Число]])</f>
        <v>167</v>
      </c>
      <c r="Y1115" s="121"/>
      <c r="Z1115" s="121" t="str">
        <f>Таблица18[[#This Row],[Хар-ка]]</f>
        <v>высший</v>
      </c>
      <c r="AD1115" s="459"/>
      <c r="AE1115" s="391"/>
    </row>
    <row r="1116" spans="1:31" s="325" customFormat="1" ht="15.6" hidden="1" customHeight="1" x14ac:dyDescent="0.2">
      <c r="A1116" s="40" t="s">
        <v>934</v>
      </c>
      <c r="B1116" s="360" t="s">
        <v>511</v>
      </c>
      <c r="C1116" s="40">
        <v>465</v>
      </c>
      <c r="D1116" s="40">
        <v>69</v>
      </c>
      <c r="E1116" s="40" t="s">
        <v>903</v>
      </c>
      <c r="F1116" s="40" t="s">
        <v>1253</v>
      </c>
      <c r="G1116" s="40" t="s">
        <v>270</v>
      </c>
      <c r="H1116" s="40">
        <v>45</v>
      </c>
      <c r="I1116" s="360" t="e">
        <f>VLOOKUP(Таблица18[[#This Row],[Номер акта]],$AB$1:$AF$1833,3,FALSE)</f>
        <v>#N/A</v>
      </c>
      <c r="J1116" s="40" t="s">
        <v>916</v>
      </c>
      <c r="K1116" s="40" t="s">
        <v>82</v>
      </c>
      <c r="L1116" s="121">
        <v>28260</v>
      </c>
      <c r="M1116" s="121">
        <v>14770</v>
      </c>
      <c r="N1116" s="121">
        <v>14</v>
      </c>
      <c r="O1116" s="363">
        <v>13490</v>
      </c>
      <c r="P1116" s="363">
        <v>11601.4</v>
      </c>
      <c r="Q1116" s="121">
        <v>2025</v>
      </c>
      <c r="R1116" s="121"/>
      <c r="S1116" s="148">
        <v>45823</v>
      </c>
      <c r="T1116" s="363">
        <f>Таблица18[[#This Row],[Вес нетто]]-Таблица18[[#This Row],[Зачетный вес]]</f>
        <v>1888.6000000000004</v>
      </c>
      <c r="U1116" s="365">
        <f>Таблица18[[#This Row],[Отход]]/Таблица18[[#This Row],[Вес нетто]]</f>
        <v>0.14000000000000001</v>
      </c>
      <c r="V1116" s="121">
        <f>MONTH(Таблица18[[#This Row],[Дата акта]])</f>
        <v>6</v>
      </c>
      <c r="W1116" s="121">
        <v>15</v>
      </c>
      <c r="X1116" s="148">
        <f>DATE(1900,Таблица18[[#This Row],[Месяц]],Таблица18[[#This Row],[Число]])</f>
        <v>167</v>
      </c>
      <c r="Y1116" s="121"/>
      <c r="Z1116" s="121" t="str">
        <f>Таблица18[[#This Row],[Хар-ка]]</f>
        <v>высший</v>
      </c>
      <c r="AD1116" s="459"/>
      <c r="AE1116" s="391"/>
    </row>
    <row r="1117" spans="1:31" s="325" customFormat="1" ht="15.6" hidden="1" customHeight="1" x14ac:dyDescent="0.2">
      <c r="A1117" s="40" t="s">
        <v>935</v>
      </c>
      <c r="B1117" s="360" t="s">
        <v>511</v>
      </c>
      <c r="C1117" s="40">
        <v>466</v>
      </c>
      <c r="D1117" s="40">
        <v>70</v>
      </c>
      <c r="E1117" s="40" t="s">
        <v>903</v>
      </c>
      <c r="F1117" s="40" t="s">
        <v>272</v>
      </c>
      <c r="G1117" s="40" t="s">
        <v>276</v>
      </c>
      <c r="H1117" s="40">
        <v>45</v>
      </c>
      <c r="I1117" s="360" t="e">
        <f>VLOOKUP(Таблица18[[#This Row],[Номер акта]],$AB$1:$AF$1833,3,FALSE)</f>
        <v>#N/A</v>
      </c>
      <c r="J1117" s="40" t="s">
        <v>916</v>
      </c>
      <c r="K1117" s="40" t="s">
        <v>82</v>
      </c>
      <c r="L1117" s="121">
        <v>27760</v>
      </c>
      <c r="M1117" s="121">
        <v>14670</v>
      </c>
      <c r="N1117" s="121">
        <v>18</v>
      </c>
      <c r="O1117" s="363">
        <v>13090</v>
      </c>
      <c r="P1117" s="363">
        <v>10733.8</v>
      </c>
      <c r="Q1117" s="121">
        <v>2025</v>
      </c>
      <c r="R1117" s="121"/>
      <c r="S1117" s="148">
        <v>45823</v>
      </c>
      <c r="T1117" s="363">
        <f>Таблица18[[#This Row],[Вес нетто]]-Таблица18[[#This Row],[Зачетный вес]]</f>
        <v>2356.2000000000007</v>
      </c>
      <c r="U1117" s="365">
        <f>Таблица18[[#This Row],[Отход]]/Таблица18[[#This Row],[Вес нетто]]</f>
        <v>0.18000000000000005</v>
      </c>
      <c r="V1117" s="121">
        <f>MONTH(Таблица18[[#This Row],[Дата акта]])</f>
        <v>6</v>
      </c>
      <c r="W1117" s="121">
        <v>15</v>
      </c>
      <c r="X1117" s="148">
        <f>DATE(1900,Таблица18[[#This Row],[Месяц]],Таблица18[[#This Row],[Число]])</f>
        <v>167</v>
      </c>
      <c r="Y1117" s="121"/>
      <c r="Z1117" s="121" t="str">
        <f>Таблица18[[#This Row],[Хар-ка]]</f>
        <v>высший</v>
      </c>
      <c r="AD1117" s="459"/>
      <c r="AE1117" s="391"/>
    </row>
    <row r="1118" spans="1:31" s="325" customFormat="1" ht="15.6" hidden="1" customHeight="1" x14ac:dyDescent="0.2">
      <c r="A1118" s="40" t="s">
        <v>936</v>
      </c>
      <c r="B1118" s="360" t="s">
        <v>511</v>
      </c>
      <c r="C1118" s="40">
        <v>467</v>
      </c>
      <c r="D1118" s="40">
        <v>71</v>
      </c>
      <c r="E1118" s="40" t="s">
        <v>903</v>
      </c>
      <c r="F1118" s="40" t="s">
        <v>239</v>
      </c>
      <c r="G1118" s="40" t="s">
        <v>243</v>
      </c>
      <c r="H1118" s="40">
        <v>45</v>
      </c>
      <c r="I1118" s="360" t="e">
        <f>VLOOKUP(Таблица18[[#This Row],[Номер акта]],$AB$1:$AF$1833,3,FALSE)</f>
        <v>#N/A</v>
      </c>
      <c r="J1118" s="40" t="s">
        <v>916</v>
      </c>
      <c r="K1118" s="40" t="s">
        <v>82</v>
      </c>
      <c r="L1118" s="121">
        <v>27960</v>
      </c>
      <c r="M1118" s="121">
        <v>14600</v>
      </c>
      <c r="N1118" s="121">
        <v>17</v>
      </c>
      <c r="O1118" s="363">
        <v>13360</v>
      </c>
      <c r="P1118" s="363">
        <v>11088.8</v>
      </c>
      <c r="Q1118" s="121">
        <v>2025</v>
      </c>
      <c r="R1118" s="121"/>
      <c r="S1118" s="148">
        <v>45823</v>
      </c>
      <c r="T1118" s="363">
        <f>Таблица18[[#This Row],[Вес нетто]]-Таблица18[[#This Row],[Зачетный вес]]</f>
        <v>2271.2000000000007</v>
      </c>
      <c r="U1118" s="365">
        <f>Таблица18[[#This Row],[Отход]]/Таблица18[[#This Row],[Вес нетто]]</f>
        <v>0.17000000000000007</v>
      </c>
      <c r="V1118" s="121">
        <f>MONTH(Таблица18[[#This Row],[Дата акта]])</f>
        <v>6</v>
      </c>
      <c r="W1118" s="121">
        <v>15</v>
      </c>
      <c r="X1118" s="148">
        <f>DATE(1900,Таблица18[[#This Row],[Месяц]],Таблица18[[#This Row],[Число]])</f>
        <v>167</v>
      </c>
      <c r="Y1118" s="121"/>
      <c r="Z1118" s="121" t="str">
        <f>Таблица18[[#This Row],[Хар-ка]]</f>
        <v>высший</v>
      </c>
      <c r="AD1118" s="459"/>
      <c r="AE1118" s="391"/>
    </row>
    <row r="1119" spans="1:31" s="325" customFormat="1" ht="15.6" hidden="1" customHeight="1" x14ac:dyDescent="0.2">
      <c r="A1119" s="40" t="s">
        <v>1024</v>
      </c>
      <c r="B1119" s="360" t="s">
        <v>511</v>
      </c>
      <c r="C1119" s="40">
        <v>469</v>
      </c>
      <c r="D1119" s="40">
        <v>73</v>
      </c>
      <c r="E1119" s="40" t="s">
        <v>903</v>
      </c>
      <c r="F1119" s="40" t="s">
        <v>1151</v>
      </c>
      <c r="G1119" s="40" t="s">
        <v>145</v>
      </c>
      <c r="H1119" s="40">
        <v>45</v>
      </c>
      <c r="I1119" s="360" t="e">
        <f>VLOOKUP(Таблица18[[#This Row],[Номер акта]],$AB$1:$AF$1833,3,FALSE)</f>
        <v>#N/A</v>
      </c>
      <c r="J1119" s="40" t="s">
        <v>916</v>
      </c>
      <c r="K1119" s="40" t="s">
        <v>82</v>
      </c>
      <c r="L1119" s="121">
        <v>29200</v>
      </c>
      <c r="M1119" s="121">
        <v>15610</v>
      </c>
      <c r="N1119" s="121">
        <v>8.5</v>
      </c>
      <c r="O1119" s="363">
        <v>13590</v>
      </c>
      <c r="P1119" s="363">
        <v>12434.8</v>
      </c>
      <c r="Q1119" s="121">
        <v>2025</v>
      </c>
      <c r="R1119" s="121"/>
      <c r="S1119" s="148">
        <v>45823</v>
      </c>
      <c r="T1119" s="363">
        <f>Таблица18[[#This Row],[Вес нетто]]-Таблица18[[#This Row],[Зачетный вес]]</f>
        <v>1155.2000000000007</v>
      </c>
      <c r="U1119" s="365">
        <f>Таблица18[[#This Row],[Отход]]/Таблица18[[#This Row],[Вес нетто]]</f>
        <v>8.5003679175864655E-2</v>
      </c>
      <c r="V1119" s="121">
        <f>MONTH(Таблица18[[#This Row],[Дата акта]])</f>
        <v>6</v>
      </c>
      <c r="W1119" s="121">
        <v>15</v>
      </c>
      <c r="X1119" s="148">
        <f>DATE(1900,Таблица18[[#This Row],[Месяц]],Таблица18[[#This Row],[Число]])</f>
        <v>167</v>
      </c>
      <c r="Y1119" s="121"/>
      <c r="Z1119" s="121" t="str">
        <f>Таблица18[[#This Row],[Хар-ка]]</f>
        <v>высший</v>
      </c>
      <c r="AD1119" s="459"/>
      <c r="AE1119" s="391"/>
    </row>
    <row r="1120" spans="1:31" s="325" customFormat="1" ht="15.6" hidden="1" customHeight="1" x14ac:dyDescent="0.2">
      <c r="A1120" s="40" t="s">
        <v>1025</v>
      </c>
      <c r="B1120" s="360" t="s">
        <v>511</v>
      </c>
      <c r="C1120" s="40">
        <v>468</v>
      </c>
      <c r="D1120" s="40">
        <v>72</v>
      </c>
      <c r="E1120" s="40" t="s">
        <v>903</v>
      </c>
      <c r="F1120" s="40" t="s">
        <v>1461</v>
      </c>
      <c r="G1120" s="40" t="s">
        <v>149</v>
      </c>
      <c r="H1120" s="40">
        <v>45</v>
      </c>
      <c r="I1120" s="360" t="e">
        <f>VLOOKUP(Таблица18[[#This Row],[Номер акта]],$AB$1:$AF$1833,3,FALSE)</f>
        <v>#N/A</v>
      </c>
      <c r="J1120" s="40" t="s">
        <v>916</v>
      </c>
      <c r="K1120" s="40" t="s">
        <v>82</v>
      </c>
      <c r="L1120" s="121">
        <v>28230</v>
      </c>
      <c r="M1120" s="121">
        <v>14990</v>
      </c>
      <c r="N1120" s="121">
        <v>12.5</v>
      </c>
      <c r="O1120" s="363">
        <v>13240</v>
      </c>
      <c r="P1120" s="363">
        <v>11585</v>
      </c>
      <c r="Q1120" s="121">
        <v>2025</v>
      </c>
      <c r="R1120" s="121"/>
      <c r="S1120" s="148">
        <v>45823</v>
      </c>
      <c r="T1120" s="363">
        <f>Таблица18[[#This Row],[Вес нетто]]-Таблица18[[#This Row],[Зачетный вес]]</f>
        <v>1655</v>
      </c>
      <c r="U1120" s="365">
        <f>Таблица18[[#This Row],[Отход]]/Таблица18[[#This Row],[Вес нетто]]</f>
        <v>0.125</v>
      </c>
      <c r="V1120" s="121">
        <f>MONTH(Таблица18[[#This Row],[Дата акта]])</f>
        <v>6</v>
      </c>
      <c r="W1120" s="121">
        <v>15</v>
      </c>
      <c r="X1120" s="148">
        <f>DATE(1900,Таблица18[[#This Row],[Месяц]],Таблица18[[#This Row],[Число]])</f>
        <v>167</v>
      </c>
      <c r="Y1120" s="121"/>
      <c r="Z1120" s="121" t="str">
        <f>Таблица18[[#This Row],[Хар-ка]]</f>
        <v>высший</v>
      </c>
      <c r="AD1120" s="459"/>
      <c r="AE1120" s="391"/>
    </row>
    <row r="1121" spans="1:31" s="325" customFormat="1" ht="15.6" hidden="1" customHeight="1" x14ac:dyDescent="0.2">
      <c r="A1121" s="40" t="s">
        <v>1026</v>
      </c>
      <c r="B1121" s="360" t="s">
        <v>550</v>
      </c>
      <c r="C1121" s="40">
        <v>471</v>
      </c>
      <c r="D1121" s="40" t="s">
        <v>902</v>
      </c>
      <c r="E1121" s="40" t="s">
        <v>903</v>
      </c>
      <c r="F1121" s="40" t="s">
        <v>305</v>
      </c>
      <c r="G1121" s="40" t="s">
        <v>309</v>
      </c>
      <c r="H1121" s="40">
        <v>45</v>
      </c>
      <c r="I1121" s="360" t="e">
        <f>VLOOKUP(Таблица18[[#This Row],[Номер акта]],$AB$1:$AF$1833,3,FALSE)</f>
        <v>#N/A</v>
      </c>
      <c r="J1121" s="40" t="s">
        <v>916</v>
      </c>
      <c r="K1121" s="40" t="s">
        <v>82</v>
      </c>
      <c r="L1121" s="121">
        <v>27820</v>
      </c>
      <c r="M1121" s="121">
        <v>14340</v>
      </c>
      <c r="N1121" s="121">
        <v>11</v>
      </c>
      <c r="O1121" s="363">
        <v>13480</v>
      </c>
      <c r="P1121" s="363">
        <v>11997.2</v>
      </c>
      <c r="Q1121" s="121">
        <v>2025</v>
      </c>
      <c r="R1121" s="121"/>
      <c r="S1121" s="148">
        <v>45823</v>
      </c>
      <c r="T1121" s="363">
        <f>Таблица18[[#This Row],[Вес нетто]]-Таблица18[[#This Row],[Зачетный вес]]</f>
        <v>1482.7999999999993</v>
      </c>
      <c r="U1121" s="365">
        <f>Таблица18[[#This Row],[Отход]]/Таблица18[[#This Row],[Вес нетто]]</f>
        <v>0.10999999999999995</v>
      </c>
      <c r="V1121" s="121">
        <f>MONTH(Таблица18[[#This Row],[Дата акта]])</f>
        <v>6</v>
      </c>
      <c r="W1121" s="121">
        <v>15</v>
      </c>
      <c r="X1121" s="148">
        <f>DATE(1900,Таблица18[[#This Row],[Месяц]],Таблица18[[#This Row],[Число]])</f>
        <v>167</v>
      </c>
      <c r="Y1121" s="121"/>
      <c r="Z1121" s="121" t="str">
        <f>Таблица18[[#This Row],[Хар-ка]]</f>
        <v>первый</v>
      </c>
      <c r="AD1121" s="459"/>
      <c r="AE1121" s="391"/>
    </row>
    <row r="1122" spans="1:31" s="325" customFormat="1" ht="15.6" hidden="1" customHeight="1" x14ac:dyDescent="0.2">
      <c r="A1122" s="40" t="s">
        <v>1027</v>
      </c>
      <c r="B1122" s="360" t="s">
        <v>550</v>
      </c>
      <c r="C1122" s="40">
        <v>472</v>
      </c>
      <c r="D1122" s="40" t="s">
        <v>902</v>
      </c>
      <c r="E1122" s="40" t="s">
        <v>903</v>
      </c>
      <c r="F1122" s="40" t="s">
        <v>329</v>
      </c>
      <c r="G1122" s="40" t="s">
        <v>333</v>
      </c>
      <c r="H1122" s="40">
        <v>44</v>
      </c>
      <c r="I1122" s="360" t="e">
        <f>VLOOKUP(Таблица18[[#This Row],[Номер акта]],$AB$1:$AF$1833,3,FALSE)</f>
        <v>#N/A</v>
      </c>
      <c r="J1122" s="40" t="s">
        <v>916</v>
      </c>
      <c r="K1122" s="40" t="s">
        <v>82</v>
      </c>
      <c r="L1122" s="121">
        <v>28360</v>
      </c>
      <c r="M1122" s="121">
        <v>21690</v>
      </c>
      <c r="N1122" s="121">
        <v>9</v>
      </c>
      <c r="O1122" s="363">
        <v>6670</v>
      </c>
      <c r="P1122" s="363">
        <v>6069.7</v>
      </c>
      <c r="Q1122" s="121">
        <v>2025</v>
      </c>
      <c r="R1122" s="121"/>
      <c r="S1122" s="148">
        <v>45823</v>
      </c>
      <c r="T1122" s="363">
        <f>Таблица18[[#This Row],[Вес нетто]]-Таблица18[[#This Row],[Зачетный вес]]</f>
        <v>600.30000000000018</v>
      </c>
      <c r="U1122" s="365">
        <f>Таблица18[[#This Row],[Отход]]/Таблица18[[#This Row],[Вес нетто]]</f>
        <v>9.0000000000000024E-2</v>
      </c>
      <c r="V1122" s="121">
        <f>MONTH(Таблица18[[#This Row],[Дата акта]])</f>
        <v>6</v>
      </c>
      <c r="W1122" s="121">
        <v>15</v>
      </c>
      <c r="X1122" s="148">
        <f>DATE(1900,Таблица18[[#This Row],[Месяц]],Таблица18[[#This Row],[Число]])</f>
        <v>167</v>
      </c>
      <c r="Y1122" s="121"/>
      <c r="Z1122" s="121" t="str">
        <f>Таблица18[[#This Row],[Хар-ка]]</f>
        <v>первый</v>
      </c>
      <c r="AD1122" s="459"/>
      <c r="AE1122" s="391"/>
    </row>
    <row r="1123" spans="1:31" s="325" customFormat="1" ht="15.6" hidden="1" customHeight="1" x14ac:dyDescent="0.2">
      <c r="A1123" s="40" t="s">
        <v>1028</v>
      </c>
      <c r="B1123" s="360" t="s">
        <v>550</v>
      </c>
      <c r="C1123" s="40">
        <v>474</v>
      </c>
      <c r="D1123" s="40" t="s">
        <v>902</v>
      </c>
      <c r="E1123" s="40" t="s">
        <v>903</v>
      </c>
      <c r="F1123" s="40" t="s">
        <v>329</v>
      </c>
      <c r="G1123" s="40" t="s">
        <v>333</v>
      </c>
      <c r="H1123" s="40">
        <v>45</v>
      </c>
      <c r="I1123" s="360" t="e">
        <f>VLOOKUP(Таблица18[[#This Row],[Номер акта]],$AB$1:$AF$1833,3,FALSE)</f>
        <v>#N/A</v>
      </c>
      <c r="J1123" s="40" t="s">
        <v>916</v>
      </c>
      <c r="K1123" s="40" t="s">
        <v>82</v>
      </c>
      <c r="L1123" s="121">
        <v>21690</v>
      </c>
      <c r="M1123" s="121">
        <v>14970</v>
      </c>
      <c r="N1123" s="121">
        <v>8.5</v>
      </c>
      <c r="O1123" s="363">
        <v>6720</v>
      </c>
      <c r="P1123" s="363">
        <v>6148.8</v>
      </c>
      <c r="Q1123" s="121">
        <v>2025</v>
      </c>
      <c r="R1123" s="121"/>
      <c r="S1123" s="148">
        <v>45823</v>
      </c>
      <c r="T1123" s="363">
        <f>Таблица18[[#This Row],[Вес нетто]]-Таблица18[[#This Row],[Зачетный вес]]</f>
        <v>571.19999999999982</v>
      </c>
      <c r="U1123" s="365">
        <f>Таблица18[[#This Row],[Отход]]/Таблица18[[#This Row],[Вес нетто]]</f>
        <v>8.4999999999999978E-2</v>
      </c>
      <c r="V1123" s="121">
        <f>MONTH(Таблица18[[#This Row],[Дата акта]])</f>
        <v>6</v>
      </c>
      <c r="W1123" s="121">
        <v>15</v>
      </c>
      <c r="X1123" s="148">
        <f>DATE(1900,Таблица18[[#This Row],[Месяц]],Таблица18[[#This Row],[Число]])</f>
        <v>167</v>
      </c>
      <c r="Y1123" s="121"/>
      <c r="Z1123" s="121" t="str">
        <f>Таблица18[[#This Row],[Хар-ка]]</f>
        <v>первый</v>
      </c>
      <c r="AD1123" s="459"/>
      <c r="AE1123" s="391"/>
    </row>
    <row r="1124" spans="1:31" s="325" customFormat="1" ht="15.6" hidden="1" customHeight="1" x14ac:dyDescent="0.2">
      <c r="A1124" s="40" t="s">
        <v>1029</v>
      </c>
      <c r="B1124" s="360" t="s">
        <v>550</v>
      </c>
      <c r="C1124" s="40">
        <v>473</v>
      </c>
      <c r="D1124" s="40" t="s">
        <v>902</v>
      </c>
      <c r="E1124" s="40" t="s">
        <v>903</v>
      </c>
      <c r="F1124" s="40" t="s">
        <v>262</v>
      </c>
      <c r="G1124" s="40" t="s">
        <v>266</v>
      </c>
      <c r="H1124" s="40">
        <v>44</v>
      </c>
      <c r="I1124" s="360" t="e">
        <f>VLOOKUP(Таблица18[[#This Row],[Номер акта]],$AB$1:$AF$1833,3,FALSE)</f>
        <v>#N/A</v>
      </c>
      <c r="J1124" s="40" t="s">
        <v>916</v>
      </c>
      <c r="K1124" s="40" t="s">
        <v>82</v>
      </c>
      <c r="L1124" s="121">
        <v>28140</v>
      </c>
      <c r="M1124" s="121">
        <v>14690</v>
      </c>
      <c r="N1124" s="121">
        <v>8</v>
      </c>
      <c r="O1124" s="363">
        <v>13450</v>
      </c>
      <c r="P1124" s="363">
        <v>12374</v>
      </c>
      <c r="Q1124" s="121">
        <v>2025</v>
      </c>
      <c r="R1124" s="121"/>
      <c r="S1124" s="148">
        <v>45823</v>
      </c>
      <c r="T1124" s="363">
        <f>Таблица18[[#This Row],[Вес нетто]]-Таблица18[[#This Row],[Зачетный вес]]</f>
        <v>1076</v>
      </c>
      <c r="U1124" s="365">
        <f>Таблица18[[#This Row],[Отход]]/Таблица18[[#This Row],[Вес нетто]]</f>
        <v>0.08</v>
      </c>
      <c r="V1124" s="121">
        <f>MONTH(Таблица18[[#This Row],[Дата акта]])</f>
        <v>6</v>
      </c>
      <c r="W1124" s="121">
        <v>15</v>
      </c>
      <c r="X1124" s="148">
        <f>DATE(1900,Таблица18[[#This Row],[Месяц]],Таблица18[[#This Row],[Число]])</f>
        <v>167</v>
      </c>
      <c r="Y1124" s="121"/>
      <c r="Z1124" s="121" t="str">
        <f>Таблица18[[#This Row],[Хар-ка]]</f>
        <v>первый</v>
      </c>
      <c r="AD1124" s="459"/>
      <c r="AE1124" s="391"/>
    </row>
    <row r="1125" spans="1:31" s="325" customFormat="1" ht="15.6" hidden="1" customHeight="1" x14ac:dyDescent="0.2">
      <c r="A1125" s="40" t="s">
        <v>1030</v>
      </c>
      <c r="B1125" s="360" t="s">
        <v>550</v>
      </c>
      <c r="C1125" s="40">
        <v>475</v>
      </c>
      <c r="D1125" s="40" t="s">
        <v>902</v>
      </c>
      <c r="E1125" s="40" t="s">
        <v>903</v>
      </c>
      <c r="F1125" s="40" t="s">
        <v>311</v>
      </c>
      <c r="G1125" s="40" t="s">
        <v>315</v>
      </c>
      <c r="H1125" s="40">
        <v>44</v>
      </c>
      <c r="I1125" s="360" t="e">
        <f>VLOOKUP(Таблица18[[#This Row],[Номер акта]],$AB$1:$AF$1833,3,FALSE)</f>
        <v>#N/A</v>
      </c>
      <c r="J1125" s="40" t="s">
        <v>916</v>
      </c>
      <c r="K1125" s="40" t="s">
        <v>82</v>
      </c>
      <c r="L1125" s="121">
        <v>28130</v>
      </c>
      <c r="M1125" s="121">
        <v>15000</v>
      </c>
      <c r="N1125" s="121">
        <v>6.5</v>
      </c>
      <c r="O1125" s="363">
        <v>13130</v>
      </c>
      <c r="P1125" s="363">
        <v>12276.5</v>
      </c>
      <c r="Q1125" s="121">
        <v>2025</v>
      </c>
      <c r="R1125" s="121"/>
      <c r="S1125" s="148">
        <v>45823</v>
      </c>
      <c r="T1125" s="363">
        <f>Таблица18[[#This Row],[Вес нетто]]-Таблица18[[#This Row],[Зачетный вес]]</f>
        <v>853.5</v>
      </c>
      <c r="U1125" s="365">
        <f>Таблица18[[#This Row],[Отход]]/Таблица18[[#This Row],[Вес нетто]]</f>
        <v>6.500380807311501E-2</v>
      </c>
      <c r="V1125" s="121">
        <f>MONTH(Таблица18[[#This Row],[Дата акта]])</f>
        <v>6</v>
      </c>
      <c r="W1125" s="121">
        <v>15</v>
      </c>
      <c r="X1125" s="148">
        <f>DATE(1900,Таблица18[[#This Row],[Месяц]],Таблица18[[#This Row],[Число]])</f>
        <v>167</v>
      </c>
      <c r="Y1125" s="121"/>
      <c r="Z1125" s="121" t="str">
        <f>Таблица18[[#This Row],[Хар-ка]]</f>
        <v>первый</v>
      </c>
      <c r="AD1125" s="459"/>
      <c r="AE1125" s="391"/>
    </row>
    <row r="1126" spans="1:31" s="325" customFormat="1" ht="15.6" hidden="1" customHeight="1" x14ac:dyDescent="0.2">
      <c r="A1126" s="40" t="s">
        <v>1031</v>
      </c>
      <c r="B1126" s="360" t="s">
        <v>550</v>
      </c>
      <c r="C1126" s="40">
        <v>476</v>
      </c>
      <c r="D1126" s="40" t="s">
        <v>902</v>
      </c>
      <c r="E1126" s="40" t="s">
        <v>903</v>
      </c>
      <c r="F1126" s="40" t="s">
        <v>121</v>
      </c>
      <c r="G1126" s="40" t="s">
        <v>125</v>
      </c>
      <c r="H1126" s="40">
        <v>43</v>
      </c>
      <c r="I1126" s="360" t="e">
        <f>VLOOKUP(Таблица18[[#This Row],[Номер акта]],$AB$1:$AF$1833,3,FALSE)</f>
        <v>#N/A</v>
      </c>
      <c r="J1126" s="40" t="s">
        <v>916</v>
      </c>
      <c r="K1126" s="40" t="s">
        <v>82</v>
      </c>
      <c r="L1126" s="121">
        <v>27790</v>
      </c>
      <c r="M1126" s="121">
        <v>14620</v>
      </c>
      <c r="N1126" s="121">
        <v>7.5</v>
      </c>
      <c r="O1126" s="363">
        <v>13170</v>
      </c>
      <c r="P1126" s="363">
        <v>12182.2</v>
      </c>
      <c r="Q1126" s="121">
        <v>2025</v>
      </c>
      <c r="R1126" s="121"/>
      <c r="S1126" s="148">
        <v>45823</v>
      </c>
      <c r="T1126" s="363">
        <f>Таблица18[[#This Row],[Вес нетто]]-Таблица18[[#This Row],[Зачетный вес]]</f>
        <v>987.79999999999927</v>
      </c>
      <c r="U1126" s="365">
        <f>Таблица18[[#This Row],[Отход]]/Таблица18[[#This Row],[Вес нетто]]</f>
        <v>7.5003796507213311E-2</v>
      </c>
      <c r="V1126" s="121">
        <f>MONTH(Таблица18[[#This Row],[Дата акта]])</f>
        <v>6</v>
      </c>
      <c r="W1126" s="121">
        <v>15</v>
      </c>
      <c r="X1126" s="148">
        <f>DATE(1900,Таблица18[[#This Row],[Месяц]],Таблица18[[#This Row],[Число]])</f>
        <v>167</v>
      </c>
      <c r="Y1126" s="121"/>
      <c r="Z1126" s="121" t="str">
        <f>Таблица18[[#This Row],[Хар-ка]]</f>
        <v>первый</v>
      </c>
      <c r="AD1126" s="459"/>
      <c r="AE1126" s="391"/>
    </row>
    <row r="1127" spans="1:31" s="325" customFormat="1" ht="15.6" hidden="1" customHeight="1" x14ac:dyDescent="0.2">
      <c r="A1127" s="40" t="s">
        <v>1032</v>
      </c>
      <c r="B1127" s="360" t="s">
        <v>550</v>
      </c>
      <c r="C1127" s="40">
        <v>477</v>
      </c>
      <c r="D1127" s="40" t="s">
        <v>902</v>
      </c>
      <c r="E1127" s="40" t="s">
        <v>903</v>
      </c>
      <c r="F1127" s="40" t="s">
        <v>234</v>
      </c>
      <c r="G1127" s="40" t="s">
        <v>238</v>
      </c>
      <c r="H1127" s="40">
        <v>43</v>
      </c>
      <c r="I1127" s="360" t="e">
        <f>VLOOKUP(Таблица18[[#This Row],[Номер акта]],$AB$1:$AF$1833,3,FALSE)</f>
        <v>#N/A</v>
      </c>
      <c r="J1127" s="40" t="s">
        <v>916</v>
      </c>
      <c r="K1127" s="40" t="s">
        <v>82</v>
      </c>
      <c r="L1127" s="121">
        <v>28530</v>
      </c>
      <c r="M1127" s="121">
        <v>15580</v>
      </c>
      <c r="N1127" s="121">
        <v>9</v>
      </c>
      <c r="O1127" s="363">
        <v>12950</v>
      </c>
      <c r="P1127" s="363">
        <v>11784.5</v>
      </c>
      <c r="Q1127" s="121">
        <v>2025</v>
      </c>
      <c r="R1127" s="121"/>
      <c r="S1127" s="148">
        <v>45823</v>
      </c>
      <c r="T1127" s="363">
        <f>Таблица18[[#This Row],[Вес нетто]]-Таблица18[[#This Row],[Зачетный вес]]</f>
        <v>1165.5</v>
      </c>
      <c r="U1127" s="365">
        <f>Таблица18[[#This Row],[Отход]]/Таблица18[[#This Row],[Вес нетто]]</f>
        <v>0.09</v>
      </c>
      <c r="V1127" s="121">
        <f>MONTH(Таблица18[[#This Row],[Дата акта]])</f>
        <v>6</v>
      </c>
      <c r="W1127" s="121">
        <v>15</v>
      </c>
      <c r="X1127" s="148">
        <f>DATE(1900,Таблица18[[#This Row],[Месяц]],Таблица18[[#This Row],[Число]])</f>
        <v>167</v>
      </c>
      <c r="Y1127" s="121"/>
      <c r="Z1127" s="121" t="str">
        <f>Таблица18[[#This Row],[Хар-ка]]</f>
        <v>первый</v>
      </c>
      <c r="AD1127" s="459"/>
      <c r="AE1127" s="391"/>
    </row>
    <row r="1128" spans="1:31" s="325" customFormat="1" ht="15.6" hidden="1" customHeight="1" x14ac:dyDescent="0.2">
      <c r="A1128" s="40" t="s">
        <v>1033</v>
      </c>
      <c r="B1128" s="360" t="s">
        <v>550</v>
      </c>
      <c r="C1128" s="40">
        <v>478</v>
      </c>
      <c r="D1128" s="40" t="s">
        <v>902</v>
      </c>
      <c r="E1128" s="40" t="s">
        <v>903</v>
      </c>
      <c r="F1128" s="40" t="s">
        <v>894</v>
      </c>
      <c r="G1128" s="40" t="s">
        <v>895</v>
      </c>
      <c r="H1128" s="40">
        <v>43</v>
      </c>
      <c r="I1128" s="360" t="e">
        <f>VLOOKUP(Таблица18[[#This Row],[Номер акта]],$AB$1:$AF$1833,3,FALSE)</f>
        <v>#N/A</v>
      </c>
      <c r="J1128" s="40" t="s">
        <v>916</v>
      </c>
      <c r="K1128" s="40" t="s">
        <v>82</v>
      </c>
      <c r="L1128" s="121">
        <v>28040</v>
      </c>
      <c r="M1128" s="121">
        <v>14890</v>
      </c>
      <c r="N1128" s="121">
        <v>7</v>
      </c>
      <c r="O1128" s="363">
        <v>13150</v>
      </c>
      <c r="P1128" s="363">
        <v>12229.5</v>
      </c>
      <c r="Q1128" s="121">
        <v>2025</v>
      </c>
      <c r="R1128" s="121"/>
      <c r="S1128" s="148">
        <v>45823</v>
      </c>
      <c r="T1128" s="363">
        <f>Таблица18[[#This Row],[Вес нетто]]-Таблица18[[#This Row],[Зачетный вес]]</f>
        <v>920.5</v>
      </c>
      <c r="U1128" s="365">
        <f>Таблица18[[#This Row],[Отход]]/Таблица18[[#This Row],[Вес нетто]]</f>
        <v>7.0000000000000007E-2</v>
      </c>
      <c r="V1128" s="121">
        <f>MONTH(Таблица18[[#This Row],[Дата акта]])</f>
        <v>6</v>
      </c>
      <c r="W1128" s="121">
        <v>15</v>
      </c>
      <c r="X1128" s="148">
        <f>DATE(1900,Таблица18[[#This Row],[Месяц]],Таблица18[[#This Row],[Число]])</f>
        <v>167</v>
      </c>
      <c r="Y1128" s="121"/>
      <c r="Z1128" s="121" t="str">
        <f>Таблица18[[#This Row],[Хар-ка]]</f>
        <v>первый</v>
      </c>
      <c r="AD1128" s="459"/>
      <c r="AE1128" s="391"/>
    </row>
    <row r="1129" spans="1:31" s="325" customFormat="1" ht="15.6" hidden="1" customHeight="1" x14ac:dyDescent="0.2">
      <c r="A1129" s="40" t="s">
        <v>1034</v>
      </c>
      <c r="B1129" s="360" t="s">
        <v>550</v>
      </c>
      <c r="C1129" s="40">
        <v>481</v>
      </c>
      <c r="D1129" s="40" t="s">
        <v>902</v>
      </c>
      <c r="E1129" s="40" t="s">
        <v>903</v>
      </c>
      <c r="F1129" s="40" t="s">
        <v>133</v>
      </c>
      <c r="G1129" s="40" t="s">
        <v>137</v>
      </c>
      <c r="H1129" s="40">
        <v>43</v>
      </c>
      <c r="I1129" s="360" t="e">
        <f>VLOOKUP(Таблица18[[#This Row],[Номер акта]],$AB$1:$AF$1833,3,FALSE)</f>
        <v>#N/A</v>
      </c>
      <c r="J1129" s="40" t="s">
        <v>916</v>
      </c>
      <c r="K1129" s="40" t="s">
        <v>82</v>
      </c>
      <c r="L1129" s="121">
        <v>27690</v>
      </c>
      <c r="M1129" s="121">
        <v>14700</v>
      </c>
      <c r="N1129" s="121">
        <v>9.5</v>
      </c>
      <c r="O1129" s="363">
        <v>12990</v>
      </c>
      <c r="P1129" s="363">
        <v>11755.9</v>
      </c>
      <c r="Q1129" s="121">
        <v>2025</v>
      </c>
      <c r="R1129" s="121"/>
      <c r="S1129" s="148">
        <v>45824</v>
      </c>
      <c r="T1129" s="363">
        <f>Таблица18[[#This Row],[Вес нетто]]-Таблица18[[#This Row],[Зачетный вес]]</f>
        <v>1234.1000000000004</v>
      </c>
      <c r="U1129" s="365">
        <f>Таблица18[[#This Row],[Отход]]/Таблица18[[#This Row],[Вес нетто]]</f>
        <v>9.5003849114703651E-2</v>
      </c>
      <c r="V1129" s="121">
        <f>MONTH(Таблица18[[#This Row],[Дата акта]])</f>
        <v>6</v>
      </c>
      <c r="W1129" s="121">
        <v>16</v>
      </c>
      <c r="X1129" s="148">
        <f>DATE(1900,Таблица18[[#This Row],[Месяц]],Таблица18[[#This Row],[Число]])</f>
        <v>168</v>
      </c>
      <c r="Y1129" s="121"/>
      <c r="Z1129" s="121" t="str">
        <f>Таблица18[[#This Row],[Хар-ка]]</f>
        <v>первый</v>
      </c>
      <c r="AD1129" s="459"/>
      <c r="AE1129" s="391"/>
    </row>
    <row r="1130" spans="1:31" s="325" customFormat="1" ht="15.6" hidden="1" customHeight="1" x14ac:dyDescent="0.2">
      <c r="A1130" s="40" t="s">
        <v>1035</v>
      </c>
      <c r="B1130" s="360" t="s">
        <v>550</v>
      </c>
      <c r="C1130" s="40">
        <v>479</v>
      </c>
      <c r="D1130" s="40" t="s">
        <v>902</v>
      </c>
      <c r="E1130" s="40" t="s">
        <v>903</v>
      </c>
      <c r="F1130" s="40" t="s">
        <v>1312</v>
      </c>
      <c r="G1130" s="40" t="s">
        <v>320</v>
      </c>
      <c r="H1130" s="40">
        <v>43</v>
      </c>
      <c r="I1130" s="360" t="e">
        <f>VLOOKUP(Таблица18[[#This Row],[Номер акта]],$AB$1:$AF$1833,3,FALSE)</f>
        <v>#N/A</v>
      </c>
      <c r="J1130" s="40" t="s">
        <v>916</v>
      </c>
      <c r="K1130" s="40" t="s">
        <v>82</v>
      </c>
      <c r="L1130" s="121">
        <v>27340</v>
      </c>
      <c r="M1130" s="121">
        <v>14430</v>
      </c>
      <c r="N1130" s="121">
        <v>9.5</v>
      </c>
      <c r="O1130" s="363">
        <v>12910</v>
      </c>
      <c r="P1130" s="363">
        <v>11683.5</v>
      </c>
      <c r="Q1130" s="121">
        <v>2025</v>
      </c>
      <c r="R1130" s="121"/>
      <c r="S1130" s="148">
        <v>45824</v>
      </c>
      <c r="T1130" s="363">
        <f>Таблица18[[#This Row],[Вес нетто]]-Таблица18[[#This Row],[Зачетный вес]]</f>
        <v>1226.5</v>
      </c>
      <c r="U1130" s="365">
        <f>Таблица18[[#This Row],[Отход]]/Таблица18[[#This Row],[Вес нетто]]</f>
        <v>9.5003872966692493E-2</v>
      </c>
      <c r="V1130" s="121">
        <f>MONTH(Таблица18[[#This Row],[Дата акта]])</f>
        <v>6</v>
      </c>
      <c r="W1130" s="121">
        <v>16</v>
      </c>
      <c r="X1130" s="148">
        <f>DATE(1900,Таблица18[[#This Row],[Месяц]],Таблица18[[#This Row],[Число]])</f>
        <v>168</v>
      </c>
      <c r="Y1130" s="121"/>
      <c r="Z1130" s="121" t="str">
        <f>Таблица18[[#This Row],[Хар-ка]]</f>
        <v>первый</v>
      </c>
      <c r="AD1130" s="459"/>
      <c r="AE1130" s="391"/>
    </row>
    <row r="1131" spans="1:31" s="325" customFormat="1" ht="15.6" hidden="1" customHeight="1" x14ac:dyDescent="0.2">
      <c r="A1131" s="40" t="s">
        <v>1036</v>
      </c>
      <c r="B1131" s="360" t="s">
        <v>833</v>
      </c>
      <c r="C1131" s="40">
        <v>480</v>
      </c>
      <c r="D1131" s="40" t="s">
        <v>902</v>
      </c>
      <c r="E1131" s="40" t="s">
        <v>903</v>
      </c>
      <c r="F1131" s="40" t="s">
        <v>151</v>
      </c>
      <c r="G1131" s="40" t="s">
        <v>155</v>
      </c>
      <c r="H1131" s="40">
        <v>43</v>
      </c>
      <c r="I1131" s="360" t="e">
        <f>VLOOKUP(Таблица18[[#This Row],[Номер акта]],$AB$1:$AF$1833,3,FALSE)</f>
        <v>#N/A</v>
      </c>
      <c r="J1131" s="40" t="s">
        <v>916</v>
      </c>
      <c r="K1131" s="40" t="s">
        <v>82</v>
      </c>
      <c r="L1131" s="121">
        <v>28260</v>
      </c>
      <c r="M1131" s="121">
        <v>14930</v>
      </c>
      <c r="N1131" s="121">
        <v>8.5</v>
      </c>
      <c r="O1131" s="363">
        <v>13330</v>
      </c>
      <c r="P1131" s="363">
        <v>12196.9</v>
      </c>
      <c r="Q1131" s="121">
        <v>2025</v>
      </c>
      <c r="R1131" s="121"/>
      <c r="S1131" s="148">
        <v>45824</v>
      </c>
      <c r="T1131" s="363">
        <f>Таблица18[[#This Row],[Вес нетто]]-Таблица18[[#This Row],[Зачетный вес]]</f>
        <v>1133.1000000000004</v>
      </c>
      <c r="U1131" s="365">
        <f>Таблица18[[#This Row],[Отход]]/Таблица18[[#This Row],[Вес нетто]]</f>
        <v>8.5003750937734462E-2</v>
      </c>
      <c r="V1131" s="121">
        <f>MONTH(Таблица18[[#This Row],[Дата акта]])</f>
        <v>6</v>
      </c>
      <c r="W1131" s="121">
        <v>16</v>
      </c>
      <c r="X1131" s="148">
        <f>DATE(1900,Таблица18[[#This Row],[Месяц]],Таблица18[[#This Row],[Число]])</f>
        <v>168</v>
      </c>
      <c r="Y1131" s="121"/>
      <c r="Z1131" s="121" t="str">
        <f>Таблица18[[#This Row],[Хар-ка]]</f>
        <v>второй</v>
      </c>
      <c r="AD1131" s="459"/>
      <c r="AE1131" s="391"/>
    </row>
    <row r="1132" spans="1:31" s="325" customFormat="1" ht="15.6" hidden="1" customHeight="1" x14ac:dyDescent="0.2">
      <c r="A1132" s="40" t="s">
        <v>1037</v>
      </c>
      <c r="B1132" s="360" t="s">
        <v>833</v>
      </c>
      <c r="C1132" s="40">
        <v>482</v>
      </c>
      <c r="D1132" s="40" t="s">
        <v>902</v>
      </c>
      <c r="E1132" s="40" t="s">
        <v>903</v>
      </c>
      <c r="F1132" s="40" t="s">
        <v>347</v>
      </c>
      <c r="G1132" s="40" t="s">
        <v>351</v>
      </c>
      <c r="H1132" s="40">
        <v>43</v>
      </c>
      <c r="I1132" s="360" t="e">
        <f>VLOOKUP(Таблица18[[#This Row],[Номер акта]],$AB$1:$AF$1833,3,FALSE)</f>
        <v>#N/A</v>
      </c>
      <c r="J1132" s="40" t="s">
        <v>916</v>
      </c>
      <c r="K1132" s="40" t="s">
        <v>82</v>
      </c>
      <c r="L1132" s="121">
        <v>31920</v>
      </c>
      <c r="M1132" s="121">
        <v>18800</v>
      </c>
      <c r="N1132" s="121">
        <v>5.5</v>
      </c>
      <c r="O1132" s="363">
        <v>13120</v>
      </c>
      <c r="P1132" s="363">
        <v>12398.4</v>
      </c>
      <c r="Q1132" s="121">
        <v>2025</v>
      </c>
      <c r="R1132" s="121"/>
      <c r="S1132" s="148">
        <v>45824</v>
      </c>
      <c r="T1132" s="363">
        <f>Таблица18[[#This Row],[Вес нетто]]-Таблица18[[#This Row],[Зачетный вес]]</f>
        <v>721.60000000000036</v>
      </c>
      <c r="U1132" s="365">
        <f>Таблица18[[#This Row],[Отход]]/Таблица18[[#This Row],[Вес нетто]]</f>
        <v>5.5000000000000028E-2</v>
      </c>
      <c r="V1132" s="121">
        <f>MONTH(Таблица18[[#This Row],[Дата акта]])</f>
        <v>6</v>
      </c>
      <c r="W1132" s="121">
        <v>16</v>
      </c>
      <c r="X1132" s="148">
        <f>DATE(1900,Таблица18[[#This Row],[Месяц]],Таблица18[[#This Row],[Число]])</f>
        <v>168</v>
      </c>
      <c r="Y1132" s="121"/>
      <c r="Z1132" s="121" t="str">
        <f>Таблица18[[#This Row],[Хар-ка]]</f>
        <v>второй</v>
      </c>
      <c r="AD1132" s="459"/>
      <c r="AE1132" s="391"/>
    </row>
    <row r="1133" spans="1:31" s="325" customFormat="1" ht="15.6" hidden="1" customHeight="1" x14ac:dyDescent="0.2">
      <c r="A1133" s="40" t="s">
        <v>1038</v>
      </c>
      <c r="B1133" s="360" t="s">
        <v>833</v>
      </c>
      <c r="C1133" s="40">
        <v>483</v>
      </c>
      <c r="D1133" s="40" t="s">
        <v>902</v>
      </c>
      <c r="E1133" s="40" t="s">
        <v>903</v>
      </c>
      <c r="F1133" s="40" t="s">
        <v>160</v>
      </c>
      <c r="G1133" s="40" t="s">
        <v>164</v>
      </c>
      <c r="H1133" s="40">
        <v>43</v>
      </c>
      <c r="I1133" s="360" t="e">
        <f>VLOOKUP(Таблица18[[#This Row],[Номер акта]],$AB$1:$AF$1833,3,FALSE)</f>
        <v>#N/A</v>
      </c>
      <c r="J1133" s="40" t="s">
        <v>916</v>
      </c>
      <c r="K1133" s="40" t="s">
        <v>82</v>
      </c>
      <c r="L1133" s="121">
        <v>37340</v>
      </c>
      <c r="M1133" s="121">
        <v>24030</v>
      </c>
      <c r="N1133" s="121">
        <v>8</v>
      </c>
      <c r="O1133" s="363">
        <v>13310</v>
      </c>
      <c r="P1133" s="363">
        <v>12245.2</v>
      </c>
      <c r="Q1133" s="121">
        <v>2025</v>
      </c>
      <c r="R1133" s="121"/>
      <c r="S1133" s="148">
        <v>45824</v>
      </c>
      <c r="T1133" s="363">
        <f>Таблица18[[#This Row],[Вес нетто]]-Таблица18[[#This Row],[Зачетный вес]]</f>
        <v>1064.7999999999993</v>
      </c>
      <c r="U1133" s="365">
        <f>Таблица18[[#This Row],[Отход]]/Таблица18[[#This Row],[Вес нетто]]</f>
        <v>7.9999999999999946E-2</v>
      </c>
      <c r="V1133" s="121">
        <f>MONTH(Таблица18[[#This Row],[Дата акта]])</f>
        <v>6</v>
      </c>
      <c r="W1133" s="121">
        <v>16</v>
      </c>
      <c r="X1133" s="148">
        <f>DATE(1900,Таблица18[[#This Row],[Месяц]],Таблица18[[#This Row],[Число]])</f>
        <v>168</v>
      </c>
      <c r="Y1133" s="121"/>
      <c r="Z1133" s="121" t="str">
        <f>Таблица18[[#This Row],[Хар-ка]]</f>
        <v>второй</v>
      </c>
      <c r="AD1133" s="459"/>
      <c r="AE1133" s="391"/>
    </row>
    <row r="1134" spans="1:31" s="325" customFormat="1" ht="15.6" hidden="1" customHeight="1" x14ac:dyDescent="0.2">
      <c r="A1134" s="40" t="s">
        <v>1039</v>
      </c>
      <c r="B1134" s="360" t="s">
        <v>550</v>
      </c>
      <c r="C1134" s="40">
        <v>484</v>
      </c>
      <c r="D1134" s="40" t="s">
        <v>902</v>
      </c>
      <c r="E1134" s="40" t="s">
        <v>903</v>
      </c>
      <c r="F1134" s="40" t="s">
        <v>335</v>
      </c>
      <c r="G1134" s="40" t="s">
        <v>339</v>
      </c>
      <c r="H1134" s="40" t="s">
        <v>110</v>
      </c>
      <c r="I1134" s="360" t="e">
        <f>VLOOKUP(Таблица18[[#This Row],[Номер акта]],$AB$1:$AF$1833,3,FALSE)</f>
        <v>#N/A</v>
      </c>
      <c r="J1134" s="40" t="s">
        <v>916</v>
      </c>
      <c r="K1134" s="40" t="s">
        <v>82</v>
      </c>
      <c r="L1134" s="121">
        <v>28270</v>
      </c>
      <c r="M1134" s="121">
        <v>21420</v>
      </c>
      <c r="N1134" s="121">
        <v>10.5</v>
      </c>
      <c r="O1134" s="363">
        <v>6850</v>
      </c>
      <c r="P1134" s="363">
        <v>6130.7</v>
      </c>
      <c r="Q1134" s="121">
        <v>2025</v>
      </c>
      <c r="R1134" s="121"/>
      <c r="S1134" s="148">
        <v>45824</v>
      </c>
      <c r="T1134" s="363">
        <f>Таблица18[[#This Row],[Вес нетто]]-Таблица18[[#This Row],[Зачетный вес]]</f>
        <v>719.30000000000018</v>
      </c>
      <c r="U1134" s="365">
        <f>Таблица18[[#This Row],[Отход]]/Таблица18[[#This Row],[Вес нетто]]</f>
        <v>0.10500729927007302</v>
      </c>
      <c r="V1134" s="121">
        <f>MONTH(Таблица18[[#This Row],[Дата акта]])</f>
        <v>6</v>
      </c>
      <c r="W1134" s="121">
        <v>16</v>
      </c>
      <c r="X1134" s="148">
        <f>DATE(1900,Таблица18[[#This Row],[Месяц]],Таблица18[[#This Row],[Число]])</f>
        <v>168</v>
      </c>
      <c r="Y1134" s="121"/>
      <c r="Z1134" s="121" t="str">
        <f>Таблица18[[#This Row],[Хар-ка]]</f>
        <v>первый</v>
      </c>
      <c r="AD1134" s="459"/>
      <c r="AE1134" s="391"/>
    </row>
    <row r="1135" spans="1:31" s="325" customFormat="1" ht="15.6" hidden="1" customHeight="1" x14ac:dyDescent="0.2">
      <c r="A1135" s="40" t="s">
        <v>1040</v>
      </c>
      <c r="B1135" s="360" t="s">
        <v>550</v>
      </c>
      <c r="C1135" s="40">
        <v>491</v>
      </c>
      <c r="D1135" s="40" t="s">
        <v>902</v>
      </c>
      <c r="E1135" s="40" t="s">
        <v>903</v>
      </c>
      <c r="F1135" s="40" t="s">
        <v>335</v>
      </c>
      <c r="G1135" s="40" t="s">
        <v>339</v>
      </c>
      <c r="H1135" s="40">
        <v>43</v>
      </c>
      <c r="I1135" s="360" t="e">
        <f>VLOOKUP(Таблица18[[#This Row],[Номер акта]],$AB$1:$AF$1833,3,FALSE)</f>
        <v>#N/A</v>
      </c>
      <c r="J1135" s="40" t="s">
        <v>916</v>
      </c>
      <c r="K1135" s="40" t="s">
        <v>82</v>
      </c>
      <c r="L1135" s="121">
        <v>21420</v>
      </c>
      <c r="M1135" s="121">
        <v>14770</v>
      </c>
      <c r="N1135" s="121">
        <v>14.5</v>
      </c>
      <c r="O1135" s="363">
        <v>6650</v>
      </c>
      <c r="P1135" s="363">
        <v>5685.7</v>
      </c>
      <c r="Q1135" s="121">
        <v>2025</v>
      </c>
      <c r="R1135" s="121"/>
      <c r="S1135" s="148">
        <v>45824</v>
      </c>
      <c r="T1135" s="363">
        <f>Таблица18[[#This Row],[Вес нетто]]-Таблица18[[#This Row],[Зачетный вес]]</f>
        <v>964.30000000000018</v>
      </c>
      <c r="U1135" s="365">
        <f>Таблица18[[#This Row],[Отход]]/Таблица18[[#This Row],[Вес нетто]]</f>
        <v>0.1450075187969925</v>
      </c>
      <c r="V1135" s="121">
        <f>MONTH(Таблица18[[#This Row],[Дата акта]])</f>
        <v>6</v>
      </c>
      <c r="W1135" s="121">
        <v>16</v>
      </c>
      <c r="X1135" s="148">
        <f>DATE(1900,Таблица18[[#This Row],[Месяц]],Таблица18[[#This Row],[Число]])</f>
        <v>168</v>
      </c>
      <c r="Y1135" s="121"/>
      <c r="Z1135" s="121" t="str">
        <f>Таблица18[[#This Row],[Хар-ка]]</f>
        <v>первый</v>
      </c>
      <c r="AD1135" s="459"/>
      <c r="AE1135" s="391"/>
    </row>
    <row r="1136" spans="1:31" s="325" customFormat="1" ht="15.6" hidden="1" customHeight="1" x14ac:dyDescent="0.2">
      <c r="A1136" s="40" t="s">
        <v>1041</v>
      </c>
      <c r="B1136" s="360" t="s">
        <v>511</v>
      </c>
      <c r="C1136" s="40">
        <v>487</v>
      </c>
      <c r="D1136" s="40" t="s">
        <v>902</v>
      </c>
      <c r="E1136" s="40" t="s">
        <v>914</v>
      </c>
      <c r="F1136" s="40" t="s">
        <v>737</v>
      </c>
      <c r="G1136" s="40" t="s">
        <v>738</v>
      </c>
      <c r="H1136" s="40">
        <v>15</v>
      </c>
      <c r="I1136" s="360" t="e">
        <f>VLOOKUP(Таблица18[[#This Row],[Номер акта]],$AB$1:$AF$1833,3,FALSE)</f>
        <v>#N/A</v>
      </c>
      <c r="J1136" s="40" t="s">
        <v>909</v>
      </c>
      <c r="K1136" s="40" t="s">
        <v>82</v>
      </c>
      <c r="L1136" s="121">
        <v>6630</v>
      </c>
      <c r="M1136" s="121">
        <v>4560</v>
      </c>
      <c r="N1136" s="121">
        <v>14.5</v>
      </c>
      <c r="O1136" s="363">
        <v>2070</v>
      </c>
      <c r="P1136" s="363">
        <v>1769.8</v>
      </c>
      <c r="Q1136" s="121">
        <v>2025</v>
      </c>
      <c r="R1136" s="121"/>
      <c r="S1136" s="148">
        <v>45824</v>
      </c>
      <c r="T1136" s="363">
        <f>Таблица18[[#This Row],[Вес нетто]]-Таблица18[[#This Row],[Зачетный вес]]</f>
        <v>300.20000000000005</v>
      </c>
      <c r="U1136" s="365">
        <f>Таблица18[[#This Row],[Отход]]/Таблица18[[#This Row],[Вес нетто]]</f>
        <v>0.14502415458937201</v>
      </c>
      <c r="V1136" s="121">
        <f>MONTH(Таблица18[[#This Row],[Дата акта]])</f>
        <v>6</v>
      </c>
      <c r="W1136" s="121">
        <v>16</v>
      </c>
      <c r="X1136" s="148">
        <f>DATE(1900,Таблица18[[#This Row],[Месяц]],Таблица18[[#This Row],[Число]])</f>
        <v>168</v>
      </c>
      <c r="Y1136" s="121"/>
      <c r="Z1136" s="121" t="str">
        <f>Таблица18[[#This Row],[Хар-ка]]</f>
        <v>высший</v>
      </c>
      <c r="AD1136" s="459"/>
      <c r="AE1136" s="391"/>
    </row>
    <row r="1137" spans="1:31" s="325" customFormat="1" ht="15.6" hidden="1" customHeight="1" x14ac:dyDescent="0.2">
      <c r="A1137" s="40" t="s">
        <v>1042</v>
      </c>
      <c r="B1137" s="360" t="s">
        <v>550</v>
      </c>
      <c r="C1137" s="40">
        <v>489</v>
      </c>
      <c r="D1137" s="40">
        <v>87</v>
      </c>
      <c r="E1137" s="40" t="s">
        <v>903</v>
      </c>
      <c r="F1137" s="40" t="s">
        <v>1253</v>
      </c>
      <c r="G1137" s="40" t="s">
        <v>270</v>
      </c>
      <c r="H1137" s="40">
        <v>44</v>
      </c>
      <c r="I1137" s="360" t="e">
        <f>VLOOKUP(Таблица18[[#This Row],[Номер акта]],$AB$1:$AF$1833,3,FALSE)</f>
        <v>#N/A</v>
      </c>
      <c r="J1137" s="40" t="s">
        <v>916</v>
      </c>
      <c r="K1137" s="40" t="s">
        <v>82</v>
      </c>
      <c r="L1137" s="121">
        <v>27820</v>
      </c>
      <c r="M1137" s="121">
        <v>21170</v>
      </c>
      <c r="N1137" s="121">
        <v>12.5</v>
      </c>
      <c r="O1137" s="363">
        <v>6650</v>
      </c>
      <c r="P1137" s="363">
        <v>5818.7</v>
      </c>
      <c r="Q1137" s="121">
        <v>2025</v>
      </c>
      <c r="R1137" s="121"/>
      <c r="S1137" s="148">
        <v>45824</v>
      </c>
      <c r="T1137" s="363">
        <f>Таблица18[[#This Row],[Вес нетто]]-Таблица18[[#This Row],[Зачетный вес]]</f>
        <v>831.30000000000018</v>
      </c>
      <c r="U1137" s="365">
        <f>Таблица18[[#This Row],[Отход]]/Таблица18[[#This Row],[Вес нетто]]</f>
        <v>0.12500751879699251</v>
      </c>
      <c r="V1137" s="121">
        <f>MONTH(Таблица18[[#This Row],[Дата акта]])</f>
        <v>6</v>
      </c>
      <c r="W1137" s="121">
        <v>16</v>
      </c>
      <c r="X1137" s="148">
        <f>DATE(1900,Таблица18[[#This Row],[Месяц]],Таблица18[[#This Row],[Число]])</f>
        <v>168</v>
      </c>
      <c r="Y1137" s="121"/>
      <c r="Z1137" s="121" t="str">
        <f>Таблица18[[#This Row],[Хар-ка]]</f>
        <v>первый</v>
      </c>
      <c r="AD1137" s="459"/>
      <c r="AE1137" s="391"/>
    </row>
    <row r="1138" spans="1:31" s="325" customFormat="1" ht="15.6" hidden="1" customHeight="1" x14ac:dyDescent="0.2">
      <c r="A1138" s="40" t="s">
        <v>1043</v>
      </c>
      <c r="B1138" s="360" t="s">
        <v>550</v>
      </c>
      <c r="C1138" s="40">
        <v>490</v>
      </c>
      <c r="D1138" s="40">
        <v>47</v>
      </c>
      <c r="E1138" s="40" t="s">
        <v>903</v>
      </c>
      <c r="F1138" s="40" t="s">
        <v>272</v>
      </c>
      <c r="G1138" s="40" t="s">
        <v>276</v>
      </c>
      <c r="H1138" s="40">
        <v>44</v>
      </c>
      <c r="I1138" s="360" t="e">
        <f>VLOOKUP(Таблица18[[#This Row],[Номер акта]],$AB$1:$AF$1833,3,FALSE)</f>
        <v>#N/A</v>
      </c>
      <c r="J1138" s="40" t="s">
        <v>916</v>
      </c>
      <c r="K1138" s="40" t="s">
        <v>82</v>
      </c>
      <c r="L1138" s="121">
        <v>27950</v>
      </c>
      <c r="M1138" s="121">
        <v>14670</v>
      </c>
      <c r="N1138" s="121">
        <v>10.5</v>
      </c>
      <c r="O1138" s="363">
        <v>13280</v>
      </c>
      <c r="P1138" s="363">
        <v>11885.6</v>
      </c>
      <c r="Q1138" s="121">
        <v>2025</v>
      </c>
      <c r="R1138" s="121"/>
      <c r="S1138" s="148">
        <v>45824</v>
      </c>
      <c r="T1138" s="363">
        <f>Таблица18[[#This Row],[Вес нетто]]-Таблица18[[#This Row],[Зачетный вес]]</f>
        <v>1394.3999999999996</v>
      </c>
      <c r="U1138" s="365">
        <f>Таблица18[[#This Row],[Отход]]/Таблица18[[#This Row],[Вес нетто]]</f>
        <v>0.10499999999999997</v>
      </c>
      <c r="V1138" s="121">
        <f>MONTH(Таблица18[[#This Row],[Дата акта]])</f>
        <v>6</v>
      </c>
      <c r="W1138" s="121">
        <v>16</v>
      </c>
      <c r="X1138" s="148">
        <f>DATE(1900,Таблица18[[#This Row],[Месяц]],Таблица18[[#This Row],[Число]])</f>
        <v>168</v>
      </c>
      <c r="Y1138" s="121"/>
      <c r="Z1138" s="121" t="str">
        <f>Таблица18[[#This Row],[Хар-ка]]</f>
        <v>первый</v>
      </c>
      <c r="AD1138" s="459"/>
      <c r="AE1138" s="391"/>
    </row>
    <row r="1139" spans="1:31" s="325" customFormat="1" ht="15.6" hidden="1" customHeight="1" x14ac:dyDescent="0.2">
      <c r="A1139" s="40" t="s">
        <v>978</v>
      </c>
      <c r="B1139" s="360" t="s">
        <v>511</v>
      </c>
      <c r="C1139" s="40">
        <v>497</v>
      </c>
      <c r="D1139" s="40" t="s">
        <v>902</v>
      </c>
      <c r="E1139" s="40" t="s">
        <v>914</v>
      </c>
      <c r="F1139" s="40" t="s">
        <v>311</v>
      </c>
      <c r="G1139" s="40" t="s">
        <v>315</v>
      </c>
      <c r="H1139" s="40">
        <v>16</v>
      </c>
      <c r="I1139" s="360" t="e">
        <f>VLOOKUP(Таблица18[[#This Row],[Номер акта]],$AB$1:$AF$1833,3,FALSE)</f>
        <v>#N/A</v>
      </c>
      <c r="J1139" s="40" t="s">
        <v>909</v>
      </c>
      <c r="K1139" s="40" t="s">
        <v>82</v>
      </c>
      <c r="L1139" s="121">
        <v>16710</v>
      </c>
      <c r="M1139" s="121">
        <v>9700</v>
      </c>
      <c r="N1139" s="121">
        <v>19.5</v>
      </c>
      <c r="O1139" s="363">
        <v>7010</v>
      </c>
      <c r="P1139" s="363">
        <v>5643</v>
      </c>
      <c r="Q1139" s="121">
        <v>2025</v>
      </c>
      <c r="R1139" s="121"/>
      <c r="S1139" s="148">
        <v>45824</v>
      </c>
      <c r="T1139" s="363">
        <f>Таблица18[[#This Row],[Вес нетто]]-Таблица18[[#This Row],[Зачетный вес]]</f>
        <v>1367</v>
      </c>
      <c r="U1139" s="365">
        <f>Таблица18[[#This Row],[Отход]]/Таблица18[[#This Row],[Вес нетто]]</f>
        <v>0.19500713266761768</v>
      </c>
      <c r="V1139" s="121">
        <f>MONTH(Таблица18[[#This Row],[Дата акта]])</f>
        <v>6</v>
      </c>
      <c r="W1139" s="121">
        <v>16</v>
      </c>
      <c r="X1139" s="148">
        <f>DATE(1900,Таблица18[[#This Row],[Месяц]],Таблица18[[#This Row],[Число]])</f>
        <v>168</v>
      </c>
      <c r="Y1139" s="121"/>
      <c r="Z1139" s="121" t="str">
        <f>Таблица18[[#This Row],[Хар-ка]]</f>
        <v>высший</v>
      </c>
      <c r="AD1139" s="459"/>
      <c r="AE1139" s="391"/>
    </row>
    <row r="1140" spans="1:31" s="325" customFormat="1" ht="15.6" hidden="1" customHeight="1" x14ac:dyDescent="0.2">
      <c r="A1140" s="40" t="s">
        <v>979</v>
      </c>
      <c r="B1140" s="360" t="s">
        <v>511</v>
      </c>
      <c r="C1140" s="40">
        <v>503</v>
      </c>
      <c r="D1140" s="40">
        <v>95</v>
      </c>
      <c r="E1140" s="40" t="s">
        <v>903</v>
      </c>
      <c r="F1140" s="40" t="s">
        <v>234</v>
      </c>
      <c r="G1140" s="40" t="s">
        <v>238</v>
      </c>
      <c r="H1140" s="40">
        <v>46</v>
      </c>
      <c r="I1140" s="360" t="e">
        <f>VLOOKUP(Таблица18[[#This Row],[Номер акта]],$AB$1:$AF$1833,3,FALSE)</f>
        <v>#N/A</v>
      </c>
      <c r="J1140" s="40" t="s">
        <v>909</v>
      </c>
      <c r="K1140" s="40" t="s">
        <v>82</v>
      </c>
      <c r="L1140" s="121">
        <v>29220</v>
      </c>
      <c r="M1140" s="121">
        <v>15490</v>
      </c>
      <c r="N1140" s="121">
        <v>15.5</v>
      </c>
      <c r="O1140" s="363">
        <v>13730</v>
      </c>
      <c r="P1140" s="363">
        <v>11601.8</v>
      </c>
      <c r="Q1140" s="121">
        <v>2025</v>
      </c>
      <c r="R1140" s="121"/>
      <c r="S1140" s="148">
        <v>45825</v>
      </c>
      <c r="T1140" s="363">
        <f>Таблица18[[#This Row],[Вес нетто]]-Таблица18[[#This Row],[Зачетный вес]]</f>
        <v>2128.2000000000007</v>
      </c>
      <c r="U1140" s="365">
        <f>Таблица18[[#This Row],[Отход]]/Таблица18[[#This Row],[Вес нетто]]</f>
        <v>0.1550036416605973</v>
      </c>
      <c r="V1140" s="121">
        <f>MONTH(Таблица18[[#This Row],[Дата акта]])</f>
        <v>6</v>
      </c>
      <c r="W1140" s="121">
        <v>17</v>
      </c>
      <c r="X1140" s="148">
        <f>DATE(1900,Таблица18[[#This Row],[Месяц]],Таблица18[[#This Row],[Число]])</f>
        <v>169</v>
      </c>
      <c r="Y1140" s="121"/>
      <c r="Z1140" s="121" t="str">
        <f>Таблица18[[#This Row],[Хар-ка]]</f>
        <v>высший</v>
      </c>
      <c r="AD1140" s="459"/>
      <c r="AE1140" s="391"/>
    </row>
    <row r="1141" spans="1:31" s="325" customFormat="1" ht="15.6" hidden="1" customHeight="1" x14ac:dyDescent="0.2">
      <c r="A1141" s="40" t="s">
        <v>980</v>
      </c>
      <c r="B1141" s="360" t="s">
        <v>511</v>
      </c>
      <c r="C1141" s="40">
        <v>505</v>
      </c>
      <c r="D1141" s="40" t="s">
        <v>902</v>
      </c>
      <c r="E1141" s="40" t="s">
        <v>914</v>
      </c>
      <c r="F1141" s="40" t="s">
        <v>762</v>
      </c>
      <c r="G1141" s="40" t="s">
        <v>763</v>
      </c>
      <c r="H1141" s="40">
        <v>16</v>
      </c>
      <c r="I1141" s="360" t="e">
        <f>VLOOKUP(Таблица18[[#This Row],[Номер акта]],$AB$1:$AF$1833,3,FALSE)</f>
        <v>#N/A</v>
      </c>
      <c r="J1141" s="40" t="s">
        <v>909</v>
      </c>
      <c r="K1141" s="40" t="s">
        <v>82</v>
      </c>
      <c r="L1141" s="121">
        <v>9640</v>
      </c>
      <c r="M1141" s="121">
        <v>4650</v>
      </c>
      <c r="N1141" s="121">
        <v>8.5</v>
      </c>
      <c r="O1141" s="363">
        <v>4990</v>
      </c>
      <c r="P1141" s="363">
        <v>4565.8</v>
      </c>
      <c r="Q1141" s="121">
        <v>2025</v>
      </c>
      <c r="R1141" s="121"/>
      <c r="S1141" s="148">
        <v>45825</v>
      </c>
      <c r="T1141" s="363">
        <f>Таблица18[[#This Row],[Вес нетто]]-Таблица18[[#This Row],[Зачетный вес]]</f>
        <v>424.19999999999982</v>
      </c>
      <c r="U1141" s="365">
        <f>Таблица18[[#This Row],[Отход]]/Таблица18[[#This Row],[Вес нетто]]</f>
        <v>8.5010020040080125E-2</v>
      </c>
      <c r="V1141" s="121">
        <f>MONTH(Таблица18[[#This Row],[Дата акта]])</f>
        <v>6</v>
      </c>
      <c r="W1141" s="121">
        <v>17</v>
      </c>
      <c r="X1141" s="148">
        <f>DATE(1900,Таблица18[[#This Row],[Месяц]],Таблица18[[#This Row],[Число]])</f>
        <v>169</v>
      </c>
      <c r="Y1141" s="121"/>
      <c r="Z1141" s="121" t="str">
        <f>Таблица18[[#This Row],[Хар-ка]]</f>
        <v>высший</v>
      </c>
      <c r="AD1141" s="459"/>
      <c r="AE1141" s="391"/>
    </row>
    <row r="1142" spans="1:31" s="325" customFormat="1" ht="15.6" hidden="1" customHeight="1" x14ac:dyDescent="0.2">
      <c r="A1142" s="40" t="s">
        <v>981</v>
      </c>
      <c r="B1142" s="360" t="s">
        <v>511</v>
      </c>
      <c r="C1142" s="40">
        <v>506</v>
      </c>
      <c r="D1142" s="40" t="s">
        <v>902</v>
      </c>
      <c r="E1142" s="40" t="s">
        <v>903</v>
      </c>
      <c r="F1142" s="40" t="s">
        <v>212</v>
      </c>
      <c r="G1142" s="40" t="s">
        <v>216</v>
      </c>
      <c r="H1142" s="40">
        <v>46</v>
      </c>
      <c r="I1142" s="360" t="e">
        <f>VLOOKUP(Таблица18[[#This Row],[Номер акта]],$AB$1:$AF$1833,3,FALSE)</f>
        <v>#N/A</v>
      </c>
      <c r="J1142" s="40" t="s">
        <v>909</v>
      </c>
      <c r="K1142" s="40" t="s">
        <v>82</v>
      </c>
      <c r="L1142" s="121">
        <v>27130</v>
      </c>
      <c r="M1142" s="121">
        <v>13820</v>
      </c>
      <c r="N1142" s="121">
        <v>21</v>
      </c>
      <c r="O1142" s="363">
        <v>13310</v>
      </c>
      <c r="P1142" s="363">
        <v>10514.9</v>
      </c>
      <c r="Q1142" s="121">
        <v>2025</v>
      </c>
      <c r="R1142" s="121"/>
      <c r="S1142" s="148">
        <v>45825</v>
      </c>
      <c r="T1142" s="363">
        <f>Таблица18[[#This Row],[Вес нетто]]-Таблица18[[#This Row],[Зачетный вес]]</f>
        <v>2795.1000000000004</v>
      </c>
      <c r="U1142" s="365">
        <f>Таблица18[[#This Row],[Отход]]/Таблица18[[#This Row],[Вес нетто]]</f>
        <v>0.21000000000000002</v>
      </c>
      <c r="V1142" s="121">
        <f>MONTH(Таблица18[[#This Row],[Дата акта]])</f>
        <v>6</v>
      </c>
      <c r="W1142" s="121">
        <v>17</v>
      </c>
      <c r="X1142" s="148">
        <f>DATE(1900,Таблица18[[#This Row],[Месяц]],Таблица18[[#This Row],[Число]])</f>
        <v>169</v>
      </c>
      <c r="Y1142" s="121"/>
      <c r="Z1142" s="121" t="str">
        <f>Таблица18[[#This Row],[Хар-ка]]</f>
        <v>высший</v>
      </c>
      <c r="AD1142" s="459"/>
      <c r="AE1142" s="391"/>
    </row>
    <row r="1143" spans="1:31" s="325" customFormat="1" ht="15.6" hidden="1" customHeight="1" x14ac:dyDescent="0.2">
      <c r="A1143" s="40" t="s">
        <v>982</v>
      </c>
      <c r="B1143" s="360" t="s">
        <v>511</v>
      </c>
      <c r="C1143" s="40">
        <v>507</v>
      </c>
      <c r="D1143" s="40" t="s">
        <v>902</v>
      </c>
      <c r="E1143" s="40" t="s">
        <v>903</v>
      </c>
      <c r="F1143" s="40" t="s">
        <v>195</v>
      </c>
      <c r="G1143" s="40" t="s">
        <v>199</v>
      </c>
      <c r="H1143" s="40">
        <v>46</v>
      </c>
      <c r="I1143" s="360" t="e">
        <f>VLOOKUP(Таблица18[[#This Row],[Номер акта]],$AB$1:$AF$1833,3,FALSE)</f>
        <v>#N/A</v>
      </c>
      <c r="J1143" s="40" t="s">
        <v>909</v>
      </c>
      <c r="K1143" s="40" t="s">
        <v>82</v>
      </c>
      <c r="L1143" s="121">
        <v>30100</v>
      </c>
      <c r="M1143" s="121">
        <v>15310</v>
      </c>
      <c r="N1143" s="121">
        <v>14.5</v>
      </c>
      <c r="O1143" s="363">
        <v>14790</v>
      </c>
      <c r="P1143" s="363">
        <v>12645.4</v>
      </c>
      <c r="Q1143" s="121">
        <v>2025</v>
      </c>
      <c r="R1143" s="121"/>
      <c r="S1143" s="148">
        <v>45825</v>
      </c>
      <c r="T1143" s="363">
        <f>Таблица18[[#This Row],[Вес нетто]]-Таблица18[[#This Row],[Зачетный вес]]</f>
        <v>2144.6000000000004</v>
      </c>
      <c r="U1143" s="365">
        <f>Таблица18[[#This Row],[Отход]]/Таблица18[[#This Row],[Вес нетто]]</f>
        <v>0.1450033806626099</v>
      </c>
      <c r="V1143" s="121">
        <f>MONTH(Таблица18[[#This Row],[Дата акта]])</f>
        <v>6</v>
      </c>
      <c r="W1143" s="121">
        <v>17</v>
      </c>
      <c r="X1143" s="148">
        <f>DATE(1900,Таблица18[[#This Row],[Месяц]],Таблица18[[#This Row],[Число]])</f>
        <v>169</v>
      </c>
      <c r="Y1143" s="121"/>
      <c r="Z1143" s="121" t="str">
        <f>Таблица18[[#This Row],[Хар-ка]]</f>
        <v>высший</v>
      </c>
      <c r="AD1143" s="459"/>
      <c r="AE1143" s="391"/>
    </row>
    <row r="1144" spans="1:31" s="325" customFormat="1" ht="15.6" hidden="1" customHeight="1" x14ac:dyDescent="0.2">
      <c r="A1144" s="40" t="s">
        <v>983</v>
      </c>
      <c r="B1144" s="360" t="s">
        <v>511</v>
      </c>
      <c r="C1144" s="40">
        <v>508</v>
      </c>
      <c r="D1144" s="40" t="s">
        <v>902</v>
      </c>
      <c r="E1144" s="40" t="s">
        <v>914</v>
      </c>
      <c r="F1144" s="40" t="s">
        <v>737</v>
      </c>
      <c r="G1144" s="40" t="s">
        <v>738</v>
      </c>
      <c r="H1144" s="40">
        <v>16</v>
      </c>
      <c r="I1144" s="360" t="e">
        <f>VLOOKUP(Таблица18[[#This Row],[Номер акта]],$AB$1:$AF$1833,3,FALSE)</f>
        <v>#N/A</v>
      </c>
      <c r="J1144" s="40" t="s">
        <v>909</v>
      </c>
      <c r="K1144" s="40" t="s">
        <v>82</v>
      </c>
      <c r="L1144" s="121">
        <v>8350</v>
      </c>
      <c r="M1144" s="121">
        <v>4580</v>
      </c>
      <c r="N1144" s="121">
        <v>9.5</v>
      </c>
      <c r="O1144" s="363">
        <v>3770</v>
      </c>
      <c r="P1144" s="363">
        <v>3411.8</v>
      </c>
      <c r="Q1144" s="121">
        <v>2025</v>
      </c>
      <c r="R1144" s="121"/>
      <c r="S1144" s="148">
        <v>45825</v>
      </c>
      <c r="T1144" s="363">
        <f>Таблица18[[#This Row],[Вес нетто]]-Таблица18[[#This Row],[Зачетный вес]]</f>
        <v>358.19999999999982</v>
      </c>
      <c r="U1144" s="365">
        <f>Таблица18[[#This Row],[Отход]]/Таблица18[[#This Row],[Вес нетто]]</f>
        <v>9.5013262599469447E-2</v>
      </c>
      <c r="V1144" s="121">
        <f>MONTH(Таблица18[[#This Row],[Дата акта]])</f>
        <v>6</v>
      </c>
      <c r="W1144" s="121">
        <v>17</v>
      </c>
      <c r="X1144" s="148">
        <f>DATE(1900,Таблица18[[#This Row],[Месяц]],Таблица18[[#This Row],[Число]])</f>
        <v>169</v>
      </c>
      <c r="Y1144" s="121"/>
      <c r="Z1144" s="121" t="str">
        <f>Таблица18[[#This Row],[Хар-ка]]</f>
        <v>высший</v>
      </c>
      <c r="AD1144" s="459"/>
      <c r="AE1144" s="391"/>
    </row>
    <row r="1145" spans="1:31" s="325" customFormat="1" ht="15.6" hidden="1" customHeight="1" x14ac:dyDescent="0.2">
      <c r="A1145" s="40" t="s">
        <v>984</v>
      </c>
      <c r="B1145" s="360" t="s">
        <v>511</v>
      </c>
      <c r="C1145" s="40">
        <v>509</v>
      </c>
      <c r="D1145" s="40" t="s">
        <v>902</v>
      </c>
      <c r="E1145" s="40" t="s">
        <v>914</v>
      </c>
      <c r="F1145" s="40" t="s">
        <v>762</v>
      </c>
      <c r="G1145" s="40" t="s">
        <v>763</v>
      </c>
      <c r="H1145" s="40">
        <v>15</v>
      </c>
      <c r="I1145" s="360" t="e">
        <f>VLOOKUP(Таблица18[[#This Row],[Номер акта]],$AB$1:$AF$1833,3,FALSE)</f>
        <v>#N/A</v>
      </c>
      <c r="J1145" s="40" t="s">
        <v>909</v>
      </c>
      <c r="K1145" s="40" t="s">
        <v>82</v>
      </c>
      <c r="L1145" s="121">
        <v>6950</v>
      </c>
      <c r="M1145" s="121">
        <v>4600</v>
      </c>
      <c r="N1145" s="121">
        <v>12.5</v>
      </c>
      <c r="O1145" s="363">
        <v>2350</v>
      </c>
      <c r="P1145" s="363">
        <v>2056.1999999999998</v>
      </c>
      <c r="Q1145" s="121">
        <v>2025</v>
      </c>
      <c r="R1145" s="121"/>
      <c r="S1145" s="148">
        <v>45825</v>
      </c>
      <c r="T1145" s="363">
        <f>Таблица18[[#This Row],[Вес нетто]]-Таблица18[[#This Row],[Зачетный вес]]</f>
        <v>293.80000000000018</v>
      </c>
      <c r="U1145" s="365">
        <f>Таблица18[[#This Row],[Отход]]/Таблица18[[#This Row],[Вес нетто]]</f>
        <v>0.12502127659574475</v>
      </c>
      <c r="V1145" s="121">
        <f>MONTH(Таблица18[[#This Row],[Дата акта]])</f>
        <v>6</v>
      </c>
      <c r="W1145" s="121">
        <v>17</v>
      </c>
      <c r="X1145" s="148">
        <f>DATE(1900,Таблица18[[#This Row],[Месяц]],Таблица18[[#This Row],[Число]])</f>
        <v>169</v>
      </c>
      <c r="Y1145" s="121"/>
      <c r="Z1145" s="121" t="str">
        <f>Таблица18[[#This Row],[Хар-ка]]</f>
        <v>высший</v>
      </c>
      <c r="AD1145" s="459"/>
      <c r="AE1145" s="391"/>
    </row>
    <row r="1146" spans="1:31" s="325" customFormat="1" ht="15.6" hidden="1" customHeight="1" x14ac:dyDescent="0.2">
      <c r="A1146" s="40" t="s">
        <v>985</v>
      </c>
      <c r="B1146" s="360" t="s">
        <v>511</v>
      </c>
      <c r="C1146" s="40">
        <v>510</v>
      </c>
      <c r="D1146" s="40" t="s">
        <v>902</v>
      </c>
      <c r="E1146" s="40" t="s">
        <v>914</v>
      </c>
      <c r="F1146" s="40" t="s">
        <v>737</v>
      </c>
      <c r="G1146" s="40" t="s">
        <v>738</v>
      </c>
      <c r="H1146" s="40">
        <v>15</v>
      </c>
      <c r="I1146" s="360" t="e">
        <f>VLOOKUP(Таблица18[[#This Row],[Номер акта]],$AB$1:$AF$1833,3,FALSE)</f>
        <v>#N/A</v>
      </c>
      <c r="J1146" s="40" t="s">
        <v>909</v>
      </c>
      <c r="K1146" s="40" t="s">
        <v>82</v>
      </c>
      <c r="L1146" s="121">
        <v>9060</v>
      </c>
      <c r="M1146" s="121">
        <v>4550</v>
      </c>
      <c r="N1146" s="121">
        <v>20.5</v>
      </c>
      <c r="O1146" s="363">
        <v>4510</v>
      </c>
      <c r="P1146" s="363">
        <v>3585.4</v>
      </c>
      <c r="Q1146" s="121">
        <v>2025</v>
      </c>
      <c r="R1146" s="121"/>
      <c r="S1146" s="148">
        <v>45825</v>
      </c>
      <c r="T1146" s="363">
        <f>Таблица18[[#This Row],[Вес нетто]]-Таблица18[[#This Row],[Зачетный вес]]</f>
        <v>924.59999999999991</v>
      </c>
      <c r="U1146" s="365">
        <f>Таблица18[[#This Row],[Отход]]/Таблица18[[#This Row],[Вес нетто]]</f>
        <v>0.20501108647450109</v>
      </c>
      <c r="V1146" s="121">
        <f>MONTH(Таблица18[[#This Row],[Дата акта]])</f>
        <v>6</v>
      </c>
      <c r="W1146" s="121">
        <v>17</v>
      </c>
      <c r="X1146" s="148">
        <f>DATE(1900,Таблица18[[#This Row],[Месяц]],Таблица18[[#This Row],[Число]])</f>
        <v>169</v>
      </c>
      <c r="Y1146" s="121"/>
      <c r="Z1146" s="121" t="str">
        <f>Таблица18[[#This Row],[Хар-ка]]</f>
        <v>высший</v>
      </c>
      <c r="AD1146" s="459"/>
      <c r="AE1146" s="391"/>
    </row>
    <row r="1147" spans="1:31" s="325" customFormat="1" ht="15.6" hidden="1" customHeight="1" x14ac:dyDescent="0.2">
      <c r="A1147" s="40" t="s">
        <v>986</v>
      </c>
      <c r="B1147" s="360" t="s">
        <v>511</v>
      </c>
      <c r="C1147" s="40">
        <v>511</v>
      </c>
      <c r="D1147" s="40" t="s">
        <v>902</v>
      </c>
      <c r="E1147" s="40" t="s">
        <v>914</v>
      </c>
      <c r="F1147" s="40" t="s">
        <v>121</v>
      </c>
      <c r="G1147" s="40" t="s">
        <v>125</v>
      </c>
      <c r="H1147" s="40">
        <v>15</v>
      </c>
      <c r="I1147" s="360" t="e">
        <f>VLOOKUP(Таблица18[[#This Row],[Номер акта]],$AB$1:$AF$1833,3,FALSE)</f>
        <v>#N/A</v>
      </c>
      <c r="J1147" s="40" t="s">
        <v>909</v>
      </c>
      <c r="K1147" s="40" t="s">
        <v>82</v>
      </c>
      <c r="L1147" s="121">
        <v>28310</v>
      </c>
      <c r="M1147" s="121">
        <v>14750</v>
      </c>
      <c r="N1147" s="121">
        <v>14.5</v>
      </c>
      <c r="O1147" s="363">
        <v>13560</v>
      </c>
      <c r="P1147" s="363">
        <v>11593.8</v>
      </c>
      <c r="Q1147" s="121">
        <v>2025</v>
      </c>
      <c r="R1147" s="121"/>
      <c r="S1147" s="148">
        <v>45825</v>
      </c>
      <c r="T1147" s="363">
        <f>Таблица18[[#This Row],[Вес нетто]]-Таблица18[[#This Row],[Зачетный вес]]</f>
        <v>1966.2000000000007</v>
      </c>
      <c r="U1147" s="365">
        <f>Таблица18[[#This Row],[Отход]]/Таблица18[[#This Row],[Вес нетто]]</f>
        <v>0.14500000000000005</v>
      </c>
      <c r="V1147" s="121">
        <f>MONTH(Таблица18[[#This Row],[Дата акта]])</f>
        <v>6</v>
      </c>
      <c r="W1147" s="121">
        <v>17</v>
      </c>
      <c r="X1147" s="148">
        <f>DATE(1900,Таблица18[[#This Row],[Месяц]],Таблица18[[#This Row],[Число]])</f>
        <v>169</v>
      </c>
      <c r="Y1147" s="121"/>
      <c r="Z1147" s="121" t="str">
        <f>Таблица18[[#This Row],[Хар-ка]]</f>
        <v>высший</v>
      </c>
      <c r="AD1147" s="459"/>
      <c r="AE1147" s="391"/>
    </row>
    <row r="1148" spans="1:31" s="325" customFormat="1" ht="15.6" hidden="1" customHeight="1" x14ac:dyDescent="0.2">
      <c r="A1148" s="40" t="s">
        <v>987</v>
      </c>
      <c r="B1148" s="360" t="s">
        <v>511</v>
      </c>
      <c r="C1148" s="40">
        <v>512</v>
      </c>
      <c r="D1148" s="40" t="s">
        <v>902</v>
      </c>
      <c r="E1148" s="40" t="s">
        <v>914</v>
      </c>
      <c r="F1148" s="40" t="s">
        <v>239</v>
      </c>
      <c r="G1148" s="40" t="s">
        <v>243</v>
      </c>
      <c r="H1148" s="40">
        <v>15</v>
      </c>
      <c r="I1148" s="360" t="e">
        <f>VLOOKUP(Таблица18[[#This Row],[Номер акта]],$AB$1:$AF$1833,3,FALSE)</f>
        <v>#N/A</v>
      </c>
      <c r="J1148" s="40" t="s">
        <v>909</v>
      </c>
      <c r="K1148" s="40" t="s">
        <v>82</v>
      </c>
      <c r="L1148" s="121">
        <v>28060</v>
      </c>
      <c r="M1148" s="121">
        <v>14670</v>
      </c>
      <c r="N1148" s="121">
        <v>13.5</v>
      </c>
      <c r="O1148" s="363">
        <v>13390</v>
      </c>
      <c r="P1148" s="363">
        <v>11582.3</v>
      </c>
      <c r="Q1148" s="121">
        <v>2025</v>
      </c>
      <c r="R1148" s="121"/>
      <c r="S1148" s="148">
        <v>45826</v>
      </c>
      <c r="T1148" s="363">
        <f>Таблица18[[#This Row],[Вес нетто]]-Таблица18[[#This Row],[Зачетный вес]]</f>
        <v>1807.7000000000007</v>
      </c>
      <c r="U1148" s="365">
        <f>Таблица18[[#This Row],[Отход]]/Таблица18[[#This Row],[Вес нетто]]</f>
        <v>0.13500373412994779</v>
      </c>
      <c r="V1148" s="121">
        <f>MONTH(Таблица18[[#This Row],[Дата акта]])</f>
        <v>6</v>
      </c>
      <c r="W1148" s="121">
        <v>18</v>
      </c>
      <c r="X1148" s="148">
        <f>DATE(1900,Таблица18[[#This Row],[Месяц]],Таблица18[[#This Row],[Число]])</f>
        <v>170</v>
      </c>
      <c r="Y1148" s="121"/>
      <c r="Z1148" s="121" t="str">
        <f>Таблица18[[#This Row],[Хар-ка]]</f>
        <v>высший</v>
      </c>
      <c r="AD1148" s="459"/>
      <c r="AE1148" s="391"/>
    </row>
    <row r="1149" spans="1:31" s="325" customFormat="1" ht="15.6" hidden="1" customHeight="1" x14ac:dyDescent="0.2">
      <c r="A1149" s="40" t="s">
        <v>988</v>
      </c>
      <c r="B1149" s="360" t="s">
        <v>511</v>
      </c>
      <c r="C1149" s="40">
        <v>513</v>
      </c>
      <c r="D1149" s="40" t="s">
        <v>902</v>
      </c>
      <c r="E1149" s="40" t="s">
        <v>914</v>
      </c>
      <c r="F1149" s="40" t="s">
        <v>244</v>
      </c>
      <c r="G1149" s="40" t="s">
        <v>248</v>
      </c>
      <c r="H1149" s="40">
        <v>15</v>
      </c>
      <c r="I1149" s="360" t="e">
        <f>VLOOKUP(Таблица18[[#This Row],[Номер акта]],$AB$1:$AF$1833,3,FALSE)</f>
        <v>#N/A</v>
      </c>
      <c r="J1149" s="40" t="s">
        <v>909</v>
      </c>
      <c r="K1149" s="40" t="s">
        <v>82</v>
      </c>
      <c r="L1149" s="121">
        <v>29120</v>
      </c>
      <c r="M1149" s="121">
        <v>15650</v>
      </c>
      <c r="N1149" s="121">
        <v>13.5</v>
      </c>
      <c r="O1149" s="363">
        <v>13470</v>
      </c>
      <c r="P1149" s="363">
        <v>11651.5</v>
      </c>
      <c r="Q1149" s="121">
        <v>2025</v>
      </c>
      <c r="R1149" s="121"/>
      <c r="S1149" s="148">
        <v>45826</v>
      </c>
      <c r="T1149" s="363">
        <f>Таблица18[[#This Row],[Вес нетто]]-Таблица18[[#This Row],[Зачетный вес]]</f>
        <v>1818.5</v>
      </c>
      <c r="U1149" s="365">
        <f>Таблица18[[#This Row],[Отход]]/Таблица18[[#This Row],[Вес нетто]]</f>
        <v>0.135003711952487</v>
      </c>
      <c r="V1149" s="121">
        <f>MONTH(Таблица18[[#This Row],[Дата акта]])</f>
        <v>6</v>
      </c>
      <c r="W1149" s="121">
        <v>18</v>
      </c>
      <c r="X1149" s="148">
        <f>DATE(1900,Таблица18[[#This Row],[Месяц]],Таблица18[[#This Row],[Число]])</f>
        <v>170</v>
      </c>
      <c r="Y1149" s="121"/>
      <c r="Z1149" s="121" t="str">
        <f>Таблица18[[#This Row],[Хар-ка]]</f>
        <v>высший</v>
      </c>
      <c r="AD1149" s="459"/>
      <c r="AE1149" s="391"/>
    </row>
    <row r="1150" spans="1:31" s="325" customFormat="1" ht="15.6" hidden="1" customHeight="1" x14ac:dyDescent="0.2">
      <c r="A1150" s="40" t="s">
        <v>989</v>
      </c>
      <c r="B1150" s="360" t="s">
        <v>511</v>
      </c>
      <c r="C1150" s="40">
        <v>514</v>
      </c>
      <c r="D1150" s="40" t="s">
        <v>902</v>
      </c>
      <c r="E1150" s="40" t="s">
        <v>914</v>
      </c>
      <c r="F1150" s="40" t="s">
        <v>212</v>
      </c>
      <c r="G1150" s="40" t="s">
        <v>216</v>
      </c>
      <c r="H1150" s="40">
        <v>15</v>
      </c>
      <c r="I1150" s="360" t="e">
        <f>VLOOKUP(Таблица18[[#This Row],[Номер акта]],$AB$1:$AF$1833,3,FALSE)</f>
        <v>#N/A</v>
      </c>
      <c r="J1150" s="40" t="s">
        <v>909</v>
      </c>
      <c r="K1150" s="40" t="s">
        <v>82</v>
      </c>
      <c r="L1150" s="121">
        <v>27390</v>
      </c>
      <c r="M1150" s="121">
        <v>13870</v>
      </c>
      <c r="N1150" s="121">
        <v>12.5</v>
      </c>
      <c r="O1150" s="363">
        <v>13520</v>
      </c>
      <c r="P1150" s="363">
        <v>11830</v>
      </c>
      <c r="Q1150" s="121">
        <v>2025</v>
      </c>
      <c r="R1150" s="121"/>
      <c r="S1150" s="148">
        <v>45826</v>
      </c>
      <c r="T1150" s="363">
        <f>Таблица18[[#This Row],[Вес нетто]]-Таблица18[[#This Row],[Зачетный вес]]</f>
        <v>1690</v>
      </c>
      <c r="U1150" s="365">
        <f>Таблица18[[#This Row],[Отход]]/Таблица18[[#This Row],[Вес нетто]]</f>
        <v>0.125</v>
      </c>
      <c r="V1150" s="121">
        <f>MONTH(Таблица18[[#This Row],[Дата акта]])</f>
        <v>6</v>
      </c>
      <c r="W1150" s="121">
        <v>18</v>
      </c>
      <c r="X1150" s="148">
        <f>DATE(1900,Таблица18[[#This Row],[Месяц]],Таблица18[[#This Row],[Число]])</f>
        <v>170</v>
      </c>
      <c r="Y1150" s="121"/>
      <c r="Z1150" s="121" t="str">
        <f>Таблица18[[#This Row],[Хар-ка]]</f>
        <v>высший</v>
      </c>
      <c r="AD1150" s="459"/>
      <c r="AE1150" s="391"/>
    </row>
    <row r="1151" spans="1:31" s="325" customFormat="1" ht="15.6" hidden="1" customHeight="1" x14ac:dyDescent="0.2">
      <c r="A1151" s="40" t="s">
        <v>990</v>
      </c>
      <c r="B1151" s="360" t="s">
        <v>511</v>
      </c>
      <c r="C1151" s="40">
        <v>515</v>
      </c>
      <c r="D1151" s="40" t="s">
        <v>902</v>
      </c>
      <c r="E1151" s="40" t="s">
        <v>914</v>
      </c>
      <c r="F1151" s="40" t="s">
        <v>160</v>
      </c>
      <c r="G1151" s="40" t="s">
        <v>164</v>
      </c>
      <c r="H1151" s="40">
        <v>15</v>
      </c>
      <c r="I1151" s="360" t="e">
        <f>VLOOKUP(Таблица18[[#This Row],[Номер акта]],$AB$1:$AF$1833,3,FALSE)</f>
        <v>#N/A</v>
      </c>
      <c r="J1151" s="40" t="s">
        <v>909</v>
      </c>
      <c r="K1151" s="40" t="s">
        <v>82</v>
      </c>
      <c r="L1151" s="121">
        <v>37650</v>
      </c>
      <c r="M1151" s="121">
        <v>24170</v>
      </c>
      <c r="N1151" s="121">
        <v>11.5</v>
      </c>
      <c r="O1151" s="363">
        <v>13480</v>
      </c>
      <c r="P1151" s="363">
        <v>11929.8</v>
      </c>
      <c r="Q1151" s="121">
        <v>2025</v>
      </c>
      <c r="R1151" s="121"/>
      <c r="S1151" s="148">
        <v>45826</v>
      </c>
      <c r="T1151" s="363">
        <f>Таблица18[[#This Row],[Вес нетто]]-Таблица18[[#This Row],[Зачетный вес]]</f>
        <v>1550.2000000000007</v>
      </c>
      <c r="U1151" s="365">
        <f>Таблица18[[#This Row],[Отход]]/Таблица18[[#This Row],[Вес нетто]]</f>
        <v>0.11500000000000006</v>
      </c>
      <c r="V1151" s="121">
        <f>MONTH(Таблица18[[#This Row],[Дата акта]])</f>
        <v>6</v>
      </c>
      <c r="W1151" s="121">
        <v>18</v>
      </c>
      <c r="X1151" s="148">
        <f>DATE(1900,Таблица18[[#This Row],[Месяц]],Таблица18[[#This Row],[Число]])</f>
        <v>170</v>
      </c>
      <c r="Y1151" s="121"/>
      <c r="Z1151" s="121" t="str">
        <f>Таблица18[[#This Row],[Хар-ка]]</f>
        <v>высший</v>
      </c>
      <c r="AD1151" s="459"/>
      <c r="AE1151" s="391"/>
    </row>
    <row r="1152" spans="1:31" s="325" customFormat="1" ht="15.6" hidden="1" customHeight="1" x14ac:dyDescent="0.2">
      <c r="A1152" s="40" t="s">
        <v>991</v>
      </c>
      <c r="B1152" s="360" t="s">
        <v>833</v>
      </c>
      <c r="C1152" s="40">
        <v>498</v>
      </c>
      <c r="D1152" s="40" t="s">
        <v>992</v>
      </c>
      <c r="E1152" s="40" t="s">
        <v>903</v>
      </c>
      <c r="F1152" s="40" t="s">
        <v>1253</v>
      </c>
      <c r="G1152" s="40" t="s">
        <v>270</v>
      </c>
      <c r="H1152" s="40" t="s">
        <v>110</v>
      </c>
      <c r="I1152" s="360" t="e">
        <f>VLOOKUP(Таблица18[[#This Row],[Номер акта]],$AB$1:$AF$1833,3,FALSE)</f>
        <v>#N/A</v>
      </c>
      <c r="J1152" s="40" t="s">
        <v>916</v>
      </c>
      <c r="K1152" s="40" t="s">
        <v>82</v>
      </c>
      <c r="L1152" s="121">
        <v>21170</v>
      </c>
      <c r="M1152" s="121">
        <v>14840</v>
      </c>
      <c r="N1152" s="121"/>
      <c r="O1152" s="363">
        <v>6330</v>
      </c>
      <c r="P1152" s="363">
        <v>6330</v>
      </c>
      <c r="Q1152" s="121">
        <v>2025</v>
      </c>
      <c r="R1152" s="121"/>
      <c r="S1152" s="148">
        <v>45824</v>
      </c>
      <c r="T1152" s="363">
        <f>Таблица18[[#This Row],[Вес нетто]]-Таблица18[[#This Row],[Зачетный вес]]</f>
        <v>0</v>
      </c>
      <c r="U1152" s="365">
        <f>Таблица18[[#This Row],[Отход]]/Таблица18[[#This Row],[Вес нетто]]</f>
        <v>0</v>
      </c>
      <c r="V1152" s="121">
        <f>MONTH(Таблица18[[#This Row],[Дата акта]])</f>
        <v>6</v>
      </c>
      <c r="W1152" s="121">
        <v>16</v>
      </c>
      <c r="X1152" s="148">
        <f>DATE(1900,Таблица18[[#This Row],[Месяц]],Таблица18[[#This Row],[Число]])</f>
        <v>168</v>
      </c>
      <c r="Y1152" s="121"/>
      <c r="Z1152" s="121" t="str">
        <f>Таблица18[[#This Row],[Хар-ка]]</f>
        <v>второй</v>
      </c>
      <c r="AD1152" s="459"/>
      <c r="AE1152" s="391"/>
    </row>
    <row r="1153" spans="1:31" s="325" customFormat="1" ht="15.6" hidden="1" customHeight="1" x14ac:dyDescent="0.2">
      <c r="A1153" s="40" t="s">
        <v>993</v>
      </c>
      <c r="B1153" s="360" t="s">
        <v>833</v>
      </c>
      <c r="C1153" s="40">
        <v>499</v>
      </c>
      <c r="D1153" s="40" t="s">
        <v>994</v>
      </c>
      <c r="E1153" s="40" t="s">
        <v>903</v>
      </c>
      <c r="F1153" s="40" t="s">
        <v>239</v>
      </c>
      <c r="G1153" s="40" t="s">
        <v>243</v>
      </c>
      <c r="H1153" s="40">
        <v>44</v>
      </c>
      <c r="I1153" s="360" t="e">
        <f>VLOOKUP(Таблица18[[#This Row],[Номер акта]],$AB$1:$AF$1833,3,FALSE)</f>
        <v>#N/A</v>
      </c>
      <c r="J1153" s="40" t="s">
        <v>916</v>
      </c>
      <c r="K1153" s="40" t="s">
        <v>82</v>
      </c>
      <c r="L1153" s="121">
        <v>21160</v>
      </c>
      <c r="M1153" s="121">
        <v>14540</v>
      </c>
      <c r="N1153" s="121"/>
      <c r="O1153" s="363">
        <v>6620</v>
      </c>
      <c r="P1153" s="363">
        <v>6620</v>
      </c>
      <c r="Q1153" s="121">
        <v>2025</v>
      </c>
      <c r="R1153" s="121"/>
      <c r="S1153" s="148">
        <v>45824</v>
      </c>
      <c r="T1153" s="363">
        <f>Таблица18[[#This Row],[Вес нетто]]-Таблица18[[#This Row],[Зачетный вес]]</f>
        <v>0</v>
      </c>
      <c r="U1153" s="365">
        <f>Таблица18[[#This Row],[Отход]]/Таблица18[[#This Row],[Вес нетто]]</f>
        <v>0</v>
      </c>
      <c r="V1153" s="121">
        <f>MONTH(Таблица18[[#This Row],[Дата акта]])</f>
        <v>6</v>
      </c>
      <c r="W1153" s="121">
        <v>16</v>
      </c>
      <c r="X1153" s="148">
        <f>DATE(1900,Таблица18[[#This Row],[Месяц]],Таблица18[[#This Row],[Число]])</f>
        <v>168</v>
      </c>
      <c r="Y1153" s="121"/>
      <c r="Z1153" s="121" t="str">
        <f>Таблица18[[#This Row],[Хар-ка]]</f>
        <v>второй</v>
      </c>
      <c r="AD1153" s="459"/>
      <c r="AE1153" s="391"/>
    </row>
    <row r="1154" spans="1:31" s="325" customFormat="1" ht="15.6" hidden="1" customHeight="1" x14ac:dyDescent="0.2">
      <c r="A1154" s="40" t="s">
        <v>995</v>
      </c>
      <c r="B1154" s="360" t="s">
        <v>833</v>
      </c>
      <c r="C1154" s="40">
        <v>502</v>
      </c>
      <c r="D1154" s="40" t="s">
        <v>996</v>
      </c>
      <c r="E1154" s="40" t="s">
        <v>903</v>
      </c>
      <c r="F1154" s="40" t="s">
        <v>1152</v>
      </c>
      <c r="G1154" s="40" t="s">
        <v>119</v>
      </c>
      <c r="H1154" s="40">
        <v>44</v>
      </c>
      <c r="I1154" s="360" t="e">
        <f>VLOOKUP(Таблица18[[#This Row],[Номер акта]],$AB$1:$AF$1833,3,FALSE)</f>
        <v>#N/A</v>
      </c>
      <c r="J1154" s="40" t="s">
        <v>916</v>
      </c>
      <c r="K1154" s="40" t="s">
        <v>82</v>
      </c>
      <c r="L1154" s="121">
        <v>27440</v>
      </c>
      <c r="M1154" s="121">
        <v>21030</v>
      </c>
      <c r="N1154" s="121"/>
      <c r="O1154" s="363">
        <v>6410</v>
      </c>
      <c r="P1154" s="363">
        <v>6410</v>
      </c>
      <c r="Q1154" s="121">
        <v>2025</v>
      </c>
      <c r="R1154" s="121"/>
      <c r="S1154" s="148">
        <v>45824</v>
      </c>
      <c r="T1154" s="363">
        <f>Таблица18[[#This Row],[Вес нетто]]-Таблица18[[#This Row],[Зачетный вес]]</f>
        <v>0</v>
      </c>
      <c r="U1154" s="365">
        <f>Таблица18[[#This Row],[Отход]]/Таблица18[[#This Row],[Вес нетто]]</f>
        <v>0</v>
      </c>
      <c r="V1154" s="121">
        <f>MONTH(Таблица18[[#This Row],[Дата акта]])</f>
        <v>6</v>
      </c>
      <c r="W1154" s="121">
        <v>16</v>
      </c>
      <c r="X1154" s="148">
        <f>DATE(1900,Таблица18[[#This Row],[Месяц]],Таблица18[[#This Row],[Число]])</f>
        <v>168</v>
      </c>
      <c r="Y1154" s="121"/>
      <c r="Z1154" s="121" t="str">
        <f>Таблица18[[#This Row],[Хар-ка]]</f>
        <v>второй</v>
      </c>
      <c r="AD1154" s="459"/>
      <c r="AE1154" s="391"/>
    </row>
    <row r="1155" spans="1:31" s="325" customFormat="1" ht="15.6" hidden="1" customHeight="1" x14ac:dyDescent="0.2">
      <c r="A1155" s="40" t="s">
        <v>997</v>
      </c>
      <c r="B1155" s="360" t="s">
        <v>833</v>
      </c>
      <c r="C1155" s="40">
        <v>496</v>
      </c>
      <c r="D1155" s="40" t="s">
        <v>998</v>
      </c>
      <c r="E1155" s="40" t="s">
        <v>903</v>
      </c>
      <c r="F1155" s="40" t="s">
        <v>1151</v>
      </c>
      <c r="G1155" s="40" t="s">
        <v>145</v>
      </c>
      <c r="H1155" s="40">
        <v>44</v>
      </c>
      <c r="I1155" s="360" t="e">
        <f>VLOOKUP(Таблица18[[#This Row],[Номер акта]],$AB$1:$AF$1833,3,FALSE)</f>
        <v>#N/A</v>
      </c>
      <c r="J1155" s="40" t="s">
        <v>916</v>
      </c>
      <c r="K1155" s="40" t="s">
        <v>82</v>
      </c>
      <c r="L1155" s="121">
        <v>29040</v>
      </c>
      <c r="M1155" s="121">
        <v>15530</v>
      </c>
      <c r="N1155" s="121"/>
      <c r="O1155" s="363">
        <v>13510</v>
      </c>
      <c r="P1155" s="363">
        <v>13510</v>
      </c>
      <c r="Q1155" s="121">
        <v>2025</v>
      </c>
      <c r="R1155" s="121"/>
      <c r="S1155" s="148">
        <v>45824</v>
      </c>
      <c r="T1155" s="363">
        <f>Таблица18[[#This Row],[Вес нетто]]-Таблица18[[#This Row],[Зачетный вес]]</f>
        <v>0</v>
      </c>
      <c r="U1155" s="365">
        <f>Таблица18[[#This Row],[Отход]]/Таблица18[[#This Row],[Вес нетто]]</f>
        <v>0</v>
      </c>
      <c r="V1155" s="121">
        <f>MONTH(Таблица18[[#This Row],[Дата акта]])</f>
        <v>6</v>
      </c>
      <c r="W1155" s="121">
        <v>16</v>
      </c>
      <c r="X1155" s="148">
        <f>DATE(1900,Таблица18[[#This Row],[Месяц]],Таблица18[[#This Row],[Число]])</f>
        <v>168</v>
      </c>
      <c r="Y1155" s="121"/>
      <c r="Z1155" s="121" t="str">
        <f>Таблица18[[#This Row],[Хар-ка]]</f>
        <v>второй</v>
      </c>
      <c r="AD1155" s="459"/>
      <c r="AE1155" s="391"/>
    </row>
    <row r="1156" spans="1:31" s="325" customFormat="1" ht="15.6" hidden="1" customHeight="1" x14ac:dyDescent="0.2">
      <c r="A1156" s="40" t="s">
        <v>999</v>
      </c>
      <c r="B1156" s="360" t="s">
        <v>833</v>
      </c>
      <c r="C1156" s="40">
        <v>501</v>
      </c>
      <c r="D1156" s="40" t="s">
        <v>1000</v>
      </c>
      <c r="E1156" s="40" t="s">
        <v>903</v>
      </c>
      <c r="F1156" s="40" t="s">
        <v>1461</v>
      </c>
      <c r="G1156" s="40" t="s">
        <v>149</v>
      </c>
      <c r="H1156" s="40">
        <v>44</v>
      </c>
      <c r="I1156" s="360" t="e">
        <f>VLOOKUP(Таблица18[[#This Row],[Номер акта]],$AB$1:$AF$1833,3,FALSE)</f>
        <v>#N/A</v>
      </c>
      <c r="J1156" s="40" t="s">
        <v>916</v>
      </c>
      <c r="K1156" s="40" t="s">
        <v>82</v>
      </c>
      <c r="L1156" s="121">
        <v>21600</v>
      </c>
      <c r="M1156" s="121">
        <v>15080</v>
      </c>
      <c r="N1156" s="121"/>
      <c r="O1156" s="363">
        <v>6520</v>
      </c>
      <c r="P1156" s="363">
        <v>6520</v>
      </c>
      <c r="Q1156" s="121">
        <v>2025</v>
      </c>
      <c r="R1156" s="121"/>
      <c r="S1156" s="148">
        <v>45824</v>
      </c>
      <c r="T1156" s="363">
        <f>Таблица18[[#This Row],[Вес нетто]]-Таблица18[[#This Row],[Зачетный вес]]</f>
        <v>0</v>
      </c>
      <c r="U1156" s="365">
        <f>Таблица18[[#This Row],[Отход]]/Таблица18[[#This Row],[Вес нетто]]</f>
        <v>0</v>
      </c>
      <c r="V1156" s="121">
        <f>MONTH(Таблица18[[#This Row],[Дата акта]])</f>
        <v>6</v>
      </c>
      <c r="W1156" s="121">
        <v>16</v>
      </c>
      <c r="X1156" s="148">
        <f>DATE(1900,Таблица18[[#This Row],[Месяц]],Таблица18[[#This Row],[Число]])</f>
        <v>168</v>
      </c>
      <c r="Y1156" s="121"/>
      <c r="Z1156" s="121" t="str">
        <f>Таблица18[[#This Row],[Хар-ка]]</f>
        <v>второй</v>
      </c>
      <c r="AD1156" s="459"/>
      <c r="AE1156" s="391"/>
    </row>
    <row r="1157" spans="1:31" s="325" customFormat="1" ht="15.6" hidden="1" customHeight="1" x14ac:dyDescent="0.2">
      <c r="A1157" s="40" t="s">
        <v>1001</v>
      </c>
      <c r="B1157" s="360" t="s">
        <v>511</v>
      </c>
      <c r="C1157" s="40">
        <v>516</v>
      </c>
      <c r="D1157" s="40" t="s">
        <v>902</v>
      </c>
      <c r="E1157" s="40" t="s">
        <v>914</v>
      </c>
      <c r="F1157" s="40" t="s">
        <v>151</v>
      </c>
      <c r="G1157" s="40" t="s">
        <v>155</v>
      </c>
      <c r="H1157" s="40">
        <v>15</v>
      </c>
      <c r="I1157" s="360" t="e">
        <f>VLOOKUP(Таблица18[[#This Row],[Номер акта]],$AB$1:$AF$1833,3,FALSE)</f>
        <v>#N/A</v>
      </c>
      <c r="J1157" s="40" t="s">
        <v>909</v>
      </c>
      <c r="K1157" s="40" t="s">
        <v>82</v>
      </c>
      <c r="L1157" s="121">
        <v>28510</v>
      </c>
      <c r="M1157" s="121">
        <v>14990</v>
      </c>
      <c r="N1157" s="121">
        <v>6.5</v>
      </c>
      <c r="O1157" s="363">
        <v>13520</v>
      </c>
      <c r="P1157" s="363">
        <v>12641.2</v>
      </c>
      <c r="Q1157" s="121">
        <v>2025</v>
      </c>
      <c r="R1157" s="121"/>
      <c r="S1157" s="148">
        <v>45826</v>
      </c>
      <c r="T1157" s="363">
        <f>Таблица18[[#This Row],[Вес нетто]]-Таблица18[[#This Row],[Зачетный вес]]</f>
        <v>878.79999999999927</v>
      </c>
      <c r="U1157" s="365">
        <f>Таблица18[[#This Row],[Отход]]/Таблица18[[#This Row],[Вес нетто]]</f>
        <v>6.4999999999999947E-2</v>
      </c>
      <c r="V1157" s="121">
        <f>MONTH(Таблица18[[#This Row],[Дата акта]])</f>
        <v>6</v>
      </c>
      <c r="W1157" s="121">
        <v>18</v>
      </c>
      <c r="X1157" s="148">
        <f>DATE(1900,Таблица18[[#This Row],[Месяц]],Таблица18[[#This Row],[Число]])</f>
        <v>170</v>
      </c>
      <c r="Y1157" s="121"/>
      <c r="Z1157" s="121" t="str">
        <f>Таблица18[[#This Row],[Хар-ка]]</f>
        <v>высший</v>
      </c>
      <c r="AD1157" s="459"/>
      <c r="AE1157" s="391"/>
    </row>
    <row r="1158" spans="1:31" s="325" customFormat="1" ht="15.6" hidden="1" customHeight="1" x14ac:dyDescent="0.2">
      <c r="A1158" s="40" t="s">
        <v>1002</v>
      </c>
      <c r="B1158" s="360" t="s">
        <v>550</v>
      </c>
      <c r="C1158" s="40">
        <v>492</v>
      </c>
      <c r="D1158" s="40" t="s">
        <v>902</v>
      </c>
      <c r="E1158" s="40" t="s">
        <v>903</v>
      </c>
      <c r="F1158" s="40" t="s">
        <v>239</v>
      </c>
      <c r="G1158" s="40" t="s">
        <v>243</v>
      </c>
      <c r="H1158" s="40">
        <v>44</v>
      </c>
      <c r="I1158" s="360" t="e">
        <f>VLOOKUP(Таблица18[[#This Row],[Номер акта]],$AB$1:$AF$1833,3,FALSE)</f>
        <v>#N/A</v>
      </c>
      <c r="J1158" s="40" t="s">
        <v>916</v>
      </c>
      <c r="K1158" s="40" t="s">
        <v>82</v>
      </c>
      <c r="L1158" s="121">
        <v>27790</v>
      </c>
      <c r="M1158" s="121">
        <v>21160</v>
      </c>
      <c r="N1158" s="121">
        <v>14.5</v>
      </c>
      <c r="O1158" s="363">
        <v>6630</v>
      </c>
      <c r="P1158" s="363">
        <v>5668.6</v>
      </c>
      <c r="Q1158" s="121">
        <v>2025</v>
      </c>
      <c r="R1158" s="121"/>
      <c r="S1158" s="148">
        <v>45824</v>
      </c>
      <c r="T1158" s="363">
        <f>Таблица18[[#This Row],[Вес нетто]]-Таблица18[[#This Row],[Зачетный вес]]</f>
        <v>961.39999999999964</v>
      </c>
      <c r="U1158" s="365">
        <f>Таблица18[[#This Row],[Отход]]/Таблица18[[#This Row],[Вес нетто]]</f>
        <v>0.14500754147812966</v>
      </c>
      <c r="V1158" s="121">
        <f>MONTH(Таблица18[[#This Row],[Дата акта]])</f>
        <v>6</v>
      </c>
      <c r="W1158" s="121">
        <v>16</v>
      </c>
      <c r="X1158" s="148">
        <f>DATE(1900,Таблица18[[#This Row],[Месяц]],Таблица18[[#This Row],[Число]])</f>
        <v>168</v>
      </c>
      <c r="Y1158" s="121"/>
      <c r="Z1158" s="121" t="str">
        <f>Таблица18[[#This Row],[Хар-ка]]</f>
        <v>первый</v>
      </c>
      <c r="AD1158" s="459"/>
      <c r="AE1158" s="391"/>
    </row>
    <row r="1159" spans="1:31" s="325" customFormat="1" ht="15.6" hidden="1" customHeight="1" x14ac:dyDescent="0.2">
      <c r="A1159" s="40" t="s">
        <v>1003</v>
      </c>
      <c r="B1159" s="360" t="s">
        <v>550</v>
      </c>
      <c r="C1159" s="40">
        <v>493</v>
      </c>
      <c r="D1159" s="40">
        <v>90</v>
      </c>
      <c r="E1159" s="40" t="s">
        <v>903</v>
      </c>
      <c r="F1159" s="40" t="s">
        <v>1461</v>
      </c>
      <c r="G1159" s="40" t="s">
        <v>149</v>
      </c>
      <c r="H1159" s="40">
        <v>44</v>
      </c>
      <c r="I1159" s="360" t="e">
        <f>VLOOKUP(Таблица18[[#This Row],[Номер акта]],$AB$1:$AF$1833,3,FALSE)</f>
        <v>#N/A</v>
      </c>
      <c r="J1159" s="40" t="s">
        <v>916</v>
      </c>
      <c r="K1159" s="40" t="s">
        <v>82</v>
      </c>
      <c r="L1159" s="121">
        <v>28260</v>
      </c>
      <c r="M1159" s="121">
        <v>21610</v>
      </c>
      <c r="N1159" s="121">
        <v>7.5</v>
      </c>
      <c r="O1159" s="363">
        <v>6650</v>
      </c>
      <c r="P1159" s="363">
        <v>6151.2</v>
      </c>
      <c r="Q1159" s="121">
        <v>2025</v>
      </c>
      <c r="R1159" s="121"/>
      <c r="S1159" s="148">
        <v>45824</v>
      </c>
      <c r="T1159" s="363">
        <f>Таблица18[[#This Row],[Вес нетто]]-Таблица18[[#This Row],[Зачетный вес]]</f>
        <v>498.80000000000018</v>
      </c>
      <c r="U1159" s="365">
        <f>Таблица18[[#This Row],[Отход]]/Таблица18[[#This Row],[Вес нетто]]</f>
        <v>7.5007518796992509E-2</v>
      </c>
      <c r="V1159" s="121">
        <f>MONTH(Таблица18[[#This Row],[Дата акта]])</f>
        <v>6</v>
      </c>
      <c r="W1159" s="121">
        <v>16</v>
      </c>
      <c r="X1159" s="148">
        <f>DATE(1900,Таблица18[[#This Row],[Месяц]],Таблица18[[#This Row],[Число]])</f>
        <v>168</v>
      </c>
      <c r="Y1159" s="121"/>
      <c r="Z1159" s="121" t="str">
        <f>Таблица18[[#This Row],[Хар-ка]]</f>
        <v>первый</v>
      </c>
      <c r="AD1159" s="459"/>
      <c r="AE1159" s="391"/>
    </row>
    <row r="1160" spans="1:31" s="325" customFormat="1" ht="15.6" hidden="1" customHeight="1" x14ac:dyDescent="0.2">
      <c r="A1160" s="40" t="s">
        <v>1004</v>
      </c>
      <c r="B1160" s="360" t="s">
        <v>550</v>
      </c>
      <c r="C1160" s="40">
        <v>500</v>
      </c>
      <c r="D1160" s="40">
        <v>92</v>
      </c>
      <c r="E1160" s="40" t="s">
        <v>903</v>
      </c>
      <c r="F1160" s="40" t="s">
        <v>1152</v>
      </c>
      <c r="G1160" s="40" t="s">
        <v>119</v>
      </c>
      <c r="H1160" s="40">
        <v>44</v>
      </c>
      <c r="I1160" s="360" t="e">
        <f>VLOOKUP(Таблица18[[#This Row],[Номер акта]],$AB$1:$AF$1833,3,FALSE)</f>
        <v>#N/A</v>
      </c>
      <c r="J1160" s="40" t="s">
        <v>916</v>
      </c>
      <c r="K1160" s="40" t="s">
        <v>82</v>
      </c>
      <c r="L1160" s="121">
        <v>34230</v>
      </c>
      <c r="M1160" s="121">
        <v>27490</v>
      </c>
      <c r="N1160" s="121">
        <v>13.5</v>
      </c>
      <c r="O1160" s="363">
        <v>6740</v>
      </c>
      <c r="P1160" s="363">
        <v>5830.1</v>
      </c>
      <c r="Q1160" s="121">
        <v>2025</v>
      </c>
      <c r="R1160" s="121"/>
      <c r="S1160" s="148">
        <v>45824</v>
      </c>
      <c r="T1160" s="363">
        <f>Таблица18[[#This Row],[Вес нетто]]-Таблица18[[#This Row],[Зачетный вес]]</f>
        <v>909.89999999999964</v>
      </c>
      <c r="U1160" s="365">
        <f>Таблица18[[#This Row],[Отход]]/Таблица18[[#This Row],[Вес нетто]]</f>
        <v>0.13499999999999995</v>
      </c>
      <c r="V1160" s="121">
        <f>MONTH(Таблица18[[#This Row],[Дата акта]])</f>
        <v>6</v>
      </c>
      <c r="W1160" s="121">
        <v>16</v>
      </c>
      <c r="X1160" s="148">
        <f>DATE(1900,Таблица18[[#This Row],[Месяц]],Таблица18[[#This Row],[Число]])</f>
        <v>168</v>
      </c>
      <c r="Y1160" s="121"/>
      <c r="Z1160" s="121" t="str">
        <f>Таблица18[[#This Row],[Хар-ка]]</f>
        <v>первый</v>
      </c>
      <c r="AD1160" s="459"/>
      <c r="AE1160" s="391"/>
    </row>
    <row r="1161" spans="1:31" s="325" customFormat="1" ht="15.6" hidden="1" customHeight="1" x14ac:dyDescent="0.2">
      <c r="A1161" s="40" t="s">
        <v>1005</v>
      </c>
      <c r="B1161" s="360" t="s">
        <v>511</v>
      </c>
      <c r="C1161" s="40">
        <v>520</v>
      </c>
      <c r="D1161" s="40" t="s">
        <v>902</v>
      </c>
      <c r="E1161" s="40" t="s">
        <v>914</v>
      </c>
      <c r="F1161" s="40" t="s">
        <v>311</v>
      </c>
      <c r="G1161" s="40" t="s">
        <v>315</v>
      </c>
      <c r="H1161" s="40">
        <v>15</v>
      </c>
      <c r="I1161" s="360" t="e">
        <f>VLOOKUP(Таблица18[[#This Row],[Номер акта]],$AB$1:$AF$1833,3,FALSE)</f>
        <v>#N/A</v>
      </c>
      <c r="J1161" s="40" t="s">
        <v>909</v>
      </c>
      <c r="K1161" s="40" t="s">
        <v>82</v>
      </c>
      <c r="L1161" s="121">
        <v>28350</v>
      </c>
      <c r="M1161" s="121">
        <v>15040</v>
      </c>
      <c r="N1161" s="121">
        <v>12.5</v>
      </c>
      <c r="O1161" s="363">
        <v>13310</v>
      </c>
      <c r="P1161" s="363">
        <v>11646.2</v>
      </c>
      <c r="Q1161" s="121">
        <v>2025</v>
      </c>
      <c r="R1161" s="121"/>
      <c r="S1161" s="148">
        <v>45826</v>
      </c>
      <c r="T1161" s="363">
        <f>Таблица18[[#This Row],[Вес нетто]]-Таблица18[[#This Row],[Зачетный вес]]</f>
        <v>1663.7999999999993</v>
      </c>
      <c r="U1161" s="365">
        <f>Таблица18[[#This Row],[Отход]]/Таблица18[[#This Row],[Вес нетто]]</f>
        <v>0.12500375657400445</v>
      </c>
      <c r="V1161" s="121">
        <f>MONTH(Таблица18[[#This Row],[Дата акта]])</f>
        <v>6</v>
      </c>
      <c r="W1161" s="121">
        <v>18</v>
      </c>
      <c r="X1161" s="148">
        <f>DATE(1900,Таблица18[[#This Row],[Месяц]],Таблица18[[#This Row],[Число]])</f>
        <v>170</v>
      </c>
      <c r="Y1161" s="121"/>
      <c r="Z1161" s="121" t="str">
        <f>Таблица18[[#This Row],[Хар-ка]]</f>
        <v>высший</v>
      </c>
      <c r="AD1161" s="459"/>
      <c r="AE1161" s="391"/>
    </row>
    <row r="1162" spans="1:31" s="325" customFormat="1" ht="15.6" hidden="1" customHeight="1" x14ac:dyDescent="0.2">
      <c r="A1162" s="40" t="s">
        <v>1006</v>
      </c>
      <c r="B1162" s="360" t="s">
        <v>833</v>
      </c>
      <c r="C1162" s="40">
        <v>496</v>
      </c>
      <c r="D1162" s="40" t="s">
        <v>1007</v>
      </c>
      <c r="E1162" s="40" t="s">
        <v>903</v>
      </c>
      <c r="F1162" s="40" t="s">
        <v>305</v>
      </c>
      <c r="G1162" s="40" t="s">
        <v>309</v>
      </c>
      <c r="H1162" s="40">
        <v>44</v>
      </c>
      <c r="I1162" s="360" t="e">
        <f>VLOOKUP(Таблица18[[#This Row],[Номер акта]],$AB$1:$AF$1833,3,FALSE)</f>
        <v>#N/A</v>
      </c>
      <c r="J1162" s="40" t="s">
        <v>916</v>
      </c>
      <c r="K1162" s="40" t="s">
        <v>82</v>
      </c>
      <c r="L1162" s="121">
        <v>27700</v>
      </c>
      <c r="M1162" s="121">
        <v>14440</v>
      </c>
      <c r="N1162" s="121">
        <v>12</v>
      </c>
      <c r="O1162" s="363">
        <v>13260</v>
      </c>
      <c r="P1162" s="363">
        <v>11669</v>
      </c>
      <c r="Q1162" s="121">
        <v>2025</v>
      </c>
      <c r="R1162" s="121"/>
      <c r="S1162" s="148">
        <v>45824</v>
      </c>
      <c r="T1162" s="363">
        <f>Таблица18[[#This Row],[Вес нетто]]-Таблица18[[#This Row],[Зачетный вес]]</f>
        <v>1591</v>
      </c>
      <c r="U1162" s="365">
        <f>Таблица18[[#This Row],[Отход]]/Таблица18[[#This Row],[Вес нетто]]</f>
        <v>0.11998491704374058</v>
      </c>
      <c r="V1162" s="121">
        <f>MONTH(Таблица18[[#This Row],[Дата акта]])</f>
        <v>6</v>
      </c>
      <c r="W1162" s="121">
        <v>16</v>
      </c>
      <c r="X1162" s="148">
        <f>DATE(1900,Таблица18[[#This Row],[Месяц]],Таблица18[[#This Row],[Число]])</f>
        <v>168</v>
      </c>
      <c r="Y1162" s="121"/>
      <c r="Z1162" s="121" t="str">
        <f>Таблица18[[#This Row],[Хар-ка]]</f>
        <v>второй</v>
      </c>
      <c r="AD1162" s="459"/>
      <c r="AE1162" s="391"/>
    </row>
    <row r="1163" spans="1:31" s="325" customFormat="1" ht="15.6" hidden="1" customHeight="1" x14ac:dyDescent="0.2">
      <c r="A1163" s="40" t="s">
        <v>1008</v>
      </c>
      <c r="B1163" s="360" t="s">
        <v>833</v>
      </c>
      <c r="C1163" s="40">
        <v>496</v>
      </c>
      <c r="D1163" s="40" t="s">
        <v>1009</v>
      </c>
      <c r="E1163" s="40" t="s">
        <v>903</v>
      </c>
      <c r="F1163" s="40" t="s">
        <v>329</v>
      </c>
      <c r="G1163" s="40" t="s">
        <v>1010</v>
      </c>
      <c r="H1163" s="40">
        <v>44</v>
      </c>
      <c r="I1163" s="360" t="e">
        <f>VLOOKUP(Таблица18[[#This Row],[Номер акта]],$AB$1:$AF$1833,3,FALSE)</f>
        <v>#N/A</v>
      </c>
      <c r="J1163" s="40" t="s">
        <v>916</v>
      </c>
      <c r="K1163" s="40" t="s">
        <v>82</v>
      </c>
      <c r="L1163" s="121">
        <v>28260</v>
      </c>
      <c r="M1163" s="121">
        <v>15060</v>
      </c>
      <c r="N1163" s="121">
        <v>12.4</v>
      </c>
      <c r="O1163" s="363">
        <v>13200</v>
      </c>
      <c r="P1163" s="363">
        <v>11564</v>
      </c>
      <c r="Q1163" s="121">
        <v>2025</v>
      </c>
      <c r="R1163" s="121"/>
      <c r="S1163" s="148">
        <v>45824</v>
      </c>
      <c r="T1163" s="363">
        <f>Таблица18[[#This Row],[Вес нетто]]-Таблица18[[#This Row],[Зачетный вес]]</f>
        <v>1636</v>
      </c>
      <c r="U1163" s="365">
        <f>Таблица18[[#This Row],[Отход]]/Таблица18[[#This Row],[Вес нетто]]</f>
        <v>0.12393939393939393</v>
      </c>
      <c r="V1163" s="121">
        <f>MONTH(Таблица18[[#This Row],[Дата акта]])</f>
        <v>6</v>
      </c>
      <c r="W1163" s="121">
        <v>16</v>
      </c>
      <c r="X1163" s="148">
        <f>DATE(1900,Таблица18[[#This Row],[Месяц]],Таблица18[[#This Row],[Число]])</f>
        <v>168</v>
      </c>
      <c r="Y1163" s="121"/>
      <c r="Z1163" s="121" t="str">
        <f>Таблица18[[#This Row],[Хар-ка]]</f>
        <v>второй</v>
      </c>
      <c r="AD1163" s="459"/>
      <c r="AE1163" s="391"/>
    </row>
    <row r="1164" spans="1:31" s="325" customFormat="1" ht="15.6" hidden="1" customHeight="1" x14ac:dyDescent="0.2">
      <c r="A1164" s="40" t="s">
        <v>1011</v>
      </c>
      <c r="B1164" s="360" t="s">
        <v>833</v>
      </c>
      <c r="C1164" s="40">
        <v>496</v>
      </c>
      <c r="D1164" s="40" t="s">
        <v>1012</v>
      </c>
      <c r="E1164" s="40" t="s">
        <v>903</v>
      </c>
      <c r="F1164" s="40" t="s">
        <v>305</v>
      </c>
      <c r="G1164" s="40" t="s">
        <v>309</v>
      </c>
      <c r="H1164" s="40">
        <v>44</v>
      </c>
      <c r="I1164" s="360" t="e">
        <f>VLOOKUP(Таблица18[[#This Row],[Номер акта]],$AB$1:$AF$1833,3,FALSE)</f>
        <v>#N/A</v>
      </c>
      <c r="J1164" s="40" t="s">
        <v>916</v>
      </c>
      <c r="K1164" s="40" t="s">
        <v>82</v>
      </c>
      <c r="L1164" s="121">
        <v>27900</v>
      </c>
      <c r="M1164" s="121">
        <v>14460</v>
      </c>
      <c r="N1164" s="121">
        <v>15.2</v>
      </c>
      <c r="O1164" s="363">
        <v>13440</v>
      </c>
      <c r="P1164" s="363">
        <v>11397</v>
      </c>
      <c r="Q1164" s="121">
        <v>2025</v>
      </c>
      <c r="R1164" s="121"/>
      <c r="S1164" s="148">
        <v>45825</v>
      </c>
      <c r="T1164" s="363">
        <f>Таблица18[[#This Row],[Вес нетто]]-Таблица18[[#This Row],[Зачетный вес]]</f>
        <v>2043</v>
      </c>
      <c r="U1164" s="365">
        <f>Таблица18[[#This Row],[Отход]]/Таблица18[[#This Row],[Вес нетто]]</f>
        <v>0.15200892857142856</v>
      </c>
      <c r="V1164" s="121">
        <f>MONTH(Таблица18[[#This Row],[Дата акта]])</f>
        <v>6</v>
      </c>
      <c r="W1164" s="121">
        <v>17</v>
      </c>
      <c r="X1164" s="148">
        <f>DATE(1900,Таблица18[[#This Row],[Месяц]],Таблица18[[#This Row],[Число]])</f>
        <v>169</v>
      </c>
      <c r="Y1164" s="121"/>
      <c r="Z1164" s="121" t="str">
        <f>Таблица18[[#This Row],[Хар-ка]]</f>
        <v>второй</v>
      </c>
      <c r="AD1164" s="459"/>
      <c r="AE1164" s="391"/>
    </row>
    <row r="1165" spans="1:31" s="325" customFormat="1" ht="15.6" hidden="1" customHeight="1" x14ac:dyDescent="0.2">
      <c r="A1165" s="40" t="s">
        <v>1013</v>
      </c>
      <c r="B1165" s="360" t="s">
        <v>511</v>
      </c>
      <c r="C1165" s="40">
        <v>521</v>
      </c>
      <c r="D1165" s="40" t="s">
        <v>902</v>
      </c>
      <c r="E1165" s="40" t="s">
        <v>914</v>
      </c>
      <c r="F1165" s="40" t="s">
        <v>1312</v>
      </c>
      <c r="G1165" s="40" t="s">
        <v>320</v>
      </c>
      <c r="H1165" s="40">
        <v>15</v>
      </c>
      <c r="I1165" s="360" t="e">
        <f>VLOOKUP(Таблица18[[#This Row],[Номер акта]],$AB$1:$AF$1833,3,FALSE)</f>
        <v>#N/A</v>
      </c>
      <c r="J1165" s="40" t="s">
        <v>909</v>
      </c>
      <c r="K1165" s="40" t="s">
        <v>82</v>
      </c>
      <c r="L1165" s="121">
        <v>27510</v>
      </c>
      <c r="M1165" s="121">
        <v>14650</v>
      </c>
      <c r="N1165" s="121">
        <v>6.5</v>
      </c>
      <c r="O1165" s="363">
        <v>12860</v>
      </c>
      <c r="P1165" s="363">
        <v>12024.1</v>
      </c>
      <c r="Q1165" s="121">
        <v>2025</v>
      </c>
      <c r="R1165" s="121"/>
      <c r="S1165" s="148">
        <v>45826</v>
      </c>
      <c r="T1165" s="363">
        <f>Таблица18[[#This Row],[Вес нетто]]-Таблица18[[#This Row],[Зачетный вес]]</f>
        <v>835.89999999999964</v>
      </c>
      <c r="U1165" s="365">
        <f>Таблица18[[#This Row],[Отход]]/Таблица18[[#This Row],[Вес нетто]]</f>
        <v>6.4999999999999974E-2</v>
      </c>
      <c r="V1165" s="121">
        <f>MONTH(Таблица18[[#This Row],[Дата акта]])</f>
        <v>6</v>
      </c>
      <c r="W1165" s="121">
        <v>18</v>
      </c>
      <c r="X1165" s="148">
        <f>DATE(1900,Таблица18[[#This Row],[Месяц]],Таблица18[[#This Row],[Число]])</f>
        <v>170</v>
      </c>
      <c r="Y1165" s="121"/>
      <c r="Z1165" s="121" t="str">
        <f>Таблица18[[#This Row],[Хар-ка]]</f>
        <v>высший</v>
      </c>
      <c r="AD1165" s="459"/>
      <c r="AE1165" s="391"/>
    </row>
    <row r="1166" spans="1:31" s="325" customFormat="1" ht="15.6" hidden="1" customHeight="1" x14ac:dyDescent="0.2">
      <c r="A1166" s="40" t="s">
        <v>1014</v>
      </c>
      <c r="B1166" s="360" t="s">
        <v>833</v>
      </c>
      <c r="C1166" s="40">
        <v>496</v>
      </c>
      <c r="D1166" s="40" t="s">
        <v>1015</v>
      </c>
      <c r="E1166" s="40" t="s">
        <v>903</v>
      </c>
      <c r="F1166" s="40" t="s">
        <v>262</v>
      </c>
      <c r="G1166" s="40" t="s">
        <v>266</v>
      </c>
      <c r="H1166" s="40">
        <v>44</v>
      </c>
      <c r="I1166" s="360" t="e">
        <f>VLOOKUP(Таблица18[[#This Row],[Номер акта]],$AB$1:$AF$1833,3,FALSE)</f>
        <v>#N/A</v>
      </c>
      <c r="J1166" s="40" t="s">
        <v>916</v>
      </c>
      <c r="K1166" s="40" t="s">
        <v>82</v>
      </c>
      <c r="L1166" s="121">
        <v>27960</v>
      </c>
      <c r="M1166" s="121">
        <v>15040</v>
      </c>
      <c r="N1166" s="121">
        <v>11.2</v>
      </c>
      <c r="O1166" s="363">
        <v>12920</v>
      </c>
      <c r="P1166" s="363">
        <v>11479</v>
      </c>
      <c r="Q1166" s="121">
        <v>2025</v>
      </c>
      <c r="R1166" s="121"/>
      <c r="S1166" s="148">
        <v>45825</v>
      </c>
      <c r="T1166" s="363">
        <f>Таблица18[[#This Row],[Вес нетто]]-Таблица18[[#This Row],[Зачетный вес]]</f>
        <v>1441</v>
      </c>
      <c r="U1166" s="365">
        <f>Таблица18[[#This Row],[Отход]]/Таблица18[[#This Row],[Вес нетто]]</f>
        <v>0.11153250773993809</v>
      </c>
      <c r="V1166" s="121">
        <f>MONTH(Таблица18[[#This Row],[Дата акта]])</f>
        <v>6</v>
      </c>
      <c r="W1166" s="121">
        <v>17</v>
      </c>
      <c r="X1166" s="148">
        <f>DATE(1900,Таблица18[[#This Row],[Месяц]],Таблица18[[#This Row],[Число]])</f>
        <v>169</v>
      </c>
      <c r="Y1166" s="121"/>
      <c r="Z1166" s="121" t="str">
        <f>Таблица18[[#This Row],[Хар-ка]]</f>
        <v>второй</v>
      </c>
      <c r="AD1166" s="459"/>
      <c r="AE1166" s="391"/>
    </row>
    <row r="1167" spans="1:31" s="325" customFormat="1" ht="15.6" hidden="1" customHeight="1" x14ac:dyDescent="0.2">
      <c r="A1167" s="40" t="s">
        <v>1017</v>
      </c>
      <c r="B1167" s="360" t="s">
        <v>833</v>
      </c>
      <c r="C1167" s="40">
        <v>496</v>
      </c>
      <c r="D1167" s="40" t="s">
        <v>1076</v>
      </c>
      <c r="E1167" s="40" t="s">
        <v>903</v>
      </c>
      <c r="F1167" s="40" t="s">
        <v>305</v>
      </c>
      <c r="G1167" s="40" t="s">
        <v>309</v>
      </c>
      <c r="H1167" s="40">
        <v>44</v>
      </c>
      <c r="I1167" s="360" t="e">
        <f>VLOOKUP(Таблица18[[#This Row],[Номер акта]],$AB$1:$AF$1833,3,FALSE)</f>
        <v>#N/A</v>
      </c>
      <c r="J1167" s="40" t="s">
        <v>916</v>
      </c>
      <c r="K1167" s="40" t="s">
        <v>82</v>
      </c>
      <c r="L1167" s="121">
        <v>27600</v>
      </c>
      <c r="M1167" s="121">
        <v>14580</v>
      </c>
      <c r="N1167" s="121">
        <v>12.4</v>
      </c>
      <c r="O1167" s="363">
        <v>13020</v>
      </c>
      <c r="P1167" s="363">
        <v>11406</v>
      </c>
      <c r="Q1167" s="121">
        <v>2025</v>
      </c>
      <c r="R1167" s="121"/>
      <c r="S1167" s="148">
        <v>45825</v>
      </c>
      <c r="T1167" s="363">
        <f>Таблица18[[#This Row],[Вес нетто]]-Таблица18[[#This Row],[Зачетный вес]]</f>
        <v>1614</v>
      </c>
      <c r="U1167" s="365">
        <f>Таблица18[[#This Row],[Отход]]/Таблица18[[#This Row],[Вес нетто]]</f>
        <v>0.12396313364055299</v>
      </c>
      <c r="V1167" s="121">
        <f>MONTH(Таблица18[[#This Row],[Дата акта]])</f>
        <v>6</v>
      </c>
      <c r="W1167" s="121">
        <v>17</v>
      </c>
      <c r="X1167" s="148">
        <f>DATE(1900,Таблица18[[#This Row],[Месяц]],Таблица18[[#This Row],[Число]])</f>
        <v>169</v>
      </c>
      <c r="Y1167" s="121"/>
      <c r="Z1167" s="121" t="str">
        <f>Таблица18[[#This Row],[Хар-ка]]</f>
        <v>второй</v>
      </c>
      <c r="AD1167" s="459"/>
      <c r="AE1167" s="391"/>
    </row>
    <row r="1168" spans="1:31" s="325" customFormat="1" ht="15.6" hidden="1" customHeight="1" x14ac:dyDescent="0.2">
      <c r="A1168" s="40" t="s">
        <v>1016</v>
      </c>
      <c r="B1168" s="360" t="s">
        <v>833</v>
      </c>
      <c r="C1168" s="40">
        <v>496</v>
      </c>
      <c r="D1168" s="40" t="s">
        <v>1070</v>
      </c>
      <c r="E1168" s="40" t="s">
        <v>903</v>
      </c>
      <c r="F1168" s="40" t="s">
        <v>329</v>
      </c>
      <c r="G1168" s="40" t="s">
        <v>1010</v>
      </c>
      <c r="H1168" s="40">
        <v>44</v>
      </c>
      <c r="I1168" s="360" t="e">
        <f>VLOOKUP(Таблица18[[#This Row],[Номер акта]],$AB$1:$AF$1833,3,FALSE)</f>
        <v>#N/A</v>
      </c>
      <c r="J1168" s="40" t="s">
        <v>916</v>
      </c>
      <c r="K1168" s="40" t="s">
        <v>82</v>
      </c>
      <c r="L1168" s="121">
        <v>28340</v>
      </c>
      <c r="M1168" s="121">
        <v>15100</v>
      </c>
      <c r="N1168" s="121">
        <v>10.1</v>
      </c>
      <c r="O1168" s="363">
        <v>13240</v>
      </c>
      <c r="P1168" s="363">
        <v>11907</v>
      </c>
      <c r="Q1168" s="121">
        <v>2025</v>
      </c>
      <c r="R1168" s="121"/>
      <c r="S1168" s="148">
        <v>45825</v>
      </c>
      <c r="T1168" s="363">
        <f>Таблица18[[#This Row],[Вес нетто]]-Таблица18[[#This Row],[Зачетный вес]]</f>
        <v>1333</v>
      </c>
      <c r="U1168" s="365">
        <f>Таблица18[[#This Row],[Отход]]/Таблица18[[#This Row],[Вес нетто]]</f>
        <v>0.10067975830815711</v>
      </c>
      <c r="V1168" s="121">
        <f>MONTH(Таблица18[[#This Row],[Дата акта]])</f>
        <v>6</v>
      </c>
      <c r="W1168" s="121">
        <v>17</v>
      </c>
      <c r="X1168" s="148">
        <f>DATE(1900,Таблица18[[#This Row],[Месяц]],Таблица18[[#This Row],[Число]])</f>
        <v>169</v>
      </c>
      <c r="Y1168" s="121"/>
      <c r="Z1168" s="121" t="str">
        <f>Таблица18[[#This Row],[Хар-ка]]</f>
        <v>второй</v>
      </c>
      <c r="AD1168" s="459"/>
      <c r="AE1168" s="391"/>
    </row>
    <row r="1169" spans="1:31" s="325" customFormat="1" ht="15.6" hidden="1" customHeight="1" x14ac:dyDescent="0.2">
      <c r="A1169" s="40" t="s">
        <v>1018</v>
      </c>
      <c r="B1169" s="360" t="s">
        <v>833</v>
      </c>
      <c r="C1169" s="40">
        <v>496</v>
      </c>
      <c r="D1169" s="40" t="s">
        <v>1077</v>
      </c>
      <c r="E1169" s="40" t="s">
        <v>903</v>
      </c>
      <c r="F1169" s="40" t="s">
        <v>329</v>
      </c>
      <c r="G1169" s="40" t="s">
        <v>1010</v>
      </c>
      <c r="H1169" s="40">
        <v>44</v>
      </c>
      <c r="I1169" s="360" t="e">
        <f>VLOOKUP(Таблица18[[#This Row],[Номер акта]],$AB$1:$AF$1833,3,FALSE)</f>
        <v>#N/A</v>
      </c>
      <c r="J1169" s="40" t="s">
        <v>916</v>
      </c>
      <c r="K1169" s="40" t="s">
        <v>82</v>
      </c>
      <c r="L1169" s="121">
        <v>28460</v>
      </c>
      <c r="M1169" s="121">
        <v>15120</v>
      </c>
      <c r="N1169" s="121">
        <v>17.7</v>
      </c>
      <c r="O1169" s="363">
        <v>13340</v>
      </c>
      <c r="P1169" s="363">
        <v>10979</v>
      </c>
      <c r="Q1169" s="121">
        <v>2025</v>
      </c>
      <c r="R1169" s="121"/>
      <c r="S1169" s="148">
        <v>45825</v>
      </c>
      <c r="T1169" s="363">
        <f>Таблица18[[#This Row],[Вес нетто]]-Таблица18[[#This Row],[Зачетный вес]]</f>
        <v>2361</v>
      </c>
      <c r="U1169" s="365">
        <f>Таблица18[[#This Row],[Отход]]/Таблица18[[#This Row],[Вес нетто]]</f>
        <v>0.17698650674662669</v>
      </c>
      <c r="V1169" s="121">
        <f>MONTH(Таблица18[[#This Row],[Дата акта]])</f>
        <v>6</v>
      </c>
      <c r="W1169" s="121">
        <v>17</v>
      </c>
      <c r="X1169" s="148">
        <f>DATE(1900,Таблица18[[#This Row],[Месяц]],Таблица18[[#This Row],[Число]])</f>
        <v>169</v>
      </c>
      <c r="Y1169" s="121"/>
      <c r="Z1169" s="121" t="str">
        <f>Таблица18[[#This Row],[Хар-ка]]</f>
        <v>второй</v>
      </c>
      <c r="AD1169" s="459"/>
      <c r="AE1169" s="391"/>
    </row>
    <row r="1170" spans="1:31" s="325" customFormat="1" ht="15.6" hidden="1" customHeight="1" x14ac:dyDescent="0.2">
      <c r="A1170" s="40" t="s">
        <v>1019</v>
      </c>
      <c r="B1170" s="360" t="s">
        <v>833</v>
      </c>
      <c r="C1170" s="40">
        <v>496</v>
      </c>
      <c r="D1170" s="40" t="s">
        <v>1071</v>
      </c>
      <c r="E1170" s="40" t="s">
        <v>903</v>
      </c>
      <c r="F1170" s="40" t="s">
        <v>262</v>
      </c>
      <c r="G1170" s="40" t="s">
        <v>266</v>
      </c>
      <c r="H1170" s="40">
        <v>44</v>
      </c>
      <c r="I1170" s="360" t="e">
        <f>VLOOKUP(Таблица18[[#This Row],[Номер акта]],$AB$1:$AF$1833,3,FALSE)</f>
        <v>#N/A</v>
      </c>
      <c r="J1170" s="40" t="s">
        <v>916</v>
      </c>
      <c r="K1170" s="40" t="s">
        <v>82</v>
      </c>
      <c r="L1170" s="121">
        <v>32380</v>
      </c>
      <c r="M1170" s="121">
        <v>15000</v>
      </c>
      <c r="N1170" s="121">
        <v>11.4</v>
      </c>
      <c r="O1170" s="363">
        <v>17380</v>
      </c>
      <c r="P1170" s="363">
        <v>15396</v>
      </c>
      <c r="Q1170" s="121">
        <v>2025</v>
      </c>
      <c r="R1170" s="121"/>
      <c r="S1170" s="148">
        <v>45825</v>
      </c>
      <c r="T1170" s="363">
        <f>Таблица18[[#This Row],[Вес нетто]]-Таблица18[[#This Row],[Зачетный вес]]</f>
        <v>1984</v>
      </c>
      <c r="U1170" s="365">
        <f>Таблица18[[#This Row],[Отход]]/Таблица18[[#This Row],[Вес нетто]]</f>
        <v>0.11415420023014959</v>
      </c>
      <c r="V1170" s="121">
        <f>MONTH(Таблица18[[#This Row],[Дата акта]])</f>
        <v>6</v>
      </c>
      <c r="W1170" s="121">
        <v>17</v>
      </c>
      <c r="X1170" s="148">
        <f>DATE(1900,Таблица18[[#This Row],[Месяц]],Таблица18[[#This Row],[Число]])</f>
        <v>169</v>
      </c>
      <c r="Y1170" s="121"/>
      <c r="Z1170" s="121" t="str">
        <f>Таблица18[[#This Row],[Хар-ка]]</f>
        <v>второй</v>
      </c>
      <c r="AD1170" s="459"/>
      <c r="AE1170" s="391"/>
    </row>
    <row r="1171" spans="1:31" s="325" customFormat="1" ht="15.6" hidden="1" customHeight="1" x14ac:dyDescent="0.2">
      <c r="A1171" s="40" t="s">
        <v>1020</v>
      </c>
      <c r="B1171" s="360" t="s">
        <v>833</v>
      </c>
      <c r="C1171" s="40">
        <v>496</v>
      </c>
      <c r="D1171" s="40" t="s">
        <v>1072</v>
      </c>
      <c r="E1171" s="40" t="s">
        <v>903</v>
      </c>
      <c r="F1171" s="40" t="s">
        <v>262</v>
      </c>
      <c r="G1171" s="40" t="s">
        <v>266</v>
      </c>
      <c r="H1171" s="40">
        <v>44</v>
      </c>
      <c r="I1171" s="360" t="e">
        <f>VLOOKUP(Таблица18[[#This Row],[Номер акта]],$AB$1:$AF$1833,3,FALSE)</f>
        <v>#N/A</v>
      </c>
      <c r="J1171" s="40" t="s">
        <v>916</v>
      </c>
      <c r="K1171" s="40" t="s">
        <v>82</v>
      </c>
      <c r="L1171" s="121">
        <v>28240</v>
      </c>
      <c r="M1171" s="121">
        <v>14740</v>
      </c>
      <c r="N1171" s="121">
        <v>13.8</v>
      </c>
      <c r="O1171" s="363">
        <v>13500</v>
      </c>
      <c r="P1171" s="363">
        <v>11634</v>
      </c>
      <c r="Q1171" s="121">
        <v>2025</v>
      </c>
      <c r="R1171" s="121"/>
      <c r="S1171" s="148">
        <v>45825</v>
      </c>
      <c r="T1171" s="363">
        <f>Таблица18[[#This Row],[Вес нетто]]-Таблица18[[#This Row],[Зачетный вес]]</f>
        <v>1866</v>
      </c>
      <c r="U1171" s="365">
        <f>Таблица18[[#This Row],[Отход]]/Таблица18[[#This Row],[Вес нетто]]</f>
        <v>0.13822222222222222</v>
      </c>
      <c r="V1171" s="121">
        <f>MONTH(Таблица18[[#This Row],[Дата акта]])</f>
        <v>6</v>
      </c>
      <c r="W1171" s="121">
        <v>17</v>
      </c>
      <c r="X1171" s="148">
        <f>DATE(1900,Таблица18[[#This Row],[Месяц]],Таблица18[[#This Row],[Число]])</f>
        <v>169</v>
      </c>
      <c r="Y1171" s="121"/>
      <c r="Z1171" s="121" t="str">
        <f>Таблица18[[#This Row],[Хар-ка]]</f>
        <v>второй</v>
      </c>
      <c r="AD1171" s="459"/>
      <c r="AE1171" s="391"/>
    </row>
    <row r="1172" spans="1:31" s="325" customFormat="1" ht="15.6" hidden="1" customHeight="1" x14ac:dyDescent="0.2">
      <c r="A1172" s="40" t="s">
        <v>1021</v>
      </c>
      <c r="B1172" s="360" t="s">
        <v>833</v>
      </c>
      <c r="C1172" s="40">
        <v>502</v>
      </c>
      <c r="D1172" s="40" t="s">
        <v>1073</v>
      </c>
      <c r="E1172" s="40" t="s">
        <v>903</v>
      </c>
      <c r="F1172" s="40" t="s">
        <v>1022</v>
      </c>
      <c r="G1172" s="40" t="s">
        <v>170</v>
      </c>
      <c r="H1172" s="40">
        <v>44</v>
      </c>
      <c r="I1172" s="360" t="e">
        <f>VLOOKUP(Таблица18[[#This Row],[Номер акта]],$AB$1:$AF$1833,3,FALSE)</f>
        <v>#N/A</v>
      </c>
      <c r="J1172" s="40" t="s">
        <v>916</v>
      </c>
      <c r="K1172" s="40" t="s">
        <v>82</v>
      </c>
      <c r="L1172" s="121">
        <v>27900</v>
      </c>
      <c r="M1172" s="121">
        <v>14940</v>
      </c>
      <c r="N1172" s="121">
        <v>15.9</v>
      </c>
      <c r="O1172" s="363">
        <v>12960</v>
      </c>
      <c r="P1172" s="363">
        <v>10897</v>
      </c>
      <c r="Q1172" s="121">
        <v>2025</v>
      </c>
      <c r="R1172" s="121"/>
      <c r="S1172" s="148">
        <v>45825</v>
      </c>
      <c r="T1172" s="363">
        <f>Таблица18[[#This Row],[Вес нетто]]-Таблица18[[#This Row],[Зачетный вес]]</f>
        <v>2063</v>
      </c>
      <c r="U1172" s="365">
        <f>Таблица18[[#This Row],[Отход]]/Таблица18[[#This Row],[Вес нетто]]</f>
        <v>0.1591820987654321</v>
      </c>
      <c r="V1172" s="121">
        <f>MONTH(Таблица18[[#This Row],[Дата акта]])</f>
        <v>6</v>
      </c>
      <c r="W1172" s="121">
        <v>17</v>
      </c>
      <c r="X1172" s="148">
        <f>DATE(1900,Таблица18[[#This Row],[Месяц]],Таблица18[[#This Row],[Число]])</f>
        <v>169</v>
      </c>
      <c r="Y1172" s="121"/>
      <c r="Z1172" s="121" t="str">
        <f>Таблица18[[#This Row],[Хар-ка]]</f>
        <v>второй</v>
      </c>
      <c r="AD1172" s="459"/>
      <c r="AE1172" s="391"/>
    </row>
    <row r="1173" spans="1:31" s="325" customFormat="1" ht="15.6" hidden="1" customHeight="1" x14ac:dyDescent="0.2">
      <c r="A1173" s="40" t="s">
        <v>1023</v>
      </c>
      <c r="B1173" s="360" t="s">
        <v>511</v>
      </c>
      <c r="C1173" s="40">
        <v>523</v>
      </c>
      <c r="D1173" s="40" t="s">
        <v>902</v>
      </c>
      <c r="E1173" s="40" t="s">
        <v>914</v>
      </c>
      <c r="F1173" s="40" t="s">
        <v>894</v>
      </c>
      <c r="G1173" s="40" t="s">
        <v>895</v>
      </c>
      <c r="H1173" s="40">
        <v>15</v>
      </c>
      <c r="I1173" s="360" t="e">
        <f>VLOOKUP(Таблица18[[#This Row],[Номер акта]],$AB$1:$AF$1833,3,FALSE)</f>
        <v>#N/A</v>
      </c>
      <c r="J1173" s="40" t="s">
        <v>909</v>
      </c>
      <c r="K1173" s="40" t="s">
        <v>82</v>
      </c>
      <c r="L1173" s="121">
        <v>28110</v>
      </c>
      <c r="M1173" s="121">
        <v>15120</v>
      </c>
      <c r="N1173" s="121">
        <v>13.5</v>
      </c>
      <c r="O1173" s="363">
        <v>12990</v>
      </c>
      <c r="P1173" s="363">
        <v>11236.3</v>
      </c>
      <c r="Q1173" s="121">
        <v>2025</v>
      </c>
      <c r="R1173" s="121"/>
      <c r="S1173" s="148">
        <v>45826</v>
      </c>
      <c r="T1173" s="363">
        <f>Таблица18[[#This Row],[Вес нетто]]-Таблица18[[#This Row],[Зачетный вес]]</f>
        <v>1753.7000000000007</v>
      </c>
      <c r="U1173" s="365">
        <f>Таблица18[[#This Row],[Отход]]/Таблица18[[#This Row],[Вес нетто]]</f>
        <v>0.13500384911470367</v>
      </c>
      <c r="V1173" s="121">
        <f>MONTH(Таблица18[[#This Row],[Дата акта]])</f>
        <v>6</v>
      </c>
      <c r="W1173" s="121">
        <v>18</v>
      </c>
      <c r="X1173" s="148">
        <f>DATE(1900,Таблица18[[#This Row],[Месяц]],Таблица18[[#This Row],[Число]])</f>
        <v>170</v>
      </c>
      <c r="Y1173" s="121"/>
      <c r="Z1173" s="121" t="str">
        <f>Таблица18[[#This Row],[Хар-ка]]</f>
        <v>высший</v>
      </c>
      <c r="AD1173" s="459"/>
      <c r="AE1173" s="391"/>
    </row>
    <row r="1174" spans="1:31" s="325" customFormat="1" ht="15.6" hidden="1" customHeight="1" x14ac:dyDescent="0.2">
      <c r="A1174" s="40" t="s">
        <v>1078</v>
      </c>
      <c r="B1174" s="360" t="s">
        <v>511</v>
      </c>
      <c r="C1174" s="40">
        <v>526</v>
      </c>
      <c r="D1174" s="40" t="s">
        <v>902</v>
      </c>
      <c r="E1174" s="40" t="s">
        <v>914</v>
      </c>
      <c r="F1174" s="40" t="s">
        <v>121</v>
      </c>
      <c r="G1174" s="40" t="s">
        <v>125</v>
      </c>
      <c r="H1174" s="40">
        <v>15</v>
      </c>
      <c r="I1174" s="360" t="e">
        <f>VLOOKUP(Таблица18[[#This Row],[Номер акта]],$AB$1:$AF$1833,3,FALSE)</f>
        <v>#N/A</v>
      </c>
      <c r="J1174" s="40" t="s">
        <v>909</v>
      </c>
      <c r="K1174" s="40" t="s">
        <v>82</v>
      </c>
      <c r="L1174" s="121">
        <v>27760</v>
      </c>
      <c r="M1174" s="121">
        <v>14690</v>
      </c>
      <c r="N1174" s="121">
        <v>9.5</v>
      </c>
      <c r="O1174" s="363">
        <v>13070</v>
      </c>
      <c r="P1174" s="363">
        <v>11828.3</v>
      </c>
      <c r="Q1174" s="121">
        <v>2025</v>
      </c>
      <c r="R1174" s="121"/>
      <c r="S1174" s="148">
        <v>45826</v>
      </c>
      <c r="T1174" s="363">
        <f>Таблица18[[#This Row],[Вес нетто]]-Таблица18[[#This Row],[Зачетный вес]]</f>
        <v>1241.7000000000007</v>
      </c>
      <c r="U1174" s="365">
        <f>Таблица18[[#This Row],[Отход]]/Таблица18[[#This Row],[Вес нетто]]</f>
        <v>9.500382555470549E-2</v>
      </c>
      <c r="V1174" s="121">
        <f>MONTH(Таблица18[[#This Row],[Дата акта]])</f>
        <v>6</v>
      </c>
      <c r="W1174" s="121">
        <v>18</v>
      </c>
      <c r="X1174" s="148">
        <f>DATE(1900,Таблица18[[#This Row],[Месяц]],Таблица18[[#This Row],[Число]])</f>
        <v>170</v>
      </c>
      <c r="Y1174" s="121"/>
      <c r="Z1174" s="121" t="str">
        <f>Таблица18[[#This Row],[Хар-ка]]</f>
        <v>высший</v>
      </c>
      <c r="AD1174" s="459"/>
      <c r="AE1174" s="391"/>
    </row>
    <row r="1175" spans="1:31" s="325" customFormat="1" ht="15.6" hidden="1" customHeight="1" x14ac:dyDescent="0.2">
      <c r="A1175" s="40" t="s">
        <v>1079</v>
      </c>
      <c r="B1175" s="360" t="s">
        <v>511</v>
      </c>
      <c r="C1175" s="40">
        <v>527</v>
      </c>
      <c r="D1175" s="40" t="s">
        <v>902</v>
      </c>
      <c r="E1175" s="40" t="s">
        <v>914</v>
      </c>
      <c r="F1175" s="40" t="s">
        <v>239</v>
      </c>
      <c r="G1175" s="40" t="s">
        <v>243</v>
      </c>
      <c r="H1175" s="40">
        <v>15</v>
      </c>
      <c r="I1175" s="360" t="e">
        <f>VLOOKUP(Таблица18[[#This Row],[Номер акта]],$AB$1:$AF$1833,3,FALSE)</f>
        <v>#N/A</v>
      </c>
      <c r="J1175" s="40" t="s">
        <v>909</v>
      </c>
      <c r="K1175" s="40" t="s">
        <v>82</v>
      </c>
      <c r="L1175" s="121">
        <v>27890</v>
      </c>
      <c r="M1175" s="121">
        <v>14620</v>
      </c>
      <c r="N1175" s="121">
        <v>13</v>
      </c>
      <c r="O1175" s="363">
        <v>13270</v>
      </c>
      <c r="P1175" s="363">
        <v>11544.9</v>
      </c>
      <c r="Q1175" s="121">
        <v>2025</v>
      </c>
      <c r="R1175" s="121"/>
      <c r="S1175" s="148">
        <v>45826</v>
      </c>
      <c r="T1175" s="363">
        <f>Таблица18[[#This Row],[Вес нетто]]-Таблица18[[#This Row],[Зачетный вес]]</f>
        <v>1725.1000000000004</v>
      </c>
      <c r="U1175" s="365">
        <f>Таблица18[[#This Row],[Отход]]/Таблица18[[#This Row],[Вес нетто]]</f>
        <v>0.13000000000000003</v>
      </c>
      <c r="V1175" s="121">
        <f>MONTH(Таблица18[[#This Row],[Дата акта]])</f>
        <v>6</v>
      </c>
      <c r="W1175" s="121">
        <v>18</v>
      </c>
      <c r="X1175" s="148">
        <f>DATE(1900,Таблица18[[#This Row],[Месяц]],Таблица18[[#This Row],[Число]])</f>
        <v>170</v>
      </c>
      <c r="Y1175" s="121"/>
      <c r="Z1175" s="121" t="str">
        <f>Таблица18[[#This Row],[Хар-ка]]</f>
        <v>высший</v>
      </c>
      <c r="AD1175" s="459"/>
      <c r="AE1175" s="391"/>
    </row>
    <row r="1176" spans="1:31" s="325" customFormat="1" ht="15.6" hidden="1" customHeight="1" x14ac:dyDescent="0.2">
      <c r="A1176" s="40" t="s">
        <v>1080</v>
      </c>
      <c r="B1176" s="360" t="s">
        <v>511</v>
      </c>
      <c r="C1176" s="40">
        <v>528</v>
      </c>
      <c r="D1176" s="40" t="s">
        <v>902</v>
      </c>
      <c r="E1176" s="40" t="s">
        <v>914</v>
      </c>
      <c r="F1176" s="40" t="s">
        <v>244</v>
      </c>
      <c r="G1176" s="40" t="s">
        <v>248</v>
      </c>
      <c r="H1176" s="40">
        <v>15</v>
      </c>
      <c r="I1176" s="360" t="e">
        <f>VLOOKUP(Таблица18[[#This Row],[Номер акта]],$AB$1:$AF$1833,3,FALSE)</f>
        <v>#N/A</v>
      </c>
      <c r="J1176" s="40" t="s">
        <v>909</v>
      </c>
      <c r="K1176" s="40" t="s">
        <v>82</v>
      </c>
      <c r="L1176" s="121">
        <v>28770</v>
      </c>
      <c r="M1176" s="121">
        <v>15560</v>
      </c>
      <c r="N1176" s="121">
        <v>6.5</v>
      </c>
      <c r="O1176" s="363">
        <v>13210</v>
      </c>
      <c r="P1176" s="363">
        <v>12351.3</v>
      </c>
      <c r="Q1176" s="121">
        <v>2025</v>
      </c>
      <c r="R1176" s="121"/>
      <c r="S1176" s="148">
        <v>45826</v>
      </c>
      <c r="T1176" s="363">
        <f>Таблица18[[#This Row],[Вес нетто]]-Таблица18[[#This Row],[Зачетный вес]]</f>
        <v>858.70000000000073</v>
      </c>
      <c r="U1176" s="365">
        <f>Таблица18[[#This Row],[Отход]]/Таблица18[[#This Row],[Вес нетто]]</f>
        <v>6.5003785011355092E-2</v>
      </c>
      <c r="V1176" s="121">
        <f>MONTH(Таблица18[[#This Row],[Дата акта]])</f>
        <v>6</v>
      </c>
      <c r="W1176" s="121">
        <v>18</v>
      </c>
      <c r="X1176" s="148">
        <f>DATE(1900,Таблица18[[#This Row],[Месяц]],Таблица18[[#This Row],[Число]])</f>
        <v>170</v>
      </c>
      <c r="Y1176" s="121"/>
      <c r="Z1176" s="121" t="str">
        <f>Таблица18[[#This Row],[Хар-ка]]</f>
        <v>высший</v>
      </c>
      <c r="AD1176" s="459"/>
      <c r="AE1176" s="391"/>
    </row>
    <row r="1177" spans="1:31" s="325" customFormat="1" ht="15.6" hidden="1" customHeight="1" x14ac:dyDescent="0.2">
      <c r="A1177" s="40" t="s">
        <v>1081</v>
      </c>
      <c r="B1177" s="360" t="s">
        <v>511</v>
      </c>
      <c r="C1177" s="40">
        <v>529</v>
      </c>
      <c r="D1177" s="40" t="s">
        <v>902</v>
      </c>
      <c r="E1177" s="40" t="s">
        <v>914</v>
      </c>
      <c r="F1177" s="40" t="s">
        <v>1152</v>
      </c>
      <c r="G1177" s="40" t="s">
        <v>119</v>
      </c>
      <c r="H1177" s="40">
        <v>15</v>
      </c>
      <c r="I1177" s="360" t="e">
        <f>VLOOKUP(Таблица18[[#This Row],[Номер акта]],$AB$1:$AF$1833,3,FALSE)</f>
        <v>#N/A</v>
      </c>
      <c r="J1177" s="40" t="s">
        <v>909</v>
      </c>
      <c r="K1177" s="40" t="s">
        <v>82</v>
      </c>
      <c r="L1177" s="121">
        <v>34270</v>
      </c>
      <c r="M1177" s="121">
        <v>21010</v>
      </c>
      <c r="N1177" s="121">
        <v>11.5</v>
      </c>
      <c r="O1177" s="363">
        <v>13260</v>
      </c>
      <c r="P1177" s="363">
        <v>11735.1</v>
      </c>
      <c r="Q1177" s="121">
        <v>2025</v>
      </c>
      <c r="R1177" s="121"/>
      <c r="S1177" s="148">
        <v>45826</v>
      </c>
      <c r="T1177" s="363">
        <f>Таблица18[[#This Row],[Вес нетто]]-Таблица18[[#This Row],[Зачетный вес]]</f>
        <v>1524.8999999999996</v>
      </c>
      <c r="U1177" s="365">
        <f>Таблица18[[#This Row],[Отход]]/Таблица18[[#This Row],[Вес нетто]]</f>
        <v>0.11499999999999998</v>
      </c>
      <c r="V1177" s="121">
        <f>MONTH(Таблица18[[#This Row],[Дата акта]])</f>
        <v>6</v>
      </c>
      <c r="W1177" s="121">
        <v>18</v>
      </c>
      <c r="X1177" s="148">
        <f>DATE(1900,Таблица18[[#This Row],[Месяц]],Таблица18[[#This Row],[Число]])</f>
        <v>170</v>
      </c>
      <c r="Y1177" s="121"/>
      <c r="Z1177" s="121" t="str">
        <f>Таблица18[[#This Row],[Хар-ка]]</f>
        <v>высший</v>
      </c>
      <c r="AD1177" s="459"/>
      <c r="AE1177" s="391"/>
    </row>
    <row r="1178" spans="1:31" s="325" customFormat="1" ht="15.6" hidden="1" customHeight="1" x14ac:dyDescent="0.2">
      <c r="A1178" s="40" t="s">
        <v>1082</v>
      </c>
      <c r="B1178" s="360" t="s">
        <v>511</v>
      </c>
      <c r="C1178" s="40">
        <v>530</v>
      </c>
      <c r="D1178" s="40" t="s">
        <v>902</v>
      </c>
      <c r="E1178" s="40" t="s">
        <v>914</v>
      </c>
      <c r="F1178" s="40" t="s">
        <v>335</v>
      </c>
      <c r="G1178" s="40" t="s">
        <v>339</v>
      </c>
      <c r="H1178" s="40">
        <v>15</v>
      </c>
      <c r="I1178" s="360" t="e">
        <f>VLOOKUP(Таблица18[[#This Row],[Номер акта]],$AB$1:$AF$1833,3,FALSE)</f>
        <v>#N/A</v>
      </c>
      <c r="J1178" s="40" t="s">
        <v>909</v>
      </c>
      <c r="K1178" s="40" t="s">
        <v>82</v>
      </c>
      <c r="L1178" s="121">
        <v>28000</v>
      </c>
      <c r="M1178" s="121">
        <v>14720</v>
      </c>
      <c r="N1178" s="121">
        <v>6.5</v>
      </c>
      <c r="O1178" s="363">
        <v>13280</v>
      </c>
      <c r="P1178" s="363">
        <v>12416.8</v>
      </c>
      <c r="Q1178" s="121">
        <v>2025</v>
      </c>
      <c r="R1178" s="121"/>
      <c r="S1178" s="148">
        <v>45826</v>
      </c>
      <c r="T1178" s="363">
        <f>Таблица18[[#This Row],[Вес нетто]]-Таблица18[[#This Row],[Зачетный вес]]</f>
        <v>863.20000000000073</v>
      </c>
      <c r="U1178" s="365">
        <f>Таблица18[[#This Row],[Отход]]/Таблица18[[#This Row],[Вес нетто]]</f>
        <v>6.5000000000000058E-2</v>
      </c>
      <c r="V1178" s="121">
        <f>MONTH(Таблица18[[#This Row],[Дата акта]])</f>
        <v>6</v>
      </c>
      <c r="W1178" s="121">
        <v>18</v>
      </c>
      <c r="X1178" s="148">
        <f>DATE(1900,Таблица18[[#This Row],[Месяц]],Таблица18[[#This Row],[Число]])</f>
        <v>170</v>
      </c>
      <c r="Y1178" s="121"/>
      <c r="Z1178" s="121" t="str">
        <f>Таблица18[[#This Row],[Хар-ка]]</f>
        <v>высший</v>
      </c>
      <c r="AD1178" s="459"/>
      <c r="AE1178" s="391"/>
    </row>
    <row r="1179" spans="1:31" s="325" customFormat="1" ht="15.6" hidden="1" customHeight="1" x14ac:dyDescent="0.2">
      <c r="A1179" s="40" t="s">
        <v>1083</v>
      </c>
      <c r="B1179" s="360" t="s">
        <v>511</v>
      </c>
      <c r="C1179" s="40">
        <v>531</v>
      </c>
      <c r="D1179" s="40">
        <v>54927</v>
      </c>
      <c r="E1179" s="40" t="s">
        <v>914</v>
      </c>
      <c r="F1179" s="40" t="s">
        <v>212</v>
      </c>
      <c r="G1179" s="40" t="s">
        <v>216</v>
      </c>
      <c r="H1179" s="40">
        <v>15</v>
      </c>
      <c r="I1179" s="360" t="e">
        <f>VLOOKUP(Таблица18[[#This Row],[Номер акта]],$AB$1:$AF$1833,3,FALSE)</f>
        <v>#N/A</v>
      </c>
      <c r="J1179" s="40" t="s">
        <v>909</v>
      </c>
      <c r="K1179" s="40" t="s">
        <v>82</v>
      </c>
      <c r="L1179" s="121">
        <v>27280</v>
      </c>
      <c r="M1179" s="121">
        <v>13870</v>
      </c>
      <c r="N1179" s="121">
        <v>9.5</v>
      </c>
      <c r="O1179" s="363">
        <v>13410</v>
      </c>
      <c r="P1179" s="363">
        <v>12136</v>
      </c>
      <c r="Q1179" s="121">
        <v>2025</v>
      </c>
      <c r="R1179" s="121"/>
      <c r="S1179" s="148">
        <v>45826</v>
      </c>
      <c r="T1179" s="363">
        <f>Таблица18[[#This Row],[Вес нетто]]-Таблица18[[#This Row],[Зачетный вес]]</f>
        <v>1274</v>
      </c>
      <c r="U1179" s="365">
        <f>Таблица18[[#This Row],[Отход]]/Таблица18[[#This Row],[Вес нетто]]</f>
        <v>9.5003728560775547E-2</v>
      </c>
      <c r="V1179" s="121">
        <f>MONTH(Таблица18[[#This Row],[Дата акта]])</f>
        <v>6</v>
      </c>
      <c r="W1179" s="121">
        <v>18</v>
      </c>
      <c r="X1179" s="148">
        <f>DATE(1900,Таблица18[[#This Row],[Месяц]],Таблица18[[#This Row],[Число]])</f>
        <v>170</v>
      </c>
      <c r="Y1179" s="121"/>
      <c r="Z1179" s="121" t="str">
        <f>Таблица18[[#This Row],[Хар-ка]]</f>
        <v>высший</v>
      </c>
      <c r="AD1179" s="459"/>
      <c r="AE1179" s="391"/>
    </row>
    <row r="1180" spans="1:31" s="325" customFormat="1" ht="15.6" hidden="1" customHeight="1" x14ac:dyDescent="0.2">
      <c r="A1180" s="40" t="s">
        <v>1084</v>
      </c>
      <c r="B1180" s="360" t="s">
        <v>511</v>
      </c>
      <c r="C1180" s="40">
        <v>532</v>
      </c>
      <c r="D1180" s="40">
        <v>54928</v>
      </c>
      <c r="E1180" s="40" t="s">
        <v>914</v>
      </c>
      <c r="F1180" s="40" t="s">
        <v>151</v>
      </c>
      <c r="G1180" s="40" t="s">
        <v>155</v>
      </c>
      <c r="H1180" s="40">
        <v>15</v>
      </c>
      <c r="I1180" s="360" t="e">
        <f>VLOOKUP(Таблица18[[#This Row],[Номер акта]],$AB$1:$AF$1833,3,FALSE)</f>
        <v>#N/A</v>
      </c>
      <c r="J1180" s="40" t="s">
        <v>909</v>
      </c>
      <c r="K1180" s="40" t="s">
        <v>82</v>
      </c>
      <c r="L1180" s="121">
        <v>28170</v>
      </c>
      <c r="M1180" s="121">
        <v>14930</v>
      </c>
      <c r="N1180" s="121">
        <v>7.5</v>
      </c>
      <c r="O1180" s="363">
        <v>13240</v>
      </c>
      <c r="P1180" s="363">
        <v>12247</v>
      </c>
      <c r="Q1180" s="121">
        <v>2025</v>
      </c>
      <c r="R1180" s="121"/>
      <c r="S1180" s="148">
        <v>45826</v>
      </c>
      <c r="T1180" s="363">
        <f>Таблица18[[#This Row],[Вес нетто]]-Таблица18[[#This Row],[Зачетный вес]]</f>
        <v>993</v>
      </c>
      <c r="U1180" s="365">
        <f>Таблица18[[#This Row],[Отход]]/Таблица18[[#This Row],[Вес нетто]]</f>
        <v>7.4999999999999997E-2</v>
      </c>
      <c r="V1180" s="121">
        <f>MONTH(Таблица18[[#This Row],[Дата акта]])</f>
        <v>6</v>
      </c>
      <c r="W1180" s="121">
        <v>18</v>
      </c>
      <c r="X1180" s="148">
        <f>DATE(1900,Таблица18[[#This Row],[Месяц]],Таблица18[[#This Row],[Число]])</f>
        <v>170</v>
      </c>
      <c r="Y1180" s="121"/>
      <c r="Z1180" s="121" t="str">
        <f>Таблица18[[#This Row],[Хар-ка]]</f>
        <v>высший</v>
      </c>
      <c r="AD1180" s="459"/>
      <c r="AE1180" s="391"/>
    </row>
    <row r="1181" spans="1:31" s="325" customFormat="1" ht="15.6" hidden="1" customHeight="1" x14ac:dyDescent="0.2">
      <c r="A1181" s="40" t="s">
        <v>1085</v>
      </c>
      <c r="B1181" s="360" t="s">
        <v>511</v>
      </c>
      <c r="C1181" s="40">
        <v>533</v>
      </c>
      <c r="D1181" s="40">
        <v>54927</v>
      </c>
      <c r="E1181" s="40" t="s">
        <v>914</v>
      </c>
      <c r="F1181" s="40" t="s">
        <v>160</v>
      </c>
      <c r="G1181" s="40" t="s">
        <v>164</v>
      </c>
      <c r="H1181" s="40">
        <v>15</v>
      </c>
      <c r="I1181" s="360" t="e">
        <f>VLOOKUP(Таблица18[[#This Row],[Номер акта]],$AB$1:$AF$1833,3,FALSE)</f>
        <v>#N/A</v>
      </c>
      <c r="J1181" s="40" t="s">
        <v>909</v>
      </c>
      <c r="K1181" s="40" t="s">
        <v>82</v>
      </c>
      <c r="L1181" s="121">
        <v>36820</v>
      </c>
      <c r="M1181" s="121">
        <v>24060</v>
      </c>
      <c r="N1181" s="121">
        <v>7.5</v>
      </c>
      <c r="O1181" s="363">
        <v>12760</v>
      </c>
      <c r="P1181" s="363">
        <v>11803</v>
      </c>
      <c r="Q1181" s="121">
        <v>2025</v>
      </c>
      <c r="R1181" s="121"/>
      <c r="S1181" s="148">
        <v>45826</v>
      </c>
      <c r="T1181" s="363">
        <f>Таблица18[[#This Row],[Вес нетто]]-Таблица18[[#This Row],[Зачетный вес]]</f>
        <v>957</v>
      </c>
      <c r="U1181" s="365">
        <f>Таблица18[[#This Row],[Отход]]/Таблица18[[#This Row],[Вес нетто]]</f>
        <v>7.4999999999999997E-2</v>
      </c>
      <c r="V1181" s="121">
        <f>MONTH(Таблица18[[#This Row],[Дата акта]])</f>
        <v>6</v>
      </c>
      <c r="W1181" s="121">
        <v>18</v>
      </c>
      <c r="X1181" s="148">
        <f>DATE(1900,Таблица18[[#This Row],[Месяц]],Таблица18[[#This Row],[Число]])</f>
        <v>170</v>
      </c>
      <c r="Y1181" s="121"/>
      <c r="Z1181" s="121" t="str">
        <f>Таблица18[[#This Row],[Хар-ка]]</f>
        <v>высший</v>
      </c>
      <c r="AD1181" s="459"/>
      <c r="AE1181" s="391"/>
    </row>
    <row r="1182" spans="1:31" s="325" customFormat="1" ht="15.6" hidden="1" customHeight="1" x14ac:dyDescent="0.2">
      <c r="A1182" s="40" t="s">
        <v>1086</v>
      </c>
      <c r="B1182" s="360" t="s">
        <v>511</v>
      </c>
      <c r="C1182" s="40">
        <v>534</v>
      </c>
      <c r="D1182" s="40">
        <v>54928</v>
      </c>
      <c r="E1182" s="40" t="s">
        <v>914</v>
      </c>
      <c r="F1182" s="40" t="s">
        <v>311</v>
      </c>
      <c r="G1182" s="40" t="s">
        <v>315</v>
      </c>
      <c r="H1182" s="40">
        <v>15</v>
      </c>
      <c r="I1182" s="360" t="e">
        <f>VLOOKUP(Таблица18[[#This Row],[Номер акта]],$AB$1:$AF$1833,3,FALSE)</f>
        <v>#N/A</v>
      </c>
      <c r="J1182" s="40" t="s">
        <v>909</v>
      </c>
      <c r="K1182" s="40" t="s">
        <v>82</v>
      </c>
      <c r="L1182" s="121">
        <v>27850</v>
      </c>
      <c r="M1182" s="121">
        <v>15040</v>
      </c>
      <c r="N1182" s="121">
        <v>6.5</v>
      </c>
      <c r="O1182" s="363">
        <v>12810</v>
      </c>
      <c r="P1182" s="363">
        <v>11977.3</v>
      </c>
      <c r="Q1182" s="121">
        <v>2025</v>
      </c>
      <c r="R1182" s="121"/>
      <c r="S1182" s="148">
        <v>45827</v>
      </c>
      <c r="T1182" s="363">
        <f>Таблица18[[#This Row],[Вес нетто]]-Таблица18[[#This Row],[Зачетный вес]]</f>
        <v>832.70000000000073</v>
      </c>
      <c r="U1182" s="365">
        <f>Таблица18[[#This Row],[Отход]]/Таблица18[[#This Row],[Вес нетто]]</f>
        <v>6.5003903200624574E-2</v>
      </c>
      <c r="V1182" s="121">
        <f>MONTH(Таблица18[[#This Row],[Дата акта]])</f>
        <v>6</v>
      </c>
      <c r="W1182" s="121">
        <v>19</v>
      </c>
      <c r="X1182" s="148">
        <f>DATE(1900,Таблица18[[#This Row],[Месяц]],Таблица18[[#This Row],[Число]])</f>
        <v>171</v>
      </c>
      <c r="Y1182" s="121"/>
      <c r="Z1182" s="121" t="str">
        <f>Таблица18[[#This Row],[Хар-ка]]</f>
        <v>высший</v>
      </c>
      <c r="AD1182" s="459"/>
      <c r="AE1182" s="391"/>
    </row>
    <row r="1183" spans="1:31" s="325" customFormat="1" ht="15.6" hidden="1" customHeight="1" x14ac:dyDescent="0.2">
      <c r="A1183" s="40" t="s">
        <v>1087</v>
      </c>
      <c r="B1183" s="360" t="s">
        <v>511</v>
      </c>
      <c r="C1183" s="40">
        <v>535</v>
      </c>
      <c r="D1183" s="40">
        <v>54929</v>
      </c>
      <c r="E1183" s="40" t="s">
        <v>914</v>
      </c>
      <c r="F1183" s="40" t="s">
        <v>121</v>
      </c>
      <c r="G1183" s="40" t="s">
        <v>125</v>
      </c>
      <c r="H1183" s="40">
        <v>15</v>
      </c>
      <c r="I1183" s="360" t="e">
        <f>VLOOKUP(Таблица18[[#This Row],[Номер акта]],$AB$1:$AF$1833,3,FALSE)</f>
        <v>#N/A</v>
      </c>
      <c r="J1183" s="40" t="s">
        <v>909</v>
      </c>
      <c r="K1183" s="40" t="s">
        <v>82</v>
      </c>
      <c r="L1183" s="121">
        <v>27380</v>
      </c>
      <c r="M1183" s="121">
        <v>14650</v>
      </c>
      <c r="N1183" s="121">
        <v>5.5</v>
      </c>
      <c r="O1183" s="363">
        <v>12730</v>
      </c>
      <c r="P1183" s="363">
        <v>12029.8</v>
      </c>
      <c r="Q1183" s="121">
        <v>2025</v>
      </c>
      <c r="R1183" s="121"/>
      <c r="S1183" s="148">
        <v>45827</v>
      </c>
      <c r="T1183" s="363">
        <f>Таблица18[[#This Row],[Вес нетто]]-Таблица18[[#This Row],[Зачетный вес]]</f>
        <v>700.20000000000073</v>
      </c>
      <c r="U1183" s="365">
        <f>Таблица18[[#This Row],[Отход]]/Таблица18[[#This Row],[Вес нетто]]</f>
        <v>5.5003927729772251E-2</v>
      </c>
      <c r="V1183" s="121">
        <f>MONTH(Таблица18[[#This Row],[Дата акта]])</f>
        <v>6</v>
      </c>
      <c r="W1183" s="121">
        <v>19</v>
      </c>
      <c r="X1183" s="148">
        <f>DATE(1900,Таблица18[[#This Row],[Месяц]],Таблица18[[#This Row],[Число]])</f>
        <v>171</v>
      </c>
      <c r="Y1183" s="121"/>
      <c r="Z1183" s="121" t="str">
        <f>Таблица18[[#This Row],[Хар-ка]]</f>
        <v>высший</v>
      </c>
      <c r="AD1183" s="459"/>
      <c r="AE1183" s="391"/>
    </row>
    <row r="1184" spans="1:31" s="325" customFormat="1" ht="15.6" hidden="1" customHeight="1" x14ac:dyDescent="0.2">
      <c r="A1184" s="40" t="s">
        <v>1088</v>
      </c>
      <c r="B1184" s="360" t="s">
        <v>511</v>
      </c>
      <c r="C1184" s="40">
        <v>536</v>
      </c>
      <c r="D1184" s="40">
        <v>54929</v>
      </c>
      <c r="E1184" s="40" t="s">
        <v>914</v>
      </c>
      <c r="F1184" s="40" t="s">
        <v>239</v>
      </c>
      <c r="G1184" s="40" t="s">
        <v>243</v>
      </c>
      <c r="H1184" s="40">
        <v>15</v>
      </c>
      <c r="I1184" s="360" t="e">
        <f>VLOOKUP(Таблица18[[#This Row],[Номер акта]],$AB$1:$AF$1833,3,FALSE)</f>
        <v>#N/A</v>
      </c>
      <c r="J1184" s="40" t="s">
        <v>909</v>
      </c>
      <c r="K1184" s="40" t="s">
        <v>82</v>
      </c>
      <c r="L1184" s="121">
        <v>27650</v>
      </c>
      <c r="M1184" s="121">
        <v>14660</v>
      </c>
      <c r="N1184" s="121">
        <v>6.5</v>
      </c>
      <c r="O1184" s="363">
        <v>12990</v>
      </c>
      <c r="P1184" s="363">
        <v>12145.6</v>
      </c>
      <c r="Q1184" s="121">
        <v>2025</v>
      </c>
      <c r="R1184" s="121"/>
      <c r="S1184" s="148">
        <v>45827</v>
      </c>
      <c r="T1184" s="363">
        <f>Таблица18[[#This Row],[Вес нетто]]-Таблица18[[#This Row],[Зачетный вес]]</f>
        <v>844.39999999999964</v>
      </c>
      <c r="U1184" s="365">
        <f>Таблица18[[#This Row],[Отход]]/Таблица18[[#This Row],[Вес нетто]]</f>
        <v>6.5003849114703596E-2</v>
      </c>
      <c r="V1184" s="121">
        <f>MONTH(Таблица18[[#This Row],[Дата акта]])</f>
        <v>6</v>
      </c>
      <c r="W1184" s="121">
        <v>19</v>
      </c>
      <c r="X1184" s="148">
        <f>DATE(1900,Таблица18[[#This Row],[Месяц]],Таблица18[[#This Row],[Число]])</f>
        <v>171</v>
      </c>
      <c r="Y1184" s="121"/>
      <c r="Z1184" s="121" t="str">
        <f>Таблица18[[#This Row],[Хар-ка]]</f>
        <v>высший</v>
      </c>
      <c r="AD1184" s="459"/>
      <c r="AE1184" s="391"/>
    </row>
    <row r="1185" spans="1:31" s="325" customFormat="1" ht="15.6" hidden="1" customHeight="1" x14ac:dyDescent="0.2">
      <c r="A1185" s="40" t="s">
        <v>1089</v>
      </c>
      <c r="B1185" s="360" t="s">
        <v>511</v>
      </c>
      <c r="C1185" s="40">
        <v>537</v>
      </c>
      <c r="D1185" s="40">
        <v>54930</v>
      </c>
      <c r="E1185" s="40" t="s">
        <v>914</v>
      </c>
      <c r="F1185" s="40" t="s">
        <v>894</v>
      </c>
      <c r="G1185" s="40" t="s">
        <v>895</v>
      </c>
      <c r="H1185" s="40">
        <v>15</v>
      </c>
      <c r="I1185" s="360" t="e">
        <f>VLOOKUP(Таблица18[[#This Row],[Номер акта]],$AB$1:$AF$1833,3,FALSE)</f>
        <v>#N/A</v>
      </c>
      <c r="J1185" s="40" t="s">
        <v>909</v>
      </c>
      <c r="K1185" s="40" t="s">
        <v>82</v>
      </c>
      <c r="L1185" s="121">
        <v>28680</v>
      </c>
      <c r="M1185" s="121">
        <v>14980</v>
      </c>
      <c r="N1185" s="121">
        <v>8.5</v>
      </c>
      <c r="O1185" s="363">
        <v>13700</v>
      </c>
      <c r="P1185" s="363">
        <v>12535.5</v>
      </c>
      <c r="Q1185" s="121">
        <v>2025</v>
      </c>
      <c r="R1185" s="121"/>
      <c r="S1185" s="148">
        <v>45827</v>
      </c>
      <c r="T1185" s="363">
        <f>Таблица18[[#This Row],[Вес нетто]]-Таблица18[[#This Row],[Зачетный вес]]</f>
        <v>1164.5</v>
      </c>
      <c r="U1185" s="365">
        <f>Таблица18[[#This Row],[Отход]]/Таблица18[[#This Row],[Вес нетто]]</f>
        <v>8.5000000000000006E-2</v>
      </c>
      <c r="V1185" s="121">
        <f>MONTH(Таблица18[[#This Row],[Дата акта]])</f>
        <v>6</v>
      </c>
      <c r="W1185" s="121">
        <v>19</v>
      </c>
      <c r="X1185" s="148">
        <f>DATE(1900,Таблица18[[#This Row],[Месяц]],Таблица18[[#This Row],[Число]])</f>
        <v>171</v>
      </c>
      <c r="Y1185" s="121"/>
      <c r="Z1185" s="121" t="str">
        <f>Таблица18[[#This Row],[Хар-ка]]</f>
        <v>высший</v>
      </c>
      <c r="AD1185" s="459"/>
      <c r="AE1185" s="391"/>
    </row>
    <row r="1186" spans="1:31" s="325" customFormat="1" ht="15.6" hidden="1" customHeight="1" x14ac:dyDescent="0.2">
      <c r="A1186" s="40" t="s">
        <v>1090</v>
      </c>
      <c r="B1186" s="360" t="s">
        <v>511</v>
      </c>
      <c r="C1186" s="40">
        <v>538</v>
      </c>
      <c r="D1186" s="40">
        <v>54930</v>
      </c>
      <c r="E1186" s="40" t="s">
        <v>914</v>
      </c>
      <c r="F1186" s="40" t="s">
        <v>1312</v>
      </c>
      <c r="G1186" s="40" t="s">
        <v>320</v>
      </c>
      <c r="H1186" s="40">
        <v>16</v>
      </c>
      <c r="I1186" s="360" t="e">
        <f>VLOOKUP(Таблица18[[#This Row],[Номер акта]],$AB$1:$AF$1833,3,FALSE)</f>
        <v>#N/A</v>
      </c>
      <c r="J1186" s="40" t="s">
        <v>909</v>
      </c>
      <c r="K1186" s="40" t="s">
        <v>82</v>
      </c>
      <c r="L1186" s="121">
        <v>27300</v>
      </c>
      <c r="M1186" s="121">
        <v>14510</v>
      </c>
      <c r="N1186" s="121">
        <v>6.5</v>
      </c>
      <c r="O1186" s="363">
        <v>12790</v>
      </c>
      <c r="P1186" s="363">
        <v>11958.6</v>
      </c>
      <c r="Q1186" s="121">
        <v>2025</v>
      </c>
      <c r="R1186" s="121"/>
      <c r="S1186" s="148">
        <v>45827</v>
      </c>
      <c r="T1186" s="363">
        <f>Таблица18[[#This Row],[Вес нетто]]-Таблица18[[#This Row],[Зачетный вес]]</f>
        <v>831.39999999999964</v>
      </c>
      <c r="U1186" s="365">
        <f>Таблица18[[#This Row],[Отход]]/Таблица18[[#This Row],[Вес нетто]]</f>
        <v>6.5003909304143834E-2</v>
      </c>
      <c r="V1186" s="121">
        <f>MONTH(Таблица18[[#This Row],[Дата акта]])</f>
        <v>6</v>
      </c>
      <c r="W1186" s="121">
        <v>19</v>
      </c>
      <c r="X1186" s="148">
        <f>DATE(1900,Таблица18[[#This Row],[Месяц]],Таблица18[[#This Row],[Число]])</f>
        <v>171</v>
      </c>
      <c r="Y1186" s="121"/>
      <c r="Z1186" s="121" t="str">
        <f>Таблица18[[#This Row],[Хар-ка]]</f>
        <v>высший</v>
      </c>
      <c r="AD1186" s="459"/>
      <c r="AE1186" s="391"/>
    </row>
    <row r="1187" spans="1:31" s="325" customFormat="1" ht="15.6" hidden="1" customHeight="1" x14ac:dyDescent="0.2">
      <c r="A1187" s="40" t="s">
        <v>1104</v>
      </c>
      <c r="B1187" s="360" t="s">
        <v>511</v>
      </c>
      <c r="C1187" s="40">
        <v>539</v>
      </c>
      <c r="D1187" s="40">
        <v>54931</v>
      </c>
      <c r="E1187" s="40" t="s">
        <v>914</v>
      </c>
      <c r="F1187" s="40" t="s">
        <v>244</v>
      </c>
      <c r="G1187" s="40" t="s">
        <v>248</v>
      </c>
      <c r="H1187" s="40">
        <v>16</v>
      </c>
      <c r="I1187" s="360" t="e">
        <f>VLOOKUP(Таблица18[[#This Row],[Номер акта]],$AB$1:$AF$1833,3,FALSE)</f>
        <v>#N/A</v>
      </c>
      <c r="J1187" s="40" t="s">
        <v>909</v>
      </c>
      <c r="K1187" s="40" t="s">
        <v>82</v>
      </c>
      <c r="L1187" s="121">
        <v>28560</v>
      </c>
      <c r="M1187" s="121">
        <v>15560</v>
      </c>
      <c r="N1187" s="121">
        <v>8.5</v>
      </c>
      <c r="O1187" s="363">
        <v>13000</v>
      </c>
      <c r="P1187" s="363">
        <v>11895</v>
      </c>
      <c r="Q1187" s="121">
        <v>2025</v>
      </c>
      <c r="R1187" s="121"/>
      <c r="S1187" s="148">
        <v>45827</v>
      </c>
      <c r="T1187" s="363">
        <f>Таблица18[[#This Row],[Вес нетто]]-Таблица18[[#This Row],[Зачетный вес]]</f>
        <v>1105</v>
      </c>
      <c r="U1187" s="365">
        <f>Таблица18[[#This Row],[Отход]]/Таблица18[[#This Row],[Вес нетто]]</f>
        <v>8.5000000000000006E-2</v>
      </c>
      <c r="V1187" s="121">
        <f>MONTH(Таблица18[[#This Row],[Дата акта]])</f>
        <v>6</v>
      </c>
      <c r="W1187" s="121">
        <v>19</v>
      </c>
      <c r="X1187" s="148">
        <f>DATE(1900,Таблица18[[#This Row],[Месяц]],Таблица18[[#This Row],[Число]])</f>
        <v>171</v>
      </c>
      <c r="Y1187" s="121"/>
      <c r="Z1187" s="121" t="str">
        <f>Таблица18[[#This Row],[Хар-ка]]</f>
        <v>высший</v>
      </c>
      <c r="AD1187" s="459"/>
      <c r="AE1187" s="391"/>
    </row>
    <row r="1188" spans="1:31" s="325" customFormat="1" ht="15.6" hidden="1" customHeight="1" x14ac:dyDescent="0.2">
      <c r="A1188" s="40" t="s">
        <v>1105</v>
      </c>
      <c r="B1188" s="360" t="s">
        <v>511</v>
      </c>
      <c r="C1188" s="40">
        <v>541</v>
      </c>
      <c r="D1188" s="40">
        <v>54931</v>
      </c>
      <c r="E1188" s="40" t="s">
        <v>914</v>
      </c>
      <c r="F1188" s="40" t="s">
        <v>335</v>
      </c>
      <c r="G1188" s="40" t="s">
        <v>339</v>
      </c>
      <c r="H1188" s="40">
        <v>16</v>
      </c>
      <c r="I1188" s="360" t="e">
        <f>VLOOKUP(Таблица18[[#This Row],[Номер акта]],$AB$1:$AF$1833,3,FALSE)</f>
        <v>#N/A</v>
      </c>
      <c r="J1188" s="40" t="s">
        <v>909</v>
      </c>
      <c r="K1188" s="40" t="s">
        <v>82</v>
      </c>
      <c r="L1188" s="121">
        <v>27680</v>
      </c>
      <c r="M1188" s="121">
        <v>14660</v>
      </c>
      <c r="N1188" s="121">
        <v>7.5</v>
      </c>
      <c r="O1188" s="363">
        <v>13020</v>
      </c>
      <c r="P1188" s="363">
        <v>12043.5</v>
      </c>
      <c r="Q1188" s="121">
        <v>2025</v>
      </c>
      <c r="R1188" s="121"/>
      <c r="S1188" s="148">
        <v>45827</v>
      </c>
      <c r="T1188" s="363">
        <f>Таблица18[[#This Row],[Вес нетто]]-Таблица18[[#This Row],[Зачетный вес]]</f>
        <v>976.5</v>
      </c>
      <c r="U1188" s="365">
        <f>Таблица18[[#This Row],[Отход]]/Таблица18[[#This Row],[Вес нетто]]</f>
        <v>7.4999999999999997E-2</v>
      </c>
      <c r="V1188" s="121">
        <f>MONTH(Таблица18[[#This Row],[Дата акта]])</f>
        <v>6</v>
      </c>
      <c r="W1188" s="121">
        <v>19</v>
      </c>
      <c r="X1188" s="148">
        <f>DATE(1900,Таблица18[[#This Row],[Месяц]],Таблица18[[#This Row],[Число]])</f>
        <v>171</v>
      </c>
      <c r="Y1188" s="121"/>
      <c r="Z1188" s="121" t="str">
        <f>Таблица18[[#This Row],[Хар-ка]]</f>
        <v>высший</v>
      </c>
      <c r="AD1188" s="459"/>
      <c r="AE1188" s="391"/>
    </row>
    <row r="1189" spans="1:31" s="325" customFormat="1" ht="15.6" hidden="1" customHeight="1" x14ac:dyDescent="0.2">
      <c r="A1189" s="40" t="s">
        <v>1106</v>
      </c>
      <c r="B1189" s="360" t="s">
        <v>511</v>
      </c>
      <c r="C1189" s="40">
        <v>543</v>
      </c>
      <c r="D1189" s="40">
        <v>54933</v>
      </c>
      <c r="E1189" s="40" t="s">
        <v>914</v>
      </c>
      <c r="F1189" s="40" t="s">
        <v>160</v>
      </c>
      <c r="G1189" s="40" t="s">
        <v>164</v>
      </c>
      <c r="H1189" s="40">
        <v>16</v>
      </c>
      <c r="I1189" s="360" t="e">
        <f>VLOOKUP(Таблица18[[#This Row],[Номер акта]],$AB$1:$AF$1833,3,FALSE)</f>
        <v>#N/A</v>
      </c>
      <c r="J1189" s="40" t="s">
        <v>909</v>
      </c>
      <c r="K1189" s="40" t="s">
        <v>82</v>
      </c>
      <c r="L1189" s="121">
        <v>37000</v>
      </c>
      <c r="M1189" s="121">
        <v>23960</v>
      </c>
      <c r="N1189" s="121">
        <v>6.5</v>
      </c>
      <c r="O1189" s="363">
        <v>13040</v>
      </c>
      <c r="P1189" s="363">
        <v>12192.4</v>
      </c>
      <c r="Q1189" s="121">
        <v>2025</v>
      </c>
      <c r="R1189" s="121"/>
      <c r="S1189" s="148">
        <v>45827</v>
      </c>
      <c r="T1189" s="363">
        <f>Таблица18[[#This Row],[Вес нетто]]-Таблица18[[#This Row],[Зачетный вес]]</f>
        <v>847.60000000000036</v>
      </c>
      <c r="U1189" s="365">
        <f>Таблица18[[#This Row],[Отход]]/Таблица18[[#This Row],[Вес нетто]]</f>
        <v>6.500000000000003E-2</v>
      </c>
      <c r="V1189" s="121">
        <f>MONTH(Таблица18[[#This Row],[Дата акта]])</f>
        <v>6</v>
      </c>
      <c r="W1189" s="121">
        <v>19</v>
      </c>
      <c r="X1189" s="148">
        <f>DATE(1900,Таблица18[[#This Row],[Месяц]],Таблица18[[#This Row],[Число]])</f>
        <v>171</v>
      </c>
      <c r="Y1189" s="121"/>
      <c r="Z1189" s="121" t="str">
        <f>Таблица18[[#This Row],[Хар-ка]]</f>
        <v>высший</v>
      </c>
      <c r="AD1189" s="459"/>
      <c r="AE1189" s="391"/>
    </row>
    <row r="1190" spans="1:31" s="325" customFormat="1" ht="15.6" hidden="1" customHeight="1" x14ac:dyDescent="0.2">
      <c r="A1190" s="40" t="s">
        <v>1107</v>
      </c>
      <c r="B1190" s="360" t="s">
        <v>511</v>
      </c>
      <c r="C1190" s="40">
        <v>544</v>
      </c>
      <c r="D1190" s="40">
        <v>54934</v>
      </c>
      <c r="E1190" s="40" t="s">
        <v>914</v>
      </c>
      <c r="F1190" s="40" t="s">
        <v>151</v>
      </c>
      <c r="G1190" s="40" t="s">
        <v>155</v>
      </c>
      <c r="H1190" s="40">
        <v>16</v>
      </c>
      <c r="I1190" s="360" t="e">
        <f>VLOOKUP(Таблица18[[#This Row],[Номер акта]],$AB$1:$AF$1833,3,FALSE)</f>
        <v>#N/A</v>
      </c>
      <c r="J1190" s="40" t="s">
        <v>909</v>
      </c>
      <c r="K1190" s="40" t="s">
        <v>82</v>
      </c>
      <c r="L1190" s="121">
        <v>28150</v>
      </c>
      <c r="M1190" s="121">
        <v>14960</v>
      </c>
      <c r="N1190" s="121">
        <v>8.5</v>
      </c>
      <c r="O1190" s="363">
        <v>13190</v>
      </c>
      <c r="P1190" s="363">
        <v>12068.8</v>
      </c>
      <c r="Q1190" s="121">
        <v>2025</v>
      </c>
      <c r="R1190" s="121"/>
      <c r="S1190" s="148">
        <v>45827</v>
      </c>
      <c r="T1190" s="363">
        <f>Таблица18[[#This Row],[Вес нетто]]-Таблица18[[#This Row],[Зачетный вес]]</f>
        <v>1121.2000000000007</v>
      </c>
      <c r="U1190" s="365">
        <f>Таблица18[[#This Row],[Отход]]/Таблица18[[#This Row],[Вес нетто]]</f>
        <v>8.5003790750568672E-2</v>
      </c>
      <c r="V1190" s="121">
        <f>MONTH(Таблица18[[#This Row],[Дата акта]])</f>
        <v>6</v>
      </c>
      <c r="W1190" s="121">
        <v>19</v>
      </c>
      <c r="X1190" s="148">
        <f>DATE(1900,Таблица18[[#This Row],[Месяц]],Таблица18[[#This Row],[Число]])</f>
        <v>171</v>
      </c>
      <c r="Y1190" s="121"/>
      <c r="Z1190" s="121" t="str">
        <f>Таблица18[[#This Row],[Хар-ка]]</f>
        <v>высший</v>
      </c>
      <c r="AD1190" s="459"/>
      <c r="AE1190" s="391"/>
    </row>
    <row r="1191" spans="1:31" s="325" customFormat="1" ht="15.6" hidden="1" customHeight="1" x14ac:dyDescent="0.2">
      <c r="A1191" s="40" t="s">
        <v>1108</v>
      </c>
      <c r="B1191" s="360" t="s">
        <v>511</v>
      </c>
      <c r="C1191" s="40">
        <v>547</v>
      </c>
      <c r="D1191" s="40">
        <v>54934</v>
      </c>
      <c r="E1191" s="40" t="s">
        <v>914</v>
      </c>
      <c r="F1191" s="40" t="s">
        <v>121</v>
      </c>
      <c r="G1191" s="40" t="s">
        <v>125</v>
      </c>
      <c r="H1191" s="40">
        <v>16</v>
      </c>
      <c r="I1191" s="360" t="e">
        <f>VLOOKUP(Таблица18[[#This Row],[Номер акта]],$AB$1:$AF$1833,3,FALSE)</f>
        <v>#N/A</v>
      </c>
      <c r="J1191" s="40" t="s">
        <v>909</v>
      </c>
      <c r="K1191" s="40" t="s">
        <v>82</v>
      </c>
      <c r="L1191" s="121">
        <v>27940</v>
      </c>
      <c r="M1191" s="121">
        <v>14570</v>
      </c>
      <c r="N1191" s="121">
        <v>9.5</v>
      </c>
      <c r="O1191" s="363">
        <v>13370</v>
      </c>
      <c r="P1191" s="363">
        <v>12099.8</v>
      </c>
      <c r="Q1191" s="121">
        <v>2025</v>
      </c>
      <c r="R1191" s="121"/>
      <c r="S1191" s="148">
        <v>45827</v>
      </c>
      <c r="T1191" s="363">
        <f>Таблица18[[#This Row],[Вес нетто]]-Таблица18[[#This Row],[Зачетный вес]]</f>
        <v>1270.2000000000007</v>
      </c>
      <c r="U1191" s="365">
        <f>Таблица18[[#This Row],[Отход]]/Таблица18[[#This Row],[Вес нетто]]</f>
        <v>9.500373971578166E-2</v>
      </c>
      <c r="V1191" s="121">
        <f>MONTH(Таблица18[[#This Row],[Дата акта]])</f>
        <v>6</v>
      </c>
      <c r="W1191" s="121">
        <v>19</v>
      </c>
      <c r="X1191" s="148">
        <f>DATE(1900,Таблица18[[#This Row],[Месяц]],Таблица18[[#This Row],[Число]])</f>
        <v>171</v>
      </c>
      <c r="Y1191" s="121"/>
      <c r="Z1191" s="121" t="str">
        <f>Таблица18[[#This Row],[Хар-ка]]</f>
        <v>высший</v>
      </c>
      <c r="AD1191" s="459"/>
      <c r="AE1191" s="391"/>
    </row>
    <row r="1192" spans="1:31" s="325" customFormat="1" ht="15.6" hidden="1" customHeight="1" x14ac:dyDescent="0.2">
      <c r="A1192" s="40" t="s">
        <v>1109</v>
      </c>
      <c r="B1192" s="360" t="s">
        <v>511</v>
      </c>
      <c r="C1192" s="40">
        <v>549</v>
      </c>
      <c r="D1192" s="40">
        <v>54934</v>
      </c>
      <c r="E1192" s="40" t="s">
        <v>914</v>
      </c>
      <c r="F1192" s="40" t="s">
        <v>311</v>
      </c>
      <c r="G1192" s="40" t="s">
        <v>315</v>
      </c>
      <c r="H1192" s="40">
        <v>16</v>
      </c>
      <c r="I1192" s="360" t="e">
        <f>VLOOKUP(Таблица18[[#This Row],[Номер акта]],$AB$1:$AF$1833,3,FALSE)</f>
        <v>#N/A</v>
      </c>
      <c r="J1192" s="40" t="s">
        <v>909</v>
      </c>
      <c r="K1192" s="40" t="s">
        <v>82</v>
      </c>
      <c r="L1192" s="121">
        <v>28260</v>
      </c>
      <c r="M1192" s="121">
        <v>14960</v>
      </c>
      <c r="N1192" s="121">
        <v>13</v>
      </c>
      <c r="O1192" s="363">
        <v>13300</v>
      </c>
      <c r="P1192" s="363">
        <v>11571</v>
      </c>
      <c r="Q1192" s="121">
        <v>2025</v>
      </c>
      <c r="R1192" s="121"/>
      <c r="S1192" s="148">
        <v>45827</v>
      </c>
      <c r="T1192" s="363">
        <f>Таблица18[[#This Row],[Вес нетто]]-Таблица18[[#This Row],[Зачетный вес]]</f>
        <v>1729</v>
      </c>
      <c r="U1192" s="365">
        <f>Таблица18[[#This Row],[Отход]]/Таблица18[[#This Row],[Вес нетто]]</f>
        <v>0.13</v>
      </c>
      <c r="V1192" s="121">
        <f>MONTH(Таблица18[[#This Row],[Дата акта]])</f>
        <v>6</v>
      </c>
      <c r="W1192" s="121">
        <v>19</v>
      </c>
      <c r="X1192" s="148">
        <f>DATE(1900,Таблица18[[#This Row],[Месяц]],Таблица18[[#This Row],[Число]])</f>
        <v>171</v>
      </c>
      <c r="Y1192" s="121"/>
      <c r="Z1192" s="121" t="str">
        <f>Таблица18[[#This Row],[Хар-ка]]</f>
        <v>высший</v>
      </c>
      <c r="AD1192" s="459"/>
      <c r="AE1192" s="391"/>
    </row>
    <row r="1193" spans="1:31" s="325" customFormat="1" ht="15.6" hidden="1" customHeight="1" x14ac:dyDescent="0.2">
      <c r="A1193" s="40" t="s">
        <v>1110</v>
      </c>
      <c r="B1193" s="360" t="s">
        <v>511</v>
      </c>
      <c r="C1193" s="40">
        <v>551</v>
      </c>
      <c r="D1193" s="40">
        <v>54936</v>
      </c>
      <c r="E1193" s="40" t="s">
        <v>914</v>
      </c>
      <c r="F1193" s="40" t="s">
        <v>1152</v>
      </c>
      <c r="G1193" s="40" t="s">
        <v>119</v>
      </c>
      <c r="H1193" s="40">
        <v>16</v>
      </c>
      <c r="I1193" s="360" t="e">
        <f>VLOOKUP(Таблица18[[#This Row],[Номер акта]],$AB$1:$AF$1833,3,FALSE)</f>
        <v>#N/A</v>
      </c>
      <c r="J1193" s="40" t="s">
        <v>909</v>
      </c>
      <c r="K1193" s="40" t="s">
        <v>82</v>
      </c>
      <c r="L1193" s="121">
        <v>34460</v>
      </c>
      <c r="M1193" s="121">
        <v>21030</v>
      </c>
      <c r="N1193" s="121">
        <v>12.5</v>
      </c>
      <c r="O1193" s="363">
        <v>13430</v>
      </c>
      <c r="P1193" s="363">
        <v>11751.2</v>
      </c>
      <c r="Q1193" s="121">
        <v>2025</v>
      </c>
      <c r="R1193" s="121"/>
      <c r="S1193" s="148">
        <v>45827</v>
      </c>
      <c r="T1193" s="363">
        <f>Таблица18[[#This Row],[Вес нетто]]-Таблица18[[#This Row],[Зачетный вес]]</f>
        <v>1678.7999999999993</v>
      </c>
      <c r="U1193" s="365">
        <f>Таблица18[[#This Row],[Отход]]/Таблица18[[#This Row],[Вес нетто]]</f>
        <v>0.12500372300819057</v>
      </c>
      <c r="V1193" s="121">
        <f>MONTH(Таблица18[[#This Row],[Дата акта]])</f>
        <v>6</v>
      </c>
      <c r="W1193" s="121">
        <v>19</v>
      </c>
      <c r="X1193" s="148">
        <f>DATE(1900,Таблица18[[#This Row],[Месяц]],Таблица18[[#This Row],[Число]])</f>
        <v>171</v>
      </c>
      <c r="Y1193" s="121"/>
      <c r="Z1193" s="121" t="str">
        <f>Таблица18[[#This Row],[Хар-ка]]</f>
        <v>высший</v>
      </c>
      <c r="AD1193" s="459"/>
      <c r="AE1193" s="391"/>
    </row>
    <row r="1194" spans="1:31" s="325" customFormat="1" ht="15.6" hidden="1" customHeight="1" x14ac:dyDescent="0.2">
      <c r="A1194" s="40" t="s">
        <v>1111</v>
      </c>
      <c r="B1194" s="360" t="s">
        <v>511</v>
      </c>
      <c r="C1194" s="40">
        <v>550</v>
      </c>
      <c r="D1194" s="40">
        <v>54935</v>
      </c>
      <c r="E1194" s="40" t="s">
        <v>914</v>
      </c>
      <c r="F1194" s="40" t="s">
        <v>239</v>
      </c>
      <c r="G1194" s="40" t="s">
        <v>243</v>
      </c>
      <c r="H1194" s="40">
        <v>16</v>
      </c>
      <c r="I1194" s="360" t="e">
        <f>VLOOKUP(Таблица18[[#This Row],[Номер акта]],$AB$1:$AF$1833,3,FALSE)</f>
        <v>#N/A</v>
      </c>
      <c r="J1194" s="40" t="s">
        <v>909</v>
      </c>
      <c r="K1194" s="40" t="s">
        <v>82</v>
      </c>
      <c r="L1194" s="121">
        <v>27940</v>
      </c>
      <c r="M1194" s="121">
        <v>14590</v>
      </c>
      <c r="N1194" s="121">
        <v>9.5</v>
      </c>
      <c r="O1194" s="363">
        <v>13350</v>
      </c>
      <c r="P1194" s="363">
        <v>12081.7</v>
      </c>
      <c r="Q1194" s="121">
        <v>2025</v>
      </c>
      <c r="R1194" s="121"/>
      <c r="S1194" s="148">
        <v>45827</v>
      </c>
      <c r="T1194" s="363">
        <f>Таблица18[[#This Row],[Вес нетто]]-Таблица18[[#This Row],[Зачетный вес]]</f>
        <v>1268.2999999999993</v>
      </c>
      <c r="U1194" s="365">
        <f>Таблица18[[#This Row],[Отход]]/Таблица18[[#This Row],[Вес нетто]]</f>
        <v>9.5003745318352012E-2</v>
      </c>
      <c r="V1194" s="121">
        <f>MONTH(Таблица18[[#This Row],[Дата акта]])</f>
        <v>6</v>
      </c>
      <c r="W1194" s="121">
        <v>19</v>
      </c>
      <c r="X1194" s="148">
        <f>DATE(1900,Таблица18[[#This Row],[Месяц]],Таблица18[[#This Row],[Число]])</f>
        <v>171</v>
      </c>
      <c r="Y1194" s="121"/>
      <c r="Z1194" s="121" t="str">
        <f>Таблица18[[#This Row],[Хар-ка]]</f>
        <v>высший</v>
      </c>
      <c r="AD1194" s="459"/>
      <c r="AE1194" s="391"/>
    </row>
    <row r="1195" spans="1:31" s="325" customFormat="1" ht="15.6" hidden="1" customHeight="1" x14ac:dyDescent="0.2">
      <c r="A1195" s="40" t="s">
        <v>1112</v>
      </c>
      <c r="B1195" s="360" t="s">
        <v>511</v>
      </c>
      <c r="C1195" s="40">
        <v>552</v>
      </c>
      <c r="D1195" s="40">
        <v>54936</v>
      </c>
      <c r="E1195" s="40" t="s">
        <v>914</v>
      </c>
      <c r="F1195" s="40" t="s">
        <v>212</v>
      </c>
      <c r="G1195" s="40" t="s">
        <v>216</v>
      </c>
      <c r="H1195" s="40">
        <v>16</v>
      </c>
      <c r="I1195" s="360" t="e">
        <f>VLOOKUP(Таблица18[[#This Row],[Номер акта]],$AB$1:$AF$1833,3,FALSE)</f>
        <v>#N/A</v>
      </c>
      <c r="J1195" s="40" t="s">
        <v>909</v>
      </c>
      <c r="K1195" s="40" t="s">
        <v>82</v>
      </c>
      <c r="L1195" s="121">
        <v>27200</v>
      </c>
      <c r="M1195" s="121">
        <v>13800</v>
      </c>
      <c r="N1195" s="121">
        <v>10.5</v>
      </c>
      <c r="O1195" s="363">
        <v>13400</v>
      </c>
      <c r="P1195" s="363">
        <v>11993</v>
      </c>
      <c r="Q1195" s="121">
        <v>2025</v>
      </c>
      <c r="R1195" s="121"/>
      <c r="S1195" s="148">
        <v>45827</v>
      </c>
      <c r="T1195" s="363">
        <f>Таблица18[[#This Row],[Вес нетто]]-Таблица18[[#This Row],[Зачетный вес]]</f>
        <v>1407</v>
      </c>
      <c r="U1195" s="365">
        <f>Таблица18[[#This Row],[Отход]]/Таблица18[[#This Row],[Вес нетто]]</f>
        <v>0.105</v>
      </c>
      <c r="V1195" s="121">
        <f>MONTH(Таблица18[[#This Row],[Дата акта]])</f>
        <v>6</v>
      </c>
      <c r="W1195" s="121">
        <v>19</v>
      </c>
      <c r="X1195" s="148">
        <f>DATE(1900,Таблица18[[#This Row],[Месяц]],Таблица18[[#This Row],[Число]])</f>
        <v>171</v>
      </c>
      <c r="Y1195" s="121"/>
      <c r="Z1195" s="121" t="str">
        <f>Таблица18[[#This Row],[Хар-ка]]</f>
        <v>высший</v>
      </c>
      <c r="AD1195" s="459"/>
      <c r="AE1195" s="391"/>
    </row>
    <row r="1196" spans="1:31" s="325" customFormat="1" ht="15.6" hidden="1" customHeight="1" x14ac:dyDescent="0.2">
      <c r="A1196" s="40" t="s">
        <v>1113</v>
      </c>
      <c r="B1196" s="360" t="s">
        <v>511</v>
      </c>
      <c r="C1196" s="40">
        <v>553</v>
      </c>
      <c r="D1196" s="40">
        <v>54937</v>
      </c>
      <c r="E1196" s="40" t="s">
        <v>914</v>
      </c>
      <c r="F1196" s="40" t="s">
        <v>244</v>
      </c>
      <c r="G1196" s="40" t="s">
        <v>248</v>
      </c>
      <c r="H1196" s="40">
        <v>16</v>
      </c>
      <c r="I1196" s="360" t="e">
        <f>VLOOKUP(Таблица18[[#This Row],[Номер акта]],$AB$1:$AF$1833,3,FALSE)</f>
        <v>#N/A</v>
      </c>
      <c r="J1196" s="40" t="s">
        <v>909</v>
      </c>
      <c r="K1196" s="40" t="s">
        <v>82</v>
      </c>
      <c r="L1196" s="121">
        <v>29170</v>
      </c>
      <c r="M1196" s="121">
        <v>15500</v>
      </c>
      <c r="N1196" s="121">
        <v>7.5</v>
      </c>
      <c r="O1196" s="363">
        <v>13670</v>
      </c>
      <c r="P1196" s="363">
        <v>12644.7</v>
      </c>
      <c r="Q1196" s="121">
        <v>2025</v>
      </c>
      <c r="R1196" s="121"/>
      <c r="S1196" s="148">
        <v>45827</v>
      </c>
      <c r="T1196" s="363">
        <f>Таблица18[[#This Row],[Вес нетто]]-Таблица18[[#This Row],[Зачетный вес]]</f>
        <v>1025.2999999999993</v>
      </c>
      <c r="U1196" s="365">
        <f>Таблица18[[#This Row],[Отход]]/Таблица18[[#This Row],[Вес нетто]]</f>
        <v>7.5003657644476904E-2</v>
      </c>
      <c r="V1196" s="121">
        <f>MONTH(Таблица18[[#This Row],[Дата акта]])</f>
        <v>6</v>
      </c>
      <c r="W1196" s="121">
        <v>19</v>
      </c>
      <c r="X1196" s="148">
        <f>DATE(1900,Таблица18[[#This Row],[Месяц]],Таблица18[[#This Row],[Число]])</f>
        <v>171</v>
      </c>
      <c r="Y1196" s="121"/>
      <c r="Z1196" s="121" t="str">
        <f>Таблица18[[#This Row],[Хар-ка]]</f>
        <v>высший</v>
      </c>
      <c r="AD1196" s="459"/>
      <c r="AE1196" s="391"/>
    </row>
    <row r="1197" spans="1:31" s="325" customFormat="1" ht="15.6" hidden="1" customHeight="1" x14ac:dyDescent="0.2">
      <c r="A1197" s="40" t="s">
        <v>1114</v>
      </c>
      <c r="B1197" s="360" t="s">
        <v>511</v>
      </c>
      <c r="C1197" s="40">
        <v>555</v>
      </c>
      <c r="D1197" s="40">
        <v>54937</v>
      </c>
      <c r="E1197" s="40" t="s">
        <v>914</v>
      </c>
      <c r="F1197" s="40" t="s">
        <v>894</v>
      </c>
      <c r="G1197" s="40" t="s">
        <v>895</v>
      </c>
      <c r="H1197" s="40">
        <v>16</v>
      </c>
      <c r="I1197" s="360" t="e">
        <f>VLOOKUP(Таблица18[[#This Row],[Номер акта]],$AB$1:$AF$1833,3,FALSE)</f>
        <v>#N/A</v>
      </c>
      <c r="J1197" s="40" t="s">
        <v>909</v>
      </c>
      <c r="K1197" s="40" t="s">
        <v>82</v>
      </c>
      <c r="L1197" s="121">
        <v>28460</v>
      </c>
      <c r="M1197" s="121">
        <v>14900</v>
      </c>
      <c r="N1197" s="121">
        <v>6.5</v>
      </c>
      <c r="O1197" s="363">
        <v>13560</v>
      </c>
      <c r="P1197" s="363">
        <v>12678.6</v>
      </c>
      <c r="Q1197" s="121">
        <v>2025</v>
      </c>
      <c r="R1197" s="121"/>
      <c r="S1197" s="148">
        <v>45827</v>
      </c>
      <c r="T1197" s="363">
        <f>Таблица18[[#This Row],[Вес нетто]]-Таблица18[[#This Row],[Зачетный вес]]</f>
        <v>881.39999999999964</v>
      </c>
      <c r="U1197" s="365">
        <f>Таблица18[[#This Row],[Отход]]/Таблица18[[#This Row],[Вес нетто]]</f>
        <v>6.4999999999999974E-2</v>
      </c>
      <c r="V1197" s="121">
        <f>MONTH(Таблица18[[#This Row],[Дата акта]])</f>
        <v>6</v>
      </c>
      <c r="W1197" s="121">
        <v>19</v>
      </c>
      <c r="X1197" s="148">
        <f>DATE(1900,Таблица18[[#This Row],[Месяц]],Таблица18[[#This Row],[Число]])</f>
        <v>171</v>
      </c>
      <c r="Y1197" s="121"/>
      <c r="Z1197" s="121" t="str">
        <f>Таблица18[[#This Row],[Хар-ка]]</f>
        <v>высший</v>
      </c>
      <c r="AD1197" s="459"/>
      <c r="AE1197" s="391"/>
    </row>
    <row r="1198" spans="1:31" s="325" customFormat="1" ht="15.6" hidden="1" customHeight="1" x14ac:dyDescent="0.2">
      <c r="A1198" s="40" t="s">
        <v>1115</v>
      </c>
      <c r="B1198" s="360" t="s">
        <v>511</v>
      </c>
      <c r="C1198" s="40">
        <v>554</v>
      </c>
      <c r="D1198" s="40">
        <v>54937</v>
      </c>
      <c r="E1198" s="40" t="s">
        <v>914</v>
      </c>
      <c r="F1198" s="40" t="s">
        <v>1312</v>
      </c>
      <c r="G1198" s="40" t="s">
        <v>320</v>
      </c>
      <c r="H1198" s="40">
        <v>16</v>
      </c>
      <c r="I1198" s="360" t="e">
        <f>VLOOKUP(Таблица18[[#This Row],[Номер акта]],$AB$1:$AF$1833,3,FALSE)</f>
        <v>#N/A</v>
      </c>
      <c r="J1198" s="40" t="s">
        <v>909</v>
      </c>
      <c r="K1198" s="40" t="s">
        <v>82</v>
      </c>
      <c r="L1198" s="121">
        <v>27920</v>
      </c>
      <c r="M1198" s="121">
        <v>14400</v>
      </c>
      <c r="N1198" s="121">
        <v>9.5</v>
      </c>
      <c r="O1198" s="363">
        <v>13520</v>
      </c>
      <c r="P1198" s="363">
        <v>12235.6</v>
      </c>
      <c r="Q1198" s="121">
        <v>2025</v>
      </c>
      <c r="R1198" s="121"/>
      <c r="S1198" s="148">
        <v>45827</v>
      </c>
      <c r="T1198" s="363">
        <f>Таблица18[[#This Row],[Вес нетто]]-Таблица18[[#This Row],[Зачетный вес]]</f>
        <v>1284.3999999999996</v>
      </c>
      <c r="U1198" s="365">
        <f>Таблица18[[#This Row],[Отход]]/Таблица18[[#This Row],[Вес нетто]]</f>
        <v>9.4999999999999973E-2</v>
      </c>
      <c r="V1198" s="121">
        <f>MONTH(Таблица18[[#This Row],[Дата акта]])</f>
        <v>6</v>
      </c>
      <c r="W1198" s="121">
        <v>19</v>
      </c>
      <c r="X1198" s="148">
        <f>DATE(1900,Таблица18[[#This Row],[Месяц]],Таблица18[[#This Row],[Число]])</f>
        <v>171</v>
      </c>
      <c r="Y1198" s="121"/>
      <c r="Z1198" s="121" t="str">
        <f>Таблица18[[#This Row],[Хар-ка]]</f>
        <v>высший</v>
      </c>
      <c r="AD1198" s="459"/>
      <c r="AE1198" s="391"/>
    </row>
    <row r="1199" spans="1:31" s="325" customFormat="1" ht="15.6" hidden="1" customHeight="1" x14ac:dyDescent="0.2">
      <c r="A1199" s="40" t="s">
        <v>1116</v>
      </c>
      <c r="B1199" s="360" t="s">
        <v>511</v>
      </c>
      <c r="C1199" s="40">
        <v>556</v>
      </c>
      <c r="D1199" s="40">
        <v>54938</v>
      </c>
      <c r="E1199" s="40" t="s">
        <v>914</v>
      </c>
      <c r="F1199" s="40" t="s">
        <v>335</v>
      </c>
      <c r="G1199" s="40" t="s">
        <v>339</v>
      </c>
      <c r="H1199" s="40">
        <v>16</v>
      </c>
      <c r="I1199" s="360" t="e">
        <f>VLOOKUP(Таблица18[[#This Row],[Номер акта]],$AB$1:$AF$1833,3,FALSE)</f>
        <v>#N/A</v>
      </c>
      <c r="J1199" s="40" t="s">
        <v>909</v>
      </c>
      <c r="K1199" s="40" t="s">
        <v>82</v>
      </c>
      <c r="L1199" s="121">
        <v>28110</v>
      </c>
      <c r="M1199" s="121">
        <v>14730</v>
      </c>
      <c r="N1199" s="121">
        <v>8.5</v>
      </c>
      <c r="O1199" s="363">
        <v>13380</v>
      </c>
      <c r="P1199" s="363">
        <v>12242.7</v>
      </c>
      <c r="Q1199" s="121">
        <v>2025</v>
      </c>
      <c r="R1199" s="121"/>
      <c r="S1199" s="148">
        <v>45827</v>
      </c>
      <c r="T1199" s="363">
        <f>Таблица18[[#This Row],[Вес нетто]]-Таблица18[[#This Row],[Зачетный вес]]</f>
        <v>1137.2999999999993</v>
      </c>
      <c r="U1199" s="365">
        <f>Таблица18[[#This Row],[Отход]]/Таблица18[[#This Row],[Вес нетто]]</f>
        <v>8.4999999999999951E-2</v>
      </c>
      <c r="V1199" s="121">
        <f>MONTH(Таблица18[[#This Row],[Дата акта]])</f>
        <v>6</v>
      </c>
      <c r="W1199" s="121">
        <v>19</v>
      </c>
      <c r="X1199" s="148">
        <f>DATE(1900,Таблица18[[#This Row],[Месяц]],Таблица18[[#This Row],[Число]])</f>
        <v>171</v>
      </c>
      <c r="Y1199" s="121"/>
      <c r="Z1199" s="121" t="str">
        <f>Таблица18[[#This Row],[Хар-ка]]</f>
        <v>высший</v>
      </c>
      <c r="AD1199" s="459"/>
      <c r="AE1199" s="391"/>
    </row>
    <row r="1200" spans="1:31" s="325" customFormat="1" ht="15.6" hidden="1" customHeight="1" x14ac:dyDescent="0.2">
      <c r="A1200" s="40" t="s">
        <v>1117</v>
      </c>
      <c r="B1200" s="360" t="s">
        <v>550</v>
      </c>
      <c r="C1200" s="40">
        <v>557</v>
      </c>
      <c r="D1200" s="40">
        <v>54938</v>
      </c>
      <c r="E1200" s="40" t="s">
        <v>914</v>
      </c>
      <c r="F1200" s="40" t="s">
        <v>151</v>
      </c>
      <c r="G1200" s="40" t="s">
        <v>155</v>
      </c>
      <c r="H1200" s="40">
        <v>16</v>
      </c>
      <c r="I1200" s="360" t="e">
        <f>VLOOKUP(Таблица18[[#This Row],[Номер акта]],$AB$1:$AF$1833,3,FALSE)</f>
        <v>#N/A</v>
      </c>
      <c r="J1200" s="40" t="s">
        <v>909</v>
      </c>
      <c r="K1200" s="40" t="s">
        <v>82</v>
      </c>
      <c r="L1200" s="121">
        <v>28060</v>
      </c>
      <c r="M1200" s="121">
        <v>14890</v>
      </c>
      <c r="N1200" s="121">
        <v>6.5</v>
      </c>
      <c r="O1200" s="363">
        <v>13170</v>
      </c>
      <c r="P1200" s="363">
        <v>12313.9</v>
      </c>
      <c r="Q1200" s="121">
        <v>2025</v>
      </c>
      <c r="R1200" s="121"/>
      <c r="S1200" s="148">
        <v>45827</v>
      </c>
      <c r="T1200" s="363">
        <f>Таблица18[[#This Row],[Вес нетто]]-Таблица18[[#This Row],[Зачетный вес]]</f>
        <v>856.10000000000036</v>
      </c>
      <c r="U1200" s="365">
        <f>Таблица18[[#This Row],[Отход]]/Таблица18[[#This Row],[Вес нетто]]</f>
        <v>6.5003796507213385E-2</v>
      </c>
      <c r="V1200" s="121">
        <f>MONTH(Таблица18[[#This Row],[Дата акта]])</f>
        <v>6</v>
      </c>
      <c r="W1200" s="121">
        <v>19</v>
      </c>
      <c r="X1200" s="148">
        <f>DATE(1900,Таблица18[[#This Row],[Месяц]],Таблица18[[#This Row],[Число]])</f>
        <v>171</v>
      </c>
      <c r="Y1200" s="121"/>
      <c r="Z1200" s="121" t="str">
        <f>Таблица18[[#This Row],[Хар-ка]]</f>
        <v>первый</v>
      </c>
      <c r="AD1200" s="459"/>
      <c r="AE1200" s="391"/>
    </row>
    <row r="1201" spans="1:31" s="325" customFormat="1" ht="15.6" hidden="1" customHeight="1" x14ac:dyDescent="0.2">
      <c r="A1201" s="40" t="s">
        <v>1118</v>
      </c>
      <c r="B1201" s="360" t="s">
        <v>550</v>
      </c>
      <c r="C1201" s="40">
        <v>559</v>
      </c>
      <c r="D1201" s="40">
        <v>54939</v>
      </c>
      <c r="E1201" s="40" t="s">
        <v>914</v>
      </c>
      <c r="F1201" s="40" t="s">
        <v>311</v>
      </c>
      <c r="G1201" s="40" t="s">
        <v>315</v>
      </c>
      <c r="H1201" s="40">
        <v>16</v>
      </c>
      <c r="I1201" s="360" t="e">
        <f>VLOOKUP(Таблица18[[#This Row],[Номер акта]],$AB$1:$AF$1833,3,FALSE)</f>
        <v>#N/A</v>
      </c>
      <c r="J1201" s="40" t="s">
        <v>909</v>
      </c>
      <c r="K1201" s="40" t="s">
        <v>82</v>
      </c>
      <c r="L1201" s="121">
        <v>28140</v>
      </c>
      <c r="M1201" s="121">
        <v>15020</v>
      </c>
      <c r="N1201" s="121">
        <v>5.5</v>
      </c>
      <c r="O1201" s="363">
        <v>13120</v>
      </c>
      <c r="P1201" s="363">
        <v>12398.4</v>
      </c>
      <c r="Q1201" s="121">
        <v>2025</v>
      </c>
      <c r="R1201" s="121"/>
      <c r="S1201" s="148">
        <v>45827</v>
      </c>
      <c r="T1201" s="363">
        <f>Таблица18[[#This Row],[Вес нетто]]-Таблица18[[#This Row],[Зачетный вес]]</f>
        <v>721.60000000000036</v>
      </c>
      <c r="U1201" s="365">
        <f>Таблица18[[#This Row],[Отход]]/Таблица18[[#This Row],[Вес нетто]]</f>
        <v>5.5000000000000028E-2</v>
      </c>
      <c r="V1201" s="121">
        <f>MONTH(Таблица18[[#This Row],[Дата акта]])</f>
        <v>6</v>
      </c>
      <c r="W1201" s="121">
        <v>19</v>
      </c>
      <c r="X1201" s="148">
        <f>DATE(1900,Таблица18[[#This Row],[Месяц]],Таблица18[[#This Row],[Число]])</f>
        <v>171</v>
      </c>
      <c r="Y1201" s="121"/>
      <c r="Z1201" s="121" t="str">
        <f>Таблица18[[#This Row],[Хар-ка]]</f>
        <v>первый</v>
      </c>
      <c r="AD1201" s="459"/>
      <c r="AE1201" s="391"/>
    </row>
    <row r="1202" spans="1:31" s="325" customFormat="1" ht="15.6" hidden="1" customHeight="1" x14ac:dyDescent="0.2">
      <c r="A1202" s="40" t="s">
        <v>1119</v>
      </c>
      <c r="B1202" s="360" t="s">
        <v>550</v>
      </c>
      <c r="C1202" s="40">
        <v>558</v>
      </c>
      <c r="D1202" s="40">
        <v>54939</v>
      </c>
      <c r="E1202" s="40" t="s">
        <v>914</v>
      </c>
      <c r="F1202" s="40" t="s">
        <v>160</v>
      </c>
      <c r="G1202" s="40" t="s">
        <v>164</v>
      </c>
      <c r="H1202" s="40">
        <v>16</v>
      </c>
      <c r="I1202" s="360" t="e">
        <f>VLOOKUP(Таблица18[[#This Row],[Номер акта]],$AB$1:$AF$1833,3,FALSE)</f>
        <v>#N/A</v>
      </c>
      <c r="J1202" s="40" t="s">
        <v>909</v>
      </c>
      <c r="K1202" s="40" t="s">
        <v>82</v>
      </c>
      <c r="L1202" s="121">
        <v>37150</v>
      </c>
      <c r="M1202" s="121">
        <v>24140</v>
      </c>
      <c r="N1202" s="121">
        <v>6.5</v>
      </c>
      <c r="O1202" s="363">
        <v>13010</v>
      </c>
      <c r="P1202" s="363">
        <v>12164.3</v>
      </c>
      <c r="Q1202" s="121">
        <v>2025</v>
      </c>
      <c r="R1202" s="121"/>
      <c r="S1202" s="148">
        <v>45827</v>
      </c>
      <c r="T1202" s="363">
        <f>Таблица18[[#This Row],[Вес нетто]]-Таблица18[[#This Row],[Зачетный вес]]</f>
        <v>845.70000000000073</v>
      </c>
      <c r="U1202" s="365">
        <f>Таблица18[[#This Row],[Отход]]/Таблица18[[#This Row],[Вес нетто]]</f>
        <v>6.5003843197540406E-2</v>
      </c>
      <c r="V1202" s="121">
        <f>MONTH(Таблица18[[#This Row],[Дата акта]])</f>
        <v>6</v>
      </c>
      <c r="W1202" s="121">
        <v>19</v>
      </c>
      <c r="X1202" s="148">
        <f>DATE(1900,Таблица18[[#This Row],[Месяц]],Таблица18[[#This Row],[Число]])</f>
        <v>171</v>
      </c>
      <c r="Y1202" s="121"/>
      <c r="Z1202" s="121" t="str">
        <f>Таблица18[[#This Row],[Хар-ка]]</f>
        <v>первый</v>
      </c>
      <c r="AD1202" s="459"/>
      <c r="AE1202" s="391"/>
    </row>
    <row r="1203" spans="1:31" s="325" customFormat="1" ht="15.6" hidden="1" customHeight="1" x14ac:dyDescent="0.2">
      <c r="A1203" s="40" t="s">
        <v>1120</v>
      </c>
      <c r="B1203" s="360" t="s">
        <v>550</v>
      </c>
      <c r="C1203" s="40">
        <v>561</v>
      </c>
      <c r="D1203" s="40">
        <v>54940</v>
      </c>
      <c r="E1203" s="40" t="s">
        <v>914</v>
      </c>
      <c r="F1203" s="40" t="s">
        <v>347</v>
      </c>
      <c r="G1203" s="40" t="s">
        <v>351</v>
      </c>
      <c r="H1203" s="40">
        <v>16</v>
      </c>
      <c r="I1203" s="360" t="e">
        <f>VLOOKUP(Таблица18[[#This Row],[Номер акта]],$AB$1:$AF$1833,3,FALSE)</f>
        <v>#N/A</v>
      </c>
      <c r="J1203" s="40" t="s">
        <v>909</v>
      </c>
      <c r="K1203" s="40" t="s">
        <v>82</v>
      </c>
      <c r="L1203" s="121">
        <v>31800</v>
      </c>
      <c r="M1203" s="121">
        <v>18680</v>
      </c>
      <c r="N1203" s="121">
        <v>6.5</v>
      </c>
      <c r="O1203" s="363">
        <v>13120</v>
      </c>
      <c r="P1203" s="363">
        <v>12267.2</v>
      </c>
      <c r="Q1203" s="121">
        <v>2025</v>
      </c>
      <c r="R1203" s="121"/>
      <c r="S1203" s="148">
        <v>45828</v>
      </c>
      <c r="T1203" s="363">
        <f>Таблица18[[#This Row],[Вес нетто]]-Таблица18[[#This Row],[Зачетный вес]]</f>
        <v>852.79999999999927</v>
      </c>
      <c r="U1203" s="365">
        <f>Таблица18[[#This Row],[Отход]]/Таблица18[[#This Row],[Вес нетто]]</f>
        <v>6.4999999999999947E-2</v>
      </c>
      <c r="V1203" s="121">
        <f>MONTH(Таблица18[[#This Row],[Дата акта]])</f>
        <v>6</v>
      </c>
      <c r="W1203" s="121">
        <v>20</v>
      </c>
      <c r="X1203" s="148">
        <f>DATE(1900,Таблица18[[#This Row],[Месяц]],Таблица18[[#This Row],[Число]])</f>
        <v>172</v>
      </c>
      <c r="Y1203" s="121"/>
      <c r="Z1203" s="121" t="str">
        <f>Таблица18[[#This Row],[Хар-ка]]</f>
        <v>первый</v>
      </c>
      <c r="AD1203" s="459"/>
      <c r="AE1203" s="391"/>
    </row>
    <row r="1204" spans="1:31" s="325" customFormat="1" ht="15.6" hidden="1" customHeight="1" x14ac:dyDescent="0.2">
      <c r="A1204" s="40" t="s">
        <v>1121</v>
      </c>
      <c r="B1204" s="360" t="s">
        <v>550</v>
      </c>
      <c r="C1204" s="40">
        <v>560</v>
      </c>
      <c r="D1204" s="40">
        <v>54940</v>
      </c>
      <c r="E1204" s="40" t="s">
        <v>914</v>
      </c>
      <c r="F1204" s="40" t="s">
        <v>239</v>
      </c>
      <c r="G1204" s="40" t="s">
        <v>243</v>
      </c>
      <c r="H1204" s="40">
        <v>16</v>
      </c>
      <c r="I1204" s="360" t="e">
        <f>VLOOKUP(Таблица18[[#This Row],[Номер акта]],$AB$1:$AF$1833,3,FALSE)</f>
        <v>#N/A</v>
      </c>
      <c r="J1204" s="40" t="s">
        <v>909</v>
      </c>
      <c r="K1204" s="40" t="s">
        <v>82</v>
      </c>
      <c r="L1204" s="121">
        <v>27710</v>
      </c>
      <c r="M1204" s="121">
        <v>14530</v>
      </c>
      <c r="N1204" s="121">
        <v>5.5</v>
      </c>
      <c r="O1204" s="363">
        <v>13180</v>
      </c>
      <c r="P1204" s="363">
        <v>12455.1</v>
      </c>
      <c r="Q1204" s="121">
        <v>2025</v>
      </c>
      <c r="R1204" s="121"/>
      <c r="S1204" s="148">
        <v>45828</v>
      </c>
      <c r="T1204" s="363">
        <f>Таблица18[[#This Row],[Вес нетто]]-Таблица18[[#This Row],[Зачетный вес]]</f>
        <v>724.89999999999964</v>
      </c>
      <c r="U1204" s="365">
        <f>Таблица18[[#This Row],[Отход]]/Таблица18[[#This Row],[Вес нетто]]</f>
        <v>5.4999999999999973E-2</v>
      </c>
      <c r="V1204" s="121">
        <f>MONTH(Таблица18[[#This Row],[Дата акта]])</f>
        <v>6</v>
      </c>
      <c r="W1204" s="121">
        <v>20</v>
      </c>
      <c r="X1204" s="148">
        <f>DATE(1900,Таблица18[[#This Row],[Месяц]],Таблица18[[#This Row],[Число]])</f>
        <v>172</v>
      </c>
      <c r="Y1204" s="121"/>
      <c r="Z1204" s="121" t="str">
        <f>Таблица18[[#This Row],[Хар-ка]]</f>
        <v>первый</v>
      </c>
      <c r="AD1204" s="459"/>
      <c r="AE1204" s="391"/>
    </row>
    <row r="1205" spans="1:31" s="325" customFormat="1" ht="15.6" hidden="1" customHeight="1" x14ac:dyDescent="0.2">
      <c r="A1205" s="40" t="s">
        <v>1122</v>
      </c>
      <c r="B1205" s="360" t="s">
        <v>550</v>
      </c>
      <c r="C1205" s="40">
        <v>562</v>
      </c>
      <c r="D1205" s="40">
        <v>54941</v>
      </c>
      <c r="E1205" s="40" t="s">
        <v>914</v>
      </c>
      <c r="F1205" s="40" t="s">
        <v>212</v>
      </c>
      <c r="G1205" s="40" t="s">
        <v>216</v>
      </c>
      <c r="H1205" s="40">
        <v>16</v>
      </c>
      <c r="I1205" s="360" t="e">
        <f>VLOOKUP(Таблица18[[#This Row],[Номер акта]],$AB$1:$AF$1833,3,FALSE)</f>
        <v>#N/A</v>
      </c>
      <c r="J1205" s="40" t="s">
        <v>909</v>
      </c>
      <c r="K1205" s="40" t="s">
        <v>82</v>
      </c>
      <c r="L1205" s="121">
        <v>27470</v>
      </c>
      <c r="M1205" s="121">
        <v>13870</v>
      </c>
      <c r="N1205" s="121">
        <v>5.5</v>
      </c>
      <c r="O1205" s="363">
        <v>13600</v>
      </c>
      <c r="P1205" s="363">
        <v>12852</v>
      </c>
      <c r="Q1205" s="121">
        <v>2025</v>
      </c>
      <c r="R1205" s="121"/>
      <c r="S1205" s="148">
        <v>45828</v>
      </c>
      <c r="T1205" s="363">
        <f>Таблица18[[#This Row],[Вес нетто]]-Таблица18[[#This Row],[Зачетный вес]]</f>
        <v>748</v>
      </c>
      <c r="U1205" s="365">
        <f>Таблица18[[#This Row],[Отход]]/Таблица18[[#This Row],[Вес нетто]]</f>
        <v>5.5E-2</v>
      </c>
      <c r="V1205" s="121">
        <f>MONTH(Таблица18[[#This Row],[Дата акта]])</f>
        <v>6</v>
      </c>
      <c r="W1205" s="121">
        <v>20</v>
      </c>
      <c r="X1205" s="148">
        <f>DATE(1900,Таблица18[[#This Row],[Месяц]],Таблица18[[#This Row],[Число]])</f>
        <v>172</v>
      </c>
      <c r="Y1205" s="121"/>
      <c r="Z1205" s="121" t="str">
        <f>Таблица18[[#This Row],[Хар-ка]]</f>
        <v>первый</v>
      </c>
      <c r="AD1205" s="459"/>
      <c r="AE1205" s="391"/>
    </row>
    <row r="1206" spans="1:31" s="325" customFormat="1" ht="15.6" hidden="1" customHeight="1" x14ac:dyDescent="0.2">
      <c r="A1206" s="40" t="s">
        <v>1123</v>
      </c>
      <c r="B1206" s="360" t="s">
        <v>550</v>
      </c>
      <c r="C1206" s="40">
        <v>564</v>
      </c>
      <c r="D1206" s="40">
        <v>54942</v>
      </c>
      <c r="E1206" s="40" t="s">
        <v>914</v>
      </c>
      <c r="F1206" s="40" t="s">
        <v>1152</v>
      </c>
      <c r="G1206" s="40" t="s">
        <v>119</v>
      </c>
      <c r="H1206" s="40">
        <v>14</v>
      </c>
      <c r="I1206" s="360" t="e">
        <f>VLOOKUP(Таблица18[[#This Row],[Номер акта]],$AB$1:$AF$1833,3,FALSE)</f>
        <v>#N/A</v>
      </c>
      <c r="J1206" s="40" t="s">
        <v>909</v>
      </c>
      <c r="K1206" s="40" t="s">
        <v>82</v>
      </c>
      <c r="L1206" s="121">
        <v>34090</v>
      </c>
      <c r="M1206" s="121">
        <v>21010</v>
      </c>
      <c r="N1206" s="121">
        <v>5.5</v>
      </c>
      <c r="O1206" s="363">
        <v>13080</v>
      </c>
      <c r="P1206" s="363">
        <v>12360.6</v>
      </c>
      <c r="Q1206" s="121">
        <v>2025</v>
      </c>
      <c r="R1206" s="121"/>
      <c r="S1206" s="148">
        <v>45828</v>
      </c>
      <c r="T1206" s="363">
        <f>Таблица18[[#This Row],[Вес нетто]]-Таблица18[[#This Row],[Зачетный вес]]</f>
        <v>719.39999999999964</v>
      </c>
      <c r="U1206" s="365">
        <f>Таблица18[[#This Row],[Отход]]/Таблица18[[#This Row],[Вес нетто]]</f>
        <v>5.4999999999999973E-2</v>
      </c>
      <c r="V1206" s="121">
        <f>MONTH(Таблица18[[#This Row],[Дата акта]])</f>
        <v>6</v>
      </c>
      <c r="W1206" s="121">
        <v>20</v>
      </c>
      <c r="X1206" s="148">
        <f>DATE(1900,Таблица18[[#This Row],[Месяц]],Таблица18[[#This Row],[Число]])</f>
        <v>172</v>
      </c>
      <c r="Y1206" s="121"/>
      <c r="Z1206" s="121" t="str">
        <f>Таблица18[[#This Row],[Хар-ка]]</f>
        <v>первый</v>
      </c>
      <c r="AD1206" s="459"/>
      <c r="AE1206" s="391"/>
    </row>
    <row r="1207" spans="1:31" s="325" customFormat="1" ht="15.6" hidden="1" customHeight="1" x14ac:dyDescent="0.2">
      <c r="A1207" s="40" t="s">
        <v>1124</v>
      </c>
      <c r="B1207" s="360" t="s">
        <v>833</v>
      </c>
      <c r="C1207" s="40">
        <v>563</v>
      </c>
      <c r="D1207" s="40">
        <v>54941</v>
      </c>
      <c r="E1207" s="40" t="s">
        <v>914</v>
      </c>
      <c r="F1207" s="40" t="s">
        <v>244</v>
      </c>
      <c r="G1207" s="40" t="s">
        <v>248</v>
      </c>
      <c r="H1207" s="40">
        <v>14</v>
      </c>
      <c r="I1207" s="360" t="e">
        <f>VLOOKUP(Таблица18[[#This Row],[Номер акта]],$AB$1:$AF$1833,3,FALSE)</f>
        <v>#N/A</v>
      </c>
      <c r="J1207" s="40" t="s">
        <v>909</v>
      </c>
      <c r="K1207" s="40" t="s">
        <v>82</v>
      </c>
      <c r="L1207" s="121">
        <v>28800</v>
      </c>
      <c r="M1207" s="121">
        <v>15600</v>
      </c>
      <c r="N1207" s="121">
        <v>5.5</v>
      </c>
      <c r="O1207" s="363">
        <v>13200</v>
      </c>
      <c r="P1207" s="363">
        <v>12474</v>
      </c>
      <c r="Q1207" s="121">
        <v>2025</v>
      </c>
      <c r="R1207" s="121"/>
      <c r="S1207" s="148">
        <v>45828</v>
      </c>
      <c r="T1207" s="363">
        <f>Таблица18[[#This Row],[Вес нетто]]-Таблица18[[#This Row],[Зачетный вес]]</f>
        <v>726</v>
      </c>
      <c r="U1207" s="365">
        <f>Таблица18[[#This Row],[Отход]]/Таблица18[[#This Row],[Вес нетто]]</f>
        <v>5.5E-2</v>
      </c>
      <c r="V1207" s="121">
        <f>MONTH(Таблица18[[#This Row],[Дата акта]])</f>
        <v>6</v>
      </c>
      <c r="W1207" s="121">
        <v>20</v>
      </c>
      <c r="X1207" s="148">
        <f>DATE(1900,Таблица18[[#This Row],[Месяц]],Таблица18[[#This Row],[Число]])</f>
        <v>172</v>
      </c>
      <c r="Y1207" s="121"/>
      <c r="Z1207" s="121" t="str">
        <f>Таблица18[[#This Row],[Хар-ка]]</f>
        <v>второй</v>
      </c>
      <c r="AD1207" s="459"/>
      <c r="AE1207" s="391"/>
    </row>
    <row r="1208" spans="1:31" s="325" customFormat="1" ht="15.6" hidden="1" customHeight="1" x14ac:dyDescent="0.2">
      <c r="A1208" s="40" t="s">
        <v>1125</v>
      </c>
      <c r="B1208" s="360" t="s">
        <v>550</v>
      </c>
      <c r="C1208" s="40">
        <v>566</v>
      </c>
      <c r="D1208" s="40">
        <v>54943</v>
      </c>
      <c r="E1208" s="40" t="s">
        <v>914</v>
      </c>
      <c r="F1208" s="40" t="s">
        <v>311</v>
      </c>
      <c r="G1208" s="40" t="s">
        <v>315</v>
      </c>
      <c r="H1208" s="40">
        <v>14</v>
      </c>
      <c r="I1208" s="360" t="e">
        <f>VLOOKUP(Таблица18[[#This Row],[Номер акта]],$AB$1:$AF$1833,3,FALSE)</f>
        <v>#N/A</v>
      </c>
      <c r="J1208" s="40" t="s">
        <v>909</v>
      </c>
      <c r="K1208" s="40" t="s">
        <v>82</v>
      </c>
      <c r="L1208" s="121">
        <v>28200</v>
      </c>
      <c r="M1208" s="121">
        <v>14990</v>
      </c>
      <c r="N1208" s="121">
        <v>6.5</v>
      </c>
      <c r="O1208" s="363">
        <v>13210</v>
      </c>
      <c r="P1208" s="363">
        <v>12351.3</v>
      </c>
      <c r="Q1208" s="121">
        <v>2025</v>
      </c>
      <c r="R1208" s="121"/>
      <c r="S1208" s="148">
        <v>45828</v>
      </c>
      <c r="T1208" s="363">
        <f>Таблица18[[#This Row],[Вес нетто]]-Таблица18[[#This Row],[Зачетный вес]]</f>
        <v>858.70000000000073</v>
      </c>
      <c r="U1208" s="365">
        <f>Таблица18[[#This Row],[Отход]]/Таблица18[[#This Row],[Вес нетто]]</f>
        <v>6.5003785011355092E-2</v>
      </c>
      <c r="V1208" s="121">
        <f>MONTH(Таблица18[[#This Row],[Дата акта]])</f>
        <v>6</v>
      </c>
      <c r="W1208" s="121">
        <v>20</v>
      </c>
      <c r="X1208" s="148">
        <f>DATE(1900,Таблица18[[#This Row],[Месяц]],Таблица18[[#This Row],[Число]])</f>
        <v>172</v>
      </c>
      <c r="Y1208" s="121"/>
      <c r="Z1208" s="121" t="str">
        <f>Таблица18[[#This Row],[Хар-ка]]</f>
        <v>первый</v>
      </c>
      <c r="AD1208" s="459"/>
      <c r="AE1208" s="391"/>
    </row>
    <row r="1209" spans="1:31" s="325" customFormat="1" ht="15.6" hidden="1" customHeight="1" x14ac:dyDescent="0.2">
      <c r="A1209" s="40" t="s">
        <v>1126</v>
      </c>
      <c r="B1209" s="360" t="s">
        <v>550</v>
      </c>
      <c r="C1209" s="40">
        <v>565</v>
      </c>
      <c r="D1209" s="40">
        <v>54943</v>
      </c>
      <c r="E1209" s="40" t="s">
        <v>914</v>
      </c>
      <c r="F1209" s="40" t="s">
        <v>335</v>
      </c>
      <c r="G1209" s="40" t="s">
        <v>339</v>
      </c>
      <c r="H1209" s="40">
        <v>14</v>
      </c>
      <c r="I1209" s="360" t="e">
        <f>VLOOKUP(Таблица18[[#This Row],[Номер акта]],$AB$1:$AF$1833,3,FALSE)</f>
        <v>#N/A</v>
      </c>
      <c r="J1209" s="40" t="s">
        <v>909</v>
      </c>
      <c r="K1209" s="40" t="s">
        <v>82</v>
      </c>
      <c r="L1209" s="121">
        <v>27720</v>
      </c>
      <c r="M1209" s="121">
        <v>14720</v>
      </c>
      <c r="N1209" s="121">
        <v>6.5</v>
      </c>
      <c r="O1209" s="363">
        <v>13000</v>
      </c>
      <c r="P1209" s="363">
        <v>12155</v>
      </c>
      <c r="Q1209" s="121">
        <v>2025</v>
      </c>
      <c r="R1209" s="121"/>
      <c r="S1209" s="148">
        <v>45828</v>
      </c>
      <c r="T1209" s="363">
        <f>Таблица18[[#This Row],[Вес нетто]]-Таблица18[[#This Row],[Зачетный вес]]</f>
        <v>845</v>
      </c>
      <c r="U1209" s="365">
        <f>Таблица18[[#This Row],[Отход]]/Таблица18[[#This Row],[Вес нетто]]</f>
        <v>6.5000000000000002E-2</v>
      </c>
      <c r="V1209" s="121">
        <f>MONTH(Таблица18[[#This Row],[Дата акта]])</f>
        <v>6</v>
      </c>
      <c r="W1209" s="121">
        <v>20</v>
      </c>
      <c r="X1209" s="148">
        <f>DATE(1900,Таблица18[[#This Row],[Месяц]],Таблица18[[#This Row],[Число]])</f>
        <v>172</v>
      </c>
      <c r="Y1209" s="121"/>
      <c r="Z1209" s="121" t="str">
        <f>Таблица18[[#This Row],[Хар-ка]]</f>
        <v>первый</v>
      </c>
      <c r="AD1209" s="459"/>
      <c r="AE1209" s="391"/>
    </row>
    <row r="1210" spans="1:31" s="325" customFormat="1" ht="15.6" hidden="1" customHeight="1" x14ac:dyDescent="0.2">
      <c r="A1210" s="40" t="s">
        <v>1170</v>
      </c>
      <c r="B1210" s="360" t="s">
        <v>550</v>
      </c>
      <c r="C1210" s="40">
        <v>573</v>
      </c>
      <c r="D1210" s="40">
        <v>54944</v>
      </c>
      <c r="E1210" s="40" t="s">
        <v>914</v>
      </c>
      <c r="F1210" s="40" t="s">
        <v>151</v>
      </c>
      <c r="G1210" s="40" t="s">
        <v>155</v>
      </c>
      <c r="H1210" s="40">
        <v>14</v>
      </c>
      <c r="I1210" s="360" t="e">
        <f>VLOOKUP(Таблица18[[#This Row],[Номер акта]],$AB$1:$AF$1833,3,FALSE)</f>
        <v>#N/A</v>
      </c>
      <c r="J1210" s="40" t="s">
        <v>909</v>
      </c>
      <c r="K1210" s="40" t="s">
        <v>82</v>
      </c>
      <c r="L1210" s="121">
        <v>27940</v>
      </c>
      <c r="M1210" s="121">
        <v>14850</v>
      </c>
      <c r="N1210" s="121">
        <v>6.5</v>
      </c>
      <c r="O1210" s="363">
        <v>13090</v>
      </c>
      <c r="P1210" s="363">
        <v>12239.1</v>
      </c>
      <c r="Q1210" s="121">
        <v>2025</v>
      </c>
      <c r="R1210" s="121"/>
      <c r="S1210" s="148">
        <v>45828</v>
      </c>
      <c r="T1210" s="363">
        <f>Таблица18[[#This Row],[Вес нетто]]-Таблица18[[#This Row],[Зачетный вес]]</f>
        <v>850.89999999999964</v>
      </c>
      <c r="U1210" s="365">
        <f>Таблица18[[#This Row],[Отход]]/Таблица18[[#This Row],[Вес нетто]]</f>
        <v>6.5003819709702038E-2</v>
      </c>
      <c r="V1210" s="121">
        <f>MONTH(Таблица18[[#This Row],[Дата акта]])</f>
        <v>6</v>
      </c>
      <c r="W1210" s="121">
        <v>20</v>
      </c>
      <c r="X1210" s="148">
        <f>DATE(1900,Таблица18[[#This Row],[Месяц]],Таблица18[[#This Row],[Число]])</f>
        <v>172</v>
      </c>
      <c r="Y1210" s="121"/>
      <c r="Z1210" s="121" t="str">
        <f>Таблица18[[#This Row],[Хар-ка]]</f>
        <v>первый</v>
      </c>
      <c r="AD1210" s="459"/>
      <c r="AE1210" s="391"/>
    </row>
    <row r="1211" spans="1:31" s="325" customFormat="1" ht="15.6" hidden="1" customHeight="1" x14ac:dyDescent="0.2">
      <c r="A1211" s="40" t="s">
        <v>1171</v>
      </c>
      <c r="B1211" s="360" t="s">
        <v>833</v>
      </c>
      <c r="C1211" s="40">
        <v>570</v>
      </c>
      <c r="D1211" s="40">
        <v>54944</v>
      </c>
      <c r="E1211" s="40" t="s">
        <v>914</v>
      </c>
      <c r="F1211" s="40" t="s">
        <v>160</v>
      </c>
      <c r="G1211" s="40" t="s">
        <v>164</v>
      </c>
      <c r="H1211" s="40">
        <v>14</v>
      </c>
      <c r="I1211" s="360" t="e">
        <f>VLOOKUP(Таблица18[[#This Row],[Номер акта]],$AB$1:$AF$1833,3,FALSE)</f>
        <v>#N/A</v>
      </c>
      <c r="J1211" s="40" t="s">
        <v>909</v>
      </c>
      <c r="K1211" s="40" t="s">
        <v>82</v>
      </c>
      <c r="L1211" s="121">
        <v>37320</v>
      </c>
      <c r="M1211" s="121">
        <v>24060</v>
      </c>
      <c r="N1211" s="121">
        <v>4.5</v>
      </c>
      <c r="O1211" s="363">
        <v>13260</v>
      </c>
      <c r="P1211" s="363">
        <v>12663.3</v>
      </c>
      <c r="Q1211" s="121">
        <v>2025</v>
      </c>
      <c r="R1211" s="121"/>
      <c r="S1211" s="148">
        <v>45828</v>
      </c>
      <c r="T1211" s="363">
        <f>Таблица18[[#This Row],[Вес нетто]]-Таблица18[[#This Row],[Зачетный вес]]</f>
        <v>596.70000000000073</v>
      </c>
      <c r="U1211" s="365">
        <f>Таблица18[[#This Row],[Отход]]/Таблица18[[#This Row],[Вес нетто]]</f>
        <v>4.5000000000000054E-2</v>
      </c>
      <c r="V1211" s="121">
        <f>MONTH(Таблица18[[#This Row],[Дата акта]])</f>
        <v>6</v>
      </c>
      <c r="W1211" s="121">
        <v>20</v>
      </c>
      <c r="X1211" s="148">
        <f>DATE(1900,Таблица18[[#This Row],[Месяц]],Таблица18[[#This Row],[Число]])</f>
        <v>172</v>
      </c>
      <c r="Y1211" s="121"/>
      <c r="Z1211" s="121" t="str">
        <f>Таблица18[[#This Row],[Хар-ка]]</f>
        <v>второй</v>
      </c>
      <c r="AD1211" s="459"/>
      <c r="AE1211" s="391"/>
    </row>
    <row r="1212" spans="1:31" s="325" customFormat="1" ht="15.6" hidden="1" customHeight="1" x14ac:dyDescent="0.2">
      <c r="A1212" s="40" t="s">
        <v>1172</v>
      </c>
      <c r="B1212" s="360" t="s">
        <v>550</v>
      </c>
      <c r="C1212" s="40">
        <v>577</v>
      </c>
      <c r="D1212" s="40">
        <v>54945</v>
      </c>
      <c r="E1212" s="40" t="s">
        <v>914</v>
      </c>
      <c r="F1212" s="40" t="s">
        <v>347</v>
      </c>
      <c r="G1212" s="40" t="s">
        <v>351</v>
      </c>
      <c r="H1212" s="40">
        <v>14</v>
      </c>
      <c r="I1212" s="360" t="e">
        <f>VLOOKUP(Таблица18[[#This Row],[Номер акта]],$AB$1:$AF$1833,3,FALSE)</f>
        <v>#N/A</v>
      </c>
      <c r="J1212" s="40" t="s">
        <v>909</v>
      </c>
      <c r="K1212" s="40" t="s">
        <v>82</v>
      </c>
      <c r="L1212" s="121">
        <v>31390</v>
      </c>
      <c r="M1212" s="121">
        <v>18620</v>
      </c>
      <c r="N1212" s="121">
        <v>5.5</v>
      </c>
      <c r="O1212" s="363">
        <v>12770</v>
      </c>
      <c r="P1212" s="363">
        <v>12067.6</v>
      </c>
      <c r="Q1212" s="121">
        <v>2025</v>
      </c>
      <c r="R1212" s="121"/>
      <c r="S1212" s="148">
        <v>45828</v>
      </c>
      <c r="T1212" s="363">
        <f>Таблица18[[#This Row],[Вес нетто]]-Таблица18[[#This Row],[Зачетный вес]]</f>
        <v>702.39999999999964</v>
      </c>
      <c r="U1212" s="365">
        <f>Таблица18[[#This Row],[Отход]]/Таблица18[[#This Row],[Вес нетто]]</f>
        <v>5.5003915426781493E-2</v>
      </c>
      <c r="V1212" s="121">
        <f>MONTH(Таблица18[[#This Row],[Дата акта]])</f>
        <v>6</v>
      </c>
      <c r="W1212" s="121">
        <v>20</v>
      </c>
      <c r="X1212" s="148">
        <f>DATE(1900,Таблица18[[#This Row],[Месяц]],Таблица18[[#This Row],[Число]])</f>
        <v>172</v>
      </c>
      <c r="Y1212" s="121"/>
      <c r="Z1212" s="121" t="str">
        <f>Таблица18[[#This Row],[Хар-ка]]</f>
        <v>первый</v>
      </c>
      <c r="AD1212" s="459"/>
      <c r="AE1212" s="391"/>
    </row>
    <row r="1213" spans="1:31" s="325" customFormat="1" ht="15.6" hidden="1" customHeight="1" x14ac:dyDescent="0.2">
      <c r="A1213" s="40" t="s">
        <v>1173</v>
      </c>
      <c r="B1213" s="360" t="s">
        <v>550</v>
      </c>
      <c r="C1213" s="40">
        <v>574</v>
      </c>
      <c r="D1213" s="40">
        <v>54944</v>
      </c>
      <c r="E1213" s="40" t="s">
        <v>914</v>
      </c>
      <c r="F1213" s="40" t="s">
        <v>121</v>
      </c>
      <c r="G1213" s="40" t="s">
        <v>125</v>
      </c>
      <c r="H1213" s="40">
        <v>14</v>
      </c>
      <c r="I1213" s="360" t="e">
        <f>VLOOKUP(Таблица18[[#This Row],[Номер акта]],$AB$1:$AF$1833,3,FALSE)</f>
        <v>#N/A</v>
      </c>
      <c r="J1213" s="40" t="s">
        <v>909</v>
      </c>
      <c r="K1213" s="40" t="s">
        <v>82</v>
      </c>
      <c r="L1213" s="121">
        <v>27580</v>
      </c>
      <c r="M1213" s="121">
        <v>14620</v>
      </c>
      <c r="N1213" s="121">
        <v>3.5</v>
      </c>
      <c r="O1213" s="363">
        <v>12960</v>
      </c>
      <c r="P1213" s="363">
        <v>12506.4</v>
      </c>
      <c r="Q1213" s="121">
        <v>2025</v>
      </c>
      <c r="R1213" s="121"/>
      <c r="S1213" s="148">
        <v>45828</v>
      </c>
      <c r="T1213" s="363">
        <f>Таблица18[[#This Row],[Вес нетто]]-Таблица18[[#This Row],[Зачетный вес]]</f>
        <v>453.60000000000036</v>
      </c>
      <c r="U1213" s="365">
        <f>Таблица18[[#This Row],[Отход]]/Таблица18[[#This Row],[Вес нетто]]</f>
        <v>3.5000000000000031E-2</v>
      </c>
      <c r="V1213" s="121">
        <f>MONTH(Таблица18[[#This Row],[Дата акта]])</f>
        <v>6</v>
      </c>
      <c r="W1213" s="121">
        <v>20</v>
      </c>
      <c r="X1213" s="148">
        <f>DATE(1900,Таблица18[[#This Row],[Месяц]],Таблица18[[#This Row],[Число]])</f>
        <v>172</v>
      </c>
      <c r="Y1213" s="121"/>
      <c r="Z1213" s="121" t="str">
        <f>Таблица18[[#This Row],[Хар-ка]]</f>
        <v>первый</v>
      </c>
      <c r="AD1213" s="459"/>
      <c r="AE1213" s="391"/>
    </row>
    <row r="1214" spans="1:31" s="325" customFormat="1" ht="15.6" hidden="1" customHeight="1" x14ac:dyDescent="0.2">
      <c r="A1214" s="40" t="s">
        <v>1174</v>
      </c>
      <c r="B1214" s="360" t="s">
        <v>550</v>
      </c>
      <c r="C1214" s="40">
        <v>579</v>
      </c>
      <c r="D1214" s="40">
        <v>54945</v>
      </c>
      <c r="E1214" s="40" t="s">
        <v>914</v>
      </c>
      <c r="F1214" s="40" t="s">
        <v>212</v>
      </c>
      <c r="G1214" s="40" t="s">
        <v>216</v>
      </c>
      <c r="H1214" s="40">
        <v>14</v>
      </c>
      <c r="I1214" s="360" t="e">
        <f>VLOOKUP(Таблица18[[#This Row],[Номер акта]],$AB$1:$AF$1833,3,FALSE)</f>
        <v>#N/A</v>
      </c>
      <c r="J1214" s="40" t="s">
        <v>909</v>
      </c>
      <c r="K1214" s="40" t="s">
        <v>82</v>
      </c>
      <c r="L1214" s="121">
        <v>26510</v>
      </c>
      <c r="M1214" s="121">
        <v>13850</v>
      </c>
      <c r="N1214" s="121">
        <v>6.5</v>
      </c>
      <c r="O1214" s="363">
        <v>12660</v>
      </c>
      <c r="P1214" s="363">
        <v>11837.1</v>
      </c>
      <c r="Q1214" s="121">
        <v>2025</v>
      </c>
      <c r="R1214" s="121"/>
      <c r="S1214" s="148">
        <v>45828</v>
      </c>
      <c r="T1214" s="363">
        <f>Таблица18[[#This Row],[Вес нетто]]-Таблица18[[#This Row],[Зачетный вес]]</f>
        <v>822.89999999999964</v>
      </c>
      <c r="U1214" s="365">
        <f>Таблица18[[#This Row],[Отход]]/Таблица18[[#This Row],[Вес нетто]]</f>
        <v>6.4999999999999974E-2</v>
      </c>
      <c r="V1214" s="121">
        <f>MONTH(Таблица18[[#This Row],[Дата акта]])</f>
        <v>6</v>
      </c>
      <c r="W1214" s="121">
        <v>20</v>
      </c>
      <c r="X1214" s="148">
        <f>DATE(1900,Таблица18[[#This Row],[Месяц]],Таблица18[[#This Row],[Число]])</f>
        <v>172</v>
      </c>
      <c r="Y1214" s="121"/>
      <c r="Z1214" s="121" t="str">
        <f>Таблица18[[#This Row],[Хар-ка]]</f>
        <v>первый</v>
      </c>
      <c r="AD1214" s="459"/>
      <c r="AE1214" s="391"/>
    </row>
    <row r="1215" spans="1:31" s="325" customFormat="1" ht="15.6" hidden="1" customHeight="1" x14ac:dyDescent="0.2">
      <c r="A1215" s="40" t="s">
        <v>1175</v>
      </c>
      <c r="B1215" s="360" t="s">
        <v>550</v>
      </c>
      <c r="C1215" s="40">
        <v>580</v>
      </c>
      <c r="D1215" s="40">
        <v>54946</v>
      </c>
      <c r="E1215" s="40" t="s">
        <v>914</v>
      </c>
      <c r="F1215" s="40" t="s">
        <v>239</v>
      </c>
      <c r="G1215" s="40" t="s">
        <v>243</v>
      </c>
      <c r="H1215" s="40">
        <v>14</v>
      </c>
      <c r="I1215" s="360" t="e">
        <f>VLOOKUP(Таблица18[[#This Row],[Номер акта]],$AB$1:$AF$1833,3,FALSE)</f>
        <v>#N/A</v>
      </c>
      <c r="J1215" s="40" t="s">
        <v>909</v>
      </c>
      <c r="K1215" s="40" t="s">
        <v>82</v>
      </c>
      <c r="L1215" s="121">
        <v>27160</v>
      </c>
      <c r="M1215" s="121">
        <v>14540</v>
      </c>
      <c r="N1215" s="121">
        <v>7.5</v>
      </c>
      <c r="O1215" s="363">
        <v>12620</v>
      </c>
      <c r="P1215" s="363">
        <v>11673.5</v>
      </c>
      <c r="Q1215" s="121">
        <v>2025</v>
      </c>
      <c r="R1215" s="121"/>
      <c r="S1215" s="148">
        <v>45828</v>
      </c>
      <c r="T1215" s="363">
        <f>Таблица18[[#This Row],[Вес нетто]]-Таблица18[[#This Row],[Зачетный вес]]</f>
        <v>946.5</v>
      </c>
      <c r="U1215" s="365">
        <f>Таблица18[[#This Row],[Отход]]/Таблица18[[#This Row],[Вес нетто]]</f>
        <v>7.4999999999999997E-2</v>
      </c>
      <c r="V1215" s="121">
        <f>MONTH(Таблица18[[#This Row],[Дата акта]])</f>
        <v>6</v>
      </c>
      <c r="W1215" s="121">
        <v>20</v>
      </c>
      <c r="X1215" s="148">
        <f>DATE(1900,Таблица18[[#This Row],[Месяц]],Таблица18[[#This Row],[Число]])</f>
        <v>172</v>
      </c>
      <c r="Y1215" s="121"/>
      <c r="Z1215" s="121" t="str">
        <f>Таблица18[[#This Row],[Хар-ка]]</f>
        <v>первый</v>
      </c>
      <c r="AD1215" s="459"/>
      <c r="AE1215" s="391"/>
    </row>
    <row r="1216" spans="1:31" s="325" customFormat="1" ht="15.6" hidden="1" customHeight="1" x14ac:dyDescent="0.2">
      <c r="A1216" s="40" t="s">
        <v>1176</v>
      </c>
      <c r="B1216" s="360" t="s">
        <v>550</v>
      </c>
      <c r="C1216" s="40">
        <v>582</v>
      </c>
      <c r="D1216" s="40">
        <v>54947</v>
      </c>
      <c r="E1216" s="40" t="s">
        <v>914</v>
      </c>
      <c r="F1216" s="40" t="s">
        <v>244</v>
      </c>
      <c r="G1216" s="40" t="s">
        <v>248</v>
      </c>
      <c r="H1216" s="40">
        <v>14</v>
      </c>
      <c r="I1216" s="360" t="e">
        <f>VLOOKUP(Таблица18[[#This Row],[Номер акта]],$AB$1:$AF$1833,3,FALSE)</f>
        <v>#N/A</v>
      </c>
      <c r="J1216" s="40" t="s">
        <v>909</v>
      </c>
      <c r="K1216" s="40" t="s">
        <v>82</v>
      </c>
      <c r="L1216" s="121">
        <v>28420</v>
      </c>
      <c r="M1216" s="121">
        <v>15670</v>
      </c>
      <c r="N1216" s="121">
        <v>7.5</v>
      </c>
      <c r="O1216" s="363">
        <v>12750</v>
      </c>
      <c r="P1216" s="363">
        <v>11793.7</v>
      </c>
      <c r="Q1216" s="121">
        <v>2025</v>
      </c>
      <c r="R1216" s="121"/>
      <c r="S1216" s="148">
        <v>45828</v>
      </c>
      <c r="T1216" s="363">
        <f>Таблица18[[#This Row],[Вес нетто]]-Таблица18[[#This Row],[Зачетный вес]]</f>
        <v>956.29999999999927</v>
      </c>
      <c r="U1216" s="365">
        <f>Таблица18[[#This Row],[Отход]]/Таблица18[[#This Row],[Вес нетто]]</f>
        <v>7.5003921568627396E-2</v>
      </c>
      <c r="V1216" s="121">
        <f>MONTH(Таблица18[[#This Row],[Дата акта]])</f>
        <v>6</v>
      </c>
      <c r="W1216" s="121">
        <v>20</v>
      </c>
      <c r="X1216" s="148">
        <f>DATE(1900,Таблица18[[#This Row],[Месяц]],Таблица18[[#This Row],[Число]])</f>
        <v>172</v>
      </c>
      <c r="Y1216" s="121"/>
      <c r="Z1216" s="121" t="str">
        <f>Таблица18[[#This Row],[Хар-ка]]</f>
        <v>первый</v>
      </c>
      <c r="AD1216" s="459"/>
      <c r="AE1216" s="391"/>
    </row>
    <row r="1217" spans="1:31" s="325" customFormat="1" ht="15.6" hidden="1" customHeight="1" x14ac:dyDescent="0.2">
      <c r="A1217" s="40" t="s">
        <v>1177</v>
      </c>
      <c r="B1217" s="360" t="s">
        <v>550</v>
      </c>
      <c r="C1217" s="40">
        <v>581</v>
      </c>
      <c r="D1217" s="40">
        <v>54947</v>
      </c>
      <c r="E1217" s="40" t="s">
        <v>914</v>
      </c>
      <c r="F1217" s="40" t="s">
        <v>1152</v>
      </c>
      <c r="G1217" s="40" t="s">
        <v>119</v>
      </c>
      <c r="H1217" s="40">
        <v>14</v>
      </c>
      <c r="I1217" s="360" t="e">
        <f>VLOOKUP(Таблица18[[#This Row],[Номер акта]],$AB$1:$AF$1833,3,FALSE)</f>
        <v>#N/A</v>
      </c>
      <c r="J1217" s="40" t="s">
        <v>909</v>
      </c>
      <c r="K1217" s="40" t="s">
        <v>82</v>
      </c>
      <c r="L1217" s="121">
        <v>33730</v>
      </c>
      <c r="M1217" s="121">
        <v>21060</v>
      </c>
      <c r="N1217" s="121">
        <v>5.5</v>
      </c>
      <c r="O1217" s="363">
        <v>12670</v>
      </c>
      <c r="P1217" s="363">
        <v>11973.1</v>
      </c>
      <c r="Q1217" s="121">
        <v>2025</v>
      </c>
      <c r="R1217" s="121"/>
      <c r="S1217" s="148">
        <v>45828</v>
      </c>
      <c r="T1217" s="363">
        <f>Таблица18[[#This Row],[Вес нетто]]-Таблица18[[#This Row],[Зачетный вес]]</f>
        <v>696.89999999999964</v>
      </c>
      <c r="U1217" s="365">
        <f>Таблица18[[#This Row],[Отход]]/Таблица18[[#This Row],[Вес нетто]]</f>
        <v>5.500394632991315E-2</v>
      </c>
      <c r="V1217" s="121">
        <f>MONTH(Таблица18[[#This Row],[Дата акта]])</f>
        <v>6</v>
      </c>
      <c r="W1217" s="121">
        <v>20</v>
      </c>
      <c r="X1217" s="148">
        <f>DATE(1900,Таблица18[[#This Row],[Месяц]],Таблица18[[#This Row],[Число]])</f>
        <v>172</v>
      </c>
      <c r="Y1217" s="121"/>
      <c r="Z1217" s="121" t="str">
        <f>Таблица18[[#This Row],[Хар-ка]]</f>
        <v>первый</v>
      </c>
      <c r="AD1217" s="459"/>
      <c r="AE1217" s="391"/>
    </row>
    <row r="1218" spans="1:31" s="325" customFormat="1" ht="15.6" hidden="1" customHeight="1" x14ac:dyDescent="0.2">
      <c r="A1218" s="40" t="s">
        <v>1153</v>
      </c>
      <c r="B1218" s="360" t="s">
        <v>550</v>
      </c>
      <c r="C1218" s="40">
        <v>583</v>
      </c>
      <c r="D1218" s="40">
        <v>54948</v>
      </c>
      <c r="E1218" s="40" t="s">
        <v>914</v>
      </c>
      <c r="F1218" s="40" t="s">
        <v>311</v>
      </c>
      <c r="G1218" s="40" t="s">
        <v>315</v>
      </c>
      <c r="H1218" s="40">
        <v>14</v>
      </c>
      <c r="I1218" s="360" t="e">
        <f>VLOOKUP(Таблица18[[#This Row],[Номер акта]],$AB$1:$AF$1833,3,FALSE)</f>
        <v>#N/A</v>
      </c>
      <c r="J1218" s="40" t="s">
        <v>909</v>
      </c>
      <c r="K1218" s="40" t="s">
        <v>82</v>
      </c>
      <c r="L1218" s="121">
        <v>28000</v>
      </c>
      <c r="M1218" s="121">
        <v>15180</v>
      </c>
      <c r="N1218" s="121">
        <v>8.5</v>
      </c>
      <c r="O1218" s="363">
        <v>12820</v>
      </c>
      <c r="P1218" s="363">
        <v>11730.3</v>
      </c>
      <c r="Q1218" s="121">
        <v>2025</v>
      </c>
      <c r="R1218" s="121"/>
      <c r="S1218" s="148">
        <v>45828</v>
      </c>
      <c r="T1218" s="363">
        <f>Таблица18[[#This Row],[Вес нетто]]-Таблица18[[#This Row],[Зачетный вес]]</f>
        <v>1089.7000000000007</v>
      </c>
      <c r="U1218" s="365">
        <f>Таблица18[[#This Row],[Отход]]/Таблица18[[#This Row],[Вес нетто]]</f>
        <v>8.5000000000000062E-2</v>
      </c>
      <c r="V1218" s="121">
        <f>MONTH(Таблица18[[#This Row],[Дата акта]])</f>
        <v>6</v>
      </c>
      <c r="W1218" s="121">
        <v>20</v>
      </c>
      <c r="X1218" s="148">
        <f>DATE(1900,Таблица18[[#This Row],[Месяц]],Таблица18[[#This Row],[Число]])</f>
        <v>172</v>
      </c>
      <c r="Y1218" s="121"/>
      <c r="Z1218" s="121" t="str">
        <f>Таблица18[[#This Row],[Хар-ка]]</f>
        <v>первый</v>
      </c>
      <c r="AD1218" s="459"/>
      <c r="AE1218" s="391"/>
    </row>
    <row r="1219" spans="1:31" s="325" customFormat="1" ht="15.6" hidden="1" customHeight="1" x14ac:dyDescent="0.2">
      <c r="A1219" s="40" t="s">
        <v>1154</v>
      </c>
      <c r="B1219" s="360" t="s">
        <v>550</v>
      </c>
      <c r="C1219" s="40">
        <v>584</v>
      </c>
      <c r="D1219" s="40">
        <v>54948</v>
      </c>
      <c r="E1219" s="40" t="s">
        <v>914</v>
      </c>
      <c r="F1219" s="40" t="s">
        <v>133</v>
      </c>
      <c r="G1219" s="40" t="s">
        <v>137</v>
      </c>
      <c r="H1219" s="40">
        <v>14</v>
      </c>
      <c r="I1219" s="360" t="e">
        <f>VLOOKUP(Таблица18[[#This Row],[Номер акта]],$AB$1:$AF$1833,3,FALSE)</f>
        <v>#N/A</v>
      </c>
      <c r="J1219" s="40" t="s">
        <v>909</v>
      </c>
      <c r="K1219" s="40" t="s">
        <v>82</v>
      </c>
      <c r="L1219" s="121">
        <v>28060</v>
      </c>
      <c r="M1219" s="121">
        <v>15250</v>
      </c>
      <c r="N1219" s="121">
        <v>8</v>
      </c>
      <c r="O1219" s="363">
        <v>12810</v>
      </c>
      <c r="P1219" s="363">
        <v>11785.2</v>
      </c>
      <c r="Q1219" s="121">
        <v>2025</v>
      </c>
      <c r="R1219" s="121"/>
      <c r="S1219" s="148">
        <v>45828</v>
      </c>
      <c r="T1219" s="363">
        <f>Таблица18[[#This Row],[Вес нетто]]-Таблица18[[#This Row],[Зачетный вес]]</f>
        <v>1024.7999999999993</v>
      </c>
      <c r="U1219" s="365">
        <f>Таблица18[[#This Row],[Отход]]/Таблица18[[#This Row],[Вес нетто]]</f>
        <v>7.9999999999999946E-2</v>
      </c>
      <c r="V1219" s="121">
        <f>MONTH(Таблица18[[#This Row],[Дата акта]])</f>
        <v>6</v>
      </c>
      <c r="W1219" s="121">
        <v>20</v>
      </c>
      <c r="X1219" s="148">
        <f>DATE(1900,Таблица18[[#This Row],[Месяц]],Таблица18[[#This Row],[Число]])</f>
        <v>172</v>
      </c>
      <c r="Y1219" s="121"/>
      <c r="Z1219" s="121" t="str">
        <f>Таблица18[[#This Row],[Хар-ка]]</f>
        <v>первый</v>
      </c>
      <c r="AD1219" s="459"/>
      <c r="AE1219" s="391"/>
    </row>
    <row r="1220" spans="1:31" s="325" customFormat="1" ht="15.6" hidden="1" customHeight="1" x14ac:dyDescent="0.2">
      <c r="A1220" s="40" t="s">
        <v>1155</v>
      </c>
      <c r="B1220" s="360" t="s">
        <v>550</v>
      </c>
      <c r="C1220" s="40">
        <v>585</v>
      </c>
      <c r="D1220" s="40">
        <v>54951</v>
      </c>
      <c r="E1220" s="40" t="s">
        <v>914</v>
      </c>
      <c r="F1220" s="40" t="s">
        <v>151</v>
      </c>
      <c r="G1220" s="40" t="s">
        <v>155</v>
      </c>
      <c r="H1220" s="40">
        <v>14</v>
      </c>
      <c r="I1220" s="360" t="e">
        <f>VLOOKUP(Таблица18[[#This Row],[Номер акта]],$AB$1:$AF$1833,3,FALSE)</f>
        <v>#N/A</v>
      </c>
      <c r="J1220" s="40" t="s">
        <v>909</v>
      </c>
      <c r="K1220" s="40" t="s">
        <v>82</v>
      </c>
      <c r="L1220" s="121">
        <v>27900</v>
      </c>
      <c r="M1220" s="121">
        <v>15330</v>
      </c>
      <c r="N1220" s="121">
        <v>6.5</v>
      </c>
      <c r="O1220" s="363">
        <v>12570</v>
      </c>
      <c r="P1220" s="363">
        <v>11752.9</v>
      </c>
      <c r="Q1220" s="121">
        <v>2025</v>
      </c>
      <c r="R1220" s="121"/>
      <c r="S1220" s="148">
        <v>45829</v>
      </c>
      <c r="T1220" s="363">
        <f>Таблица18[[#This Row],[Вес нетто]]-Таблица18[[#This Row],[Зачетный вес]]</f>
        <v>817.10000000000036</v>
      </c>
      <c r="U1220" s="365">
        <f>Таблица18[[#This Row],[Отход]]/Таблица18[[#This Row],[Вес нетто]]</f>
        <v>6.500397772474148E-2</v>
      </c>
      <c r="V1220" s="121">
        <f>MONTH(Таблица18[[#This Row],[Дата акта]])</f>
        <v>6</v>
      </c>
      <c r="W1220" s="121">
        <v>21</v>
      </c>
      <c r="X1220" s="148">
        <f>DATE(1900,Таблица18[[#This Row],[Месяц]],Таблица18[[#This Row],[Число]])</f>
        <v>173</v>
      </c>
      <c r="Y1220" s="121"/>
      <c r="Z1220" s="121" t="str">
        <f>Таблица18[[#This Row],[Хар-ка]]</f>
        <v>первый</v>
      </c>
      <c r="AD1220" s="459"/>
      <c r="AE1220" s="391"/>
    </row>
    <row r="1221" spans="1:31" s="325" customFormat="1" ht="15.6" hidden="1" customHeight="1" x14ac:dyDescent="0.2">
      <c r="A1221" s="40" t="s">
        <v>1156</v>
      </c>
      <c r="B1221" s="360" t="s">
        <v>550</v>
      </c>
      <c r="C1221" s="40">
        <v>586</v>
      </c>
      <c r="D1221" s="40">
        <v>54952</v>
      </c>
      <c r="E1221" s="40" t="s">
        <v>914</v>
      </c>
      <c r="F1221" s="40" t="s">
        <v>160</v>
      </c>
      <c r="G1221" s="40" t="s">
        <v>164</v>
      </c>
      <c r="H1221" s="40">
        <v>14</v>
      </c>
      <c r="I1221" s="360" t="e">
        <f>VLOOKUP(Таблица18[[#This Row],[Номер акта]],$AB$1:$AF$1833,3,FALSE)</f>
        <v>#N/A</v>
      </c>
      <c r="J1221" s="40" t="s">
        <v>909</v>
      </c>
      <c r="K1221" s="40" t="s">
        <v>82</v>
      </c>
      <c r="L1221" s="121">
        <v>37180</v>
      </c>
      <c r="M1221" s="121">
        <v>24450</v>
      </c>
      <c r="N1221" s="121">
        <v>11.5</v>
      </c>
      <c r="O1221" s="363">
        <v>12730</v>
      </c>
      <c r="P1221" s="363">
        <v>11266</v>
      </c>
      <c r="Q1221" s="121">
        <v>2025</v>
      </c>
      <c r="R1221" s="121"/>
      <c r="S1221" s="148">
        <v>45829</v>
      </c>
      <c r="T1221" s="363">
        <f>Таблица18[[#This Row],[Вес нетто]]-Таблица18[[#This Row],[Зачетный вес]]</f>
        <v>1464</v>
      </c>
      <c r="U1221" s="365">
        <f>Таблица18[[#This Row],[Отход]]/Таблица18[[#This Row],[Вес нетто]]</f>
        <v>0.11500392772977219</v>
      </c>
      <c r="V1221" s="121">
        <f>MONTH(Таблица18[[#This Row],[Дата акта]])</f>
        <v>6</v>
      </c>
      <c r="W1221" s="121">
        <v>21</v>
      </c>
      <c r="X1221" s="148">
        <f>DATE(1900,Таблица18[[#This Row],[Месяц]],Таблица18[[#This Row],[Число]])</f>
        <v>173</v>
      </c>
      <c r="Y1221" s="121"/>
      <c r="Z1221" s="121" t="str">
        <f>Таблица18[[#This Row],[Хар-ка]]</f>
        <v>первый</v>
      </c>
      <c r="AD1221" s="459"/>
      <c r="AE1221" s="391"/>
    </row>
    <row r="1222" spans="1:31" s="325" customFormat="1" ht="15.6" hidden="1" customHeight="1" x14ac:dyDescent="0.2">
      <c r="A1222" s="40" t="s">
        <v>1157</v>
      </c>
      <c r="B1222" s="360" t="s">
        <v>511</v>
      </c>
      <c r="C1222" s="40">
        <v>587</v>
      </c>
      <c r="D1222" s="40">
        <v>54952</v>
      </c>
      <c r="E1222" s="40" t="s">
        <v>914</v>
      </c>
      <c r="F1222" s="40" t="s">
        <v>347</v>
      </c>
      <c r="G1222" s="40" t="s">
        <v>351</v>
      </c>
      <c r="H1222" s="40">
        <v>14</v>
      </c>
      <c r="I1222" s="360" t="e">
        <f>VLOOKUP(Таблица18[[#This Row],[Номер акта]],$AB$1:$AF$1833,3,FALSE)</f>
        <v>#N/A</v>
      </c>
      <c r="J1222" s="40" t="s">
        <v>909</v>
      </c>
      <c r="K1222" s="40" t="s">
        <v>82</v>
      </c>
      <c r="L1222" s="121">
        <v>31680</v>
      </c>
      <c r="M1222" s="121">
        <v>18960</v>
      </c>
      <c r="N1222" s="121">
        <v>10</v>
      </c>
      <c r="O1222" s="363">
        <v>12720</v>
      </c>
      <c r="P1222" s="363">
        <v>11448</v>
      </c>
      <c r="Q1222" s="121">
        <v>2025</v>
      </c>
      <c r="R1222" s="121"/>
      <c r="S1222" s="148">
        <v>45829</v>
      </c>
      <c r="T1222" s="363">
        <f>Таблица18[[#This Row],[Вес нетто]]-Таблица18[[#This Row],[Зачетный вес]]</f>
        <v>1272</v>
      </c>
      <c r="U1222" s="365">
        <f>Таблица18[[#This Row],[Отход]]/Таблица18[[#This Row],[Вес нетто]]</f>
        <v>0.1</v>
      </c>
      <c r="V1222" s="121">
        <f>MONTH(Таблица18[[#This Row],[Дата акта]])</f>
        <v>6</v>
      </c>
      <c r="W1222" s="121">
        <v>21</v>
      </c>
      <c r="X1222" s="148">
        <f>DATE(1900,Таблица18[[#This Row],[Месяц]],Таблица18[[#This Row],[Число]])</f>
        <v>173</v>
      </c>
      <c r="Y1222" s="121"/>
      <c r="Z1222" s="121" t="str">
        <f>Таблица18[[#This Row],[Хар-ка]]</f>
        <v>высший</v>
      </c>
      <c r="AD1222" s="459"/>
      <c r="AE1222" s="391"/>
    </row>
    <row r="1223" spans="1:31" s="325" customFormat="1" ht="15.6" hidden="1" customHeight="1" x14ac:dyDescent="0.2">
      <c r="A1223" s="40" t="s">
        <v>1158</v>
      </c>
      <c r="B1223" s="360" t="s">
        <v>550</v>
      </c>
      <c r="C1223" s="40">
        <v>588</v>
      </c>
      <c r="D1223" s="40">
        <v>54953</v>
      </c>
      <c r="E1223" s="40" t="s">
        <v>914</v>
      </c>
      <c r="F1223" s="40" t="s">
        <v>195</v>
      </c>
      <c r="G1223" s="40" t="s">
        <v>199</v>
      </c>
      <c r="H1223" s="40">
        <v>14</v>
      </c>
      <c r="I1223" s="360" t="e">
        <f>VLOOKUP(Таблица18[[#This Row],[Номер акта]],$AB$1:$AF$1833,3,FALSE)</f>
        <v>#N/A</v>
      </c>
      <c r="J1223" s="40" t="s">
        <v>909</v>
      </c>
      <c r="K1223" s="40" t="s">
        <v>82</v>
      </c>
      <c r="L1223" s="121">
        <v>28170</v>
      </c>
      <c r="M1223" s="121">
        <v>15480</v>
      </c>
      <c r="N1223" s="121">
        <v>8.5</v>
      </c>
      <c r="O1223" s="363">
        <v>12690</v>
      </c>
      <c r="P1223" s="363">
        <v>11611.3</v>
      </c>
      <c r="Q1223" s="121">
        <v>2025</v>
      </c>
      <c r="R1223" s="121"/>
      <c r="S1223" s="148">
        <v>45829</v>
      </c>
      <c r="T1223" s="363">
        <f>Таблица18[[#This Row],[Вес нетто]]-Таблица18[[#This Row],[Зачетный вес]]</f>
        <v>1078.7000000000007</v>
      </c>
      <c r="U1223" s="365">
        <f>Таблица18[[#This Row],[Отход]]/Таблица18[[#This Row],[Вес нетто]]</f>
        <v>8.500394011032314E-2</v>
      </c>
      <c r="V1223" s="121">
        <f>MONTH(Таблица18[[#This Row],[Дата акта]])</f>
        <v>6</v>
      </c>
      <c r="W1223" s="121">
        <v>21</v>
      </c>
      <c r="X1223" s="148">
        <f>DATE(1900,Таблица18[[#This Row],[Месяц]],Таблица18[[#This Row],[Число]])</f>
        <v>173</v>
      </c>
      <c r="Y1223" s="121"/>
      <c r="Z1223" s="121" t="str">
        <f>Таблица18[[#This Row],[Хар-ка]]</f>
        <v>первый</v>
      </c>
      <c r="AD1223" s="459"/>
      <c r="AE1223" s="391"/>
    </row>
    <row r="1224" spans="1:31" s="325" customFormat="1" ht="15.6" hidden="1" customHeight="1" x14ac:dyDescent="0.2">
      <c r="A1224" s="40" t="s">
        <v>1159</v>
      </c>
      <c r="B1224" s="360" t="s">
        <v>550</v>
      </c>
      <c r="C1224" s="40">
        <v>589</v>
      </c>
      <c r="D1224" s="40">
        <v>54953</v>
      </c>
      <c r="E1224" s="40" t="s">
        <v>914</v>
      </c>
      <c r="F1224" s="40" t="s">
        <v>239</v>
      </c>
      <c r="G1224" s="40" t="s">
        <v>243</v>
      </c>
      <c r="H1224" s="40">
        <v>14</v>
      </c>
      <c r="I1224" s="360" t="e">
        <f>VLOOKUP(Таблица18[[#This Row],[Номер акта]],$AB$1:$AF$1833,3,FALSE)</f>
        <v>#N/A</v>
      </c>
      <c r="J1224" s="40" t="s">
        <v>909</v>
      </c>
      <c r="K1224" s="40" t="s">
        <v>82</v>
      </c>
      <c r="L1224" s="121">
        <v>27490</v>
      </c>
      <c r="M1224" s="121">
        <v>14740</v>
      </c>
      <c r="N1224" s="121">
        <v>8.5</v>
      </c>
      <c r="O1224" s="363">
        <v>12750</v>
      </c>
      <c r="P1224" s="363">
        <v>11666.2</v>
      </c>
      <c r="Q1224" s="121">
        <v>2025</v>
      </c>
      <c r="R1224" s="121"/>
      <c r="S1224" s="148">
        <v>45829</v>
      </c>
      <c r="T1224" s="363">
        <f>Таблица18[[#This Row],[Вес нетто]]-Таблица18[[#This Row],[Зачетный вес]]</f>
        <v>1083.7999999999993</v>
      </c>
      <c r="U1224" s="365">
        <f>Таблица18[[#This Row],[Отход]]/Таблица18[[#This Row],[Вес нетто]]</f>
        <v>8.5003921568627391E-2</v>
      </c>
      <c r="V1224" s="121">
        <f>MONTH(Таблица18[[#This Row],[Дата акта]])</f>
        <v>6</v>
      </c>
      <c r="W1224" s="121">
        <v>21</v>
      </c>
      <c r="X1224" s="148">
        <f>DATE(1900,Таблица18[[#This Row],[Месяц]],Таблица18[[#This Row],[Число]])</f>
        <v>173</v>
      </c>
      <c r="Y1224" s="121"/>
      <c r="Z1224" s="121" t="str">
        <f>Таблица18[[#This Row],[Хар-ка]]</f>
        <v>первый</v>
      </c>
      <c r="AD1224" s="459"/>
      <c r="AE1224" s="391"/>
    </row>
    <row r="1225" spans="1:31" s="325" customFormat="1" ht="15.6" hidden="1" customHeight="1" x14ac:dyDescent="0.2">
      <c r="A1225" s="40" t="s">
        <v>1160</v>
      </c>
      <c r="B1225" s="360" t="s">
        <v>550</v>
      </c>
      <c r="C1225" s="40">
        <v>590</v>
      </c>
      <c r="D1225" s="40">
        <v>54953</v>
      </c>
      <c r="E1225" s="40" t="s">
        <v>914</v>
      </c>
      <c r="F1225" s="40" t="s">
        <v>244</v>
      </c>
      <c r="G1225" s="40" t="s">
        <v>248</v>
      </c>
      <c r="H1225" s="40">
        <v>14</v>
      </c>
      <c r="I1225" s="360" t="e">
        <f>VLOOKUP(Таблица18[[#This Row],[Номер акта]],$AB$1:$AF$1833,3,FALSE)</f>
        <v>#N/A</v>
      </c>
      <c r="J1225" s="40" t="s">
        <v>909</v>
      </c>
      <c r="K1225" s="40" t="s">
        <v>82</v>
      </c>
      <c r="L1225" s="121">
        <v>28790</v>
      </c>
      <c r="M1225" s="121">
        <v>15820</v>
      </c>
      <c r="N1225" s="121">
        <v>10.5</v>
      </c>
      <c r="O1225" s="363">
        <v>12970</v>
      </c>
      <c r="P1225" s="363">
        <v>11608.1</v>
      </c>
      <c r="Q1225" s="121">
        <v>2025</v>
      </c>
      <c r="R1225" s="121"/>
      <c r="S1225" s="148">
        <v>45829</v>
      </c>
      <c r="T1225" s="363">
        <f>Таблица18[[#This Row],[Вес нетто]]-Таблица18[[#This Row],[Зачетный вес]]</f>
        <v>1361.8999999999996</v>
      </c>
      <c r="U1225" s="365">
        <f>Таблица18[[#This Row],[Отход]]/Таблица18[[#This Row],[Вес нетто]]</f>
        <v>0.10500385505011563</v>
      </c>
      <c r="V1225" s="121">
        <f>MONTH(Таблица18[[#This Row],[Дата акта]])</f>
        <v>6</v>
      </c>
      <c r="W1225" s="121">
        <v>21</v>
      </c>
      <c r="X1225" s="148">
        <f>DATE(1900,Таблица18[[#This Row],[Месяц]],Таблица18[[#This Row],[Число]])</f>
        <v>173</v>
      </c>
      <c r="Y1225" s="121"/>
      <c r="Z1225" s="121" t="str">
        <f>Таблица18[[#This Row],[Хар-ка]]</f>
        <v>первый</v>
      </c>
      <c r="AD1225" s="459"/>
      <c r="AE1225" s="391"/>
    </row>
    <row r="1226" spans="1:31" s="325" customFormat="1" ht="15.6" hidden="1" customHeight="1" x14ac:dyDescent="0.2">
      <c r="A1226" s="40" t="s">
        <v>1161</v>
      </c>
      <c r="B1226" s="360" t="s">
        <v>550</v>
      </c>
      <c r="C1226" s="40">
        <v>596</v>
      </c>
      <c r="D1226" s="40">
        <v>54954</v>
      </c>
      <c r="E1226" s="40" t="s">
        <v>914</v>
      </c>
      <c r="F1226" s="40" t="s">
        <v>311</v>
      </c>
      <c r="G1226" s="40" t="s">
        <v>315</v>
      </c>
      <c r="H1226" s="40">
        <v>14</v>
      </c>
      <c r="I1226" s="360" t="e">
        <f>VLOOKUP(Таблица18[[#This Row],[Номер акта]],$AB$1:$AF$1833,3,FALSE)</f>
        <v>#N/A</v>
      </c>
      <c r="J1226" s="40" t="s">
        <v>909</v>
      </c>
      <c r="K1226" s="40" t="s">
        <v>82</v>
      </c>
      <c r="L1226" s="121">
        <v>28030</v>
      </c>
      <c r="M1226" s="121">
        <v>15200</v>
      </c>
      <c r="N1226" s="121">
        <v>5.5</v>
      </c>
      <c r="O1226" s="363">
        <v>12830</v>
      </c>
      <c r="P1226" s="363">
        <v>12124.3</v>
      </c>
      <c r="Q1226" s="121">
        <v>2025</v>
      </c>
      <c r="R1226" s="121"/>
      <c r="S1226" s="148">
        <v>45829</v>
      </c>
      <c r="T1226" s="363">
        <f>Таблица18[[#This Row],[Вес нетто]]-Таблица18[[#This Row],[Зачетный вес]]</f>
        <v>705.70000000000073</v>
      </c>
      <c r="U1226" s="365">
        <f>Таблица18[[#This Row],[Отход]]/Таблица18[[#This Row],[Вес нетто]]</f>
        <v>5.5003897116134119E-2</v>
      </c>
      <c r="V1226" s="121">
        <f>MONTH(Таблица18[[#This Row],[Дата акта]])</f>
        <v>6</v>
      </c>
      <c r="W1226" s="121">
        <v>21</v>
      </c>
      <c r="X1226" s="148">
        <f>DATE(1900,Таблица18[[#This Row],[Месяц]],Таблица18[[#This Row],[Число]])</f>
        <v>173</v>
      </c>
      <c r="Y1226" s="121"/>
      <c r="Z1226" s="121" t="str">
        <f>Таблица18[[#This Row],[Хар-ка]]</f>
        <v>первый</v>
      </c>
      <c r="AD1226" s="459"/>
      <c r="AE1226" s="391"/>
    </row>
    <row r="1227" spans="1:31" s="325" customFormat="1" ht="15.6" hidden="1" customHeight="1" x14ac:dyDescent="0.2">
      <c r="A1227" s="40" t="s">
        <v>1162</v>
      </c>
      <c r="B1227" s="360" t="s">
        <v>833</v>
      </c>
      <c r="C1227" s="40">
        <v>599</v>
      </c>
      <c r="D1227" s="40">
        <v>54955</v>
      </c>
      <c r="E1227" s="40" t="s">
        <v>914</v>
      </c>
      <c r="F1227" s="40" t="s">
        <v>1152</v>
      </c>
      <c r="G1227" s="40" t="s">
        <v>119</v>
      </c>
      <c r="H1227" s="40">
        <v>14</v>
      </c>
      <c r="I1227" s="360" t="e">
        <f>VLOOKUP(Таблица18[[#This Row],[Номер акта]],$AB$1:$AF$1833,3,FALSE)</f>
        <v>#N/A</v>
      </c>
      <c r="J1227" s="40" t="s">
        <v>909</v>
      </c>
      <c r="K1227" s="40" t="s">
        <v>82</v>
      </c>
      <c r="L1227" s="121">
        <v>36230</v>
      </c>
      <c r="M1227" s="121">
        <v>21240</v>
      </c>
      <c r="N1227" s="121">
        <v>7</v>
      </c>
      <c r="O1227" s="363">
        <v>14990</v>
      </c>
      <c r="P1227" s="363">
        <v>13940.7</v>
      </c>
      <c r="Q1227" s="121">
        <v>2025</v>
      </c>
      <c r="R1227" s="121"/>
      <c r="S1227" s="148">
        <v>45829</v>
      </c>
      <c r="T1227" s="363">
        <f>Таблица18[[#This Row],[Вес нетто]]-Таблица18[[#This Row],[Зачетный вес]]</f>
        <v>1049.2999999999993</v>
      </c>
      <c r="U1227" s="365">
        <f>Таблица18[[#This Row],[Отход]]/Таблица18[[#This Row],[Вес нетто]]</f>
        <v>6.9999999999999951E-2</v>
      </c>
      <c r="V1227" s="121">
        <f>MONTH(Таблица18[[#This Row],[Дата акта]])</f>
        <v>6</v>
      </c>
      <c r="W1227" s="121">
        <v>21</v>
      </c>
      <c r="X1227" s="148">
        <f>DATE(1900,Таблица18[[#This Row],[Месяц]],Таблица18[[#This Row],[Число]])</f>
        <v>173</v>
      </c>
      <c r="Y1227" s="121"/>
      <c r="Z1227" s="121" t="str">
        <f>Таблица18[[#This Row],[Хар-ка]]</f>
        <v>второй</v>
      </c>
      <c r="AD1227" s="459"/>
      <c r="AE1227" s="391"/>
    </row>
    <row r="1228" spans="1:31" s="325" customFormat="1" ht="15.6" hidden="1" customHeight="1" x14ac:dyDescent="0.2">
      <c r="A1228" s="40" t="s">
        <v>1163</v>
      </c>
      <c r="B1228" s="360" t="s">
        <v>833</v>
      </c>
      <c r="C1228" s="40">
        <v>600</v>
      </c>
      <c r="D1228" s="40">
        <v>54955</v>
      </c>
      <c r="E1228" s="40" t="s">
        <v>914</v>
      </c>
      <c r="F1228" s="40" t="s">
        <v>133</v>
      </c>
      <c r="G1228" s="40" t="s">
        <v>137</v>
      </c>
      <c r="H1228" s="40">
        <v>14</v>
      </c>
      <c r="I1228" s="360" t="e">
        <f>VLOOKUP(Таблица18[[#This Row],[Номер акта]],$AB$1:$AF$1833,3,FALSE)</f>
        <v>#N/A</v>
      </c>
      <c r="J1228" s="40" t="s">
        <v>909</v>
      </c>
      <c r="K1228" s="40" t="s">
        <v>82</v>
      </c>
      <c r="L1228" s="121">
        <v>30090</v>
      </c>
      <c r="M1228" s="121">
        <v>15100</v>
      </c>
      <c r="N1228" s="121">
        <v>7.5</v>
      </c>
      <c r="O1228" s="363">
        <v>14990</v>
      </c>
      <c r="P1228" s="363">
        <v>13865.7</v>
      </c>
      <c r="Q1228" s="121">
        <v>2025</v>
      </c>
      <c r="R1228" s="121"/>
      <c r="S1228" s="148">
        <v>45829</v>
      </c>
      <c r="T1228" s="363">
        <f>Таблица18[[#This Row],[Вес нетто]]-Таблица18[[#This Row],[Зачетный вес]]</f>
        <v>1124.2999999999993</v>
      </c>
      <c r="U1228" s="365">
        <f>Таблица18[[#This Row],[Отход]]/Таблица18[[#This Row],[Вес нетто]]</f>
        <v>7.5003335557037976E-2</v>
      </c>
      <c r="V1228" s="121">
        <f>MONTH(Таблица18[[#This Row],[Дата акта]])</f>
        <v>6</v>
      </c>
      <c r="W1228" s="121">
        <v>21</v>
      </c>
      <c r="X1228" s="148">
        <f>DATE(1900,Таблица18[[#This Row],[Месяц]],Таблица18[[#This Row],[Число]])</f>
        <v>173</v>
      </c>
      <c r="Y1228" s="121"/>
      <c r="Z1228" s="121" t="str">
        <f>Таблица18[[#This Row],[Хар-ка]]</f>
        <v>второй</v>
      </c>
      <c r="AD1228" s="459"/>
      <c r="AE1228" s="391"/>
    </row>
    <row r="1229" spans="1:31" s="325" customFormat="1" ht="15.6" hidden="1" customHeight="1" x14ac:dyDescent="0.2">
      <c r="A1229" s="40" t="s">
        <v>1164</v>
      </c>
      <c r="B1229" s="360" t="s">
        <v>550</v>
      </c>
      <c r="C1229" s="40">
        <v>601</v>
      </c>
      <c r="D1229" s="40">
        <v>54956</v>
      </c>
      <c r="E1229" s="40" t="s">
        <v>914</v>
      </c>
      <c r="F1229" s="40" t="s">
        <v>151</v>
      </c>
      <c r="G1229" s="40" t="s">
        <v>155</v>
      </c>
      <c r="H1229" s="40">
        <v>14</v>
      </c>
      <c r="I1229" s="360" t="e">
        <f>VLOOKUP(Таблица18[[#This Row],[Номер акта]],$AB$1:$AF$1833,3,FALSE)</f>
        <v>#N/A</v>
      </c>
      <c r="J1229" s="40" t="s">
        <v>909</v>
      </c>
      <c r="K1229" s="40" t="s">
        <v>82</v>
      </c>
      <c r="L1229" s="121">
        <v>30360</v>
      </c>
      <c r="M1229" s="121">
        <v>15060</v>
      </c>
      <c r="N1229" s="121">
        <v>8.5</v>
      </c>
      <c r="O1229" s="363">
        <v>15300</v>
      </c>
      <c r="P1229" s="363">
        <v>13999.5</v>
      </c>
      <c r="Q1229" s="121">
        <v>2025</v>
      </c>
      <c r="R1229" s="121"/>
      <c r="S1229" s="148">
        <v>45829</v>
      </c>
      <c r="T1229" s="363">
        <f>Таблица18[[#This Row],[Вес нетто]]-Таблица18[[#This Row],[Зачетный вес]]</f>
        <v>1300.5</v>
      </c>
      <c r="U1229" s="365">
        <f>Таблица18[[#This Row],[Отход]]/Таблица18[[#This Row],[Вес нетто]]</f>
        <v>8.5000000000000006E-2</v>
      </c>
      <c r="V1229" s="121">
        <f>MONTH(Таблица18[[#This Row],[Дата акта]])</f>
        <v>6</v>
      </c>
      <c r="W1229" s="121">
        <v>21</v>
      </c>
      <c r="X1229" s="148">
        <f>DATE(1900,Таблица18[[#This Row],[Месяц]],Таблица18[[#This Row],[Число]])</f>
        <v>173</v>
      </c>
      <c r="Y1229" s="121"/>
      <c r="Z1229" s="121" t="str">
        <f>Таблица18[[#This Row],[Хар-ка]]</f>
        <v>первый</v>
      </c>
      <c r="AD1229" s="459"/>
      <c r="AE1229" s="391"/>
    </row>
    <row r="1230" spans="1:31" s="325" customFormat="1" ht="15.6" hidden="1" customHeight="1" x14ac:dyDescent="0.2">
      <c r="A1230" s="40" t="s">
        <v>1165</v>
      </c>
      <c r="B1230" s="360" t="s">
        <v>833</v>
      </c>
      <c r="C1230" s="40">
        <v>602</v>
      </c>
      <c r="D1230" s="40">
        <v>54955</v>
      </c>
      <c r="E1230" s="40" t="s">
        <v>914</v>
      </c>
      <c r="F1230" s="40" t="s">
        <v>160</v>
      </c>
      <c r="G1230" s="40" t="s">
        <v>164</v>
      </c>
      <c r="H1230" s="40">
        <v>14</v>
      </c>
      <c r="I1230" s="360" t="e">
        <f>VLOOKUP(Таблица18[[#This Row],[Номер акта]],$AB$1:$AF$1833,3,FALSE)</f>
        <v>#N/A</v>
      </c>
      <c r="J1230" s="40" t="s">
        <v>909</v>
      </c>
      <c r="K1230" s="40" t="s">
        <v>82</v>
      </c>
      <c r="L1230" s="121">
        <v>37830</v>
      </c>
      <c r="M1230" s="121">
        <v>24220</v>
      </c>
      <c r="N1230" s="121">
        <v>8.5</v>
      </c>
      <c r="O1230" s="363">
        <v>13610</v>
      </c>
      <c r="P1230" s="363">
        <v>12453.1</v>
      </c>
      <c r="Q1230" s="121">
        <v>2025</v>
      </c>
      <c r="R1230" s="121"/>
      <c r="S1230" s="148">
        <v>45829</v>
      </c>
      <c r="T1230" s="363">
        <f>Таблица18[[#This Row],[Вес нетто]]-Таблица18[[#This Row],[Зачетный вес]]</f>
        <v>1156.8999999999996</v>
      </c>
      <c r="U1230" s="365">
        <f>Таблица18[[#This Row],[Отход]]/Таблица18[[#This Row],[Вес нетто]]</f>
        <v>8.5003673769287261E-2</v>
      </c>
      <c r="V1230" s="121">
        <f>MONTH(Таблица18[[#This Row],[Дата акта]])</f>
        <v>6</v>
      </c>
      <c r="W1230" s="121">
        <v>21</v>
      </c>
      <c r="X1230" s="148">
        <f>DATE(1900,Таблица18[[#This Row],[Месяц]],Таблица18[[#This Row],[Число]])</f>
        <v>173</v>
      </c>
      <c r="Y1230" s="121"/>
      <c r="Z1230" s="121" t="str">
        <f>Таблица18[[#This Row],[Хар-ка]]</f>
        <v>второй</v>
      </c>
      <c r="AD1230" s="459"/>
      <c r="AE1230" s="391"/>
    </row>
    <row r="1231" spans="1:31" s="325" customFormat="1" ht="15.6" hidden="1" customHeight="1" x14ac:dyDescent="0.2">
      <c r="A1231" s="40" t="s">
        <v>1166</v>
      </c>
      <c r="B1231" s="360" t="s">
        <v>511</v>
      </c>
      <c r="C1231" s="40">
        <v>603</v>
      </c>
      <c r="D1231" s="40">
        <v>1</v>
      </c>
      <c r="E1231" s="40" t="s">
        <v>1167</v>
      </c>
      <c r="F1231" s="40" t="s">
        <v>1151</v>
      </c>
      <c r="G1231" s="40" t="s">
        <v>145</v>
      </c>
      <c r="H1231" s="40" t="s">
        <v>1168</v>
      </c>
      <c r="I1231" s="360" t="e">
        <f>VLOOKUP(Таблица18[[#This Row],[Номер акта]],$AB$1:$AF$1833,3,FALSE)</f>
        <v>#N/A</v>
      </c>
      <c r="J1231" s="40" t="s">
        <v>901</v>
      </c>
      <c r="K1231" s="40" t="s">
        <v>82</v>
      </c>
      <c r="L1231" s="121">
        <v>29100</v>
      </c>
      <c r="M1231" s="121">
        <v>15790</v>
      </c>
      <c r="N1231" s="121">
        <v>21.5</v>
      </c>
      <c r="O1231" s="363">
        <v>13310</v>
      </c>
      <c r="P1231" s="363">
        <v>10448.299999999999</v>
      </c>
      <c r="Q1231" s="121">
        <v>2025</v>
      </c>
      <c r="R1231" s="121"/>
      <c r="S1231" s="148">
        <v>45830</v>
      </c>
      <c r="T1231" s="363">
        <f>Таблица18[[#This Row],[Вес нетто]]-Таблица18[[#This Row],[Зачетный вес]]</f>
        <v>2861.7000000000007</v>
      </c>
      <c r="U1231" s="365">
        <f>Таблица18[[#This Row],[Отход]]/Таблица18[[#This Row],[Вес нетто]]</f>
        <v>0.21500375657400456</v>
      </c>
      <c r="V1231" s="121">
        <f>MONTH(Таблица18[[#This Row],[Дата акта]])</f>
        <v>6</v>
      </c>
      <c r="W1231" s="121">
        <v>22</v>
      </c>
      <c r="X1231" s="148">
        <f>DATE(1900,Таблица18[[#This Row],[Месяц]],Таблица18[[#This Row],[Число]])</f>
        <v>174</v>
      </c>
      <c r="Y1231" s="121"/>
      <c r="Z1231" s="121" t="str">
        <f>Таблица18[[#This Row],[Хар-ка]]</f>
        <v>высший</v>
      </c>
      <c r="AD1231" s="459"/>
      <c r="AE1231" s="391"/>
    </row>
    <row r="1232" spans="1:31" s="325" customFormat="1" ht="15.6" hidden="1" customHeight="1" x14ac:dyDescent="0.2">
      <c r="A1232" s="40" t="s">
        <v>1169</v>
      </c>
      <c r="B1232" s="360" t="s">
        <v>511</v>
      </c>
      <c r="C1232" s="40">
        <v>604</v>
      </c>
      <c r="D1232" s="40">
        <v>3</v>
      </c>
      <c r="E1232" s="40" t="s">
        <v>1167</v>
      </c>
      <c r="F1232" s="40" t="s">
        <v>1253</v>
      </c>
      <c r="G1232" s="40" t="s">
        <v>270</v>
      </c>
      <c r="H1232" s="40" t="s">
        <v>1168</v>
      </c>
      <c r="I1232" s="360" t="e">
        <f>VLOOKUP(Таблица18[[#This Row],[Номер акта]],$AB$1:$AF$1833,3,FALSE)</f>
        <v>#N/A</v>
      </c>
      <c r="J1232" s="40" t="s">
        <v>901</v>
      </c>
      <c r="K1232" s="40" t="s">
        <v>82</v>
      </c>
      <c r="L1232" s="121">
        <v>27970</v>
      </c>
      <c r="M1232" s="121">
        <v>14950</v>
      </c>
      <c r="N1232" s="121">
        <v>19.5</v>
      </c>
      <c r="O1232" s="363">
        <v>13020</v>
      </c>
      <c r="P1232" s="363">
        <v>10481.1</v>
      </c>
      <c r="Q1232" s="121">
        <v>2025</v>
      </c>
      <c r="R1232" s="121"/>
      <c r="S1232" s="148">
        <v>45830</v>
      </c>
      <c r="T1232" s="363">
        <f>Таблица18[[#This Row],[Вес нетто]]-Таблица18[[#This Row],[Зачетный вес]]</f>
        <v>2538.8999999999996</v>
      </c>
      <c r="U1232" s="365">
        <f>Таблица18[[#This Row],[Отход]]/Таблица18[[#This Row],[Вес нетто]]</f>
        <v>0.19499999999999998</v>
      </c>
      <c r="V1232" s="121">
        <f>MONTH(Таблица18[[#This Row],[Дата акта]])</f>
        <v>6</v>
      </c>
      <c r="W1232" s="121">
        <v>22</v>
      </c>
      <c r="X1232" s="148">
        <f>DATE(1900,Таблица18[[#This Row],[Месяц]],Таблица18[[#This Row],[Число]])</f>
        <v>174</v>
      </c>
      <c r="Y1232" s="121"/>
      <c r="Z1232" s="121" t="str">
        <f>Таблица18[[#This Row],[Хар-ка]]</f>
        <v>высший</v>
      </c>
      <c r="AD1232" s="459"/>
      <c r="AE1232" s="391"/>
    </row>
    <row r="1233" spans="1:31" s="325" customFormat="1" ht="15.6" hidden="1" customHeight="1" x14ac:dyDescent="0.2">
      <c r="A1233" s="40" t="s">
        <v>1178</v>
      </c>
      <c r="B1233" s="360" t="s">
        <v>511</v>
      </c>
      <c r="C1233" s="40">
        <v>606</v>
      </c>
      <c r="D1233" s="40">
        <v>2</v>
      </c>
      <c r="E1233" s="40" t="s">
        <v>1167</v>
      </c>
      <c r="F1233" s="40" t="s">
        <v>1461</v>
      </c>
      <c r="G1233" s="40" t="s">
        <v>149</v>
      </c>
      <c r="H1233" s="40" t="s">
        <v>1168</v>
      </c>
      <c r="I1233" s="360" t="e">
        <f>VLOOKUP(Таблица18[[#This Row],[Номер акта]],$AB$1:$AF$1833,3,FALSE)</f>
        <v>#N/A</v>
      </c>
      <c r="J1233" s="40" t="s">
        <v>901</v>
      </c>
      <c r="K1233" s="40" t="s">
        <v>82</v>
      </c>
      <c r="L1233" s="121">
        <v>27740</v>
      </c>
      <c r="M1233" s="121">
        <v>15140</v>
      </c>
      <c r="N1233" s="121">
        <v>24</v>
      </c>
      <c r="O1233" s="363">
        <v>12600</v>
      </c>
      <c r="P1233" s="363">
        <v>9576</v>
      </c>
      <c r="Q1233" s="121">
        <v>2025</v>
      </c>
      <c r="R1233" s="121"/>
      <c r="S1233" s="148">
        <v>45830</v>
      </c>
      <c r="T1233" s="363">
        <f>Таблица18[[#This Row],[Вес нетто]]-Таблица18[[#This Row],[Зачетный вес]]</f>
        <v>3024</v>
      </c>
      <c r="U1233" s="365">
        <f>Таблица18[[#This Row],[Отход]]/Таблица18[[#This Row],[Вес нетто]]</f>
        <v>0.24</v>
      </c>
      <c r="V1233" s="121">
        <f>MONTH(Таблица18[[#This Row],[Дата акта]])</f>
        <v>6</v>
      </c>
      <c r="W1233" s="121">
        <v>22</v>
      </c>
      <c r="X1233" s="148">
        <f>DATE(1900,Таблица18[[#This Row],[Месяц]],Таблица18[[#This Row],[Число]])</f>
        <v>174</v>
      </c>
      <c r="Y1233" s="121"/>
      <c r="Z1233" s="121" t="str">
        <f>Таблица18[[#This Row],[Хар-ка]]</f>
        <v>высший</v>
      </c>
      <c r="AD1233" s="459"/>
      <c r="AE1233" s="391"/>
    </row>
    <row r="1234" spans="1:31" s="325" customFormat="1" ht="15.6" hidden="1" customHeight="1" x14ac:dyDescent="0.2">
      <c r="A1234" s="40" t="s">
        <v>1179</v>
      </c>
      <c r="B1234" s="360" t="s">
        <v>511</v>
      </c>
      <c r="C1234" s="40">
        <v>607</v>
      </c>
      <c r="D1234" s="40">
        <v>4</v>
      </c>
      <c r="E1234" s="40" t="s">
        <v>1167</v>
      </c>
      <c r="F1234" s="40" t="s">
        <v>272</v>
      </c>
      <c r="G1234" s="40" t="s">
        <v>276</v>
      </c>
      <c r="H1234" s="40" t="s">
        <v>1168</v>
      </c>
      <c r="I1234" s="360" t="e">
        <f>VLOOKUP(Таблица18[[#This Row],[Номер акта]],$AB$1:$AF$1833,3,FALSE)</f>
        <v>#N/A</v>
      </c>
      <c r="J1234" s="40" t="s">
        <v>901</v>
      </c>
      <c r="K1234" s="40" t="s">
        <v>82</v>
      </c>
      <c r="L1234" s="121">
        <v>27470</v>
      </c>
      <c r="M1234" s="121">
        <v>14820</v>
      </c>
      <c r="N1234" s="121">
        <v>14.5</v>
      </c>
      <c r="O1234" s="363">
        <v>12650</v>
      </c>
      <c r="P1234" s="363">
        <v>10815.7</v>
      </c>
      <c r="Q1234" s="121">
        <v>2025</v>
      </c>
      <c r="R1234" s="121"/>
      <c r="S1234" s="148">
        <v>45830</v>
      </c>
      <c r="T1234" s="363">
        <f>Таблица18[[#This Row],[Вес нетто]]-Таблица18[[#This Row],[Зачетный вес]]</f>
        <v>1834.2999999999993</v>
      </c>
      <c r="U1234" s="365">
        <f>Таблица18[[#This Row],[Отход]]/Таблица18[[#This Row],[Вес нетто]]</f>
        <v>0.1450039525691699</v>
      </c>
      <c r="V1234" s="121">
        <f>MONTH(Таблица18[[#This Row],[Дата акта]])</f>
        <v>6</v>
      </c>
      <c r="W1234" s="121">
        <v>22</v>
      </c>
      <c r="X1234" s="148">
        <f>DATE(1900,Таблица18[[#This Row],[Месяц]],Таблица18[[#This Row],[Число]])</f>
        <v>174</v>
      </c>
      <c r="Y1234" s="121"/>
      <c r="Z1234" s="121" t="str">
        <f>Таблица18[[#This Row],[Хар-ка]]</f>
        <v>высший</v>
      </c>
      <c r="AD1234" s="459"/>
      <c r="AE1234" s="391"/>
    </row>
    <row r="1235" spans="1:31" s="325" customFormat="1" ht="15.6" hidden="1" customHeight="1" x14ac:dyDescent="0.2">
      <c r="A1235" s="40" t="s">
        <v>1180</v>
      </c>
      <c r="B1235" s="360" t="s">
        <v>511</v>
      </c>
      <c r="C1235" s="40">
        <v>608</v>
      </c>
      <c r="D1235" s="40">
        <v>6</v>
      </c>
      <c r="E1235" s="40" t="s">
        <v>1167</v>
      </c>
      <c r="F1235" s="40" t="s">
        <v>894</v>
      </c>
      <c r="G1235" s="40" t="s">
        <v>895</v>
      </c>
      <c r="H1235" s="40" t="s">
        <v>1168</v>
      </c>
      <c r="I1235" s="360" t="e">
        <f>VLOOKUP(Таблица18[[#This Row],[Номер акта]],$AB$1:$AF$1833,3,FALSE)</f>
        <v>#N/A</v>
      </c>
      <c r="J1235" s="40" t="s">
        <v>901</v>
      </c>
      <c r="K1235" s="40" t="s">
        <v>82</v>
      </c>
      <c r="L1235" s="121">
        <v>27940</v>
      </c>
      <c r="M1235" s="121">
        <v>14900</v>
      </c>
      <c r="N1235" s="121">
        <v>23.5</v>
      </c>
      <c r="O1235" s="363">
        <v>13040</v>
      </c>
      <c r="P1235" s="363">
        <v>9975.6</v>
      </c>
      <c r="Q1235" s="121">
        <v>2025</v>
      </c>
      <c r="R1235" s="121"/>
      <c r="S1235" s="148">
        <v>45830</v>
      </c>
      <c r="T1235" s="363">
        <f>Таблица18[[#This Row],[Вес нетто]]-Таблица18[[#This Row],[Зачетный вес]]</f>
        <v>3064.3999999999996</v>
      </c>
      <c r="U1235" s="365">
        <f>Таблица18[[#This Row],[Отход]]/Таблица18[[#This Row],[Вес нетто]]</f>
        <v>0.23499999999999996</v>
      </c>
      <c r="V1235" s="121">
        <f>MONTH(Таблица18[[#This Row],[Дата акта]])</f>
        <v>6</v>
      </c>
      <c r="W1235" s="121">
        <v>22</v>
      </c>
      <c r="X1235" s="148">
        <f>DATE(1900,Таблица18[[#This Row],[Месяц]],Таблица18[[#This Row],[Число]])</f>
        <v>174</v>
      </c>
      <c r="Y1235" s="121"/>
      <c r="Z1235" s="121" t="str">
        <f>Таблица18[[#This Row],[Хар-ка]]</f>
        <v>высший</v>
      </c>
      <c r="AD1235" s="459"/>
      <c r="AE1235" s="391"/>
    </row>
    <row r="1236" spans="1:31" s="325" customFormat="1" ht="15.6" hidden="1" customHeight="1" x14ac:dyDescent="0.2">
      <c r="A1236" s="40" t="s">
        <v>1181</v>
      </c>
      <c r="B1236" s="360" t="s">
        <v>511</v>
      </c>
      <c r="C1236" s="40">
        <v>609</v>
      </c>
      <c r="D1236" s="40">
        <v>5</v>
      </c>
      <c r="E1236" s="40" t="s">
        <v>1167</v>
      </c>
      <c r="F1236" s="40" t="s">
        <v>1312</v>
      </c>
      <c r="G1236" s="40" t="s">
        <v>320</v>
      </c>
      <c r="H1236" s="40" t="s">
        <v>1168</v>
      </c>
      <c r="I1236" s="360" t="e">
        <f>VLOOKUP(Таблица18[[#This Row],[Номер акта]],$AB$1:$AF$1833,3,FALSE)</f>
        <v>#N/A</v>
      </c>
      <c r="J1236" s="40" t="s">
        <v>901</v>
      </c>
      <c r="K1236" s="40" t="s">
        <v>82</v>
      </c>
      <c r="L1236" s="121">
        <v>27840</v>
      </c>
      <c r="M1236" s="121">
        <v>14400</v>
      </c>
      <c r="N1236" s="121">
        <v>20.5</v>
      </c>
      <c r="O1236" s="363">
        <v>13440</v>
      </c>
      <c r="P1236" s="363">
        <v>10684.8</v>
      </c>
      <c r="Q1236" s="121">
        <v>2025</v>
      </c>
      <c r="R1236" s="121"/>
      <c r="S1236" s="148">
        <v>45830</v>
      </c>
      <c r="T1236" s="363">
        <f>Таблица18[[#This Row],[Вес нетто]]-Таблица18[[#This Row],[Зачетный вес]]</f>
        <v>2755.2000000000007</v>
      </c>
      <c r="U1236" s="365">
        <f>Таблица18[[#This Row],[Отход]]/Таблица18[[#This Row],[Вес нетто]]</f>
        <v>0.20500000000000004</v>
      </c>
      <c r="V1236" s="121">
        <f>MONTH(Таблица18[[#This Row],[Дата акта]])</f>
        <v>6</v>
      </c>
      <c r="W1236" s="121">
        <v>22</v>
      </c>
      <c r="X1236" s="148">
        <f>DATE(1900,Таблица18[[#This Row],[Месяц]],Таблица18[[#This Row],[Число]])</f>
        <v>174</v>
      </c>
      <c r="Y1236" s="121"/>
      <c r="Z1236" s="121" t="str">
        <f>Таблица18[[#This Row],[Хар-ка]]</f>
        <v>высший</v>
      </c>
      <c r="AD1236" s="459"/>
      <c r="AE1236" s="391"/>
    </row>
    <row r="1237" spans="1:31" s="325" customFormat="1" ht="15.6" hidden="1" customHeight="1" x14ac:dyDescent="0.2">
      <c r="A1237" s="40" t="s">
        <v>1182</v>
      </c>
      <c r="B1237" s="360" t="s">
        <v>511</v>
      </c>
      <c r="C1237" s="40">
        <v>610</v>
      </c>
      <c r="D1237" s="40">
        <v>7</v>
      </c>
      <c r="E1237" s="40" t="s">
        <v>1167</v>
      </c>
      <c r="F1237" s="40" t="s">
        <v>1152</v>
      </c>
      <c r="G1237" s="40" t="s">
        <v>119</v>
      </c>
      <c r="H1237" s="40" t="s">
        <v>1168</v>
      </c>
      <c r="I1237" s="360" t="e">
        <f>VLOOKUP(Таблица18[[#This Row],[Номер акта]],$AB$1:$AF$1833,3,FALSE)</f>
        <v>#N/A</v>
      </c>
      <c r="J1237" s="40" t="s">
        <v>901</v>
      </c>
      <c r="K1237" s="40" t="s">
        <v>82</v>
      </c>
      <c r="L1237" s="121">
        <v>35160</v>
      </c>
      <c r="M1237" s="121">
        <v>21150</v>
      </c>
      <c r="N1237" s="121">
        <v>21.5</v>
      </c>
      <c r="O1237" s="363">
        <v>14010</v>
      </c>
      <c r="P1237" s="363">
        <v>10997.8</v>
      </c>
      <c r="Q1237" s="121">
        <v>2025</v>
      </c>
      <c r="R1237" s="121"/>
      <c r="S1237" s="148">
        <v>45830</v>
      </c>
      <c r="T1237" s="363">
        <f>Таблица18[[#This Row],[Вес нетто]]-Таблица18[[#This Row],[Зачетный вес]]</f>
        <v>3012.2000000000007</v>
      </c>
      <c r="U1237" s="365">
        <f>Таблица18[[#This Row],[Отход]]/Таблица18[[#This Row],[Вес нетто]]</f>
        <v>0.21500356887937194</v>
      </c>
      <c r="V1237" s="121">
        <f>MONTH(Таблица18[[#This Row],[Дата акта]])</f>
        <v>6</v>
      </c>
      <c r="W1237" s="121">
        <v>22</v>
      </c>
      <c r="X1237" s="148">
        <f>DATE(1900,Таблица18[[#This Row],[Месяц]],Таблица18[[#This Row],[Число]])</f>
        <v>174</v>
      </c>
      <c r="Y1237" s="121"/>
      <c r="Z1237" s="121" t="str">
        <f>Таблица18[[#This Row],[Хар-ка]]</f>
        <v>высший</v>
      </c>
      <c r="AD1237" s="459"/>
      <c r="AE1237" s="391"/>
    </row>
    <row r="1238" spans="1:31" s="325" customFormat="1" ht="15.6" hidden="1" customHeight="1" x14ac:dyDescent="0.2">
      <c r="A1238" s="40" t="s">
        <v>1183</v>
      </c>
      <c r="B1238" s="360" t="s">
        <v>511</v>
      </c>
      <c r="C1238" s="40">
        <v>611</v>
      </c>
      <c r="D1238" s="40">
        <v>8</v>
      </c>
      <c r="E1238" s="40" t="s">
        <v>1167</v>
      </c>
      <c r="F1238" s="40" t="s">
        <v>160</v>
      </c>
      <c r="G1238" s="40" t="s">
        <v>164</v>
      </c>
      <c r="H1238" s="40" t="s">
        <v>1184</v>
      </c>
      <c r="I1238" s="360" t="e">
        <f>VLOOKUP(Таблица18[[#This Row],[Номер акта]],$AB$1:$AF$1833,3,FALSE)</f>
        <v>#N/A</v>
      </c>
      <c r="J1238" s="40" t="s">
        <v>1185</v>
      </c>
      <c r="K1238" s="40" t="s">
        <v>82</v>
      </c>
      <c r="L1238" s="121">
        <v>38170</v>
      </c>
      <c r="M1238" s="121">
        <v>24060</v>
      </c>
      <c r="N1238" s="121">
        <v>15</v>
      </c>
      <c r="O1238" s="363">
        <v>14110</v>
      </c>
      <c r="P1238" s="363">
        <v>11993.5</v>
      </c>
      <c r="Q1238" s="121">
        <v>2025</v>
      </c>
      <c r="R1238" s="121"/>
      <c r="S1238" s="148">
        <v>45830</v>
      </c>
      <c r="T1238" s="363">
        <f>Таблица18[[#This Row],[Вес нетто]]-Таблица18[[#This Row],[Зачетный вес]]</f>
        <v>2116.5</v>
      </c>
      <c r="U1238" s="365">
        <f>Таблица18[[#This Row],[Отход]]/Таблица18[[#This Row],[Вес нетто]]</f>
        <v>0.15</v>
      </c>
      <c r="V1238" s="121">
        <f>MONTH(Таблица18[[#This Row],[Дата акта]])</f>
        <v>6</v>
      </c>
      <c r="W1238" s="121">
        <v>22</v>
      </c>
      <c r="X1238" s="148">
        <f>DATE(1900,Таблица18[[#This Row],[Месяц]],Таблица18[[#This Row],[Число]])</f>
        <v>174</v>
      </c>
      <c r="Y1238" s="121"/>
      <c r="Z1238" s="121" t="str">
        <f>Таблица18[[#This Row],[Хар-ка]]</f>
        <v>высший</v>
      </c>
      <c r="AD1238" s="459"/>
      <c r="AE1238" s="391"/>
    </row>
    <row r="1239" spans="1:31" s="325" customFormat="1" ht="15.6" hidden="1" customHeight="1" x14ac:dyDescent="0.2">
      <c r="A1239" s="40" t="s">
        <v>1186</v>
      </c>
      <c r="B1239" s="360" t="s">
        <v>511</v>
      </c>
      <c r="C1239" s="40">
        <v>612</v>
      </c>
      <c r="D1239" s="40">
        <v>9</v>
      </c>
      <c r="E1239" s="40" t="s">
        <v>1167</v>
      </c>
      <c r="F1239" s="40" t="s">
        <v>151</v>
      </c>
      <c r="G1239" s="40" t="s">
        <v>155</v>
      </c>
      <c r="H1239" s="40" t="s">
        <v>1184</v>
      </c>
      <c r="I1239" s="360" t="e">
        <f>VLOOKUP(Таблица18[[#This Row],[Номер акта]],$AB$1:$AF$1833,3,FALSE)</f>
        <v>#N/A</v>
      </c>
      <c r="J1239" s="40" t="s">
        <v>1185</v>
      </c>
      <c r="K1239" s="40" t="s">
        <v>82</v>
      </c>
      <c r="L1239" s="121">
        <v>29040</v>
      </c>
      <c r="M1239" s="121">
        <v>14950</v>
      </c>
      <c r="N1239" s="121">
        <v>15</v>
      </c>
      <c r="O1239" s="363">
        <v>14090</v>
      </c>
      <c r="P1239" s="363">
        <v>11976.5</v>
      </c>
      <c r="Q1239" s="121">
        <v>2025</v>
      </c>
      <c r="R1239" s="121"/>
      <c r="S1239" s="148">
        <v>45830</v>
      </c>
      <c r="T1239" s="363">
        <f>Таблица18[[#This Row],[Вес нетто]]-Таблица18[[#This Row],[Зачетный вес]]</f>
        <v>2113.5</v>
      </c>
      <c r="U1239" s="365">
        <f>Таблица18[[#This Row],[Отход]]/Таблица18[[#This Row],[Вес нетто]]</f>
        <v>0.15</v>
      </c>
      <c r="V1239" s="121">
        <f>MONTH(Таблица18[[#This Row],[Дата акта]])</f>
        <v>6</v>
      </c>
      <c r="W1239" s="121">
        <v>22</v>
      </c>
      <c r="X1239" s="148">
        <f>DATE(1900,Таблица18[[#This Row],[Месяц]],Таблица18[[#This Row],[Число]])</f>
        <v>174</v>
      </c>
      <c r="Y1239" s="121"/>
      <c r="Z1239" s="121" t="str">
        <f>Таблица18[[#This Row],[Хар-ка]]</f>
        <v>высший</v>
      </c>
      <c r="AD1239" s="459"/>
      <c r="AE1239" s="391"/>
    </row>
    <row r="1240" spans="1:31" s="325" customFormat="1" ht="15.6" hidden="1" customHeight="1" x14ac:dyDescent="0.2">
      <c r="A1240" s="40" t="s">
        <v>1187</v>
      </c>
      <c r="B1240" s="360" t="s">
        <v>511</v>
      </c>
      <c r="C1240" s="40">
        <v>613</v>
      </c>
      <c r="D1240" s="40">
        <v>10</v>
      </c>
      <c r="E1240" s="40" t="s">
        <v>1167</v>
      </c>
      <c r="F1240" s="40" t="s">
        <v>239</v>
      </c>
      <c r="G1240" s="40" t="s">
        <v>243</v>
      </c>
      <c r="H1240" s="40" t="s">
        <v>1184</v>
      </c>
      <c r="I1240" s="360" t="e">
        <f>VLOOKUP(Таблица18[[#This Row],[Номер акта]],$AB$1:$AF$1833,3,FALSE)</f>
        <v>#N/A</v>
      </c>
      <c r="J1240" s="40" t="s">
        <v>1185</v>
      </c>
      <c r="K1240" s="40" t="s">
        <v>82</v>
      </c>
      <c r="L1240" s="121">
        <v>28400</v>
      </c>
      <c r="M1240" s="121">
        <v>14600</v>
      </c>
      <c r="N1240" s="121">
        <v>23</v>
      </c>
      <c r="O1240" s="363">
        <v>13800</v>
      </c>
      <c r="P1240" s="363">
        <v>10626</v>
      </c>
      <c r="Q1240" s="121">
        <v>2025</v>
      </c>
      <c r="R1240" s="121"/>
      <c r="S1240" s="148">
        <v>45830</v>
      </c>
      <c r="T1240" s="363">
        <f>Таблица18[[#This Row],[Вес нетто]]-Таблица18[[#This Row],[Зачетный вес]]</f>
        <v>3174</v>
      </c>
      <c r="U1240" s="365">
        <f>Таблица18[[#This Row],[Отход]]/Таблица18[[#This Row],[Вес нетто]]</f>
        <v>0.23</v>
      </c>
      <c r="V1240" s="121">
        <f>MONTH(Таблица18[[#This Row],[Дата акта]])</f>
        <v>6</v>
      </c>
      <c r="W1240" s="121">
        <v>22</v>
      </c>
      <c r="X1240" s="148">
        <f>DATE(1900,Таблица18[[#This Row],[Месяц]],Таблица18[[#This Row],[Число]])</f>
        <v>174</v>
      </c>
      <c r="Y1240" s="121"/>
      <c r="Z1240" s="121" t="str">
        <f>Таблица18[[#This Row],[Хар-ка]]</f>
        <v>высший</v>
      </c>
      <c r="AD1240" s="459"/>
      <c r="AE1240" s="391"/>
    </row>
    <row r="1241" spans="1:31" s="325" customFormat="1" ht="15.6" hidden="1" customHeight="1" x14ac:dyDescent="0.2">
      <c r="A1241" s="40" t="s">
        <v>1188</v>
      </c>
      <c r="B1241" s="360" t="s">
        <v>511</v>
      </c>
      <c r="C1241" s="40">
        <v>615</v>
      </c>
      <c r="D1241" s="40">
        <v>11</v>
      </c>
      <c r="E1241" s="40" t="s">
        <v>1167</v>
      </c>
      <c r="F1241" s="40" t="s">
        <v>1151</v>
      </c>
      <c r="G1241" s="40" t="s">
        <v>145</v>
      </c>
      <c r="H1241" s="40" t="s">
        <v>1184</v>
      </c>
      <c r="I1241" s="360" t="e">
        <f>VLOOKUP(Таблица18[[#This Row],[Номер акта]],$AB$1:$AF$1833,3,FALSE)</f>
        <v>#N/A</v>
      </c>
      <c r="J1241" s="40" t="s">
        <v>1185</v>
      </c>
      <c r="K1241" s="40" t="s">
        <v>82</v>
      </c>
      <c r="L1241" s="121">
        <v>29840</v>
      </c>
      <c r="M1241" s="121">
        <v>15720</v>
      </c>
      <c r="N1241" s="121">
        <v>19</v>
      </c>
      <c r="O1241" s="363">
        <v>14120</v>
      </c>
      <c r="P1241" s="363">
        <v>11437.2</v>
      </c>
      <c r="Q1241" s="121">
        <v>2025</v>
      </c>
      <c r="R1241" s="121"/>
      <c r="S1241" s="148">
        <v>45830</v>
      </c>
      <c r="T1241" s="363">
        <f>Таблица18[[#This Row],[Вес нетто]]-Таблица18[[#This Row],[Зачетный вес]]</f>
        <v>2682.7999999999993</v>
      </c>
      <c r="U1241" s="365">
        <f>Таблица18[[#This Row],[Отход]]/Таблица18[[#This Row],[Вес нетто]]</f>
        <v>0.18999999999999995</v>
      </c>
      <c r="V1241" s="121">
        <f>MONTH(Таблица18[[#This Row],[Дата акта]])</f>
        <v>6</v>
      </c>
      <c r="W1241" s="121">
        <v>22</v>
      </c>
      <c r="X1241" s="148">
        <f>DATE(1900,Таблица18[[#This Row],[Месяц]],Таблица18[[#This Row],[Число]])</f>
        <v>174</v>
      </c>
      <c r="Y1241" s="121"/>
      <c r="Z1241" s="121" t="str">
        <f>Таблица18[[#This Row],[Хар-ка]]</f>
        <v>высший</v>
      </c>
      <c r="AD1241" s="459"/>
      <c r="AE1241" s="391"/>
    </row>
    <row r="1242" spans="1:31" s="325" customFormat="1" ht="15.6" hidden="1" customHeight="1" x14ac:dyDescent="0.2">
      <c r="A1242" s="40" t="s">
        <v>1189</v>
      </c>
      <c r="B1242" s="360" t="s">
        <v>511</v>
      </c>
      <c r="C1242" s="40">
        <v>616</v>
      </c>
      <c r="D1242" s="40">
        <v>12</v>
      </c>
      <c r="E1242" s="40" t="s">
        <v>1167</v>
      </c>
      <c r="F1242" s="40" t="s">
        <v>212</v>
      </c>
      <c r="G1242" s="40" t="s">
        <v>216</v>
      </c>
      <c r="H1242" s="40" t="s">
        <v>1184</v>
      </c>
      <c r="I1242" s="360" t="e">
        <f>VLOOKUP(Таблица18[[#This Row],[Номер акта]],$AB$1:$AF$1833,3,FALSE)</f>
        <v>#N/A</v>
      </c>
      <c r="J1242" s="40" t="s">
        <v>1185</v>
      </c>
      <c r="K1242" s="40" t="s">
        <v>82</v>
      </c>
      <c r="L1242" s="121">
        <v>27720</v>
      </c>
      <c r="M1242" s="121">
        <v>13850</v>
      </c>
      <c r="N1242" s="121">
        <v>16</v>
      </c>
      <c r="O1242" s="363">
        <v>13870</v>
      </c>
      <c r="P1242" s="363">
        <v>11650.8</v>
      </c>
      <c r="Q1242" s="121">
        <v>2025</v>
      </c>
      <c r="R1242" s="121"/>
      <c r="S1242" s="148">
        <v>45830</v>
      </c>
      <c r="T1242" s="363">
        <f>Таблица18[[#This Row],[Вес нетто]]-Таблица18[[#This Row],[Зачетный вес]]</f>
        <v>2219.2000000000007</v>
      </c>
      <c r="U1242" s="365">
        <f>Таблица18[[#This Row],[Отход]]/Таблица18[[#This Row],[Вес нетто]]</f>
        <v>0.16000000000000006</v>
      </c>
      <c r="V1242" s="121">
        <f>MONTH(Таблица18[[#This Row],[Дата акта]])</f>
        <v>6</v>
      </c>
      <c r="W1242" s="121">
        <v>22</v>
      </c>
      <c r="X1242" s="148">
        <f>DATE(1900,Таблица18[[#This Row],[Месяц]],Таблица18[[#This Row],[Число]])</f>
        <v>174</v>
      </c>
      <c r="Y1242" s="121"/>
      <c r="Z1242" s="121" t="str">
        <f>Таблица18[[#This Row],[Хар-ка]]</f>
        <v>высший</v>
      </c>
      <c r="AD1242" s="459"/>
      <c r="AE1242" s="391"/>
    </row>
    <row r="1243" spans="1:31" s="325" customFormat="1" ht="15.6" hidden="1" customHeight="1" x14ac:dyDescent="0.2">
      <c r="A1243" s="40" t="s">
        <v>1190</v>
      </c>
      <c r="B1243" s="360" t="s">
        <v>511</v>
      </c>
      <c r="C1243" s="40">
        <v>617</v>
      </c>
      <c r="D1243" s="40">
        <v>13</v>
      </c>
      <c r="E1243" s="40" t="s">
        <v>1167</v>
      </c>
      <c r="F1243" s="40" t="s">
        <v>311</v>
      </c>
      <c r="G1243" s="40" t="s">
        <v>315</v>
      </c>
      <c r="H1243" s="40" t="s">
        <v>1184</v>
      </c>
      <c r="I1243" s="360" t="e">
        <f>VLOOKUP(Таблица18[[#This Row],[Номер акта]],$AB$1:$AF$1833,3,FALSE)</f>
        <v>#N/A</v>
      </c>
      <c r="J1243" s="40" t="s">
        <v>1185</v>
      </c>
      <c r="K1243" s="40" t="s">
        <v>82</v>
      </c>
      <c r="L1243" s="121">
        <v>29210</v>
      </c>
      <c r="M1243" s="121">
        <v>15070</v>
      </c>
      <c r="N1243" s="121">
        <v>16.5</v>
      </c>
      <c r="O1243" s="363">
        <v>14140</v>
      </c>
      <c r="P1243" s="363">
        <v>11806.9</v>
      </c>
      <c r="Q1243" s="121">
        <v>2025</v>
      </c>
      <c r="R1243" s="121"/>
      <c r="S1243" s="148">
        <v>45830</v>
      </c>
      <c r="T1243" s="363">
        <f>Таблица18[[#This Row],[Вес нетто]]-Таблица18[[#This Row],[Зачетный вес]]</f>
        <v>2333.1000000000004</v>
      </c>
      <c r="U1243" s="365">
        <f>Таблица18[[#This Row],[Отход]]/Таблица18[[#This Row],[Вес нетто]]</f>
        <v>0.16500000000000004</v>
      </c>
      <c r="V1243" s="121">
        <f>MONTH(Таблица18[[#This Row],[Дата акта]])</f>
        <v>6</v>
      </c>
      <c r="W1243" s="121">
        <v>22</v>
      </c>
      <c r="X1243" s="148">
        <f>DATE(1900,Таблица18[[#This Row],[Месяц]],Таблица18[[#This Row],[Число]])</f>
        <v>174</v>
      </c>
      <c r="Y1243" s="121"/>
      <c r="Z1243" s="121" t="str">
        <f>Таблица18[[#This Row],[Хар-ка]]</f>
        <v>высший</v>
      </c>
      <c r="AD1243" s="459"/>
      <c r="AE1243" s="391"/>
    </row>
    <row r="1244" spans="1:31" s="325" customFormat="1" ht="15.6" hidden="1" customHeight="1" x14ac:dyDescent="0.2">
      <c r="A1244" s="40" t="s">
        <v>1191</v>
      </c>
      <c r="B1244" s="360" t="s">
        <v>511</v>
      </c>
      <c r="C1244" s="40">
        <v>618</v>
      </c>
      <c r="D1244" s="40">
        <v>14</v>
      </c>
      <c r="E1244" s="40" t="s">
        <v>1167</v>
      </c>
      <c r="F1244" s="40" t="s">
        <v>1253</v>
      </c>
      <c r="G1244" s="40" t="s">
        <v>270</v>
      </c>
      <c r="H1244" s="40" t="s">
        <v>1184</v>
      </c>
      <c r="I1244" s="360" t="e">
        <f>VLOOKUP(Таблица18[[#This Row],[Номер акта]],$AB$1:$AF$1833,3,FALSE)</f>
        <v>#N/A</v>
      </c>
      <c r="J1244" s="40" t="s">
        <v>1185</v>
      </c>
      <c r="K1244" s="40" t="s">
        <v>82</v>
      </c>
      <c r="L1244" s="121">
        <v>29280</v>
      </c>
      <c r="M1244" s="121">
        <v>14830</v>
      </c>
      <c r="N1244" s="121">
        <v>14.5</v>
      </c>
      <c r="O1244" s="363">
        <v>14450</v>
      </c>
      <c r="P1244" s="363">
        <v>12354.7</v>
      </c>
      <c r="Q1244" s="121">
        <v>2025</v>
      </c>
      <c r="R1244" s="121"/>
      <c r="S1244" s="148">
        <v>45830</v>
      </c>
      <c r="T1244" s="363">
        <f>Таблица18[[#This Row],[Вес нетто]]-Таблица18[[#This Row],[Зачетный вес]]</f>
        <v>2095.2999999999993</v>
      </c>
      <c r="U1244" s="365">
        <f>Таблица18[[#This Row],[Отход]]/Таблица18[[#This Row],[Вес нетто]]</f>
        <v>0.1450034602076124</v>
      </c>
      <c r="V1244" s="121">
        <f>MONTH(Таблица18[[#This Row],[Дата акта]])</f>
        <v>6</v>
      </c>
      <c r="W1244" s="121">
        <v>22</v>
      </c>
      <c r="X1244" s="148">
        <f>DATE(1900,Таблица18[[#This Row],[Месяц]],Таблица18[[#This Row],[Число]])</f>
        <v>174</v>
      </c>
      <c r="Y1244" s="121"/>
      <c r="Z1244" s="121" t="str">
        <f>Таблица18[[#This Row],[Хар-ка]]</f>
        <v>высший</v>
      </c>
      <c r="AD1244" s="459"/>
      <c r="AE1244" s="391"/>
    </row>
    <row r="1245" spans="1:31" s="325" customFormat="1" ht="15.6" hidden="1" customHeight="1" x14ac:dyDescent="0.2">
      <c r="A1245" s="40" t="s">
        <v>1192</v>
      </c>
      <c r="B1245" s="360" t="s">
        <v>511</v>
      </c>
      <c r="C1245" s="40">
        <v>619</v>
      </c>
      <c r="D1245" s="40">
        <v>15</v>
      </c>
      <c r="E1245" s="40" t="s">
        <v>1167</v>
      </c>
      <c r="F1245" s="40" t="s">
        <v>1461</v>
      </c>
      <c r="G1245" s="40" t="s">
        <v>149</v>
      </c>
      <c r="H1245" s="40" t="s">
        <v>1184</v>
      </c>
      <c r="I1245" s="360" t="e">
        <f>VLOOKUP(Таблица18[[#This Row],[Номер акта]],$AB$1:$AF$1833,3,FALSE)</f>
        <v>#N/A</v>
      </c>
      <c r="J1245" s="40" t="s">
        <v>1185</v>
      </c>
      <c r="K1245" s="40" t="s">
        <v>82</v>
      </c>
      <c r="L1245" s="121">
        <v>29070</v>
      </c>
      <c r="M1245" s="121">
        <v>15010</v>
      </c>
      <c r="N1245" s="121">
        <v>12.5</v>
      </c>
      <c r="O1245" s="363">
        <v>14060</v>
      </c>
      <c r="P1245" s="363">
        <v>12302.5</v>
      </c>
      <c r="Q1245" s="121">
        <v>2025</v>
      </c>
      <c r="R1245" s="121"/>
      <c r="S1245" s="148">
        <v>45830</v>
      </c>
      <c r="T1245" s="363">
        <f>Таблица18[[#This Row],[Вес нетто]]-Таблица18[[#This Row],[Зачетный вес]]</f>
        <v>1757.5</v>
      </c>
      <c r="U1245" s="365">
        <f>Таблица18[[#This Row],[Отход]]/Таблица18[[#This Row],[Вес нетто]]</f>
        <v>0.125</v>
      </c>
      <c r="V1245" s="121">
        <f>MONTH(Таблица18[[#This Row],[Дата акта]])</f>
        <v>6</v>
      </c>
      <c r="W1245" s="121">
        <v>22</v>
      </c>
      <c r="X1245" s="148">
        <f>DATE(1900,Таблица18[[#This Row],[Месяц]],Таблица18[[#This Row],[Число]])</f>
        <v>174</v>
      </c>
      <c r="Y1245" s="121"/>
      <c r="Z1245" s="121" t="str">
        <f>Таблица18[[#This Row],[Хар-ка]]</f>
        <v>высший</v>
      </c>
      <c r="AD1245" s="459"/>
      <c r="AE1245" s="391"/>
    </row>
    <row r="1246" spans="1:31" s="325" customFormat="1" ht="15.6" hidden="1" customHeight="1" x14ac:dyDescent="0.2">
      <c r="A1246" s="40" t="s">
        <v>1193</v>
      </c>
      <c r="B1246" s="360" t="s">
        <v>511</v>
      </c>
      <c r="C1246" s="40">
        <v>620</v>
      </c>
      <c r="D1246" s="40">
        <v>16</v>
      </c>
      <c r="E1246" s="40" t="s">
        <v>1167</v>
      </c>
      <c r="F1246" s="40" t="s">
        <v>335</v>
      </c>
      <c r="G1246" s="40" t="s">
        <v>339</v>
      </c>
      <c r="H1246" s="40" t="s">
        <v>1184</v>
      </c>
      <c r="I1246" s="360" t="e">
        <f>VLOOKUP(Таблица18[[#This Row],[Номер акта]],$AB$1:$AF$1833,3,FALSE)</f>
        <v>#N/A</v>
      </c>
      <c r="J1246" s="40" t="s">
        <v>1185</v>
      </c>
      <c r="K1246" s="40" t="s">
        <v>82</v>
      </c>
      <c r="L1246" s="121">
        <v>27990</v>
      </c>
      <c r="M1246" s="121">
        <v>14700</v>
      </c>
      <c r="N1246" s="121">
        <v>15</v>
      </c>
      <c r="O1246" s="363">
        <v>13290</v>
      </c>
      <c r="P1246" s="363">
        <v>11296.5</v>
      </c>
      <c r="Q1246" s="121">
        <v>2025</v>
      </c>
      <c r="R1246" s="121"/>
      <c r="S1246" s="148">
        <v>45831</v>
      </c>
      <c r="T1246" s="363">
        <f>Таблица18[[#This Row],[Вес нетто]]-Таблица18[[#This Row],[Зачетный вес]]</f>
        <v>1993.5</v>
      </c>
      <c r="U1246" s="365">
        <f>Таблица18[[#This Row],[Отход]]/Таблица18[[#This Row],[Вес нетто]]</f>
        <v>0.15</v>
      </c>
      <c r="V1246" s="121">
        <f>MONTH(Таблица18[[#This Row],[Дата акта]])</f>
        <v>6</v>
      </c>
      <c r="W1246" s="121">
        <v>23</v>
      </c>
      <c r="X1246" s="148">
        <f>DATE(1900,Таблица18[[#This Row],[Месяц]],Таблица18[[#This Row],[Число]])</f>
        <v>175</v>
      </c>
      <c r="Y1246" s="121"/>
      <c r="Z1246" s="121" t="str">
        <f>Таблица18[[#This Row],[Хар-ка]]</f>
        <v>высший</v>
      </c>
      <c r="AD1246" s="459"/>
      <c r="AE1246" s="391"/>
    </row>
    <row r="1247" spans="1:31" s="325" customFormat="1" ht="15.6" hidden="1" customHeight="1" x14ac:dyDescent="0.2">
      <c r="A1247" s="40" t="s">
        <v>1194</v>
      </c>
      <c r="B1247" s="360" t="s">
        <v>511</v>
      </c>
      <c r="C1247" s="40">
        <v>621</v>
      </c>
      <c r="D1247" s="40">
        <v>17</v>
      </c>
      <c r="E1247" s="40" t="s">
        <v>1167</v>
      </c>
      <c r="F1247" s="40" t="s">
        <v>272</v>
      </c>
      <c r="G1247" s="40" t="s">
        <v>276</v>
      </c>
      <c r="H1247" s="40" t="s">
        <v>1184</v>
      </c>
      <c r="I1247" s="360" t="e">
        <f>VLOOKUP(Таблица18[[#This Row],[Номер акта]],$AB$1:$AF$1833,3,FALSE)</f>
        <v>#N/A</v>
      </c>
      <c r="J1247" s="40" t="s">
        <v>1185</v>
      </c>
      <c r="K1247" s="40" t="s">
        <v>82</v>
      </c>
      <c r="L1247" s="121">
        <v>28110</v>
      </c>
      <c r="M1247" s="121">
        <v>14730</v>
      </c>
      <c r="N1247" s="121">
        <v>20</v>
      </c>
      <c r="O1247" s="363">
        <v>13380</v>
      </c>
      <c r="P1247" s="363">
        <v>10704</v>
      </c>
      <c r="Q1247" s="121">
        <v>2025</v>
      </c>
      <c r="R1247" s="121"/>
      <c r="S1247" s="148">
        <v>45831</v>
      </c>
      <c r="T1247" s="363">
        <f>Таблица18[[#This Row],[Вес нетто]]-Таблица18[[#This Row],[Зачетный вес]]</f>
        <v>2676</v>
      </c>
      <c r="U1247" s="365">
        <f>Таблица18[[#This Row],[Отход]]/Таблица18[[#This Row],[Вес нетто]]</f>
        <v>0.2</v>
      </c>
      <c r="V1247" s="121">
        <f>MONTH(Таблица18[[#This Row],[Дата акта]])</f>
        <v>6</v>
      </c>
      <c r="W1247" s="121">
        <v>23</v>
      </c>
      <c r="X1247" s="148">
        <f>DATE(1900,Таблица18[[#This Row],[Месяц]],Таблица18[[#This Row],[Число]])</f>
        <v>175</v>
      </c>
      <c r="Y1247" s="121"/>
      <c r="Z1247" s="121" t="str">
        <f>Таблица18[[#This Row],[Хар-ка]]</f>
        <v>высший</v>
      </c>
      <c r="AD1247" s="459"/>
      <c r="AE1247" s="391"/>
    </row>
    <row r="1248" spans="1:31" s="325" customFormat="1" ht="15.6" hidden="1" customHeight="1" x14ac:dyDescent="0.2">
      <c r="A1248" s="40" t="s">
        <v>1195</v>
      </c>
      <c r="B1248" s="360" t="s">
        <v>511</v>
      </c>
      <c r="C1248" s="40">
        <v>622</v>
      </c>
      <c r="D1248" s="40">
        <v>18</v>
      </c>
      <c r="E1248" s="40" t="s">
        <v>1167</v>
      </c>
      <c r="F1248" s="40" t="s">
        <v>347</v>
      </c>
      <c r="G1248" s="40" t="s">
        <v>351</v>
      </c>
      <c r="H1248" s="40" t="s">
        <v>1184</v>
      </c>
      <c r="I1248" s="360" t="e">
        <f>VLOOKUP(Таблица18[[#This Row],[Номер акта]],$AB$1:$AF$1833,3,FALSE)</f>
        <v>#N/A</v>
      </c>
      <c r="J1248" s="40" t="s">
        <v>1185</v>
      </c>
      <c r="K1248" s="40" t="s">
        <v>82</v>
      </c>
      <c r="L1248" s="121">
        <v>31970</v>
      </c>
      <c r="M1248" s="121">
        <v>18740</v>
      </c>
      <c r="N1248" s="121">
        <v>17</v>
      </c>
      <c r="O1248" s="363">
        <v>13230</v>
      </c>
      <c r="P1248" s="363">
        <v>10980.9</v>
      </c>
      <c r="Q1248" s="121">
        <v>2025</v>
      </c>
      <c r="R1248" s="121"/>
      <c r="S1248" s="148">
        <v>45831</v>
      </c>
      <c r="T1248" s="363">
        <f>Таблица18[[#This Row],[Вес нетто]]-Таблица18[[#This Row],[Зачетный вес]]</f>
        <v>2249.1000000000004</v>
      </c>
      <c r="U1248" s="365">
        <f>Таблица18[[#This Row],[Отход]]/Таблица18[[#This Row],[Вес нетто]]</f>
        <v>0.17000000000000004</v>
      </c>
      <c r="V1248" s="121">
        <f>MONTH(Таблица18[[#This Row],[Дата акта]])</f>
        <v>6</v>
      </c>
      <c r="W1248" s="121">
        <v>23</v>
      </c>
      <c r="X1248" s="148">
        <f>DATE(1900,Таблица18[[#This Row],[Месяц]],Таблица18[[#This Row],[Число]])</f>
        <v>175</v>
      </c>
      <c r="Y1248" s="121"/>
      <c r="Z1248" s="121" t="str">
        <f>Таблица18[[#This Row],[Хар-ка]]</f>
        <v>высший</v>
      </c>
      <c r="AD1248" s="459"/>
      <c r="AE1248" s="391"/>
    </row>
    <row r="1249" spans="1:31" s="325" customFormat="1" ht="15.6" hidden="1" customHeight="1" x14ac:dyDescent="0.2">
      <c r="A1249" s="40" t="s">
        <v>1196</v>
      </c>
      <c r="B1249" s="360" t="s">
        <v>511</v>
      </c>
      <c r="C1249" s="40">
        <v>623</v>
      </c>
      <c r="D1249" s="40">
        <v>19</v>
      </c>
      <c r="E1249" s="40" t="s">
        <v>1167</v>
      </c>
      <c r="F1249" s="40" t="s">
        <v>133</v>
      </c>
      <c r="G1249" s="40" t="s">
        <v>137</v>
      </c>
      <c r="H1249" s="40" t="s">
        <v>1184</v>
      </c>
      <c r="I1249" s="360" t="e">
        <f>VLOOKUP(Таблица18[[#This Row],[Номер акта]],$AB$1:$AF$1833,3,FALSE)</f>
        <v>#N/A</v>
      </c>
      <c r="J1249" s="40" t="s">
        <v>1185</v>
      </c>
      <c r="K1249" s="40" t="s">
        <v>82</v>
      </c>
      <c r="L1249" s="121">
        <v>28090</v>
      </c>
      <c r="M1249" s="121">
        <v>14860</v>
      </c>
      <c r="N1249" s="121">
        <v>14</v>
      </c>
      <c r="O1249" s="363">
        <v>13230</v>
      </c>
      <c r="P1249" s="363">
        <v>11377.8</v>
      </c>
      <c r="Q1249" s="121">
        <v>2025</v>
      </c>
      <c r="R1249" s="121"/>
      <c r="S1249" s="148">
        <v>45831</v>
      </c>
      <c r="T1249" s="363">
        <f>Таблица18[[#This Row],[Вес нетто]]-Таблица18[[#This Row],[Зачетный вес]]</f>
        <v>1852.2000000000007</v>
      </c>
      <c r="U1249" s="365">
        <f>Таблица18[[#This Row],[Отход]]/Таблица18[[#This Row],[Вес нетто]]</f>
        <v>0.14000000000000007</v>
      </c>
      <c r="V1249" s="121">
        <f>MONTH(Таблица18[[#This Row],[Дата акта]])</f>
        <v>6</v>
      </c>
      <c r="W1249" s="121">
        <v>23</v>
      </c>
      <c r="X1249" s="148">
        <f>DATE(1900,Таблица18[[#This Row],[Месяц]],Таблица18[[#This Row],[Число]])</f>
        <v>175</v>
      </c>
      <c r="Y1249" s="121"/>
      <c r="Z1249" s="121" t="str">
        <f>Таблица18[[#This Row],[Хар-ка]]</f>
        <v>высший</v>
      </c>
      <c r="AD1249" s="459"/>
      <c r="AE1249" s="391"/>
    </row>
    <row r="1250" spans="1:31" s="325" customFormat="1" ht="15.6" hidden="1" customHeight="1" x14ac:dyDescent="0.2">
      <c r="A1250" s="40" t="s">
        <v>1197</v>
      </c>
      <c r="B1250" s="360" t="s">
        <v>511</v>
      </c>
      <c r="C1250" s="40">
        <v>624</v>
      </c>
      <c r="D1250" s="40">
        <v>20</v>
      </c>
      <c r="E1250" s="40" t="s">
        <v>1167</v>
      </c>
      <c r="F1250" s="40" t="s">
        <v>305</v>
      </c>
      <c r="G1250" s="40" t="s">
        <v>309</v>
      </c>
      <c r="H1250" s="40" t="s">
        <v>1184</v>
      </c>
      <c r="I1250" s="360" t="e">
        <f>VLOOKUP(Таблица18[[#This Row],[Номер акта]],$AB$1:$AF$1833,3,FALSE)</f>
        <v>#N/A</v>
      </c>
      <c r="J1250" s="40" t="s">
        <v>1185</v>
      </c>
      <c r="K1250" s="40" t="s">
        <v>82</v>
      </c>
      <c r="L1250" s="121">
        <v>27740</v>
      </c>
      <c r="M1250" s="121">
        <v>14420</v>
      </c>
      <c r="N1250" s="121">
        <v>11.5</v>
      </c>
      <c r="O1250" s="363">
        <v>13320</v>
      </c>
      <c r="P1250" s="363">
        <v>11788.2</v>
      </c>
      <c r="Q1250" s="121">
        <v>2025</v>
      </c>
      <c r="R1250" s="121"/>
      <c r="S1250" s="148">
        <v>45831</v>
      </c>
      <c r="T1250" s="363">
        <f>Таблица18[[#This Row],[Вес нетто]]-Таблица18[[#This Row],[Зачетный вес]]</f>
        <v>1531.7999999999993</v>
      </c>
      <c r="U1250" s="365">
        <f>Таблица18[[#This Row],[Отход]]/Таблица18[[#This Row],[Вес нетто]]</f>
        <v>0.11499999999999995</v>
      </c>
      <c r="V1250" s="121">
        <f>MONTH(Таблица18[[#This Row],[Дата акта]])</f>
        <v>6</v>
      </c>
      <c r="W1250" s="121">
        <v>23</v>
      </c>
      <c r="X1250" s="148">
        <f>DATE(1900,Таблица18[[#This Row],[Месяц]],Таблица18[[#This Row],[Число]])</f>
        <v>175</v>
      </c>
      <c r="Y1250" s="121"/>
      <c r="Z1250" s="121" t="str">
        <f>Таблица18[[#This Row],[Хар-ка]]</f>
        <v>высший</v>
      </c>
      <c r="AD1250" s="459"/>
      <c r="AE1250" s="391"/>
    </row>
    <row r="1251" spans="1:31" s="325" customFormat="1" ht="15.6" hidden="1" customHeight="1" x14ac:dyDescent="0.2">
      <c r="A1251" s="40" t="s">
        <v>1198</v>
      </c>
      <c r="B1251" s="360" t="s">
        <v>511</v>
      </c>
      <c r="C1251" s="40">
        <v>625</v>
      </c>
      <c r="D1251" s="40">
        <v>21</v>
      </c>
      <c r="E1251" s="40" t="s">
        <v>1167</v>
      </c>
      <c r="F1251" s="40" t="s">
        <v>329</v>
      </c>
      <c r="G1251" s="40" t="s">
        <v>333</v>
      </c>
      <c r="H1251" s="40" t="s">
        <v>1184</v>
      </c>
      <c r="I1251" s="360" t="e">
        <f>VLOOKUP(Таблица18[[#This Row],[Номер акта]],$AB$1:$AF$1833,3,FALSE)</f>
        <v>#N/A</v>
      </c>
      <c r="J1251" s="40" t="s">
        <v>1185</v>
      </c>
      <c r="K1251" s="40" t="s">
        <v>82</v>
      </c>
      <c r="L1251" s="121">
        <v>28190</v>
      </c>
      <c r="M1251" s="121">
        <v>15100</v>
      </c>
      <c r="N1251" s="121">
        <v>14.5</v>
      </c>
      <c r="O1251" s="363">
        <v>13090</v>
      </c>
      <c r="P1251" s="363">
        <v>11191.9</v>
      </c>
      <c r="Q1251" s="121">
        <v>2025</v>
      </c>
      <c r="R1251" s="121"/>
      <c r="S1251" s="148">
        <v>45831</v>
      </c>
      <c r="T1251" s="363">
        <f>Таблица18[[#This Row],[Вес нетто]]-Таблица18[[#This Row],[Зачетный вес]]</f>
        <v>1898.1000000000004</v>
      </c>
      <c r="U1251" s="365">
        <f>Таблица18[[#This Row],[Отход]]/Таблица18[[#This Row],[Вес нетто]]</f>
        <v>0.14500381970970208</v>
      </c>
      <c r="V1251" s="121">
        <f>MONTH(Таблица18[[#This Row],[Дата акта]])</f>
        <v>6</v>
      </c>
      <c r="W1251" s="121">
        <v>23</v>
      </c>
      <c r="X1251" s="148">
        <f>DATE(1900,Таблица18[[#This Row],[Месяц]],Таблица18[[#This Row],[Число]])</f>
        <v>175</v>
      </c>
      <c r="Y1251" s="121"/>
      <c r="Z1251" s="121" t="str">
        <f>Таблица18[[#This Row],[Хар-ка]]</f>
        <v>высший</v>
      </c>
      <c r="AD1251" s="459"/>
      <c r="AE1251" s="391"/>
    </row>
    <row r="1252" spans="1:31" s="325" customFormat="1" ht="15.6" hidden="1" customHeight="1" x14ac:dyDescent="0.2">
      <c r="A1252" s="40" t="s">
        <v>1199</v>
      </c>
      <c r="B1252" s="360" t="s">
        <v>511</v>
      </c>
      <c r="C1252" s="40">
        <v>626</v>
      </c>
      <c r="D1252" s="40">
        <v>22</v>
      </c>
      <c r="E1252" s="40" t="s">
        <v>1167</v>
      </c>
      <c r="F1252" s="40" t="s">
        <v>166</v>
      </c>
      <c r="G1252" s="40" t="s">
        <v>170</v>
      </c>
      <c r="H1252" s="40" t="s">
        <v>1184</v>
      </c>
      <c r="I1252" s="360" t="e">
        <f>VLOOKUP(Таблица18[[#This Row],[Номер акта]],$AB$1:$AF$1833,3,FALSE)</f>
        <v>#N/A</v>
      </c>
      <c r="J1252" s="40" t="s">
        <v>1185</v>
      </c>
      <c r="K1252" s="40" t="s">
        <v>82</v>
      </c>
      <c r="L1252" s="121">
        <v>28370</v>
      </c>
      <c r="M1252" s="121">
        <v>15120</v>
      </c>
      <c r="N1252" s="121">
        <v>18.5</v>
      </c>
      <c r="O1252" s="363">
        <v>13250</v>
      </c>
      <c r="P1252" s="363">
        <v>10798.7</v>
      </c>
      <c r="Q1252" s="121">
        <v>2025</v>
      </c>
      <c r="R1252" s="121"/>
      <c r="S1252" s="148">
        <v>45831</v>
      </c>
      <c r="T1252" s="363">
        <f>Таблица18[[#This Row],[Вес нетто]]-Таблица18[[#This Row],[Зачетный вес]]</f>
        <v>2451.2999999999993</v>
      </c>
      <c r="U1252" s="365">
        <f>Таблица18[[#This Row],[Отход]]/Таблица18[[#This Row],[Вес нетто]]</f>
        <v>0.18500377358490561</v>
      </c>
      <c r="V1252" s="121">
        <f>MONTH(Таблица18[[#This Row],[Дата акта]])</f>
        <v>6</v>
      </c>
      <c r="W1252" s="121">
        <v>23</v>
      </c>
      <c r="X1252" s="148">
        <f>DATE(1900,Таблица18[[#This Row],[Месяц]],Таблица18[[#This Row],[Число]])</f>
        <v>175</v>
      </c>
      <c r="Y1252" s="121"/>
      <c r="Z1252" s="121" t="str">
        <f>Таблица18[[#This Row],[Хар-ка]]</f>
        <v>высший</v>
      </c>
      <c r="AD1252" s="459"/>
      <c r="AE1252" s="391"/>
    </row>
    <row r="1253" spans="1:31" s="325" customFormat="1" ht="15.6" hidden="1" customHeight="1" x14ac:dyDescent="0.2">
      <c r="A1253" s="40" t="s">
        <v>1200</v>
      </c>
      <c r="B1253" s="360" t="s">
        <v>511</v>
      </c>
      <c r="C1253" s="40">
        <v>627</v>
      </c>
      <c r="D1253" s="40">
        <v>23</v>
      </c>
      <c r="E1253" s="40" t="s">
        <v>1167</v>
      </c>
      <c r="F1253" s="40" t="s">
        <v>1312</v>
      </c>
      <c r="G1253" s="40" t="s">
        <v>320</v>
      </c>
      <c r="H1253" s="40" t="s">
        <v>1184</v>
      </c>
      <c r="I1253" s="360" t="e">
        <f>VLOOKUP(Таблица18[[#This Row],[Номер акта]],$AB$1:$AF$1833,3,FALSE)</f>
        <v>#N/A</v>
      </c>
      <c r="J1253" s="40" t="s">
        <v>1185</v>
      </c>
      <c r="K1253" s="40" t="s">
        <v>82</v>
      </c>
      <c r="L1253" s="121">
        <v>27640</v>
      </c>
      <c r="M1253" s="121">
        <v>14440</v>
      </c>
      <c r="N1253" s="121">
        <v>23.5</v>
      </c>
      <c r="O1253" s="363">
        <v>13200</v>
      </c>
      <c r="P1253" s="363">
        <v>10098</v>
      </c>
      <c r="Q1253" s="121">
        <v>2025</v>
      </c>
      <c r="R1253" s="121"/>
      <c r="S1253" s="148">
        <v>45831</v>
      </c>
      <c r="T1253" s="363">
        <f>Таблица18[[#This Row],[Вес нетто]]-Таблица18[[#This Row],[Зачетный вес]]</f>
        <v>3102</v>
      </c>
      <c r="U1253" s="365">
        <f>Таблица18[[#This Row],[Отход]]/Таблица18[[#This Row],[Вес нетто]]</f>
        <v>0.23499999999999999</v>
      </c>
      <c r="V1253" s="121">
        <f>MONTH(Таблица18[[#This Row],[Дата акта]])</f>
        <v>6</v>
      </c>
      <c r="W1253" s="121">
        <v>23</v>
      </c>
      <c r="X1253" s="148">
        <f>DATE(1900,Таблица18[[#This Row],[Месяц]],Таблица18[[#This Row],[Число]])</f>
        <v>175</v>
      </c>
      <c r="Y1253" s="121"/>
      <c r="Z1253" s="121" t="str">
        <f>Таблица18[[#This Row],[Хар-ка]]</f>
        <v>высший</v>
      </c>
      <c r="AD1253" s="459"/>
      <c r="AE1253" s="391"/>
    </row>
    <row r="1254" spans="1:31" s="325" customFormat="1" ht="15.6" hidden="1" customHeight="1" x14ac:dyDescent="0.2">
      <c r="A1254" s="40" t="s">
        <v>1201</v>
      </c>
      <c r="B1254" s="360" t="s">
        <v>511</v>
      </c>
      <c r="C1254" s="40">
        <v>629</v>
      </c>
      <c r="D1254" s="40">
        <v>24</v>
      </c>
      <c r="E1254" s="40" t="s">
        <v>1167</v>
      </c>
      <c r="F1254" s="40" t="s">
        <v>894</v>
      </c>
      <c r="G1254" s="40" t="s">
        <v>895</v>
      </c>
      <c r="H1254" s="40" t="s">
        <v>1184</v>
      </c>
      <c r="I1254" s="360" t="e">
        <f>VLOOKUP(Таблица18[[#This Row],[Номер акта]],$AB$1:$AF$1833,3,FALSE)</f>
        <v>#N/A</v>
      </c>
      <c r="J1254" s="40" t="s">
        <v>1185</v>
      </c>
      <c r="K1254" s="40" t="s">
        <v>82</v>
      </c>
      <c r="L1254" s="121">
        <v>28240</v>
      </c>
      <c r="M1254" s="121">
        <v>14940</v>
      </c>
      <c r="N1254" s="121">
        <v>16.5</v>
      </c>
      <c r="O1254" s="363">
        <v>13300</v>
      </c>
      <c r="P1254" s="363">
        <v>11105.5</v>
      </c>
      <c r="Q1254" s="121">
        <v>2025</v>
      </c>
      <c r="R1254" s="121"/>
      <c r="S1254" s="148">
        <v>45831</v>
      </c>
      <c r="T1254" s="363">
        <f>Таблица18[[#This Row],[Вес нетто]]-Таблица18[[#This Row],[Зачетный вес]]</f>
        <v>2194.5</v>
      </c>
      <c r="U1254" s="365">
        <f>Таблица18[[#This Row],[Отход]]/Таблица18[[#This Row],[Вес нетто]]</f>
        <v>0.16500000000000001</v>
      </c>
      <c r="V1254" s="121">
        <f>MONTH(Таблица18[[#This Row],[Дата акта]])</f>
        <v>6</v>
      </c>
      <c r="W1254" s="121">
        <v>23</v>
      </c>
      <c r="X1254" s="148">
        <f>DATE(1900,Таблица18[[#This Row],[Месяц]],Таблица18[[#This Row],[Число]])</f>
        <v>175</v>
      </c>
      <c r="Y1254" s="121"/>
      <c r="Z1254" s="121" t="str">
        <f>Таблица18[[#This Row],[Хар-ка]]</f>
        <v>высший</v>
      </c>
      <c r="AD1254" s="459"/>
      <c r="AE1254" s="391"/>
    </row>
    <row r="1255" spans="1:31" s="325" customFormat="1" ht="15.6" hidden="1" customHeight="1" x14ac:dyDescent="0.2">
      <c r="A1255" s="40" t="s">
        <v>1247</v>
      </c>
      <c r="B1255" s="360" t="s">
        <v>511</v>
      </c>
      <c r="C1255" s="40">
        <v>633</v>
      </c>
      <c r="D1255" s="40">
        <v>25</v>
      </c>
      <c r="E1255" s="40" t="s">
        <v>1167</v>
      </c>
      <c r="F1255" s="40" t="s">
        <v>1151</v>
      </c>
      <c r="G1255" s="40" t="s">
        <v>145</v>
      </c>
      <c r="H1255" s="40" t="s">
        <v>1184</v>
      </c>
      <c r="I1255" s="360" t="e">
        <f>VLOOKUP(Таблица18[[#This Row],[Номер акта]],$AB$1:$AF$1833,3,FALSE)</f>
        <v>#N/A</v>
      </c>
      <c r="J1255" s="40" t="s">
        <v>1185</v>
      </c>
      <c r="K1255" s="40" t="s">
        <v>82</v>
      </c>
      <c r="L1255" s="121">
        <v>29240</v>
      </c>
      <c r="M1255" s="121">
        <v>15610</v>
      </c>
      <c r="N1255" s="121">
        <v>16.5</v>
      </c>
      <c r="O1255" s="363">
        <v>13630</v>
      </c>
      <c r="P1255" s="363">
        <v>11381</v>
      </c>
      <c r="Q1255" s="121">
        <v>2025</v>
      </c>
      <c r="R1255" s="121"/>
      <c r="S1255" s="148">
        <v>45831</v>
      </c>
      <c r="T1255" s="363">
        <f>Таблица18[[#This Row],[Вес нетто]]-Таблица18[[#This Row],[Зачетный вес]]</f>
        <v>2249</v>
      </c>
      <c r="U1255" s="365">
        <f>Таблица18[[#This Row],[Отход]]/Таблица18[[#This Row],[Вес нетто]]</f>
        <v>0.16500366837857666</v>
      </c>
      <c r="V1255" s="121">
        <f>MONTH(Таблица18[[#This Row],[Дата акта]])</f>
        <v>6</v>
      </c>
      <c r="W1255" s="121">
        <v>23</v>
      </c>
      <c r="X1255" s="148">
        <f>DATE(1900,Таблица18[[#This Row],[Месяц]],Таблица18[[#This Row],[Число]])</f>
        <v>175</v>
      </c>
      <c r="Y1255" s="121"/>
      <c r="Z1255" s="121" t="str">
        <f>Таблица18[[#This Row],[Хар-ка]]</f>
        <v>высший</v>
      </c>
      <c r="AD1255" s="459"/>
      <c r="AE1255" s="391"/>
    </row>
    <row r="1256" spans="1:31" s="325" customFormat="1" ht="15.6" hidden="1" customHeight="1" x14ac:dyDescent="0.2">
      <c r="A1256" s="40" t="s">
        <v>1254</v>
      </c>
      <c r="B1256" s="360" t="s">
        <v>833</v>
      </c>
      <c r="C1256" s="40">
        <v>496</v>
      </c>
      <c r="D1256" s="40" t="s">
        <v>1277</v>
      </c>
      <c r="E1256" s="40" t="s">
        <v>914</v>
      </c>
      <c r="F1256" s="40" t="s">
        <v>234</v>
      </c>
      <c r="G1256" s="40" t="s">
        <v>1255</v>
      </c>
      <c r="H1256" s="40">
        <v>14</v>
      </c>
      <c r="I1256" s="360" t="e">
        <f>VLOOKUP(Таблица18[[#This Row],[Номер акта]],$AB$1:$AF$1833,3,FALSE)</f>
        <v>#N/A</v>
      </c>
      <c r="J1256" s="40" t="s">
        <v>909</v>
      </c>
      <c r="K1256" s="40" t="s">
        <v>82</v>
      </c>
      <c r="L1256" s="121">
        <v>32320</v>
      </c>
      <c r="M1256" s="121">
        <v>15660</v>
      </c>
      <c r="N1256" s="121">
        <v>17.5</v>
      </c>
      <c r="O1256" s="363">
        <v>16660</v>
      </c>
      <c r="P1256" s="363">
        <v>13744</v>
      </c>
      <c r="Q1256" s="121">
        <v>2025</v>
      </c>
      <c r="R1256" s="121"/>
      <c r="S1256" s="148">
        <v>45828</v>
      </c>
      <c r="T1256" s="363">
        <f>Таблица18[[#This Row],[Вес нетто]]-Таблица18[[#This Row],[Зачетный вес]]</f>
        <v>2916</v>
      </c>
      <c r="U1256" s="365">
        <f>Таблица18[[#This Row],[Отход]]/Таблица18[[#This Row],[Вес нетто]]</f>
        <v>0.17503001200480192</v>
      </c>
      <c r="V1256" s="121">
        <f>MONTH(Таблица18[[#This Row],[Дата акта]])</f>
        <v>6</v>
      </c>
      <c r="W1256" s="121">
        <v>20</v>
      </c>
      <c r="X1256" s="148">
        <f>DATE(1900,Таблица18[[#This Row],[Месяц]],Таблица18[[#This Row],[Число]])</f>
        <v>172</v>
      </c>
      <c r="Y1256" s="121"/>
      <c r="Z1256" s="121" t="str">
        <f>Таблица18[[#This Row],[Хар-ка]]</f>
        <v>второй</v>
      </c>
      <c r="AD1256" s="459"/>
      <c r="AE1256" s="391"/>
    </row>
    <row r="1257" spans="1:31" s="325" customFormat="1" ht="15.6" hidden="1" customHeight="1" x14ac:dyDescent="0.2">
      <c r="A1257" s="40" t="s">
        <v>1256</v>
      </c>
      <c r="B1257" s="360" t="s">
        <v>833</v>
      </c>
      <c r="C1257" s="40">
        <v>496</v>
      </c>
      <c r="D1257" s="40" t="s">
        <v>1278</v>
      </c>
      <c r="E1257" s="40" t="s">
        <v>914</v>
      </c>
      <c r="F1257" s="40" t="s">
        <v>262</v>
      </c>
      <c r="G1257" s="40" t="s">
        <v>266</v>
      </c>
      <c r="H1257" s="40">
        <v>14</v>
      </c>
      <c r="I1257" s="360" t="e">
        <f>VLOOKUP(Таблица18[[#This Row],[Номер акта]],$AB$1:$AF$1833,3,FALSE)</f>
        <v>#N/A</v>
      </c>
      <c r="J1257" s="40" t="s">
        <v>909</v>
      </c>
      <c r="K1257" s="40" t="s">
        <v>82</v>
      </c>
      <c r="L1257" s="121">
        <v>30280</v>
      </c>
      <c r="M1257" s="121">
        <v>15000</v>
      </c>
      <c r="N1257" s="121">
        <v>13.8</v>
      </c>
      <c r="O1257" s="363">
        <v>15280</v>
      </c>
      <c r="P1257" s="363">
        <v>13168</v>
      </c>
      <c r="Q1257" s="121">
        <v>2025</v>
      </c>
      <c r="R1257" s="121"/>
      <c r="S1257" s="148">
        <v>45828</v>
      </c>
      <c r="T1257" s="363">
        <f>Таблица18[[#This Row],[Вес нетто]]-Таблица18[[#This Row],[Зачетный вес]]</f>
        <v>2112</v>
      </c>
      <c r="U1257" s="365">
        <f>Таблица18[[#This Row],[Отход]]/Таблица18[[#This Row],[Вес нетто]]</f>
        <v>0.13821989528795811</v>
      </c>
      <c r="V1257" s="121">
        <f>MONTH(Таблица18[[#This Row],[Дата акта]])</f>
        <v>6</v>
      </c>
      <c r="W1257" s="121">
        <v>20</v>
      </c>
      <c r="X1257" s="148">
        <f>DATE(1900,Таблица18[[#This Row],[Месяц]],Таблица18[[#This Row],[Число]])</f>
        <v>172</v>
      </c>
      <c r="Y1257" s="121"/>
      <c r="Z1257" s="121" t="str">
        <f>Таблица18[[#This Row],[Хар-ка]]</f>
        <v>второй</v>
      </c>
      <c r="AD1257" s="459"/>
      <c r="AE1257" s="391"/>
    </row>
    <row r="1258" spans="1:31" s="325" customFormat="1" ht="15.6" hidden="1" customHeight="1" x14ac:dyDescent="0.2">
      <c r="A1258" s="40" t="s">
        <v>1257</v>
      </c>
      <c r="B1258" s="360" t="s">
        <v>833</v>
      </c>
      <c r="C1258" s="40">
        <v>496</v>
      </c>
      <c r="D1258" s="40" t="s">
        <v>1279</v>
      </c>
      <c r="E1258" s="40" t="s">
        <v>914</v>
      </c>
      <c r="F1258" s="40" t="s">
        <v>111</v>
      </c>
      <c r="G1258" s="40" t="s">
        <v>114</v>
      </c>
      <c r="H1258" s="40">
        <v>14</v>
      </c>
      <c r="I1258" s="360" t="e">
        <f>VLOOKUP(Таблица18[[#This Row],[Номер акта]],$AB$1:$AF$1833,3,FALSE)</f>
        <v>#N/A</v>
      </c>
      <c r="J1258" s="40" t="s">
        <v>909</v>
      </c>
      <c r="K1258" s="40" t="s">
        <v>82</v>
      </c>
      <c r="L1258" s="121">
        <v>31760</v>
      </c>
      <c r="M1258" s="121">
        <v>15600</v>
      </c>
      <c r="N1258" s="121">
        <v>19.899999999999999</v>
      </c>
      <c r="O1258" s="363">
        <v>16160</v>
      </c>
      <c r="P1258" s="363">
        <v>12949</v>
      </c>
      <c r="Q1258" s="121">
        <v>2025</v>
      </c>
      <c r="R1258" s="121"/>
      <c r="S1258" s="148">
        <v>45828</v>
      </c>
      <c r="T1258" s="363">
        <f>Таблица18[[#This Row],[Вес нетто]]-Таблица18[[#This Row],[Зачетный вес]]</f>
        <v>3211</v>
      </c>
      <c r="U1258" s="365">
        <f>Таблица18[[#This Row],[Отход]]/Таблица18[[#This Row],[Вес нетто]]</f>
        <v>0.19870049504950496</v>
      </c>
      <c r="V1258" s="121">
        <f>MONTH(Таблица18[[#This Row],[Дата акта]])</f>
        <v>6</v>
      </c>
      <c r="W1258" s="121">
        <v>20</v>
      </c>
      <c r="X1258" s="148">
        <f>DATE(1900,Таблица18[[#This Row],[Месяц]],Таблица18[[#This Row],[Число]])</f>
        <v>172</v>
      </c>
      <c r="Y1258" s="121"/>
      <c r="Z1258" s="121" t="str">
        <f>Таблица18[[#This Row],[Хар-ка]]</f>
        <v>второй</v>
      </c>
      <c r="AD1258" s="459"/>
      <c r="AE1258" s="391"/>
    </row>
    <row r="1259" spans="1:31" s="325" customFormat="1" ht="15.6" hidden="1" customHeight="1" x14ac:dyDescent="0.2">
      <c r="A1259" s="40" t="s">
        <v>1258</v>
      </c>
      <c r="B1259" s="360" t="s">
        <v>511</v>
      </c>
      <c r="C1259" s="40">
        <v>637</v>
      </c>
      <c r="D1259" s="40">
        <v>26</v>
      </c>
      <c r="E1259" s="40" t="s">
        <v>1167</v>
      </c>
      <c r="F1259" s="40" t="s">
        <v>212</v>
      </c>
      <c r="G1259" s="40" t="s">
        <v>216</v>
      </c>
      <c r="H1259" s="40" t="s">
        <v>1184</v>
      </c>
      <c r="I1259" s="360" t="e">
        <f>VLOOKUP(Таблица18[[#This Row],[Номер акта]],$AB$1:$AF$1833,3,FALSE)</f>
        <v>#N/A</v>
      </c>
      <c r="J1259" s="40" t="s">
        <v>1185</v>
      </c>
      <c r="K1259" s="40" t="s">
        <v>82</v>
      </c>
      <c r="L1259" s="121">
        <v>27950</v>
      </c>
      <c r="M1259" s="121">
        <v>14000</v>
      </c>
      <c r="N1259" s="121">
        <v>19.5</v>
      </c>
      <c r="O1259" s="363">
        <v>13950</v>
      </c>
      <c r="P1259" s="363">
        <v>11229.7</v>
      </c>
      <c r="Q1259" s="121">
        <v>2025</v>
      </c>
      <c r="R1259" s="121"/>
      <c r="S1259" s="148">
        <v>45831</v>
      </c>
      <c r="T1259" s="363">
        <f>Таблица18[[#This Row],[Вес нетто]]-Таблица18[[#This Row],[Зачетный вес]]</f>
        <v>2720.2999999999993</v>
      </c>
      <c r="U1259" s="365">
        <f>Таблица18[[#This Row],[Отход]]/Таблица18[[#This Row],[Вес нетто]]</f>
        <v>0.19500358422939063</v>
      </c>
      <c r="V1259" s="121">
        <f>MONTH(Таблица18[[#This Row],[Дата акта]])</f>
        <v>6</v>
      </c>
      <c r="W1259" s="121">
        <v>23</v>
      </c>
      <c r="X1259" s="148">
        <f>DATE(1900,Таблица18[[#This Row],[Месяц]],Таблица18[[#This Row],[Число]])</f>
        <v>175</v>
      </c>
      <c r="Y1259" s="121"/>
      <c r="Z1259" s="121" t="str">
        <f>Таблица18[[#This Row],[Хар-ка]]</f>
        <v>высший</v>
      </c>
      <c r="AD1259" s="459"/>
      <c r="AE1259" s="391"/>
    </row>
    <row r="1260" spans="1:31" s="325" customFormat="1" ht="15.6" hidden="1" customHeight="1" x14ac:dyDescent="0.2">
      <c r="A1260" s="40" t="s">
        <v>1259</v>
      </c>
      <c r="B1260" s="360" t="s">
        <v>511</v>
      </c>
      <c r="C1260" s="40">
        <v>638</v>
      </c>
      <c r="D1260" s="40">
        <v>28</v>
      </c>
      <c r="E1260" s="40" t="s">
        <v>1167</v>
      </c>
      <c r="F1260" s="40" t="s">
        <v>1152</v>
      </c>
      <c r="G1260" s="40" t="s">
        <v>119</v>
      </c>
      <c r="H1260" s="40" t="s">
        <v>1168</v>
      </c>
      <c r="I1260" s="360" t="e">
        <f>VLOOKUP(Таблица18[[#This Row],[Номер акта]],$AB$1:$AF$1833,3,FALSE)</f>
        <v>#N/A</v>
      </c>
      <c r="J1260" s="40" t="s">
        <v>1185</v>
      </c>
      <c r="K1260" s="40" t="s">
        <v>82</v>
      </c>
      <c r="L1260" s="121">
        <v>35190</v>
      </c>
      <c r="M1260" s="121">
        <v>21180</v>
      </c>
      <c r="N1260" s="121">
        <v>22.5</v>
      </c>
      <c r="O1260" s="363">
        <v>14010</v>
      </c>
      <c r="P1260" s="363">
        <v>10857.7</v>
      </c>
      <c r="Q1260" s="121">
        <v>2025</v>
      </c>
      <c r="R1260" s="121"/>
      <c r="S1260" s="148">
        <v>45831</v>
      </c>
      <c r="T1260" s="363">
        <f>Таблица18[[#This Row],[Вес нетто]]-Таблица18[[#This Row],[Зачетный вес]]</f>
        <v>3152.2999999999993</v>
      </c>
      <c r="U1260" s="365">
        <f>Таблица18[[#This Row],[Отход]]/Таблица18[[#This Row],[Вес нетто]]</f>
        <v>0.22500356887937181</v>
      </c>
      <c r="V1260" s="121">
        <f>MONTH(Таблица18[[#This Row],[Дата акта]])</f>
        <v>6</v>
      </c>
      <c r="W1260" s="121">
        <v>23</v>
      </c>
      <c r="X1260" s="148">
        <f>DATE(1900,Таблица18[[#This Row],[Месяц]],Таблица18[[#This Row],[Число]])</f>
        <v>175</v>
      </c>
      <c r="Y1260" s="121"/>
      <c r="Z1260" s="121" t="str">
        <f>Таблица18[[#This Row],[Хар-ка]]</f>
        <v>высший</v>
      </c>
      <c r="AD1260" s="459"/>
      <c r="AE1260" s="391"/>
    </row>
    <row r="1261" spans="1:31" s="325" customFormat="1" ht="15.6" hidden="1" customHeight="1" x14ac:dyDescent="0.2">
      <c r="A1261" s="40" t="s">
        <v>1260</v>
      </c>
      <c r="B1261" s="360" t="s">
        <v>511</v>
      </c>
      <c r="C1261" s="40">
        <v>639</v>
      </c>
      <c r="D1261" s="40">
        <v>27</v>
      </c>
      <c r="E1261" s="40" t="s">
        <v>1167</v>
      </c>
      <c r="F1261" s="40" t="s">
        <v>151</v>
      </c>
      <c r="G1261" s="40" t="s">
        <v>155</v>
      </c>
      <c r="H1261" s="40" t="s">
        <v>1168</v>
      </c>
      <c r="I1261" s="360" t="e">
        <f>VLOOKUP(Таблица18[[#This Row],[Номер акта]],$AB$1:$AF$1833,3,FALSE)</f>
        <v>#N/A</v>
      </c>
      <c r="J1261" s="40" t="s">
        <v>1185</v>
      </c>
      <c r="K1261" s="40" t="s">
        <v>82</v>
      </c>
      <c r="L1261" s="121">
        <v>28910</v>
      </c>
      <c r="M1261" s="121">
        <v>14960</v>
      </c>
      <c r="N1261" s="121">
        <v>15</v>
      </c>
      <c r="O1261" s="363">
        <v>13950</v>
      </c>
      <c r="P1261" s="363">
        <v>11857.5</v>
      </c>
      <c r="Q1261" s="121">
        <v>2025</v>
      </c>
      <c r="R1261" s="121"/>
      <c r="S1261" s="148">
        <v>45831</v>
      </c>
      <c r="T1261" s="363">
        <f>Таблица18[[#This Row],[Вес нетто]]-Таблица18[[#This Row],[Зачетный вес]]</f>
        <v>2092.5</v>
      </c>
      <c r="U1261" s="365">
        <f>Таблица18[[#This Row],[Отход]]/Таблица18[[#This Row],[Вес нетто]]</f>
        <v>0.15</v>
      </c>
      <c r="V1261" s="121">
        <f>MONTH(Таблица18[[#This Row],[Дата акта]])</f>
        <v>6</v>
      </c>
      <c r="W1261" s="121">
        <v>23</v>
      </c>
      <c r="X1261" s="148">
        <f>DATE(1900,Таблица18[[#This Row],[Месяц]],Таблица18[[#This Row],[Число]])</f>
        <v>175</v>
      </c>
      <c r="Y1261" s="121"/>
      <c r="Z1261" s="121" t="str">
        <f>Таблица18[[#This Row],[Хар-ка]]</f>
        <v>высший</v>
      </c>
      <c r="AD1261" s="459"/>
      <c r="AE1261" s="391"/>
    </row>
    <row r="1262" spans="1:31" s="325" customFormat="1" ht="15.6" hidden="1" customHeight="1" x14ac:dyDescent="0.2">
      <c r="A1262" s="40" t="s">
        <v>1261</v>
      </c>
      <c r="B1262" s="360" t="s">
        <v>511</v>
      </c>
      <c r="C1262" s="40">
        <v>640</v>
      </c>
      <c r="D1262" s="40">
        <v>29</v>
      </c>
      <c r="E1262" s="40" t="s">
        <v>1167</v>
      </c>
      <c r="F1262" s="40" t="s">
        <v>160</v>
      </c>
      <c r="G1262" s="40" t="s">
        <v>164</v>
      </c>
      <c r="H1262" s="40" t="s">
        <v>1168</v>
      </c>
      <c r="I1262" s="360" t="e">
        <f>VLOOKUP(Таблица18[[#This Row],[Номер акта]],$AB$1:$AF$1833,3,FALSE)</f>
        <v>#N/A</v>
      </c>
      <c r="J1262" s="40" t="s">
        <v>1185</v>
      </c>
      <c r="K1262" s="40" t="s">
        <v>82</v>
      </c>
      <c r="L1262" s="121">
        <v>37910</v>
      </c>
      <c r="M1262" s="121">
        <v>24140</v>
      </c>
      <c r="N1262" s="121">
        <v>15.5</v>
      </c>
      <c r="O1262" s="363">
        <v>13770</v>
      </c>
      <c r="P1262" s="363">
        <v>11635.6</v>
      </c>
      <c r="Q1262" s="121">
        <v>2025</v>
      </c>
      <c r="R1262" s="121"/>
      <c r="S1262" s="148">
        <v>45831</v>
      </c>
      <c r="T1262" s="363">
        <f>Таблица18[[#This Row],[Вес нетто]]-Таблица18[[#This Row],[Зачетный вес]]</f>
        <v>2134.3999999999996</v>
      </c>
      <c r="U1262" s="365">
        <f>Таблица18[[#This Row],[Отход]]/Таблица18[[#This Row],[Вес нетто]]</f>
        <v>0.15500363108206242</v>
      </c>
      <c r="V1262" s="121">
        <f>MONTH(Таблица18[[#This Row],[Дата акта]])</f>
        <v>6</v>
      </c>
      <c r="W1262" s="121">
        <v>23</v>
      </c>
      <c r="X1262" s="148">
        <f>DATE(1900,Таблица18[[#This Row],[Месяц]],Таблица18[[#This Row],[Число]])</f>
        <v>175</v>
      </c>
      <c r="Y1262" s="121"/>
      <c r="Z1262" s="121" t="str">
        <f>Таблица18[[#This Row],[Хар-ка]]</f>
        <v>высший</v>
      </c>
      <c r="AD1262" s="459"/>
      <c r="AE1262" s="391"/>
    </row>
    <row r="1263" spans="1:31" s="325" customFormat="1" ht="15.6" hidden="1" customHeight="1" x14ac:dyDescent="0.2">
      <c r="A1263" s="40" t="s">
        <v>1262</v>
      </c>
      <c r="B1263" s="360" t="s">
        <v>511</v>
      </c>
      <c r="C1263" s="40">
        <v>641</v>
      </c>
      <c r="D1263" s="40">
        <v>30</v>
      </c>
      <c r="E1263" s="40" t="s">
        <v>1167</v>
      </c>
      <c r="F1263" s="40" t="s">
        <v>311</v>
      </c>
      <c r="G1263" s="40" t="s">
        <v>315</v>
      </c>
      <c r="H1263" s="40" t="s">
        <v>1168</v>
      </c>
      <c r="I1263" s="360" t="e">
        <f>VLOOKUP(Таблица18[[#This Row],[Номер акта]],$AB$1:$AF$1833,3,FALSE)</f>
        <v>#N/A</v>
      </c>
      <c r="J1263" s="40" t="s">
        <v>1185</v>
      </c>
      <c r="K1263" s="40" t="s">
        <v>82</v>
      </c>
      <c r="L1263" s="121">
        <v>28840</v>
      </c>
      <c r="M1263" s="121">
        <v>15080</v>
      </c>
      <c r="N1263" s="121">
        <v>18.5</v>
      </c>
      <c r="O1263" s="363">
        <v>13760</v>
      </c>
      <c r="P1263" s="363">
        <v>11214.4</v>
      </c>
      <c r="Q1263" s="121">
        <v>2025</v>
      </c>
      <c r="R1263" s="121"/>
      <c r="S1263" s="148">
        <v>45831</v>
      </c>
      <c r="T1263" s="363">
        <f>Таблица18[[#This Row],[Вес нетто]]-Таблица18[[#This Row],[Зачетный вес]]</f>
        <v>2545.6000000000004</v>
      </c>
      <c r="U1263" s="365">
        <f>Таблица18[[#This Row],[Отход]]/Таблица18[[#This Row],[Вес нетто]]</f>
        <v>0.18500000000000003</v>
      </c>
      <c r="V1263" s="121">
        <f>MONTH(Таблица18[[#This Row],[Дата акта]])</f>
        <v>6</v>
      </c>
      <c r="W1263" s="121">
        <v>23</v>
      </c>
      <c r="X1263" s="148">
        <f>DATE(1900,Таблица18[[#This Row],[Месяц]],Таблица18[[#This Row],[Число]])</f>
        <v>175</v>
      </c>
      <c r="Y1263" s="121"/>
      <c r="Z1263" s="121" t="str">
        <f>Таблица18[[#This Row],[Хар-ка]]</f>
        <v>высший</v>
      </c>
      <c r="AD1263" s="459"/>
      <c r="AE1263" s="391"/>
    </row>
    <row r="1264" spans="1:31" s="325" customFormat="1" ht="15.6" hidden="1" customHeight="1" x14ac:dyDescent="0.2">
      <c r="A1264" s="40" t="s">
        <v>1263</v>
      </c>
      <c r="B1264" s="360" t="s">
        <v>511</v>
      </c>
      <c r="C1264" s="40">
        <v>642</v>
      </c>
      <c r="D1264" s="40">
        <v>31</v>
      </c>
      <c r="E1264" s="40" t="s">
        <v>1167</v>
      </c>
      <c r="F1264" s="40" t="s">
        <v>1253</v>
      </c>
      <c r="G1264" s="40" t="s">
        <v>270</v>
      </c>
      <c r="H1264" s="40" t="s">
        <v>1168</v>
      </c>
      <c r="I1264" s="360" t="e">
        <f>VLOOKUP(Таблица18[[#This Row],[Номер акта]],$AB$1:$AF$1833,3,FALSE)</f>
        <v>#N/A</v>
      </c>
      <c r="J1264" s="40" t="s">
        <v>1185</v>
      </c>
      <c r="K1264" s="40" t="s">
        <v>82</v>
      </c>
      <c r="L1264" s="121">
        <v>28290</v>
      </c>
      <c r="M1264" s="121">
        <v>14910</v>
      </c>
      <c r="N1264" s="121">
        <v>18.5</v>
      </c>
      <c r="O1264" s="363">
        <v>13380</v>
      </c>
      <c r="P1264" s="363">
        <v>10904.7</v>
      </c>
      <c r="Q1264" s="121">
        <v>2025</v>
      </c>
      <c r="R1264" s="121"/>
      <c r="S1264" s="148">
        <v>45831</v>
      </c>
      <c r="T1264" s="363">
        <f>Таблица18[[#This Row],[Вес нетто]]-Таблица18[[#This Row],[Зачетный вес]]</f>
        <v>2475.2999999999993</v>
      </c>
      <c r="U1264" s="365">
        <f>Таблица18[[#This Row],[Отход]]/Таблица18[[#This Row],[Вес нетто]]</f>
        <v>0.18499999999999994</v>
      </c>
      <c r="V1264" s="121">
        <f>MONTH(Таблица18[[#This Row],[Дата акта]])</f>
        <v>6</v>
      </c>
      <c r="W1264" s="121">
        <v>23</v>
      </c>
      <c r="X1264" s="148">
        <f>DATE(1900,Таблица18[[#This Row],[Месяц]],Таблица18[[#This Row],[Число]])</f>
        <v>175</v>
      </c>
      <c r="Y1264" s="121"/>
      <c r="Z1264" s="121" t="str">
        <f>Таблица18[[#This Row],[Хар-ка]]</f>
        <v>высший</v>
      </c>
      <c r="AD1264" s="459"/>
      <c r="AE1264" s="391"/>
    </row>
    <row r="1265" spans="1:31" s="325" customFormat="1" ht="15.6" hidden="1" customHeight="1" x14ac:dyDescent="0.2">
      <c r="A1265" s="40" t="s">
        <v>1264</v>
      </c>
      <c r="B1265" s="360" t="s">
        <v>511</v>
      </c>
      <c r="C1265" s="40">
        <v>643</v>
      </c>
      <c r="D1265" s="40">
        <v>32</v>
      </c>
      <c r="E1265" s="40" t="s">
        <v>1167</v>
      </c>
      <c r="F1265" s="40" t="s">
        <v>234</v>
      </c>
      <c r="G1265" s="40" t="s">
        <v>238</v>
      </c>
      <c r="H1265" s="40" t="s">
        <v>1168</v>
      </c>
      <c r="I1265" s="360" t="e">
        <f>VLOOKUP(Таблица18[[#This Row],[Номер акта]],$AB$1:$AF$1833,3,FALSE)</f>
        <v>#N/A</v>
      </c>
      <c r="J1265" s="40" t="s">
        <v>1185</v>
      </c>
      <c r="K1265" s="40" t="s">
        <v>82</v>
      </c>
      <c r="L1265" s="121">
        <v>28630</v>
      </c>
      <c r="M1265" s="121">
        <v>15800</v>
      </c>
      <c r="N1265" s="121">
        <v>17.5</v>
      </c>
      <c r="O1265" s="363">
        <v>12830</v>
      </c>
      <c r="P1265" s="363">
        <v>10584.7</v>
      </c>
      <c r="Q1265" s="121">
        <v>2025</v>
      </c>
      <c r="R1265" s="121"/>
      <c r="S1265" s="148">
        <v>45831</v>
      </c>
      <c r="T1265" s="363">
        <f>Таблица18[[#This Row],[Вес нетто]]-Таблица18[[#This Row],[Зачетный вес]]</f>
        <v>2245.2999999999993</v>
      </c>
      <c r="U1265" s="365">
        <f>Таблица18[[#This Row],[Отход]]/Таблица18[[#This Row],[Вес нетто]]</f>
        <v>0.17500389711613401</v>
      </c>
      <c r="V1265" s="121">
        <f>MONTH(Таблица18[[#This Row],[Дата акта]])</f>
        <v>6</v>
      </c>
      <c r="W1265" s="121">
        <v>23</v>
      </c>
      <c r="X1265" s="148">
        <f>DATE(1900,Таблица18[[#This Row],[Месяц]],Таблица18[[#This Row],[Число]])</f>
        <v>175</v>
      </c>
      <c r="Y1265" s="121"/>
      <c r="Z1265" s="121" t="str">
        <f>Таблица18[[#This Row],[Хар-ка]]</f>
        <v>высший</v>
      </c>
      <c r="AD1265" s="459"/>
      <c r="AE1265" s="391"/>
    </row>
    <row r="1266" spans="1:31" s="325" customFormat="1" ht="15.6" hidden="1" customHeight="1" x14ac:dyDescent="0.2">
      <c r="A1266" s="40" t="s">
        <v>1272</v>
      </c>
      <c r="B1266" s="360" t="s">
        <v>511</v>
      </c>
      <c r="C1266" s="40">
        <v>647</v>
      </c>
      <c r="D1266" s="40">
        <v>33</v>
      </c>
      <c r="E1266" s="40" t="s">
        <v>1167</v>
      </c>
      <c r="F1266" s="40" t="s">
        <v>1461</v>
      </c>
      <c r="G1266" s="40" t="s">
        <v>149</v>
      </c>
      <c r="H1266" s="40" t="s">
        <v>1168</v>
      </c>
      <c r="I1266" s="360" t="e">
        <f>VLOOKUP(Таблица18[[#This Row],[Номер акта]],$AB$1:$AF$1833,3,FALSE)</f>
        <v>#N/A</v>
      </c>
      <c r="J1266" s="40" t="s">
        <v>1185</v>
      </c>
      <c r="K1266" s="40" t="s">
        <v>82</v>
      </c>
      <c r="L1266" s="121">
        <v>28570</v>
      </c>
      <c r="M1266" s="121">
        <v>15040</v>
      </c>
      <c r="N1266" s="121">
        <v>16</v>
      </c>
      <c r="O1266" s="363">
        <v>13530</v>
      </c>
      <c r="P1266" s="363">
        <v>11365.2</v>
      </c>
      <c r="Q1266" s="121">
        <v>2025</v>
      </c>
      <c r="R1266" s="121"/>
      <c r="S1266" s="148">
        <v>45832</v>
      </c>
      <c r="T1266" s="363">
        <f>Таблица18[[#This Row],[Вес нетто]]-Таблица18[[#This Row],[Зачетный вес]]</f>
        <v>2164.7999999999993</v>
      </c>
      <c r="U1266" s="365">
        <f>Таблица18[[#This Row],[Отход]]/Таблица18[[#This Row],[Вес нетто]]</f>
        <v>0.15999999999999995</v>
      </c>
      <c r="V1266" s="121">
        <f>MONTH(Таблица18[[#This Row],[Дата акта]])</f>
        <v>6</v>
      </c>
      <c r="W1266" s="121">
        <v>24</v>
      </c>
      <c r="X1266" s="148">
        <f>DATE(1900,Таблица18[[#This Row],[Месяц]],Таблица18[[#This Row],[Число]])</f>
        <v>176</v>
      </c>
      <c r="Y1266" s="121"/>
      <c r="Z1266" s="121" t="str">
        <f>Таблица18[[#This Row],[Хар-ка]]</f>
        <v>высший</v>
      </c>
      <c r="AD1266" s="459"/>
      <c r="AE1266" s="391"/>
    </row>
    <row r="1267" spans="1:31" s="325" customFormat="1" ht="15.6" hidden="1" customHeight="1" x14ac:dyDescent="0.2">
      <c r="A1267" s="40" t="s">
        <v>1273</v>
      </c>
      <c r="B1267" s="360" t="s">
        <v>511</v>
      </c>
      <c r="C1267" s="40">
        <v>648</v>
      </c>
      <c r="D1267" s="40">
        <v>34</v>
      </c>
      <c r="E1267" s="40" t="s">
        <v>1167</v>
      </c>
      <c r="F1267" s="40" t="s">
        <v>335</v>
      </c>
      <c r="G1267" s="40" t="s">
        <v>339</v>
      </c>
      <c r="H1267" s="40" t="s">
        <v>1168</v>
      </c>
      <c r="I1267" s="360" t="e">
        <f>VLOOKUP(Таблица18[[#This Row],[Номер акта]],$AB$1:$AF$1833,3,FALSE)</f>
        <v>#N/A</v>
      </c>
      <c r="J1267" s="40" t="s">
        <v>901</v>
      </c>
      <c r="K1267" s="40" t="s">
        <v>82</v>
      </c>
      <c r="L1267" s="121">
        <v>28260</v>
      </c>
      <c r="M1267" s="121">
        <v>21400</v>
      </c>
      <c r="N1267" s="121">
        <v>14</v>
      </c>
      <c r="O1267" s="363">
        <v>6860</v>
      </c>
      <c r="P1267" s="363">
        <v>5899.6</v>
      </c>
      <c r="Q1267" s="121">
        <v>2025</v>
      </c>
      <c r="R1267" s="121"/>
      <c r="S1267" s="148">
        <v>45832</v>
      </c>
      <c r="T1267" s="363">
        <f>Таблица18[[#This Row],[Вес нетто]]-Таблица18[[#This Row],[Зачетный вес]]</f>
        <v>960.39999999999964</v>
      </c>
      <c r="U1267" s="365">
        <f>Таблица18[[#This Row],[Отход]]/Таблица18[[#This Row],[Вес нетто]]</f>
        <v>0.13999999999999996</v>
      </c>
      <c r="V1267" s="121">
        <f>MONTH(Таблица18[[#This Row],[Дата акта]])</f>
        <v>6</v>
      </c>
      <c r="W1267" s="121">
        <v>24</v>
      </c>
      <c r="X1267" s="148">
        <f>DATE(1900,Таблица18[[#This Row],[Месяц]],Таблица18[[#This Row],[Число]])</f>
        <v>176</v>
      </c>
      <c r="Y1267" s="121"/>
      <c r="Z1267" s="121" t="str">
        <f>Таблица18[[#This Row],[Хар-ка]]</f>
        <v>высший</v>
      </c>
      <c r="AD1267" s="459"/>
      <c r="AE1267" s="391"/>
    </row>
    <row r="1268" spans="1:31" s="325" customFormat="1" ht="15.6" hidden="1" customHeight="1" x14ac:dyDescent="0.2">
      <c r="A1268" s="40" t="s">
        <v>1274</v>
      </c>
      <c r="B1268" s="360" t="s">
        <v>511</v>
      </c>
      <c r="C1268" s="40">
        <v>649</v>
      </c>
      <c r="D1268" s="40">
        <v>34</v>
      </c>
      <c r="E1268" s="40" t="s">
        <v>1167</v>
      </c>
      <c r="F1268" s="40" t="s">
        <v>335</v>
      </c>
      <c r="G1268" s="40" t="s">
        <v>339</v>
      </c>
      <c r="H1268" s="40" t="s">
        <v>1168</v>
      </c>
      <c r="I1268" s="360" t="e">
        <f>VLOOKUP(Таблица18[[#This Row],[Номер акта]],$AB$1:$AF$1833,3,FALSE)</f>
        <v>#N/A</v>
      </c>
      <c r="J1268" s="40" t="s">
        <v>1185</v>
      </c>
      <c r="K1268" s="40" t="s">
        <v>82</v>
      </c>
      <c r="L1268" s="121">
        <v>21400</v>
      </c>
      <c r="M1268" s="121">
        <v>14780</v>
      </c>
      <c r="N1268" s="121">
        <v>12</v>
      </c>
      <c r="O1268" s="363">
        <v>6620</v>
      </c>
      <c r="P1268" s="363">
        <v>5825.6</v>
      </c>
      <c r="Q1268" s="121">
        <v>2025</v>
      </c>
      <c r="R1268" s="121"/>
      <c r="S1268" s="148">
        <v>45832</v>
      </c>
      <c r="T1268" s="363">
        <f>Таблица18[[#This Row],[Вес нетто]]-Таблица18[[#This Row],[Зачетный вес]]</f>
        <v>794.39999999999964</v>
      </c>
      <c r="U1268" s="365">
        <f>Таблица18[[#This Row],[Отход]]/Таблица18[[#This Row],[Вес нетто]]</f>
        <v>0.11999999999999994</v>
      </c>
      <c r="V1268" s="121">
        <f>MONTH(Таблица18[[#This Row],[Дата акта]])</f>
        <v>6</v>
      </c>
      <c r="W1268" s="121">
        <v>24</v>
      </c>
      <c r="X1268" s="148">
        <f>DATE(1900,Таблица18[[#This Row],[Месяц]],Таблица18[[#This Row],[Число]])</f>
        <v>176</v>
      </c>
      <c r="Y1268" s="121"/>
      <c r="Z1268" s="121" t="str">
        <f>Таблица18[[#This Row],[Хар-ка]]</f>
        <v>высший</v>
      </c>
      <c r="AD1268" s="459"/>
      <c r="AE1268" s="391"/>
    </row>
    <row r="1269" spans="1:31" s="325" customFormat="1" ht="15.6" hidden="1" customHeight="1" x14ac:dyDescent="0.2">
      <c r="A1269" s="40" t="s">
        <v>1275</v>
      </c>
      <c r="B1269" s="360" t="s">
        <v>511</v>
      </c>
      <c r="C1269" s="40">
        <v>650</v>
      </c>
      <c r="D1269" s="40">
        <v>35</v>
      </c>
      <c r="E1269" s="40" t="s">
        <v>1167</v>
      </c>
      <c r="F1269" s="40" t="s">
        <v>272</v>
      </c>
      <c r="G1269" s="40" t="s">
        <v>276</v>
      </c>
      <c r="H1269" s="40" t="s">
        <v>1168</v>
      </c>
      <c r="I1269" s="360" t="e">
        <f>VLOOKUP(Таблица18[[#This Row],[Номер акта]],$AB$1:$AF$1833,3,FALSE)</f>
        <v>#N/A</v>
      </c>
      <c r="J1269" s="40" t="s">
        <v>901</v>
      </c>
      <c r="K1269" s="40" t="s">
        <v>82</v>
      </c>
      <c r="L1269" s="121">
        <v>28550</v>
      </c>
      <c r="M1269" s="121">
        <v>14990</v>
      </c>
      <c r="N1269" s="121">
        <v>16.5</v>
      </c>
      <c r="O1269" s="363">
        <v>13560</v>
      </c>
      <c r="P1269" s="363">
        <v>11322.6</v>
      </c>
      <c r="Q1269" s="121">
        <v>2025</v>
      </c>
      <c r="R1269" s="121"/>
      <c r="S1269" s="148">
        <v>45832</v>
      </c>
      <c r="T1269" s="363">
        <f>Таблица18[[#This Row],[Вес нетто]]-Таблица18[[#This Row],[Зачетный вес]]</f>
        <v>2237.3999999999996</v>
      </c>
      <c r="U1269" s="365">
        <f>Таблица18[[#This Row],[Отход]]/Таблица18[[#This Row],[Вес нетто]]</f>
        <v>0.16499999999999998</v>
      </c>
      <c r="V1269" s="121">
        <f>MONTH(Таблица18[[#This Row],[Дата акта]])</f>
        <v>6</v>
      </c>
      <c r="W1269" s="121">
        <v>24</v>
      </c>
      <c r="X1269" s="148">
        <f>DATE(1900,Таблица18[[#This Row],[Месяц]],Таблица18[[#This Row],[Число]])</f>
        <v>176</v>
      </c>
      <c r="Y1269" s="121"/>
      <c r="Z1269" s="121" t="str">
        <f>Таблица18[[#This Row],[Хар-ка]]</f>
        <v>высший</v>
      </c>
      <c r="AD1269" s="459"/>
      <c r="AE1269" s="391"/>
    </row>
    <row r="1270" spans="1:31" s="325" customFormat="1" ht="15.6" hidden="1" customHeight="1" x14ac:dyDescent="0.2">
      <c r="A1270" s="40" t="s">
        <v>1276</v>
      </c>
      <c r="B1270" s="360" t="s">
        <v>511</v>
      </c>
      <c r="C1270" s="40">
        <v>651</v>
      </c>
      <c r="D1270" s="40">
        <v>36</v>
      </c>
      <c r="E1270" s="40" t="s">
        <v>1167</v>
      </c>
      <c r="F1270" s="40" t="s">
        <v>239</v>
      </c>
      <c r="G1270" s="40" t="s">
        <v>243</v>
      </c>
      <c r="H1270" s="40" t="s">
        <v>1168</v>
      </c>
      <c r="I1270" s="360" t="e">
        <f>VLOOKUP(Таблица18[[#This Row],[Номер акта]],$AB$1:$AF$1833,3,FALSE)</f>
        <v>#N/A</v>
      </c>
      <c r="J1270" s="40" t="s">
        <v>901</v>
      </c>
      <c r="K1270" s="40" t="s">
        <v>82</v>
      </c>
      <c r="L1270" s="121">
        <v>28120</v>
      </c>
      <c r="M1270" s="121">
        <v>14700</v>
      </c>
      <c r="N1270" s="121">
        <v>15.5</v>
      </c>
      <c r="O1270" s="363">
        <v>13420</v>
      </c>
      <c r="P1270" s="363">
        <v>11339.9</v>
      </c>
      <c r="Q1270" s="121">
        <v>2025</v>
      </c>
      <c r="R1270" s="121"/>
      <c r="S1270" s="148">
        <v>45832</v>
      </c>
      <c r="T1270" s="363">
        <f>Таблица18[[#This Row],[Вес нетто]]-Таблица18[[#This Row],[Зачетный вес]]</f>
        <v>2080.1000000000004</v>
      </c>
      <c r="U1270" s="365">
        <f>Таблица18[[#This Row],[Отход]]/Таблица18[[#This Row],[Вес нетто]]</f>
        <v>0.15500000000000003</v>
      </c>
      <c r="V1270" s="121">
        <f>MONTH(Таблица18[[#This Row],[Дата акта]])</f>
        <v>6</v>
      </c>
      <c r="W1270" s="121">
        <v>24</v>
      </c>
      <c r="X1270" s="148">
        <f>DATE(1900,Таблица18[[#This Row],[Месяц]],Таблица18[[#This Row],[Число]])</f>
        <v>176</v>
      </c>
      <c r="Y1270" s="121"/>
      <c r="Z1270" s="121" t="str">
        <f>Таблица18[[#This Row],[Хар-ка]]</f>
        <v>высший</v>
      </c>
      <c r="AD1270" s="459"/>
      <c r="AE1270" s="391"/>
    </row>
    <row r="1271" spans="1:31" s="325" customFormat="1" ht="15.6" hidden="1" customHeight="1" x14ac:dyDescent="0.2">
      <c r="A1271" s="40" t="s">
        <v>1280</v>
      </c>
      <c r="B1271" s="360" t="s">
        <v>511</v>
      </c>
      <c r="C1271" s="40">
        <v>652</v>
      </c>
      <c r="D1271" s="40">
        <v>36</v>
      </c>
      <c r="E1271" s="40" t="s">
        <v>1167</v>
      </c>
      <c r="F1271" s="40" t="s">
        <v>347</v>
      </c>
      <c r="G1271" s="40" t="s">
        <v>351</v>
      </c>
      <c r="H1271" s="40" t="s">
        <v>1168</v>
      </c>
      <c r="I1271" s="360" t="e">
        <f>VLOOKUP(Таблица18[[#This Row],[Номер акта]],$AB$1:$AF$1833,3,FALSE)</f>
        <v>#N/A</v>
      </c>
      <c r="J1271" s="40" t="s">
        <v>901</v>
      </c>
      <c r="K1271" s="40" t="s">
        <v>82</v>
      </c>
      <c r="L1271" s="121">
        <v>32280</v>
      </c>
      <c r="M1271" s="121">
        <v>18780</v>
      </c>
      <c r="N1271" s="121">
        <v>13.5</v>
      </c>
      <c r="O1271" s="363">
        <v>13500</v>
      </c>
      <c r="P1271" s="363">
        <v>11677.5</v>
      </c>
      <c r="Q1271" s="121">
        <v>2025</v>
      </c>
      <c r="R1271" s="121"/>
      <c r="S1271" s="148">
        <v>45832</v>
      </c>
      <c r="T1271" s="363">
        <f>Таблица18[[#This Row],[Вес нетто]]-Таблица18[[#This Row],[Зачетный вес]]</f>
        <v>1822.5</v>
      </c>
      <c r="U1271" s="365">
        <f>Таблица18[[#This Row],[Отход]]/Таблица18[[#This Row],[Вес нетто]]</f>
        <v>0.13500000000000001</v>
      </c>
      <c r="V1271" s="121">
        <f>MONTH(Таблица18[[#This Row],[Дата акта]])</f>
        <v>6</v>
      </c>
      <c r="W1271" s="121">
        <v>24</v>
      </c>
      <c r="X1271" s="148">
        <f>DATE(1900,Таблица18[[#This Row],[Месяц]],Таблица18[[#This Row],[Число]])</f>
        <v>176</v>
      </c>
      <c r="Y1271" s="121"/>
      <c r="Z1271" s="121" t="str">
        <f>Таблица18[[#This Row],[Хар-ка]]</f>
        <v>высший</v>
      </c>
      <c r="AD1271" s="459"/>
      <c r="AE1271" s="391"/>
    </row>
    <row r="1272" spans="1:31" s="325" customFormat="1" ht="15.6" hidden="1" customHeight="1" x14ac:dyDescent="0.2">
      <c r="A1272" s="40" t="s">
        <v>1281</v>
      </c>
      <c r="B1272" s="360" t="s">
        <v>511</v>
      </c>
      <c r="C1272" s="40">
        <v>653</v>
      </c>
      <c r="D1272" s="40">
        <v>37</v>
      </c>
      <c r="E1272" s="40" t="s">
        <v>1167</v>
      </c>
      <c r="F1272" s="40" t="s">
        <v>133</v>
      </c>
      <c r="G1272" s="40" t="s">
        <v>137</v>
      </c>
      <c r="H1272" s="40" t="s">
        <v>1168</v>
      </c>
      <c r="I1272" s="360" t="e">
        <f>VLOOKUP(Таблица18[[#This Row],[Номер акта]],$AB$1:$AF$1833,3,FALSE)</f>
        <v>#N/A</v>
      </c>
      <c r="J1272" s="40" t="s">
        <v>901</v>
      </c>
      <c r="K1272" s="40" t="s">
        <v>82</v>
      </c>
      <c r="L1272" s="121">
        <v>27870</v>
      </c>
      <c r="M1272" s="121">
        <v>14970</v>
      </c>
      <c r="N1272" s="121">
        <v>15.5</v>
      </c>
      <c r="O1272" s="363">
        <v>12900</v>
      </c>
      <c r="P1272" s="363">
        <v>10900.5</v>
      </c>
      <c r="Q1272" s="121">
        <v>2025</v>
      </c>
      <c r="R1272" s="121"/>
      <c r="S1272" s="148">
        <v>45832</v>
      </c>
      <c r="T1272" s="363">
        <f>Таблица18[[#This Row],[Вес нетто]]-Таблица18[[#This Row],[Зачетный вес]]</f>
        <v>1999.5</v>
      </c>
      <c r="U1272" s="365">
        <f>Таблица18[[#This Row],[Отход]]/Таблица18[[#This Row],[Вес нетто]]</f>
        <v>0.155</v>
      </c>
      <c r="V1272" s="121">
        <f>MONTH(Таблица18[[#This Row],[Дата акта]])</f>
        <v>6</v>
      </c>
      <c r="W1272" s="121">
        <v>24</v>
      </c>
      <c r="X1272" s="148">
        <f>DATE(1900,Таблица18[[#This Row],[Месяц]],Таблица18[[#This Row],[Число]])</f>
        <v>176</v>
      </c>
      <c r="Y1272" s="121"/>
      <c r="Z1272" s="121" t="str">
        <f>Таблица18[[#This Row],[Хар-ка]]</f>
        <v>высший</v>
      </c>
      <c r="AD1272" s="459"/>
      <c r="AE1272" s="391"/>
    </row>
    <row r="1273" spans="1:31" s="325" customFormat="1" ht="15.6" hidden="1" customHeight="1" x14ac:dyDescent="0.2">
      <c r="A1273" s="40" t="s">
        <v>1282</v>
      </c>
      <c r="B1273" s="360" t="s">
        <v>511</v>
      </c>
      <c r="C1273" s="40">
        <v>654</v>
      </c>
      <c r="D1273" s="40">
        <v>38</v>
      </c>
      <c r="E1273" s="40" t="s">
        <v>1167</v>
      </c>
      <c r="F1273" s="40" t="s">
        <v>311</v>
      </c>
      <c r="G1273" s="40" t="s">
        <v>315</v>
      </c>
      <c r="H1273" s="40" t="s">
        <v>1168</v>
      </c>
      <c r="I1273" s="360" t="e">
        <f>VLOOKUP(Таблица18[[#This Row],[Номер акта]],$AB$1:$AF$1833,3,FALSE)</f>
        <v>#N/A</v>
      </c>
      <c r="J1273" s="40" t="s">
        <v>901</v>
      </c>
      <c r="K1273" s="40" t="s">
        <v>82</v>
      </c>
      <c r="L1273" s="121">
        <v>28890</v>
      </c>
      <c r="M1273" s="121">
        <v>15200</v>
      </c>
      <c r="N1273" s="121">
        <v>18</v>
      </c>
      <c r="O1273" s="363">
        <v>13690</v>
      </c>
      <c r="P1273" s="363">
        <v>11225.8</v>
      </c>
      <c r="Q1273" s="121">
        <v>2025</v>
      </c>
      <c r="R1273" s="121"/>
      <c r="S1273" s="148">
        <v>45832</v>
      </c>
      <c r="T1273" s="363">
        <f>Таблица18[[#This Row],[Вес нетто]]-Таблица18[[#This Row],[Зачетный вес]]</f>
        <v>2464.2000000000007</v>
      </c>
      <c r="U1273" s="365">
        <f>Таблица18[[#This Row],[Отход]]/Таблица18[[#This Row],[Вес нетто]]</f>
        <v>0.18000000000000005</v>
      </c>
      <c r="V1273" s="121">
        <f>MONTH(Таблица18[[#This Row],[Дата акта]])</f>
        <v>6</v>
      </c>
      <c r="W1273" s="121">
        <v>24</v>
      </c>
      <c r="X1273" s="148">
        <f>DATE(1900,Таблица18[[#This Row],[Месяц]],Таблица18[[#This Row],[Число]])</f>
        <v>176</v>
      </c>
      <c r="Y1273" s="121"/>
      <c r="Z1273" s="121" t="str">
        <f>Таблица18[[#This Row],[Хар-ка]]</f>
        <v>высший</v>
      </c>
      <c r="AD1273" s="459"/>
      <c r="AE1273" s="391"/>
    </row>
    <row r="1274" spans="1:31" s="325" customFormat="1" ht="15.6" hidden="1" customHeight="1" x14ac:dyDescent="0.2">
      <c r="A1274" s="40" t="s">
        <v>1283</v>
      </c>
      <c r="B1274" s="360" t="s">
        <v>511</v>
      </c>
      <c r="C1274" s="40">
        <v>655</v>
      </c>
      <c r="D1274" s="40">
        <v>39</v>
      </c>
      <c r="E1274" s="40" t="s">
        <v>1167</v>
      </c>
      <c r="F1274" s="40" t="s">
        <v>166</v>
      </c>
      <c r="G1274" s="40" t="s">
        <v>170</v>
      </c>
      <c r="H1274" s="40" t="s">
        <v>1168</v>
      </c>
      <c r="I1274" s="360" t="e">
        <f>VLOOKUP(Таблица18[[#This Row],[Номер акта]],$AB$1:$AF$1833,3,FALSE)</f>
        <v>#N/A</v>
      </c>
      <c r="J1274" s="40" t="s">
        <v>901</v>
      </c>
      <c r="K1274" s="40" t="s">
        <v>82</v>
      </c>
      <c r="L1274" s="121">
        <v>28640</v>
      </c>
      <c r="M1274" s="121">
        <v>15210</v>
      </c>
      <c r="N1274" s="121">
        <v>16.5</v>
      </c>
      <c r="O1274" s="363">
        <v>13430</v>
      </c>
      <c r="P1274" s="363">
        <v>11214</v>
      </c>
      <c r="Q1274" s="121">
        <v>2025</v>
      </c>
      <c r="R1274" s="121"/>
      <c r="S1274" s="148">
        <v>45833</v>
      </c>
      <c r="T1274" s="363">
        <f>Таблица18[[#This Row],[Вес нетто]]-Таблица18[[#This Row],[Зачетный вес]]</f>
        <v>2216</v>
      </c>
      <c r="U1274" s="365">
        <f>Таблица18[[#This Row],[Отход]]/Таблица18[[#This Row],[Вес нетто]]</f>
        <v>0.16500372300819061</v>
      </c>
      <c r="V1274" s="121">
        <f>MONTH(Таблица18[[#This Row],[Дата акта]])</f>
        <v>6</v>
      </c>
      <c r="W1274" s="121">
        <v>25</v>
      </c>
      <c r="X1274" s="148">
        <f>DATE(1900,Таблица18[[#This Row],[Месяц]],Таблица18[[#This Row],[Число]])</f>
        <v>177</v>
      </c>
      <c r="Y1274" s="121"/>
      <c r="Z1274" s="121" t="str">
        <f>Таблица18[[#This Row],[Хар-ка]]</f>
        <v>высший</v>
      </c>
      <c r="AD1274" s="459"/>
      <c r="AE1274" s="391"/>
    </row>
    <row r="1275" spans="1:31" s="325" customFormat="1" ht="15.6" hidden="1" customHeight="1" x14ac:dyDescent="0.2">
      <c r="A1275" s="40" t="s">
        <v>1284</v>
      </c>
      <c r="B1275" s="360" t="s">
        <v>511</v>
      </c>
      <c r="C1275" s="40">
        <v>656</v>
      </c>
      <c r="D1275" s="40">
        <v>40</v>
      </c>
      <c r="E1275" s="40" t="s">
        <v>1167</v>
      </c>
      <c r="F1275" s="40" t="s">
        <v>329</v>
      </c>
      <c r="G1275" s="40" t="s">
        <v>333</v>
      </c>
      <c r="H1275" s="40" t="s">
        <v>1168</v>
      </c>
      <c r="I1275" s="360" t="e">
        <f>VLOOKUP(Таблица18[[#This Row],[Номер акта]],$AB$1:$AF$1833,3,FALSE)</f>
        <v>#N/A</v>
      </c>
      <c r="J1275" s="40" t="s">
        <v>901</v>
      </c>
      <c r="K1275" s="40" t="s">
        <v>82</v>
      </c>
      <c r="L1275" s="121">
        <v>28540</v>
      </c>
      <c r="M1275" s="121">
        <v>15200</v>
      </c>
      <c r="N1275" s="121">
        <v>17</v>
      </c>
      <c r="O1275" s="363">
        <v>13340</v>
      </c>
      <c r="P1275" s="363">
        <v>11072.2</v>
      </c>
      <c r="Q1275" s="121">
        <v>2025</v>
      </c>
      <c r="R1275" s="121"/>
      <c r="S1275" s="148">
        <v>45833</v>
      </c>
      <c r="T1275" s="363">
        <f>Таблица18[[#This Row],[Вес нетто]]-Таблица18[[#This Row],[Зачетный вес]]</f>
        <v>2267.7999999999993</v>
      </c>
      <c r="U1275" s="365">
        <f>Таблица18[[#This Row],[Отход]]/Таблица18[[#This Row],[Вес нетто]]</f>
        <v>0.16999999999999996</v>
      </c>
      <c r="V1275" s="121">
        <f>MONTH(Таблица18[[#This Row],[Дата акта]])</f>
        <v>6</v>
      </c>
      <c r="W1275" s="121">
        <v>25</v>
      </c>
      <c r="X1275" s="148">
        <f>DATE(1900,Таблица18[[#This Row],[Месяц]],Таблица18[[#This Row],[Число]])</f>
        <v>177</v>
      </c>
      <c r="Y1275" s="121"/>
      <c r="Z1275" s="121" t="str">
        <f>Таблица18[[#This Row],[Хар-ка]]</f>
        <v>высший</v>
      </c>
      <c r="AD1275" s="459"/>
      <c r="AE1275" s="391"/>
    </row>
    <row r="1276" spans="1:31" s="325" customFormat="1" ht="15.6" hidden="1" customHeight="1" x14ac:dyDescent="0.2">
      <c r="A1276" s="40" t="s">
        <v>1285</v>
      </c>
      <c r="B1276" s="360" t="s">
        <v>511</v>
      </c>
      <c r="C1276" s="40">
        <v>657</v>
      </c>
      <c r="D1276" s="40">
        <v>41</v>
      </c>
      <c r="E1276" s="40" t="s">
        <v>1167</v>
      </c>
      <c r="F1276" s="40" t="s">
        <v>1151</v>
      </c>
      <c r="G1276" s="40" t="s">
        <v>145</v>
      </c>
      <c r="H1276" s="40" t="s">
        <v>1168</v>
      </c>
      <c r="I1276" s="360" t="e">
        <f>VLOOKUP(Таблица18[[#This Row],[Номер акта]],$AB$1:$AF$1833,3,FALSE)</f>
        <v>#N/A</v>
      </c>
      <c r="J1276" s="40" t="s">
        <v>901</v>
      </c>
      <c r="K1276" s="40" t="s">
        <v>82</v>
      </c>
      <c r="L1276" s="121">
        <v>28910</v>
      </c>
      <c r="M1276" s="121">
        <v>15730</v>
      </c>
      <c r="N1276" s="121">
        <v>14.5</v>
      </c>
      <c r="O1276" s="363">
        <v>13180</v>
      </c>
      <c r="P1276" s="363">
        <v>11268.9</v>
      </c>
      <c r="Q1276" s="121">
        <v>2025</v>
      </c>
      <c r="R1276" s="121"/>
      <c r="S1276" s="148">
        <v>45833</v>
      </c>
      <c r="T1276" s="363">
        <f>Таблица18[[#This Row],[Вес нетто]]-Таблица18[[#This Row],[Зачетный вес]]</f>
        <v>1911.1000000000004</v>
      </c>
      <c r="U1276" s="365">
        <f>Таблица18[[#This Row],[Отход]]/Таблица18[[#This Row],[Вес нетто]]</f>
        <v>0.14500000000000002</v>
      </c>
      <c r="V1276" s="121">
        <f>MONTH(Таблица18[[#This Row],[Дата акта]])</f>
        <v>6</v>
      </c>
      <c r="W1276" s="121">
        <v>25</v>
      </c>
      <c r="X1276" s="148">
        <f>DATE(1900,Таблица18[[#This Row],[Месяц]],Таблица18[[#This Row],[Число]])</f>
        <v>177</v>
      </c>
      <c r="Y1276" s="121"/>
      <c r="Z1276" s="121" t="str">
        <f>Таблица18[[#This Row],[Хар-ка]]</f>
        <v>высший</v>
      </c>
      <c r="AD1276" s="459"/>
      <c r="AE1276" s="391"/>
    </row>
    <row r="1277" spans="1:31" s="325" customFormat="1" ht="15.6" hidden="1" customHeight="1" x14ac:dyDescent="0.2">
      <c r="A1277" s="40" t="s">
        <v>1286</v>
      </c>
      <c r="B1277" s="360" t="s">
        <v>511</v>
      </c>
      <c r="C1277" s="40">
        <v>658</v>
      </c>
      <c r="D1277" s="40">
        <v>42</v>
      </c>
      <c r="E1277" s="40" t="s">
        <v>1167</v>
      </c>
      <c r="F1277" s="40" t="s">
        <v>1253</v>
      </c>
      <c r="G1277" s="40" t="s">
        <v>270</v>
      </c>
      <c r="H1277" s="40" t="s">
        <v>1168</v>
      </c>
      <c r="I1277" s="360" t="e">
        <f>VLOOKUP(Таблица18[[#This Row],[Номер акта]],$AB$1:$AF$1833,3,FALSE)</f>
        <v>#N/A</v>
      </c>
      <c r="J1277" s="40" t="s">
        <v>901</v>
      </c>
      <c r="K1277" s="40" t="s">
        <v>82</v>
      </c>
      <c r="L1277" s="121">
        <v>28650</v>
      </c>
      <c r="M1277" s="121">
        <v>15100</v>
      </c>
      <c r="N1277" s="121">
        <v>16.5</v>
      </c>
      <c r="O1277" s="363">
        <v>13550</v>
      </c>
      <c r="P1277" s="363">
        <v>11314.2</v>
      </c>
      <c r="Q1277" s="121">
        <v>2025</v>
      </c>
      <c r="R1277" s="121"/>
      <c r="S1277" s="148">
        <v>45833</v>
      </c>
      <c r="T1277" s="363">
        <f>Таблица18[[#This Row],[Вес нетто]]-Таблица18[[#This Row],[Зачетный вес]]</f>
        <v>2235.7999999999993</v>
      </c>
      <c r="U1277" s="365">
        <f>Таблица18[[#This Row],[Отход]]/Таблица18[[#This Row],[Вес нетто]]</f>
        <v>0.16500369003690032</v>
      </c>
      <c r="V1277" s="121">
        <f>MONTH(Таблица18[[#This Row],[Дата акта]])</f>
        <v>6</v>
      </c>
      <c r="W1277" s="121">
        <v>25</v>
      </c>
      <c r="X1277" s="148">
        <f>DATE(1900,Таблица18[[#This Row],[Месяц]],Таблица18[[#This Row],[Число]])</f>
        <v>177</v>
      </c>
      <c r="Y1277" s="121"/>
      <c r="Z1277" s="121" t="str">
        <f>Таблица18[[#This Row],[Хар-ка]]</f>
        <v>высший</v>
      </c>
      <c r="AD1277" s="459"/>
      <c r="AE1277" s="391"/>
    </row>
    <row r="1278" spans="1:31" s="325" customFormat="1" ht="15.6" hidden="1" customHeight="1" x14ac:dyDescent="0.2">
      <c r="A1278" s="40" t="s">
        <v>1287</v>
      </c>
      <c r="B1278" s="360" t="s">
        <v>511</v>
      </c>
      <c r="C1278" s="40">
        <v>659</v>
      </c>
      <c r="D1278" s="40">
        <v>43</v>
      </c>
      <c r="E1278" s="40" t="s">
        <v>1167</v>
      </c>
      <c r="F1278" s="40" t="s">
        <v>151</v>
      </c>
      <c r="G1278" s="40" t="s">
        <v>155</v>
      </c>
      <c r="H1278" s="40" t="s">
        <v>1168</v>
      </c>
      <c r="I1278" s="360" t="e">
        <f>VLOOKUP(Таблица18[[#This Row],[Номер акта]],$AB$1:$AF$1833,3,FALSE)</f>
        <v>#N/A</v>
      </c>
      <c r="J1278" s="40" t="s">
        <v>901</v>
      </c>
      <c r="K1278" s="40" t="s">
        <v>82</v>
      </c>
      <c r="L1278" s="121">
        <v>28180</v>
      </c>
      <c r="M1278" s="121">
        <v>15020</v>
      </c>
      <c r="N1278" s="121">
        <v>19.5</v>
      </c>
      <c r="O1278" s="363">
        <v>13160</v>
      </c>
      <c r="P1278" s="363">
        <v>10593.8</v>
      </c>
      <c r="Q1278" s="121">
        <v>2025</v>
      </c>
      <c r="R1278" s="121"/>
      <c r="S1278" s="148">
        <v>45833</v>
      </c>
      <c r="T1278" s="363">
        <f>Таблица18[[#This Row],[Вес нетто]]-Таблица18[[#This Row],[Зачетный вес]]</f>
        <v>2566.2000000000007</v>
      </c>
      <c r="U1278" s="365">
        <f>Таблица18[[#This Row],[Отход]]/Таблица18[[#This Row],[Вес нетто]]</f>
        <v>0.19500000000000006</v>
      </c>
      <c r="V1278" s="121">
        <f>MONTH(Таблица18[[#This Row],[Дата акта]])</f>
        <v>6</v>
      </c>
      <c r="W1278" s="121">
        <v>25</v>
      </c>
      <c r="X1278" s="148">
        <f>DATE(1900,Таблица18[[#This Row],[Месяц]],Таблица18[[#This Row],[Число]])</f>
        <v>177</v>
      </c>
      <c r="Y1278" s="121"/>
      <c r="Z1278" s="121" t="str">
        <f>Таблица18[[#This Row],[Хар-ка]]</f>
        <v>высший</v>
      </c>
      <c r="AD1278" s="459"/>
      <c r="AE1278" s="391"/>
    </row>
    <row r="1279" spans="1:31" s="325" customFormat="1" ht="15.6" hidden="1" customHeight="1" x14ac:dyDescent="0.2">
      <c r="A1279" s="40" t="s">
        <v>1288</v>
      </c>
      <c r="B1279" s="360" t="s">
        <v>511</v>
      </c>
      <c r="C1279" s="40">
        <v>660</v>
      </c>
      <c r="D1279" s="40">
        <v>44</v>
      </c>
      <c r="E1279" s="40" t="s">
        <v>1167</v>
      </c>
      <c r="F1279" s="40" t="s">
        <v>160</v>
      </c>
      <c r="G1279" s="40" t="s">
        <v>164</v>
      </c>
      <c r="H1279" s="40" t="s">
        <v>1168</v>
      </c>
      <c r="I1279" s="360" t="e">
        <f>VLOOKUP(Таблица18[[#This Row],[Номер акта]],$AB$1:$AF$1833,3,FALSE)</f>
        <v>#N/A</v>
      </c>
      <c r="J1279" s="40" t="s">
        <v>901</v>
      </c>
      <c r="K1279" s="40" t="s">
        <v>82</v>
      </c>
      <c r="L1279" s="121">
        <v>37380</v>
      </c>
      <c r="M1279" s="121">
        <v>24270</v>
      </c>
      <c r="N1279" s="121">
        <v>17.5</v>
      </c>
      <c r="O1279" s="363">
        <v>13110</v>
      </c>
      <c r="P1279" s="363">
        <v>10815.7</v>
      </c>
      <c r="Q1279" s="121">
        <v>2025</v>
      </c>
      <c r="R1279" s="121"/>
      <c r="S1279" s="148">
        <v>45833</v>
      </c>
      <c r="T1279" s="363">
        <f>Таблица18[[#This Row],[Вес нетто]]-Таблица18[[#This Row],[Зачетный вес]]</f>
        <v>2294.2999999999993</v>
      </c>
      <c r="U1279" s="365">
        <f>Таблица18[[#This Row],[Отход]]/Таблица18[[#This Row],[Вес нетто]]</f>
        <v>0.17500381388253236</v>
      </c>
      <c r="V1279" s="121">
        <f>MONTH(Таблица18[[#This Row],[Дата акта]])</f>
        <v>6</v>
      </c>
      <c r="W1279" s="121">
        <v>25</v>
      </c>
      <c r="X1279" s="148">
        <f>DATE(1900,Таблица18[[#This Row],[Месяц]],Таблица18[[#This Row],[Число]])</f>
        <v>177</v>
      </c>
      <c r="Y1279" s="121"/>
      <c r="Z1279" s="121" t="str">
        <f>Таблица18[[#This Row],[Хар-ка]]</f>
        <v>высший</v>
      </c>
      <c r="AD1279" s="459"/>
      <c r="AE1279" s="391"/>
    </row>
    <row r="1280" spans="1:31" s="325" customFormat="1" ht="15.6" hidden="1" customHeight="1" x14ac:dyDescent="0.2">
      <c r="A1280" s="40" t="s">
        <v>1289</v>
      </c>
      <c r="B1280" s="360" t="s">
        <v>511</v>
      </c>
      <c r="C1280" s="40">
        <v>661</v>
      </c>
      <c r="D1280" s="40">
        <v>45</v>
      </c>
      <c r="E1280" s="40" t="s">
        <v>1167</v>
      </c>
      <c r="F1280" s="40" t="s">
        <v>1461</v>
      </c>
      <c r="G1280" s="40" t="s">
        <v>149</v>
      </c>
      <c r="H1280" s="40" t="s">
        <v>1168</v>
      </c>
      <c r="I1280" s="360" t="e">
        <f>VLOOKUP(Таблица18[[#This Row],[Номер акта]],$AB$1:$AF$1833,3,FALSE)</f>
        <v>#N/A</v>
      </c>
      <c r="J1280" s="40" t="s">
        <v>901</v>
      </c>
      <c r="K1280" s="40" t="s">
        <v>82</v>
      </c>
      <c r="L1280" s="121">
        <v>28450</v>
      </c>
      <c r="M1280" s="121">
        <v>15260</v>
      </c>
      <c r="N1280" s="121">
        <v>16.100000000000001</v>
      </c>
      <c r="O1280" s="363">
        <v>13190</v>
      </c>
      <c r="P1280" s="363">
        <v>11073</v>
      </c>
      <c r="Q1280" s="121">
        <v>2025</v>
      </c>
      <c r="R1280" s="121"/>
      <c r="S1280" s="148">
        <v>45833</v>
      </c>
      <c r="T1280" s="363">
        <f>Таблица18[[#This Row],[Вес нетто]]-Таблица18[[#This Row],[Зачетный вес]]</f>
        <v>2117</v>
      </c>
      <c r="U1280" s="365">
        <f>Таблица18[[#This Row],[Отход]]/Таблица18[[#This Row],[Вес нетто]]</f>
        <v>0.16050037907505685</v>
      </c>
      <c r="V1280" s="121">
        <f>MONTH(Таблица18[[#This Row],[Дата акта]])</f>
        <v>6</v>
      </c>
      <c r="W1280" s="121">
        <v>25</v>
      </c>
      <c r="X1280" s="148">
        <f>DATE(1900,Таблица18[[#This Row],[Месяц]],Таблица18[[#This Row],[Число]])</f>
        <v>177</v>
      </c>
      <c r="Y1280" s="121"/>
      <c r="Z1280" s="121" t="str">
        <f>Таблица18[[#This Row],[Хар-ка]]</f>
        <v>высший</v>
      </c>
      <c r="AD1280" s="459"/>
      <c r="AE1280" s="391"/>
    </row>
    <row r="1281" spans="1:31" s="325" customFormat="1" ht="15.6" hidden="1" customHeight="1" x14ac:dyDescent="0.2">
      <c r="A1281" s="40" t="s">
        <v>1290</v>
      </c>
      <c r="B1281" s="360" t="s">
        <v>511</v>
      </c>
      <c r="C1281" s="40">
        <v>662</v>
      </c>
      <c r="D1281" s="40">
        <v>46</v>
      </c>
      <c r="E1281" s="40" t="s">
        <v>1167</v>
      </c>
      <c r="F1281" s="40" t="s">
        <v>272</v>
      </c>
      <c r="G1281" s="40" t="s">
        <v>276</v>
      </c>
      <c r="H1281" s="40" t="s">
        <v>1168</v>
      </c>
      <c r="I1281" s="360" t="e">
        <f>VLOOKUP(Таблица18[[#This Row],[Номер акта]],$AB$1:$AF$1833,3,FALSE)</f>
        <v>#N/A</v>
      </c>
      <c r="J1281" s="40" t="s">
        <v>901</v>
      </c>
      <c r="K1281" s="40" t="s">
        <v>82</v>
      </c>
      <c r="L1281" s="121">
        <v>28180</v>
      </c>
      <c r="M1281" s="121">
        <v>14940</v>
      </c>
      <c r="N1281" s="121">
        <v>14.5</v>
      </c>
      <c r="O1281" s="363">
        <v>13240</v>
      </c>
      <c r="P1281" s="363">
        <v>11320.2</v>
      </c>
      <c r="Q1281" s="121">
        <v>2025</v>
      </c>
      <c r="R1281" s="121"/>
      <c r="S1281" s="148">
        <v>45833</v>
      </c>
      <c r="T1281" s="363">
        <f>Таблица18[[#This Row],[Вес нетто]]-Таблица18[[#This Row],[Зачетный вес]]</f>
        <v>1919.7999999999993</v>
      </c>
      <c r="U1281" s="365">
        <f>Таблица18[[#This Row],[Отход]]/Таблица18[[#This Row],[Вес нетто]]</f>
        <v>0.14499999999999993</v>
      </c>
      <c r="V1281" s="121">
        <f>MONTH(Таблица18[[#This Row],[Дата акта]])</f>
        <v>6</v>
      </c>
      <c r="W1281" s="121">
        <v>25</v>
      </c>
      <c r="X1281" s="148">
        <f>DATE(1900,Таблица18[[#This Row],[Месяц]],Таблица18[[#This Row],[Число]])</f>
        <v>177</v>
      </c>
      <c r="Y1281" s="121"/>
      <c r="Z1281" s="121" t="str">
        <f>Таблица18[[#This Row],[Хар-ка]]</f>
        <v>высший</v>
      </c>
      <c r="AD1281" s="459"/>
      <c r="AE1281" s="391"/>
    </row>
    <row r="1282" spans="1:31" s="325" customFormat="1" ht="15.6" hidden="1" customHeight="1" x14ac:dyDescent="0.2">
      <c r="A1282" s="40" t="s">
        <v>1313</v>
      </c>
      <c r="B1282" s="360" t="s">
        <v>511</v>
      </c>
      <c r="C1282" s="40">
        <v>664</v>
      </c>
      <c r="D1282" s="40">
        <v>48</v>
      </c>
      <c r="E1282" s="40" t="s">
        <v>1167</v>
      </c>
      <c r="F1282" s="40" t="s">
        <v>1253</v>
      </c>
      <c r="G1282" s="40" t="s">
        <v>270</v>
      </c>
      <c r="H1282" s="40" t="s">
        <v>1168</v>
      </c>
      <c r="I1282" s="360" t="e">
        <f>VLOOKUP(Таблица18[[#This Row],[Номер акта]],$AB$1:$AF$1833,3,FALSE)</f>
        <v>#N/A</v>
      </c>
      <c r="J1282" s="40" t="s">
        <v>901</v>
      </c>
      <c r="K1282" s="40" t="s">
        <v>82</v>
      </c>
      <c r="L1282" s="121">
        <v>15880</v>
      </c>
      <c r="M1282" s="121">
        <v>9720</v>
      </c>
      <c r="N1282" s="121">
        <v>19.5</v>
      </c>
      <c r="O1282" s="363">
        <v>6160</v>
      </c>
      <c r="P1282" s="363">
        <v>4958.8</v>
      </c>
      <c r="Q1282" s="121">
        <v>2025</v>
      </c>
      <c r="R1282" s="121"/>
      <c r="S1282" s="148">
        <v>45833</v>
      </c>
      <c r="T1282" s="363">
        <f>Таблица18[[#This Row],[Вес нетто]]-Таблица18[[#This Row],[Зачетный вес]]</f>
        <v>1201.1999999999998</v>
      </c>
      <c r="U1282" s="365">
        <f>Таблица18[[#This Row],[Отход]]/Таблица18[[#This Row],[Вес нетто]]</f>
        <v>0.19499999999999998</v>
      </c>
      <c r="V1282" s="121">
        <f>MONTH(Таблица18[[#This Row],[Дата акта]])</f>
        <v>6</v>
      </c>
      <c r="W1282" s="121">
        <v>25</v>
      </c>
      <c r="X1282" s="148">
        <f>DATE(1900,Таблица18[[#This Row],[Месяц]],Таблица18[[#This Row],[Число]])</f>
        <v>177</v>
      </c>
      <c r="Y1282" s="121"/>
      <c r="Z1282" s="121" t="str">
        <f>Таблица18[[#This Row],[Хар-ка]]</f>
        <v>высший</v>
      </c>
      <c r="AD1282" s="459"/>
      <c r="AE1282" s="391"/>
    </row>
    <row r="1283" spans="1:31" s="325" customFormat="1" ht="15.6" hidden="1" customHeight="1" x14ac:dyDescent="0.2">
      <c r="A1283" s="40" t="s">
        <v>1314</v>
      </c>
      <c r="B1283" s="360" t="s">
        <v>511</v>
      </c>
      <c r="C1283" s="40">
        <v>665</v>
      </c>
      <c r="D1283" s="40">
        <v>47</v>
      </c>
      <c r="E1283" s="40" t="s">
        <v>1167</v>
      </c>
      <c r="F1283" s="40" t="s">
        <v>1151</v>
      </c>
      <c r="G1283" s="40" t="s">
        <v>145</v>
      </c>
      <c r="H1283" s="40" t="s">
        <v>1168</v>
      </c>
      <c r="I1283" s="360" t="e">
        <f>VLOOKUP(Таблица18[[#This Row],[Номер акта]],$AB$1:$AF$1833,3,FALSE)</f>
        <v>#N/A</v>
      </c>
      <c r="J1283" s="40" t="s">
        <v>901</v>
      </c>
      <c r="K1283" s="40" t="s">
        <v>82</v>
      </c>
      <c r="L1283" s="121">
        <v>28810</v>
      </c>
      <c r="M1283" s="121">
        <v>15740</v>
      </c>
      <c r="N1283" s="121">
        <v>16.5</v>
      </c>
      <c r="O1283" s="363">
        <v>13070</v>
      </c>
      <c r="P1283" s="363">
        <v>10913.4</v>
      </c>
      <c r="Q1283" s="121">
        <v>2025</v>
      </c>
      <c r="R1283" s="121"/>
      <c r="S1283" s="148">
        <v>45833</v>
      </c>
      <c r="T1283" s="363">
        <f>Таблица18[[#This Row],[Вес нетто]]-Таблица18[[#This Row],[Зачетный вес]]</f>
        <v>2156.6000000000004</v>
      </c>
      <c r="U1283" s="365">
        <f>Таблица18[[#This Row],[Отход]]/Таблица18[[#This Row],[Вес нетто]]</f>
        <v>0.16500382555470547</v>
      </c>
      <c r="V1283" s="121">
        <f>MONTH(Таблица18[[#This Row],[Дата акта]])</f>
        <v>6</v>
      </c>
      <c r="W1283" s="121">
        <v>25</v>
      </c>
      <c r="X1283" s="148">
        <f>DATE(1900,Таблица18[[#This Row],[Месяц]],Таблица18[[#This Row],[Число]])</f>
        <v>177</v>
      </c>
      <c r="Y1283" s="121"/>
      <c r="Z1283" s="121" t="str">
        <f>Таблица18[[#This Row],[Хар-ка]]</f>
        <v>высший</v>
      </c>
      <c r="AD1283" s="459"/>
      <c r="AE1283" s="391"/>
    </row>
    <row r="1284" spans="1:31" s="325" customFormat="1" ht="15.6" hidden="1" customHeight="1" x14ac:dyDescent="0.2">
      <c r="A1284" s="40" t="s">
        <v>1315</v>
      </c>
      <c r="B1284" s="360" t="s">
        <v>511</v>
      </c>
      <c r="C1284" s="40">
        <v>671</v>
      </c>
      <c r="D1284" s="40">
        <v>54957</v>
      </c>
      <c r="E1284" s="40" t="s">
        <v>914</v>
      </c>
      <c r="F1284" s="40" t="s">
        <v>127</v>
      </c>
      <c r="G1284" s="40" t="s">
        <v>131</v>
      </c>
      <c r="H1284" s="40">
        <v>14</v>
      </c>
      <c r="I1284" s="360" t="e">
        <f>VLOOKUP(Таблица18[[#This Row],[Номер акта]],$AB$1:$AF$1833,3,FALSE)</f>
        <v>#N/A</v>
      </c>
      <c r="J1284" s="40" t="s">
        <v>1316</v>
      </c>
      <c r="K1284" s="40" t="s">
        <v>82</v>
      </c>
      <c r="L1284" s="121">
        <v>18390</v>
      </c>
      <c r="M1284" s="121">
        <v>14220</v>
      </c>
      <c r="N1284" s="121">
        <v>17</v>
      </c>
      <c r="O1284" s="363">
        <v>4170</v>
      </c>
      <c r="P1284" s="363">
        <v>3461.1</v>
      </c>
      <c r="Q1284" s="121">
        <v>2025</v>
      </c>
      <c r="R1284" s="121"/>
      <c r="S1284" s="148">
        <v>45836</v>
      </c>
      <c r="T1284" s="363">
        <f>Таблица18[[#This Row],[Вес нетто]]-Таблица18[[#This Row],[Зачетный вес]]</f>
        <v>708.90000000000009</v>
      </c>
      <c r="U1284" s="365">
        <f>Таблица18[[#This Row],[Отход]]/Таблица18[[#This Row],[Вес нетто]]</f>
        <v>0.17</v>
      </c>
      <c r="V1284" s="121">
        <f>MONTH(Таблица18[[#This Row],[Дата акта]])</f>
        <v>6</v>
      </c>
      <c r="W1284" s="121">
        <v>28</v>
      </c>
      <c r="X1284" s="148">
        <f>DATE(1900,Таблица18[[#This Row],[Месяц]],Таблица18[[#This Row],[Число]])</f>
        <v>180</v>
      </c>
      <c r="Y1284" s="121"/>
      <c r="Z1284" s="121" t="str">
        <f>Таблица18[[#This Row],[Хар-ка]]</f>
        <v>высший</v>
      </c>
      <c r="AD1284" s="459"/>
      <c r="AE1284" s="391"/>
    </row>
    <row r="1285" spans="1:31" s="325" customFormat="1" ht="15.6" hidden="1" customHeight="1" x14ac:dyDescent="0.2">
      <c r="A1285" s="40" t="s">
        <v>1317</v>
      </c>
      <c r="B1285" s="360" t="s">
        <v>511</v>
      </c>
      <c r="C1285" s="40">
        <v>672</v>
      </c>
      <c r="D1285" s="40">
        <v>51</v>
      </c>
      <c r="E1285" s="40" t="s">
        <v>1167</v>
      </c>
      <c r="F1285" s="40" t="s">
        <v>894</v>
      </c>
      <c r="G1285" s="40" t="s">
        <v>895</v>
      </c>
      <c r="H1285" s="40" t="s">
        <v>1168</v>
      </c>
      <c r="I1285" s="360" t="e">
        <f>VLOOKUP(Таблица18[[#This Row],[Номер акта]],$AB$1:$AF$1833,3,FALSE)</f>
        <v>#N/A</v>
      </c>
      <c r="J1285" s="40" t="s">
        <v>1318</v>
      </c>
      <c r="K1285" s="40" t="s">
        <v>82</v>
      </c>
      <c r="L1285" s="121">
        <v>28270</v>
      </c>
      <c r="M1285" s="121">
        <v>14880</v>
      </c>
      <c r="N1285" s="121">
        <v>14</v>
      </c>
      <c r="O1285" s="363">
        <v>13390</v>
      </c>
      <c r="P1285" s="363">
        <v>11515.4</v>
      </c>
      <c r="Q1285" s="121">
        <v>2025</v>
      </c>
      <c r="R1285" s="121"/>
      <c r="S1285" s="148">
        <v>45836</v>
      </c>
      <c r="T1285" s="363">
        <f>Таблица18[[#This Row],[Вес нетто]]-Таблица18[[#This Row],[Зачетный вес]]</f>
        <v>1874.6000000000004</v>
      </c>
      <c r="U1285" s="365">
        <f>Таблица18[[#This Row],[Отход]]/Таблица18[[#This Row],[Вес нетто]]</f>
        <v>0.14000000000000001</v>
      </c>
      <c r="V1285" s="121">
        <f>MONTH(Таблица18[[#This Row],[Дата акта]])</f>
        <v>6</v>
      </c>
      <c r="W1285" s="121">
        <v>28</v>
      </c>
      <c r="X1285" s="148">
        <f>DATE(1900,Таблица18[[#This Row],[Месяц]],Таблица18[[#This Row],[Число]])</f>
        <v>180</v>
      </c>
      <c r="Y1285" s="121"/>
      <c r="Z1285" s="121" t="str">
        <f>Таблица18[[#This Row],[Хар-ка]]</f>
        <v>высший</v>
      </c>
      <c r="AD1285" s="459"/>
      <c r="AE1285" s="391"/>
    </row>
    <row r="1286" spans="1:31" s="325" customFormat="1" ht="15.6" hidden="1" customHeight="1" x14ac:dyDescent="0.2">
      <c r="A1286" s="40" t="s">
        <v>1319</v>
      </c>
      <c r="B1286" s="360" t="s">
        <v>511</v>
      </c>
      <c r="C1286" s="40">
        <v>673</v>
      </c>
      <c r="D1286" s="40">
        <v>49</v>
      </c>
      <c r="E1286" s="40" t="s">
        <v>1167</v>
      </c>
      <c r="F1286" s="40" t="s">
        <v>311</v>
      </c>
      <c r="G1286" s="40" t="s">
        <v>315</v>
      </c>
      <c r="H1286" s="40" t="s">
        <v>1168</v>
      </c>
      <c r="I1286" s="360" t="e">
        <f>VLOOKUP(Таблица18[[#This Row],[Номер акта]],$AB$1:$AF$1833,3,FALSE)</f>
        <v>#N/A</v>
      </c>
      <c r="J1286" s="40" t="s">
        <v>1318</v>
      </c>
      <c r="K1286" s="40" t="s">
        <v>82</v>
      </c>
      <c r="L1286" s="121">
        <v>29130</v>
      </c>
      <c r="M1286" s="121">
        <v>15110</v>
      </c>
      <c r="N1286" s="121">
        <v>14.5</v>
      </c>
      <c r="O1286" s="363">
        <v>14020</v>
      </c>
      <c r="P1286" s="363">
        <v>11987.1</v>
      </c>
      <c r="Q1286" s="121">
        <v>2025</v>
      </c>
      <c r="R1286" s="121"/>
      <c r="S1286" s="148">
        <v>45836</v>
      </c>
      <c r="T1286" s="363">
        <f>Таблица18[[#This Row],[Вес нетто]]-Таблица18[[#This Row],[Зачетный вес]]</f>
        <v>2032.8999999999996</v>
      </c>
      <c r="U1286" s="365">
        <f>Таблица18[[#This Row],[Отход]]/Таблица18[[#This Row],[Вес нетто]]</f>
        <v>0.14499999999999996</v>
      </c>
      <c r="V1286" s="121">
        <f>MONTH(Таблица18[[#This Row],[Дата акта]])</f>
        <v>6</v>
      </c>
      <c r="W1286" s="121">
        <v>28</v>
      </c>
      <c r="X1286" s="148">
        <f>DATE(1900,Таблица18[[#This Row],[Месяц]],Таблица18[[#This Row],[Число]])</f>
        <v>180</v>
      </c>
      <c r="Y1286" s="121"/>
      <c r="Z1286" s="121" t="str">
        <f>Таблица18[[#This Row],[Хар-ка]]</f>
        <v>высший</v>
      </c>
      <c r="AD1286" s="459"/>
      <c r="AE1286" s="391"/>
    </row>
    <row r="1287" spans="1:31" s="325" customFormat="1" ht="15.6" hidden="1" customHeight="1" x14ac:dyDescent="0.2">
      <c r="A1287" s="40" t="s">
        <v>1320</v>
      </c>
      <c r="B1287" s="360" t="s">
        <v>511</v>
      </c>
      <c r="C1287" s="40">
        <v>675</v>
      </c>
      <c r="D1287" s="40">
        <v>52</v>
      </c>
      <c r="E1287" s="40" t="s">
        <v>1167</v>
      </c>
      <c r="F1287" s="40" t="s">
        <v>335</v>
      </c>
      <c r="G1287" s="40" t="s">
        <v>339</v>
      </c>
      <c r="H1287" s="40" t="s">
        <v>1168</v>
      </c>
      <c r="I1287" s="360" t="e">
        <f>VLOOKUP(Таблица18[[#This Row],[Номер акта]],$AB$1:$AF$1833,3,FALSE)</f>
        <v>#N/A</v>
      </c>
      <c r="J1287" s="40" t="s">
        <v>909</v>
      </c>
      <c r="K1287" s="40" t="s">
        <v>82</v>
      </c>
      <c r="L1287" s="121">
        <v>22010</v>
      </c>
      <c r="M1287" s="121">
        <v>14920</v>
      </c>
      <c r="N1287" s="121">
        <v>19</v>
      </c>
      <c r="O1287" s="363">
        <v>7090</v>
      </c>
      <c r="P1287" s="363">
        <v>5742.9</v>
      </c>
      <c r="Q1287" s="121">
        <v>2025</v>
      </c>
      <c r="R1287" s="121"/>
      <c r="S1287" s="148">
        <v>45836</v>
      </c>
      <c r="T1287" s="363">
        <f>Таблица18[[#This Row],[Вес нетто]]-Таблица18[[#This Row],[Зачетный вес]]</f>
        <v>1347.1000000000004</v>
      </c>
      <c r="U1287" s="365">
        <f>Таблица18[[#This Row],[Отход]]/Таблица18[[#This Row],[Вес нетто]]</f>
        <v>0.19000000000000006</v>
      </c>
      <c r="V1287" s="121">
        <f>MONTH(Таблица18[[#This Row],[Дата акта]])</f>
        <v>6</v>
      </c>
      <c r="W1287" s="121">
        <v>28</v>
      </c>
      <c r="X1287" s="148">
        <f>DATE(1900,Таблица18[[#This Row],[Месяц]],Таблица18[[#This Row],[Число]])</f>
        <v>180</v>
      </c>
      <c r="Y1287" s="121"/>
      <c r="Z1287" s="121" t="str">
        <f>Таблица18[[#This Row],[Хар-ка]]</f>
        <v>высший</v>
      </c>
      <c r="AD1287" s="459"/>
      <c r="AE1287" s="391"/>
    </row>
    <row r="1288" spans="1:31" s="325" customFormat="1" ht="15.6" hidden="1" customHeight="1" x14ac:dyDescent="0.2">
      <c r="A1288" s="40" t="s">
        <v>1322</v>
      </c>
      <c r="B1288" s="360" t="s">
        <v>511</v>
      </c>
      <c r="C1288" s="40">
        <v>674</v>
      </c>
      <c r="D1288" s="40">
        <v>52</v>
      </c>
      <c r="E1288" s="40" t="s">
        <v>1167</v>
      </c>
      <c r="F1288" s="40" t="s">
        <v>335</v>
      </c>
      <c r="G1288" s="40" t="s">
        <v>339</v>
      </c>
      <c r="H1288" s="40" t="s">
        <v>1168</v>
      </c>
      <c r="I1288" s="360" t="e">
        <f>VLOOKUP(Таблица18[[#This Row],[Номер акта]],$AB$1:$AF$1833,3,FALSE)</f>
        <v>#N/A</v>
      </c>
      <c r="J1288" s="40" t="s">
        <v>1318</v>
      </c>
      <c r="K1288" s="40" t="s">
        <v>82</v>
      </c>
      <c r="L1288" s="121">
        <v>29040</v>
      </c>
      <c r="M1288" s="121">
        <v>22010</v>
      </c>
      <c r="N1288" s="121">
        <v>17</v>
      </c>
      <c r="O1288" s="363">
        <v>7030</v>
      </c>
      <c r="P1288" s="363">
        <v>5834.9</v>
      </c>
      <c r="Q1288" s="121">
        <v>2025</v>
      </c>
      <c r="R1288" s="121"/>
      <c r="S1288" s="148">
        <v>45836</v>
      </c>
      <c r="T1288" s="363">
        <f>Таблица18[[#This Row],[Вес нетто]]-Таблица18[[#This Row],[Зачетный вес]]</f>
        <v>1195.1000000000004</v>
      </c>
      <c r="U1288" s="365">
        <f>Таблица18[[#This Row],[Отход]]/Таблица18[[#This Row],[Вес нетто]]</f>
        <v>0.17000000000000004</v>
      </c>
      <c r="V1288" s="121">
        <f>MONTH(Таблица18[[#This Row],[Дата акта]])</f>
        <v>6</v>
      </c>
      <c r="W1288" s="121">
        <v>28</v>
      </c>
      <c r="X1288" s="148">
        <f>DATE(1900,Таблица18[[#This Row],[Месяц]],Таблица18[[#This Row],[Число]])</f>
        <v>180</v>
      </c>
      <c r="Y1288" s="121"/>
      <c r="Z1288" s="121" t="str">
        <f>Таблица18[[#This Row],[Хар-ка]]</f>
        <v>высший</v>
      </c>
      <c r="AD1288" s="459"/>
      <c r="AE1288" s="391"/>
    </row>
    <row r="1289" spans="1:31" s="325" customFormat="1" ht="15.6" hidden="1" customHeight="1" x14ac:dyDescent="0.2">
      <c r="A1289" s="40" t="s">
        <v>1323</v>
      </c>
      <c r="B1289" s="360" t="s">
        <v>511</v>
      </c>
      <c r="C1289" s="40">
        <v>676</v>
      </c>
      <c r="D1289" s="40">
        <v>50</v>
      </c>
      <c r="E1289" s="40" t="s">
        <v>1167</v>
      </c>
      <c r="F1289" s="40" t="s">
        <v>1312</v>
      </c>
      <c r="G1289" s="40" t="s">
        <v>320</v>
      </c>
      <c r="H1289" s="40" t="s">
        <v>1168</v>
      </c>
      <c r="I1289" s="360" t="e">
        <f>VLOOKUP(Таблица18[[#This Row],[Номер акта]],$AB$1:$AF$1833,3,FALSE)</f>
        <v>#N/A</v>
      </c>
      <c r="J1289" s="40" t="s">
        <v>909</v>
      </c>
      <c r="K1289" s="40" t="s">
        <v>82</v>
      </c>
      <c r="L1289" s="121">
        <v>29480</v>
      </c>
      <c r="M1289" s="121">
        <v>14430</v>
      </c>
      <c r="N1289" s="121">
        <v>15</v>
      </c>
      <c r="O1289" s="363">
        <v>15050</v>
      </c>
      <c r="P1289" s="363">
        <v>12792.5</v>
      </c>
      <c r="Q1289" s="121">
        <v>2025</v>
      </c>
      <c r="R1289" s="121"/>
      <c r="S1289" s="148">
        <v>45836</v>
      </c>
      <c r="T1289" s="363">
        <f>Таблица18[[#This Row],[Вес нетто]]-Таблица18[[#This Row],[Зачетный вес]]</f>
        <v>2257.5</v>
      </c>
      <c r="U1289" s="365">
        <f>Таблица18[[#This Row],[Отход]]/Таблица18[[#This Row],[Вес нетто]]</f>
        <v>0.15</v>
      </c>
      <c r="V1289" s="121">
        <f>MONTH(Таблица18[[#This Row],[Дата акта]])</f>
        <v>6</v>
      </c>
      <c r="W1289" s="121">
        <v>28</v>
      </c>
      <c r="X1289" s="148">
        <f>DATE(1900,Таблица18[[#This Row],[Месяц]],Таблица18[[#This Row],[Число]])</f>
        <v>180</v>
      </c>
      <c r="Y1289" s="121"/>
      <c r="Z1289" s="121" t="str">
        <f>Таблица18[[#This Row],[Хар-ка]]</f>
        <v>высший</v>
      </c>
      <c r="AD1289" s="459"/>
      <c r="AE1289" s="391"/>
    </row>
    <row r="1290" spans="1:31" s="325" customFormat="1" ht="15.6" hidden="1" customHeight="1" x14ac:dyDescent="0.2">
      <c r="A1290" s="40" t="s">
        <v>1324</v>
      </c>
      <c r="B1290" s="360" t="s">
        <v>511</v>
      </c>
      <c r="C1290" s="40">
        <v>678</v>
      </c>
      <c r="D1290" s="40">
        <v>55</v>
      </c>
      <c r="E1290" s="40" t="s">
        <v>1167</v>
      </c>
      <c r="F1290" s="40" t="s">
        <v>1325</v>
      </c>
      <c r="G1290" s="40" t="s">
        <v>119</v>
      </c>
      <c r="H1290" s="40" t="s">
        <v>1168</v>
      </c>
      <c r="I1290" s="360" t="e">
        <f>VLOOKUP(Таблица18[[#This Row],[Номер акта]],$AB$1:$AF$1833,3,FALSE)</f>
        <v>#N/A</v>
      </c>
      <c r="J1290" s="40" t="s">
        <v>909</v>
      </c>
      <c r="K1290" s="40" t="s">
        <v>82</v>
      </c>
      <c r="L1290" s="121">
        <v>35120</v>
      </c>
      <c r="M1290" s="121">
        <v>27970</v>
      </c>
      <c r="N1290" s="121">
        <v>10.5</v>
      </c>
      <c r="O1290" s="363">
        <v>7150</v>
      </c>
      <c r="P1290" s="363">
        <v>6399.2</v>
      </c>
      <c r="Q1290" s="121">
        <v>2025</v>
      </c>
      <c r="R1290" s="121"/>
      <c r="S1290" s="148">
        <v>45837</v>
      </c>
      <c r="T1290" s="363">
        <f>Таблица18[[#This Row],[Вес нетто]]-Таблица18[[#This Row],[Зачетный вес]]</f>
        <v>750.80000000000018</v>
      </c>
      <c r="U1290" s="365">
        <f>Таблица18[[#This Row],[Отход]]/Таблица18[[#This Row],[Вес нетто]]</f>
        <v>0.10500699300699304</v>
      </c>
      <c r="V1290" s="121">
        <f>MONTH(Таблица18[[#This Row],[Дата акта]])</f>
        <v>6</v>
      </c>
      <c r="W1290" s="121">
        <v>29</v>
      </c>
      <c r="X1290" s="148">
        <f>DATE(1900,Таблица18[[#This Row],[Месяц]],Таблица18[[#This Row],[Число]])</f>
        <v>181</v>
      </c>
      <c r="Y1290" s="121"/>
      <c r="Z1290" s="121" t="str">
        <f>Таблица18[[#This Row],[Хар-ка]]</f>
        <v>высший</v>
      </c>
      <c r="AD1290" s="459"/>
      <c r="AE1290" s="391"/>
    </row>
    <row r="1291" spans="1:31" s="325" customFormat="1" ht="15.6" hidden="1" customHeight="1" x14ac:dyDescent="0.2">
      <c r="A1291" s="40" t="s">
        <v>1326</v>
      </c>
      <c r="B1291" s="360" t="s">
        <v>511</v>
      </c>
      <c r="C1291" s="40">
        <v>679</v>
      </c>
      <c r="D1291" s="40">
        <v>55</v>
      </c>
      <c r="E1291" s="40" t="s">
        <v>1167</v>
      </c>
      <c r="F1291" s="40" t="s">
        <v>1325</v>
      </c>
      <c r="G1291" s="40" t="s">
        <v>119</v>
      </c>
      <c r="H1291" s="40" t="s">
        <v>1168</v>
      </c>
      <c r="I1291" s="360" t="e">
        <f>VLOOKUP(Таблица18[[#This Row],[Номер акта]],$AB$1:$AF$1833,3,FALSE)</f>
        <v>#N/A</v>
      </c>
      <c r="J1291" s="40" t="s">
        <v>1318</v>
      </c>
      <c r="K1291" s="40" t="s">
        <v>82</v>
      </c>
      <c r="L1291" s="121">
        <v>27970</v>
      </c>
      <c r="M1291" s="121">
        <v>20920</v>
      </c>
      <c r="N1291" s="121">
        <v>8.5</v>
      </c>
      <c r="O1291" s="363">
        <v>7050</v>
      </c>
      <c r="P1291" s="363">
        <v>6450.7</v>
      </c>
      <c r="Q1291" s="121">
        <v>2025</v>
      </c>
      <c r="R1291" s="121"/>
      <c r="S1291" s="148">
        <v>45837</v>
      </c>
      <c r="T1291" s="363">
        <f>Таблица18[[#This Row],[Вес нетто]]-Таблица18[[#This Row],[Зачетный вес]]</f>
        <v>599.30000000000018</v>
      </c>
      <c r="U1291" s="365">
        <f>Таблица18[[#This Row],[Отход]]/Таблица18[[#This Row],[Вес нетто]]</f>
        <v>8.5007092198581588E-2</v>
      </c>
      <c r="V1291" s="121">
        <f>MONTH(Таблица18[[#This Row],[Дата акта]])</f>
        <v>6</v>
      </c>
      <c r="W1291" s="121">
        <v>29</v>
      </c>
      <c r="X1291" s="148">
        <f>DATE(1900,Таблица18[[#This Row],[Месяц]],Таблица18[[#This Row],[Число]])</f>
        <v>181</v>
      </c>
      <c r="Y1291" s="121"/>
      <c r="Z1291" s="121" t="str">
        <f>Таблица18[[#This Row],[Хар-ка]]</f>
        <v>высший</v>
      </c>
      <c r="AD1291" s="459"/>
      <c r="AE1291" s="391"/>
    </row>
    <row r="1292" spans="1:31" s="325" customFormat="1" ht="15.6" hidden="1" customHeight="1" x14ac:dyDescent="0.2">
      <c r="A1292" s="40" t="s">
        <v>1327</v>
      </c>
      <c r="B1292" s="360" t="s">
        <v>511</v>
      </c>
      <c r="C1292" s="40">
        <v>680</v>
      </c>
      <c r="D1292" s="40">
        <v>54</v>
      </c>
      <c r="E1292" s="40" t="s">
        <v>1167</v>
      </c>
      <c r="F1292" s="40" t="s">
        <v>160</v>
      </c>
      <c r="G1292" s="40" t="s">
        <v>164</v>
      </c>
      <c r="H1292" s="40" t="s">
        <v>1168</v>
      </c>
      <c r="I1292" s="360" t="e">
        <f>VLOOKUP(Таблица18[[#This Row],[Номер акта]],$AB$1:$AF$1833,3,FALSE)</f>
        <v>#N/A</v>
      </c>
      <c r="J1292" s="40" t="s">
        <v>1318</v>
      </c>
      <c r="K1292" s="40" t="s">
        <v>82</v>
      </c>
      <c r="L1292" s="121">
        <v>38080</v>
      </c>
      <c r="M1292" s="121">
        <v>24150</v>
      </c>
      <c r="N1292" s="121">
        <v>14</v>
      </c>
      <c r="O1292" s="363">
        <v>13930</v>
      </c>
      <c r="P1292" s="363">
        <v>11979.8</v>
      </c>
      <c r="Q1292" s="121">
        <v>2025</v>
      </c>
      <c r="R1292" s="121"/>
      <c r="S1292" s="148">
        <v>45837</v>
      </c>
      <c r="T1292" s="363">
        <f>Таблица18[[#This Row],[Вес нетто]]-Таблица18[[#This Row],[Зачетный вес]]</f>
        <v>1950.2000000000007</v>
      </c>
      <c r="U1292" s="365">
        <f>Таблица18[[#This Row],[Отход]]/Таблица18[[#This Row],[Вес нетто]]</f>
        <v>0.14000000000000004</v>
      </c>
      <c r="V1292" s="121">
        <f>MONTH(Таблица18[[#This Row],[Дата акта]])</f>
        <v>6</v>
      </c>
      <c r="W1292" s="121">
        <v>29</v>
      </c>
      <c r="X1292" s="148">
        <f>DATE(1900,Таблица18[[#This Row],[Месяц]],Таблица18[[#This Row],[Число]])</f>
        <v>181</v>
      </c>
      <c r="Y1292" s="121"/>
      <c r="Z1292" s="121" t="str">
        <f>Таблица18[[#This Row],[Хар-ка]]</f>
        <v>высший</v>
      </c>
      <c r="AD1292" s="459"/>
      <c r="AE1292" s="391"/>
    </row>
    <row r="1293" spans="1:31" s="325" customFormat="1" ht="15.6" hidden="1" customHeight="1" x14ac:dyDescent="0.2">
      <c r="A1293" s="40" t="s">
        <v>1328</v>
      </c>
      <c r="B1293" s="360" t="s">
        <v>511</v>
      </c>
      <c r="C1293" s="40">
        <v>681</v>
      </c>
      <c r="D1293" s="40">
        <v>54958</v>
      </c>
      <c r="E1293" s="40" t="s">
        <v>914</v>
      </c>
      <c r="F1293" s="40" t="s">
        <v>127</v>
      </c>
      <c r="G1293" s="40" t="s">
        <v>131</v>
      </c>
      <c r="H1293" s="40">
        <v>14</v>
      </c>
      <c r="I1293" s="360" t="e">
        <f>VLOOKUP(Таблица18[[#This Row],[Номер акта]],$AB$1:$AF$1833,3,FALSE)</f>
        <v>#N/A</v>
      </c>
      <c r="J1293" s="40" t="s">
        <v>1316</v>
      </c>
      <c r="K1293" s="40" t="s">
        <v>82</v>
      </c>
      <c r="L1293" s="121">
        <v>23440</v>
      </c>
      <c r="M1293" s="121">
        <v>14350</v>
      </c>
      <c r="N1293" s="121">
        <v>13.5</v>
      </c>
      <c r="O1293" s="363">
        <v>9090</v>
      </c>
      <c r="P1293" s="363">
        <v>7862.8</v>
      </c>
      <c r="Q1293" s="121">
        <v>2025</v>
      </c>
      <c r="R1293" s="121"/>
      <c r="S1293" s="148">
        <v>45837</v>
      </c>
      <c r="T1293" s="363">
        <f>Таблица18[[#This Row],[Вес нетто]]-Таблица18[[#This Row],[Зачетный вес]]</f>
        <v>1227.1999999999998</v>
      </c>
      <c r="U1293" s="365">
        <f>Таблица18[[#This Row],[Отход]]/Таблица18[[#This Row],[Вес нетто]]</f>
        <v>0.13500550055005497</v>
      </c>
      <c r="V1293" s="121">
        <f>MONTH(Таблица18[[#This Row],[Дата акта]])</f>
        <v>6</v>
      </c>
      <c r="W1293" s="121">
        <v>29</v>
      </c>
      <c r="X1293" s="148">
        <f>DATE(1900,Таблица18[[#This Row],[Месяц]],Таблица18[[#This Row],[Число]])</f>
        <v>181</v>
      </c>
      <c r="Y1293" s="121"/>
      <c r="Z1293" s="121" t="str">
        <f>Таблица18[[#This Row],[Хар-ка]]</f>
        <v>высший</v>
      </c>
      <c r="AD1293" s="459"/>
      <c r="AE1293" s="391"/>
    </row>
    <row r="1294" spans="1:31" s="325" customFormat="1" ht="15.6" hidden="1" customHeight="1" x14ac:dyDescent="0.2">
      <c r="A1294" s="40" t="s">
        <v>1329</v>
      </c>
      <c r="B1294" s="360" t="s">
        <v>511</v>
      </c>
      <c r="C1294" s="40">
        <v>682</v>
      </c>
      <c r="D1294" s="40">
        <v>57</v>
      </c>
      <c r="E1294" s="40" t="s">
        <v>1167</v>
      </c>
      <c r="F1294" s="40" t="s">
        <v>1461</v>
      </c>
      <c r="G1294" s="40" t="s">
        <v>149</v>
      </c>
      <c r="H1294" s="40" t="s">
        <v>1168</v>
      </c>
      <c r="I1294" s="360" t="e">
        <f>VLOOKUP(Таблица18[[#This Row],[Номер акта]],$AB$1:$AF$1833,3,FALSE)</f>
        <v>#N/A</v>
      </c>
      <c r="J1294" s="40" t="s">
        <v>909</v>
      </c>
      <c r="K1294" s="40" t="s">
        <v>82</v>
      </c>
      <c r="L1294" s="121">
        <v>28620</v>
      </c>
      <c r="M1294" s="121">
        <v>14940</v>
      </c>
      <c r="N1294" s="121">
        <v>15</v>
      </c>
      <c r="O1294" s="363">
        <v>13680</v>
      </c>
      <c r="P1294" s="363">
        <v>11628</v>
      </c>
      <c r="Q1294" s="121">
        <v>2025</v>
      </c>
      <c r="R1294" s="121"/>
      <c r="S1294" s="148">
        <v>45837</v>
      </c>
      <c r="T1294" s="363">
        <f>Таблица18[[#This Row],[Вес нетто]]-Таблица18[[#This Row],[Зачетный вес]]</f>
        <v>2052</v>
      </c>
      <c r="U1294" s="365">
        <f>Таблица18[[#This Row],[Отход]]/Таблица18[[#This Row],[Вес нетто]]</f>
        <v>0.15</v>
      </c>
      <c r="V1294" s="121">
        <f>MONTH(Таблица18[[#This Row],[Дата акта]])</f>
        <v>6</v>
      </c>
      <c r="W1294" s="121">
        <v>29</v>
      </c>
      <c r="X1294" s="148">
        <f>DATE(1900,Таблица18[[#This Row],[Месяц]],Таблица18[[#This Row],[Число]])</f>
        <v>181</v>
      </c>
      <c r="Y1294" s="121"/>
      <c r="Z1294" s="121" t="str">
        <f>Таблица18[[#This Row],[Хар-ка]]</f>
        <v>высший</v>
      </c>
      <c r="AD1294" s="459"/>
      <c r="AE1294" s="391"/>
    </row>
    <row r="1295" spans="1:31" s="325" customFormat="1" ht="15.6" hidden="1" customHeight="1" x14ac:dyDescent="0.2">
      <c r="A1295" s="40" t="s">
        <v>1330</v>
      </c>
      <c r="B1295" s="360" t="s">
        <v>511</v>
      </c>
      <c r="C1295" s="40">
        <v>683</v>
      </c>
      <c r="D1295" s="40">
        <v>54958</v>
      </c>
      <c r="E1295" s="40" t="s">
        <v>914</v>
      </c>
      <c r="F1295" s="40" t="s">
        <v>762</v>
      </c>
      <c r="G1295" s="40" t="s">
        <v>763</v>
      </c>
      <c r="H1295" s="40">
        <v>14</v>
      </c>
      <c r="I1295" s="360" t="e">
        <f>VLOOKUP(Таблица18[[#This Row],[Номер акта]],$AB$1:$AF$1833,3,FALSE)</f>
        <v>#N/A</v>
      </c>
      <c r="J1295" s="40" t="s">
        <v>1316</v>
      </c>
      <c r="K1295" s="40" t="s">
        <v>82</v>
      </c>
      <c r="L1295" s="121">
        <v>9150</v>
      </c>
      <c r="M1295" s="121">
        <v>4610</v>
      </c>
      <c r="N1295" s="121">
        <v>12.5</v>
      </c>
      <c r="O1295" s="363">
        <v>4540</v>
      </c>
      <c r="P1295" s="363">
        <v>3972.5</v>
      </c>
      <c r="Q1295" s="121">
        <v>2025</v>
      </c>
      <c r="R1295" s="121"/>
      <c r="S1295" s="148">
        <v>45837</v>
      </c>
      <c r="T1295" s="363">
        <f>Таблица18[[#This Row],[Вес нетто]]-Таблица18[[#This Row],[Зачетный вес]]</f>
        <v>567.5</v>
      </c>
      <c r="U1295" s="365">
        <f>Таблица18[[#This Row],[Отход]]/Таблица18[[#This Row],[Вес нетто]]</f>
        <v>0.125</v>
      </c>
      <c r="V1295" s="121">
        <f>MONTH(Таблица18[[#This Row],[Дата акта]])</f>
        <v>6</v>
      </c>
      <c r="W1295" s="121">
        <v>29</v>
      </c>
      <c r="X1295" s="148">
        <f>DATE(1900,Таблица18[[#This Row],[Месяц]],Таблица18[[#This Row],[Число]])</f>
        <v>181</v>
      </c>
      <c r="Y1295" s="121"/>
      <c r="Z1295" s="121" t="str">
        <f>Таблица18[[#This Row],[Хар-ка]]</f>
        <v>высший</v>
      </c>
      <c r="AD1295" s="459"/>
      <c r="AE1295" s="391"/>
    </row>
    <row r="1296" spans="1:31" s="325" customFormat="1" ht="15.6" hidden="1" customHeight="1" x14ac:dyDescent="0.2">
      <c r="A1296" s="40" t="s">
        <v>1331</v>
      </c>
      <c r="B1296" s="360" t="s">
        <v>511</v>
      </c>
      <c r="C1296" s="40">
        <v>684</v>
      </c>
      <c r="D1296" s="40">
        <v>54953</v>
      </c>
      <c r="E1296" s="40" t="s">
        <v>914</v>
      </c>
      <c r="F1296" s="40" t="s">
        <v>244</v>
      </c>
      <c r="G1296" s="40" t="s">
        <v>248</v>
      </c>
      <c r="H1296" s="40">
        <v>14</v>
      </c>
      <c r="I1296" s="360" t="e">
        <f>VLOOKUP(Таблица18[[#This Row],[Номер акта]],$AB$1:$AF$1833,3,FALSE)</f>
        <v>#N/A</v>
      </c>
      <c r="J1296" s="40" t="s">
        <v>1316</v>
      </c>
      <c r="K1296" s="40" t="s">
        <v>82</v>
      </c>
      <c r="L1296" s="121">
        <v>18400</v>
      </c>
      <c r="M1296" s="121">
        <v>15660</v>
      </c>
      <c r="N1296" s="121">
        <v>11</v>
      </c>
      <c r="O1296" s="363">
        <v>2740</v>
      </c>
      <c r="P1296" s="363">
        <v>2438.6</v>
      </c>
      <c r="Q1296" s="121">
        <v>2025</v>
      </c>
      <c r="R1296" s="121"/>
      <c r="S1296" s="148">
        <v>45838</v>
      </c>
      <c r="T1296" s="363">
        <f>Таблица18[[#This Row],[Вес нетто]]-Таблица18[[#This Row],[Зачетный вес]]</f>
        <v>301.40000000000009</v>
      </c>
      <c r="U1296" s="365">
        <f>Таблица18[[#This Row],[Отход]]/Таблица18[[#This Row],[Вес нетто]]</f>
        <v>0.11000000000000003</v>
      </c>
      <c r="V1296" s="121">
        <f>MONTH(Таблица18[[#This Row],[Дата акта]])</f>
        <v>6</v>
      </c>
      <c r="W1296" s="121">
        <v>30</v>
      </c>
      <c r="X1296" s="148">
        <f>DATE(1900,Таблица18[[#This Row],[Месяц]],Таблица18[[#This Row],[Число]])</f>
        <v>182</v>
      </c>
      <c r="Y1296" s="121"/>
      <c r="Z1296" s="121" t="str">
        <f>Таблица18[[#This Row],[Хар-ка]]</f>
        <v>высший</v>
      </c>
      <c r="AD1296" s="459"/>
      <c r="AE1296" s="391"/>
    </row>
    <row r="1297" spans="1:31" s="325" customFormat="1" ht="15.6" hidden="1" customHeight="1" x14ac:dyDescent="0.2">
      <c r="A1297" s="40" t="s">
        <v>1332</v>
      </c>
      <c r="B1297" s="360" t="s">
        <v>511</v>
      </c>
      <c r="C1297" s="40">
        <v>677</v>
      </c>
      <c r="D1297" s="40">
        <v>53</v>
      </c>
      <c r="E1297" s="40" t="s">
        <v>1167</v>
      </c>
      <c r="F1297" s="40" t="s">
        <v>347</v>
      </c>
      <c r="G1297" s="40" t="s">
        <v>351</v>
      </c>
      <c r="H1297" s="40" t="s">
        <v>1168</v>
      </c>
      <c r="I1297" s="360" t="e">
        <f>VLOOKUP(Таблица18[[#This Row],[Номер акта]],$AB$1:$AF$1833,3,FALSE)</f>
        <v>#N/A</v>
      </c>
      <c r="J1297" s="40" t="s">
        <v>1318</v>
      </c>
      <c r="K1297" s="40" t="s">
        <v>82</v>
      </c>
      <c r="L1297" s="121">
        <v>29430</v>
      </c>
      <c r="M1297" s="121">
        <v>22535</v>
      </c>
      <c r="N1297" s="121">
        <v>9.5</v>
      </c>
      <c r="O1297" s="363">
        <v>6895</v>
      </c>
      <c r="P1297" s="363">
        <v>6240</v>
      </c>
      <c r="Q1297" s="121">
        <v>2025</v>
      </c>
      <c r="R1297" s="121"/>
      <c r="S1297" s="148">
        <v>45837</v>
      </c>
      <c r="T1297" s="363">
        <f>Таблица18[[#This Row],[Вес нетто]]-Таблица18[[#This Row],[Зачетный вес]]</f>
        <v>655</v>
      </c>
      <c r="U1297" s="365">
        <f>Таблица18[[#This Row],[Отход]]/Таблица18[[#This Row],[Вес нетто]]</f>
        <v>9.4996374184191448E-2</v>
      </c>
      <c r="V1297" s="121">
        <f>MONTH(Таблица18[[#This Row],[Дата акта]])</f>
        <v>6</v>
      </c>
      <c r="W1297" s="121">
        <v>29</v>
      </c>
      <c r="X1297" s="148">
        <f>DATE(1900,Таблица18[[#This Row],[Месяц]],Таблица18[[#This Row],[Число]])</f>
        <v>181</v>
      </c>
      <c r="Y1297" s="121"/>
      <c r="Z1297" s="121" t="str">
        <f>Таблица18[[#This Row],[Хар-ка]]</f>
        <v>высший</v>
      </c>
      <c r="AD1297" s="459"/>
      <c r="AE1297" s="391"/>
    </row>
    <row r="1298" spans="1:31" s="325" customFormat="1" ht="15.6" hidden="1" customHeight="1" x14ac:dyDescent="0.2">
      <c r="A1298" s="40" t="s">
        <v>1333</v>
      </c>
      <c r="B1298" s="360" t="s">
        <v>511</v>
      </c>
      <c r="C1298" s="40">
        <v>685</v>
      </c>
      <c r="D1298" s="40">
        <v>53</v>
      </c>
      <c r="E1298" s="40" t="s">
        <v>1167</v>
      </c>
      <c r="F1298" s="40" t="s">
        <v>347</v>
      </c>
      <c r="G1298" s="40" t="s">
        <v>351</v>
      </c>
      <c r="H1298" s="40" t="s">
        <v>1168</v>
      </c>
      <c r="I1298" s="360" t="e">
        <f>VLOOKUP(Таблица18[[#This Row],[Номер акта]],$AB$1:$AF$1833,3,FALSE)</f>
        <v>#N/A</v>
      </c>
      <c r="J1298" s="40" t="s">
        <v>909</v>
      </c>
      <c r="K1298" s="40" t="s">
        <v>82</v>
      </c>
      <c r="L1298" s="121">
        <v>22535</v>
      </c>
      <c r="M1298" s="121">
        <v>15640</v>
      </c>
      <c r="N1298" s="121">
        <v>12</v>
      </c>
      <c r="O1298" s="363">
        <v>6895</v>
      </c>
      <c r="P1298" s="363">
        <v>6067.6</v>
      </c>
      <c r="Q1298" s="121">
        <v>2025</v>
      </c>
      <c r="R1298" s="121"/>
      <c r="S1298" s="148">
        <v>45837</v>
      </c>
      <c r="T1298" s="363">
        <f>Таблица18[[#This Row],[Вес нетто]]-Таблица18[[#This Row],[Зачетный вес]]</f>
        <v>827.39999999999964</v>
      </c>
      <c r="U1298" s="365">
        <f>Таблица18[[#This Row],[Отход]]/Таблица18[[#This Row],[Вес нетто]]</f>
        <v>0.11999999999999995</v>
      </c>
      <c r="V1298" s="121">
        <f>MONTH(Таблица18[[#This Row],[Дата акта]])</f>
        <v>6</v>
      </c>
      <c r="W1298" s="121">
        <v>29</v>
      </c>
      <c r="X1298" s="148">
        <f>DATE(1900,Таблица18[[#This Row],[Месяц]],Таблица18[[#This Row],[Число]])</f>
        <v>181</v>
      </c>
      <c r="Y1298" s="121"/>
      <c r="Z1298" s="121" t="str">
        <f>Таблица18[[#This Row],[Хар-ка]]</f>
        <v>высший</v>
      </c>
      <c r="AD1298" s="459"/>
      <c r="AE1298" s="391"/>
    </row>
    <row r="1299" spans="1:31" s="325" customFormat="1" ht="15.6" hidden="1" customHeight="1" x14ac:dyDescent="0.2">
      <c r="A1299" s="40" t="s">
        <v>1334</v>
      </c>
      <c r="B1299" s="360" t="s">
        <v>511</v>
      </c>
      <c r="C1299" s="40">
        <v>687</v>
      </c>
      <c r="D1299" s="40">
        <v>54959</v>
      </c>
      <c r="E1299" s="40" t="s">
        <v>914</v>
      </c>
      <c r="F1299" s="40" t="s">
        <v>262</v>
      </c>
      <c r="G1299" s="40" t="s">
        <v>266</v>
      </c>
      <c r="H1299" s="40">
        <v>14</v>
      </c>
      <c r="I1299" s="360" t="e">
        <f>VLOOKUP(Таблица18[[#This Row],[Номер акта]],$AB$1:$AF$1833,3,FALSE)</f>
        <v>#N/A</v>
      </c>
      <c r="J1299" s="40" t="s">
        <v>1316</v>
      </c>
      <c r="K1299" s="40" t="s">
        <v>82</v>
      </c>
      <c r="L1299" s="121">
        <v>23370</v>
      </c>
      <c r="M1299" s="121">
        <v>14830</v>
      </c>
      <c r="N1299" s="121">
        <v>10.5</v>
      </c>
      <c r="O1299" s="363">
        <v>8540</v>
      </c>
      <c r="P1299" s="363">
        <v>7643.3</v>
      </c>
      <c r="Q1299" s="121">
        <v>2025</v>
      </c>
      <c r="R1299" s="121"/>
      <c r="S1299" s="148">
        <v>45838</v>
      </c>
      <c r="T1299" s="363">
        <f>Таблица18[[#This Row],[Вес нетто]]-Таблица18[[#This Row],[Зачетный вес]]</f>
        <v>896.69999999999982</v>
      </c>
      <c r="U1299" s="365">
        <f>Таблица18[[#This Row],[Отход]]/Таблица18[[#This Row],[Вес нетто]]</f>
        <v>0.10499999999999998</v>
      </c>
      <c r="V1299" s="121">
        <f>MONTH(Таблица18[[#This Row],[Дата акта]])</f>
        <v>6</v>
      </c>
      <c r="W1299" s="121">
        <v>30</v>
      </c>
      <c r="X1299" s="148">
        <f>DATE(1900,Таблица18[[#This Row],[Месяц]],Таблица18[[#This Row],[Число]])</f>
        <v>182</v>
      </c>
      <c r="Y1299" s="121"/>
      <c r="Z1299" s="121" t="str">
        <f>Таблица18[[#This Row],[Хар-ка]]</f>
        <v>высший</v>
      </c>
      <c r="AD1299" s="459"/>
      <c r="AE1299" s="391"/>
    </row>
    <row r="1300" spans="1:31" s="325" customFormat="1" ht="15.6" hidden="1" customHeight="1" x14ac:dyDescent="0.2">
      <c r="A1300" s="40" t="s">
        <v>1359</v>
      </c>
      <c r="B1300" s="360" t="s">
        <v>511</v>
      </c>
      <c r="C1300" s="40">
        <v>689</v>
      </c>
      <c r="D1300" s="40">
        <v>54960</v>
      </c>
      <c r="E1300" s="40" t="s">
        <v>914</v>
      </c>
      <c r="F1300" s="40" t="s">
        <v>111</v>
      </c>
      <c r="G1300" s="40" t="s">
        <v>114</v>
      </c>
      <c r="H1300" s="40">
        <v>14</v>
      </c>
      <c r="I1300" s="360" t="e">
        <f>VLOOKUP(Таблица18[[#This Row],[Номер акта]],$AB$1:$AF$1833,3,FALSE)</f>
        <v>#N/A</v>
      </c>
      <c r="J1300" s="40" t="s">
        <v>1316</v>
      </c>
      <c r="K1300" s="40" t="s">
        <v>82</v>
      </c>
      <c r="L1300" s="121">
        <v>23950</v>
      </c>
      <c r="M1300" s="121">
        <v>15560</v>
      </c>
      <c r="N1300" s="121">
        <v>14</v>
      </c>
      <c r="O1300" s="363">
        <v>8390</v>
      </c>
      <c r="P1300" s="363">
        <v>7215.4</v>
      </c>
      <c r="Q1300" s="121">
        <v>2025</v>
      </c>
      <c r="R1300" s="121"/>
      <c r="S1300" s="148">
        <v>45838</v>
      </c>
      <c r="T1300" s="363">
        <f>Таблица18[[#This Row],[Вес нетто]]-Таблица18[[#This Row],[Зачетный вес]]</f>
        <v>1174.6000000000004</v>
      </c>
      <c r="U1300" s="365">
        <f>Таблица18[[#This Row],[Отход]]/Таблица18[[#This Row],[Вес нетто]]</f>
        <v>0.14000000000000004</v>
      </c>
      <c r="V1300" s="121">
        <f>MONTH(Таблица18[[#This Row],[Дата акта]])</f>
        <v>6</v>
      </c>
      <c r="W1300" s="121">
        <v>30</v>
      </c>
      <c r="X1300" s="148">
        <f>DATE(1900,Таблица18[[#This Row],[Месяц]],Таблица18[[#This Row],[Число]])</f>
        <v>182</v>
      </c>
      <c r="Y1300" s="121"/>
      <c r="Z1300" s="121" t="str">
        <f>Таблица18[[#This Row],[Хар-ка]]</f>
        <v>высший</v>
      </c>
      <c r="AD1300" s="459"/>
      <c r="AE1300" s="391"/>
    </row>
    <row r="1301" spans="1:31" s="325" customFormat="1" ht="15.6" hidden="1" customHeight="1" x14ac:dyDescent="0.2">
      <c r="A1301" s="40" t="s">
        <v>1360</v>
      </c>
      <c r="B1301" s="360" t="s">
        <v>511</v>
      </c>
      <c r="C1301" s="40">
        <v>690</v>
      </c>
      <c r="D1301" s="40">
        <v>54961</v>
      </c>
      <c r="E1301" s="40" t="s">
        <v>914</v>
      </c>
      <c r="F1301" s="40" t="s">
        <v>79</v>
      </c>
      <c r="G1301" s="40" t="s">
        <v>80</v>
      </c>
      <c r="H1301" s="40">
        <v>14</v>
      </c>
      <c r="I1301" s="360" t="e">
        <f>VLOOKUP(Таблица18[[#This Row],[Номер акта]],$AB$1:$AF$1833,3,FALSE)</f>
        <v>#N/A</v>
      </c>
      <c r="J1301" s="40" t="s">
        <v>1316</v>
      </c>
      <c r="K1301" s="40" t="s">
        <v>82</v>
      </c>
      <c r="L1301" s="121">
        <v>22880</v>
      </c>
      <c r="M1301" s="121">
        <v>14180</v>
      </c>
      <c r="N1301" s="121">
        <v>15</v>
      </c>
      <c r="O1301" s="363">
        <v>8700</v>
      </c>
      <c r="P1301" s="363">
        <v>7395</v>
      </c>
      <c r="Q1301" s="121">
        <v>2025</v>
      </c>
      <c r="R1301" s="121"/>
      <c r="S1301" s="148">
        <v>45838</v>
      </c>
      <c r="T1301" s="363">
        <f>Таблица18[[#This Row],[Вес нетто]]-Таблица18[[#This Row],[Зачетный вес]]</f>
        <v>1305</v>
      </c>
      <c r="U1301" s="365">
        <f>Таблица18[[#This Row],[Отход]]/Таблица18[[#This Row],[Вес нетто]]</f>
        <v>0.15</v>
      </c>
      <c r="V1301" s="121">
        <f>MONTH(Таблица18[[#This Row],[Дата акта]])</f>
        <v>6</v>
      </c>
      <c r="W1301" s="121">
        <v>30</v>
      </c>
      <c r="X1301" s="148">
        <f>DATE(1900,Таблица18[[#This Row],[Месяц]],Таблица18[[#This Row],[Число]])</f>
        <v>182</v>
      </c>
      <c r="Y1301" s="121"/>
      <c r="Z1301" s="121" t="str">
        <f>Таблица18[[#This Row],[Хар-ка]]</f>
        <v>высший</v>
      </c>
      <c r="AD1301" s="459"/>
      <c r="AE1301" s="391"/>
    </row>
    <row r="1302" spans="1:31" s="325" customFormat="1" ht="15.6" hidden="1" customHeight="1" x14ac:dyDescent="0.2">
      <c r="A1302" s="40" t="s">
        <v>1361</v>
      </c>
      <c r="B1302" s="360" t="s">
        <v>511</v>
      </c>
      <c r="C1302" s="40">
        <v>692</v>
      </c>
      <c r="D1302" s="40">
        <v>59</v>
      </c>
      <c r="E1302" s="40" t="s">
        <v>1167</v>
      </c>
      <c r="F1302" s="40" t="s">
        <v>212</v>
      </c>
      <c r="G1302" s="40" t="s">
        <v>216</v>
      </c>
      <c r="H1302" s="40" t="s">
        <v>1168</v>
      </c>
      <c r="I1302" s="360" t="e">
        <f>VLOOKUP(Таблица18[[#This Row],[Номер акта]],$AB$1:$AF$1833,3,FALSE)</f>
        <v>#N/A</v>
      </c>
      <c r="J1302" s="40" t="s">
        <v>909</v>
      </c>
      <c r="K1302" s="40" t="s">
        <v>82</v>
      </c>
      <c r="L1302" s="121">
        <v>27500</v>
      </c>
      <c r="M1302" s="121">
        <v>13820</v>
      </c>
      <c r="N1302" s="121">
        <v>13</v>
      </c>
      <c r="O1302" s="363">
        <v>13680</v>
      </c>
      <c r="P1302" s="363">
        <v>11901.6</v>
      </c>
      <c r="Q1302" s="121">
        <v>2025</v>
      </c>
      <c r="R1302" s="121"/>
      <c r="S1302" s="148">
        <v>45839</v>
      </c>
      <c r="T1302" s="363">
        <f>Таблица18[[#This Row],[Вес нетто]]-Таблица18[[#This Row],[Зачетный вес]]</f>
        <v>1778.3999999999996</v>
      </c>
      <c r="U1302" s="365">
        <f>Таблица18[[#This Row],[Отход]]/Таблица18[[#This Row],[Вес нетто]]</f>
        <v>0.12999999999999998</v>
      </c>
      <c r="V1302" s="121">
        <f>MONTH(Таблица18[[#This Row],[Дата акта]])</f>
        <v>7</v>
      </c>
      <c r="W1302" s="121">
        <v>1</v>
      </c>
      <c r="X1302" s="148">
        <f>DATE(1900,Таблица18[[#This Row],[Месяц]],Таблица18[[#This Row],[Число]])</f>
        <v>183</v>
      </c>
      <c r="Y1302" s="121"/>
      <c r="Z1302" s="121" t="str">
        <f>Таблица18[[#This Row],[Хар-ка]]</f>
        <v>высший</v>
      </c>
      <c r="AD1302" s="459"/>
      <c r="AE1302" s="391"/>
    </row>
    <row r="1303" spans="1:31" s="325" customFormat="1" ht="15.6" hidden="1" customHeight="1" x14ac:dyDescent="0.2">
      <c r="A1303" s="40" t="s">
        <v>1362</v>
      </c>
      <c r="B1303" s="360" t="s">
        <v>511</v>
      </c>
      <c r="C1303" s="40">
        <v>693</v>
      </c>
      <c r="D1303" s="40">
        <v>58</v>
      </c>
      <c r="E1303" s="40" t="s">
        <v>1167</v>
      </c>
      <c r="F1303" s="40" t="s">
        <v>1253</v>
      </c>
      <c r="G1303" s="40" t="s">
        <v>270</v>
      </c>
      <c r="H1303" s="40" t="s">
        <v>1168</v>
      </c>
      <c r="I1303" s="360" t="e">
        <f>VLOOKUP(Таблица18[[#This Row],[Номер акта]],$AB$1:$AF$1833,3,FALSE)</f>
        <v>#N/A</v>
      </c>
      <c r="J1303" s="40" t="s">
        <v>909</v>
      </c>
      <c r="K1303" s="40" t="s">
        <v>82</v>
      </c>
      <c r="L1303" s="121">
        <v>28870</v>
      </c>
      <c r="M1303" s="121">
        <v>14960</v>
      </c>
      <c r="N1303" s="121">
        <v>9</v>
      </c>
      <c r="O1303" s="363">
        <v>13910</v>
      </c>
      <c r="P1303" s="363">
        <v>12658.1</v>
      </c>
      <c r="Q1303" s="121">
        <v>2025</v>
      </c>
      <c r="R1303" s="121"/>
      <c r="S1303" s="148">
        <v>45839</v>
      </c>
      <c r="T1303" s="363">
        <f>Таблица18[[#This Row],[Вес нетто]]-Таблица18[[#This Row],[Зачетный вес]]</f>
        <v>1251.8999999999996</v>
      </c>
      <c r="U1303" s="365">
        <f>Таблица18[[#This Row],[Отход]]/Таблица18[[#This Row],[Вес нетто]]</f>
        <v>8.9999999999999969E-2</v>
      </c>
      <c r="V1303" s="121">
        <f>MONTH(Таблица18[[#This Row],[Дата акта]])</f>
        <v>7</v>
      </c>
      <c r="W1303" s="121">
        <v>1</v>
      </c>
      <c r="X1303" s="148">
        <f>DATE(1900,Таблица18[[#This Row],[Месяц]],Таблица18[[#This Row],[Число]])</f>
        <v>183</v>
      </c>
      <c r="Y1303" s="121"/>
      <c r="Z1303" s="121" t="str">
        <f>Таблица18[[#This Row],[Хар-ка]]</f>
        <v>высший</v>
      </c>
      <c r="AD1303" s="459"/>
      <c r="AE1303" s="391"/>
    </row>
    <row r="1304" spans="1:31" s="325" customFormat="1" ht="15.6" hidden="1" customHeight="1" x14ac:dyDescent="0.2">
      <c r="A1304" s="40" t="s">
        <v>1363</v>
      </c>
      <c r="B1304" s="360" t="s">
        <v>511</v>
      </c>
      <c r="C1304" s="40">
        <v>694</v>
      </c>
      <c r="D1304" s="40">
        <v>56</v>
      </c>
      <c r="E1304" s="40" t="s">
        <v>1167</v>
      </c>
      <c r="F1304" s="40" t="s">
        <v>1151</v>
      </c>
      <c r="G1304" s="40" t="s">
        <v>145</v>
      </c>
      <c r="H1304" s="40" t="s">
        <v>1168</v>
      </c>
      <c r="I1304" s="360" t="e">
        <f>VLOOKUP(Таблица18[[#This Row],[Номер акта]],$AB$1:$AF$1833,3,FALSE)</f>
        <v>#N/A</v>
      </c>
      <c r="J1304" s="40" t="s">
        <v>909</v>
      </c>
      <c r="K1304" s="40" t="s">
        <v>82</v>
      </c>
      <c r="L1304" s="121">
        <v>29640</v>
      </c>
      <c r="M1304" s="121">
        <v>15750</v>
      </c>
      <c r="N1304" s="121">
        <v>16</v>
      </c>
      <c r="O1304" s="363">
        <v>13890</v>
      </c>
      <c r="P1304" s="363">
        <v>11667.6</v>
      </c>
      <c r="Q1304" s="121">
        <v>2025</v>
      </c>
      <c r="R1304" s="121"/>
      <c r="S1304" s="148">
        <v>45839</v>
      </c>
      <c r="T1304" s="363">
        <f>Таблица18[[#This Row],[Вес нетто]]-Таблица18[[#This Row],[Зачетный вес]]</f>
        <v>2222.3999999999996</v>
      </c>
      <c r="U1304" s="365">
        <f>Таблица18[[#This Row],[Отход]]/Таблица18[[#This Row],[Вес нетто]]</f>
        <v>0.15999999999999998</v>
      </c>
      <c r="V1304" s="121">
        <f>MONTH(Таблица18[[#This Row],[Дата акта]])</f>
        <v>7</v>
      </c>
      <c r="W1304" s="121">
        <v>1</v>
      </c>
      <c r="X1304" s="148">
        <f>DATE(1900,Таблица18[[#This Row],[Месяц]],Таблица18[[#This Row],[Число]])</f>
        <v>183</v>
      </c>
      <c r="Y1304" s="121"/>
      <c r="Z1304" s="121" t="str">
        <f>Таблица18[[#This Row],[Хар-ка]]</f>
        <v>высший</v>
      </c>
      <c r="AD1304" s="459"/>
      <c r="AE1304" s="391"/>
    </row>
    <row r="1305" spans="1:31" s="325" customFormat="1" ht="15.6" hidden="1" customHeight="1" x14ac:dyDescent="0.2">
      <c r="A1305" s="40" t="s">
        <v>1364</v>
      </c>
      <c r="B1305" s="360" t="s">
        <v>511</v>
      </c>
      <c r="C1305" s="40">
        <v>695</v>
      </c>
      <c r="D1305" s="40">
        <v>60</v>
      </c>
      <c r="E1305" s="40" t="s">
        <v>1167</v>
      </c>
      <c r="F1305" s="40" t="s">
        <v>272</v>
      </c>
      <c r="G1305" s="40" t="s">
        <v>276</v>
      </c>
      <c r="H1305" s="40" t="s">
        <v>1168</v>
      </c>
      <c r="I1305" s="360" t="e">
        <f>VLOOKUP(Таблица18[[#This Row],[Номер акта]],$AB$1:$AF$1833,3,FALSE)</f>
        <v>#N/A</v>
      </c>
      <c r="J1305" s="40" t="s">
        <v>909</v>
      </c>
      <c r="K1305" s="40" t="s">
        <v>82</v>
      </c>
      <c r="L1305" s="121">
        <v>28640</v>
      </c>
      <c r="M1305" s="121">
        <v>14780</v>
      </c>
      <c r="N1305" s="121">
        <v>11</v>
      </c>
      <c r="O1305" s="363">
        <v>13860</v>
      </c>
      <c r="P1305" s="363">
        <v>12335.4</v>
      </c>
      <c r="Q1305" s="121">
        <v>2025</v>
      </c>
      <c r="R1305" s="121"/>
      <c r="S1305" s="148">
        <v>45839</v>
      </c>
      <c r="T1305" s="363">
        <f>Таблица18[[#This Row],[Вес нетто]]-Таблица18[[#This Row],[Зачетный вес]]</f>
        <v>1524.6000000000004</v>
      </c>
      <c r="U1305" s="365">
        <f>Таблица18[[#This Row],[Отход]]/Таблица18[[#This Row],[Вес нетто]]</f>
        <v>0.11000000000000003</v>
      </c>
      <c r="V1305" s="121">
        <f>MONTH(Таблица18[[#This Row],[Дата акта]])</f>
        <v>7</v>
      </c>
      <c r="W1305" s="121">
        <v>1</v>
      </c>
      <c r="X1305" s="148">
        <f>DATE(1900,Таблица18[[#This Row],[Месяц]],Таблица18[[#This Row],[Число]])</f>
        <v>183</v>
      </c>
      <c r="Y1305" s="121"/>
      <c r="Z1305" s="121" t="str">
        <f>Таблица18[[#This Row],[Хар-ка]]</f>
        <v>высший</v>
      </c>
      <c r="AD1305" s="459"/>
      <c r="AE1305" s="391"/>
    </row>
    <row r="1306" spans="1:31" s="325" customFormat="1" ht="15.6" hidden="1" customHeight="1" x14ac:dyDescent="0.2">
      <c r="A1306" s="40" t="s">
        <v>1365</v>
      </c>
      <c r="B1306" s="360" t="s">
        <v>511</v>
      </c>
      <c r="C1306" s="40">
        <v>696</v>
      </c>
      <c r="D1306" s="40">
        <v>61</v>
      </c>
      <c r="E1306" s="40" t="s">
        <v>1167</v>
      </c>
      <c r="F1306" s="40" t="s">
        <v>1461</v>
      </c>
      <c r="G1306" s="40" t="s">
        <v>149</v>
      </c>
      <c r="H1306" s="40" t="s">
        <v>1168</v>
      </c>
      <c r="I1306" s="360" t="e">
        <f>VLOOKUP(Таблица18[[#This Row],[Номер акта]],$AB$1:$AF$1833,3,FALSE)</f>
        <v>#N/A</v>
      </c>
      <c r="J1306" s="40" t="s">
        <v>909</v>
      </c>
      <c r="K1306" s="40" t="s">
        <v>82</v>
      </c>
      <c r="L1306" s="121">
        <v>29000</v>
      </c>
      <c r="M1306" s="121">
        <v>15150</v>
      </c>
      <c r="N1306" s="121">
        <v>15</v>
      </c>
      <c r="O1306" s="363">
        <v>13850</v>
      </c>
      <c r="P1306" s="363">
        <v>11772.5</v>
      </c>
      <c r="Q1306" s="121">
        <v>2025</v>
      </c>
      <c r="R1306" s="121"/>
      <c r="S1306" s="148">
        <v>45839</v>
      </c>
      <c r="T1306" s="363">
        <f>Таблица18[[#This Row],[Вес нетто]]-Таблица18[[#This Row],[Зачетный вес]]</f>
        <v>2077.5</v>
      </c>
      <c r="U1306" s="365">
        <f>Таблица18[[#This Row],[Отход]]/Таблица18[[#This Row],[Вес нетто]]</f>
        <v>0.15</v>
      </c>
      <c r="V1306" s="121">
        <f>MONTH(Таблица18[[#This Row],[Дата акта]])</f>
        <v>7</v>
      </c>
      <c r="W1306" s="121">
        <v>1</v>
      </c>
      <c r="X1306" s="148">
        <f>DATE(1900,Таблица18[[#This Row],[Месяц]],Таблица18[[#This Row],[Число]])</f>
        <v>183</v>
      </c>
      <c r="Y1306" s="121"/>
      <c r="Z1306" s="121" t="str">
        <f>Таблица18[[#This Row],[Хар-ка]]</f>
        <v>высший</v>
      </c>
      <c r="AD1306" s="459"/>
      <c r="AE1306" s="391"/>
    </row>
    <row r="1307" spans="1:31" s="325" customFormat="1" ht="15.6" hidden="1" customHeight="1" x14ac:dyDescent="0.2">
      <c r="A1307" s="40" t="s">
        <v>1366</v>
      </c>
      <c r="B1307" s="360" t="s">
        <v>511</v>
      </c>
      <c r="C1307" s="40">
        <v>697</v>
      </c>
      <c r="D1307" s="40">
        <v>62</v>
      </c>
      <c r="E1307" s="40" t="s">
        <v>1167</v>
      </c>
      <c r="F1307" s="40" t="s">
        <v>1367</v>
      </c>
      <c r="G1307" s="40" t="s">
        <v>1368</v>
      </c>
      <c r="H1307" s="40" t="s">
        <v>1168</v>
      </c>
      <c r="I1307" s="360" t="e">
        <f>VLOOKUP(Таблица18[[#This Row],[Номер акта]],$AB$1:$AF$1833,3,FALSE)</f>
        <v>#N/A</v>
      </c>
      <c r="J1307" s="40" t="s">
        <v>909</v>
      </c>
      <c r="K1307" s="40" t="s">
        <v>82</v>
      </c>
      <c r="L1307" s="121">
        <v>28630</v>
      </c>
      <c r="M1307" s="121">
        <v>14960</v>
      </c>
      <c r="N1307" s="121">
        <v>15.5</v>
      </c>
      <c r="O1307" s="363">
        <v>13670</v>
      </c>
      <c r="P1307" s="363">
        <v>11551.1</v>
      </c>
      <c r="Q1307" s="121">
        <v>2025</v>
      </c>
      <c r="R1307" s="121"/>
      <c r="S1307" s="148">
        <v>45840</v>
      </c>
      <c r="T1307" s="363">
        <f>Таблица18[[#This Row],[Вес нетто]]-Таблица18[[#This Row],[Зачетный вес]]</f>
        <v>2118.8999999999996</v>
      </c>
      <c r="U1307" s="365">
        <f>Таблица18[[#This Row],[Отход]]/Таблица18[[#This Row],[Вес нетто]]</f>
        <v>0.15500365764447693</v>
      </c>
      <c r="V1307" s="121">
        <f>MONTH(Таблица18[[#This Row],[Дата акта]])</f>
        <v>7</v>
      </c>
      <c r="W1307" s="121">
        <v>2</v>
      </c>
      <c r="X1307" s="148">
        <f>DATE(1900,Таблица18[[#This Row],[Месяц]],Таблица18[[#This Row],[Число]])</f>
        <v>184</v>
      </c>
      <c r="Y1307" s="121"/>
      <c r="Z1307" s="121" t="str">
        <f>Таблица18[[#This Row],[Хар-ка]]</f>
        <v>высший</v>
      </c>
      <c r="AD1307" s="459"/>
      <c r="AE1307" s="391"/>
    </row>
    <row r="1308" spans="1:31" s="325" customFormat="1" ht="15.6" hidden="1" customHeight="1" x14ac:dyDescent="0.2">
      <c r="A1308" s="40" t="s">
        <v>1369</v>
      </c>
      <c r="B1308" s="360" t="s">
        <v>511</v>
      </c>
      <c r="C1308" s="40">
        <v>698</v>
      </c>
      <c r="D1308" s="40">
        <v>63</v>
      </c>
      <c r="E1308" s="40" t="s">
        <v>1167</v>
      </c>
      <c r="F1308" s="40" t="s">
        <v>1312</v>
      </c>
      <c r="G1308" s="40" t="s">
        <v>320</v>
      </c>
      <c r="H1308" s="40" t="s">
        <v>1168</v>
      </c>
      <c r="I1308" s="360" t="e">
        <f>VLOOKUP(Таблица18[[#This Row],[Номер акта]],$AB$1:$AF$1833,3,FALSE)</f>
        <v>#N/A</v>
      </c>
      <c r="J1308" s="40" t="s">
        <v>909</v>
      </c>
      <c r="K1308" s="40" t="s">
        <v>82</v>
      </c>
      <c r="L1308" s="121">
        <v>28060</v>
      </c>
      <c r="M1308" s="121">
        <v>14450</v>
      </c>
      <c r="N1308" s="121">
        <v>13.5</v>
      </c>
      <c r="O1308" s="363">
        <v>13610</v>
      </c>
      <c r="P1308" s="363">
        <v>11772.6</v>
      </c>
      <c r="Q1308" s="121">
        <v>2025</v>
      </c>
      <c r="R1308" s="121"/>
      <c r="S1308" s="148">
        <v>45840</v>
      </c>
      <c r="T1308" s="363">
        <f>Таблица18[[#This Row],[Вес нетто]]-Таблица18[[#This Row],[Зачетный вес]]</f>
        <v>1837.3999999999996</v>
      </c>
      <c r="U1308" s="365">
        <f>Таблица18[[#This Row],[Отход]]/Таблица18[[#This Row],[Вес нетто]]</f>
        <v>0.13500367376928726</v>
      </c>
      <c r="V1308" s="121">
        <f>MONTH(Таблица18[[#This Row],[Дата акта]])</f>
        <v>7</v>
      </c>
      <c r="W1308" s="121">
        <v>2</v>
      </c>
      <c r="X1308" s="148">
        <f>DATE(1900,Таблица18[[#This Row],[Месяц]],Таблица18[[#This Row],[Число]])</f>
        <v>184</v>
      </c>
      <c r="Y1308" s="121"/>
      <c r="Z1308" s="121" t="str">
        <f>Таблица18[[#This Row],[Хар-ка]]</f>
        <v>высший</v>
      </c>
      <c r="AD1308" s="459"/>
      <c r="AE1308" s="391"/>
    </row>
    <row r="1309" spans="1:31" s="325" customFormat="1" ht="15.6" hidden="1" customHeight="1" x14ac:dyDescent="0.2">
      <c r="A1309" s="40" t="s">
        <v>1370</v>
      </c>
      <c r="B1309" s="360" t="s">
        <v>511</v>
      </c>
      <c r="C1309" s="40">
        <v>699</v>
      </c>
      <c r="D1309" s="40">
        <v>64</v>
      </c>
      <c r="E1309" s="40" t="s">
        <v>1167</v>
      </c>
      <c r="F1309" s="40" t="s">
        <v>894</v>
      </c>
      <c r="G1309" s="40" t="s">
        <v>895</v>
      </c>
      <c r="H1309" s="40" t="s">
        <v>1168</v>
      </c>
      <c r="I1309" s="360" t="e">
        <f>VLOOKUP(Таблица18[[#This Row],[Номер акта]],$AB$1:$AF$1833,3,FALSE)</f>
        <v>#N/A</v>
      </c>
      <c r="J1309" s="40" t="s">
        <v>909</v>
      </c>
      <c r="K1309" s="40" t="s">
        <v>82</v>
      </c>
      <c r="L1309" s="121">
        <v>28320</v>
      </c>
      <c r="M1309" s="121">
        <v>14900</v>
      </c>
      <c r="N1309" s="121">
        <v>10.5</v>
      </c>
      <c r="O1309" s="363">
        <v>13420</v>
      </c>
      <c r="P1309" s="363">
        <v>12010.9</v>
      </c>
      <c r="Q1309" s="121">
        <v>2025</v>
      </c>
      <c r="R1309" s="121"/>
      <c r="S1309" s="148">
        <v>45840</v>
      </c>
      <c r="T1309" s="363">
        <f>Таблица18[[#This Row],[Вес нетто]]-Таблица18[[#This Row],[Зачетный вес]]</f>
        <v>1409.1000000000004</v>
      </c>
      <c r="U1309" s="365">
        <f>Таблица18[[#This Row],[Отход]]/Таблица18[[#This Row],[Вес нетто]]</f>
        <v>0.10500000000000002</v>
      </c>
      <c r="V1309" s="121">
        <f>MONTH(Таблица18[[#This Row],[Дата акта]])</f>
        <v>7</v>
      </c>
      <c r="W1309" s="121">
        <v>2</v>
      </c>
      <c r="X1309" s="148">
        <f>DATE(1900,Таблица18[[#This Row],[Месяц]],Таблица18[[#This Row],[Число]])</f>
        <v>184</v>
      </c>
      <c r="Y1309" s="121"/>
      <c r="Z1309" s="121" t="str">
        <f>Таблица18[[#This Row],[Хар-ка]]</f>
        <v>высший</v>
      </c>
      <c r="AD1309" s="459"/>
      <c r="AE1309" s="391"/>
    </row>
    <row r="1310" spans="1:31" s="325" customFormat="1" ht="15.6" hidden="1" customHeight="1" x14ac:dyDescent="0.2">
      <c r="A1310" s="40" t="s">
        <v>1371</v>
      </c>
      <c r="B1310" s="360" t="s">
        <v>511</v>
      </c>
      <c r="C1310" s="40">
        <v>700</v>
      </c>
      <c r="D1310" s="40">
        <v>65</v>
      </c>
      <c r="E1310" s="40" t="s">
        <v>1167</v>
      </c>
      <c r="F1310" s="40" t="s">
        <v>335</v>
      </c>
      <c r="G1310" s="40" t="s">
        <v>339</v>
      </c>
      <c r="H1310" s="40" t="s">
        <v>1168</v>
      </c>
      <c r="I1310" s="360" t="e">
        <f>VLOOKUP(Таблица18[[#This Row],[Номер акта]],$AB$1:$AF$1833,3,FALSE)</f>
        <v>#N/A</v>
      </c>
      <c r="J1310" s="40" t="s">
        <v>909</v>
      </c>
      <c r="K1310" s="40" t="s">
        <v>82</v>
      </c>
      <c r="L1310" s="121">
        <v>28080</v>
      </c>
      <c r="M1310" s="121">
        <v>14830</v>
      </c>
      <c r="N1310" s="121">
        <v>14.5</v>
      </c>
      <c r="O1310" s="363">
        <v>13250</v>
      </c>
      <c r="P1310" s="363">
        <v>11328.7</v>
      </c>
      <c r="Q1310" s="121">
        <v>2025</v>
      </c>
      <c r="R1310" s="121"/>
      <c r="S1310" s="148">
        <v>45840</v>
      </c>
      <c r="T1310" s="363">
        <f>Таблица18[[#This Row],[Вес нетто]]-Таблица18[[#This Row],[Зачетный вес]]</f>
        <v>1921.2999999999993</v>
      </c>
      <c r="U1310" s="365">
        <f>Таблица18[[#This Row],[Отход]]/Таблица18[[#This Row],[Вес нетто]]</f>
        <v>0.1450037735849056</v>
      </c>
      <c r="V1310" s="121">
        <f>MONTH(Таблица18[[#This Row],[Дата акта]])</f>
        <v>7</v>
      </c>
      <c r="W1310" s="121">
        <v>2</v>
      </c>
      <c r="X1310" s="148">
        <f>DATE(1900,Таблица18[[#This Row],[Месяц]],Таблица18[[#This Row],[Число]])</f>
        <v>184</v>
      </c>
      <c r="Y1310" s="121"/>
      <c r="Z1310" s="121" t="str">
        <f>Таблица18[[#This Row],[Хар-ка]]</f>
        <v>высший</v>
      </c>
      <c r="AD1310" s="459"/>
      <c r="AE1310" s="391"/>
    </row>
    <row r="1311" spans="1:31" s="325" customFormat="1" ht="15.6" hidden="1" customHeight="1" x14ac:dyDescent="0.2">
      <c r="A1311" s="40" t="s">
        <v>1372</v>
      </c>
      <c r="B1311" s="360" t="s">
        <v>511</v>
      </c>
      <c r="C1311" s="40">
        <v>701</v>
      </c>
      <c r="D1311" s="40">
        <v>66</v>
      </c>
      <c r="E1311" s="40" t="s">
        <v>1167</v>
      </c>
      <c r="F1311" s="40" t="s">
        <v>1373</v>
      </c>
      <c r="G1311" s="40" t="s">
        <v>1374</v>
      </c>
      <c r="H1311" s="40" t="s">
        <v>1168</v>
      </c>
      <c r="I1311" s="360" t="e">
        <f>VLOOKUP(Таблица18[[#This Row],[Номер акта]],$AB$1:$AF$1833,3,FALSE)</f>
        <v>#N/A</v>
      </c>
      <c r="J1311" s="40" t="s">
        <v>909</v>
      </c>
      <c r="K1311" s="40" t="s">
        <v>82</v>
      </c>
      <c r="L1311" s="121">
        <v>37610</v>
      </c>
      <c r="M1311" s="121">
        <v>24100</v>
      </c>
      <c r="N1311" s="121">
        <v>14.5</v>
      </c>
      <c r="O1311" s="363">
        <v>13510</v>
      </c>
      <c r="P1311" s="363">
        <v>11551</v>
      </c>
      <c r="Q1311" s="121">
        <v>2025</v>
      </c>
      <c r="R1311" s="121"/>
      <c r="S1311" s="148">
        <v>45840</v>
      </c>
      <c r="T1311" s="363">
        <f>Таблица18[[#This Row],[Вес нетто]]-Таблица18[[#This Row],[Зачетный вес]]</f>
        <v>1959</v>
      </c>
      <c r="U1311" s="365">
        <f>Таблица18[[#This Row],[Отход]]/Таблица18[[#This Row],[Вес нетто]]</f>
        <v>0.14500370096225018</v>
      </c>
      <c r="V1311" s="121">
        <f>MONTH(Таблица18[[#This Row],[Дата акта]])</f>
        <v>7</v>
      </c>
      <c r="W1311" s="121">
        <v>2</v>
      </c>
      <c r="X1311" s="148">
        <f>DATE(1900,Таблица18[[#This Row],[Месяц]],Таблица18[[#This Row],[Число]])</f>
        <v>184</v>
      </c>
      <c r="Y1311" s="121"/>
      <c r="Z1311" s="121" t="str">
        <f>Таблица18[[#This Row],[Хар-ка]]</f>
        <v>высший</v>
      </c>
      <c r="AD1311" s="459"/>
      <c r="AE1311" s="391"/>
    </row>
    <row r="1312" spans="1:31" s="325" customFormat="1" ht="15.6" hidden="1" customHeight="1" x14ac:dyDescent="0.2">
      <c r="A1312" s="40" t="s">
        <v>1375</v>
      </c>
      <c r="B1312" s="360" t="s">
        <v>511</v>
      </c>
      <c r="C1312" s="40">
        <v>702</v>
      </c>
      <c r="D1312" s="40">
        <v>67</v>
      </c>
      <c r="E1312" s="40" t="s">
        <v>1167</v>
      </c>
      <c r="F1312" s="40" t="s">
        <v>1376</v>
      </c>
      <c r="G1312" s="40" t="s">
        <v>1377</v>
      </c>
      <c r="H1312" s="40" t="s">
        <v>1168</v>
      </c>
      <c r="I1312" s="360" t="e">
        <f>VLOOKUP(Таблица18[[#This Row],[Номер акта]],$AB$1:$AF$1833,3,FALSE)</f>
        <v>#N/A</v>
      </c>
      <c r="J1312" s="40" t="s">
        <v>1318</v>
      </c>
      <c r="K1312" s="40" t="s">
        <v>82</v>
      </c>
      <c r="L1312" s="121">
        <v>29160</v>
      </c>
      <c r="M1312" s="121">
        <v>22420</v>
      </c>
      <c r="N1312" s="121">
        <v>14.5</v>
      </c>
      <c r="O1312" s="363">
        <v>6740</v>
      </c>
      <c r="P1312" s="363">
        <v>5762.7</v>
      </c>
      <c r="Q1312" s="121">
        <v>2025</v>
      </c>
      <c r="R1312" s="121"/>
      <c r="S1312" s="148">
        <v>45840</v>
      </c>
      <c r="T1312" s="363">
        <f>Таблица18[[#This Row],[Вес нетто]]-Таблица18[[#This Row],[Зачетный вес]]</f>
        <v>977.30000000000018</v>
      </c>
      <c r="U1312" s="365">
        <f>Таблица18[[#This Row],[Отход]]/Таблица18[[#This Row],[Вес нетто]]</f>
        <v>0.14500000000000002</v>
      </c>
      <c r="V1312" s="121">
        <f>MONTH(Таблица18[[#This Row],[Дата акта]])</f>
        <v>7</v>
      </c>
      <c r="W1312" s="121">
        <v>2</v>
      </c>
      <c r="X1312" s="148">
        <f>DATE(1900,Таблица18[[#This Row],[Месяц]],Таблица18[[#This Row],[Число]])</f>
        <v>184</v>
      </c>
      <c r="Y1312" s="121"/>
      <c r="Z1312" s="121" t="str">
        <f>Таблица18[[#This Row],[Хар-ка]]</f>
        <v>высший</v>
      </c>
      <c r="AD1312" s="459"/>
      <c r="AE1312" s="391"/>
    </row>
    <row r="1313" spans="1:31" s="325" customFormat="1" ht="15.6" hidden="1" customHeight="1" x14ac:dyDescent="0.2">
      <c r="A1313" s="40" t="s">
        <v>1378</v>
      </c>
      <c r="B1313" s="360" t="s">
        <v>511</v>
      </c>
      <c r="C1313" s="40">
        <v>705</v>
      </c>
      <c r="D1313" s="40">
        <v>67</v>
      </c>
      <c r="E1313" s="40" t="s">
        <v>1167</v>
      </c>
      <c r="F1313" s="40" t="s">
        <v>1376</v>
      </c>
      <c r="G1313" s="40" t="s">
        <v>1377</v>
      </c>
      <c r="H1313" s="40" t="s">
        <v>1168</v>
      </c>
      <c r="I1313" s="360" t="e">
        <f>VLOOKUP(Таблица18[[#This Row],[Номер акта]],$AB$1:$AF$1833,3,FALSE)</f>
        <v>#N/A</v>
      </c>
      <c r="J1313" s="40" t="s">
        <v>909</v>
      </c>
      <c r="K1313" s="40" t="s">
        <v>82</v>
      </c>
      <c r="L1313" s="121">
        <v>22430</v>
      </c>
      <c r="M1313" s="121">
        <v>15690</v>
      </c>
      <c r="N1313" s="121">
        <v>10.5</v>
      </c>
      <c r="O1313" s="363">
        <v>6740</v>
      </c>
      <c r="P1313" s="363">
        <v>6032.3</v>
      </c>
      <c r="Q1313" s="121">
        <v>2025</v>
      </c>
      <c r="R1313" s="121"/>
      <c r="S1313" s="148">
        <v>45840</v>
      </c>
      <c r="T1313" s="363">
        <f>Таблица18[[#This Row],[Вес нетто]]-Таблица18[[#This Row],[Зачетный вес]]</f>
        <v>707.69999999999982</v>
      </c>
      <c r="U1313" s="365">
        <f>Таблица18[[#This Row],[Отход]]/Таблица18[[#This Row],[Вес нетто]]</f>
        <v>0.10499999999999997</v>
      </c>
      <c r="V1313" s="121">
        <f>MONTH(Таблица18[[#This Row],[Дата акта]])</f>
        <v>7</v>
      </c>
      <c r="W1313" s="121">
        <v>2</v>
      </c>
      <c r="X1313" s="148">
        <f>DATE(1900,Таблица18[[#This Row],[Месяц]],Таблица18[[#This Row],[Число]])</f>
        <v>184</v>
      </c>
      <c r="Y1313" s="121"/>
      <c r="Z1313" s="121" t="str">
        <f>Таблица18[[#This Row],[Хар-ка]]</f>
        <v>высший</v>
      </c>
      <c r="AD1313" s="459"/>
      <c r="AE1313" s="391"/>
    </row>
    <row r="1314" spans="1:31" s="325" customFormat="1" ht="15.6" hidden="1" customHeight="1" x14ac:dyDescent="0.2">
      <c r="A1314" s="40" t="s">
        <v>1379</v>
      </c>
      <c r="B1314" s="360" t="s">
        <v>511</v>
      </c>
      <c r="C1314" s="40">
        <v>703</v>
      </c>
      <c r="D1314" s="40">
        <v>68</v>
      </c>
      <c r="E1314" s="40" t="s">
        <v>1167</v>
      </c>
      <c r="F1314" s="40" t="s">
        <v>347</v>
      </c>
      <c r="G1314" s="40" t="s">
        <v>351</v>
      </c>
      <c r="H1314" s="40" t="s">
        <v>1168</v>
      </c>
      <c r="I1314" s="360" t="e">
        <f>VLOOKUP(Таблица18[[#This Row],[Номер акта]],$AB$1:$AF$1833,3,FALSE)</f>
        <v>#N/A</v>
      </c>
      <c r="J1314" s="40" t="s">
        <v>1318</v>
      </c>
      <c r="K1314" s="40" t="s">
        <v>82</v>
      </c>
      <c r="L1314" s="121">
        <v>28880</v>
      </c>
      <c r="M1314" s="121">
        <v>15740</v>
      </c>
      <c r="N1314" s="121">
        <v>15.5</v>
      </c>
      <c r="O1314" s="363">
        <v>13140</v>
      </c>
      <c r="P1314" s="363">
        <v>11103.3</v>
      </c>
      <c r="Q1314" s="121">
        <v>2025</v>
      </c>
      <c r="R1314" s="121"/>
      <c r="S1314" s="148">
        <v>45840</v>
      </c>
      <c r="T1314" s="363">
        <f>Таблица18[[#This Row],[Вес нетто]]-Таблица18[[#This Row],[Зачетный вес]]</f>
        <v>2036.7000000000007</v>
      </c>
      <c r="U1314" s="365">
        <f>Таблица18[[#This Row],[Отход]]/Таблица18[[#This Row],[Вес нетто]]</f>
        <v>0.15500000000000005</v>
      </c>
      <c r="V1314" s="121">
        <f>MONTH(Таблица18[[#This Row],[Дата акта]])</f>
        <v>7</v>
      </c>
      <c r="W1314" s="121">
        <v>2</v>
      </c>
      <c r="X1314" s="148">
        <f>DATE(1900,Таблица18[[#This Row],[Месяц]],Таблица18[[#This Row],[Число]])</f>
        <v>184</v>
      </c>
      <c r="Y1314" s="121"/>
      <c r="Z1314" s="121" t="str">
        <f>Таблица18[[#This Row],[Хар-ка]]</f>
        <v>высший</v>
      </c>
      <c r="AD1314" s="459"/>
      <c r="AE1314" s="391"/>
    </row>
    <row r="1315" spans="1:31" s="325" customFormat="1" ht="15.6" hidden="1" customHeight="1" x14ac:dyDescent="0.2">
      <c r="A1315" s="40" t="s">
        <v>1393</v>
      </c>
      <c r="B1315" s="360" t="s">
        <v>511</v>
      </c>
      <c r="C1315" s="40">
        <v>704</v>
      </c>
      <c r="D1315" s="40">
        <v>69</v>
      </c>
      <c r="E1315" s="40" t="s">
        <v>1167</v>
      </c>
      <c r="F1315" s="40" t="s">
        <v>212</v>
      </c>
      <c r="G1315" s="40" t="s">
        <v>216</v>
      </c>
      <c r="H1315" s="40" t="s">
        <v>1168</v>
      </c>
      <c r="I1315" s="360" t="e">
        <f>VLOOKUP(Таблица18[[#This Row],[Номер акта]],$AB$1:$AF$1833,3,FALSE)</f>
        <v>#N/A</v>
      </c>
      <c r="J1315" s="40" t="s">
        <v>1318</v>
      </c>
      <c r="K1315" s="40" t="s">
        <v>82</v>
      </c>
      <c r="L1315" s="121">
        <v>27090</v>
      </c>
      <c r="M1315" s="121">
        <v>13830</v>
      </c>
      <c r="N1315" s="121">
        <v>12.5</v>
      </c>
      <c r="O1315" s="363">
        <v>13260</v>
      </c>
      <c r="P1315" s="363">
        <v>11602.5</v>
      </c>
      <c r="Q1315" s="121">
        <v>2025</v>
      </c>
      <c r="R1315" s="121"/>
      <c r="S1315" s="148">
        <v>45840</v>
      </c>
      <c r="T1315" s="363">
        <f>Таблица18[[#This Row],[Вес нетто]]-Таблица18[[#This Row],[Зачетный вес]]</f>
        <v>1657.5</v>
      </c>
      <c r="U1315" s="365">
        <f>Таблица18[[#This Row],[Отход]]/Таблица18[[#This Row],[Вес нетто]]</f>
        <v>0.125</v>
      </c>
      <c r="V1315" s="121">
        <f>MONTH(Таблица18[[#This Row],[Дата акта]])</f>
        <v>7</v>
      </c>
      <c r="W1315" s="121">
        <v>2</v>
      </c>
      <c r="X1315" s="148">
        <f>DATE(1900,Таблица18[[#This Row],[Месяц]],Таблица18[[#This Row],[Число]])</f>
        <v>184</v>
      </c>
      <c r="Y1315" s="121"/>
      <c r="Z1315" s="121" t="str">
        <f>Таблица18[[#This Row],[Хар-ка]]</f>
        <v>высший</v>
      </c>
      <c r="AD1315" s="459"/>
      <c r="AE1315" s="391"/>
    </row>
    <row r="1316" spans="1:31" s="325" customFormat="1" ht="15.6" hidden="1" customHeight="1" x14ac:dyDescent="0.2">
      <c r="A1316" s="40" t="s">
        <v>1394</v>
      </c>
      <c r="B1316" s="360" t="s">
        <v>511</v>
      </c>
      <c r="C1316" s="40">
        <v>707</v>
      </c>
      <c r="D1316" s="40">
        <v>70</v>
      </c>
      <c r="E1316" s="40" t="s">
        <v>1167</v>
      </c>
      <c r="F1316" s="40" t="s">
        <v>160</v>
      </c>
      <c r="G1316" s="40" t="s">
        <v>164</v>
      </c>
      <c r="H1316" s="40" t="s">
        <v>1168</v>
      </c>
      <c r="I1316" s="360" t="e">
        <f>VLOOKUP(Таблица18[[#This Row],[Номер акта]],$AB$1:$AF$1833,3,FALSE)</f>
        <v>#N/A</v>
      </c>
      <c r="J1316" s="40" t="s">
        <v>1318</v>
      </c>
      <c r="K1316" s="40" t="s">
        <v>82</v>
      </c>
      <c r="L1316" s="121">
        <v>38010</v>
      </c>
      <c r="M1316" s="121">
        <v>24110</v>
      </c>
      <c r="N1316" s="121">
        <v>15</v>
      </c>
      <c r="O1316" s="363">
        <v>13900</v>
      </c>
      <c r="P1316" s="363">
        <v>11815</v>
      </c>
      <c r="Q1316" s="121">
        <v>2025</v>
      </c>
      <c r="R1316" s="121"/>
      <c r="S1316" s="148">
        <v>45840</v>
      </c>
      <c r="T1316" s="363">
        <f>Таблица18[[#This Row],[Вес нетто]]-Таблица18[[#This Row],[Зачетный вес]]</f>
        <v>2085</v>
      </c>
      <c r="U1316" s="365">
        <f>Таблица18[[#This Row],[Отход]]/Таблица18[[#This Row],[Вес нетто]]</f>
        <v>0.15</v>
      </c>
      <c r="V1316" s="121">
        <f>MONTH(Таблица18[[#This Row],[Дата акта]])</f>
        <v>7</v>
      </c>
      <c r="W1316" s="121">
        <v>2</v>
      </c>
      <c r="X1316" s="148">
        <f>DATE(1900,Таблица18[[#This Row],[Месяц]],Таблица18[[#This Row],[Число]])</f>
        <v>184</v>
      </c>
      <c r="Y1316" s="121"/>
      <c r="Z1316" s="121" t="str">
        <f>Таблица18[[#This Row],[Хар-ка]]</f>
        <v>высший</v>
      </c>
      <c r="AD1316" s="459"/>
      <c r="AE1316" s="391"/>
    </row>
    <row r="1317" spans="1:31" s="325" customFormat="1" ht="15.6" hidden="1" customHeight="1" x14ac:dyDescent="0.2">
      <c r="A1317" s="40" t="s">
        <v>1397</v>
      </c>
      <c r="B1317" s="360" t="s">
        <v>511</v>
      </c>
      <c r="C1317" s="40">
        <v>709</v>
      </c>
      <c r="D1317" s="40">
        <v>71</v>
      </c>
      <c r="E1317" s="40" t="s">
        <v>1167</v>
      </c>
      <c r="F1317" s="40" t="s">
        <v>1253</v>
      </c>
      <c r="G1317" s="40" t="s">
        <v>270</v>
      </c>
      <c r="H1317" s="40" t="s">
        <v>1168</v>
      </c>
      <c r="I1317" s="360" t="e">
        <f>VLOOKUP(Таблица18[[#This Row],[Номер акта]],$AB$1:$AF$1833,3,FALSE)</f>
        <v>#N/A</v>
      </c>
      <c r="J1317" s="40" t="s">
        <v>1318</v>
      </c>
      <c r="K1317" s="40" t="s">
        <v>82</v>
      </c>
      <c r="L1317" s="121">
        <v>28780</v>
      </c>
      <c r="M1317" s="121">
        <v>14830</v>
      </c>
      <c r="N1317" s="121">
        <v>11.5</v>
      </c>
      <c r="O1317" s="363">
        <v>13950</v>
      </c>
      <c r="P1317" s="363">
        <v>12345.7</v>
      </c>
      <c r="Q1317" s="121">
        <v>2025</v>
      </c>
      <c r="R1317" s="121"/>
      <c r="S1317" s="148">
        <v>45840</v>
      </c>
      <c r="T1317" s="363">
        <f>Таблица18[[#This Row],[Вес нетто]]-Таблица18[[#This Row],[Зачетный вес]]</f>
        <v>1604.2999999999993</v>
      </c>
      <c r="U1317" s="365">
        <f>Таблица18[[#This Row],[Отход]]/Таблица18[[#This Row],[Вес нетто]]</f>
        <v>0.11500358422939062</v>
      </c>
      <c r="V1317" s="121">
        <f>MONTH(Таблица18[[#This Row],[Дата акта]])</f>
        <v>7</v>
      </c>
      <c r="W1317" s="121">
        <v>2</v>
      </c>
      <c r="X1317" s="148">
        <f>DATE(1900,Таблица18[[#This Row],[Месяц]],Таблица18[[#This Row],[Число]])</f>
        <v>184</v>
      </c>
      <c r="Y1317" s="121"/>
      <c r="Z1317" s="121" t="str">
        <f>Таблица18[[#This Row],[Хар-ка]]</f>
        <v>высший</v>
      </c>
      <c r="AD1317" s="459"/>
      <c r="AE1317" s="391"/>
    </row>
    <row r="1318" spans="1:31" s="325" customFormat="1" ht="15.6" hidden="1" customHeight="1" x14ac:dyDescent="0.2">
      <c r="A1318" s="40" t="s">
        <v>1398</v>
      </c>
      <c r="B1318" s="360" t="s">
        <v>511</v>
      </c>
      <c r="C1318" s="40">
        <v>710</v>
      </c>
      <c r="D1318" s="40">
        <v>72</v>
      </c>
      <c r="E1318" s="40" t="s">
        <v>1167</v>
      </c>
      <c r="F1318" s="40" t="s">
        <v>1151</v>
      </c>
      <c r="G1318" s="40" t="s">
        <v>145</v>
      </c>
      <c r="H1318" s="40" t="s">
        <v>1321</v>
      </c>
      <c r="I1318" s="360" t="e">
        <f>VLOOKUP(Таблица18[[#This Row],[Номер акта]],$AB$1:$AF$1833,3,FALSE)</f>
        <v>#N/A</v>
      </c>
      <c r="J1318" s="40" t="s">
        <v>909</v>
      </c>
      <c r="K1318" s="40" t="s">
        <v>82</v>
      </c>
      <c r="L1318" s="121">
        <v>29430</v>
      </c>
      <c r="M1318" s="121">
        <v>15580</v>
      </c>
      <c r="N1318" s="121">
        <v>14</v>
      </c>
      <c r="O1318" s="363">
        <v>13850</v>
      </c>
      <c r="P1318" s="363">
        <v>11911</v>
      </c>
      <c r="Q1318" s="121">
        <v>2025</v>
      </c>
      <c r="R1318" s="121"/>
      <c r="S1318" s="148">
        <v>45840</v>
      </c>
      <c r="T1318" s="363">
        <f>Таблица18[[#This Row],[Вес нетто]]-Таблица18[[#This Row],[Зачетный вес]]</f>
        <v>1939</v>
      </c>
      <c r="U1318" s="365">
        <f>Таблица18[[#This Row],[Отход]]/Таблица18[[#This Row],[Вес нетто]]</f>
        <v>0.14000000000000001</v>
      </c>
      <c r="V1318" s="121">
        <f>MONTH(Таблица18[[#This Row],[Дата акта]])</f>
        <v>7</v>
      </c>
      <c r="W1318" s="121">
        <v>2</v>
      </c>
      <c r="X1318" s="148">
        <f>DATE(1900,Таблица18[[#This Row],[Месяц]],Таблица18[[#This Row],[Число]])</f>
        <v>184</v>
      </c>
      <c r="Y1318" s="121"/>
      <c r="Z1318" s="121" t="str">
        <f>Таблица18[[#This Row],[Хар-ка]]</f>
        <v>высший</v>
      </c>
      <c r="AD1318" s="459"/>
      <c r="AE1318" s="391"/>
    </row>
    <row r="1319" spans="1:31" s="325" customFormat="1" ht="15.6" hidden="1" customHeight="1" x14ac:dyDescent="0.2">
      <c r="A1319" s="40" t="s">
        <v>1399</v>
      </c>
      <c r="B1319" s="360" t="s">
        <v>511</v>
      </c>
      <c r="C1319" s="40">
        <v>711</v>
      </c>
      <c r="D1319" s="40">
        <v>73</v>
      </c>
      <c r="E1319" s="40" t="s">
        <v>1167</v>
      </c>
      <c r="F1319" s="40" t="s">
        <v>272</v>
      </c>
      <c r="G1319" s="40" t="s">
        <v>276</v>
      </c>
      <c r="H1319" s="40" t="s">
        <v>1321</v>
      </c>
      <c r="I1319" s="360" t="e">
        <f>VLOOKUP(Таблица18[[#This Row],[Номер акта]],$AB$1:$AF$1833,3,FALSE)</f>
        <v>#N/A</v>
      </c>
      <c r="J1319" s="40" t="s">
        <v>909</v>
      </c>
      <c r="K1319" s="40" t="s">
        <v>82</v>
      </c>
      <c r="L1319" s="121">
        <v>28620</v>
      </c>
      <c r="M1319" s="121">
        <v>14670</v>
      </c>
      <c r="N1319" s="121">
        <v>17.5</v>
      </c>
      <c r="O1319" s="363">
        <v>13950</v>
      </c>
      <c r="P1319" s="363">
        <v>11508.7</v>
      </c>
      <c r="Q1319" s="121">
        <v>2025</v>
      </c>
      <c r="R1319" s="121"/>
      <c r="S1319" s="148">
        <v>45840</v>
      </c>
      <c r="T1319" s="363">
        <f>Таблица18[[#This Row],[Вес нетто]]-Таблица18[[#This Row],[Зачетный вес]]</f>
        <v>2441.2999999999993</v>
      </c>
      <c r="U1319" s="365">
        <f>Таблица18[[#This Row],[Отход]]/Таблица18[[#This Row],[Вес нетто]]</f>
        <v>0.17500358422939064</v>
      </c>
      <c r="V1319" s="121">
        <f>MONTH(Таблица18[[#This Row],[Дата акта]])</f>
        <v>7</v>
      </c>
      <c r="W1319" s="121">
        <v>2</v>
      </c>
      <c r="X1319" s="148">
        <f>DATE(1900,Таблица18[[#This Row],[Месяц]],Таблица18[[#This Row],[Число]])</f>
        <v>184</v>
      </c>
      <c r="Y1319" s="121"/>
      <c r="Z1319" s="121" t="str">
        <f>Таблица18[[#This Row],[Хар-ка]]</f>
        <v>высший</v>
      </c>
      <c r="AD1319" s="459"/>
      <c r="AE1319" s="391"/>
    </row>
    <row r="1320" spans="1:31" s="325" customFormat="1" ht="15.6" hidden="1" customHeight="1" x14ac:dyDescent="0.2">
      <c r="A1320" s="40" t="s">
        <v>1400</v>
      </c>
      <c r="B1320" s="360" t="s">
        <v>511</v>
      </c>
      <c r="C1320" s="40">
        <v>713</v>
      </c>
      <c r="D1320" s="40">
        <v>75</v>
      </c>
      <c r="E1320" s="40" t="s">
        <v>1167</v>
      </c>
      <c r="F1320" s="40" t="s">
        <v>1367</v>
      </c>
      <c r="G1320" s="40" t="s">
        <v>1368</v>
      </c>
      <c r="H1320" s="40" t="s">
        <v>1321</v>
      </c>
      <c r="I1320" s="360" t="e">
        <f>VLOOKUP(Таблица18[[#This Row],[Номер акта]],$AB$1:$AF$1833,3,FALSE)</f>
        <v>#N/A</v>
      </c>
      <c r="J1320" s="40" t="s">
        <v>909</v>
      </c>
      <c r="K1320" s="40" t="s">
        <v>82</v>
      </c>
      <c r="L1320" s="121">
        <v>28960</v>
      </c>
      <c r="M1320" s="121">
        <v>14850</v>
      </c>
      <c r="N1320" s="121">
        <v>16</v>
      </c>
      <c r="O1320" s="363">
        <v>14110</v>
      </c>
      <c r="P1320" s="363">
        <v>11852.4</v>
      </c>
      <c r="Q1320" s="121">
        <v>2025</v>
      </c>
      <c r="R1320" s="121"/>
      <c r="S1320" s="148">
        <v>45840</v>
      </c>
      <c r="T1320" s="363">
        <f>Таблица18[[#This Row],[Вес нетто]]-Таблица18[[#This Row],[Зачетный вес]]</f>
        <v>2257.6000000000004</v>
      </c>
      <c r="U1320" s="365">
        <f>Таблица18[[#This Row],[Отход]]/Таблица18[[#This Row],[Вес нетто]]</f>
        <v>0.16000000000000003</v>
      </c>
      <c r="V1320" s="121">
        <f>MONTH(Таблица18[[#This Row],[Дата акта]])</f>
        <v>7</v>
      </c>
      <c r="W1320" s="121">
        <v>2</v>
      </c>
      <c r="X1320" s="148">
        <f>DATE(1900,Таблица18[[#This Row],[Месяц]],Таблица18[[#This Row],[Число]])</f>
        <v>184</v>
      </c>
      <c r="Y1320" s="121"/>
      <c r="Z1320" s="121" t="str">
        <f>Таблица18[[#This Row],[Хар-ка]]</f>
        <v>высший</v>
      </c>
      <c r="AD1320" s="459"/>
      <c r="AE1320" s="391"/>
    </row>
    <row r="1321" spans="1:31" s="325" customFormat="1" ht="15.6" hidden="1" customHeight="1" x14ac:dyDescent="0.2">
      <c r="A1321" s="40" t="s">
        <v>1401</v>
      </c>
      <c r="B1321" s="360" t="s">
        <v>511</v>
      </c>
      <c r="C1321" s="40">
        <v>712</v>
      </c>
      <c r="D1321" s="40">
        <v>74</v>
      </c>
      <c r="E1321" s="40" t="s">
        <v>1167</v>
      </c>
      <c r="F1321" s="40" t="s">
        <v>1461</v>
      </c>
      <c r="G1321" s="40" t="s">
        <v>149</v>
      </c>
      <c r="H1321" s="40" t="s">
        <v>1321</v>
      </c>
      <c r="I1321" s="360" t="e">
        <f>VLOOKUP(Таблица18[[#This Row],[Номер акта]],$AB$1:$AF$1833,3,FALSE)</f>
        <v>#N/A</v>
      </c>
      <c r="J1321" s="40" t="s">
        <v>909</v>
      </c>
      <c r="K1321" s="40" t="s">
        <v>82</v>
      </c>
      <c r="L1321" s="121">
        <v>28980</v>
      </c>
      <c r="M1321" s="121">
        <v>14970</v>
      </c>
      <c r="N1321" s="121">
        <v>16.5</v>
      </c>
      <c r="O1321" s="363">
        <v>14010</v>
      </c>
      <c r="P1321" s="363">
        <v>11698.3</v>
      </c>
      <c r="Q1321" s="121">
        <v>2025</v>
      </c>
      <c r="R1321" s="121"/>
      <c r="S1321" s="148">
        <v>45840</v>
      </c>
      <c r="T1321" s="363">
        <f>Таблица18[[#This Row],[Вес нетто]]-Таблица18[[#This Row],[Зачетный вес]]</f>
        <v>2311.7000000000007</v>
      </c>
      <c r="U1321" s="365">
        <f>Таблица18[[#This Row],[Отход]]/Таблица18[[#This Row],[Вес нетто]]</f>
        <v>0.16500356887937193</v>
      </c>
      <c r="V1321" s="121">
        <f>MONTH(Таблица18[[#This Row],[Дата акта]])</f>
        <v>7</v>
      </c>
      <c r="W1321" s="121">
        <v>2</v>
      </c>
      <c r="X1321" s="148">
        <f>DATE(1900,Таблица18[[#This Row],[Месяц]],Таблица18[[#This Row],[Число]])</f>
        <v>184</v>
      </c>
      <c r="Y1321" s="121"/>
      <c r="Z1321" s="121" t="str">
        <f>Таблица18[[#This Row],[Хар-ка]]</f>
        <v>высший</v>
      </c>
      <c r="AD1321" s="459"/>
      <c r="AE1321" s="391"/>
    </row>
    <row r="1322" spans="1:31" s="325" customFormat="1" ht="15.6" hidden="1" customHeight="1" x14ac:dyDescent="0.2">
      <c r="A1322" s="40" t="s">
        <v>1402</v>
      </c>
      <c r="B1322" s="360" t="s">
        <v>511</v>
      </c>
      <c r="C1322" s="40">
        <v>714</v>
      </c>
      <c r="D1322" s="40">
        <v>76</v>
      </c>
      <c r="E1322" s="40" t="s">
        <v>1167</v>
      </c>
      <c r="F1322" s="40" t="s">
        <v>335</v>
      </c>
      <c r="G1322" s="40" t="s">
        <v>339</v>
      </c>
      <c r="H1322" s="40" t="s">
        <v>1321</v>
      </c>
      <c r="I1322" s="360" t="e">
        <f>VLOOKUP(Таблица18[[#This Row],[Номер акта]],$AB$1:$AF$1833,3,FALSE)</f>
        <v>#N/A</v>
      </c>
      <c r="J1322" s="40" t="s">
        <v>909</v>
      </c>
      <c r="K1322" s="40" t="s">
        <v>82</v>
      </c>
      <c r="L1322" s="121">
        <v>28700</v>
      </c>
      <c r="M1322" s="121">
        <v>14730</v>
      </c>
      <c r="N1322" s="121">
        <v>15.5</v>
      </c>
      <c r="O1322" s="363">
        <v>13970</v>
      </c>
      <c r="P1322" s="363">
        <v>11804.6</v>
      </c>
      <c r="Q1322" s="121">
        <v>2025</v>
      </c>
      <c r="R1322" s="121"/>
      <c r="S1322" s="148">
        <v>45840</v>
      </c>
      <c r="T1322" s="363">
        <f>Таблица18[[#This Row],[Вес нетто]]-Таблица18[[#This Row],[Зачетный вес]]</f>
        <v>2165.3999999999996</v>
      </c>
      <c r="U1322" s="365">
        <f>Таблица18[[#This Row],[Отход]]/Таблица18[[#This Row],[Вес нетто]]</f>
        <v>0.15500357909806725</v>
      </c>
      <c r="V1322" s="121">
        <f>MONTH(Таблица18[[#This Row],[Дата акта]])</f>
        <v>7</v>
      </c>
      <c r="W1322" s="121">
        <v>2</v>
      </c>
      <c r="X1322" s="148">
        <f>DATE(1900,Таблица18[[#This Row],[Месяц]],Таблица18[[#This Row],[Число]])</f>
        <v>184</v>
      </c>
      <c r="Y1322" s="121"/>
      <c r="Z1322" s="121" t="str">
        <f>Таблица18[[#This Row],[Хар-ка]]</f>
        <v>высший</v>
      </c>
      <c r="AD1322" s="459"/>
      <c r="AE1322" s="391"/>
    </row>
    <row r="1323" spans="1:31" s="325" customFormat="1" ht="15.6" hidden="1" customHeight="1" x14ac:dyDescent="0.2">
      <c r="A1323" s="40" t="s">
        <v>1403</v>
      </c>
      <c r="B1323" s="360" t="s">
        <v>511</v>
      </c>
      <c r="C1323" s="40">
        <v>715</v>
      </c>
      <c r="D1323" s="40">
        <v>77</v>
      </c>
      <c r="E1323" s="40" t="s">
        <v>1167</v>
      </c>
      <c r="F1323" s="40" t="s">
        <v>1373</v>
      </c>
      <c r="G1323" s="40" t="s">
        <v>1374</v>
      </c>
      <c r="H1323" s="40" t="s">
        <v>1321</v>
      </c>
      <c r="I1323" s="360" t="e">
        <f>VLOOKUP(Таблица18[[#This Row],[Номер акта]],$AB$1:$AF$1833,3,FALSE)</f>
        <v>#N/A</v>
      </c>
      <c r="J1323" s="40" t="s">
        <v>909</v>
      </c>
      <c r="K1323" s="40" t="s">
        <v>82</v>
      </c>
      <c r="L1323" s="121">
        <v>38160</v>
      </c>
      <c r="M1323" s="121">
        <v>24320</v>
      </c>
      <c r="N1323" s="121">
        <v>15</v>
      </c>
      <c r="O1323" s="363">
        <v>13840</v>
      </c>
      <c r="P1323" s="363">
        <v>11764</v>
      </c>
      <c r="Q1323" s="121">
        <v>2025</v>
      </c>
      <c r="R1323" s="121"/>
      <c r="S1323" s="148">
        <v>45840</v>
      </c>
      <c r="T1323" s="363">
        <f>Таблица18[[#This Row],[Вес нетто]]-Таблица18[[#This Row],[Зачетный вес]]</f>
        <v>2076</v>
      </c>
      <c r="U1323" s="365">
        <f>Таблица18[[#This Row],[Отход]]/Таблица18[[#This Row],[Вес нетто]]</f>
        <v>0.15</v>
      </c>
      <c r="V1323" s="121">
        <f>MONTH(Таблица18[[#This Row],[Дата акта]])</f>
        <v>7</v>
      </c>
      <c r="W1323" s="121">
        <v>2</v>
      </c>
      <c r="X1323" s="148">
        <f>DATE(1900,Таблица18[[#This Row],[Месяц]],Таблица18[[#This Row],[Число]])</f>
        <v>184</v>
      </c>
      <c r="Y1323" s="121"/>
      <c r="Z1323" s="121" t="str">
        <f>Таблица18[[#This Row],[Хар-ка]]</f>
        <v>высший</v>
      </c>
      <c r="AD1323" s="459"/>
      <c r="AE1323" s="391"/>
    </row>
    <row r="1324" spans="1:31" s="325" customFormat="1" ht="15.6" hidden="1" customHeight="1" x14ac:dyDescent="0.2">
      <c r="A1324" s="40" t="s">
        <v>1404</v>
      </c>
      <c r="B1324" s="360" t="s">
        <v>511</v>
      </c>
      <c r="C1324" s="40">
        <v>716</v>
      </c>
      <c r="D1324" s="40">
        <v>78</v>
      </c>
      <c r="E1324" s="40" t="s">
        <v>1167</v>
      </c>
      <c r="F1324" s="40" t="s">
        <v>1376</v>
      </c>
      <c r="G1324" s="40" t="s">
        <v>1377</v>
      </c>
      <c r="H1324" s="40" t="s">
        <v>1321</v>
      </c>
      <c r="I1324" s="360" t="e">
        <f>VLOOKUP(Таблица18[[#This Row],[Номер акта]],$AB$1:$AF$1833,3,FALSE)</f>
        <v>#N/A</v>
      </c>
      <c r="J1324" s="40" t="s">
        <v>909</v>
      </c>
      <c r="K1324" s="40" t="s">
        <v>82</v>
      </c>
      <c r="L1324" s="121">
        <v>29310</v>
      </c>
      <c r="M1324" s="121">
        <v>15590</v>
      </c>
      <c r="N1324" s="121">
        <v>15.5</v>
      </c>
      <c r="O1324" s="363">
        <v>13720</v>
      </c>
      <c r="P1324" s="363">
        <v>11593.4</v>
      </c>
      <c r="Q1324" s="121">
        <v>2025</v>
      </c>
      <c r="R1324" s="121"/>
      <c r="S1324" s="148">
        <v>45841</v>
      </c>
      <c r="T1324" s="363">
        <f>Таблица18[[#This Row],[Вес нетто]]-Таблица18[[#This Row],[Зачетный вес]]</f>
        <v>2126.6000000000004</v>
      </c>
      <c r="U1324" s="365">
        <f>Таблица18[[#This Row],[Отход]]/Таблица18[[#This Row],[Вес нетто]]</f>
        <v>0.15500000000000003</v>
      </c>
      <c r="V1324" s="121">
        <f>MONTH(Таблица18[[#This Row],[Дата акта]])</f>
        <v>7</v>
      </c>
      <c r="W1324" s="121">
        <v>3</v>
      </c>
      <c r="X1324" s="148">
        <f>DATE(1900,Таблица18[[#This Row],[Месяц]],Таблица18[[#This Row],[Число]])</f>
        <v>185</v>
      </c>
      <c r="Y1324" s="121"/>
      <c r="Z1324" s="121" t="str">
        <f>Таблица18[[#This Row],[Хар-ка]]</f>
        <v>высший</v>
      </c>
      <c r="AD1324" s="459"/>
      <c r="AE1324" s="391"/>
    </row>
    <row r="1325" spans="1:31" s="325" customFormat="1" ht="15.6" hidden="1" customHeight="1" x14ac:dyDescent="0.2">
      <c r="A1325" s="40" t="s">
        <v>1405</v>
      </c>
      <c r="B1325" s="360" t="s">
        <v>511</v>
      </c>
      <c r="C1325" s="40">
        <v>717</v>
      </c>
      <c r="D1325" s="40">
        <v>79</v>
      </c>
      <c r="E1325" s="40" t="s">
        <v>1167</v>
      </c>
      <c r="F1325" s="40" t="s">
        <v>347</v>
      </c>
      <c r="G1325" s="40" t="s">
        <v>351</v>
      </c>
      <c r="H1325" s="40" t="s">
        <v>1321</v>
      </c>
      <c r="I1325" s="360" t="e">
        <f>VLOOKUP(Таблица18[[#This Row],[Номер акта]],$AB$1:$AF$1833,3,FALSE)</f>
        <v>#N/A</v>
      </c>
      <c r="J1325" s="40" t="s">
        <v>909</v>
      </c>
      <c r="K1325" s="40" t="s">
        <v>82</v>
      </c>
      <c r="L1325" s="121">
        <v>29240</v>
      </c>
      <c r="M1325" s="121">
        <v>15810</v>
      </c>
      <c r="N1325" s="121">
        <v>10.5</v>
      </c>
      <c r="O1325" s="363">
        <v>13430</v>
      </c>
      <c r="P1325" s="363">
        <v>12019.8</v>
      </c>
      <c r="Q1325" s="121">
        <v>2025</v>
      </c>
      <c r="R1325" s="121"/>
      <c r="S1325" s="148">
        <v>45841</v>
      </c>
      <c r="T1325" s="363">
        <f>Таблица18[[#This Row],[Вес нетто]]-Таблица18[[#This Row],[Зачетный вес]]</f>
        <v>1410.2000000000007</v>
      </c>
      <c r="U1325" s="365">
        <f>Таблица18[[#This Row],[Отход]]/Таблица18[[#This Row],[Вес нетто]]</f>
        <v>0.10500372300819068</v>
      </c>
      <c r="V1325" s="121">
        <f>MONTH(Таблица18[[#This Row],[Дата акта]])</f>
        <v>7</v>
      </c>
      <c r="W1325" s="121">
        <v>3</v>
      </c>
      <c r="X1325" s="148">
        <f>DATE(1900,Таблица18[[#This Row],[Месяц]],Таблица18[[#This Row],[Число]])</f>
        <v>185</v>
      </c>
      <c r="Y1325" s="121"/>
      <c r="Z1325" s="121" t="str">
        <f>Таблица18[[#This Row],[Хар-ка]]</f>
        <v>высший</v>
      </c>
      <c r="AD1325" s="459"/>
      <c r="AE1325" s="391"/>
    </row>
    <row r="1326" spans="1:31" s="325" customFormat="1" ht="15.6" hidden="1" customHeight="1" x14ac:dyDescent="0.2">
      <c r="A1326" s="40" t="s">
        <v>1406</v>
      </c>
      <c r="B1326" s="360" t="s">
        <v>511</v>
      </c>
      <c r="C1326" s="40">
        <v>718</v>
      </c>
      <c r="D1326" s="40">
        <v>81</v>
      </c>
      <c r="E1326" s="40" t="s">
        <v>1167</v>
      </c>
      <c r="F1326" s="40" t="s">
        <v>1312</v>
      </c>
      <c r="G1326" s="40" t="s">
        <v>320</v>
      </c>
      <c r="H1326" s="40" t="s">
        <v>1321</v>
      </c>
      <c r="I1326" s="360" t="e">
        <f>VLOOKUP(Таблица18[[#This Row],[Номер акта]],$AB$1:$AF$1833,3,FALSE)</f>
        <v>#N/A</v>
      </c>
      <c r="J1326" s="40" t="s">
        <v>909</v>
      </c>
      <c r="K1326" s="40" t="s">
        <v>82</v>
      </c>
      <c r="L1326" s="121">
        <v>28100</v>
      </c>
      <c r="M1326" s="121">
        <v>14460</v>
      </c>
      <c r="N1326" s="121">
        <v>15</v>
      </c>
      <c r="O1326" s="363">
        <v>13640</v>
      </c>
      <c r="P1326" s="363">
        <v>11594</v>
      </c>
      <c r="Q1326" s="121">
        <v>2025</v>
      </c>
      <c r="R1326" s="121"/>
      <c r="S1326" s="148">
        <v>45841</v>
      </c>
      <c r="T1326" s="363">
        <f>Таблица18[[#This Row],[Вес нетто]]-Таблица18[[#This Row],[Зачетный вес]]</f>
        <v>2046</v>
      </c>
      <c r="U1326" s="365">
        <f>Таблица18[[#This Row],[Отход]]/Таблица18[[#This Row],[Вес нетто]]</f>
        <v>0.15</v>
      </c>
      <c r="V1326" s="121">
        <f>MONTH(Таблица18[[#This Row],[Дата акта]])</f>
        <v>7</v>
      </c>
      <c r="W1326" s="121">
        <v>3</v>
      </c>
      <c r="X1326" s="148">
        <f>DATE(1900,Таблица18[[#This Row],[Месяц]],Таблица18[[#This Row],[Число]])</f>
        <v>185</v>
      </c>
      <c r="Y1326" s="121"/>
      <c r="Z1326" s="121" t="str">
        <f>Таблица18[[#This Row],[Хар-ка]]</f>
        <v>высший</v>
      </c>
      <c r="AD1326" s="459"/>
      <c r="AE1326" s="391"/>
    </row>
    <row r="1327" spans="1:31" s="325" customFormat="1" ht="15.6" hidden="1" customHeight="1" x14ac:dyDescent="0.2">
      <c r="A1327" s="40" t="s">
        <v>1407</v>
      </c>
      <c r="B1327" s="360" t="s">
        <v>511</v>
      </c>
      <c r="C1327" s="40">
        <v>719</v>
      </c>
      <c r="D1327" s="40">
        <v>80</v>
      </c>
      <c r="E1327" s="40" t="s">
        <v>1167</v>
      </c>
      <c r="F1327" s="40" t="s">
        <v>1408</v>
      </c>
      <c r="G1327" s="40" t="s">
        <v>1409</v>
      </c>
      <c r="H1327" s="40" t="s">
        <v>1321</v>
      </c>
      <c r="I1327" s="360" t="e">
        <f>VLOOKUP(Таблица18[[#This Row],[Номер акта]],$AB$1:$AF$1833,3,FALSE)</f>
        <v>#N/A</v>
      </c>
      <c r="J1327" s="40" t="s">
        <v>909</v>
      </c>
      <c r="K1327" s="40" t="s">
        <v>82</v>
      </c>
      <c r="L1327" s="121">
        <v>29070</v>
      </c>
      <c r="M1327" s="121">
        <v>15760</v>
      </c>
      <c r="N1327" s="121">
        <v>15</v>
      </c>
      <c r="O1327" s="363">
        <v>13310</v>
      </c>
      <c r="P1327" s="363">
        <v>11313.5</v>
      </c>
      <c r="Q1327" s="121">
        <v>2025</v>
      </c>
      <c r="R1327" s="121"/>
      <c r="S1327" s="148">
        <v>45841</v>
      </c>
      <c r="T1327" s="363">
        <f>Таблица18[[#This Row],[Вес нетто]]-Таблица18[[#This Row],[Зачетный вес]]</f>
        <v>1996.5</v>
      </c>
      <c r="U1327" s="365">
        <f>Таблица18[[#This Row],[Отход]]/Таблица18[[#This Row],[Вес нетто]]</f>
        <v>0.15</v>
      </c>
      <c r="V1327" s="121">
        <f>MONTH(Таблица18[[#This Row],[Дата акта]])</f>
        <v>7</v>
      </c>
      <c r="W1327" s="121">
        <v>3</v>
      </c>
      <c r="X1327" s="148">
        <f>DATE(1900,Таблица18[[#This Row],[Месяц]],Таблица18[[#This Row],[Число]])</f>
        <v>185</v>
      </c>
      <c r="Y1327" s="121"/>
      <c r="Z1327" s="121" t="str">
        <f>Таблица18[[#This Row],[Хар-ка]]</f>
        <v>высший</v>
      </c>
      <c r="AD1327" s="459"/>
      <c r="AE1327" s="391"/>
    </row>
    <row r="1328" spans="1:31" s="325" customFormat="1" ht="15.6" hidden="1" customHeight="1" x14ac:dyDescent="0.2">
      <c r="A1328" s="40" t="s">
        <v>1410</v>
      </c>
      <c r="B1328" s="360" t="s">
        <v>511</v>
      </c>
      <c r="C1328" s="40">
        <v>720</v>
      </c>
      <c r="D1328" s="40">
        <v>82</v>
      </c>
      <c r="E1328" s="40" t="s">
        <v>1167</v>
      </c>
      <c r="F1328" s="40" t="s">
        <v>894</v>
      </c>
      <c r="G1328" s="40" t="s">
        <v>895</v>
      </c>
      <c r="H1328" s="40" t="s">
        <v>1321</v>
      </c>
      <c r="I1328" s="360" t="e">
        <f>VLOOKUP(Таблица18[[#This Row],[Номер акта]],$AB$1:$AF$1833,3,FALSE)</f>
        <v>#N/A</v>
      </c>
      <c r="J1328" s="40" t="s">
        <v>909</v>
      </c>
      <c r="K1328" s="40" t="s">
        <v>82</v>
      </c>
      <c r="L1328" s="121">
        <v>28500</v>
      </c>
      <c r="M1328" s="121">
        <v>14870</v>
      </c>
      <c r="N1328" s="121">
        <v>22</v>
      </c>
      <c r="O1328" s="363">
        <v>13630</v>
      </c>
      <c r="P1328" s="363">
        <v>10631.4</v>
      </c>
      <c r="Q1328" s="121">
        <v>2025</v>
      </c>
      <c r="R1328" s="121"/>
      <c r="S1328" s="148">
        <v>45841</v>
      </c>
      <c r="T1328" s="363">
        <f>Таблица18[[#This Row],[Вес нетто]]-Таблица18[[#This Row],[Зачетный вес]]</f>
        <v>2998.6000000000004</v>
      </c>
      <c r="U1328" s="365">
        <f>Таблица18[[#This Row],[Отход]]/Таблица18[[#This Row],[Вес нетто]]</f>
        <v>0.22000000000000003</v>
      </c>
      <c r="V1328" s="121">
        <f>MONTH(Таблица18[[#This Row],[Дата акта]])</f>
        <v>7</v>
      </c>
      <c r="W1328" s="121">
        <v>3</v>
      </c>
      <c r="X1328" s="148">
        <f>DATE(1900,Таблица18[[#This Row],[Месяц]],Таблица18[[#This Row],[Число]])</f>
        <v>185</v>
      </c>
      <c r="Y1328" s="121"/>
      <c r="Z1328" s="121" t="str">
        <f>Таблица18[[#This Row],[Хар-ка]]</f>
        <v>высший</v>
      </c>
      <c r="AD1328" s="459"/>
      <c r="AE1328" s="391"/>
    </row>
    <row r="1329" spans="1:31" s="325" customFormat="1" ht="15.6" hidden="1" customHeight="1" x14ac:dyDescent="0.2">
      <c r="A1329" s="40" t="s">
        <v>1423</v>
      </c>
      <c r="B1329" s="360" t="s">
        <v>511</v>
      </c>
      <c r="C1329" s="40">
        <v>721</v>
      </c>
      <c r="D1329" s="40">
        <v>83</v>
      </c>
      <c r="E1329" s="40" t="s">
        <v>1167</v>
      </c>
      <c r="F1329" s="40" t="s">
        <v>212</v>
      </c>
      <c r="G1329" s="40" t="s">
        <v>216</v>
      </c>
      <c r="H1329" s="40" t="s">
        <v>1321</v>
      </c>
      <c r="I1329" s="360" t="e">
        <f>VLOOKUP(Таблица18[[#This Row],[Номер акта]],$AB$1:$AF$1833,3,FALSE)</f>
        <v>#N/A</v>
      </c>
      <c r="J1329" s="40" t="s">
        <v>909</v>
      </c>
      <c r="K1329" s="40" t="s">
        <v>82</v>
      </c>
      <c r="L1329" s="121">
        <v>27310</v>
      </c>
      <c r="M1329" s="121">
        <v>13840</v>
      </c>
      <c r="N1329" s="121">
        <v>22</v>
      </c>
      <c r="O1329" s="363">
        <v>13470</v>
      </c>
      <c r="P1329" s="363">
        <v>10506.6</v>
      </c>
      <c r="Q1329" s="121">
        <v>2025</v>
      </c>
      <c r="R1329" s="121"/>
      <c r="S1329" s="148">
        <v>45841</v>
      </c>
      <c r="T1329" s="363">
        <f>Таблица18[[#This Row],[Вес нетто]]-Таблица18[[#This Row],[Зачетный вес]]</f>
        <v>2963.3999999999996</v>
      </c>
      <c r="U1329" s="365">
        <f>Таблица18[[#This Row],[Отход]]/Таблица18[[#This Row],[Вес нетто]]</f>
        <v>0.21999999999999997</v>
      </c>
      <c r="V1329" s="121">
        <f>MONTH(Таблица18[[#This Row],[Дата акта]])</f>
        <v>7</v>
      </c>
      <c r="W1329" s="121">
        <v>3</v>
      </c>
      <c r="X1329" s="148">
        <f>DATE(1900,Таблица18[[#This Row],[Месяц]],Таблица18[[#This Row],[Число]])</f>
        <v>185</v>
      </c>
      <c r="Y1329" s="121"/>
      <c r="Z1329" s="121" t="str">
        <f>Таблица18[[#This Row],[Хар-ка]]</f>
        <v>высший</v>
      </c>
      <c r="AD1329" s="459"/>
      <c r="AE1329" s="391"/>
    </row>
    <row r="1330" spans="1:31" s="325" customFormat="1" ht="15.6" hidden="1" customHeight="1" x14ac:dyDescent="0.2">
      <c r="A1330" s="40" t="s">
        <v>1425</v>
      </c>
      <c r="B1330" s="360" t="s">
        <v>511</v>
      </c>
      <c r="C1330" s="40">
        <v>724</v>
      </c>
      <c r="D1330" s="40">
        <v>84</v>
      </c>
      <c r="E1330" s="40" t="s">
        <v>1167</v>
      </c>
      <c r="F1330" s="40" t="s">
        <v>1253</v>
      </c>
      <c r="G1330" s="40" t="s">
        <v>270</v>
      </c>
      <c r="H1330" s="40" t="s">
        <v>1321</v>
      </c>
      <c r="I1330" s="360" t="e">
        <f>VLOOKUP(Таблица18[[#This Row],[Номер акта]],$AB$1:$AF$1833,3,FALSE)</f>
        <v>#N/A</v>
      </c>
      <c r="J1330" s="40" t="s">
        <v>909</v>
      </c>
      <c r="K1330" s="40" t="s">
        <v>82</v>
      </c>
      <c r="L1330" s="121">
        <v>28560</v>
      </c>
      <c r="M1330" s="121">
        <v>14790</v>
      </c>
      <c r="N1330" s="121">
        <v>17</v>
      </c>
      <c r="O1330" s="363">
        <v>13770</v>
      </c>
      <c r="P1330" s="363">
        <v>11429.1</v>
      </c>
      <c r="Q1330" s="121">
        <v>2025</v>
      </c>
      <c r="R1330" s="121"/>
      <c r="S1330" s="148">
        <v>45841</v>
      </c>
      <c r="T1330" s="363">
        <f>Таблица18[[#This Row],[Вес нетто]]-Таблица18[[#This Row],[Зачетный вес]]</f>
        <v>2340.8999999999996</v>
      </c>
      <c r="U1330" s="365">
        <f>Таблица18[[#This Row],[Отход]]/Таблица18[[#This Row],[Вес нетто]]</f>
        <v>0.16999999999999998</v>
      </c>
      <c r="V1330" s="121">
        <f>MONTH(Таблица18[[#This Row],[Дата акта]])</f>
        <v>7</v>
      </c>
      <c r="W1330" s="121">
        <v>3</v>
      </c>
      <c r="X1330" s="148">
        <f>DATE(1900,Таблица18[[#This Row],[Месяц]],Таблица18[[#This Row],[Число]])</f>
        <v>185</v>
      </c>
      <c r="Y1330" s="121"/>
      <c r="Z1330" s="121" t="str">
        <f>Таблица18[[#This Row],[Хар-ка]]</f>
        <v>высший</v>
      </c>
      <c r="AD1330" s="459"/>
      <c r="AE1330" s="391"/>
    </row>
    <row r="1331" spans="1:31" s="325" customFormat="1" ht="15.6" hidden="1" customHeight="1" x14ac:dyDescent="0.2">
      <c r="A1331" s="40" t="s">
        <v>1426</v>
      </c>
      <c r="B1331" s="360" t="s">
        <v>511</v>
      </c>
      <c r="C1331" s="40">
        <v>725</v>
      </c>
      <c r="D1331" s="40">
        <v>85</v>
      </c>
      <c r="E1331" s="40" t="s">
        <v>1167</v>
      </c>
      <c r="F1331" s="40" t="s">
        <v>1151</v>
      </c>
      <c r="G1331" s="40" t="s">
        <v>145</v>
      </c>
      <c r="H1331" s="40" t="s">
        <v>1321</v>
      </c>
      <c r="I1331" s="360" t="e">
        <f>VLOOKUP(Таблица18[[#This Row],[Номер акта]],$AB$1:$AF$1833,3,FALSE)</f>
        <v>#N/A</v>
      </c>
      <c r="J1331" s="40" t="s">
        <v>909</v>
      </c>
      <c r="K1331" s="40" t="s">
        <v>82</v>
      </c>
      <c r="L1331" s="121">
        <v>29560</v>
      </c>
      <c r="M1331" s="121">
        <v>15730</v>
      </c>
      <c r="N1331" s="121">
        <v>19</v>
      </c>
      <c r="O1331" s="363">
        <v>13830</v>
      </c>
      <c r="P1331" s="363">
        <v>11202.3</v>
      </c>
      <c r="Q1331" s="121">
        <v>2025</v>
      </c>
      <c r="R1331" s="121"/>
      <c r="S1331" s="148">
        <v>45841</v>
      </c>
      <c r="T1331" s="363">
        <f>Таблица18[[#This Row],[Вес нетто]]-Таблица18[[#This Row],[Зачетный вес]]</f>
        <v>2627.7000000000007</v>
      </c>
      <c r="U1331" s="365">
        <f>Таблица18[[#This Row],[Отход]]/Таблица18[[#This Row],[Вес нетто]]</f>
        <v>0.19000000000000006</v>
      </c>
      <c r="V1331" s="121">
        <f>MONTH(Таблица18[[#This Row],[Дата акта]])</f>
        <v>7</v>
      </c>
      <c r="W1331" s="121">
        <v>3</v>
      </c>
      <c r="X1331" s="148">
        <f>DATE(1900,Таблица18[[#This Row],[Месяц]],Таблица18[[#This Row],[Число]])</f>
        <v>185</v>
      </c>
      <c r="Y1331" s="121"/>
      <c r="Z1331" s="121" t="str">
        <f>Таблица18[[#This Row],[Хар-ка]]</f>
        <v>высший</v>
      </c>
      <c r="AD1331" s="459"/>
      <c r="AE1331" s="391"/>
    </row>
    <row r="1332" spans="1:31" s="325" customFormat="1" ht="15.6" hidden="1" customHeight="1" x14ac:dyDescent="0.2">
      <c r="A1332" s="40" t="s">
        <v>1427</v>
      </c>
      <c r="B1332" s="360" t="s">
        <v>511</v>
      </c>
      <c r="C1332" s="40">
        <v>726</v>
      </c>
      <c r="D1332" s="40">
        <v>86</v>
      </c>
      <c r="E1332" s="40" t="s">
        <v>1167</v>
      </c>
      <c r="F1332" s="40" t="s">
        <v>272</v>
      </c>
      <c r="G1332" s="40" t="s">
        <v>276</v>
      </c>
      <c r="H1332" s="40" t="s">
        <v>1321</v>
      </c>
      <c r="I1332" s="360" t="e">
        <f>VLOOKUP(Таблица18[[#This Row],[Номер акта]],$AB$1:$AF$1833,3,FALSE)</f>
        <v>#N/A</v>
      </c>
      <c r="J1332" s="40" t="s">
        <v>909</v>
      </c>
      <c r="K1332" s="40" t="s">
        <v>82</v>
      </c>
      <c r="L1332" s="121">
        <v>28510</v>
      </c>
      <c r="M1332" s="121">
        <v>14780</v>
      </c>
      <c r="N1332" s="121">
        <v>12</v>
      </c>
      <c r="O1332" s="363">
        <v>13730</v>
      </c>
      <c r="P1332" s="363">
        <v>12082.4</v>
      </c>
      <c r="Q1332" s="121">
        <v>2025</v>
      </c>
      <c r="R1332" s="121"/>
      <c r="S1332" s="148">
        <v>45841</v>
      </c>
      <c r="T1332" s="363">
        <f>Таблица18[[#This Row],[Вес нетто]]-Таблица18[[#This Row],[Зачетный вес]]</f>
        <v>1647.6000000000004</v>
      </c>
      <c r="U1332" s="365">
        <f>Таблица18[[#This Row],[Отход]]/Таблица18[[#This Row],[Вес нетто]]</f>
        <v>0.12000000000000002</v>
      </c>
      <c r="V1332" s="121">
        <f>MONTH(Таблица18[[#This Row],[Дата акта]])</f>
        <v>7</v>
      </c>
      <c r="W1332" s="121">
        <v>3</v>
      </c>
      <c r="X1332" s="148">
        <f>DATE(1900,Таблица18[[#This Row],[Месяц]],Таблица18[[#This Row],[Число]])</f>
        <v>185</v>
      </c>
      <c r="Y1332" s="121"/>
      <c r="Z1332" s="121" t="str">
        <f>Таблица18[[#This Row],[Хар-ка]]</f>
        <v>высший</v>
      </c>
      <c r="AD1332" s="459"/>
      <c r="AE1332" s="391"/>
    </row>
    <row r="1333" spans="1:31" s="325" customFormat="1" ht="15.6" hidden="1" customHeight="1" x14ac:dyDescent="0.2">
      <c r="A1333" s="40" t="s">
        <v>1428</v>
      </c>
      <c r="B1333" s="360" t="s">
        <v>511</v>
      </c>
      <c r="C1333" s="40">
        <v>727</v>
      </c>
      <c r="D1333" s="40">
        <v>87</v>
      </c>
      <c r="E1333" s="40" t="s">
        <v>1167</v>
      </c>
      <c r="F1333" s="40" t="s">
        <v>1367</v>
      </c>
      <c r="G1333" s="40" t="s">
        <v>1368</v>
      </c>
      <c r="H1333" s="40" t="s">
        <v>1321</v>
      </c>
      <c r="I1333" s="360" t="e">
        <f>VLOOKUP(Таблица18[[#This Row],[Номер акта]],$AB$1:$AF$1833,3,FALSE)</f>
        <v>#N/A</v>
      </c>
      <c r="J1333" s="40" t="s">
        <v>909</v>
      </c>
      <c r="K1333" s="40" t="s">
        <v>82</v>
      </c>
      <c r="L1333" s="121">
        <v>28700</v>
      </c>
      <c r="M1333" s="121">
        <v>14780</v>
      </c>
      <c r="N1333" s="121">
        <v>17</v>
      </c>
      <c r="O1333" s="363">
        <v>13920</v>
      </c>
      <c r="P1333" s="363">
        <v>11553.6</v>
      </c>
      <c r="Q1333" s="121">
        <v>2025</v>
      </c>
      <c r="R1333" s="121"/>
      <c r="S1333" s="148">
        <v>45841</v>
      </c>
      <c r="T1333" s="363">
        <f>Таблица18[[#This Row],[Вес нетто]]-Таблица18[[#This Row],[Зачетный вес]]</f>
        <v>2366.3999999999996</v>
      </c>
      <c r="U1333" s="365">
        <f>Таблица18[[#This Row],[Отход]]/Таблица18[[#This Row],[Вес нетто]]</f>
        <v>0.16999999999999998</v>
      </c>
      <c r="V1333" s="121">
        <f>MONTH(Таблица18[[#This Row],[Дата акта]])</f>
        <v>7</v>
      </c>
      <c r="W1333" s="121">
        <v>3</v>
      </c>
      <c r="X1333" s="148">
        <f>DATE(1900,Таблица18[[#This Row],[Месяц]],Таблица18[[#This Row],[Число]])</f>
        <v>185</v>
      </c>
      <c r="Y1333" s="121"/>
      <c r="Z1333" s="121" t="str">
        <f>Таблица18[[#This Row],[Хар-ка]]</f>
        <v>высший</v>
      </c>
      <c r="AD1333" s="459"/>
      <c r="AE1333" s="391"/>
    </row>
    <row r="1334" spans="1:31" s="325" customFormat="1" ht="15.6" hidden="1" customHeight="1" x14ac:dyDescent="0.2">
      <c r="A1334" s="40" t="s">
        <v>1429</v>
      </c>
      <c r="B1334" s="360" t="s">
        <v>511</v>
      </c>
      <c r="C1334" s="40">
        <v>728</v>
      </c>
      <c r="D1334" s="40">
        <v>88</v>
      </c>
      <c r="E1334" s="40" t="s">
        <v>1167</v>
      </c>
      <c r="F1334" s="40" t="s">
        <v>160</v>
      </c>
      <c r="G1334" s="40" t="s">
        <v>164</v>
      </c>
      <c r="H1334" s="40" t="s">
        <v>1321</v>
      </c>
      <c r="I1334" s="360" t="e">
        <f>VLOOKUP(Таблица18[[#This Row],[Номер акта]],$AB$1:$AF$1833,3,FALSE)</f>
        <v>#N/A</v>
      </c>
      <c r="J1334" s="40" t="s">
        <v>909</v>
      </c>
      <c r="K1334" s="40" t="s">
        <v>82</v>
      </c>
      <c r="L1334" s="121">
        <v>37980</v>
      </c>
      <c r="M1334" s="121">
        <v>24020</v>
      </c>
      <c r="N1334" s="121">
        <v>14</v>
      </c>
      <c r="O1334" s="363">
        <v>13960</v>
      </c>
      <c r="P1334" s="363">
        <v>12005.6</v>
      </c>
      <c r="Q1334" s="121">
        <v>2025</v>
      </c>
      <c r="R1334" s="121"/>
      <c r="S1334" s="148">
        <v>45841</v>
      </c>
      <c r="T1334" s="363">
        <f>Таблица18[[#This Row],[Вес нетто]]-Таблица18[[#This Row],[Зачетный вес]]</f>
        <v>1954.3999999999996</v>
      </c>
      <c r="U1334" s="365">
        <f>Таблица18[[#This Row],[Отход]]/Таблица18[[#This Row],[Вес нетто]]</f>
        <v>0.13999999999999999</v>
      </c>
      <c r="V1334" s="121">
        <f>MONTH(Таблица18[[#This Row],[Дата акта]])</f>
        <v>7</v>
      </c>
      <c r="W1334" s="121">
        <v>3</v>
      </c>
      <c r="X1334" s="148">
        <f>DATE(1900,Таблица18[[#This Row],[Месяц]],Таблица18[[#This Row],[Число]])</f>
        <v>185</v>
      </c>
      <c r="Y1334" s="121"/>
      <c r="Z1334" s="121" t="str">
        <f>Таблица18[[#This Row],[Хар-ка]]</f>
        <v>высший</v>
      </c>
      <c r="AD1334" s="459"/>
      <c r="AE1334" s="391"/>
    </row>
    <row r="1335" spans="1:31" s="325" customFormat="1" ht="15.6" hidden="1" customHeight="1" x14ac:dyDescent="0.2">
      <c r="A1335" s="40" t="s">
        <v>1430</v>
      </c>
      <c r="B1335" s="360" t="s">
        <v>511</v>
      </c>
      <c r="C1335" s="40">
        <v>729</v>
      </c>
      <c r="D1335" s="40">
        <v>89</v>
      </c>
      <c r="E1335" s="40" t="s">
        <v>1167</v>
      </c>
      <c r="F1335" s="40" t="s">
        <v>1461</v>
      </c>
      <c r="G1335" s="40" t="s">
        <v>149</v>
      </c>
      <c r="H1335" s="40" t="s">
        <v>1321</v>
      </c>
      <c r="I1335" s="360" t="e">
        <f>VLOOKUP(Таблица18[[#This Row],[Номер акта]],$AB$1:$AF$1833,3,FALSE)</f>
        <v>#N/A</v>
      </c>
      <c r="J1335" s="40" t="s">
        <v>909</v>
      </c>
      <c r="K1335" s="40" t="s">
        <v>82</v>
      </c>
      <c r="L1335" s="121">
        <v>28940</v>
      </c>
      <c r="M1335" s="121">
        <v>14870</v>
      </c>
      <c r="N1335" s="121">
        <v>12.5</v>
      </c>
      <c r="O1335" s="363">
        <v>14070</v>
      </c>
      <c r="P1335" s="363">
        <v>12311.2</v>
      </c>
      <c r="Q1335" s="121">
        <v>2025</v>
      </c>
      <c r="R1335" s="121"/>
      <c r="S1335" s="148">
        <v>45841</v>
      </c>
      <c r="T1335" s="363">
        <f>Таблица18[[#This Row],[Вес нетто]]-Таблица18[[#This Row],[Зачетный вес]]</f>
        <v>1758.7999999999993</v>
      </c>
      <c r="U1335" s="365">
        <f>Таблица18[[#This Row],[Отход]]/Таблица18[[#This Row],[Вес нетто]]</f>
        <v>0.12500355366027002</v>
      </c>
      <c r="V1335" s="121">
        <f>MONTH(Таблица18[[#This Row],[Дата акта]])</f>
        <v>7</v>
      </c>
      <c r="W1335" s="121">
        <v>3</v>
      </c>
      <c r="X1335" s="148">
        <f>DATE(1900,Таблица18[[#This Row],[Месяц]],Таблица18[[#This Row],[Число]])</f>
        <v>185</v>
      </c>
      <c r="Y1335" s="121"/>
      <c r="Z1335" s="121" t="str">
        <f>Таблица18[[#This Row],[Хар-ка]]</f>
        <v>высший</v>
      </c>
      <c r="AD1335" s="459"/>
      <c r="AE1335" s="391"/>
    </row>
    <row r="1336" spans="1:31" s="325" customFormat="1" ht="15.6" hidden="1" customHeight="1" x14ac:dyDescent="0.2">
      <c r="A1336" s="40" t="s">
        <v>1431</v>
      </c>
      <c r="B1336" s="360" t="s">
        <v>511</v>
      </c>
      <c r="C1336" s="40">
        <v>730</v>
      </c>
      <c r="D1336" s="40">
        <v>90</v>
      </c>
      <c r="E1336" s="40" t="s">
        <v>1167</v>
      </c>
      <c r="F1336" s="40" t="s">
        <v>335</v>
      </c>
      <c r="G1336" s="40" t="s">
        <v>339</v>
      </c>
      <c r="H1336" s="40" t="s">
        <v>1321</v>
      </c>
      <c r="I1336" s="360" t="e">
        <f>VLOOKUP(Таблица18[[#This Row],[Номер акта]],$AB$1:$AF$1833,3,FALSE)</f>
        <v>#N/A</v>
      </c>
      <c r="J1336" s="40" t="s">
        <v>909</v>
      </c>
      <c r="K1336" s="40" t="s">
        <v>82</v>
      </c>
      <c r="L1336" s="121">
        <v>28690</v>
      </c>
      <c r="M1336" s="121">
        <v>14690</v>
      </c>
      <c r="N1336" s="121">
        <v>15.5</v>
      </c>
      <c r="O1336" s="363">
        <v>14000</v>
      </c>
      <c r="P1336" s="363">
        <v>11830</v>
      </c>
      <c r="Q1336" s="121">
        <v>2025</v>
      </c>
      <c r="R1336" s="121"/>
      <c r="S1336" s="148">
        <v>45841</v>
      </c>
      <c r="T1336" s="363">
        <f>Таблица18[[#This Row],[Вес нетто]]-Таблица18[[#This Row],[Зачетный вес]]</f>
        <v>2170</v>
      </c>
      <c r="U1336" s="365">
        <f>Таблица18[[#This Row],[Отход]]/Таблица18[[#This Row],[Вес нетто]]</f>
        <v>0.155</v>
      </c>
      <c r="V1336" s="121">
        <f>MONTH(Таблица18[[#This Row],[Дата акта]])</f>
        <v>7</v>
      </c>
      <c r="W1336" s="121">
        <v>3</v>
      </c>
      <c r="X1336" s="148">
        <f>DATE(1900,Таблица18[[#This Row],[Месяц]],Таблица18[[#This Row],[Число]])</f>
        <v>185</v>
      </c>
      <c r="Y1336" s="121"/>
      <c r="Z1336" s="121" t="str">
        <f>Таблица18[[#This Row],[Хар-ка]]</f>
        <v>высший</v>
      </c>
      <c r="AD1336" s="459"/>
      <c r="AE1336" s="391"/>
    </row>
    <row r="1337" spans="1:31" s="325" customFormat="1" ht="15.6" hidden="1" customHeight="1" x14ac:dyDescent="0.2">
      <c r="A1337" s="40" t="s">
        <v>1432</v>
      </c>
      <c r="B1337" s="360" t="s">
        <v>511</v>
      </c>
      <c r="C1337" s="40">
        <v>731</v>
      </c>
      <c r="D1337" s="40">
        <v>91</v>
      </c>
      <c r="E1337" s="40" t="s">
        <v>1167</v>
      </c>
      <c r="F1337" s="40" t="s">
        <v>1373</v>
      </c>
      <c r="G1337" s="40" t="s">
        <v>1374</v>
      </c>
      <c r="H1337" s="40" t="s">
        <v>1321</v>
      </c>
      <c r="I1337" s="360" t="e">
        <f>VLOOKUP(Таблица18[[#This Row],[Номер акта]],$AB$1:$AF$1833,3,FALSE)</f>
        <v>#N/A</v>
      </c>
      <c r="J1337" s="40" t="s">
        <v>909</v>
      </c>
      <c r="K1337" s="40" t="s">
        <v>82</v>
      </c>
      <c r="L1337" s="121">
        <v>38090</v>
      </c>
      <c r="M1337" s="121">
        <v>24200</v>
      </c>
      <c r="N1337" s="121">
        <v>16</v>
      </c>
      <c r="O1337" s="363">
        <v>13890</v>
      </c>
      <c r="P1337" s="363">
        <v>11667.6</v>
      </c>
      <c r="Q1337" s="121">
        <v>2025</v>
      </c>
      <c r="R1337" s="121"/>
      <c r="S1337" s="148">
        <v>45841</v>
      </c>
      <c r="T1337" s="363">
        <f>Таблица18[[#This Row],[Вес нетто]]-Таблица18[[#This Row],[Зачетный вес]]</f>
        <v>2222.3999999999996</v>
      </c>
      <c r="U1337" s="365">
        <f>Таблица18[[#This Row],[Отход]]/Таблица18[[#This Row],[Вес нетто]]</f>
        <v>0.15999999999999998</v>
      </c>
      <c r="V1337" s="121">
        <f>MONTH(Таблица18[[#This Row],[Дата акта]])</f>
        <v>7</v>
      </c>
      <c r="W1337" s="121">
        <v>3</v>
      </c>
      <c r="X1337" s="148">
        <f>DATE(1900,Таблица18[[#This Row],[Месяц]],Таблица18[[#This Row],[Число]])</f>
        <v>185</v>
      </c>
      <c r="Y1337" s="121"/>
      <c r="Z1337" s="121" t="str">
        <f>Таблица18[[#This Row],[Хар-ка]]</f>
        <v>высший</v>
      </c>
      <c r="AD1337" s="459"/>
      <c r="AE1337" s="391"/>
    </row>
    <row r="1338" spans="1:31" s="325" customFormat="1" ht="15.6" hidden="1" customHeight="1" x14ac:dyDescent="0.2">
      <c r="A1338" s="40" t="s">
        <v>1433</v>
      </c>
      <c r="B1338" s="360" t="s">
        <v>511</v>
      </c>
      <c r="C1338" s="40">
        <v>732</v>
      </c>
      <c r="D1338" s="40">
        <v>95</v>
      </c>
      <c r="E1338" s="40" t="s">
        <v>1167</v>
      </c>
      <c r="F1338" s="40" t="s">
        <v>1376</v>
      </c>
      <c r="G1338" s="40" t="s">
        <v>1377</v>
      </c>
      <c r="H1338" s="40" t="s">
        <v>1168</v>
      </c>
      <c r="I1338" s="360" t="e">
        <f>VLOOKUP(Таблица18[[#This Row],[Номер акта]],$AB$1:$AF$1833,3,FALSE)</f>
        <v>#N/A</v>
      </c>
      <c r="J1338" s="40" t="s">
        <v>1318</v>
      </c>
      <c r="K1338" s="40" t="s">
        <v>82</v>
      </c>
      <c r="L1338" s="121">
        <v>29440</v>
      </c>
      <c r="M1338" s="121">
        <v>21370</v>
      </c>
      <c r="N1338" s="121">
        <v>11.5</v>
      </c>
      <c r="O1338" s="363">
        <v>8070</v>
      </c>
      <c r="P1338" s="363">
        <v>7141.9</v>
      </c>
      <c r="Q1338" s="121">
        <v>2025</v>
      </c>
      <c r="R1338" s="121"/>
      <c r="S1338" s="148">
        <v>45842</v>
      </c>
      <c r="T1338" s="363">
        <f>Таблица18[[#This Row],[Вес нетто]]-Таблица18[[#This Row],[Зачетный вес]]</f>
        <v>928.10000000000036</v>
      </c>
      <c r="U1338" s="365">
        <f>Таблица18[[#This Row],[Отход]]/Таблица18[[#This Row],[Вес нетто]]</f>
        <v>0.11500619578686498</v>
      </c>
      <c r="V1338" s="121">
        <f>MONTH(Таблица18[[#This Row],[Дата акта]])</f>
        <v>7</v>
      </c>
      <c r="W1338" s="121">
        <v>4</v>
      </c>
      <c r="X1338" s="148">
        <f>DATE(1900,Таблица18[[#This Row],[Месяц]],Таблица18[[#This Row],[Число]])</f>
        <v>186</v>
      </c>
      <c r="Y1338" s="121"/>
      <c r="Z1338" s="121" t="str">
        <f>Таблица18[[#This Row],[Хар-ка]]</f>
        <v>высший</v>
      </c>
      <c r="AD1338" s="459"/>
      <c r="AE1338" s="391"/>
    </row>
    <row r="1339" spans="1:31" s="325" customFormat="1" ht="15.6" hidden="1" customHeight="1" x14ac:dyDescent="0.2">
      <c r="A1339" s="40" t="s">
        <v>1434</v>
      </c>
      <c r="B1339" s="360" t="s">
        <v>511</v>
      </c>
      <c r="C1339" s="40">
        <v>734</v>
      </c>
      <c r="D1339" s="40">
        <v>95</v>
      </c>
      <c r="E1339" s="40" t="s">
        <v>1167</v>
      </c>
      <c r="F1339" s="40" t="s">
        <v>1376</v>
      </c>
      <c r="G1339" s="40" t="s">
        <v>1377</v>
      </c>
      <c r="H1339" s="40" t="s">
        <v>1321</v>
      </c>
      <c r="I1339" s="360" t="e">
        <f>VLOOKUP(Таблица18[[#This Row],[Номер акта]],$AB$1:$AF$1833,3,FALSE)</f>
        <v>#N/A</v>
      </c>
      <c r="J1339" s="40" t="s">
        <v>909</v>
      </c>
      <c r="K1339" s="40" t="s">
        <v>82</v>
      </c>
      <c r="L1339" s="121">
        <v>21370</v>
      </c>
      <c r="M1339" s="121">
        <v>15690</v>
      </c>
      <c r="N1339" s="121">
        <v>15.5</v>
      </c>
      <c r="O1339" s="363">
        <v>5680</v>
      </c>
      <c r="P1339" s="363">
        <v>4799.6000000000004</v>
      </c>
      <c r="Q1339" s="121">
        <v>2025</v>
      </c>
      <c r="R1339" s="121"/>
      <c r="S1339" s="148">
        <v>45842</v>
      </c>
      <c r="T1339" s="363">
        <f>Таблица18[[#This Row],[Вес нетто]]-Таблица18[[#This Row],[Зачетный вес]]</f>
        <v>880.39999999999964</v>
      </c>
      <c r="U1339" s="365">
        <f>Таблица18[[#This Row],[Отход]]/Таблица18[[#This Row],[Вес нетто]]</f>
        <v>0.15499999999999994</v>
      </c>
      <c r="V1339" s="121">
        <f>MONTH(Таблица18[[#This Row],[Дата акта]])</f>
        <v>7</v>
      </c>
      <c r="W1339" s="121">
        <v>4</v>
      </c>
      <c r="X1339" s="148">
        <f>DATE(1900,Таблица18[[#This Row],[Месяц]],Таблица18[[#This Row],[Число]])</f>
        <v>186</v>
      </c>
      <c r="Y1339" s="121"/>
      <c r="Z1339" s="121" t="str">
        <f>Таблица18[[#This Row],[Хар-ка]]</f>
        <v>высший</v>
      </c>
      <c r="AD1339" s="459"/>
      <c r="AE1339" s="391"/>
    </row>
    <row r="1340" spans="1:31" s="325" customFormat="1" ht="15.6" hidden="1" customHeight="1" x14ac:dyDescent="0.2">
      <c r="A1340" s="40" t="s">
        <v>1435</v>
      </c>
      <c r="B1340" s="360" t="s">
        <v>511</v>
      </c>
      <c r="C1340" s="40">
        <v>733</v>
      </c>
      <c r="D1340" s="40">
        <v>92</v>
      </c>
      <c r="E1340" s="40" t="s">
        <v>1167</v>
      </c>
      <c r="F1340" s="40" t="s">
        <v>1408</v>
      </c>
      <c r="G1340" s="40" t="s">
        <v>1409</v>
      </c>
      <c r="H1340" s="40" t="s">
        <v>1168</v>
      </c>
      <c r="I1340" s="360" t="e">
        <f>VLOOKUP(Таблица18[[#This Row],[Номер акта]],$AB$1:$AF$1833,3,FALSE)</f>
        <v>#N/A</v>
      </c>
      <c r="J1340" s="40" t="s">
        <v>1318</v>
      </c>
      <c r="K1340" s="40" t="s">
        <v>82</v>
      </c>
      <c r="L1340" s="121">
        <v>28830</v>
      </c>
      <c r="M1340" s="121">
        <v>15620</v>
      </c>
      <c r="N1340" s="121">
        <v>9.5</v>
      </c>
      <c r="O1340" s="363">
        <v>13210</v>
      </c>
      <c r="P1340" s="363">
        <v>11955</v>
      </c>
      <c r="Q1340" s="121">
        <v>2025</v>
      </c>
      <c r="R1340" s="121"/>
      <c r="S1340" s="148">
        <v>45842</v>
      </c>
      <c r="T1340" s="363">
        <f>Таблица18[[#This Row],[Вес нетто]]-Таблица18[[#This Row],[Зачетный вес]]</f>
        <v>1255</v>
      </c>
      <c r="U1340" s="365">
        <f>Таблица18[[#This Row],[Отход]]/Таблица18[[#This Row],[Вес нетто]]</f>
        <v>9.5003785011355035E-2</v>
      </c>
      <c r="V1340" s="121">
        <f>MONTH(Таблица18[[#This Row],[Дата акта]])</f>
        <v>7</v>
      </c>
      <c r="W1340" s="121">
        <v>4</v>
      </c>
      <c r="X1340" s="148">
        <f>DATE(1900,Таблица18[[#This Row],[Месяц]],Таблица18[[#This Row],[Число]])</f>
        <v>186</v>
      </c>
      <c r="Y1340" s="121"/>
      <c r="Z1340" s="121" t="str">
        <f>Таблица18[[#This Row],[Хар-ка]]</f>
        <v>высший</v>
      </c>
      <c r="AD1340" s="459"/>
      <c r="AE1340" s="391"/>
    </row>
    <row r="1341" spans="1:31" s="325" customFormat="1" ht="15.6" hidden="1" customHeight="1" x14ac:dyDescent="0.2">
      <c r="A1341" s="40" t="s">
        <v>1436</v>
      </c>
      <c r="B1341" s="360" t="s">
        <v>511</v>
      </c>
      <c r="C1341" s="40">
        <v>735</v>
      </c>
      <c r="D1341" s="40">
        <v>93</v>
      </c>
      <c r="E1341" s="40" t="s">
        <v>1167</v>
      </c>
      <c r="F1341" s="40" t="s">
        <v>212</v>
      </c>
      <c r="G1341" s="40" t="s">
        <v>216</v>
      </c>
      <c r="H1341" s="40" t="s">
        <v>1168</v>
      </c>
      <c r="I1341" s="360" t="e">
        <f>VLOOKUP(Таблица18[[#This Row],[Номер акта]],$AB$1:$AF$1833,3,FALSE)</f>
        <v>#N/A</v>
      </c>
      <c r="J1341" s="40" t="s">
        <v>1318</v>
      </c>
      <c r="K1341" s="40" t="s">
        <v>82</v>
      </c>
      <c r="L1341" s="121">
        <v>27020</v>
      </c>
      <c r="M1341" s="121">
        <v>13850</v>
      </c>
      <c r="N1341" s="121">
        <v>8.5</v>
      </c>
      <c r="O1341" s="363">
        <v>13170</v>
      </c>
      <c r="P1341" s="363">
        <v>12050.5</v>
      </c>
      <c r="Q1341" s="121">
        <v>2025</v>
      </c>
      <c r="R1341" s="121"/>
      <c r="S1341" s="148">
        <v>45842</v>
      </c>
      <c r="T1341" s="363">
        <f>Таблица18[[#This Row],[Вес нетто]]-Таблица18[[#This Row],[Зачетный вес]]</f>
        <v>1119.5</v>
      </c>
      <c r="U1341" s="365">
        <f>Таблица18[[#This Row],[Отход]]/Таблица18[[#This Row],[Вес нетто]]</f>
        <v>8.5003796507213361E-2</v>
      </c>
      <c r="V1341" s="121">
        <f>MONTH(Таблица18[[#This Row],[Дата акта]])</f>
        <v>7</v>
      </c>
      <c r="W1341" s="121">
        <v>4</v>
      </c>
      <c r="X1341" s="148">
        <f>DATE(1900,Таблица18[[#This Row],[Месяц]],Таблица18[[#This Row],[Число]])</f>
        <v>186</v>
      </c>
      <c r="Y1341" s="121"/>
      <c r="Z1341" s="121" t="str">
        <f>Таблица18[[#This Row],[Хар-ка]]</f>
        <v>высший</v>
      </c>
      <c r="AD1341" s="459"/>
      <c r="AE1341" s="391"/>
    </row>
    <row r="1342" spans="1:31" s="325" customFormat="1" ht="15.6" hidden="1" customHeight="1" x14ac:dyDescent="0.2">
      <c r="A1342" s="40" t="s">
        <v>1437</v>
      </c>
      <c r="B1342" s="360" t="s">
        <v>511</v>
      </c>
      <c r="C1342" s="40">
        <v>736</v>
      </c>
      <c r="D1342" s="40">
        <v>94</v>
      </c>
      <c r="E1342" s="40" t="s">
        <v>1167</v>
      </c>
      <c r="F1342" s="40" t="s">
        <v>111</v>
      </c>
      <c r="G1342" s="40" t="s">
        <v>114</v>
      </c>
      <c r="H1342" s="40" t="s">
        <v>1168</v>
      </c>
      <c r="I1342" s="360" t="e">
        <f>VLOOKUP(Таблица18[[#This Row],[Номер акта]],$AB$1:$AF$1833,3,FALSE)</f>
        <v>#N/A</v>
      </c>
      <c r="J1342" s="40" t="s">
        <v>1318</v>
      </c>
      <c r="K1342" s="40" t="s">
        <v>82</v>
      </c>
      <c r="L1342" s="121">
        <v>28770</v>
      </c>
      <c r="M1342" s="121">
        <v>15540</v>
      </c>
      <c r="N1342" s="121">
        <v>11.5</v>
      </c>
      <c r="O1342" s="363">
        <v>13230</v>
      </c>
      <c r="P1342" s="363">
        <v>11708.5</v>
      </c>
      <c r="Q1342" s="121">
        <v>2025</v>
      </c>
      <c r="R1342" s="121"/>
      <c r="S1342" s="148">
        <v>45842</v>
      </c>
      <c r="T1342" s="363">
        <f>Таблица18[[#This Row],[Вес нетто]]-Таблица18[[#This Row],[Зачетный вес]]</f>
        <v>1521.5</v>
      </c>
      <c r="U1342" s="365">
        <f>Таблица18[[#This Row],[Отход]]/Таблица18[[#This Row],[Вес нетто]]</f>
        <v>0.11500377928949357</v>
      </c>
      <c r="V1342" s="121">
        <f>MONTH(Таблица18[[#This Row],[Дата акта]])</f>
        <v>7</v>
      </c>
      <c r="W1342" s="121">
        <v>4</v>
      </c>
      <c r="X1342" s="148">
        <f>DATE(1900,Таблица18[[#This Row],[Месяц]],Таблица18[[#This Row],[Число]])</f>
        <v>186</v>
      </c>
      <c r="Y1342" s="121"/>
      <c r="Z1342" s="121" t="str">
        <f>Таблица18[[#This Row],[Хар-ка]]</f>
        <v>высший</v>
      </c>
      <c r="AD1342" s="459"/>
      <c r="AE1342" s="391"/>
    </row>
    <row r="1343" spans="1:31" s="325" customFormat="1" ht="15.6" hidden="1" customHeight="1" x14ac:dyDescent="0.2">
      <c r="A1343" s="40" t="s">
        <v>1438</v>
      </c>
      <c r="B1343" s="360" t="s">
        <v>511</v>
      </c>
      <c r="C1343" s="40">
        <v>738</v>
      </c>
      <c r="D1343" s="40">
        <v>97</v>
      </c>
      <c r="E1343" s="40" t="s">
        <v>1167</v>
      </c>
      <c r="F1343" s="40" t="s">
        <v>1151</v>
      </c>
      <c r="G1343" s="40" t="s">
        <v>145</v>
      </c>
      <c r="H1343" s="40" t="s">
        <v>1168</v>
      </c>
      <c r="I1343" s="360" t="e">
        <f>VLOOKUP(Таблица18[[#This Row],[Номер акта]],$AB$1:$AF$1833,3,FALSE)</f>
        <v>#N/A</v>
      </c>
      <c r="J1343" s="40" t="s">
        <v>1318</v>
      </c>
      <c r="K1343" s="40" t="s">
        <v>82</v>
      </c>
      <c r="L1343" s="121">
        <v>28900</v>
      </c>
      <c r="M1343" s="121">
        <v>15600</v>
      </c>
      <c r="N1343" s="121">
        <v>10</v>
      </c>
      <c r="O1343" s="363">
        <v>13300</v>
      </c>
      <c r="P1343" s="363">
        <v>11970</v>
      </c>
      <c r="Q1343" s="121">
        <v>2025</v>
      </c>
      <c r="R1343" s="121"/>
      <c r="S1343" s="148">
        <v>45842</v>
      </c>
      <c r="T1343" s="363">
        <f>Таблица18[[#This Row],[Вес нетто]]-Таблица18[[#This Row],[Зачетный вес]]</f>
        <v>1330</v>
      </c>
      <c r="U1343" s="365">
        <f>Таблица18[[#This Row],[Отход]]/Таблица18[[#This Row],[Вес нетто]]</f>
        <v>0.1</v>
      </c>
      <c r="V1343" s="121">
        <f>MONTH(Таблица18[[#This Row],[Дата акта]])</f>
        <v>7</v>
      </c>
      <c r="W1343" s="121">
        <v>4</v>
      </c>
      <c r="X1343" s="148">
        <f>DATE(1900,Таблица18[[#This Row],[Месяц]],Таблица18[[#This Row],[Число]])</f>
        <v>186</v>
      </c>
      <c r="Y1343" s="121"/>
      <c r="Z1343" s="121" t="str">
        <f>Таблица18[[#This Row],[Хар-ка]]</f>
        <v>высший</v>
      </c>
      <c r="AD1343" s="459"/>
      <c r="AE1343" s="391"/>
    </row>
    <row r="1344" spans="1:31" s="325" customFormat="1" ht="15.6" hidden="1" customHeight="1" x14ac:dyDescent="0.2">
      <c r="A1344" s="40" t="s">
        <v>1439</v>
      </c>
      <c r="B1344" s="360" t="s">
        <v>511</v>
      </c>
      <c r="C1344" s="40">
        <v>737</v>
      </c>
      <c r="D1344" s="40">
        <v>96</v>
      </c>
      <c r="E1344" s="40" t="s">
        <v>1167</v>
      </c>
      <c r="F1344" s="40" t="s">
        <v>1253</v>
      </c>
      <c r="G1344" s="40" t="s">
        <v>270</v>
      </c>
      <c r="H1344" s="40" t="s">
        <v>1168</v>
      </c>
      <c r="I1344" s="360" t="e">
        <f>VLOOKUP(Таблица18[[#This Row],[Номер акта]],$AB$1:$AF$1833,3,FALSE)</f>
        <v>#N/A</v>
      </c>
      <c r="J1344" s="40" t="s">
        <v>1318</v>
      </c>
      <c r="K1344" s="40" t="s">
        <v>82</v>
      </c>
      <c r="L1344" s="121">
        <v>28050</v>
      </c>
      <c r="M1344" s="121">
        <v>14900</v>
      </c>
      <c r="N1344" s="121">
        <v>11.5</v>
      </c>
      <c r="O1344" s="363">
        <v>13150</v>
      </c>
      <c r="P1344" s="363">
        <v>11637.7</v>
      </c>
      <c r="Q1344" s="121">
        <v>2025</v>
      </c>
      <c r="R1344" s="121"/>
      <c r="S1344" s="148">
        <v>45842</v>
      </c>
      <c r="T1344" s="363">
        <f>Таблица18[[#This Row],[Вес нетто]]-Таблица18[[#This Row],[Зачетный вес]]</f>
        <v>1512.2999999999993</v>
      </c>
      <c r="U1344" s="365">
        <f>Таблица18[[#This Row],[Отход]]/Таблица18[[#This Row],[Вес нетто]]</f>
        <v>0.11500380228136876</v>
      </c>
      <c r="V1344" s="121">
        <f>MONTH(Таблица18[[#This Row],[Дата акта]])</f>
        <v>7</v>
      </c>
      <c r="W1344" s="121">
        <v>4</v>
      </c>
      <c r="X1344" s="148">
        <f>DATE(1900,Таблица18[[#This Row],[Месяц]],Таблица18[[#This Row],[Число]])</f>
        <v>186</v>
      </c>
      <c r="Y1344" s="121"/>
      <c r="Z1344" s="121" t="str">
        <f>Таблица18[[#This Row],[Хар-ка]]</f>
        <v>высший</v>
      </c>
      <c r="AD1344" s="459"/>
      <c r="AE1344" s="391"/>
    </row>
    <row r="1345" spans="1:31" s="325" customFormat="1" ht="15.6" hidden="1" customHeight="1" x14ac:dyDescent="0.2">
      <c r="A1345" s="40" t="s">
        <v>1440</v>
      </c>
      <c r="B1345" s="360" t="s">
        <v>511</v>
      </c>
      <c r="C1345" s="40">
        <v>741</v>
      </c>
      <c r="D1345" s="40">
        <v>99</v>
      </c>
      <c r="E1345" s="40" t="s">
        <v>1167</v>
      </c>
      <c r="F1345" s="40" t="s">
        <v>1367</v>
      </c>
      <c r="G1345" s="40" t="s">
        <v>1368</v>
      </c>
      <c r="H1345" s="40" t="s">
        <v>1168</v>
      </c>
      <c r="I1345" s="360" t="e">
        <f>VLOOKUP(Таблица18[[#This Row],[Номер акта]],$AB$1:$AF$1833,3,FALSE)</f>
        <v>#N/A</v>
      </c>
      <c r="J1345" s="40" t="s">
        <v>1318</v>
      </c>
      <c r="K1345" s="40" t="s">
        <v>82</v>
      </c>
      <c r="L1345" s="121">
        <v>28060</v>
      </c>
      <c r="M1345" s="121">
        <v>14960</v>
      </c>
      <c r="N1345" s="121">
        <v>7.5</v>
      </c>
      <c r="O1345" s="363">
        <v>13100</v>
      </c>
      <c r="P1345" s="363">
        <v>12117.5</v>
      </c>
      <c r="Q1345" s="121">
        <v>2025</v>
      </c>
      <c r="R1345" s="121"/>
      <c r="S1345" s="148">
        <v>45842</v>
      </c>
      <c r="T1345" s="363">
        <f>Таблица18[[#This Row],[Вес нетто]]-Таблица18[[#This Row],[Зачетный вес]]</f>
        <v>982.5</v>
      </c>
      <c r="U1345" s="365">
        <f>Таблица18[[#This Row],[Отход]]/Таблица18[[#This Row],[Вес нетто]]</f>
        <v>7.4999999999999997E-2</v>
      </c>
      <c r="V1345" s="121">
        <f>MONTH(Таблица18[[#This Row],[Дата акта]])</f>
        <v>7</v>
      </c>
      <c r="W1345" s="121">
        <v>4</v>
      </c>
      <c r="X1345" s="148">
        <f>DATE(1900,Таблица18[[#This Row],[Месяц]],Таблица18[[#This Row],[Число]])</f>
        <v>186</v>
      </c>
      <c r="Y1345" s="121"/>
      <c r="Z1345" s="121" t="str">
        <f>Таблица18[[#This Row],[Хар-ка]]</f>
        <v>высший</v>
      </c>
      <c r="AD1345" s="459"/>
      <c r="AE1345" s="391"/>
    </row>
    <row r="1346" spans="1:31" s="325" customFormat="1" ht="15.6" hidden="1" customHeight="1" x14ac:dyDescent="0.2">
      <c r="A1346" s="40" t="s">
        <v>1441</v>
      </c>
      <c r="B1346" s="360" t="s">
        <v>511</v>
      </c>
      <c r="C1346" s="40">
        <v>744</v>
      </c>
      <c r="D1346" s="40">
        <v>98</v>
      </c>
      <c r="E1346" s="40" t="s">
        <v>1167</v>
      </c>
      <c r="F1346" s="40" t="s">
        <v>272</v>
      </c>
      <c r="G1346" s="40" t="s">
        <v>276</v>
      </c>
      <c r="H1346" s="40" t="s">
        <v>1168</v>
      </c>
      <c r="I1346" s="360" t="e">
        <f>VLOOKUP(Таблица18[[#This Row],[Номер акта]],$AB$1:$AF$1833,3,FALSE)</f>
        <v>#N/A</v>
      </c>
      <c r="J1346" s="40" t="s">
        <v>1318</v>
      </c>
      <c r="K1346" s="40" t="s">
        <v>82</v>
      </c>
      <c r="L1346" s="121">
        <v>28210</v>
      </c>
      <c r="M1346" s="121">
        <v>14660</v>
      </c>
      <c r="N1346" s="121">
        <v>9</v>
      </c>
      <c r="O1346" s="363">
        <v>13550</v>
      </c>
      <c r="P1346" s="363">
        <v>12330.5</v>
      </c>
      <c r="Q1346" s="121">
        <v>2025</v>
      </c>
      <c r="R1346" s="121"/>
      <c r="S1346" s="148">
        <v>45842</v>
      </c>
      <c r="T1346" s="363">
        <f>Таблица18[[#This Row],[Вес нетто]]-Таблица18[[#This Row],[Зачетный вес]]</f>
        <v>1219.5</v>
      </c>
      <c r="U1346" s="365">
        <f>Таблица18[[#This Row],[Отход]]/Таблица18[[#This Row],[Вес нетто]]</f>
        <v>0.09</v>
      </c>
      <c r="V1346" s="121">
        <f>MONTH(Таблица18[[#This Row],[Дата акта]])</f>
        <v>7</v>
      </c>
      <c r="W1346" s="121">
        <v>4</v>
      </c>
      <c r="X1346" s="148">
        <f>DATE(1900,Таблица18[[#This Row],[Месяц]],Таблица18[[#This Row],[Число]])</f>
        <v>186</v>
      </c>
      <c r="Y1346" s="121"/>
      <c r="Z1346" s="121" t="str">
        <f>Таблица18[[#This Row],[Хар-ка]]</f>
        <v>высший</v>
      </c>
      <c r="AD1346" s="459"/>
      <c r="AE1346" s="391"/>
    </row>
    <row r="1347" spans="1:31" s="325" customFormat="1" ht="15.6" hidden="1" customHeight="1" x14ac:dyDescent="0.2">
      <c r="A1347" s="40" t="s">
        <v>1442</v>
      </c>
      <c r="B1347" s="360" t="s">
        <v>511</v>
      </c>
      <c r="C1347" s="40">
        <v>745</v>
      </c>
      <c r="D1347" s="40">
        <v>100</v>
      </c>
      <c r="E1347" s="40" t="s">
        <v>1167</v>
      </c>
      <c r="F1347" s="40" t="s">
        <v>1461</v>
      </c>
      <c r="G1347" s="40" t="s">
        <v>149</v>
      </c>
      <c r="H1347" s="40" t="s">
        <v>1321</v>
      </c>
      <c r="I1347" s="360" t="e">
        <f>VLOOKUP(Таблица18[[#This Row],[Номер акта]],$AB$1:$AF$1833,3,FALSE)</f>
        <v>#N/A</v>
      </c>
      <c r="J1347" s="40" t="s">
        <v>909</v>
      </c>
      <c r="K1347" s="40" t="s">
        <v>82</v>
      </c>
      <c r="L1347" s="121">
        <v>28990</v>
      </c>
      <c r="M1347" s="121">
        <v>15080</v>
      </c>
      <c r="N1347" s="121">
        <v>17.5</v>
      </c>
      <c r="O1347" s="363">
        <v>13910</v>
      </c>
      <c r="P1347" s="363">
        <v>11475.7</v>
      </c>
      <c r="Q1347" s="121">
        <v>2025</v>
      </c>
      <c r="R1347" s="121"/>
      <c r="S1347" s="148">
        <v>45842</v>
      </c>
      <c r="T1347" s="363">
        <f>Таблица18[[#This Row],[Вес нетто]]-Таблица18[[#This Row],[Зачетный вес]]</f>
        <v>2434.2999999999993</v>
      </c>
      <c r="U1347" s="365">
        <f>Таблица18[[#This Row],[Отход]]/Таблица18[[#This Row],[Вес нетто]]</f>
        <v>0.17500359453630476</v>
      </c>
      <c r="V1347" s="121">
        <f>MONTH(Таблица18[[#This Row],[Дата акта]])</f>
        <v>7</v>
      </c>
      <c r="W1347" s="121">
        <v>4</v>
      </c>
      <c r="X1347" s="148">
        <f>DATE(1900,Таблица18[[#This Row],[Месяц]],Таблица18[[#This Row],[Число]])</f>
        <v>186</v>
      </c>
      <c r="Y1347" s="121"/>
      <c r="Z1347" s="121" t="str">
        <f>Таблица18[[#This Row],[Хар-ка]]</f>
        <v>высший</v>
      </c>
      <c r="AD1347" s="459"/>
      <c r="AE1347" s="391"/>
    </row>
    <row r="1348" spans="1:31" s="325" customFormat="1" ht="15.6" hidden="1" customHeight="1" x14ac:dyDescent="0.2">
      <c r="A1348" s="40" t="s">
        <v>1477</v>
      </c>
      <c r="B1348" s="360" t="s">
        <v>511</v>
      </c>
      <c r="C1348" s="40">
        <v>746</v>
      </c>
      <c r="D1348" s="40">
        <v>101</v>
      </c>
      <c r="E1348" s="40" t="s">
        <v>1167</v>
      </c>
      <c r="F1348" s="40" t="s">
        <v>1373</v>
      </c>
      <c r="G1348" s="40" t="s">
        <v>1374</v>
      </c>
      <c r="H1348" s="40" t="s">
        <v>1321</v>
      </c>
      <c r="I1348" s="360" t="e">
        <f>VLOOKUP(Таблица18[[#This Row],[Номер акта]],$AB$1:$AF$1833,3,FALSE)</f>
        <v>#N/A</v>
      </c>
      <c r="J1348" s="40" t="s">
        <v>909</v>
      </c>
      <c r="K1348" s="40" t="s">
        <v>82</v>
      </c>
      <c r="L1348" s="121">
        <v>37840</v>
      </c>
      <c r="M1348" s="121">
        <v>24070</v>
      </c>
      <c r="N1348" s="121">
        <v>12.5</v>
      </c>
      <c r="O1348" s="363">
        <v>13770</v>
      </c>
      <c r="P1348" s="363">
        <v>12048.7</v>
      </c>
      <c r="Q1348" s="121">
        <v>2025</v>
      </c>
      <c r="R1348" s="121"/>
      <c r="S1348" s="148">
        <v>45842</v>
      </c>
      <c r="T1348" s="363">
        <f>Таблица18[[#This Row],[Вес нетто]]-Таблица18[[#This Row],[Зачетный вес]]</f>
        <v>1721.2999999999993</v>
      </c>
      <c r="U1348" s="365">
        <f>Таблица18[[#This Row],[Отход]]/Таблица18[[#This Row],[Вес нетто]]</f>
        <v>0.12500363108206239</v>
      </c>
      <c r="V1348" s="121">
        <f>MONTH(Таблица18[[#This Row],[Дата акта]])</f>
        <v>7</v>
      </c>
      <c r="W1348" s="121">
        <v>4</v>
      </c>
      <c r="X1348" s="148">
        <f>DATE(1900,Таблица18[[#This Row],[Месяц]],Таблица18[[#This Row],[Число]])</f>
        <v>186</v>
      </c>
      <c r="Y1348" s="121"/>
      <c r="Z1348" s="121" t="str">
        <f>Таблица18[[#This Row],[Хар-ка]]</f>
        <v>высший</v>
      </c>
      <c r="AD1348" s="459"/>
      <c r="AE1348" s="391"/>
    </row>
    <row r="1349" spans="1:31" s="325" customFormat="1" ht="15.6" hidden="1" customHeight="1" x14ac:dyDescent="0.2">
      <c r="A1349" s="40" t="s">
        <v>1478</v>
      </c>
      <c r="B1349" s="360" t="s">
        <v>511</v>
      </c>
      <c r="C1349" s="40">
        <v>747</v>
      </c>
      <c r="D1349" s="40">
        <v>102</v>
      </c>
      <c r="E1349" s="40" t="s">
        <v>1167</v>
      </c>
      <c r="F1349" s="40" t="s">
        <v>1376</v>
      </c>
      <c r="G1349" s="40" t="s">
        <v>1377</v>
      </c>
      <c r="H1349" s="40" t="s">
        <v>1321</v>
      </c>
      <c r="I1349" s="360" t="e">
        <f>VLOOKUP(Таблица18[[#This Row],[Номер акта]],$AB$1:$AF$1833,3,FALSE)</f>
        <v>#N/A</v>
      </c>
      <c r="J1349" s="40" t="s">
        <v>909</v>
      </c>
      <c r="K1349" s="40" t="s">
        <v>82</v>
      </c>
      <c r="L1349" s="121">
        <v>29440</v>
      </c>
      <c r="M1349" s="121">
        <v>15570</v>
      </c>
      <c r="N1349" s="121">
        <v>11.5</v>
      </c>
      <c r="O1349" s="363">
        <v>13870</v>
      </c>
      <c r="P1349" s="363">
        <v>12274.9</v>
      </c>
      <c r="Q1349" s="121">
        <v>2025</v>
      </c>
      <c r="R1349" s="121"/>
      <c r="S1349" s="148">
        <v>45842</v>
      </c>
      <c r="T1349" s="363">
        <f>Таблица18[[#This Row],[Вес нетто]]-Таблица18[[#This Row],[Зачетный вес]]</f>
        <v>1595.1000000000004</v>
      </c>
      <c r="U1349" s="365">
        <f>Таблица18[[#This Row],[Отход]]/Таблица18[[#This Row],[Вес нетто]]</f>
        <v>0.11500360490266766</v>
      </c>
      <c r="V1349" s="121">
        <f>MONTH(Таблица18[[#This Row],[Дата акта]])</f>
        <v>7</v>
      </c>
      <c r="W1349" s="121">
        <v>4</v>
      </c>
      <c r="X1349" s="148">
        <f>DATE(1900,Таблица18[[#This Row],[Месяц]],Таблица18[[#This Row],[Число]])</f>
        <v>186</v>
      </c>
      <c r="Y1349" s="121"/>
      <c r="Z1349" s="121" t="str">
        <f>Таблица18[[#This Row],[Хар-ка]]</f>
        <v>высший</v>
      </c>
      <c r="AD1349" s="459"/>
      <c r="AE1349" s="391"/>
    </row>
    <row r="1350" spans="1:31" s="325" customFormat="1" ht="15.6" hidden="1" customHeight="1" x14ac:dyDescent="0.2">
      <c r="A1350" s="40" t="s">
        <v>1479</v>
      </c>
      <c r="B1350" s="360" t="s">
        <v>511</v>
      </c>
      <c r="C1350" s="40">
        <v>748</v>
      </c>
      <c r="D1350" s="40">
        <v>103</v>
      </c>
      <c r="E1350" s="40" t="s">
        <v>1167</v>
      </c>
      <c r="F1350" s="40" t="s">
        <v>1408</v>
      </c>
      <c r="G1350" s="40" t="s">
        <v>1409</v>
      </c>
      <c r="H1350" s="40" t="s">
        <v>1321</v>
      </c>
      <c r="I1350" s="360" t="e">
        <f>VLOOKUP(Таблица18[[#This Row],[Номер акта]],$AB$1:$AF$1833,3,FALSE)</f>
        <v>#N/A</v>
      </c>
      <c r="J1350" s="40" t="s">
        <v>909</v>
      </c>
      <c r="K1350" s="40" t="s">
        <v>82</v>
      </c>
      <c r="L1350" s="121">
        <v>29280</v>
      </c>
      <c r="M1350" s="121">
        <v>15500</v>
      </c>
      <c r="N1350" s="121">
        <v>12</v>
      </c>
      <c r="O1350" s="363">
        <v>13780</v>
      </c>
      <c r="P1350" s="363">
        <v>12126.4</v>
      </c>
      <c r="Q1350" s="121">
        <v>2025</v>
      </c>
      <c r="R1350" s="121"/>
      <c r="S1350" s="148">
        <v>45842</v>
      </c>
      <c r="T1350" s="363">
        <f>Таблица18[[#This Row],[Вес нетто]]-Таблица18[[#This Row],[Зачетный вес]]</f>
        <v>1653.6000000000004</v>
      </c>
      <c r="U1350" s="365">
        <f>Таблица18[[#This Row],[Отход]]/Таблица18[[#This Row],[Вес нетто]]</f>
        <v>0.12000000000000002</v>
      </c>
      <c r="V1350" s="121">
        <f>MONTH(Таблица18[[#This Row],[Дата акта]])</f>
        <v>7</v>
      </c>
      <c r="W1350" s="121">
        <v>4</v>
      </c>
      <c r="X1350" s="148">
        <f>DATE(1900,Таблица18[[#This Row],[Месяц]],Таблица18[[#This Row],[Число]])</f>
        <v>186</v>
      </c>
      <c r="Y1350" s="121"/>
      <c r="Z1350" s="121" t="str">
        <f>Таблица18[[#This Row],[Хар-ка]]</f>
        <v>высший</v>
      </c>
      <c r="AD1350" s="459"/>
      <c r="AE1350" s="391"/>
    </row>
    <row r="1351" spans="1:31" s="325" customFormat="1" ht="15.6" hidden="1" customHeight="1" x14ac:dyDescent="0.2">
      <c r="A1351" s="40" t="s">
        <v>1480</v>
      </c>
      <c r="B1351" s="360" t="s">
        <v>511</v>
      </c>
      <c r="C1351" s="40">
        <v>749</v>
      </c>
      <c r="D1351" s="40">
        <v>104</v>
      </c>
      <c r="E1351" s="40" t="s">
        <v>1167</v>
      </c>
      <c r="F1351" s="40" t="s">
        <v>239</v>
      </c>
      <c r="G1351" s="40" t="s">
        <v>243</v>
      </c>
      <c r="H1351" s="40" t="s">
        <v>1321</v>
      </c>
      <c r="I1351" s="360" t="e">
        <f>VLOOKUP(Таблица18[[#This Row],[Номер акта]],$AB$1:$AF$1833,3,FALSE)</f>
        <v>#N/A</v>
      </c>
      <c r="J1351" s="40" t="s">
        <v>909</v>
      </c>
      <c r="K1351" s="40" t="s">
        <v>82</v>
      </c>
      <c r="L1351" s="121">
        <v>28410</v>
      </c>
      <c r="M1351" s="121">
        <v>14620</v>
      </c>
      <c r="N1351" s="121">
        <v>10</v>
      </c>
      <c r="O1351" s="363">
        <v>13790</v>
      </c>
      <c r="P1351" s="363">
        <v>12411</v>
      </c>
      <c r="Q1351" s="121">
        <v>2025</v>
      </c>
      <c r="R1351" s="121"/>
      <c r="S1351" s="148">
        <v>45842</v>
      </c>
      <c r="T1351" s="363">
        <f>Таблица18[[#This Row],[Вес нетто]]-Таблица18[[#This Row],[Зачетный вес]]</f>
        <v>1379</v>
      </c>
      <c r="U1351" s="365">
        <f>Таблица18[[#This Row],[Отход]]/Таблица18[[#This Row],[Вес нетто]]</f>
        <v>0.1</v>
      </c>
      <c r="V1351" s="121">
        <f>MONTH(Таблица18[[#This Row],[Дата акта]])</f>
        <v>7</v>
      </c>
      <c r="W1351" s="121">
        <v>4</v>
      </c>
      <c r="X1351" s="148">
        <f>DATE(1900,Таблица18[[#This Row],[Месяц]],Таблица18[[#This Row],[Число]])</f>
        <v>186</v>
      </c>
      <c r="Y1351" s="121"/>
      <c r="Z1351" s="121" t="str">
        <f>Таблица18[[#This Row],[Хар-ка]]</f>
        <v>высший</v>
      </c>
      <c r="AD1351" s="459"/>
      <c r="AE1351" s="391"/>
    </row>
    <row r="1352" spans="1:31" s="325" customFormat="1" ht="15.6" hidden="1" customHeight="1" x14ac:dyDescent="0.2">
      <c r="A1352" s="40" t="s">
        <v>1481</v>
      </c>
      <c r="B1352" s="360" t="s">
        <v>511</v>
      </c>
      <c r="C1352" s="40">
        <v>750</v>
      </c>
      <c r="D1352" s="40">
        <v>105</v>
      </c>
      <c r="E1352" s="40" t="s">
        <v>1167</v>
      </c>
      <c r="F1352" s="40" t="s">
        <v>335</v>
      </c>
      <c r="G1352" s="40" t="s">
        <v>339</v>
      </c>
      <c r="H1352" s="40" t="s">
        <v>1321</v>
      </c>
      <c r="I1352" s="360" t="e">
        <f>VLOOKUP(Таблица18[[#This Row],[Номер акта]],$AB$1:$AF$1833,3,FALSE)</f>
        <v>#N/A</v>
      </c>
      <c r="J1352" s="40" t="s">
        <v>909</v>
      </c>
      <c r="K1352" s="40" t="s">
        <v>82</v>
      </c>
      <c r="L1352" s="121">
        <v>29090</v>
      </c>
      <c r="M1352" s="121">
        <v>14910</v>
      </c>
      <c r="N1352" s="121">
        <v>15</v>
      </c>
      <c r="O1352" s="363">
        <v>14180</v>
      </c>
      <c r="P1352" s="363">
        <v>12053</v>
      </c>
      <c r="Q1352" s="121">
        <v>2025</v>
      </c>
      <c r="R1352" s="121"/>
      <c r="S1352" s="148">
        <v>45842</v>
      </c>
      <c r="T1352" s="363">
        <f>Таблица18[[#This Row],[Вес нетто]]-Таблица18[[#This Row],[Зачетный вес]]</f>
        <v>2127</v>
      </c>
      <c r="U1352" s="365">
        <f>Таблица18[[#This Row],[Отход]]/Таблица18[[#This Row],[Вес нетто]]</f>
        <v>0.15</v>
      </c>
      <c r="V1352" s="121">
        <f>MONTH(Таблица18[[#This Row],[Дата акта]])</f>
        <v>7</v>
      </c>
      <c r="W1352" s="121">
        <v>4</v>
      </c>
      <c r="X1352" s="148">
        <f>DATE(1900,Таблица18[[#This Row],[Месяц]],Таблица18[[#This Row],[Число]])</f>
        <v>186</v>
      </c>
      <c r="Y1352" s="121"/>
      <c r="Z1352" s="121" t="str">
        <f>Таблица18[[#This Row],[Хар-ка]]</f>
        <v>высший</v>
      </c>
      <c r="AD1352" s="459"/>
      <c r="AE1352" s="391"/>
    </row>
    <row r="1353" spans="1:31" s="325" customFormat="1" ht="15.6" hidden="1" customHeight="1" x14ac:dyDescent="0.2">
      <c r="A1353" s="40" t="s">
        <v>1482</v>
      </c>
      <c r="B1353" s="360" t="s">
        <v>833</v>
      </c>
      <c r="C1353" s="40">
        <v>751</v>
      </c>
      <c r="D1353" s="40">
        <v>106</v>
      </c>
      <c r="E1353" s="40" t="s">
        <v>1167</v>
      </c>
      <c r="F1353" s="40" t="s">
        <v>894</v>
      </c>
      <c r="G1353" s="40" t="s">
        <v>895</v>
      </c>
      <c r="H1353" s="40" t="s">
        <v>1321</v>
      </c>
      <c r="I1353" s="360" t="e">
        <f>VLOOKUP(Таблица18[[#This Row],[Номер акта]],$AB$1:$AF$1833,3,FALSE)</f>
        <v>#N/A</v>
      </c>
      <c r="J1353" s="40" t="s">
        <v>909</v>
      </c>
      <c r="K1353" s="40" t="s">
        <v>82</v>
      </c>
      <c r="L1353" s="121">
        <v>28430</v>
      </c>
      <c r="M1353" s="121">
        <v>14870</v>
      </c>
      <c r="N1353" s="121">
        <v>6.5</v>
      </c>
      <c r="O1353" s="363">
        <v>13560</v>
      </c>
      <c r="P1353" s="363">
        <v>12678.6</v>
      </c>
      <c r="Q1353" s="121">
        <v>2025</v>
      </c>
      <c r="R1353" s="121"/>
      <c r="S1353" s="148">
        <v>45842</v>
      </c>
      <c r="T1353" s="363">
        <f>Таблица18[[#This Row],[Вес нетто]]-Таблица18[[#This Row],[Зачетный вес]]</f>
        <v>881.39999999999964</v>
      </c>
      <c r="U1353" s="365">
        <f>Таблица18[[#This Row],[Отход]]/Таблица18[[#This Row],[Вес нетто]]</f>
        <v>6.4999999999999974E-2</v>
      </c>
      <c r="V1353" s="121">
        <f>MONTH(Таблица18[[#This Row],[Дата акта]])</f>
        <v>7</v>
      </c>
      <c r="W1353" s="121">
        <v>4</v>
      </c>
      <c r="X1353" s="148">
        <f>DATE(1900,Таблица18[[#This Row],[Месяц]],Таблица18[[#This Row],[Число]])</f>
        <v>186</v>
      </c>
      <c r="Y1353" s="121"/>
      <c r="Z1353" s="121" t="str">
        <f>Таблица18[[#This Row],[Хар-ка]]</f>
        <v>второй</v>
      </c>
      <c r="AD1353" s="459"/>
      <c r="AE1353" s="391"/>
    </row>
    <row r="1354" spans="1:31" s="325" customFormat="1" ht="15.6" hidden="1" customHeight="1" x14ac:dyDescent="0.2">
      <c r="A1354" s="40" t="s">
        <v>1483</v>
      </c>
      <c r="B1354" s="360" t="s">
        <v>833</v>
      </c>
      <c r="C1354" s="40">
        <v>752</v>
      </c>
      <c r="D1354" s="40">
        <v>107</v>
      </c>
      <c r="E1354" s="40" t="s">
        <v>1167</v>
      </c>
      <c r="F1354" s="40" t="s">
        <v>347</v>
      </c>
      <c r="G1354" s="40" t="s">
        <v>351</v>
      </c>
      <c r="H1354" s="40" t="s">
        <v>1321</v>
      </c>
      <c r="I1354" s="360" t="e">
        <f>VLOOKUP(Таблица18[[#This Row],[Номер акта]],$AB$1:$AF$1833,3,FALSE)</f>
        <v>#N/A</v>
      </c>
      <c r="J1354" s="40" t="s">
        <v>909</v>
      </c>
      <c r="K1354" s="40" t="s">
        <v>82</v>
      </c>
      <c r="L1354" s="121">
        <v>26200</v>
      </c>
      <c r="M1354" s="121">
        <v>15790</v>
      </c>
      <c r="N1354" s="121">
        <v>10</v>
      </c>
      <c r="O1354" s="363">
        <v>10410</v>
      </c>
      <c r="P1354" s="363">
        <v>9369</v>
      </c>
      <c r="Q1354" s="121">
        <v>2025</v>
      </c>
      <c r="R1354" s="121"/>
      <c r="S1354" s="148">
        <v>45842</v>
      </c>
      <c r="T1354" s="363">
        <f>Таблица18[[#This Row],[Вес нетто]]-Таблица18[[#This Row],[Зачетный вес]]</f>
        <v>1041</v>
      </c>
      <c r="U1354" s="365">
        <f>Таблица18[[#This Row],[Отход]]/Таблица18[[#This Row],[Вес нетто]]</f>
        <v>0.1</v>
      </c>
      <c r="V1354" s="121">
        <f>MONTH(Таблица18[[#This Row],[Дата акта]])</f>
        <v>7</v>
      </c>
      <c r="W1354" s="121">
        <v>4</v>
      </c>
      <c r="X1354" s="148">
        <f>DATE(1900,Таблица18[[#This Row],[Месяц]],Таблица18[[#This Row],[Число]])</f>
        <v>186</v>
      </c>
      <c r="Y1354" s="121"/>
      <c r="Z1354" s="121" t="str">
        <f>Таблица18[[#This Row],[Хар-ка]]</f>
        <v>второй</v>
      </c>
      <c r="AD1354" s="459"/>
      <c r="AE1354" s="391"/>
    </row>
    <row r="1355" spans="1:31" s="325" customFormat="1" ht="15.6" hidden="1" customHeight="1" x14ac:dyDescent="0.2">
      <c r="A1355" s="40" t="s">
        <v>1484</v>
      </c>
      <c r="B1355" s="360" t="s">
        <v>550</v>
      </c>
      <c r="C1355" s="40">
        <v>753</v>
      </c>
      <c r="D1355" s="40">
        <v>108</v>
      </c>
      <c r="E1355" s="40" t="s">
        <v>1167</v>
      </c>
      <c r="F1355" s="40" t="s">
        <v>111</v>
      </c>
      <c r="G1355" s="40" t="s">
        <v>114</v>
      </c>
      <c r="H1355" s="40" t="s">
        <v>1485</v>
      </c>
      <c r="I1355" s="360" t="e">
        <f>VLOOKUP(Таблица18[[#This Row],[Номер акта]],$AB$1:$AF$1833,3,FALSE)</f>
        <v>#N/A</v>
      </c>
      <c r="J1355" s="40" t="s">
        <v>909</v>
      </c>
      <c r="K1355" s="40" t="s">
        <v>82</v>
      </c>
      <c r="L1355" s="121">
        <v>28780</v>
      </c>
      <c r="M1355" s="121">
        <v>15520</v>
      </c>
      <c r="N1355" s="121">
        <v>18</v>
      </c>
      <c r="O1355" s="363">
        <v>13260</v>
      </c>
      <c r="P1355" s="363">
        <v>10873.2</v>
      </c>
      <c r="Q1355" s="121">
        <v>2025</v>
      </c>
      <c r="R1355" s="121"/>
      <c r="S1355" s="148">
        <v>45843</v>
      </c>
      <c r="T1355" s="363">
        <f>Таблица18[[#This Row],[Вес нетто]]-Таблица18[[#This Row],[Зачетный вес]]</f>
        <v>2386.7999999999993</v>
      </c>
      <c r="U1355" s="365">
        <f>Таблица18[[#This Row],[Отход]]/Таблица18[[#This Row],[Вес нетто]]</f>
        <v>0.17999999999999994</v>
      </c>
      <c r="V1355" s="121">
        <f>MONTH(Таблица18[[#This Row],[Дата акта]])</f>
        <v>7</v>
      </c>
      <c r="W1355" s="121">
        <v>5</v>
      </c>
      <c r="X1355" s="148">
        <f>DATE(1900,Таблица18[[#This Row],[Месяц]],Таблица18[[#This Row],[Число]])</f>
        <v>187</v>
      </c>
      <c r="Y1355" s="121"/>
      <c r="Z1355" s="121" t="str">
        <f>Таблица18[[#This Row],[Хар-ка]]</f>
        <v>первый</v>
      </c>
      <c r="AD1355" s="459"/>
      <c r="AE1355" s="391"/>
    </row>
    <row r="1356" spans="1:31" s="325" customFormat="1" ht="15.6" hidden="1" customHeight="1" x14ac:dyDescent="0.2">
      <c r="A1356" s="40" t="s">
        <v>1486</v>
      </c>
      <c r="B1356" s="360" t="s">
        <v>511</v>
      </c>
      <c r="C1356" s="40">
        <v>754</v>
      </c>
      <c r="D1356" s="40">
        <v>109</v>
      </c>
      <c r="E1356" s="40" t="s">
        <v>1167</v>
      </c>
      <c r="F1356" s="40" t="s">
        <v>1253</v>
      </c>
      <c r="G1356" s="40" t="s">
        <v>270</v>
      </c>
      <c r="H1356" s="40" t="s">
        <v>1485</v>
      </c>
      <c r="I1356" s="360" t="e">
        <f>VLOOKUP(Таблица18[[#This Row],[Номер акта]],$AB$1:$AF$1833,3,FALSE)</f>
        <v>#N/A</v>
      </c>
      <c r="J1356" s="40" t="s">
        <v>909</v>
      </c>
      <c r="K1356" s="40" t="s">
        <v>82</v>
      </c>
      <c r="L1356" s="121">
        <v>28230</v>
      </c>
      <c r="M1356" s="121">
        <v>14800</v>
      </c>
      <c r="N1356" s="121">
        <v>14</v>
      </c>
      <c r="O1356" s="363">
        <v>13430</v>
      </c>
      <c r="P1356" s="363">
        <v>11549.8</v>
      </c>
      <c r="Q1356" s="121">
        <v>2025</v>
      </c>
      <c r="R1356" s="121"/>
      <c r="S1356" s="148">
        <v>45843</v>
      </c>
      <c r="T1356" s="363">
        <f>Таблица18[[#This Row],[Вес нетто]]-Таблица18[[#This Row],[Зачетный вес]]</f>
        <v>1880.2000000000007</v>
      </c>
      <c r="U1356" s="365">
        <f>Таблица18[[#This Row],[Отход]]/Таблица18[[#This Row],[Вес нетто]]</f>
        <v>0.14000000000000004</v>
      </c>
      <c r="V1356" s="121">
        <f>MONTH(Таблица18[[#This Row],[Дата акта]])</f>
        <v>7</v>
      </c>
      <c r="W1356" s="121">
        <v>5</v>
      </c>
      <c r="X1356" s="148">
        <f>DATE(1900,Таблица18[[#This Row],[Месяц]],Таблица18[[#This Row],[Число]])</f>
        <v>187</v>
      </c>
      <c r="Y1356" s="121"/>
      <c r="Z1356" s="121" t="str">
        <f>Таблица18[[#This Row],[Хар-ка]]</f>
        <v>высший</v>
      </c>
      <c r="AD1356" s="459"/>
      <c r="AE1356" s="391"/>
    </row>
    <row r="1357" spans="1:31" s="325" customFormat="1" ht="15.6" hidden="1" customHeight="1" x14ac:dyDescent="0.2">
      <c r="A1357" s="40" t="s">
        <v>1487</v>
      </c>
      <c r="B1357" s="360" t="s">
        <v>511</v>
      </c>
      <c r="C1357" s="40">
        <v>756</v>
      </c>
      <c r="D1357" s="40">
        <v>110</v>
      </c>
      <c r="E1357" s="40" t="s">
        <v>1167</v>
      </c>
      <c r="F1357" s="40" t="s">
        <v>1151</v>
      </c>
      <c r="G1357" s="40" t="s">
        <v>145</v>
      </c>
      <c r="H1357" s="40" t="s">
        <v>1485</v>
      </c>
      <c r="I1357" s="360" t="e">
        <f>VLOOKUP(Таблица18[[#This Row],[Номер акта]],$AB$1:$AF$1833,3,FALSE)</f>
        <v>#N/A</v>
      </c>
      <c r="J1357" s="40" t="s">
        <v>909</v>
      </c>
      <c r="K1357" s="40" t="s">
        <v>82</v>
      </c>
      <c r="L1357" s="121">
        <v>29290</v>
      </c>
      <c r="M1357" s="121">
        <v>15490</v>
      </c>
      <c r="N1357" s="121">
        <v>12</v>
      </c>
      <c r="O1357" s="363">
        <v>13800</v>
      </c>
      <c r="P1357" s="363">
        <v>12144</v>
      </c>
      <c r="Q1357" s="121">
        <v>2025</v>
      </c>
      <c r="R1357" s="121"/>
      <c r="S1357" s="148">
        <v>45843</v>
      </c>
      <c r="T1357" s="363">
        <f>Таблица18[[#This Row],[Вес нетто]]-Таблица18[[#This Row],[Зачетный вес]]</f>
        <v>1656</v>
      </c>
      <c r="U1357" s="365">
        <f>Таблица18[[#This Row],[Отход]]/Таблица18[[#This Row],[Вес нетто]]</f>
        <v>0.12</v>
      </c>
      <c r="V1357" s="121">
        <f>MONTH(Таблица18[[#This Row],[Дата акта]])</f>
        <v>7</v>
      </c>
      <c r="W1357" s="121">
        <v>5</v>
      </c>
      <c r="X1357" s="148">
        <f>DATE(1900,Таблица18[[#This Row],[Месяц]],Таблица18[[#This Row],[Число]])</f>
        <v>187</v>
      </c>
      <c r="Y1357" s="121"/>
      <c r="Z1357" s="121" t="str">
        <f>Таблица18[[#This Row],[Хар-ка]]</f>
        <v>высший</v>
      </c>
      <c r="AD1357" s="459"/>
      <c r="AE1357" s="391"/>
    </row>
    <row r="1358" spans="1:31" s="325" customFormat="1" ht="15.6" hidden="1" customHeight="1" x14ac:dyDescent="0.2">
      <c r="A1358" s="40" t="s">
        <v>1488</v>
      </c>
      <c r="B1358" s="360" t="s">
        <v>511</v>
      </c>
      <c r="C1358" s="40">
        <v>757</v>
      </c>
      <c r="D1358" s="40">
        <v>111</v>
      </c>
      <c r="E1358" s="40" t="s">
        <v>1167</v>
      </c>
      <c r="F1358" s="40" t="s">
        <v>1367</v>
      </c>
      <c r="G1358" s="40" t="s">
        <v>1368</v>
      </c>
      <c r="H1358" s="40" t="s">
        <v>1485</v>
      </c>
      <c r="I1358" s="360" t="e">
        <f>VLOOKUP(Таблица18[[#This Row],[Номер акта]],$AB$1:$AF$1833,3,FALSE)</f>
        <v>#N/A</v>
      </c>
      <c r="J1358" s="40" t="s">
        <v>909</v>
      </c>
      <c r="K1358" s="40" t="s">
        <v>82</v>
      </c>
      <c r="L1358" s="121">
        <v>28420</v>
      </c>
      <c r="M1358" s="121">
        <v>14850</v>
      </c>
      <c r="N1358" s="121">
        <v>17</v>
      </c>
      <c r="O1358" s="363">
        <v>13570</v>
      </c>
      <c r="P1358" s="363">
        <v>11263.1</v>
      </c>
      <c r="Q1358" s="121">
        <v>2025</v>
      </c>
      <c r="R1358" s="121"/>
      <c r="S1358" s="148">
        <v>45843</v>
      </c>
      <c r="T1358" s="363">
        <f>Таблица18[[#This Row],[Вес нетто]]-Таблица18[[#This Row],[Зачетный вес]]</f>
        <v>2306.8999999999996</v>
      </c>
      <c r="U1358" s="365">
        <f>Таблица18[[#This Row],[Отход]]/Таблица18[[#This Row],[Вес нетто]]</f>
        <v>0.16999999999999998</v>
      </c>
      <c r="V1358" s="121">
        <f>MONTH(Таблица18[[#This Row],[Дата акта]])</f>
        <v>7</v>
      </c>
      <c r="W1358" s="121">
        <v>5</v>
      </c>
      <c r="X1358" s="148">
        <f>DATE(1900,Таблица18[[#This Row],[Месяц]],Таблица18[[#This Row],[Число]])</f>
        <v>187</v>
      </c>
      <c r="Y1358" s="121"/>
      <c r="Z1358" s="121" t="str">
        <f>Таблица18[[#This Row],[Хар-ка]]</f>
        <v>высший</v>
      </c>
      <c r="AD1358" s="459"/>
      <c r="AE1358" s="391"/>
    </row>
    <row r="1359" spans="1:31" s="325" customFormat="1" ht="15.6" hidden="1" customHeight="1" x14ac:dyDescent="0.2">
      <c r="A1359" s="40" t="s">
        <v>1489</v>
      </c>
      <c r="B1359" s="360" t="s">
        <v>511</v>
      </c>
      <c r="C1359" s="40">
        <v>758</v>
      </c>
      <c r="D1359" s="40">
        <v>112</v>
      </c>
      <c r="E1359" s="40" t="s">
        <v>1167</v>
      </c>
      <c r="F1359" s="40" t="s">
        <v>272</v>
      </c>
      <c r="G1359" s="40" t="s">
        <v>276</v>
      </c>
      <c r="H1359" s="40" t="s">
        <v>1485</v>
      </c>
      <c r="I1359" s="360" t="e">
        <f>VLOOKUP(Таблица18[[#This Row],[Номер акта]],$AB$1:$AF$1833,3,FALSE)</f>
        <v>#N/A</v>
      </c>
      <c r="J1359" s="40" t="s">
        <v>909</v>
      </c>
      <c r="K1359" s="40" t="s">
        <v>82</v>
      </c>
      <c r="L1359" s="121">
        <v>32110</v>
      </c>
      <c r="M1359" s="121">
        <v>14780</v>
      </c>
      <c r="N1359" s="121">
        <v>11.5</v>
      </c>
      <c r="O1359" s="363">
        <v>17330</v>
      </c>
      <c r="P1359" s="363">
        <v>15337</v>
      </c>
      <c r="Q1359" s="121">
        <v>2025</v>
      </c>
      <c r="R1359" s="121"/>
      <c r="S1359" s="148">
        <v>45843</v>
      </c>
      <c r="T1359" s="363">
        <f>Таблица18[[#This Row],[Вес нетто]]-Таблица18[[#This Row],[Зачетный вес]]</f>
        <v>1993</v>
      </c>
      <c r="U1359" s="365">
        <f>Таблица18[[#This Row],[Отход]]/Таблица18[[#This Row],[Вес нетто]]</f>
        <v>0.11500288517022504</v>
      </c>
      <c r="V1359" s="121">
        <f>MONTH(Таблица18[[#This Row],[Дата акта]])</f>
        <v>7</v>
      </c>
      <c r="W1359" s="121">
        <v>5</v>
      </c>
      <c r="X1359" s="148">
        <f>DATE(1900,Таблица18[[#This Row],[Месяц]],Таблица18[[#This Row],[Число]])</f>
        <v>187</v>
      </c>
      <c r="Y1359" s="121"/>
      <c r="Z1359" s="121" t="str">
        <f>Таблица18[[#This Row],[Хар-ка]]</f>
        <v>высший</v>
      </c>
      <c r="AD1359" s="459"/>
      <c r="AE1359" s="391"/>
    </row>
    <row r="1360" spans="1:31" s="325" customFormat="1" ht="15.6" hidden="1" customHeight="1" x14ac:dyDescent="0.2">
      <c r="A1360" s="40" t="s">
        <v>1490</v>
      </c>
      <c r="B1360" s="360" t="s">
        <v>550</v>
      </c>
      <c r="C1360" s="40">
        <v>759</v>
      </c>
      <c r="D1360" s="40">
        <v>113</v>
      </c>
      <c r="E1360" s="40" t="s">
        <v>1167</v>
      </c>
      <c r="F1360" s="40" t="s">
        <v>1461</v>
      </c>
      <c r="G1360" s="40" t="s">
        <v>149</v>
      </c>
      <c r="H1360" s="40" t="s">
        <v>1168</v>
      </c>
      <c r="I1360" s="360" t="e">
        <f>VLOOKUP(Таблица18[[#This Row],[Номер акта]],$AB$1:$AF$1833,3,FALSE)</f>
        <v>#N/A</v>
      </c>
      <c r="J1360" s="40" t="s">
        <v>1316</v>
      </c>
      <c r="K1360" s="40" t="s">
        <v>82</v>
      </c>
      <c r="L1360" s="121">
        <v>28250</v>
      </c>
      <c r="M1360" s="121">
        <v>14960</v>
      </c>
      <c r="N1360" s="121">
        <v>7.5</v>
      </c>
      <c r="O1360" s="363">
        <v>13290</v>
      </c>
      <c r="P1360" s="363">
        <v>12293.2</v>
      </c>
      <c r="Q1360" s="121">
        <v>2025</v>
      </c>
      <c r="R1360" s="121"/>
      <c r="S1360" s="148">
        <v>45843</v>
      </c>
      <c r="T1360" s="363">
        <f>Таблица18[[#This Row],[Вес нетто]]-Таблица18[[#This Row],[Зачетный вес]]</f>
        <v>996.79999999999927</v>
      </c>
      <c r="U1360" s="365">
        <f>Таблица18[[#This Row],[Отход]]/Таблица18[[#This Row],[Вес нетто]]</f>
        <v>7.5003762227238466E-2</v>
      </c>
      <c r="V1360" s="121">
        <f>MONTH(Таблица18[[#This Row],[Дата акта]])</f>
        <v>7</v>
      </c>
      <c r="W1360" s="121">
        <v>5</v>
      </c>
      <c r="X1360" s="148">
        <f>DATE(1900,Таблица18[[#This Row],[Месяц]],Таблица18[[#This Row],[Число]])</f>
        <v>187</v>
      </c>
      <c r="Y1360" s="121"/>
      <c r="Z1360" s="121" t="str">
        <f>Таблица18[[#This Row],[Хар-ка]]</f>
        <v>первый</v>
      </c>
      <c r="AD1360" s="459"/>
      <c r="AE1360" s="391"/>
    </row>
    <row r="1361" spans="1:31" s="325" customFormat="1" ht="15.6" hidden="1" customHeight="1" x14ac:dyDescent="0.2">
      <c r="A1361" s="40" t="s">
        <v>1491</v>
      </c>
      <c r="B1361" s="360" t="s">
        <v>833</v>
      </c>
      <c r="C1361" s="40">
        <v>760</v>
      </c>
      <c r="D1361" s="40">
        <v>114</v>
      </c>
      <c r="E1361" s="40" t="s">
        <v>1167</v>
      </c>
      <c r="F1361" s="40" t="s">
        <v>1373</v>
      </c>
      <c r="G1361" s="40" t="s">
        <v>1374</v>
      </c>
      <c r="H1361" s="40" t="s">
        <v>1168</v>
      </c>
      <c r="I1361" s="360" t="e">
        <f>VLOOKUP(Таблица18[[#This Row],[Номер акта]],$AB$1:$AF$1833,3,FALSE)</f>
        <v>#N/A</v>
      </c>
      <c r="J1361" s="40" t="s">
        <v>1316</v>
      </c>
      <c r="K1361" s="40" t="s">
        <v>82</v>
      </c>
      <c r="L1361" s="121">
        <v>37540</v>
      </c>
      <c r="M1361" s="121">
        <v>24370</v>
      </c>
      <c r="N1361" s="121">
        <v>5.5</v>
      </c>
      <c r="O1361" s="363">
        <v>13170</v>
      </c>
      <c r="P1361" s="363">
        <v>12445.6</v>
      </c>
      <c r="Q1361" s="121">
        <v>2025</v>
      </c>
      <c r="R1361" s="121"/>
      <c r="S1361" s="148">
        <v>45844</v>
      </c>
      <c r="T1361" s="363">
        <f>Таблица18[[#This Row],[Вес нетто]]-Таблица18[[#This Row],[Зачетный вес]]</f>
        <v>724.39999999999964</v>
      </c>
      <c r="U1361" s="365">
        <f>Таблица18[[#This Row],[Отход]]/Таблица18[[#This Row],[Вес нетто]]</f>
        <v>5.5003796507213334E-2</v>
      </c>
      <c r="V1361" s="121">
        <f>MONTH(Таблица18[[#This Row],[Дата акта]])</f>
        <v>7</v>
      </c>
      <c r="W1361" s="121">
        <v>6</v>
      </c>
      <c r="X1361" s="148">
        <f>DATE(1900,Таблица18[[#This Row],[Месяц]],Таблица18[[#This Row],[Число]])</f>
        <v>188</v>
      </c>
      <c r="Y1361" s="121"/>
      <c r="Z1361" s="121" t="str">
        <f>Таблица18[[#This Row],[Хар-ка]]</f>
        <v>второй</v>
      </c>
      <c r="AD1361" s="459"/>
      <c r="AE1361" s="391"/>
    </row>
    <row r="1362" spans="1:31" s="325" customFormat="1" ht="15.6" hidden="1" customHeight="1" x14ac:dyDescent="0.2">
      <c r="A1362" s="40" t="s">
        <v>1462</v>
      </c>
      <c r="B1362" s="360" t="s">
        <v>833</v>
      </c>
      <c r="C1362" s="40">
        <v>761</v>
      </c>
      <c r="D1362" s="40">
        <v>115</v>
      </c>
      <c r="E1362" s="40" t="s">
        <v>1167</v>
      </c>
      <c r="F1362" s="40" t="s">
        <v>1312</v>
      </c>
      <c r="G1362" s="40" t="s">
        <v>320</v>
      </c>
      <c r="H1362" s="40" t="s">
        <v>1168</v>
      </c>
      <c r="I1362" s="360" t="e">
        <f>VLOOKUP(Таблица18[[#This Row],[Номер акта]],$AB$1:$AF$1833,3,FALSE)</f>
        <v>#N/A</v>
      </c>
      <c r="J1362" s="40" t="s">
        <v>1316</v>
      </c>
      <c r="K1362" s="40" t="s">
        <v>82</v>
      </c>
      <c r="L1362" s="121">
        <v>27570</v>
      </c>
      <c r="M1362" s="121">
        <v>14450</v>
      </c>
      <c r="N1362" s="121">
        <v>7.5</v>
      </c>
      <c r="O1362" s="363">
        <v>13120</v>
      </c>
      <c r="P1362" s="363">
        <v>12136</v>
      </c>
      <c r="Q1362" s="121">
        <v>2025</v>
      </c>
      <c r="R1362" s="121"/>
      <c r="S1362" s="148">
        <v>45844</v>
      </c>
      <c r="T1362" s="363">
        <f>Таблица18[[#This Row],[Вес нетто]]-Таблица18[[#This Row],[Зачетный вес]]</f>
        <v>984</v>
      </c>
      <c r="U1362" s="365">
        <f>Таблица18[[#This Row],[Отход]]/Таблица18[[#This Row],[Вес нетто]]</f>
        <v>7.4999999999999997E-2</v>
      </c>
      <c r="V1362" s="121">
        <f>MONTH(Таблица18[[#This Row],[Дата акта]])</f>
        <v>7</v>
      </c>
      <c r="W1362" s="121">
        <v>6</v>
      </c>
      <c r="X1362" s="148">
        <f>DATE(1900,Таблица18[[#This Row],[Месяц]],Таблица18[[#This Row],[Число]])</f>
        <v>188</v>
      </c>
      <c r="Y1362" s="121"/>
      <c r="Z1362" s="121" t="str">
        <f>Таблица18[[#This Row],[Хар-ка]]</f>
        <v>второй</v>
      </c>
      <c r="AD1362" s="459"/>
      <c r="AE1362" s="391"/>
    </row>
    <row r="1363" spans="1:31" s="325" customFormat="1" ht="15.6" hidden="1" customHeight="1" x14ac:dyDescent="0.2">
      <c r="A1363" s="40" t="s">
        <v>1463</v>
      </c>
      <c r="B1363" s="360" t="s">
        <v>550</v>
      </c>
      <c r="C1363" s="40">
        <v>762</v>
      </c>
      <c r="D1363" s="40">
        <v>116</v>
      </c>
      <c r="E1363" s="40" t="s">
        <v>1167</v>
      </c>
      <c r="F1363" s="40" t="s">
        <v>212</v>
      </c>
      <c r="G1363" s="40" t="s">
        <v>216</v>
      </c>
      <c r="H1363" s="40" t="s">
        <v>1168</v>
      </c>
      <c r="I1363" s="360" t="e">
        <f>VLOOKUP(Таблица18[[#This Row],[Номер акта]],$AB$1:$AF$1833,3,FALSE)</f>
        <v>#N/A</v>
      </c>
      <c r="J1363" s="40" t="s">
        <v>1316</v>
      </c>
      <c r="K1363" s="40" t="s">
        <v>82</v>
      </c>
      <c r="L1363" s="121">
        <v>27020</v>
      </c>
      <c r="M1363" s="121">
        <v>13810</v>
      </c>
      <c r="N1363" s="121">
        <v>8.5</v>
      </c>
      <c r="O1363" s="363">
        <v>13210</v>
      </c>
      <c r="P1363" s="363">
        <v>12087.1</v>
      </c>
      <c r="Q1363" s="121">
        <v>2025</v>
      </c>
      <c r="R1363" s="121"/>
      <c r="S1363" s="148">
        <v>45844</v>
      </c>
      <c r="T1363" s="363">
        <f>Таблица18[[#This Row],[Вес нетто]]-Таблица18[[#This Row],[Зачетный вес]]</f>
        <v>1122.8999999999996</v>
      </c>
      <c r="U1363" s="365">
        <f>Таблица18[[#This Row],[Отход]]/Таблица18[[#This Row],[Вес нетто]]</f>
        <v>8.5003785011355013E-2</v>
      </c>
      <c r="V1363" s="121">
        <f>MONTH(Таблица18[[#This Row],[Дата акта]])</f>
        <v>7</v>
      </c>
      <c r="W1363" s="121">
        <v>6</v>
      </c>
      <c r="X1363" s="148">
        <f>DATE(1900,Таблица18[[#This Row],[Месяц]],Таблица18[[#This Row],[Число]])</f>
        <v>188</v>
      </c>
      <c r="Y1363" s="121"/>
      <c r="Z1363" s="121" t="str">
        <f>Таблица18[[#This Row],[Хар-ка]]</f>
        <v>первый</v>
      </c>
      <c r="AD1363" s="459"/>
      <c r="AE1363" s="391"/>
    </row>
    <row r="1364" spans="1:31" s="325" customFormat="1" ht="15.6" hidden="1" customHeight="1" x14ac:dyDescent="0.2">
      <c r="A1364" s="40" t="s">
        <v>1464</v>
      </c>
      <c r="B1364" s="360" t="s">
        <v>550</v>
      </c>
      <c r="C1364" s="40">
        <v>763</v>
      </c>
      <c r="D1364" s="40">
        <v>117</v>
      </c>
      <c r="E1364" s="40" t="s">
        <v>1167</v>
      </c>
      <c r="F1364" s="40" t="s">
        <v>1376</v>
      </c>
      <c r="G1364" s="40" t="s">
        <v>1377</v>
      </c>
      <c r="H1364" s="40" t="s">
        <v>1168</v>
      </c>
      <c r="I1364" s="360" t="e">
        <f>VLOOKUP(Таблица18[[#This Row],[Номер акта]],$AB$1:$AF$1833,3,FALSE)</f>
        <v>#N/A</v>
      </c>
      <c r="J1364" s="40" t="s">
        <v>1316</v>
      </c>
      <c r="K1364" s="40" t="s">
        <v>82</v>
      </c>
      <c r="L1364" s="121">
        <v>28630</v>
      </c>
      <c r="M1364" s="121">
        <v>15470</v>
      </c>
      <c r="N1364" s="121">
        <v>7.5</v>
      </c>
      <c r="O1364" s="363">
        <v>13160</v>
      </c>
      <c r="P1364" s="363">
        <v>12173</v>
      </c>
      <c r="Q1364" s="121">
        <v>2025</v>
      </c>
      <c r="R1364" s="121"/>
      <c r="S1364" s="148">
        <v>45844</v>
      </c>
      <c r="T1364" s="363">
        <f>Таблица18[[#This Row],[Вес нетто]]-Таблица18[[#This Row],[Зачетный вес]]</f>
        <v>987</v>
      </c>
      <c r="U1364" s="365">
        <f>Таблица18[[#This Row],[Отход]]/Таблица18[[#This Row],[Вес нетто]]</f>
        <v>7.4999999999999997E-2</v>
      </c>
      <c r="V1364" s="121">
        <f>MONTH(Таблица18[[#This Row],[Дата акта]])</f>
        <v>7</v>
      </c>
      <c r="W1364" s="121">
        <v>6</v>
      </c>
      <c r="X1364" s="148">
        <f>DATE(1900,Таблица18[[#This Row],[Месяц]],Таблица18[[#This Row],[Число]])</f>
        <v>188</v>
      </c>
      <c r="Y1364" s="121"/>
      <c r="Z1364" s="121" t="str">
        <f>Таблица18[[#This Row],[Хар-ка]]</f>
        <v>первый</v>
      </c>
      <c r="AD1364" s="459"/>
      <c r="AE1364" s="391"/>
    </row>
    <row r="1365" spans="1:31" s="325" customFormat="1" ht="15.6" hidden="1" customHeight="1" x14ac:dyDescent="0.2">
      <c r="A1365" s="40" t="s">
        <v>1465</v>
      </c>
      <c r="B1365" s="360" t="s">
        <v>511</v>
      </c>
      <c r="C1365" s="40">
        <v>764</v>
      </c>
      <c r="D1365" s="40">
        <v>118</v>
      </c>
      <c r="E1365" s="40" t="s">
        <v>1167</v>
      </c>
      <c r="F1365" s="40" t="s">
        <v>1408</v>
      </c>
      <c r="G1365" s="40" t="s">
        <v>1409</v>
      </c>
      <c r="H1365" s="40" t="s">
        <v>1168</v>
      </c>
      <c r="I1365" s="360" t="e">
        <f>VLOOKUP(Таблица18[[#This Row],[Номер акта]],$AB$1:$AF$1833,3,FALSE)</f>
        <v>#N/A</v>
      </c>
      <c r="J1365" s="40" t="s">
        <v>1316</v>
      </c>
      <c r="K1365" s="40" t="s">
        <v>82</v>
      </c>
      <c r="L1365" s="121">
        <v>28720</v>
      </c>
      <c r="M1365" s="121">
        <v>15760</v>
      </c>
      <c r="N1365" s="121">
        <v>8.5</v>
      </c>
      <c r="O1365" s="363">
        <v>12960</v>
      </c>
      <c r="P1365" s="363">
        <v>11858.4</v>
      </c>
      <c r="Q1365" s="121">
        <v>2025</v>
      </c>
      <c r="R1365" s="121"/>
      <c r="S1365" s="148">
        <v>45844</v>
      </c>
      <c r="T1365" s="363">
        <f>Таблица18[[#This Row],[Вес нетто]]-Таблица18[[#This Row],[Зачетный вес]]</f>
        <v>1101.6000000000004</v>
      </c>
      <c r="U1365" s="365">
        <f>Таблица18[[#This Row],[Отход]]/Таблица18[[#This Row],[Вес нетто]]</f>
        <v>8.5000000000000034E-2</v>
      </c>
      <c r="V1365" s="121">
        <f>MONTH(Таблица18[[#This Row],[Дата акта]])</f>
        <v>7</v>
      </c>
      <c r="W1365" s="121">
        <v>6</v>
      </c>
      <c r="X1365" s="148">
        <f>DATE(1900,Таблица18[[#This Row],[Месяц]],Таблица18[[#This Row],[Число]])</f>
        <v>188</v>
      </c>
      <c r="Y1365" s="121"/>
      <c r="Z1365" s="121" t="str">
        <f>Таблица18[[#This Row],[Хар-ка]]</f>
        <v>высший</v>
      </c>
      <c r="AD1365" s="459"/>
      <c r="AE1365" s="391"/>
    </row>
    <row r="1366" spans="1:31" s="325" customFormat="1" ht="15.6" hidden="1" customHeight="1" x14ac:dyDescent="0.2">
      <c r="A1366" s="40" t="s">
        <v>1466</v>
      </c>
      <c r="B1366" s="360" t="s">
        <v>511</v>
      </c>
      <c r="C1366" s="40">
        <v>765</v>
      </c>
      <c r="D1366" s="40">
        <v>119</v>
      </c>
      <c r="E1366" s="40" t="s">
        <v>1167</v>
      </c>
      <c r="F1366" s="40" t="s">
        <v>239</v>
      </c>
      <c r="G1366" s="40" t="s">
        <v>243</v>
      </c>
      <c r="H1366" s="40" t="s">
        <v>1168</v>
      </c>
      <c r="I1366" s="360" t="e">
        <f>VLOOKUP(Таблица18[[#This Row],[Номер акта]],$AB$1:$AF$1833,3,FALSE)</f>
        <v>#N/A</v>
      </c>
      <c r="J1366" s="40" t="s">
        <v>1316</v>
      </c>
      <c r="K1366" s="40" t="s">
        <v>82</v>
      </c>
      <c r="L1366" s="121">
        <v>27710</v>
      </c>
      <c r="M1366" s="121">
        <v>14520</v>
      </c>
      <c r="N1366" s="121">
        <v>12.5</v>
      </c>
      <c r="O1366" s="363">
        <v>13190</v>
      </c>
      <c r="P1366" s="363">
        <v>11541.2</v>
      </c>
      <c r="Q1366" s="121">
        <v>2025</v>
      </c>
      <c r="R1366" s="121"/>
      <c r="S1366" s="148">
        <v>45844</v>
      </c>
      <c r="T1366" s="363">
        <f>Таблица18[[#This Row],[Вес нетто]]-Таблица18[[#This Row],[Зачетный вес]]</f>
        <v>1648.7999999999993</v>
      </c>
      <c r="U1366" s="365">
        <f>Таблица18[[#This Row],[Отход]]/Таблица18[[#This Row],[Вес нетто]]</f>
        <v>0.12500379075056856</v>
      </c>
      <c r="V1366" s="121">
        <f>MONTH(Таблица18[[#This Row],[Дата акта]])</f>
        <v>7</v>
      </c>
      <c r="W1366" s="121">
        <v>6</v>
      </c>
      <c r="X1366" s="148">
        <f>DATE(1900,Таблица18[[#This Row],[Месяц]],Таблица18[[#This Row],[Число]])</f>
        <v>188</v>
      </c>
      <c r="Y1366" s="121"/>
      <c r="Z1366" s="121" t="str">
        <f>Таблица18[[#This Row],[Хар-ка]]</f>
        <v>высший</v>
      </c>
      <c r="AD1366" s="459"/>
      <c r="AE1366" s="391"/>
    </row>
    <row r="1367" spans="1:31" s="325" customFormat="1" ht="15.6" hidden="1" customHeight="1" x14ac:dyDescent="0.2">
      <c r="A1367" s="40" t="s">
        <v>1467</v>
      </c>
      <c r="B1367" s="360" t="s">
        <v>511</v>
      </c>
      <c r="C1367" s="40">
        <v>766</v>
      </c>
      <c r="D1367" s="40">
        <v>120</v>
      </c>
      <c r="E1367" s="40" t="s">
        <v>1167</v>
      </c>
      <c r="F1367" s="40" t="s">
        <v>1253</v>
      </c>
      <c r="G1367" s="40" t="s">
        <v>270</v>
      </c>
      <c r="H1367" s="40" t="s">
        <v>1168</v>
      </c>
      <c r="I1367" s="360" t="e">
        <f>VLOOKUP(Таблица18[[#This Row],[Номер акта]],$AB$1:$AF$1833,3,FALSE)</f>
        <v>#N/A</v>
      </c>
      <c r="J1367" s="40" t="s">
        <v>1316</v>
      </c>
      <c r="K1367" s="40" t="s">
        <v>82</v>
      </c>
      <c r="L1367" s="121">
        <v>28080</v>
      </c>
      <c r="M1367" s="121">
        <v>14980</v>
      </c>
      <c r="N1367" s="121">
        <v>8.5</v>
      </c>
      <c r="O1367" s="363">
        <v>13100</v>
      </c>
      <c r="P1367" s="363">
        <v>11986.5</v>
      </c>
      <c r="Q1367" s="121">
        <v>2025</v>
      </c>
      <c r="R1367" s="121"/>
      <c r="S1367" s="148">
        <v>45844</v>
      </c>
      <c r="T1367" s="363">
        <f>Таблица18[[#This Row],[Вес нетто]]-Таблица18[[#This Row],[Зачетный вес]]</f>
        <v>1113.5</v>
      </c>
      <c r="U1367" s="365">
        <f>Таблица18[[#This Row],[Отход]]/Таблица18[[#This Row],[Вес нетто]]</f>
        <v>8.5000000000000006E-2</v>
      </c>
      <c r="V1367" s="121">
        <f>MONTH(Таблица18[[#This Row],[Дата акта]])</f>
        <v>7</v>
      </c>
      <c r="W1367" s="121">
        <v>6</v>
      </c>
      <c r="X1367" s="148">
        <f>DATE(1900,Таблица18[[#This Row],[Месяц]],Таблица18[[#This Row],[Число]])</f>
        <v>188</v>
      </c>
      <c r="Y1367" s="121"/>
      <c r="Z1367" s="121" t="str">
        <f>Таблица18[[#This Row],[Хар-ка]]</f>
        <v>высший</v>
      </c>
      <c r="AD1367" s="459"/>
      <c r="AE1367" s="391"/>
    </row>
    <row r="1368" spans="1:31" s="325" customFormat="1" ht="15.6" hidden="1" customHeight="1" x14ac:dyDescent="0.2">
      <c r="A1368" s="40" t="s">
        <v>1468</v>
      </c>
      <c r="B1368" s="360" t="s">
        <v>511</v>
      </c>
      <c r="C1368" s="40">
        <v>767</v>
      </c>
      <c r="D1368" s="40">
        <v>121</v>
      </c>
      <c r="E1368" s="40" t="s">
        <v>1167</v>
      </c>
      <c r="F1368" s="40" t="s">
        <v>1151</v>
      </c>
      <c r="G1368" s="40" t="s">
        <v>145</v>
      </c>
      <c r="H1368" s="40" t="s">
        <v>1168</v>
      </c>
      <c r="I1368" s="360" t="e">
        <f>VLOOKUP(Таблица18[[#This Row],[Номер акта]],$AB$1:$AF$1833,3,FALSE)</f>
        <v>#N/A</v>
      </c>
      <c r="J1368" s="40" t="s">
        <v>1316</v>
      </c>
      <c r="K1368" s="40" t="s">
        <v>82</v>
      </c>
      <c r="L1368" s="121">
        <v>29000</v>
      </c>
      <c r="M1368" s="121">
        <v>15730</v>
      </c>
      <c r="N1368" s="121">
        <v>12.5</v>
      </c>
      <c r="O1368" s="363">
        <v>13270</v>
      </c>
      <c r="P1368" s="363">
        <v>11611.2</v>
      </c>
      <c r="Q1368" s="121">
        <v>2025</v>
      </c>
      <c r="R1368" s="121"/>
      <c r="S1368" s="148">
        <v>45844</v>
      </c>
      <c r="T1368" s="363">
        <f>Таблица18[[#This Row],[Вес нетто]]-Таблица18[[#This Row],[Зачетный вес]]</f>
        <v>1658.7999999999993</v>
      </c>
      <c r="U1368" s="365">
        <f>Таблица18[[#This Row],[Отход]]/Таблица18[[#This Row],[Вес нетто]]</f>
        <v>0.12500376789751313</v>
      </c>
      <c r="V1368" s="121">
        <f>MONTH(Таблица18[[#This Row],[Дата акта]])</f>
        <v>7</v>
      </c>
      <c r="W1368" s="121">
        <v>6</v>
      </c>
      <c r="X1368" s="148">
        <f>DATE(1900,Таблица18[[#This Row],[Месяц]],Таблица18[[#This Row],[Число]])</f>
        <v>188</v>
      </c>
      <c r="Y1368" s="121"/>
      <c r="Z1368" s="121" t="str">
        <f>Таблица18[[#This Row],[Хар-ка]]</f>
        <v>высший</v>
      </c>
      <c r="AD1368" s="459"/>
      <c r="AE1368" s="391"/>
    </row>
    <row r="1369" spans="1:31" s="325" customFormat="1" ht="15.6" hidden="1" customHeight="1" x14ac:dyDescent="0.2">
      <c r="A1369" s="40" t="s">
        <v>1469</v>
      </c>
      <c r="B1369" s="360" t="s">
        <v>511</v>
      </c>
      <c r="C1369" s="40">
        <v>769</v>
      </c>
      <c r="D1369" s="40">
        <v>122</v>
      </c>
      <c r="E1369" s="40" t="s">
        <v>1167</v>
      </c>
      <c r="F1369" s="40" t="s">
        <v>1367</v>
      </c>
      <c r="G1369" s="40" t="s">
        <v>1368</v>
      </c>
      <c r="H1369" s="40" t="s">
        <v>1168</v>
      </c>
      <c r="I1369" s="360" t="e">
        <f>VLOOKUP(Таблица18[[#This Row],[Номер акта]],$AB$1:$AF$1833,3,FALSE)</f>
        <v>#N/A</v>
      </c>
      <c r="J1369" s="40" t="s">
        <v>1316</v>
      </c>
      <c r="K1369" s="40" t="s">
        <v>82</v>
      </c>
      <c r="L1369" s="121">
        <v>28530</v>
      </c>
      <c r="M1369" s="121">
        <v>15020</v>
      </c>
      <c r="N1369" s="121">
        <v>9.5</v>
      </c>
      <c r="O1369" s="363">
        <v>13510</v>
      </c>
      <c r="P1369" s="363">
        <v>12226.5</v>
      </c>
      <c r="Q1369" s="121">
        <v>2025</v>
      </c>
      <c r="R1369" s="121"/>
      <c r="S1369" s="148">
        <v>45844</v>
      </c>
      <c r="T1369" s="363">
        <f>Таблица18[[#This Row],[Вес нетто]]-Таблица18[[#This Row],[Зачетный вес]]</f>
        <v>1283.5</v>
      </c>
      <c r="U1369" s="365">
        <f>Таблица18[[#This Row],[Отход]]/Таблица18[[#This Row],[Вес нетто]]</f>
        <v>9.5003700962250179E-2</v>
      </c>
      <c r="V1369" s="121">
        <f>MONTH(Таблица18[[#This Row],[Дата акта]])</f>
        <v>7</v>
      </c>
      <c r="W1369" s="121">
        <v>6</v>
      </c>
      <c r="X1369" s="148">
        <f>DATE(1900,Таблица18[[#This Row],[Месяц]],Таблица18[[#This Row],[Число]])</f>
        <v>188</v>
      </c>
      <c r="Y1369" s="121"/>
      <c r="Z1369" s="121" t="str">
        <f>Таблица18[[#This Row],[Хар-ка]]</f>
        <v>высший</v>
      </c>
      <c r="AD1369" s="459"/>
      <c r="AE1369" s="391"/>
    </row>
    <row r="1370" spans="1:31" s="325" customFormat="1" ht="15.6" hidden="1" customHeight="1" x14ac:dyDescent="0.2">
      <c r="A1370" s="40" t="s">
        <v>1470</v>
      </c>
      <c r="B1370" s="360" t="s">
        <v>511</v>
      </c>
      <c r="C1370" s="40">
        <v>770</v>
      </c>
      <c r="D1370" s="40">
        <v>123</v>
      </c>
      <c r="E1370" s="40" t="s">
        <v>1167</v>
      </c>
      <c r="F1370" s="40" t="s">
        <v>272</v>
      </c>
      <c r="G1370" s="40" t="s">
        <v>276</v>
      </c>
      <c r="H1370" s="40" t="s">
        <v>1168</v>
      </c>
      <c r="I1370" s="360" t="e">
        <f>VLOOKUP(Таблица18[[#This Row],[Номер акта]],$AB$1:$AF$1833,3,FALSE)</f>
        <v>#N/A</v>
      </c>
      <c r="J1370" s="40" t="s">
        <v>1316</v>
      </c>
      <c r="K1370" s="40" t="s">
        <v>82</v>
      </c>
      <c r="L1370" s="121">
        <v>28120</v>
      </c>
      <c r="M1370" s="121">
        <v>14680</v>
      </c>
      <c r="N1370" s="121">
        <v>9.5</v>
      </c>
      <c r="O1370" s="363">
        <v>13440</v>
      </c>
      <c r="P1370" s="363">
        <v>12163.2</v>
      </c>
      <c r="Q1370" s="121">
        <v>2025</v>
      </c>
      <c r="R1370" s="121"/>
      <c r="S1370" s="148">
        <v>45844</v>
      </c>
      <c r="T1370" s="363">
        <f>Таблица18[[#This Row],[Вес нетто]]-Таблица18[[#This Row],[Зачетный вес]]</f>
        <v>1276.7999999999993</v>
      </c>
      <c r="U1370" s="365">
        <f>Таблица18[[#This Row],[Отход]]/Таблица18[[#This Row],[Вес нетто]]</f>
        <v>9.4999999999999946E-2</v>
      </c>
      <c r="V1370" s="121">
        <f>MONTH(Таблица18[[#This Row],[Дата акта]])</f>
        <v>7</v>
      </c>
      <c r="W1370" s="121">
        <v>6</v>
      </c>
      <c r="X1370" s="148">
        <f>DATE(1900,Таблица18[[#This Row],[Месяц]],Таблица18[[#This Row],[Число]])</f>
        <v>188</v>
      </c>
      <c r="Y1370" s="121"/>
      <c r="Z1370" s="121" t="str">
        <f>Таблица18[[#This Row],[Хар-ка]]</f>
        <v>высший</v>
      </c>
      <c r="AD1370" s="459"/>
      <c r="AE1370" s="391"/>
    </row>
    <row r="1371" spans="1:31" s="325" customFormat="1" ht="15.6" hidden="1" customHeight="1" x14ac:dyDescent="0.2">
      <c r="A1371" s="40" t="s">
        <v>1471</v>
      </c>
      <c r="B1371" s="360" t="s">
        <v>511</v>
      </c>
      <c r="C1371" s="40">
        <v>771</v>
      </c>
      <c r="D1371" s="40">
        <v>124</v>
      </c>
      <c r="E1371" s="40" t="s">
        <v>1167</v>
      </c>
      <c r="F1371" s="40" t="s">
        <v>1461</v>
      </c>
      <c r="G1371" s="40" t="s">
        <v>149</v>
      </c>
      <c r="H1371" s="40" t="s">
        <v>1168</v>
      </c>
      <c r="I1371" s="360" t="e">
        <f>VLOOKUP(Таблица18[[#This Row],[Номер акта]],$AB$1:$AF$1833,3,FALSE)</f>
        <v>#N/A</v>
      </c>
      <c r="J1371" s="40" t="s">
        <v>1316</v>
      </c>
      <c r="K1371" s="40" t="s">
        <v>82</v>
      </c>
      <c r="L1371" s="121">
        <v>28360</v>
      </c>
      <c r="M1371" s="121">
        <v>14860</v>
      </c>
      <c r="N1371" s="121">
        <v>10.5</v>
      </c>
      <c r="O1371" s="363">
        <v>13500</v>
      </c>
      <c r="P1371" s="363">
        <v>12082.5</v>
      </c>
      <c r="Q1371" s="121">
        <v>2025</v>
      </c>
      <c r="R1371" s="121"/>
      <c r="S1371" s="148">
        <v>45844</v>
      </c>
      <c r="T1371" s="363">
        <f>Таблица18[[#This Row],[Вес нетто]]-Таблица18[[#This Row],[Зачетный вес]]</f>
        <v>1417.5</v>
      </c>
      <c r="U1371" s="365">
        <f>Таблица18[[#This Row],[Отход]]/Таблица18[[#This Row],[Вес нетто]]</f>
        <v>0.105</v>
      </c>
      <c r="V1371" s="121">
        <f>MONTH(Таблица18[[#This Row],[Дата акта]])</f>
        <v>7</v>
      </c>
      <c r="W1371" s="121">
        <v>6</v>
      </c>
      <c r="X1371" s="148">
        <f>DATE(1900,Таблица18[[#This Row],[Месяц]],Таблица18[[#This Row],[Число]])</f>
        <v>188</v>
      </c>
      <c r="Y1371" s="121"/>
      <c r="Z1371" s="121" t="str">
        <f>Таблица18[[#This Row],[Хар-ка]]</f>
        <v>высший</v>
      </c>
      <c r="AD1371" s="459"/>
      <c r="AE1371" s="391"/>
    </row>
    <row r="1372" spans="1:31" s="325" customFormat="1" ht="15.6" hidden="1" customHeight="1" x14ac:dyDescent="0.2">
      <c r="A1372" s="40" t="s">
        <v>1472</v>
      </c>
      <c r="B1372" s="360" t="s">
        <v>511</v>
      </c>
      <c r="C1372" s="40">
        <v>772</v>
      </c>
      <c r="D1372" s="40">
        <v>125</v>
      </c>
      <c r="E1372" s="40" t="s">
        <v>1167</v>
      </c>
      <c r="F1372" s="40" t="s">
        <v>1373</v>
      </c>
      <c r="G1372" s="40" t="s">
        <v>1374</v>
      </c>
      <c r="H1372" s="40" t="s">
        <v>1168</v>
      </c>
      <c r="I1372" s="360" t="e">
        <f>VLOOKUP(Таблица18[[#This Row],[Номер акта]],$AB$1:$AF$1833,3,FALSE)</f>
        <v>#N/A</v>
      </c>
      <c r="J1372" s="40" t="s">
        <v>1316</v>
      </c>
      <c r="K1372" s="40" t="s">
        <v>82</v>
      </c>
      <c r="L1372" s="121">
        <v>37730</v>
      </c>
      <c r="M1372" s="121">
        <v>24240</v>
      </c>
      <c r="N1372" s="121">
        <v>8.5</v>
      </c>
      <c r="O1372" s="363">
        <v>13490</v>
      </c>
      <c r="P1372" s="363">
        <v>12343.3</v>
      </c>
      <c r="Q1372" s="121">
        <v>2025</v>
      </c>
      <c r="R1372" s="121"/>
      <c r="S1372" s="148">
        <v>45844</v>
      </c>
      <c r="T1372" s="363">
        <f>Таблица18[[#This Row],[Вес нетто]]-Таблица18[[#This Row],[Зачетный вес]]</f>
        <v>1146.7000000000007</v>
      </c>
      <c r="U1372" s="365">
        <f>Таблица18[[#This Row],[Отход]]/Таблица18[[#This Row],[Вес нетто]]</f>
        <v>8.50037064492217E-2</v>
      </c>
      <c r="V1372" s="121">
        <f>MONTH(Таблица18[[#This Row],[Дата акта]])</f>
        <v>7</v>
      </c>
      <c r="W1372" s="121">
        <v>6</v>
      </c>
      <c r="X1372" s="148">
        <f>DATE(1900,Таблица18[[#This Row],[Месяц]],Таблица18[[#This Row],[Число]])</f>
        <v>188</v>
      </c>
      <c r="Y1372" s="121"/>
      <c r="Z1372" s="121" t="str">
        <f>Таблица18[[#This Row],[Хар-ка]]</f>
        <v>высший</v>
      </c>
      <c r="AD1372" s="459"/>
      <c r="AE1372" s="391"/>
    </row>
    <row r="1373" spans="1:31" s="325" customFormat="1" ht="15.6" hidden="1" customHeight="1" x14ac:dyDescent="0.2">
      <c r="A1373" s="40" t="s">
        <v>1473</v>
      </c>
      <c r="B1373" s="360" t="s">
        <v>511</v>
      </c>
      <c r="C1373" s="40">
        <v>773</v>
      </c>
      <c r="D1373" s="40">
        <v>126</v>
      </c>
      <c r="E1373" s="40" t="s">
        <v>1167</v>
      </c>
      <c r="F1373" s="40" t="s">
        <v>1376</v>
      </c>
      <c r="G1373" s="40" t="s">
        <v>1377</v>
      </c>
      <c r="H1373" s="40" t="s">
        <v>1168</v>
      </c>
      <c r="I1373" s="360" t="e">
        <f>VLOOKUP(Таблица18[[#This Row],[Номер акта]],$AB$1:$AF$1833,3,FALSE)</f>
        <v>#N/A</v>
      </c>
      <c r="J1373" s="40" t="s">
        <v>1316</v>
      </c>
      <c r="K1373" s="40" t="s">
        <v>82</v>
      </c>
      <c r="L1373" s="121">
        <v>29180</v>
      </c>
      <c r="M1373" s="121">
        <v>15720</v>
      </c>
      <c r="N1373" s="121">
        <v>11.5</v>
      </c>
      <c r="O1373" s="363">
        <v>13460</v>
      </c>
      <c r="P1373" s="363">
        <v>11912.1</v>
      </c>
      <c r="Q1373" s="121">
        <v>2025</v>
      </c>
      <c r="R1373" s="121"/>
      <c r="S1373" s="148">
        <v>45844</v>
      </c>
      <c r="T1373" s="363">
        <f>Таблица18[[#This Row],[Вес нетто]]-Таблица18[[#This Row],[Зачетный вес]]</f>
        <v>1547.8999999999996</v>
      </c>
      <c r="U1373" s="365">
        <f>Таблица18[[#This Row],[Отход]]/Таблица18[[#This Row],[Вес нетто]]</f>
        <v>0.11499999999999998</v>
      </c>
      <c r="V1373" s="121">
        <f>MONTH(Таблица18[[#This Row],[Дата акта]])</f>
        <v>7</v>
      </c>
      <c r="W1373" s="121">
        <v>6</v>
      </c>
      <c r="X1373" s="148">
        <f>DATE(1900,Таблица18[[#This Row],[Месяц]],Таблица18[[#This Row],[Число]])</f>
        <v>188</v>
      </c>
      <c r="Y1373" s="121"/>
      <c r="Z1373" s="121" t="str">
        <f>Таблица18[[#This Row],[Хар-ка]]</f>
        <v>высший</v>
      </c>
      <c r="AD1373" s="459"/>
      <c r="AE1373" s="391"/>
    </row>
    <row r="1374" spans="1:31" s="325" customFormat="1" ht="15.6" hidden="1" customHeight="1" x14ac:dyDescent="0.2">
      <c r="A1374" s="40" t="s">
        <v>1474</v>
      </c>
      <c r="B1374" s="360" t="s">
        <v>511</v>
      </c>
      <c r="C1374" s="40">
        <v>774</v>
      </c>
      <c r="D1374" s="40">
        <v>127</v>
      </c>
      <c r="E1374" s="40" t="s">
        <v>1167</v>
      </c>
      <c r="F1374" s="40" t="s">
        <v>347</v>
      </c>
      <c r="G1374" s="40" t="s">
        <v>351</v>
      </c>
      <c r="H1374" s="40" t="s">
        <v>1168</v>
      </c>
      <c r="I1374" s="360" t="e">
        <f>VLOOKUP(Таблица18[[#This Row],[Номер акта]],$AB$1:$AF$1833,3,FALSE)</f>
        <v>#N/A</v>
      </c>
      <c r="J1374" s="40" t="s">
        <v>1316</v>
      </c>
      <c r="K1374" s="40" t="s">
        <v>82</v>
      </c>
      <c r="L1374" s="121">
        <v>29370</v>
      </c>
      <c r="M1374" s="121">
        <v>15700</v>
      </c>
      <c r="N1374" s="121">
        <v>12.5</v>
      </c>
      <c r="O1374" s="363">
        <v>13670</v>
      </c>
      <c r="P1374" s="363">
        <v>11961.2</v>
      </c>
      <c r="Q1374" s="121">
        <v>2025</v>
      </c>
      <c r="R1374" s="121"/>
      <c r="S1374" s="148">
        <v>45844</v>
      </c>
      <c r="T1374" s="363">
        <f>Таблица18[[#This Row],[Вес нетто]]-Таблица18[[#This Row],[Зачетный вес]]</f>
        <v>1708.7999999999993</v>
      </c>
      <c r="U1374" s="365">
        <f>Таблица18[[#This Row],[Отход]]/Таблица18[[#This Row],[Вес нетто]]</f>
        <v>0.12500365764447691</v>
      </c>
      <c r="V1374" s="121">
        <f>MONTH(Таблица18[[#This Row],[Дата акта]])</f>
        <v>7</v>
      </c>
      <c r="W1374" s="121">
        <v>6</v>
      </c>
      <c r="X1374" s="148">
        <f>DATE(1900,Таблица18[[#This Row],[Месяц]],Таблица18[[#This Row],[Число]])</f>
        <v>188</v>
      </c>
      <c r="Y1374" s="121"/>
      <c r="Z1374" s="121" t="str">
        <f>Таблица18[[#This Row],[Хар-ка]]</f>
        <v>высший</v>
      </c>
      <c r="AD1374" s="459"/>
      <c r="AE1374" s="391"/>
    </row>
    <row r="1375" spans="1:31" s="325" customFormat="1" ht="15.6" hidden="1" customHeight="1" x14ac:dyDescent="0.2">
      <c r="A1375" s="40" t="s">
        <v>1475</v>
      </c>
      <c r="B1375" s="360" t="s">
        <v>511</v>
      </c>
      <c r="C1375" s="40">
        <v>775</v>
      </c>
      <c r="D1375" s="40">
        <v>128</v>
      </c>
      <c r="E1375" s="40" t="s">
        <v>1167</v>
      </c>
      <c r="F1375" s="40" t="s">
        <v>1408</v>
      </c>
      <c r="G1375" s="40" t="s">
        <v>1409</v>
      </c>
      <c r="H1375" s="40" t="s">
        <v>1168</v>
      </c>
      <c r="I1375" s="360" t="e">
        <f>VLOOKUP(Таблица18[[#This Row],[Номер акта]],$AB$1:$AF$1833,3,FALSE)</f>
        <v>#N/A</v>
      </c>
      <c r="J1375" s="40" t="s">
        <v>1316</v>
      </c>
      <c r="K1375" s="40" t="s">
        <v>82</v>
      </c>
      <c r="L1375" s="121">
        <v>29300</v>
      </c>
      <c r="M1375" s="121">
        <v>15640</v>
      </c>
      <c r="N1375" s="121">
        <v>15</v>
      </c>
      <c r="O1375" s="363">
        <v>13660</v>
      </c>
      <c r="P1375" s="363">
        <v>11611</v>
      </c>
      <c r="Q1375" s="121">
        <v>2025</v>
      </c>
      <c r="R1375" s="121"/>
      <c r="S1375" s="148">
        <v>45844</v>
      </c>
      <c r="T1375" s="363">
        <f>Таблица18[[#This Row],[Вес нетто]]-Таблица18[[#This Row],[Зачетный вес]]</f>
        <v>2049</v>
      </c>
      <c r="U1375" s="365">
        <f>Таблица18[[#This Row],[Отход]]/Таблица18[[#This Row],[Вес нетто]]</f>
        <v>0.15</v>
      </c>
      <c r="V1375" s="121">
        <f>MONTH(Таблица18[[#This Row],[Дата акта]])</f>
        <v>7</v>
      </c>
      <c r="W1375" s="121">
        <v>6</v>
      </c>
      <c r="X1375" s="148">
        <f>DATE(1900,Таблица18[[#This Row],[Месяц]],Таблица18[[#This Row],[Число]])</f>
        <v>188</v>
      </c>
      <c r="Y1375" s="121"/>
      <c r="Z1375" s="121" t="str">
        <f>Таблица18[[#This Row],[Хар-ка]]</f>
        <v>высший</v>
      </c>
      <c r="AD1375" s="459"/>
      <c r="AE1375" s="391"/>
    </row>
    <row r="1376" spans="1:31" s="325" customFormat="1" ht="15.6" hidden="1" customHeight="1" x14ac:dyDescent="0.2">
      <c r="A1376" s="40" t="s">
        <v>1476</v>
      </c>
      <c r="B1376" s="360" t="s">
        <v>511</v>
      </c>
      <c r="C1376" s="40">
        <v>776</v>
      </c>
      <c r="D1376" s="40">
        <v>129</v>
      </c>
      <c r="E1376" s="40" t="s">
        <v>1167</v>
      </c>
      <c r="F1376" s="40" t="s">
        <v>160</v>
      </c>
      <c r="G1376" s="40" t="s">
        <v>164</v>
      </c>
      <c r="H1376" s="40" t="s">
        <v>1168</v>
      </c>
      <c r="I1376" s="360" t="e">
        <f>VLOOKUP(Таблица18[[#This Row],[Номер акта]],$AB$1:$AF$1833,3,FALSE)</f>
        <v>#N/A</v>
      </c>
      <c r="J1376" s="40" t="s">
        <v>1316</v>
      </c>
      <c r="K1376" s="40" t="s">
        <v>82</v>
      </c>
      <c r="L1376" s="121">
        <v>39780</v>
      </c>
      <c r="M1376" s="121">
        <v>24080</v>
      </c>
      <c r="N1376" s="121">
        <v>10.5</v>
      </c>
      <c r="O1376" s="363">
        <v>15700</v>
      </c>
      <c r="P1376" s="363">
        <v>14051.5</v>
      </c>
      <c r="Q1376" s="121">
        <v>2025</v>
      </c>
      <c r="R1376" s="121"/>
      <c r="S1376" s="148">
        <v>45844</v>
      </c>
      <c r="T1376" s="363">
        <f>Таблица18[[#This Row],[Вес нетто]]-Таблица18[[#This Row],[Зачетный вес]]</f>
        <v>1648.5</v>
      </c>
      <c r="U1376" s="365">
        <f>Таблица18[[#This Row],[Отход]]/Таблица18[[#This Row],[Вес нетто]]</f>
        <v>0.105</v>
      </c>
      <c r="V1376" s="121">
        <f>MONTH(Таблица18[[#This Row],[Дата акта]])</f>
        <v>7</v>
      </c>
      <c r="W1376" s="121">
        <v>6</v>
      </c>
      <c r="X1376" s="148">
        <f>DATE(1900,Таблица18[[#This Row],[Месяц]],Таблица18[[#This Row],[Число]])</f>
        <v>188</v>
      </c>
      <c r="Y1376" s="121"/>
      <c r="Z1376" s="121" t="str">
        <f>Таблица18[[#This Row],[Хар-ка]]</f>
        <v>высший</v>
      </c>
      <c r="AD1376" s="459"/>
      <c r="AE1376" s="391"/>
    </row>
    <row r="1377" spans="1:31" s="325" customFormat="1" ht="15.6" hidden="1" customHeight="1" x14ac:dyDescent="0.2">
      <c r="A1377" s="40" t="s">
        <v>1492</v>
      </c>
      <c r="B1377" s="360" t="s">
        <v>511</v>
      </c>
      <c r="C1377" s="40">
        <v>777</v>
      </c>
      <c r="D1377" s="40">
        <v>130</v>
      </c>
      <c r="E1377" s="40" t="s">
        <v>1167</v>
      </c>
      <c r="F1377" s="40" t="s">
        <v>1253</v>
      </c>
      <c r="G1377" s="40" t="s">
        <v>270</v>
      </c>
      <c r="H1377" s="40" t="s">
        <v>1168</v>
      </c>
      <c r="I1377" s="360" t="e">
        <f>VLOOKUP(Таблица18[[#This Row],[Номер акта]],$AB$1:$AF$1833,3,FALSE)</f>
        <v>#N/A</v>
      </c>
      <c r="J1377" s="40" t="s">
        <v>1316</v>
      </c>
      <c r="K1377" s="40" t="s">
        <v>82</v>
      </c>
      <c r="L1377" s="121">
        <v>25390</v>
      </c>
      <c r="M1377" s="121">
        <v>14880</v>
      </c>
      <c r="N1377" s="121">
        <v>12</v>
      </c>
      <c r="O1377" s="363">
        <v>10510</v>
      </c>
      <c r="P1377" s="363">
        <v>9248.7999999999993</v>
      </c>
      <c r="Q1377" s="121">
        <v>2025</v>
      </c>
      <c r="R1377" s="121"/>
      <c r="S1377" s="148">
        <v>45844</v>
      </c>
      <c r="T1377" s="363">
        <f>Таблица18[[#This Row],[Вес нетто]]-Таблица18[[#This Row],[Зачетный вес]]</f>
        <v>1261.2000000000007</v>
      </c>
      <c r="U1377" s="365">
        <f>Таблица18[[#This Row],[Отход]]/Таблица18[[#This Row],[Вес нетто]]</f>
        <v>0.12000000000000006</v>
      </c>
      <c r="V1377" s="121">
        <f>MONTH(Таблица18[[#This Row],[Дата акта]])</f>
        <v>7</v>
      </c>
      <c r="W1377" s="121">
        <v>6</v>
      </c>
      <c r="X1377" s="148">
        <f>DATE(1900,Таблица18[[#This Row],[Месяц]],Таблица18[[#This Row],[Число]])</f>
        <v>188</v>
      </c>
      <c r="Y1377" s="121"/>
      <c r="Z1377" s="121" t="str">
        <f>Таблица18[[#This Row],[Хар-ка]]</f>
        <v>высший</v>
      </c>
      <c r="AD1377" s="459"/>
      <c r="AE1377" s="391"/>
    </row>
    <row r="1378" spans="1:31" s="325" customFormat="1" ht="15.6" hidden="1" customHeight="1" x14ac:dyDescent="0.2">
      <c r="A1378" s="40" t="s">
        <v>1523</v>
      </c>
      <c r="B1378" s="360" t="s">
        <v>550</v>
      </c>
      <c r="C1378" s="40">
        <v>785</v>
      </c>
      <c r="D1378" s="40">
        <v>131</v>
      </c>
      <c r="E1378" s="40" t="s">
        <v>1167</v>
      </c>
      <c r="F1378" s="40" t="s">
        <v>1151</v>
      </c>
      <c r="G1378" s="40" t="s">
        <v>145</v>
      </c>
      <c r="H1378" s="40" t="s">
        <v>1485</v>
      </c>
      <c r="I1378" s="360" t="e">
        <f>VLOOKUP(Таблица18[[#This Row],[Номер акта]],$AB$1:$AF$1833,3,FALSE)</f>
        <v>#N/A</v>
      </c>
      <c r="J1378" s="40" t="s">
        <v>909</v>
      </c>
      <c r="K1378" s="40" t="s">
        <v>82</v>
      </c>
      <c r="L1378" s="121">
        <v>29340</v>
      </c>
      <c r="M1378" s="121">
        <v>15610</v>
      </c>
      <c r="N1378" s="121">
        <v>7</v>
      </c>
      <c r="O1378" s="363">
        <v>13730</v>
      </c>
      <c r="P1378" s="363">
        <v>12768.9</v>
      </c>
      <c r="Q1378" s="121">
        <v>2025</v>
      </c>
      <c r="R1378" s="121"/>
      <c r="S1378" s="148">
        <v>45846</v>
      </c>
      <c r="T1378" s="363">
        <f>Таблица18[[#This Row],[Вес нетто]]-Таблица18[[#This Row],[Зачетный вес]]</f>
        <v>961.10000000000036</v>
      </c>
      <c r="U1378" s="365">
        <f>Таблица18[[#This Row],[Отход]]/Таблица18[[#This Row],[Вес нетто]]</f>
        <v>7.0000000000000021E-2</v>
      </c>
      <c r="V1378" s="121">
        <f>MONTH(Таблица18[[#This Row],[Дата акта]])</f>
        <v>7</v>
      </c>
      <c r="W1378" s="121">
        <v>8</v>
      </c>
      <c r="X1378" s="148">
        <f>DATE(1900,Таблица18[[#This Row],[Месяц]],Таблица18[[#This Row],[Число]])</f>
        <v>190</v>
      </c>
      <c r="Y1378" s="121"/>
      <c r="Z1378" s="121" t="str">
        <f>Таблица18[[#This Row],[Хар-ка]]</f>
        <v>первый</v>
      </c>
      <c r="AD1378" s="459"/>
      <c r="AE1378" s="391"/>
    </row>
    <row r="1379" spans="1:31" s="325" customFormat="1" ht="15.6" hidden="1" customHeight="1" x14ac:dyDescent="0.2">
      <c r="A1379" s="40" t="s">
        <v>1524</v>
      </c>
      <c r="B1379" s="360" t="s">
        <v>511</v>
      </c>
      <c r="C1379" s="40">
        <v>786</v>
      </c>
      <c r="D1379" s="40">
        <v>132</v>
      </c>
      <c r="E1379" s="40" t="s">
        <v>1167</v>
      </c>
      <c r="F1379" s="40" t="s">
        <v>1367</v>
      </c>
      <c r="G1379" s="40" t="s">
        <v>1368</v>
      </c>
      <c r="H1379" s="40" t="s">
        <v>1485</v>
      </c>
      <c r="I1379" s="360" t="e">
        <f>VLOOKUP(Таблица18[[#This Row],[Номер акта]],$AB$1:$AF$1833,3,FALSE)</f>
        <v>#N/A</v>
      </c>
      <c r="J1379" s="40" t="s">
        <v>909</v>
      </c>
      <c r="K1379" s="40" t="s">
        <v>82</v>
      </c>
      <c r="L1379" s="121">
        <v>28240</v>
      </c>
      <c r="M1379" s="121">
        <v>14910</v>
      </c>
      <c r="N1379" s="121">
        <v>12.5</v>
      </c>
      <c r="O1379" s="363">
        <v>13330</v>
      </c>
      <c r="P1379" s="363">
        <v>11663.7</v>
      </c>
      <c r="Q1379" s="121">
        <v>2025</v>
      </c>
      <c r="R1379" s="121"/>
      <c r="S1379" s="148">
        <v>45846</v>
      </c>
      <c r="T1379" s="363">
        <f>Таблица18[[#This Row],[Вес нетто]]-Таблица18[[#This Row],[Зачетный вес]]</f>
        <v>1666.2999999999993</v>
      </c>
      <c r="U1379" s="365">
        <f>Таблица18[[#This Row],[Отход]]/Таблица18[[#This Row],[Вес нетто]]</f>
        <v>0.12500375093773439</v>
      </c>
      <c r="V1379" s="121">
        <f>MONTH(Таблица18[[#This Row],[Дата акта]])</f>
        <v>7</v>
      </c>
      <c r="W1379" s="121">
        <v>8</v>
      </c>
      <c r="X1379" s="148">
        <f>DATE(1900,Таблица18[[#This Row],[Месяц]],Таблица18[[#This Row],[Число]])</f>
        <v>190</v>
      </c>
      <c r="Y1379" s="121"/>
      <c r="Z1379" s="121" t="str">
        <f>Таблица18[[#This Row],[Хар-ка]]</f>
        <v>высший</v>
      </c>
      <c r="AD1379" s="459"/>
      <c r="AE1379" s="391"/>
    </row>
    <row r="1380" spans="1:31" s="325" customFormat="1" ht="15.6" hidden="1" customHeight="1" x14ac:dyDescent="0.2">
      <c r="A1380" s="40" t="s">
        <v>1525</v>
      </c>
      <c r="B1380" s="360" t="s">
        <v>511</v>
      </c>
      <c r="C1380" s="40">
        <v>787</v>
      </c>
      <c r="D1380" s="40">
        <v>133</v>
      </c>
      <c r="E1380" s="40" t="s">
        <v>1167</v>
      </c>
      <c r="F1380" s="40" t="s">
        <v>272</v>
      </c>
      <c r="G1380" s="40" t="s">
        <v>276</v>
      </c>
      <c r="H1380" s="40" t="s">
        <v>1485</v>
      </c>
      <c r="I1380" s="360" t="e">
        <f>VLOOKUP(Таблица18[[#This Row],[Номер акта]],$AB$1:$AF$1833,3,FALSE)</f>
        <v>#N/A</v>
      </c>
      <c r="J1380" s="40" t="s">
        <v>909</v>
      </c>
      <c r="K1380" s="40" t="s">
        <v>82</v>
      </c>
      <c r="L1380" s="121">
        <v>28220</v>
      </c>
      <c r="M1380" s="121">
        <v>14770</v>
      </c>
      <c r="N1380" s="121">
        <v>9.5</v>
      </c>
      <c r="O1380" s="363">
        <v>13450</v>
      </c>
      <c r="P1380" s="363">
        <v>12172.2</v>
      </c>
      <c r="Q1380" s="121">
        <v>2025</v>
      </c>
      <c r="R1380" s="121"/>
      <c r="S1380" s="148">
        <v>45846</v>
      </c>
      <c r="T1380" s="363">
        <f>Таблица18[[#This Row],[Вес нетто]]-Таблица18[[#This Row],[Зачетный вес]]</f>
        <v>1277.7999999999993</v>
      </c>
      <c r="U1380" s="365">
        <f>Таблица18[[#This Row],[Отход]]/Таблица18[[#This Row],[Вес нетто]]</f>
        <v>9.5003717472118901E-2</v>
      </c>
      <c r="V1380" s="121">
        <f>MONTH(Таблица18[[#This Row],[Дата акта]])</f>
        <v>7</v>
      </c>
      <c r="W1380" s="121">
        <v>8</v>
      </c>
      <c r="X1380" s="148">
        <f>DATE(1900,Таблица18[[#This Row],[Месяц]],Таблица18[[#This Row],[Число]])</f>
        <v>190</v>
      </c>
      <c r="Y1380" s="121"/>
      <c r="Z1380" s="121" t="str">
        <f>Таблица18[[#This Row],[Хар-ка]]</f>
        <v>высший</v>
      </c>
      <c r="AD1380" s="459"/>
      <c r="AE1380" s="391"/>
    </row>
    <row r="1381" spans="1:31" s="325" customFormat="1" ht="15.6" hidden="1" customHeight="1" x14ac:dyDescent="0.2">
      <c r="A1381" s="40" t="s">
        <v>1526</v>
      </c>
      <c r="B1381" s="360" t="s">
        <v>511</v>
      </c>
      <c r="C1381" s="40">
        <v>788</v>
      </c>
      <c r="D1381" s="40">
        <v>134</v>
      </c>
      <c r="E1381" s="40" t="s">
        <v>1167</v>
      </c>
      <c r="F1381" s="40" t="s">
        <v>1461</v>
      </c>
      <c r="G1381" s="40" t="s">
        <v>149</v>
      </c>
      <c r="H1381" s="40" t="s">
        <v>1485</v>
      </c>
      <c r="I1381" s="360" t="e">
        <f>VLOOKUP(Таблица18[[#This Row],[Номер акта]],$AB$1:$AF$1833,3,FALSE)</f>
        <v>#N/A</v>
      </c>
      <c r="J1381" s="40" t="s">
        <v>909</v>
      </c>
      <c r="K1381" s="40" t="s">
        <v>82</v>
      </c>
      <c r="L1381" s="121">
        <v>27930</v>
      </c>
      <c r="M1381" s="121">
        <v>15000</v>
      </c>
      <c r="N1381" s="121">
        <v>15.5</v>
      </c>
      <c r="O1381" s="363">
        <v>12930</v>
      </c>
      <c r="P1381" s="363">
        <v>10925.8</v>
      </c>
      <c r="Q1381" s="121">
        <v>2025</v>
      </c>
      <c r="R1381" s="121"/>
      <c r="S1381" s="148">
        <v>45847</v>
      </c>
      <c r="T1381" s="363">
        <f>Таблица18[[#This Row],[Вес нетто]]-Таблица18[[#This Row],[Зачетный вес]]</f>
        <v>2004.2000000000007</v>
      </c>
      <c r="U1381" s="365">
        <f>Таблица18[[#This Row],[Отход]]/Таблица18[[#This Row],[Вес нетто]]</f>
        <v>0.15500386697602481</v>
      </c>
      <c r="V1381" s="121">
        <f>MONTH(Таблица18[[#This Row],[Дата акта]])</f>
        <v>7</v>
      </c>
      <c r="W1381" s="121">
        <v>9</v>
      </c>
      <c r="X1381" s="148">
        <f>DATE(1900,Таблица18[[#This Row],[Месяц]],Таблица18[[#This Row],[Число]])</f>
        <v>191</v>
      </c>
      <c r="Y1381" s="121"/>
      <c r="Z1381" s="121" t="str">
        <f>Таблица18[[#This Row],[Хар-ка]]</f>
        <v>высший</v>
      </c>
      <c r="AD1381" s="459"/>
      <c r="AE1381" s="391"/>
    </row>
    <row r="1382" spans="1:31" s="325" customFormat="1" ht="15.6" hidden="1" customHeight="1" x14ac:dyDescent="0.2">
      <c r="A1382" s="40" t="s">
        <v>1527</v>
      </c>
      <c r="B1382" s="360" t="s">
        <v>550</v>
      </c>
      <c r="C1382" s="40">
        <v>789</v>
      </c>
      <c r="D1382" s="40">
        <v>135</v>
      </c>
      <c r="E1382" s="40" t="s">
        <v>1167</v>
      </c>
      <c r="F1382" s="40" t="s">
        <v>1373</v>
      </c>
      <c r="G1382" s="40" t="s">
        <v>1374</v>
      </c>
      <c r="H1382" s="40" t="s">
        <v>1485</v>
      </c>
      <c r="I1382" s="360" t="e">
        <f>VLOOKUP(Таблица18[[#This Row],[Номер акта]],$AB$1:$AF$1833,3,FALSE)</f>
        <v>#N/A</v>
      </c>
      <c r="J1382" s="40" t="s">
        <v>909</v>
      </c>
      <c r="K1382" s="40" t="s">
        <v>82</v>
      </c>
      <c r="L1382" s="121">
        <v>37350</v>
      </c>
      <c r="M1382" s="121">
        <v>24190</v>
      </c>
      <c r="N1382" s="121">
        <v>14.5</v>
      </c>
      <c r="O1382" s="363">
        <v>13160</v>
      </c>
      <c r="P1382" s="363">
        <v>11251.8</v>
      </c>
      <c r="Q1382" s="121">
        <v>2025</v>
      </c>
      <c r="R1382" s="121"/>
      <c r="S1382" s="148">
        <v>45847</v>
      </c>
      <c r="T1382" s="363">
        <f>Таблица18[[#This Row],[Вес нетто]]-Таблица18[[#This Row],[Зачетный вес]]</f>
        <v>1908.2000000000007</v>
      </c>
      <c r="U1382" s="365">
        <f>Таблица18[[#This Row],[Отход]]/Таблица18[[#This Row],[Вес нетто]]</f>
        <v>0.14500000000000005</v>
      </c>
      <c r="V1382" s="121">
        <f>MONTH(Таблица18[[#This Row],[Дата акта]])</f>
        <v>7</v>
      </c>
      <c r="W1382" s="121">
        <v>9</v>
      </c>
      <c r="X1382" s="148">
        <f>DATE(1900,Таблица18[[#This Row],[Месяц]],Таблица18[[#This Row],[Число]])</f>
        <v>191</v>
      </c>
      <c r="Y1382" s="121"/>
      <c r="Z1382" s="121" t="str">
        <f>Таблица18[[#This Row],[Хар-ка]]</f>
        <v>первый</v>
      </c>
      <c r="AD1382" s="459"/>
      <c r="AE1382" s="391"/>
    </row>
    <row r="1383" spans="1:31" s="325" customFormat="1" ht="15.6" hidden="1" customHeight="1" x14ac:dyDescent="0.2">
      <c r="A1383" s="40" t="s">
        <v>1528</v>
      </c>
      <c r="B1383" s="360" t="s">
        <v>550</v>
      </c>
      <c r="C1383" s="40">
        <v>790</v>
      </c>
      <c r="D1383" s="40">
        <v>137</v>
      </c>
      <c r="E1383" s="40" t="s">
        <v>1167</v>
      </c>
      <c r="F1383" s="40" t="s">
        <v>212</v>
      </c>
      <c r="G1383" s="40" t="s">
        <v>216</v>
      </c>
      <c r="H1383" s="40" t="s">
        <v>1485</v>
      </c>
      <c r="I1383" s="360" t="e">
        <f>VLOOKUP(Таблица18[[#This Row],[Номер акта]],$AB$1:$AF$1833,3,FALSE)</f>
        <v>#N/A</v>
      </c>
      <c r="J1383" s="40" t="s">
        <v>909</v>
      </c>
      <c r="K1383" s="40" t="s">
        <v>82</v>
      </c>
      <c r="L1383" s="121">
        <v>26940</v>
      </c>
      <c r="M1383" s="121">
        <v>13810</v>
      </c>
      <c r="N1383" s="121">
        <v>15.5</v>
      </c>
      <c r="O1383" s="363">
        <v>13130</v>
      </c>
      <c r="P1383" s="363">
        <v>11094.8</v>
      </c>
      <c r="Q1383" s="121">
        <v>2025</v>
      </c>
      <c r="R1383" s="121"/>
      <c r="S1383" s="148">
        <v>45847</v>
      </c>
      <c r="T1383" s="363">
        <f>Таблица18[[#This Row],[Вес нетто]]-Таблица18[[#This Row],[Зачетный вес]]</f>
        <v>2035.2000000000007</v>
      </c>
      <c r="U1383" s="365">
        <f>Таблица18[[#This Row],[Отход]]/Таблица18[[#This Row],[Вес нетто]]</f>
        <v>0.15500380807311506</v>
      </c>
      <c r="V1383" s="121">
        <f>MONTH(Таблица18[[#This Row],[Дата акта]])</f>
        <v>7</v>
      </c>
      <c r="W1383" s="121">
        <v>9</v>
      </c>
      <c r="X1383" s="148">
        <f>DATE(1900,Таблица18[[#This Row],[Месяц]],Таблица18[[#This Row],[Число]])</f>
        <v>191</v>
      </c>
      <c r="Y1383" s="121"/>
      <c r="Z1383" s="121" t="str">
        <f>Таблица18[[#This Row],[Хар-ка]]</f>
        <v>первый</v>
      </c>
      <c r="AD1383" s="459"/>
      <c r="AE1383" s="391"/>
    </row>
    <row r="1384" spans="1:31" s="325" customFormat="1" ht="15.6" hidden="1" customHeight="1" x14ac:dyDescent="0.2">
      <c r="A1384" s="40" t="s">
        <v>1529</v>
      </c>
      <c r="B1384" s="360" t="s">
        <v>550</v>
      </c>
      <c r="C1384" s="40">
        <v>791</v>
      </c>
      <c r="D1384" s="40">
        <v>136</v>
      </c>
      <c r="E1384" s="40" t="s">
        <v>1167</v>
      </c>
      <c r="F1384" s="40" t="s">
        <v>239</v>
      </c>
      <c r="G1384" s="40" t="s">
        <v>243</v>
      </c>
      <c r="H1384" s="40" t="s">
        <v>1485</v>
      </c>
      <c r="I1384" s="360" t="e">
        <f>VLOOKUP(Таблица18[[#This Row],[Номер акта]],$AB$1:$AF$1833,3,FALSE)</f>
        <v>#N/A</v>
      </c>
      <c r="J1384" s="40" t="s">
        <v>1530</v>
      </c>
      <c r="K1384" s="40" t="s">
        <v>82</v>
      </c>
      <c r="L1384" s="121">
        <v>27500</v>
      </c>
      <c r="M1384" s="121">
        <v>14560</v>
      </c>
      <c r="N1384" s="121">
        <v>10.5</v>
      </c>
      <c r="O1384" s="363">
        <v>12940</v>
      </c>
      <c r="P1384" s="363">
        <v>11581.3</v>
      </c>
      <c r="Q1384" s="121">
        <v>2025</v>
      </c>
      <c r="R1384" s="121"/>
      <c r="S1384" s="148">
        <v>45847</v>
      </c>
      <c r="T1384" s="363">
        <f>Таблица18[[#This Row],[Вес нетто]]-Таблица18[[#This Row],[Зачетный вес]]</f>
        <v>1358.7000000000007</v>
      </c>
      <c r="U1384" s="365">
        <f>Таблица18[[#This Row],[Отход]]/Таблица18[[#This Row],[Вес нетто]]</f>
        <v>0.10500000000000005</v>
      </c>
      <c r="V1384" s="121">
        <f>MONTH(Таблица18[[#This Row],[Дата акта]])</f>
        <v>7</v>
      </c>
      <c r="W1384" s="121">
        <v>9</v>
      </c>
      <c r="X1384" s="148">
        <f>DATE(1900,Таблица18[[#This Row],[Месяц]],Таблица18[[#This Row],[Число]])</f>
        <v>191</v>
      </c>
      <c r="Y1384" s="121"/>
      <c r="Z1384" s="121" t="str">
        <f>Таблица18[[#This Row],[Хар-ка]]</f>
        <v>первый</v>
      </c>
      <c r="AD1384" s="459"/>
      <c r="AE1384" s="391"/>
    </row>
    <row r="1385" spans="1:31" s="325" customFormat="1" ht="15.6" hidden="1" customHeight="1" x14ac:dyDescent="0.2">
      <c r="A1385" s="40" t="s">
        <v>1531</v>
      </c>
      <c r="B1385" s="360" t="s">
        <v>550</v>
      </c>
      <c r="C1385" s="40">
        <v>792</v>
      </c>
      <c r="D1385" s="40">
        <v>138</v>
      </c>
      <c r="E1385" s="40" t="s">
        <v>1167</v>
      </c>
      <c r="F1385" s="40" t="s">
        <v>347</v>
      </c>
      <c r="G1385" s="40" t="s">
        <v>351</v>
      </c>
      <c r="H1385" s="40" t="s">
        <v>1485</v>
      </c>
      <c r="I1385" s="360" t="e">
        <f>VLOOKUP(Таблица18[[#This Row],[Номер акта]],$AB$1:$AF$1833,3,FALSE)</f>
        <v>#N/A</v>
      </c>
      <c r="J1385" s="40" t="s">
        <v>1530</v>
      </c>
      <c r="K1385" s="40" t="s">
        <v>82</v>
      </c>
      <c r="L1385" s="121">
        <v>28780</v>
      </c>
      <c r="M1385" s="121">
        <v>15730</v>
      </c>
      <c r="N1385" s="121">
        <v>7.5</v>
      </c>
      <c r="O1385" s="363">
        <v>13050</v>
      </c>
      <c r="P1385" s="363">
        <v>12071.2</v>
      </c>
      <c r="Q1385" s="121">
        <v>2025</v>
      </c>
      <c r="R1385" s="121"/>
      <c r="S1385" s="148">
        <v>45847</v>
      </c>
      <c r="T1385" s="363">
        <f>Таблица18[[#This Row],[Вес нетто]]-Таблица18[[#This Row],[Зачетный вес]]</f>
        <v>978.79999999999927</v>
      </c>
      <c r="U1385" s="365">
        <f>Таблица18[[#This Row],[Отход]]/Таблица18[[#This Row],[Вес нетто]]</f>
        <v>7.500383141762447E-2</v>
      </c>
      <c r="V1385" s="121">
        <f>MONTH(Таблица18[[#This Row],[Дата акта]])</f>
        <v>7</v>
      </c>
      <c r="W1385" s="121">
        <v>9</v>
      </c>
      <c r="X1385" s="148">
        <f>DATE(1900,Таблица18[[#This Row],[Месяц]],Таблица18[[#This Row],[Число]])</f>
        <v>191</v>
      </c>
      <c r="Y1385" s="121"/>
      <c r="Z1385" s="121" t="str">
        <f>Таблица18[[#This Row],[Хар-ка]]</f>
        <v>первый</v>
      </c>
      <c r="AD1385" s="459"/>
      <c r="AE1385" s="391"/>
    </row>
    <row r="1386" spans="1:31" s="325" customFormat="1" ht="15.6" hidden="1" customHeight="1" x14ac:dyDescent="0.2">
      <c r="A1386" s="40" t="s">
        <v>1532</v>
      </c>
      <c r="B1386" s="360" t="s">
        <v>833</v>
      </c>
      <c r="C1386" s="40">
        <v>793</v>
      </c>
      <c r="D1386" s="40">
        <v>139</v>
      </c>
      <c r="E1386" s="40" t="s">
        <v>1167</v>
      </c>
      <c r="F1386" s="40" t="s">
        <v>1312</v>
      </c>
      <c r="G1386" s="40" t="s">
        <v>320</v>
      </c>
      <c r="H1386" s="40" t="s">
        <v>1485</v>
      </c>
      <c r="I1386" s="360" t="e">
        <f>VLOOKUP(Таблица18[[#This Row],[Номер акта]],$AB$1:$AF$1833,3,FALSE)</f>
        <v>#N/A</v>
      </c>
      <c r="J1386" s="40" t="s">
        <v>1530</v>
      </c>
      <c r="K1386" s="40" t="s">
        <v>82</v>
      </c>
      <c r="L1386" s="121">
        <v>27400</v>
      </c>
      <c r="M1386" s="121">
        <v>14420</v>
      </c>
      <c r="N1386" s="121">
        <v>12.5</v>
      </c>
      <c r="O1386" s="363">
        <v>12980</v>
      </c>
      <c r="P1386" s="363">
        <v>11357.5</v>
      </c>
      <c r="Q1386" s="121">
        <v>2025</v>
      </c>
      <c r="R1386" s="121"/>
      <c r="S1386" s="148">
        <v>45847</v>
      </c>
      <c r="T1386" s="363">
        <f>Таблица18[[#This Row],[Вес нетто]]-Таблица18[[#This Row],[Зачетный вес]]</f>
        <v>1622.5</v>
      </c>
      <c r="U1386" s="365">
        <f>Таблица18[[#This Row],[Отход]]/Таблица18[[#This Row],[Вес нетто]]</f>
        <v>0.125</v>
      </c>
      <c r="V1386" s="121">
        <f>MONTH(Таблица18[[#This Row],[Дата акта]])</f>
        <v>7</v>
      </c>
      <c r="W1386" s="121">
        <v>9</v>
      </c>
      <c r="X1386" s="148">
        <f>DATE(1900,Таблица18[[#This Row],[Месяц]],Таблица18[[#This Row],[Число]])</f>
        <v>191</v>
      </c>
      <c r="Y1386" s="121"/>
      <c r="Z1386" s="121" t="str">
        <f>Таблица18[[#This Row],[Хар-ка]]</f>
        <v>второй</v>
      </c>
      <c r="AD1386" s="459"/>
      <c r="AE1386" s="391"/>
    </row>
    <row r="1387" spans="1:31" s="325" customFormat="1" ht="15.6" hidden="1" customHeight="1" x14ac:dyDescent="0.2">
      <c r="A1387" s="40" t="s">
        <v>1543</v>
      </c>
      <c r="B1387" s="360" t="s">
        <v>550</v>
      </c>
      <c r="C1387" s="40">
        <v>795</v>
      </c>
      <c r="D1387" s="40">
        <v>140</v>
      </c>
      <c r="E1387" s="40" t="s">
        <v>1167</v>
      </c>
      <c r="F1387" s="40" t="s">
        <v>894</v>
      </c>
      <c r="G1387" s="40" t="s">
        <v>895</v>
      </c>
      <c r="H1387" s="40" t="s">
        <v>1485</v>
      </c>
      <c r="I1387" s="360" t="e">
        <f>VLOOKUP(Таблица18[[#This Row],[Номер акта]],$AB$1:$AF$1833,3,FALSE)</f>
        <v>#N/A</v>
      </c>
      <c r="J1387" s="40" t="s">
        <v>1530</v>
      </c>
      <c r="K1387" s="40" t="s">
        <v>82</v>
      </c>
      <c r="L1387" s="121">
        <v>28010</v>
      </c>
      <c r="M1387" s="121">
        <v>14870</v>
      </c>
      <c r="N1387" s="121">
        <v>8.5</v>
      </c>
      <c r="O1387" s="363">
        <v>13140</v>
      </c>
      <c r="P1387" s="363">
        <v>12023.1</v>
      </c>
      <c r="Q1387" s="121">
        <v>2025</v>
      </c>
      <c r="R1387" s="121"/>
      <c r="S1387" s="148">
        <v>45847</v>
      </c>
      <c r="T1387" s="363">
        <f>Таблица18[[#This Row],[Вес нетто]]-Таблица18[[#This Row],[Зачетный вес]]</f>
        <v>1116.8999999999996</v>
      </c>
      <c r="U1387" s="365">
        <f>Таблица18[[#This Row],[Отход]]/Таблица18[[#This Row],[Вес нетто]]</f>
        <v>8.4999999999999978E-2</v>
      </c>
      <c r="V1387" s="121">
        <f>MONTH(Таблица18[[#This Row],[Дата акта]])</f>
        <v>7</v>
      </c>
      <c r="W1387" s="121">
        <v>9</v>
      </c>
      <c r="X1387" s="148">
        <f>DATE(1900,Таблица18[[#This Row],[Месяц]],Таблица18[[#This Row],[Число]])</f>
        <v>191</v>
      </c>
      <c r="Y1387" s="121"/>
      <c r="Z1387" s="121" t="str">
        <f>Таблица18[[#This Row],[Хар-ка]]</f>
        <v>первый</v>
      </c>
      <c r="AD1387" s="459"/>
      <c r="AE1387" s="391"/>
    </row>
    <row r="1388" spans="1:31" s="325" customFormat="1" ht="15.6" hidden="1" customHeight="1" x14ac:dyDescent="0.2">
      <c r="A1388" s="40" t="s">
        <v>1544</v>
      </c>
      <c r="B1388" s="360" t="s">
        <v>833</v>
      </c>
      <c r="C1388" s="40">
        <v>796</v>
      </c>
      <c r="D1388" s="40">
        <v>140</v>
      </c>
      <c r="E1388" s="40" t="s">
        <v>1167</v>
      </c>
      <c r="F1388" s="40" t="s">
        <v>1151</v>
      </c>
      <c r="G1388" s="40" t="s">
        <v>145</v>
      </c>
      <c r="H1388" s="40" t="s">
        <v>1485</v>
      </c>
      <c r="I1388" s="360" t="e">
        <f>VLOOKUP(Таблица18[[#This Row],[Номер акта]],$AB$1:$AF$1833,3,FALSE)</f>
        <v>#N/A</v>
      </c>
      <c r="J1388" s="40" t="s">
        <v>1530</v>
      </c>
      <c r="K1388" s="40" t="s">
        <v>82</v>
      </c>
      <c r="L1388" s="121">
        <v>29040</v>
      </c>
      <c r="M1388" s="121">
        <v>15510</v>
      </c>
      <c r="N1388" s="121">
        <v>7.5</v>
      </c>
      <c r="O1388" s="363">
        <v>13530</v>
      </c>
      <c r="P1388" s="363">
        <v>12515.2</v>
      </c>
      <c r="Q1388" s="121">
        <v>2025</v>
      </c>
      <c r="R1388" s="121"/>
      <c r="S1388" s="148">
        <v>45847</v>
      </c>
      <c r="T1388" s="363">
        <f>Таблица18[[#This Row],[Вес нетто]]-Таблица18[[#This Row],[Зачетный вес]]</f>
        <v>1014.7999999999993</v>
      </c>
      <c r="U1388" s="365">
        <f>Таблица18[[#This Row],[Отход]]/Таблица18[[#This Row],[Вес нетто]]</f>
        <v>7.5003695491500322E-2</v>
      </c>
      <c r="V1388" s="121">
        <f>MONTH(Таблица18[[#This Row],[Дата акта]])</f>
        <v>7</v>
      </c>
      <c r="W1388" s="121">
        <v>9</v>
      </c>
      <c r="X1388" s="148">
        <f>DATE(1900,Таблица18[[#This Row],[Месяц]],Таблица18[[#This Row],[Число]])</f>
        <v>191</v>
      </c>
      <c r="Y1388" s="121"/>
      <c r="Z1388" s="121" t="str">
        <f>Таблица18[[#This Row],[Хар-ка]]</f>
        <v>второй</v>
      </c>
      <c r="AD1388" s="459"/>
      <c r="AE1388" s="391"/>
    </row>
    <row r="1389" spans="1:31" s="325" customFormat="1" ht="15.6" hidden="1" customHeight="1" x14ac:dyDescent="0.2">
      <c r="A1389" s="40" t="s">
        <v>1547</v>
      </c>
      <c r="B1389" s="360" t="s">
        <v>833</v>
      </c>
      <c r="C1389" s="40">
        <v>799</v>
      </c>
      <c r="D1389" s="40">
        <v>143</v>
      </c>
      <c r="E1389" s="40" t="s">
        <v>1167</v>
      </c>
      <c r="F1389" s="40" t="s">
        <v>160</v>
      </c>
      <c r="G1389" s="40" t="s">
        <v>164</v>
      </c>
      <c r="H1389" s="40" t="s">
        <v>1485</v>
      </c>
      <c r="I1389" s="360" t="e">
        <f>VLOOKUP(Таблица18[[#This Row],[Номер акта]],$AB$1:$AF$1833,3,FALSE)</f>
        <v>#N/A</v>
      </c>
      <c r="J1389" s="40" t="s">
        <v>1530</v>
      </c>
      <c r="K1389" s="40" t="s">
        <v>82</v>
      </c>
      <c r="L1389" s="121">
        <v>37250</v>
      </c>
      <c r="M1389" s="121">
        <v>24060</v>
      </c>
      <c r="N1389" s="121">
        <v>7.5</v>
      </c>
      <c r="O1389" s="363">
        <v>13190</v>
      </c>
      <c r="P1389" s="363">
        <v>12200.7</v>
      </c>
      <c r="Q1389" s="121">
        <v>2025</v>
      </c>
      <c r="R1389" s="121"/>
      <c r="S1389" s="148">
        <v>45847</v>
      </c>
      <c r="T1389" s="363">
        <f>Таблица18[[#This Row],[Вес нетто]]-Таблица18[[#This Row],[Зачетный вес]]</f>
        <v>989.29999999999927</v>
      </c>
      <c r="U1389" s="365">
        <f>Таблица18[[#This Row],[Отход]]/Таблица18[[#This Row],[Вес нетто]]</f>
        <v>7.5003790750568552E-2</v>
      </c>
      <c r="V1389" s="121">
        <f>MONTH(Таблица18[[#This Row],[Дата акта]])</f>
        <v>7</v>
      </c>
      <c r="W1389" s="121">
        <v>9</v>
      </c>
      <c r="X1389" s="148">
        <f>DATE(1900,Таблица18[[#This Row],[Месяц]],Таблица18[[#This Row],[Число]])</f>
        <v>191</v>
      </c>
      <c r="Y1389" s="121"/>
      <c r="Z1389" s="121" t="str">
        <f>Таблица18[[#This Row],[Хар-ка]]</f>
        <v>второй</v>
      </c>
      <c r="AD1389" s="459"/>
      <c r="AE1389" s="391"/>
    </row>
    <row r="1390" spans="1:31" s="325" customFormat="1" ht="15.6" hidden="1" customHeight="1" x14ac:dyDescent="0.2">
      <c r="A1390" s="40" t="s">
        <v>1548</v>
      </c>
      <c r="B1390" s="360" t="s">
        <v>833</v>
      </c>
      <c r="C1390" s="40">
        <v>800</v>
      </c>
      <c r="D1390" s="40">
        <v>144</v>
      </c>
      <c r="E1390" s="40" t="s">
        <v>1167</v>
      </c>
      <c r="F1390" s="40" t="s">
        <v>335</v>
      </c>
      <c r="G1390" s="40" t="s">
        <v>339</v>
      </c>
      <c r="H1390" s="40" t="s">
        <v>1485</v>
      </c>
      <c r="I1390" s="360" t="e">
        <f>VLOOKUP(Таблица18[[#This Row],[Номер акта]],$AB$1:$AF$1833,3,FALSE)</f>
        <v>#N/A</v>
      </c>
      <c r="J1390" s="40" t="s">
        <v>1530</v>
      </c>
      <c r="K1390" s="40" t="s">
        <v>82</v>
      </c>
      <c r="L1390" s="121">
        <v>27910</v>
      </c>
      <c r="M1390" s="121">
        <v>15020</v>
      </c>
      <c r="N1390" s="121">
        <v>9.5</v>
      </c>
      <c r="O1390" s="363">
        <v>12890</v>
      </c>
      <c r="P1390" s="363">
        <v>11665.4</v>
      </c>
      <c r="Q1390" s="121">
        <v>2025</v>
      </c>
      <c r="R1390" s="121"/>
      <c r="S1390" s="148">
        <v>45847</v>
      </c>
      <c r="T1390" s="363">
        <f>Таблица18[[#This Row],[Вес нетто]]-Таблица18[[#This Row],[Зачетный вес]]</f>
        <v>1224.6000000000004</v>
      </c>
      <c r="U1390" s="365">
        <f>Таблица18[[#This Row],[Отход]]/Таблица18[[#This Row],[Вес нетто]]</f>
        <v>9.5003878975950376E-2</v>
      </c>
      <c r="V1390" s="121">
        <f>MONTH(Таблица18[[#This Row],[Дата акта]])</f>
        <v>7</v>
      </c>
      <c r="W1390" s="121">
        <v>9</v>
      </c>
      <c r="X1390" s="148">
        <f>DATE(1900,Таблица18[[#This Row],[Месяц]],Таблица18[[#This Row],[Число]])</f>
        <v>191</v>
      </c>
      <c r="Y1390" s="121"/>
      <c r="Z1390" s="121" t="str">
        <f>Таблица18[[#This Row],[Хар-ка]]</f>
        <v>второй</v>
      </c>
      <c r="AD1390" s="459"/>
      <c r="AE1390" s="391"/>
    </row>
    <row r="1391" spans="1:31" s="325" customFormat="1" ht="15.6" hidden="1" customHeight="1" x14ac:dyDescent="0.2">
      <c r="A1391" s="40" t="s">
        <v>1549</v>
      </c>
      <c r="B1391" s="360" t="s">
        <v>550</v>
      </c>
      <c r="C1391" s="40">
        <v>801</v>
      </c>
      <c r="D1391" s="40">
        <v>141</v>
      </c>
      <c r="E1391" s="40" t="s">
        <v>1167</v>
      </c>
      <c r="F1391" s="40" t="s">
        <v>1367</v>
      </c>
      <c r="G1391" s="40" t="s">
        <v>1368</v>
      </c>
      <c r="H1391" s="40" t="s">
        <v>1485</v>
      </c>
      <c r="I1391" s="360" t="e">
        <f>VLOOKUP(Таблица18[[#This Row],[Номер акта]],$AB$1:$AF$1833,3,FALSE)</f>
        <v>#N/A</v>
      </c>
      <c r="J1391" s="40" t="s">
        <v>1530</v>
      </c>
      <c r="K1391" s="40" t="s">
        <v>82</v>
      </c>
      <c r="L1391" s="121">
        <v>27130</v>
      </c>
      <c r="M1391" s="121">
        <v>14830</v>
      </c>
      <c r="N1391" s="121">
        <v>25.5</v>
      </c>
      <c r="O1391" s="363">
        <v>12300</v>
      </c>
      <c r="P1391" s="363">
        <v>9163.5</v>
      </c>
      <c r="Q1391" s="121">
        <v>2025</v>
      </c>
      <c r="R1391" s="121"/>
      <c r="S1391" s="148">
        <v>45847</v>
      </c>
      <c r="T1391" s="363">
        <f>Таблица18[[#This Row],[Вес нетто]]-Таблица18[[#This Row],[Зачетный вес]]</f>
        <v>3136.5</v>
      </c>
      <c r="U1391" s="365">
        <f>Таблица18[[#This Row],[Отход]]/Таблица18[[#This Row],[Вес нетто]]</f>
        <v>0.255</v>
      </c>
      <c r="V1391" s="121">
        <f>MONTH(Таблица18[[#This Row],[Дата акта]])</f>
        <v>7</v>
      </c>
      <c r="W1391" s="121">
        <v>9</v>
      </c>
      <c r="X1391" s="148">
        <f>DATE(1900,Таблица18[[#This Row],[Месяц]],Таблица18[[#This Row],[Число]])</f>
        <v>191</v>
      </c>
      <c r="Y1391" s="121"/>
      <c r="Z1391" s="121" t="str">
        <f>Таблица18[[#This Row],[Хар-ка]]</f>
        <v>первый</v>
      </c>
      <c r="AD1391" s="459"/>
      <c r="AE1391" s="391"/>
    </row>
    <row r="1392" spans="1:31" s="325" customFormat="1" ht="15.6" hidden="1" customHeight="1" x14ac:dyDescent="0.2">
      <c r="A1392" s="40" t="s">
        <v>1550</v>
      </c>
      <c r="B1392" s="360" t="s">
        <v>550</v>
      </c>
      <c r="C1392" s="40">
        <v>802</v>
      </c>
      <c r="D1392" s="40">
        <v>147</v>
      </c>
      <c r="E1392" s="40" t="s">
        <v>1167</v>
      </c>
      <c r="F1392" s="40" t="s">
        <v>272</v>
      </c>
      <c r="G1392" s="40" t="s">
        <v>276</v>
      </c>
      <c r="H1392" s="40" t="s">
        <v>1485</v>
      </c>
      <c r="I1392" s="360" t="e">
        <f>VLOOKUP(Таблица18[[#This Row],[Номер акта]],$AB$1:$AF$1833,3,FALSE)</f>
        <v>#N/A</v>
      </c>
      <c r="J1392" s="40" t="s">
        <v>1530</v>
      </c>
      <c r="K1392" s="40" t="s">
        <v>82</v>
      </c>
      <c r="L1392" s="121">
        <v>26390</v>
      </c>
      <c r="M1392" s="121">
        <v>14500</v>
      </c>
      <c r="N1392" s="121">
        <v>11.5</v>
      </c>
      <c r="O1392" s="363">
        <v>11890</v>
      </c>
      <c r="P1392" s="363">
        <v>10522.6</v>
      </c>
      <c r="Q1392" s="121">
        <v>2025</v>
      </c>
      <c r="R1392" s="121"/>
      <c r="S1392" s="148">
        <v>45848</v>
      </c>
      <c r="T1392" s="363">
        <f>Таблица18[[#This Row],[Вес нетто]]-Таблица18[[#This Row],[Зачетный вес]]</f>
        <v>1367.3999999999996</v>
      </c>
      <c r="U1392" s="365">
        <f>Таблица18[[#This Row],[Отход]]/Таблица18[[#This Row],[Вес нетто]]</f>
        <v>0.1150042052144659</v>
      </c>
      <c r="V1392" s="121">
        <f>MONTH(Таблица18[[#This Row],[Дата акта]])</f>
        <v>7</v>
      </c>
      <c r="W1392" s="121">
        <v>10</v>
      </c>
      <c r="X1392" s="148">
        <f>DATE(1900,Таблица18[[#This Row],[Месяц]],Таблица18[[#This Row],[Число]])</f>
        <v>192</v>
      </c>
      <c r="Y1392" s="121"/>
      <c r="Z1392" s="121" t="str">
        <f>Таблица18[[#This Row],[Хар-ка]]</f>
        <v>первый</v>
      </c>
      <c r="AD1392" s="459"/>
      <c r="AE1392" s="391"/>
    </row>
    <row r="1393" spans="1:32" s="325" customFormat="1" ht="15.6" hidden="1" customHeight="1" x14ac:dyDescent="0.2">
      <c r="A1393" s="40" t="s">
        <v>1551</v>
      </c>
      <c r="B1393" s="360" t="s">
        <v>833</v>
      </c>
      <c r="C1393" s="40">
        <v>803</v>
      </c>
      <c r="D1393" s="40">
        <v>145</v>
      </c>
      <c r="E1393" s="40" t="s">
        <v>1167</v>
      </c>
      <c r="F1393" s="40" t="s">
        <v>1461</v>
      </c>
      <c r="G1393" s="40" t="s">
        <v>149</v>
      </c>
      <c r="H1393" s="40" t="s">
        <v>1485</v>
      </c>
      <c r="I1393" s="360" t="e">
        <f>VLOOKUP(Таблица18[[#This Row],[Номер акта]],$AB$1:$AF$1833,3,FALSE)</f>
        <v>#N/A</v>
      </c>
      <c r="J1393" s="40" t="s">
        <v>1530</v>
      </c>
      <c r="K1393" s="40" t="s">
        <v>82</v>
      </c>
      <c r="L1393" s="121">
        <v>26950</v>
      </c>
      <c r="M1393" s="121">
        <v>14890</v>
      </c>
      <c r="N1393" s="121">
        <v>16.5</v>
      </c>
      <c r="O1393" s="363">
        <v>12060</v>
      </c>
      <c r="P1393" s="363">
        <v>10070.1</v>
      </c>
      <c r="Q1393" s="121">
        <v>2025</v>
      </c>
      <c r="R1393" s="121"/>
      <c r="S1393" s="148">
        <v>45848</v>
      </c>
      <c r="T1393" s="363">
        <f>Таблица18[[#This Row],[Вес нетто]]-Таблица18[[#This Row],[Зачетный вес]]</f>
        <v>1989.8999999999996</v>
      </c>
      <c r="U1393" s="365">
        <f>Таблица18[[#This Row],[Отход]]/Таблица18[[#This Row],[Вес нетто]]</f>
        <v>0.16499999999999998</v>
      </c>
      <c r="V1393" s="121">
        <f>MONTH(Таблица18[[#This Row],[Дата акта]])</f>
        <v>7</v>
      </c>
      <c r="W1393" s="121">
        <v>10</v>
      </c>
      <c r="X1393" s="148">
        <f>DATE(1900,Таблица18[[#This Row],[Месяц]],Таблица18[[#This Row],[Число]])</f>
        <v>192</v>
      </c>
      <c r="Y1393" s="121"/>
      <c r="Z1393" s="121" t="str">
        <f>Таблица18[[#This Row],[Хар-ка]]</f>
        <v>второй</v>
      </c>
      <c r="AD1393" s="459"/>
      <c r="AE1393" s="391"/>
    </row>
    <row r="1394" spans="1:32" s="325" customFormat="1" ht="15.6" hidden="1" customHeight="1" x14ac:dyDescent="0.2">
      <c r="A1394" s="40" t="s">
        <v>1552</v>
      </c>
      <c r="B1394" s="360" t="s">
        <v>550</v>
      </c>
      <c r="C1394" s="40">
        <v>804</v>
      </c>
      <c r="D1394" s="40">
        <v>146</v>
      </c>
      <c r="E1394" s="40" t="s">
        <v>1167</v>
      </c>
      <c r="F1394" s="40" t="s">
        <v>1373</v>
      </c>
      <c r="G1394" s="40" t="s">
        <v>1374</v>
      </c>
      <c r="H1394" s="40" t="s">
        <v>1485</v>
      </c>
      <c r="I1394" s="360" t="e">
        <f>VLOOKUP(Таблица18[[#This Row],[Номер акта]],$AB$1:$AF$1833,3,FALSE)</f>
        <v>#N/A</v>
      </c>
      <c r="J1394" s="40" t="s">
        <v>1530</v>
      </c>
      <c r="K1394" s="40" t="s">
        <v>82</v>
      </c>
      <c r="L1394" s="121">
        <v>38830</v>
      </c>
      <c r="M1394" s="121">
        <v>24310</v>
      </c>
      <c r="N1394" s="121">
        <v>26</v>
      </c>
      <c r="O1394" s="363">
        <v>14520</v>
      </c>
      <c r="P1394" s="363">
        <v>10744.8</v>
      </c>
      <c r="Q1394" s="121">
        <v>2025</v>
      </c>
      <c r="R1394" s="121"/>
      <c r="S1394" s="148">
        <v>45848</v>
      </c>
      <c r="T1394" s="363">
        <f>Таблица18[[#This Row],[Вес нетто]]-Таблица18[[#This Row],[Зачетный вес]]</f>
        <v>3775.2000000000007</v>
      </c>
      <c r="U1394" s="365">
        <f>Таблица18[[#This Row],[Отход]]/Таблица18[[#This Row],[Вес нетто]]</f>
        <v>0.26000000000000006</v>
      </c>
      <c r="V1394" s="121">
        <f>MONTH(Таблица18[[#This Row],[Дата акта]])</f>
        <v>7</v>
      </c>
      <c r="W1394" s="121">
        <v>10</v>
      </c>
      <c r="X1394" s="148">
        <f>DATE(1900,Таблица18[[#This Row],[Месяц]],Таблица18[[#This Row],[Число]])</f>
        <v>192</v>
      </c>
      <c r="Y1394" s="121"/>
      <c r="Z1394" s="121" t="str">
        <f>Таблица18[[#This Row],[Хар-ка]]</f>
        <v>первый</v>
      </c>
      <c r="AD1394" s="459"/>
      <c r="AE1394" s="391"/>
    </row>
    <row r="1395" spans="1:32" s="465" customFormat="1" ht="22.5" x14ac:dyDescent="0.25">
      <c r="A1395" s="40" t="s">
        <v>2949</v>
      </c>
      <c r="B1395" s="360" t="s">
        <v>2940</v>
      </c>
      <c r="C1395" s="40">
        <v>40</v>
      </c>
      <c r="D1395" s="40">
        <v>1</v>
      </c>
      <c r="E1395" s="40" t="s">
        <v>2964</v>
      </c>
      <c r="F1395" s="40" t="s">
        <v>212</v>
      </c>
      <c r="G1395" s="40" t="s">
        <v>2965</v>
      </c>
      <c r="H1395" s="40" t="s">
        <v>2935</v>
      </c>
      <c r="I1395" s="40" t="str">
        <f>VLOOKUP(Таблица18[[#This Row],[Номер акта]],$AB$1:$AF$2504,3,FALSE)</f>
        <v>А-4/1</v>
      </c>
      <c r="J1395" s="40" t="s">
        <v>782</v>
      </c>
      <c r="K1395" s="40" t="s">
        <v>2939</v>
      </c>
      <c r="L1395" s="121">
        <v>31970</v>
      </c>
      <c r="M1395" s="121">
        <v>15900</v>
      </c>
      <c r="N1395" s="121">
        <v>19.5</v>
      </c>
      <c r="O1395" s="363">
        <v>16070</v>
      </c>
      <c r="P1395" s="363">
        <v>12936.4</v>
      </c>
      <c r="Q1395" s="121">
        <v>2026</v>
      </c>
      <c r="R1395" s="121">
        <v>14</v>
      </c>
      <c r="S1395" s="148">
        <v>46176</v>
      </c>
      <c r="T1395" s="363">
        <f>Таблица18[[#This Row],[Вес нетто]]-Таблица18[[#This Row],[Зачетный вес]]</f>
        <v>3133.6000000000004</v>
      </c>
      <c r="U1395" s="392">
        <f>Таблица18[[#This Row],[Отход]]/Таблица18[[#This Row],[Вес нетто]]</f>
        <v>0.19499688861232112</v>
      </c>
      <c r="V1395" s="121">
        <f>MONTH(Таблица18[[#This Row],[Дата акта]])</f>
        <v>6</v>
      </c>
      <c r="W1395" s="121">
        <f>DAY(Таблица18[[#This Row],[Дата акта]])</f>
        <v>3</v>
      </c>
      <c r="X1395" s="148">
        <f>DATE(1900,Таблица18[[#This Row],[Месяц]],Таблица18[[#This Row],[Число]])</f>
        <v>155</v>
      </c>
      <c r="Y1395" s="121"/>
      <c r="Z1395" s="121" t="str">
        <f>Таблица18[[#This Row],[Хар-ка]]</f>
        <v>Высший</v>
      </c>
      <c r="AA1395"/>
      <c r="AB1395">
        <v>14</v>
      </c>
      <c r="AC1395"/>
      <c r="AD1395" s="460" t="s">
        <v>2935</v>
      </c>
      <c r="AE1395" s="463" t="s">
        <v>782</v>
      </c>
      <c r="AF1395" t="s">
        <v>46</v>
      </c>
    </row>
    <row r="1396" spans="1:32" s="465" customFormat="1" ht="33.75" x14ac:dyDescent="0.25">
      <c r="A1396" s="40" t="s">
        <v>2962</v>
      </c>
      <c r="B1396" s="360" t="s">
        <v>2940</v>
      </c>
      <c r="C1396" s="40">
        <v>42</v>
      </c>
      <c r="D1396" s="40">
        <v>2</v>
      </c>
      <c r="E1396" s="40" t="s">
        <v>2964</v>
      </c>
      <c r="F1396" s="40" t="s">
        <v>121</v>
      </c>
      <c r="G1396" s="40" t="s">
        <v>125</v>
      </c>
      <c r="H1396" s="40" t="s">
        <v>2935</v>
      </c>
      <c r="I1396" s="40" t="str">
        <f>VLOOKUP(Таблица18[[#This Row],[Номер акта]],$AB$1:$AF$2504,3,FALSE)</f>
        <v>А-4/1</v>
      </c>
      <c r="J1396" s="40" t="s">
        <v>782</v>
      </c>
      <c r="K1396" s="40" t="s">
        <v>2939</v>
      </c>
      <c r="L1396" s="121">
        <v>28520</v>
      </c>
      <c r="M1396" s="121">
        <v>14850</v>
      </c>
      <c r="N1396" s="121">
        <v>29.5</v>
      </c>
      <c r="O1396" s="363">
        <v>13670</v>
      </c>
      <c r="P1396" s="363">
        <v>9637.4</v>
      </c>
      <c r="Q1396" s="121">
        <v>2026</v>
      </c>
      <c r="R1396" s="121">
        <v>15</v>
      </c>
      <c r="S1396" s="148">
        <v>46176</v>
      </c>
      <c r="T1396" s="363">
        <f>Таблица18[[#This Row],[Вес нетто]]-Таблица18[[#This Row],[Зачетный вес]]</f>
        <v>4032.6000000000004</v>
      </c>
      <c r="U1396" s="392">
        <f>Таблица18[[#This Row],[Отход]]/Таблица18[[#This Row],[Вес нетто]]</f>
        <v>0.29499634235552308</v>
      </c>
      <c r="V1396" s="121">
        <f>MONTH(Таблица18[[#This Row],[Дата акта]])</f>
        <v>6</v>
      </c>
      <c r="W1396" s="121">
        <f>DAY(Таблица18[[#This Row],[Дата акта]])</f>
        <v>3</v>
      </c>
      <c r="X1396" s="148">
        <f>DATE(1900,Таблица18[[#This Row],[Месяц]],Таблица18[[#This Row],[Число]])</f>
        <v>155</v>
      </c>
      <c r="Y1396" s="121"/>
      <c r="Z1396" s="121" t="str">
        <f>Таблица18[[#This Row],[Хар-ка]]</f>
        <v>Высший</v>
      </c>
      <c r="AA1396"/>
      <c r="AB1396">
        <v>15</v>
      </c>
      <c r="AC1396"/>
      <c r="AD1396" s="460" t="s">
        <v>2935</v>
      </c>
      <c r="AE1396" s="463" t="s">
        <v>782</v>
      </c>
      <c r="AF1396" t="s">
        <v>46</v>
      </c>
    </row>
    <row r="1397" spans="1:32" s="465" customFormat="1" ht="22.5" x14ac:dyDescent="0.25">
      <c r="A1397" s="40" t="s">
        <v>2954</v>
      </c>
      <c r="B1397" s="360" t="s">
        <v>2940</v>
      </c>
      <c r="C1397" s="40">
        <v>43</v>
      </c>
      <c r="D1397" s="40">
        <v>3</v>
      </c>
      <c r="E1397" s="40" t="s">
        <v>2964</v>
      </c>
      <c r="F1397" s="40" t="s">
        <v>212</v>
      </c>
      <c r="G1397" s="40" t="s">
        <v>2965</v>
      </c>
      <c r="H1397" s="40" t="s">
        <v>2935</v>
      </c>
      <c r="I1397" s="40" t="str">
        <f>VLOOKUP(Таблица18[[#This Row],[Номер акта]],$AB$1:$AF$2504,3,FALSE)</f>
        <v>А-4/1</v>
      </c>
      <c r="J1397" s="40" t="s">
        <v>782</v>
      </c>
      <c r="K1397" s="40" t="s">
        <v>2939</v>
      </c>
      <c r="L1397" s="121">
        <v>29490</v>
      </c>
      <c r="M1397" s="121">
        <v>15880</v>
      </c>
      <c r="N1397" s="121">
        <v>21.5</v>
      </c>
      <c r="O1397" s="363">
        <v>13610</v>
      </c>
      <c r="P1397" s="363">
        <v>10683.9</v>
      </c>
      <c r="Q1397" s="121">
        <v>2026</v>
      </c>
      <c r="R1397" s="121">
        <v>16</v>
      </c>
      <c r="S1397" s="148">
        <v>46176</v>
      </c>
      <c r="T1397" s="363">
        <f>Таблица18[[#This Row],[Вес нетто]]-Таблица18[[#This Row],[Зачетный вес]]</f>
        <v>2926.1000000000004</v>
      </c>
      <c r="U1397" s="392">
        <f>Таблица18[[#This Row],[Отход]]/Таблица18[[#This Row],[Вес нетто]]</f>
        <v>0.21499632623071274</v>
      </c>
      <c r="V1397" s="121">
        <f>MONTH(Таблица18[[#This Row],[Дата акта]])</f>
        <v>6</v>
      </c>
      <c r="W1397" s="121">
        <f>DAY(Таблица18[[#This Row],[Дата акта]])</f>
        <v>3</v>
      </c>
      <c r="X1397" s="148">
        <f>DATE(1900,Таблица18[[#This Row],[Месяц]],Таблица18[[#This Row],[Число]])</f>
        <v>155</v>
      </c>
      <c r="Y1397" s="121"/>
      <c r="Z1397" s="121" t="str">
        <f>Таблица18[[#This Row],[Хар-ка]]</f>
        <v>Высший</v>
      </c>
      <c r="AA1397"/>
      <c r="AB1397">
        <v>16</v>
      </c>
      <c r="AC1397"/>
      <c r="AD1397" s="460" t="s">
        <v>2935</v>
      </c>
      <c r="AE1397" s="463" t="s">
        <v>782</v>
      </c>
      <c r="AF1397" t="s">
        <v>46</v>
      </c>
    </row>
    <row r="1398" spans="1:32" s="465" customFormat="1" ht="22.5" x14ac:dyDescent="0.25">
      <c r="A1398" s="40" t="s">
        <v>2945</v>
      </c>
      <c r="B1398" s="360" t="s">
        <v>2940</v>
      </c>
      <c r="C1398" s="40">
        <v>48</v>
      </c>
      <c r="D1398" s="40">
        <v>4</v>
      </c>
      <c r="E1398" s="40" t="s">
        <v>2964</v>
      </c>
      <c r="F1398" s="40" t="s">
        <v>335</v>
      </c>
      <c r="G1398" s="40" t="s">
        <v>339</v>
      </c>
      <c r="H1398" s="40" t="s">
        <v>2935</v>
      </c>
      <c r="I1398" s="40" t="str">
        <f>VLOOKUP(Таблица18[[#This Row],[Номер акта]],$AB$1:$AF$2504,3,FALSE)</f>
        <v>А-4/1</v>
      </c>
      <c r="J1398" s="40" t="s">
        <v>782</v>
      </c>
      <c r="K1398" s="40" t="s">
        <v>2939</v>
      </c>
      <c r="L1398" s="121">
        <v>28700</v>
      </c>
      <c r="M1398" s="121">
        <v>14960</v>
      </c>
      <c r="N1398" s="121">
        <v>22.5</v>
      </c>
      <c r="O1398" s="363">
        <v>13740</v>
      </c>
      <c r="P1398" s="363">
        <v>10648.5</v>
      </c>
      <c r="Q1398" s="121">
        <v>2026</v>
      </c>
      <c r="R1398" s="121">
        <v>17</v>
      </c>
      <c r="S1398" s="148">
        <v>46176</v>
      </c>
      <c r="T1398" s="363">
        <f>Таблица18[[#This Row],[Вес нетто]]-Таблица18[[#This Row],[Зачетный вес]]</f>
        <v>3091.5</v>
      </c>
      <c r="U1398" s="392">
        <f>Таблица18[[#This Row],[Отход]]/Таблица18[[#This Row],[Вес нетто]]</f>
        <v>0.22500000000000001</v>
      </c>
      <c r="V1398" s="121">
        <f>MONTH(Таблица18[[#This Row],[Дата акта]])</f>
        <v>6</v>
      </c>
      <c r="W1398" s="121">
        <f>DAY(Таблица18[[#This Row],[Дата акта]])</f>
        <v>3</v>
      </c>
      <c r="X1398" s="148">
        <f>DATE(1900,Таблица18[[#This Row],[Месяц]],Таблица18[[#This Row],[Число]])</f>
        <v>155</v>
      </c>
      <c r="Y1398" s="121"/>
      <c r="Z1398" s="121" t="str">
        <f>Таблица18[[#This Row],[Хар-ка]]</f>
        <v>Высший</v>
      </c>
      <c r="AA1398"/>
      <c r="AB1398">
        <v>17</v>
      </c>
      <c r="AC1398"/>
      <c r="AD1398" s="460" t="s">
        <v>2935</v>
      </c>
      <c r="AE1398" s="463" t="s">
        <v>782</v>
      </c>
      <c r="AF1398" t="s">
        <v>46</v>
      </c>
    </row>
    <row r="1399" spans="1:32" s="465" customFormat="1" ht="22.5" x14ac:dyDescent="0.25">
      <c r="A1399" s="40" t="s">
        <v>2959</v>
      </c>
      <c r="B1399" s="360" t="s">
        <v>2940</v>
      </c>
      <c r="C1399" s="40">
        <v>49</v>
      </c>
      <c r="D1399" s="40">
        <v>5</v>
      </c>
      <c r="E1399" s="40" t="s">
        <v>2964</v>
      </c>
      <c r="F1399" s="40" t="s">
        <v>212</v>
      </c>
      <c r="G1399" s="40" t="s">
        <v>2965</v>
      </c>
      <c r="H1399" s="40" t="s">
        <v>2935</v>
      </c>
      <c r="I1399" s="40" t="str">
        <f>VLOOKUP(Таблица18[[#This Row],[Номер акта]],$AB$1:$AF$2504,3,FALSE)</f>
        <v>А-4/1</v>
      </c>
      <c r="J1399" s="40" t="s">
        <v>782</v>
      </c>
      <c r="K1399" s="40" t="s">
        <v>2939</v>
      </c>
      <c r="L1399" s="121">
        <v>29540</v>
      </c>
      <c r="M1399" s="121">
        <v>15880</v>
      </c>
      <c r="N1399" s="121">
        <v>19.5</v>
      </c>
      <c r="O1399" s="363">
        <v>13660</v>
      </c>
      <c r="P1399" s="363">
        <v>10996.3</v>
      </c>
      <c r="Q1399" s="121">
        <v>2026</v>
      </c>
      <c r="R1399" s="121">
        <v>18</v>
      </c>
      <c r="S1399" s="148">
        <v>46176</v>
      </c>
      <c r="T1399" s="363">
        <f>Таблица18[[#This Row],[Вес нетто]]-Таблица18[[#This Row],[Зачетный вес]]</f>
        <v>2663.7000000000007</v>
      </c>
      <c r="U1399" s="392">
        <f>Таблица18[[#This Row],[Отход]]/Таблица18[[#This Row],[Вес нетто]]</f>
        <v>0.19500000000000006</v>
      </c>
      <c r="V1399" s="121">
        <f>MONTH(Таблица18[[#This Row],[Дата акта]])</f>
        <v>6</v>
      </c>
      <c r="W1399" s="121">
        <f>DAY(Таблица18[[#This Row],[Дата акта]])</f>
        <v>3</v>
      </c>
      <c r="X1399" s="148">
        <f>DATE(1900,Таблица18[[#This Row],[Месяц]],Таблица18[[#This Row],[Число]])</f>
        <v>155</v>
      </c>
      <c r="Y1399" s="121"/>
      <c r="Z1399" s="121" t="str">
        <f>Таблица18[[#This Row],[Хар-ка]]</f>
        <v>Высший</v>
      </c>
      <c r="AA1399"/>
      <c r="AB1399">
        <v>18</v>
      </c>
      <c r="AC1399"/>
      <c r="AD1399" s="460" t="s">
        <v>2935</v>
      </c>
      <c r="AE1399" s="463" t="s">
        <v>782</v>
      </c>
      <c r="AF1399" t="s">
        <v>46</v>
      </c>
    </row>
    <row r="1400" spans="1:32" s="465" customFormat="1" ht="33.75" x14ac:dyDescent="0.25">
      <c r="A1400" s="40" t="s">
        <v>2948</v>
      </c>
      <c r="B1400" s="360" t="s">
        <v>2940</v>
      </c>
      <c r="C1400" s="40">
        <v>50</v>
      </c>
      <c r="D1400" s="40">
        <v>6</v>
      </c>
      <c r="E1400" s="40" t="s">
        <v>2964</v>
      </c>
      <c r="F1400" s="40" t="s">
        <v>239</v>
      </c>
      <c r="G1400" s="40" t="s">
        <v>243</v>
      </c>
      <c r="H1400" s="40" t="s">
        <v>2935</v>
      </c>
      <c r="I1400" s="40" t="str">
        <f>VLOOKUP(Таблица18[[#This Row],[Номер акта]],$AB$1:$AF$2504,3,FALSE)</f>
        <v>А-4/1</v>
      </c>
      <c r="J1400" s="40" t="s">
        <v>782</v>
      </c>
      <c r="K1400" s="40" t="s">
        <v>2939</v>
      </c>
      <c r="L1400" s="121">
        <v>27790</v>
      </c>
      <c r="M1400" s="121">
        <v>14400</v>
      </c>
      <c r="N1400" s="121">
        <v>20.5</v>
      </c>
      <c r="O1400" s="363">
        <v>13390</v>
      </c>
      <c r="P1400" s="363">
        <v>10645.1</v>
      </c>
      <c r="Q1400" s="121">
        <v>2026</v>
      </c>
      <c r="R1400" s="121">
        <v>19</v>
      </c>
      <c r="S1400" s="148">
        <v>46176</v>
      </c>
      <c r="T1400" s="363">
        <f>Таблица18[[#This Row],[Вес нетто]]-Таблица18[[#This Row],[Зачетный вес]]</f>
        <v>2744.8999999999996</v>
      </c>
      <c r="U1400" s="392">
        <f>Таблица18[[#This Row],[Отход]]/Таблица18[[#This Row],[Вес нетто]]</f>
        <v>0.20499626587005226</v>
      </c>
      <c r="V1400" s="121">
        <f>MONTH(Таблица18[[#This Row],[Дата акта]])</f>
        <v>6</v>
      </c>
      <c r="W1400" s="121">
        <f>DAY(Таблица18[[#This Row],[Дата акта]])</f>
        <v>3</v>
      </c>
      <c r="X1400" s="148">
        <f>DATE(1900,Таблица18[[#This Row],[Месяц]],Таблица18[[#This Row],[Число]])</f>
        <v>155</v>
      </c>
      <c r="Y1400" s="121"/>
      <c r="Z1400" s="121" t="str">
        <f>Таблица18[[#This Row],[Хар-ка]]</f>
        <v>Высший</v>
      </c>
      <c r="AA1400"/>
      <c r="AB1400">
        <v>19</v>
      </c>
      <c r="AC1400"/>
      <c r="AD1400" s="460" t="s">
        <v>2935</v>
      </c>
      <c r="AE1400" s="463" t="s">
        <v>782</v>
      </c>
      <c r="AF1400" t="s">
        <v>46</v>
      </c>
    </row>
    <row r="1401" spans="1:32" s="465" customFormat="1" ht="22.5" x14ac:dyDescent="0.25">
      <c r="A1401" s="40" t="s">
        <v>2941</v>
      </c>
      <c r="B1401" s="360" t="s">
        <v>2940</v>
      </c>
      <c r="C1401" s="40">
        <v>51</v>
      </c>
      <c r="D1401" s="40">
        <v>7</v>
      </c>
      <c r="E1401" s="40" t="s">
        <v>2964</v>
      </c>
      <c r="F1401" s="40" t="s">
        <v>335</v>
      </c>
      <c r="G1401" s="40" t="s">
        <v>339</v>
      </c>
      <c r="H1401" s="40" t="s">
        <v>2935</v>
      </c>
      <c r="I1401" s="40" t="str">
        <f>VLOOKUP(Таблица18[[#This Row],[Номер акта]],$AB$1:$AF$2504,3,FALSE)</f>
        <v>А-4/1</v>
      </c>
      <c r="J1401" s="40" t="s">
        <v>782</v>
      </c>
      <c r="K1401" s="40" t="s">
        <v>2939</v>
      </c>
      <c r="L1401" s="121">
        <v>28660</v>
      </c>
      <c r="M1401" s="121">
        <v>14940</v>
      </c>
      <c r="N1401" s="121">
        <v>20.5</v>
      </c>
      <c r="O1401" s="363">
        <v>13720</v>
      </c>
      <c r="P1401" s="363">
        <v>10907.4</v>
      </c>
      <c r="Q1401" s="121">
        <v>2026</v>
      </c>
      <c r="R1401" s="121">
        <v>20</v>
      </c>
      <c r="S1401" s="148">
        <v>46176</v>
      </c>
      <c r="T1401" s="363">
        <f>Таблица18[[#This Row],[Вес нетто]]-Таблица18[[#This Row],[Зачетный вес]]</f>
        <v>2812.6000000000004</v>
      </c>
      <c r="U1401" s="392">
        <f>Таблица18[[#This Row],[Отход]]/Таблица18[[#This Row],[Вес нетто]]</f>
        <v>0.20500000000000002</v>
      </c>
      <c r="V1401" s="121">
        <f>MONTH(Таблица18[[#This Row],[Дата акта]])</f>
        <v>6</v>
      </c>
      <c r="W1401" s="121">
        <f>DAY(Таблица18[[#This Row],[Дата акта]])</f>
        <v>3</v>
      </c>
      <c r="X1401" s="148">
        <f>DATE(1900,Таблица18[[#This Row],[Месяц]],Таблица18[[#This Row],[Число]])</f>
        <v>155</v>
      </c>
      <c r="Y1401" s="121"/>
      <c r="Z1401" s="121" t="str">
        <f>Таблица18[[#This Row],[Хар-ка]]</f>
        <v>Высший</v>
      </c>
      <c r="AA1401"/>
      <c r="AB1401">
        <v>20</v>
      </c>
      <c r="AC1401"/>
      <c r="AD1401" s="460" t="s">
        <v>2935</v>
      </c>
      <c r="AE1401" s="463" t="s">
        <v>782</v>
      </c>
      <c r="AF1401" t="s">
        <v>46</v>
      </c>
    </row>
    <row r="1402" spans="1:32" s="465" customFormat="1" ht="22.5" x14ac:dyDescent="0.25">
      <c r="A1402" s="40" t="s">
        <v>2955</v>
      </c>
      <c r="B1402" s="360" t="s">
        <v>2940</v>
      </c>
      <c r="C1402" s="40">
        <v>52</v>
      </c>
      <c r="D1402" s="40">
        <v>8</v>
      </c>
      <c r="E1402" s="40" t="s">
        <v>2964</v>
      </c>
      <c r="F1402" s="40" t="s">
        <v>212</v>
      </c>
      <c r="G1402" s="40" t="s">
        <v>2965</v>
      </c>
      <c r="H1402" s="40" t="s">
        <v>2935</v>
      </c>
      <c r="I1402" s="40" t="str">
        <f>VLOOKUP(Таблица18[[#This Row],[Номер акта]],$AB$1:$AF$2504,3,FALSE)</f>
        <v>А-4/1</v>
      </c>
      <c r="J1402" s="40" t="s">
        <v>782</v>
      </c>
      <c r="K1402" s="40" t="s">
        <v>2939</v>
      </c>
      <c r="L1402" s="121">
        <v>29590</v>
      </c>
      <c r="M1402" s="121">
        <v>15850</v>
      </c>
      <c r="N1402" s="121">
        <v>19.5</v>
      </c>
      <c r="O1402" s="363">
        <v>13740</v>
      </c>
      <c r="P1402" s="363">
        <v>11060.7</v>
      </c>
      <c r="Q1402" s="121">
        <v>2026</v>
      </c>
      <c r="R1402" s="121">
        <v>21</v>
      </c>
      <c r="S1402" s="148">
        <v>46176</v>
      </c>
      <c r="T1402" s="363">
        <f>Таблица18[[#This Row],[Вес нетто]]-Таблица18[[#This Row],[Зачетный вес]]</f>
        <v>2679.2999999999993</v>
      </c>
      <c r="U1402" s="392">
        <f>Таблица18[[#This Row],[Отход]]/Таблица18[[#This Row],[Вес нетто]]</f>
        <v>0.19499999999999995</v>
      </c>
      <c r="V1402" s="121">
        <f>MONTH(Таблица18[[#This Row],[Дата акта]])</f>
        <v>6</v>
      </c>
      <c r="W1402" s="121">
        <f>DAY(Таблица18[[#This Row],[Дата акта]])</f>
        <v>3</v>
      </c>
      <c r="X1402" s="148">
        <f>DATE(1900,Таблица18[[#This Row],[Месяц]],Таблица18[[#This Row],[Число]])</f>
        <v>155</v>
      </c>
      <c r="Y1402" s="121"/>
      <c r="Z1402" s="121" t="str">
        <f>Таблица18[[#This Row],[Хар-ка]]</f>
        <v>Высший</v>
      </c>
      <c r="AA1402"/>
      <c r="AB1402">
        <v>21</v>
      </c>
      <c r="AC1402"/>
      <c r="AD1402" s="460" t="s">
        <v>2935</v>
      </c>
      <c r="AE1402" s="463" t="s">
        <v>782</v>
      </c>
      <c r="AF1402" t="s">
        <v>46</v>
      </c>
    </row>
    <row r="1403" spans="1:32" s="465" customFormat="1" ht="33.75" x14ac:dyDescent="0.25">
      <c r="A1403" s="40" t="s">
        <v>2943</v>
      </c>
      <c r="B1403" s="360" t="s">
        <v>2940</v>
      </c>
      <c r="C1403" s="40">
        <v>53</v>
      </c>
      <c r="D1403" s="40">
        <v>9</v>
      </c>
      <c r="E1403" s="40" t="s">
        <v>2964</v>
      </c>
      <c r="F1403" s="40" t="s">
        <v>239</v>
      </c>
      <c r="G1403" s="40" t="s">
        <v>243</v>
      </c>
      <c r="H1403" s="40" t="s">
        <v>2935</v>
      </c>
      <c r="I1403" s="40" t="str">
        <f>VLOOKUP(Таблица18[[#This Row],[Номер акта]],$AB$1:$AF$2504,3,FALSE)</f>
        <v>А-4/1</v>
      </c>
      <c r="J1403" s="40" t="s">
        <v>782</v>
      </c>
      <c r="K1403" s="40" t="s">
        <v>2939</v>
      </c>
      <c r="L1403" s="121">
        <v>27660</v>
      </c>
      <c r="M1403" s="121">
        <v>14400</v>
      </c>
      <c r="N1403" s="121">
        <v>19.5</v>
      </c>
      <c r="O1403" s="363">
        <v>13260</v>
      </c>
      <c r="P1403" s="363">
        <v>10674.3</v>
      </c>
      <c r="Q1403" s="121">
        <v>2026</v>
      </c>
      <c r="R1403" s="121">
        <v>22</v>
      </c>
      <c r="S1403" s="148">
        <v>46177</v>
      </c>
      <c r="T1403" s="363">
        <f>Таблица18[[#This Row],[Вес нетто]]-Таблица18[[#This Row],[Зачетный вес]]</f>
        <v>2585.7000000000007</v>
      </c>
      <c r="U1403" s="392">
        <f>Таблица18[[#This Row],[Отход]]/Таблица18[[#This Row],[Вес нетто]]</f>
        <v>0.19500000000000006</v>
      </c>
      <c r="V1403" s="121">
        <f>MONTH(Таблица18[[#This Row],[Дата акта]])</f>
        <v>6</v>
      </c>
      <c r="W1403" s="121">
        <f>DAY(Таблица18[[#This Row],[Дата акта]])</f>
        <v>4</v>
      </c>
      <c r="X1403" s="148">
        <f>DATE(1900,Таблица18[[#This Row],[Месяц]],Таблица18[[#This Row],[Число]])</f>
        <v>156</v>
      </c>
      <c r="Y1403" s="121"/>
      <c r="Z1403" s="121" t="str">
        <f>Таблица18[[#This Row],[Хар-ка]]</f>
        <v>Высший</v>
      </c>
      <c r="AA1403"/>
      <c r="AB1403">
        <v>22</v>
      </c>
      <c r="AC1403"/>
      <c r="AD1403" s="460" t="s">
        <v>2935</v>
      </c>
      <c r="AE1403" s="463" t="s">
        <v>782</v>
      </c>
      <c r="AF1403" t="s">
        <v>46</v>
      </c>
    </row>
    <row r="1404" spans="1:32" s="465" customFormat="1" ht="22.5" x14ac:dyDescent="0.25">
      <c r="A1404" s="40" t="s">
        <v>2951</v>
      </c>
      <c r="B1404" s="360" t="s">
        <v>2940</v>
      </c>
      <c r="C1404" s="40">
        <v>54</v>
      </c>
      <c r="D1404" s="40">
        <v>10</v>
      </c>
      <c r="E1404" s="40" t="s">
        <v>2964</v>
      </c>
      <c r="F1404" s="40" t="s">
        <v>335</v>
      </c>
      <c r="G1404" s="40" t="s">
        <v>339</v>
      </c>
      <c r="H1404" s="40" t="s">
        <v>2935</v>
      </c>
      <c r="I1404" s="40" t="str">
        <f>VLOOKUP(Таблица18[[#This Row],[Номер акта]],$AB$1:$AF$2504,3,FALSE)</f>
        <v>А-4/1</v>
      </c>
      <c r="J1404" s="40" t="s">
        <v>782</v>
      </c>
      <c r="K1404" s="40" t="s">
        <v>2939</v>
      </c>
      <c r="L1404" s="121">
        <v>28330</v>
      </c>
      <c r="M1404" s="121">
        <v>14940</v>
      </c>
      <c r="N1404" s="121">
        <v>19.5</v>
      </c>
      <c r="O1404" s="363">
        <v>13390</v>
      </c>
      <c r="P1404" s="363">
        <v>10779</v>
      </c>
      <c r="Q1404" s="121">
        <v>2026</v>
      </c>
      <c r="R1404" s="121">
        <v>23</v>
      </c>
      <c r="S1404" s="148">
        <v>46177</v>
      </c>
      <c r="T1404" s="363">
        <f>Таблица18[[#This Row],[Вес нетто]]-Таблица18[[#This Row],[Зачетный вес]]</f>
        <v>2611</v>
      </c>
      <c r="U1404" s="392">
        <f>Таблица18[[#This Row],[Отход]]/Таблица18[[#This Row],[Вес нетто]]</f>
        <v>0.19499626587005228</v>
      </c>
      <c r="V1404" s="121">
        <f>MONTH(Таблица18[[#This Row],[Дата акта]])</f>
        <v>6</v>
      </c>
      <c r="W1404" s="121">
        <f>DAY(Таблица18[[#This Row],[Дата акта]])</f>
        <v>4</v>
      </c>
      <c r="X1404" s="148">
        <f>DATE(1900,Таблица18[[#This Row],[Месяц]],Таблица18[[#This Row],[Число]])</f>
        <v>156</v>
      </c>
      <c r="Y1404" s="121"/>
      <c r="Z1404" s="121" t="str">
        <f>Таблица18[[#This Row],[Хар-ка]]</f>
        <v>Высший</v>
      </c>
      <c r="AA1404"/>
      <c r="AB1404">
        <v>23</v>
      </c>
      <c r="AC1404"/>
      <c r="AD1404" s="460" t="s">
        <v>2935</v>
      </c>
      <c r="AE1404" s="463" t="s">
        <v>782</v>
      </c>
      <c r="AF1404" t="s">
        <v>46</v>
      </c>
    </row>
    <row r="1405" spans="1:32" s="465" customFormat="1" ht="22.5" x14ac:dyDescent="0.25">
      <c r="A1405" s="40" t="s">
        <v>2947</v>
      </c>
      <c r="B1405" s="360" t="s">
        <v>2940</v>
      </c>
      <c r="C1405" s="40">
        <v>55</v>
      </c>
      <c r="D1405" s="40">
        <v>11</v>
      </c>
      <c r="E1405" s="40" t="s">
        <v>2964</v>
      </c>
      <c r="F1405" s="40" t="s">
        <v>212</v>
      </c>
      <c r="G1405" s="40" t="s">
        <v>2965</v>
      </c>
      <c r="H1405" s="40" t="s">
        <v>2935</v>
      </c>
      <c r="I1405" s="40" t="str">
        <f>VLOOKUP(Таблица18[[#This Row],[Номер акта]],$AB$1:$AF$2504,3,FALSE)</f>
        <v>А-4/1</v>
      </c>
      <c r="J1405" s="40" t="s">
        <v>782</v>
      </c>
      <c r="K1405" s="40" t="s">
        <v>2939</v>
      </c>
      <c r="L1405" s="121">
        <v>29120</v>
      </c>
      <c r="M1405" s="121">
        <v>15850</v>
      </c>
      <c r="N1405" s="121">
        <v>18.5</v>
      </c>
      <c r="O1405" s="363">
        <v>13270</v>
      </c>
      <c r="P1405" s="363">
        <v>10815.1</v>
      </c>
      <c r="Q1405" s="121">
        <v>2026</v>
      </c>
      <c r="R1405" s="121">
        <v>24</v>
      </c>
      <c r="S1405" s="148">
        <v>46177</v>
      </c>
      <c r="T1405" s="363">
        <f>Таблица18[[#This Row],[Вес нетто]]-Таблица18[[#This Row],[Зачетный вес]]</f>
        <v>2454.8999999999996</v>
      </c>
      <c r="U1405" s="392">
        <f>Таблица18[[#This Row],[Отход]]/Таблица18[[#This Row],[Вес нетто]]</f>
        <v>0.18499623210248678</v>
      </c>
      <c r="V1405" s="121">
        <f>MONTH(Таблица18[[#This Row],[Дата акта]])</f>
        <v>6</v>
      </c>
      <c r="W1405" s="121">
        <f>DAY(Таблица18[[#This Row],[Дата акта]])</f>
        <v>4</v>
      </c>
      <c r="X1405" s="148">
        <f>DATE(1900,Таблица18[[#This Row],[Месяц]],Таблица18[[#This Row],[Число]])</f>
        <v>156</v>
      </c>
      <c r="Y1405" s="121"/>
      <c r="Z1405" s="121" t="str">
        <f>Таблица18[[#This Row],[Хар-ка]]</f>
        <v>Высший</v>
      </c>
      <c r="AA1405"/>
      <c r="AB1405">
        <v>24</v>
      </c>
      <c r="AC1405"/>
      <c r="AD1405" s="460" t="s">
        <v>2935</v>
      </c>
      <c r="AE1405" s="463" t="s">
        <v>782</v>
      </c>
      <c r="AF1405" t="s">
        <v>46</v>
      </c>
    </row>
    <row r="1406" spans="1:32" s="465" customFormat="1" ht="33.75" x14ac:dyDescent="0.25">
      <c r="A1406" s="40" t="s">
        <v>2944</v>
      </c>
      <c r="B1406" s="360" t="s">
        <v>2940</v>
      </c>
      <c r="C1406" s="40">
        <v>56</v>
      </c>
      <c r="D1406" s="40">
        <v>12</v>
      </c>
      <c r="E1406" s="40" t="s">
        <v>2964</v>
      </c>
      <c r="F1406" s="40" t="s">
        <v>239</v>
      </c>
      <c r="G1406" s="40" t="s">
        <v>243</v>
      </c>
      <c r="H1406" s="40" t="s">
        <v>2935</v>
      </c>
      <c r="I1406" s="40" t="str">
        <f>VLOOKUP(Таблица18[[#This Row],[Номер акта]],$AB$1:$AF$2504,3,FALSE)</f>
        <v>А-4/1</v>
      </c>
      <c r="J1406" s="40" t="s">
        <v>782</v>
      </c>
      <c r="K1406" s="40" t="s">
        <v>2939</v>
      </c>
      <c r="L1406" s="121">
        <v>27640</v>
      </c>
      <c r="M1406" s="121">
        <v>14440</v>
      </c>
      <c r="N1406" s="121">
        <v>21.5</v>
      </c>
      <c r="O1406" s="363">
        <v>13200</v>
      </c>
      <c r="P1406" s="363">
        <v>10362</v>
      </c>
      <c r="Q1406" s="121">
        <v>2026</v>
      </c>
      <c r="R1406" s="121">
        <v>25</v>
      </c>
      <c r="S1406" s="148">
        <v>46177</v>
      </c>
      <c r="T1406" s="363">
        <f>Таблица18[[#This Row],[Вес нетто]]-Таблица18[[#This Row],[Зачетный вес]]</f>
        <v>2838</v>
      </c>
      <c r="U1406" s="392">
        <f>Таблица18[[#This Row],[Отход]]/Таблица18[[#This Row],[Вес нетто]]</f>
        <v>0.215</v>
      </c>
      <c r="V1406" s="121">
        <f>MONTH(Таблица18[[#This Row],[Дата акта]])</f>
        <v>6</v>
      </c>
      <c r="W1406" s="121">
        <f>DAY(Таблица18[[#This Row],[Дата акта]])</f>
        <v>4</v>
      </c>
      <c r="X1406" s="148">
        <f>DATE(1900,Таблица18[[#This Row],[Месяц]],Таблица18[[#This Row],[Число]])</f>
        <v>156</v>
      </c>
      <c r="Y1406" s="121"/>
      <c r="Z1406" s="121" t="str">
        <f>Таблица18[[#This Row],[Хар-ка]]</f>
        <v>Высший</v>
      </c>
      <c r="AA1406"/>
      <c r="AB1406">
        <v>25</v>
      </c>
      <c r="AC1406"/>
      <c r="AD1406" s="460" t="s">
        <v>2935</v>
      </c>
      <c r="AE1406" s="463" t="s">
        <v>782</v>
      </c>
      <c r="AF1406" t="s">
        <v>46</v>
      </c>
    </row>
    <row r="1407" spans="1:32" s="465" customFormat="1" ht="22.5" x14ac:dyDescent="0.25">
      <c r="A1407" s="40" t="s">
        <v>2953</v>
      </c>
      <c r="B1407" s="360" t="s">
        <v>2940</v>
      </c>
      <c r="C1407" s="40">
        <v>58</v>
      </c>
      <c r="D1407" s="40">
        <v>13</v>
      </c>
      <c r="E1407" s="40" t="s">
        <v>2964</v>
      </c>
      <c r="F1407" s="40" t="s">
        <v>335</v>
      </c>
      <c r="G1407" s="40" t="s">
        <v>339</v>
      </c>
      <c r="H1407" s="40" t="s">
        <v>2935</v>
      </c>
      <c r="I1407" s="40" t="str">
        <f>VLOOKUP(Таблица18[[#This Row],[Номер акта]],$AB$1:$AF$2504,3,FALSE)</f>
        <v>А-4/1</v>
      </c>
      <c r="J1407" s="40" t="s">
        <v>782</v>
      </c>
      <c r="K1407" s="40" t="s">
        <v>2939</v>
      </c>
      <c r="L1407" s="121">
        <v>27980</v>
      </c>
      <c r="M1407" s="121">
        <v>14950</v>
      </c>
      <c r="N1407" s="121">
        <v>19.5</v>
      </c>
      <c r="O1407" s="363">
        <v>13030</v>
      </c>
      <c r="P1407" s="363">
        <v>10489.2</v>
      </c>
      <c r="Q1407" s="121">
        <v>2026</v>
      </c>
      <c r="R1407" s="121">
        <v>26</v>
      </c>
      <c r="S1407" s="148">
        <v>46177</v>
      </c>
      <c r="T1407" s="363">
        <f>Таблица18[[#This Row],[Вес нетто]]-Таблица18[[#This Row],[Зачетный вес]]</f>
        <v>2540.7999999999993</v>
      </c>
      <c r="U1407" s="392">
        <f>Таблица18[[#This Row],[Отход]]/Таблица18[[#This Row],[Вес нетто]]</f>
        <v>0.19499616270145811</v>
      </c>
      <c r="V1407" s="121">
        <f>MONTH(Таблица18[[#This Row],[Дата акта]])</f>
        <v>6</v>
      </c>
      <c r="W1407" s="121">
        <f>DAY(Таблица18[[#This Row],[Дата акта]])</f>
        <v>4</v>
      </c>
      <c r="X1407" s="148">
        <f>DATE(1900,Таблица18[[#This Row],[Месяц]],Таблица18[[#This Row],[Число]])</f>
        <v>156</v>
      </c>
      <c r="Y1407" s="121"/>
      <c r="Z1407" s="121" t="str">
        <f>Таблица18[[#This Row],[Хар-ка]]</f>
        <v>Высший</v>
      </c>
      <c r="AA1407"/>
      <c r="AB1407">
        <v>26</v>
      </c>
      <c r="AC1407"/>
      <c r="AD1407" s="460" t="s">
        <v>2935</v>
      </c>
      <c r="AE1407" s="463" t="s">
        <v>782</v>
      </c>
      <c r="AF1407" t="s">
        <v>46</v>
      </c>
    </row>
    <row r="1408" spans="1:32" s="465" customFormat="1" ht="22.5" x14ac:dyDescent="0.25">
      <c r="A1408" s="40" t="s">
        <v>2957</v>
      </c>
      <c r="B1408" s="360" t="s">
        <v>2940</v>
      </c>
      <c r="C1408" s="40">
        <v>59</v>
      </c>
      <c r="D1408" s="40">
        <v>14</v>
      </c>
      <c r="E1408" s="40" t="s">
        <v>2964</v>
      </c>
      <c r="F1408" s="40" t="s">
        <v>347</v>
      </c>
      <c r="G1408" s="40" t="s">
        <v>137</v>
      </c>
      <c r="H1408" s="40" t="s">
        <v>2935</v>
      </c>
      <c r="I1408" s="40" t="str">
        <f>VLOOKUP(Таблица18[[#This Row],[Номер акта]],$AB$1:$AF$2504,3,FALSE)</f>
        <v>А-4/1</v>
      </c>
      <c r="J1408" s="40" t="s">
        <v>782</v>
      </c>
      <c r="K1408" s="40" t="s">
        <v>2939</v>
      </c>
      <c r="L1408" s="121">
        <v>28800</v>
      </c>
      <c r="M1408" s="121">
        <v>15040</v>
      </c>
      <c r="N1408" s="121">
        <v>20.5</v>
      </c>
      <c r="O1408" s="363">
        <v>13760</v>
      </c>
      <c r="P1408" s="363">
        <v>10939.2</v>
      </c>
      <c r="Q1408" s="121">
        <v>2026</v>
      </c>
      <c r="R1408" s="121">
        <v>27</v>
      </c>
      <c r="S1408" s="148">
        <v>46177</v>
      </c>
      <c r="T1408" s="363">
        <f>Таблица18[[#This Row],[Вес нетто]]-Таблица18[[#This Row],[Зачетный вес]]</f>
        <v>2820.7999999999993</v>
      </c>
      <c r="U1408" s="392">
        <f>Таблица18[[#This Row],[Отход]]/Таблица18[[#This Row],[Вес нетто]]</f>
        <v>0.20499999999999996</v>
      </c>
      <c r="V1408" s="121">
        <f>MONTH(Таблица18[[#This Row],[Дата акта]])</f>
        <v>6</v>
      </c>
      <c r="W1408" s="121">
        <f>DAY(Таблица18[[#This Row],[Дата акта]])</f>
        <v>4</v>
      </c>
      <c r="X1408" s="148">
        <f>DATE(1900,Таблица18[[#This Row],[Месяц]],Таблица18[[#This Row],[Число]])</f>
        <v>156</v>
      </c>
      <c r="Y1408" s="121"/>
      <c r="Z1408" s="121" t="str">
        <f>Таблица18[[#This Row],[Хар-ка]]</f>
        <v>Высший</v>
      </c>
      <c r="AA1408"/>
      <c r="AB1408">
        <v>27</v>
      </c>
      <c r="AC1408"/>
      <c r="AD1408" s="460" t="s">
        <v>2935</v>
      </c>
      <c r="AE1408" s="463" t="s">
        <v>782</v>
      </c>
      <c r="AF1408" t="s">
        <v>46</v>
      </c>
    </row>
    <row r="1409" spans="1:32" s="465" customFormat="1" ht="22.5" x14ac:dyDescent="0.25">
      <c r="A1409" s="40" t="s">
        <v>2952</v>
      </c>
      <c r="B1409" s="360" t="s">
        <v>2940</v>
      </c>
      <c r="C1409" s="40">
        <v>61</v>
      </c>
      <c r="D1409" s="40">
        <v>15</v>
      </c>
      <c r="E1409" s="40" t="s">
        <v>2964</v>
      </c>
      <c r="F1409" s="40" t="s">
        <v>1806</v>
      </c>
      <c r="G1409" s="40" t="s">
        <v>1807</v>
      </c>
      <c r="H1409" s="40" t="s">
        <v>2966</v>
      </c>
      <c r="I1409" s="40" t="str">
        <f>VLOOKUP(Таблица18[[#This Row],[Номер акта]],$AB$1:$AF$2504,3,FALSE)</f>
        <v>А-4/1</v>
      </c>
      <c r="J1409" s="40" t="s">
        <v>782</v>
      </c>
      <c r="K1409" s="40" t="s">
        <v>2939</v>
      </c>
      <c r="L1409" s="121">
        <v>28270</v>
      </c>
      <c r="M1409" s="121">
        <v>14700</v>
      </c>
      <c r="N1409" s="121">
        <v>22.5</v>
      </c>
      <c r="O1409" s="363">
        <v>13570</v>
      </c>
      <c r="P1409" s="363">
        <v>10516.7</v>
      </c>
      <c r="Q1409" s="121">
        <v>2026</v>
      </c>
      <c r="R1409" s="121">
        <v>28</v>
      </c>
      <c r="S1409" s="148">
        <v>46177</v>
      </c>
      <c r="T1409" s="363">
        <f>Таблица18[[#This Row],[Вес нетто]]-Таблица18[[#This Row],[Зачетный вес]]</f>
        <v>3053.2999999999993</v>
      </c>
      <c r="U1409" s="392">
        <f>Таблица18[[#This Row],[Отход]]/Таблица18[[#This Row],[Вес нетто]]</f>
        <v>0.22500368459837872</v>
      </c>
      <c r="V1409" s="121">
        <f>MONTH(Таблица18[[#This Row],[Дата акта]])</f>
        <v>6</v>
      </c>
      <c r="W1409" s="121">
        <f>DAY(Таблица18[[#This Row],[Дата акта]])</f>
        <v>4</v>
      </c>
      <c r="X1409" s="148">
        <f>DATE(1900,Таблица18[[#This Row],[Месяц]],Таблица18[[#This Row],[Число]])</f>
        <v>156</v>
      </c>
      <c r="Y1409" s="121"/>
      <c r="Z1409" s="121" t="str">
        <f>Таблица18[[#This Row],[Хар-ка]]</f>
        <v>Высший</v>
      </c>
      <c r="AA1409"/>
      <c r="AB1409">
        <v>28</v>
      </c>
      <c r="AC1409"/>
      <c r="AD1409" s="460" t="s">
        <v>2935</v>
      </c>
      <c r="AE1409" s="463" t="s">
        <v>782</v>
      </c>
      <c r="AF1409" t="s">
        <v>46</v>
      </c>
    </row>
    <row r="1410" spans="1:32" s="465" customFormat="1" ht="33.75" x14ac:dyDescent="0.25">
      <c r="A1410" s="40" t="s">
        <v>2946</v>
      </c>
      <c r="B1410" s="360" t="s">
        <v>2940</v>
      </c>
      <c r="C1410" s="40">
        <v>63</v>
      </c>
      <c r="D1410" s="40">
        <v>16</v>
      </c>
      <c r="E1410" s="40" t="s">
        <v>2964</v>
      </c>
      <c r="F1410" s="40" t="s">
        <v>2967</v>
      </c>
      <c r="G1410" s="40" t="s">
        <v>1810</v>
      </c>
      <c r="H1410" s="40" t="s">
        <v>2966</v>
      </c>
      <c r="I1410" s="40" t="str">
        <f>VLOOKUP(Таблица18[[#This Row],[Номер акта]],$AB$1:$AF$2504,3,FALSE)</f>
        <v>А-4/1</v>
      </c>
      <c r="J1410" s="40" t="s">
        <v>782</v>
      </c>
      <c r="K1410" s="40" t="s">
        <v>2939</v>
      </c>
      <c r="L1410" s="121">
        <v>27410</v>
      </c>
      <c r="M1410" s="121">
        <v>14130</v>
      </c>
      <c r="N1410" s="121">
        <v>18.5</v>
      </c>
      <c r="O1410" s="363">
        <v>13280</v>
      </c>
      <c r="P1410" s="363">
        <v>10823.2</v>
      </c>
      <c r="Q1410" s="121">
        <v>2026</v>
      </c>
      <c r="R1410" s="121">
        <v>29</v>
      </c>
      <c r="S1410" s="148">
        <v>46177</v>
      </c>
      <c r="T1410" s="363">
        <f>Таблица18[[#This Row],[Вес нетто]]-Таблица18[[#This Row],[Зачетный вес]]</f>
        <v>2456.7999999999993</v>
      </c>
      <c r="U1410" s="392">
        <f>Таблица18[[#This Row],[Отход]]/Таблица18[[#This Row],[Вес нетто]]</f>
        <v>0.18499999999999994</v>
      </c>
      <c r="V1410" s="121">
        <f>MONTH(Таблица18[[#This Row],[Дата акта]])</f>
        <v>6</v>
      </c>
      <c r="W1410" s="121">
        <f>DAY(Таблица18[[#This Row],[Дата акта]])</f>
        <v>4</v>
      </c>
      <c r="X1410" s="148">
        <f>DATE(1900,Таблица18[[#This Row],[Месяц]],Таблица18[[#This Row],[Число]])</f>
        <v>156</v>
      </c>
      <c r="Y1410" s="121"/>
      <c r="Z1410" s="121" t="str">
        <f>Таблица18[[#This Row],[Хар-ка]]</f>
        <v>Высший</v>
      </c>
      <c r="AA1410"/>
      <c r="AB1410">
        <v>29</v>
      </c>
      <c r="AC1410"/>
      <c r="AD1410" s="460" t="s">
        <v>2935</v>
      </c>
      <c r="AE1410" s="463" t="s">
        <v>782</v>
      </c>
      <c r="AF1410" t="s">
        <v>46</v>
      </c>
    </row>
    <row r="1411" spans="1:32" s="465" customFormat="1" ht="33.75" x14ac:dyDescent="0.25">
      <c r="A1411" s="40" t="s">
        <v>2942</v>
      </c>
      <c r="B1411" s="360" t="s">
        <v>2940</v>
      </c>
      <c r="C1411" s="40">
        <v>64</v>
      </c>
      <c r="D1411" s="40">
        <v>17</v>
      </c>
      <c r="E1411" s="40" t="s">
        <v>2964</v>
      </c>
      <c r="F1411" s="40" t="s">
        <v>311</v>
      </c>
      <c r="G1411" s="40" t="s">
        <v>315</v>
      </c>
      <c r="H1411" s="40" t="s">
        <v>2966</v>
      </c>
      <c r="I1411" s="40" t="str">
        <f>VLOOKUP(Таблица18[[#This Row],[Номер акта]],$AB$1:$AF$2504,3,FALSE)</f>
        <v>А-4/1</v>
      </c>
      <c r="J1411" s="40" t="s">
        <v>782</v>
      </c>
      <c r="K1411" s="40" t="s">
        <v>2939</v>
      </c>
      <c r="L1411" s="121">
        <v>28790</v>
      </c>
      <c r="M1411" s="121">
        <v>14950</v>
      </c>
      <c r="N1411" s="121">
        <v>17.5</v>
      </c>
      <c r="O1411" s="363">
        <v>13840</v>
      </c>
      <c r="P1411" s="363">
        <v>11418</v>
      </c>
      <c r="Q1411" s="121">
        <v>2026</v>
      </c>
      <c r="R1411" s="121">
        <v>30</v>
      </c>
      <c r="S1411" s="148">
        <v>46177</v>
      </c>
      <c r="T1411" s="363">
        <f>Таблица18[[#This Row],[Вес нетто]]-Таблица18[[#This Row],[Зачетный вес]]</f>
        <v>2422</v>
      </c>
      <c r="U1411" s="392">
        <f>Таблица18[[#This Row],[Отход]]/Таблица18[[#This Row],[Вес нетто]]</f>
        <v>0.17499999999999999</v>
      </c>
      <c r="V1411" s="121">
        <f>MONTH(Таблица18[[#This Row],[Дата акта]])</f>
        <v>6</v>
      </c>
      <c r="W1411" s="121">
        <f>DAY(Таблица18[[#This Row],[Дата акта]])</f>
        <v>4</v>
      </c>
      <c r="X1411" s="148">
        <f>DATE(1900,Таблица18[[#This Row],[Месяц]],Таблица18[[#This Row],[Число]])</f>
        <v>156</v>
      </c>
      <c r="Y1411" s="121"/>
      <c r="Z1411" s="121" t="str">
        <f>Таблица18[[#This Row],[Хар-ка]]</f>
        <v>Высший</v>
      </c>
      <c r="AA1411"/>
      <c r="AB1411">
        <v>30</v>
      </c>
      <c r="AC1411"/>
      <c r="AD1411" s="460" t="s">
        <v>2935</v>
      </c>
      <c r="AE1411" s="463" t="s">
        <v>782</v>
      </c>
      <c r="AF1411" t="s">
        <v>46</v>
      </c>
    </row>
    <row r="1412" spans="1:32" s="465" customFormat="1" ht="22.5" x14ac:dyDescent="0.25">
      <c r="A1412" s="40" t="s">
        <v>2960</v>
      </c>
      <c r="B1412" s="360" t="s">
        <v>2940</v>
      </c>
      <c r="C1412" s="40">
        <v>65</v>
      </c>
      <c r="D1412" s="40">
        <v>18</v>
      </c>
      <c r="E1412" s="40" t="s">
        <v>2964</v>
      </c>
      <c r="F1412" s="40" t="s">
        <v>347</v>
      </c>
      <c r="G1412" s="40" t="s">
        <v>137</v>
      </c>
      <c r="H1412" s="40" t="s">
        <v>2935</v>
      </c>
      <c r="I1412" s="40" t="str">
        <f>VLOOKUP(Таблица18[[#This Row],[Номер акта]],$AB$1:$AF$2504,3,FALSE)</f>
        <v>А-4/1</v>
      </c>
      <c r="J1412" s="40" t="s">
        <v>782</v>
      </c>
      <c r="K1412" s="40" t="s">
        <v>2939</v>
      </c>
      <c r="L1412" s="121">
        <v>29090</v>
      </c>
      <c r="M1412" s="121">
        <v>15010</v>
      </c>
      <c r="N1412" s="121">
        <v>19.5</v>
      </c>
      <c r="O1412" s="363">
        <v>14080</v>
      </c>
      <c r="P1412" s="363">
        <v>11334.4</v>
      </c>
      <c r="Q1412" s="121">
        <v>2026</v>
      </c>
      <c r="R1412" s="121">
        <v>31</v>
      </c>
      <c r="S1412" s="148">
        <v>46177</v>
      </c>
      <c r="T1412" s="363">
        <f>Таблица18[[#This Row],[Вес нетто]]-Таблица18[[#This Row],[Зачетный вес]]</f>
        <v>2745.6000000000004</v>
      </c>
      <c r="U1412" s="392">
        <f>Таблица18[[#This Row],[Отход]]/Таблица18[[#This Row],[Вес нетто]]</f>
        <v>0.19500000000000003</v>
      </c>
      <c r="V1412" s="121">
        <f>MONTH(Таблица18[[#This Row],[Дата акта]])</f>
        <v>6</v>
      </c>
      <c r="W1412" s="121">
        <f>DAY(Таблица18[[#This Row],[Дата акта]])</f>
        <v>4</v>
      </c>
      <c r="X1412" s="148">
        <f>DATE(1900,Таблица18[[#This Row],[Месяц]],Таблица18[[#This Row],[Число]])</f>
        <v>156</v>
      </c>
      <c r="Y1412" s="121"/>
      <c r="Z1412" s="121" t="str">
        <f>Таблица18[[#This Row],[Хар-ка]]</f>
        <v>Высший</v>
      </c>
      <c r="AA1412"/>
      <c r="AB1412">
        <v>31</v>
      </c>
      <c r="AC1412"/>
      <c r="AD1412" s="460" t="s">
        <v>2935</v>
      </c>
      <c r="AE1412" s="463" t="s">
        <v>782</v>
      </c>
      <c r="AF1412" t="s">
        <v>46</v>
      </c>
    </row>
    <row r="1413" spans="1:32" s="465" customFormat="1" ht="22.5" x14ac:dyDescent="0.25">
      <c r="A1413" s="40" t="s">
        <v>2956</v>
      </c>
      <c r="B1413" s="360" t="s">
        <v>2940</v>
      </c>
      <c r="C1413" s="40">
        <v>66</v>
      </c>
      <c r="D1413" s="40">
        <v>19</v>
      </c>
      <c r="E1413" s="40" t="s">
        <v>2964</v>
      </c>
      <c r="F1413" s="40" t="s">
        <v>1806</v>
      </c>
      <c r="G1413" s="40" t="s">
        <v>1807</v>
      </c>
      <c r="H1413" s="40" t="s">
        <v>2935</v>
      </c>
      <c r="I1413" s="40" t="str">
        <f>VLOOKUP(Таблица18[[#This Row],[Номер акта]],$AB$1:$AF$2504,3,FALSE)</f>
        <v>А-4/1</v>
      </c>
      <c r="J1413" s="40" t="s">
        <v>782</v>
      </c>
      <c r="K1413" s="40" t="s">
        <v>2939</v>
      </c>
      <c r="L1413" s="121">
        <v>28750</v>
      </c>
      <c r="M1413" s="121">
        <v>14680</v>
      </c>
      <c r="N1413" s="121">
        <v>18.5</v>
      </c>
      <c r="O1413" s="363">
        <v>14070</v>
      </c>
      <c r="P1413" s="363">
        <v>11467.1</v>
      </c>
      <c r="Q1413" s="121">
        <v>2026</v>
      </c>
      <c r="R1413" s="121">
        <v>32</v>
      </c>
      <c r="S1413" s="148">
        <v>46177</v>
      </c>
      <c r="T1413" s="363">
        <f>Таблица18[[#This Row],[Вес нетто]]-Таблица18[[#This Row],[Зачетный вес]]</f>
        <v>2602.8999999999996</v>
      </c>
      <c r="U1413" s="392">
        <f>Таблица18[[#This Row],[Отход]]/Таблица18[[#This Row],[Вес нетто]]</f>
        <v>0.18499644633972989</v>
      </c>
      <c r="V1413" s="121">
        <f>MONTH(Таблица18[[#This Row],[Дата акта]])</f>
        <v>6</v>
      </c>
      <c r="W1413" s="121">
        <f>DAY(Таблица18[[#This Row],[Дата акта]])</f>
        <v>4</v>
      </c>
      <c r="X1413" s="148">
        <f>DATE(1900,Таблица18[[#This Row],[Месяц]],Таблица18[[#This Row],[Число]])</f>
        <v>156</v>
      </c>
      <c r="Y1413" s="121"/>
      <c r="Z1413" s="121" t="str">
        <f>Таблица18[[#This Row],[Хар-ка]]</f>
        <v>Высший</v>
      </c>
      <c r="AA1413"/>
      <c r="AB1413">
        <v>32</v>
      </c>
      <c r="AC1413"/>
      <c r="AD1413" s="460" t="s">
        <v>2935</v>
      </c>
      <c r="AE1413" s="463" t="s">
        <v>782</v>
      </c>
      <c r="AF1413" t="s">
        <v>46</v>
      </c>
    </row>
    <row r="1414" spans="1:32" s="465" customFormat="1" ht="33.75" x14ac:dyDescent="0.25">
      <c r="A1414" s="40" t="s">
        <v>2950</v>
      </c>
      <c r="B1414" s="360" t="s">
        <v>2940</v>
      </c>
      <c r="C1414" s="40">
        <v>68</v>
      </c>
      <c r="D1414" s="40">
        <v>20</v>
      </c>
      <c r="E1414" s="40" t="s">
        <v>2964</v>
      </c>
      <c r="F1414" s="40" t="s">
        <v>329</v>
      </c>
      <c r="G1414" s="40" t="s">
        <v>333</v>
      </c>
      <c r="H1414" s="40" t="s">
        <v>2935</v>
      </c>
      <c r="I1414" s="40" t="str">
        <f>VLOOKUP(Таблица18[[#This Row],[Номер акта]],$AB$1:$AF$2504,3,FALSE)</f>
        <v>А-4/1</v>
      </c>
      <c r="J1414" s="40" t="s">
        <v>782</v>
      </c>
      <c r="K1414" s="40" t="s">
        <v>2939</v>
      </c>
      <c r="L1414" s="121">
        <v>29230</v>
      </c>
      <c r="M1414" s="121">
        <v>15000</v>
      </c>
      <c r="N1414" s="121">
        <v>17.5</v>
      </c>
      <c r="O1414" s="363">
        <v>14230</v>
      </c>
      <c r="P1414" s="363">
        <v>11739.8</v>
      </c>
      <c r="Q1414" s="121">
        <v>2026</v>
      </c>
      <c r="R1414" s="121">
        <v>33</v>
      </c>
      <c r="S1414" s="148">
        <v>46177</v>
      </c>
      <c r="T1414" s="363">
        <f>Таблица18[[#This Row],[Вес нетто]]-Таблица18[[#This Row],[Зачетный вес]]</f>
        <v>2490.2000000000007</v>
      </c>
      <c r="U1414" s="392">
        <f>Таблица18[[#This Row],[Отход]]/Таблица18[[#This Row],[Вес нетто]]</f>
        <v>0.17499648629655662</v>
      </c>
      <c r="V1414" s="121">
        <f>MONTH(Таблица18[[#This Row],[Дата акта]])</f>
        <v>6</v>
      </c>
      <c r="W1414" s="121">
        <f>DAY(Таблица18[[#This Row],[Дата акта]])</f>
        <v>4</v>
      </c>
      <c r="X1414" s="148">
        <f>DATE(1900,Таблица18[[#This Row],[Месяц]],Таблица18[[#This Row],[Число]])</f>
        <v>156</v>
      </c>
      <c r="Y1414" s="121"/>
      <c r="Z1414" s="121" t="str">
        <f>Таблица18[[#This Row],[Хар-ка]]</f>
        <v>Высший</v>
      </c>
      <c r="AA1414"/>
      <c r="AB1414">
        <v>33</v>
      </c>
      <c r="AC1414"/>
      <c r="AD1414" s="460" t="s">
        <v>2935</v>
      </c>
      <c r="AE1414" s="463" t="s">
        <v>782</v>
      </c>
      <c r="AF1414" t="s">
        <v>46</v>
      </c>
    </row>
    <row r="1415" spans="1:32" s="465" customFormat="1" ht="33.75" x14ac:dyDescent="0.25">
      <c r="A1415" s="40" t="s">
        <v>2961</v>
      </c>
      <c r="B1415" s="360" t="s">
        <v>2940</v>
      </c>
      <c r="C1415" s="40">
        <v>69</v>
      </c>
      <c r="D1415" s="40">
        <v>21</v>
      </c>
      <c r="E1415" s="40" t="s">
        <v>2964</v>
      </c>
      <c r="F1415" s="40" t="s">
        <v>311</v>
      </c>
      <c r="G1415" s="40" t="s">
        <v>315</v>
      </c>
      <c r="H1415" s="40" t="s">
        <v>2935</v>
      </c>
      <c r="I1415" s="40" t="str">
        <f>VLOOKUP(Таблица18[[#This Row],[Номер акта]],$AB$1:$AF$2504,3,FALSE)</f>
        <v>А-4/1</v>
      </c>
      <c r="J1415" s="40" t="s">
        <v>782</v>
      </c>
      <c r="K1415" s="40" t="s">
        <v>2939</v>
      </c>
      <c r="L1415" s="121">
        <v>29010</v>
      </c>
      <c r="M1415" s="121">
        <v>14940</v>
      </c>
      <c r="N1415" s="121">
        <v>20.5</v>
      </c>
      <c r="O1415" s="363">
        <v>14070</v>
      </c>
      <c r="P1415" s="363">
        <v>11185.7</v>
      </c>
      <c r="Q1415" s="121">
        <v>2026</v>
      </c>
      <c r="R1415" s="121">
        <v>34</v>
      </c>
      <c r="S1415" s="148">
        <v>46177</v>
      </c>
      <c r="T1415" s="363">
        <f>Таблица18[[#This Row],[Вес нетто]]-Таблица18[[#This Row],[Зачетный вес]]</f>
        <v>2884.2999999999993</v>
      </c>
      <c r="U1415" s="392">
        <f>Таблица18[[#This Row],[Отход]]/Таблица18[[#This Row],[Вес нетто]]</f>
        <v>0.20499644633972988</v>
      </c>
      <c r="V1415" s="121">
        <f>MONTH(Таблица18[[#This Row],[Дата акта]])</f>
        <v>6</v>
      </c>
      <c r="W1415" s="121">
        <f>DAY(Таблица18[[#This Row],[Дата акта]])</f>
        <v>4</v>
      </c>
      <c r="X1415" s="148">
        <f>DATE(1900,Таблица18[[#This Row],[Месяц]],Таблица18[[#This Row],[Число]])</f>
        <v>156</v>
      </c>
      <c r="Y1415" s="121"/>
      <c r="Z1415" s="121" t="str">
        <f>Таблица18[[#This Row],[Хар-ка]]</f>
        <v>Высший</v>
      </c>
      <c r="AA1415"/>
      <c r="AB1415">
        <v>34</v>
      </c>
      <c r="AC1415"/>
      <c r="AD1415" s="460" t="s">
        <v>2935</v>
      </c>
      <c r="AE1415" s="463" t="s">
        <v>782</v>
      </c>
      <c r="AF1415" t="s">
        <v>46</v>
      </c>
    </row>
    <row r="1416" spans="1:32" s="465" customFormat="1" ht="22.5" x14ac:dyDescent="0.25">
      <c r="A1416" s="40" t="s">
        <v>2963</v>
      </c>
      <c r="B1416" s="360" t="s">
        <v>2940</v>
      </c>
      <c r="C1416" s="40">
        <v>70</v>
      </c>
      <c r="D1416" s="40">
        <v>22</v>
      </c>
      <c r="E1416" s="40" t="s">
        <v>2964</v>
      </c>
      <c r="F1416" s="40" t="s">
        <v>347</v>
      </c>
      <c r="G1416" s="40" t="s">
        <v>137</v>
      </c>
      <c r="H1416" s="40" t="s">
        <v>2966</v>
      </c>
      <c r="I1416" s="40" t="str">
        <f>VLOOKUP(Таблица18[[#This Row],[Номер акта]],$AB$1:$AF$2504,3,FALSE)</f>
        <v>А-4/1</v>
      </c>
      <c r="J1416" s="40" t="s">
        <v>782</v>
      </c>
      <c r="K1416" s="40" t="s">
        <v>2939</v>
      </c>
      <c r="L1416" s="121">
        <v>29090</v>
      </c>
      <c r="M1416" s="121">
        <v>14980</v>
      </c>
      <c r="N1416" s="121">
        <v>16.5</v>
      </c>
      <c r="O1416" s="363">
        <v>14110</v>
      </c>
      <c r="P1416" s="363">
        <v>11781.8</v>
      </c>
      <c r="Q1416" s="121">
        <v>2026</v>
      </c>
      <c r="R1416" s="121">
        <v>35</v>
      </c>
      <c r="S1416" s="148">
        <v>46177</v>
      </c>
      <c r="T1416" s="363">
        <f>Таблица18[[#This Row],[Вес нетто]]-Таблица18[[#This Row],[Зачетный вес]]</f>
        <v>2328.2000000000007</v>
      </c>
      <c r="U1416" s="392">
        <f>Таблица18[[#This Row],[Отход]]/Таблица18[[#This Row],[Вес нетто]]</f>
        <v>0.16500354358610919</v>
      </c>
      <c r="V1416" s="121">
        <f>MONTH(Таблица18[[#This Row],[Дата акта]])</f>
        <v>6</v>
      </c>
      <c r="W1416" s="121">
        <f>DAY(Таблица18[[#This Row],[Дата акта]])</f>
        <v>4</v>
      </c>
      <c r="X1416" s="148">
        <f>DATE(1900,Таблица18[[#This Row],[Месяц]],Таблица18[[#This Row],[Число]])</f>
        <v>156</v>
      </c>
      <c r="Y1416" s="121"/>
      <c r="Z1416" s="121" t="str">
        <f>Таблица18[[#This Row],[Хар-ка]]</f>
        <v>Высший</v>
      </c>
      <c r="AA1416"/>
      <c r="AB1416">
        <v>35</v>
      </c>
      <c r="AC1416"/>
      <c r="AD1416" s="460" t="s">
        <v>2935</v>
      </c>
      <c r="AE1416" s="463" t="s">
        <v>782</v>
      </c>
      <c r="AF1416" t="s">
        <v>46</v>
      </c>
    </row>
    <row r="1417" spans="1:32" s="465" customFormat="1" ht="22.5" x14ac:dyDescent="0.25">
      <c r="A1417" s="40" t="s">
        <v>2958</v>
      </c>
      <c r="B1417" s="360" t="s">
        <v>2940</v>
      </c>
      <c r="C1417" s="40">
        <v>71</v>
      </c>
      <c r="D1417" s="40">
        <v>23</v>
      </c>
      <c r="E1417" s="40" t="s">
        <v>2964</v>
      </c>
      <c r="F1417" s="40" t="s">
        <v>1806</v>
      </c>
      <c r="G1417" s="40" t="s">
        <v>1807</v>
      </c>
      <c r="H1417" s="40" t="s">
        <v>2968</v>
      </c>
      <c r="I1417" s="40" t="str">
        <f>VLOOKUP(Таблица18[[#This Row],[Номер акта]],$AB$1:$AF$2504,3,FALSE)</f>
        <v>А-3</v>
      </c>
      <c r="J1417" s="40" t="s">
        <v>524</v>
      </c>
      <c r="K1417" s="40" t="s">
        <v>2939</v>
      </c>
      <c r="L1417" s="121">
        <v>20780</v>
      </c>
      <c r="M1417" s="121">
        <v>14660</v>
      </c>
      <c r="N1417" s="121">
        <v>34</v>
      </c>
      <c r="O1417" s="363">
        <v>6120</v>
      </c>
      <c r="P1417" s="363">
        <v>4039.2</v>
      </c>
      <c r="Q1417" s="121">
        <v>2026</v>
      </c>
      <c r="R1417" s="121">
        <v>36</v>
      </c>
      <c r="S1417" s="148">
        <v>46177</v>
      </c>
      <c r="T1417" s="363">
        <f>Таблица18[[#This Row],[Вес нетто]]-Таблица18[[#This Row],[Зачетный вес]]</f>
        <v>2080.8000000000002</v>
      </c>
      <c r="U1417" s="392">
        <f>Таблица18[[#This Row],[Отход]]/Таблица18[[#This Row],[Вес нетто]]</f>
        <v>0.34</v>
      </c>
      <c r="V1417" s="121">
        <f>MONTH(Таблица18[[#This Row],[Дата акта]])</f>
        <v>6</v>
      </c>
      <c r="W1417" s="121">
        <f>DAY(Таблица18[[#This Row],[Дата акта]])</f>
        <v>4</v>
      </c>
      <c r="X1417" s="148">
        <f>DATE(1900,Таблица18[[#This Row],[Месяц]],Таблица18[[#This Row],[Число]])</f>
        <v>156</v>
      </c>
      <c r="Y1417" s="121"/>
      <c r="Z1417" s="121" t="str">
        <f>Таблица18[[#This Row],[Хар-ка]]</f>
        <v>Высший</v>
      </c>
      <c r="AA1417"/>
      <c r="AB1417">
        <v>36</v>
      </c>
      <c r="AC1417"/>
      <c r="AD1417" s="460" t="s">
        <v>2968</v>
      </c>
      <c r="AE1417" s="463" t="s">
        <v>524</v>
      </c>
      <c r="AF1417" t="s">
        <v>46</v>
      </c>
    </row>
    <row r="1418" spans="1:32" s="465" customFormat="1" ht="33.75" x14ac:dyDescent="0.25">
      <c r="A1418" s="40" t="s">
        <v>2973</v>
      </c>
      <c r="B1418" s="360" t="s">
        <v>2940</v>
      </c>
      <c r="C1418" s="40">
        <v>76</v>
      </c>
      <c r="D1418" s="40">
        <v>24</v>
      </c>
      <c r="E1418" s="40" t="s">
        <v>2964</v>
      </c>
      <c r="F1418" s="40" t="s">
        <v>311</v>
      </c>
      <c r="G1418" s="40" t="s">
        <v>315</v>
      </c>
      <c r="H1418" s="40" t="s">
        <v>2974</v>
      </c>
      <c r="I1418" s="40" t="str">
        <f>VLOOKUP(Таблица18[[#This Row],[Номер акта]],$AB$1:$AF$2504,3,FALSE)</f>
        <v>А-22/1</v>
      </c>
      <c r="J1418" s="40" t="s">
        <v>782</v>
      </c>
      <c r="K1418" s="40" t="s">
        <v>2939</v>
      </c>
      <c r="L1418" s="121">
        <v>30680</v>
      </c>
      <c r="M1418" s="121">
        <v>14930</v>
      </c>
      <c r="N1418" s="121">
        <v>15.5</v>
      </c>
      <c r="O1418" s="363">
        <v>15750</v>
      </c>
      <c r="P1418" s="363">
        <v>13308.8</v>
      </c>
      <c r="Q1418" s="121">
        <v>2026</v>
      </c>
      <c r="R1418" s="121">
        <v>41</v>
      </c>
      <c r="S1418" s="148">
        <v>46179</v>
      </c>
      <c r="T1418" s="363">
        <f>Таблица18[[#This Row],[Вес нетто]]-Таблица18[[#This Row],[Зачетный вес]]</f>
        <v>2441.2000000000007</v>
      </c>
      <c r="U1418" s="392">
        <f>Таблица18[[#This Row],[Отход]]/Таблица18[[#This Row],[Вес нетто]]</f>
        <v>0.15499682539682544</v>
      </c>
      <c r="V1418" s="121">
        <f>MONTH(Таблица18[[#This Row],[Дата акта]])</f>
        <v>6</v>
      </c>
      <c r="W1418" s="121">
        <f>DAY(Таблица18[[#This Row],[Дата акта]])</f>
        <v>6</v>
      </c>
      <c r="X1418" s="148">
        <f>DATE(1900,Таблица18[[#This Row],[Месяц]],Таблица18[[#This Row],[Число]])</f>
        <v>158</v>
      </c>
      <c r="Y1418" s="121"/>
      <c r="Z1418" s="121" t="str">
        <f>Таблица18[[#This Row],[Хар-ка]]</f>
        <v>Высший</v>
      </c>
      <c r="AA1418"/>
      <c r="AB1418">
        <v>41</v>
      </c>
      <c r="AC1418"/>
      <c r="AD1418" s="460" t="s">
        <v>2974</v>
      </c>
      <c r="AE1418" s="463" t="s">
        <v>782</v>
      </c>
      <c r="AF1418" t="s">
        <v>46</v>
      </c>
    </row>
    <row r="1419" spans="1:32" s="465" customFormat="1" ht="22.5" x14ac:dyDescent="0.25">
      <c r="A1419" s="40" t="s">
        <v>2975</v>
      </c>
      <c r="B1419" s="360" t="s">
        <v>2940</v>
      </c>
      <c r="C1419" s="40">
        <v>77</v>
      </c>
      <c r="D1419" s="40">
        <v>25</v>
      </c>
      <c r="E1419" s="40" t="s">
        <v>2964</v>
      </c>
      <c r="F1419" s="40" t="s">
        <v>127</v>
      </c>
      <c r="G1419" s="40" t="s">
        <v>131</v>
      </c>
      <c r="H1419" s="40" t="s">
        <v>2974</v>
      </c>
      <c r="I1419" s="40" t="str">
        <f>VLOOKUP(Таблица18[[#This Row],[Номер акта]],$AB$1:$AF$2504,3,FALSE)</f>
        <v>А-22/1</v>
      </c>
      <c r="J1419" s="40" t="s">
        <v>782</v>
      </c>
      <c r="K1419" s="40" t="s">
        <v>2939</v>
      </c>
      <c r="L1419" s="121">
        <v>23260</v>
      </c>
      <c r="M1419" s="121">
        <v>14360</v>
      </c>
      <c r="N1419" s="121">
        <v>14.5</v>
      </c>
      <c r="O1419" s="363">
        <v>8900</v>
      </c>
      <c r="P1419" s="363">
        <v>7609.5</v>
      </c>
      <c r="Q1419" s="121">
        <v>2026</v>
      </c>
      <c r="R1419" s="121">
        <v>37</v>
      </c>
      <c r="S1419" s="148">
        <v>46179</v>
      </c>
      <c r="T1419" s="363">
        <f>Таблица18[[#This Row],[Вес нетто]]-Таблица18[[#This Row],[Зачетный вес]]</f>
        <v>1290.5</v>
      </c>
      <c r="U1419" s="392">
        <f>Таблица18[[#This Row],[Отход]]/Таблица18[[#This Row],[Вес нетто]]</f>
        <v>0.14499999999999999</v>
      </c>
      <c r="V1419" s="121">
        <f>MONTH(Таблица18[[#This Row],[Дата акта]])</f>
        <v>6</v>
      </c>
      <c r="W1419" s="121">
        <f>DAY(Таблица18[[#This Row],[Дата акта]])</f>
        <v>6</v>
      </c>
      <c r="X1419" s="148">
        <f>DATE(1900,Таблица18[[#This Row],[Месяц]],Таблица18[[#This Row],[Число]])</f>
        <v>158</v>
      </c>
      <c r="Y1419" s="121"/>
      <c r="Z1419" s="121" t="str">
        <f>Таблица18[[#This Row],[Хар-ка]]</f>
        <v>Высший</v>
      </c>
      <c r="AA1419"/>
      <c r="AB1419">
        <v>37</v>
      </c>
      <c r="AC1419"/>
      <c r="AD1419" s="460" t="s">
        <v>2974</v>
      </c>
      <c r="AE1419" s="463" t="s">
        <v>782</v>
      </c>
      <c r="AF1419" t="s">
        <v>46</v>
      </c>
    </row>
    <row r="1420" spans="1:32" s="465" customFormat="1" ht="33.75" x14ac:dyDescent="0.25">
      <c r="A1420" s="40" t="s">
        <v>2976</v>
      </c>
      <c r="B1420" s="360" t="s">
        <v>2940</v>
      </c>
      <c r="C1420" s="40">
        <v>84</v>
      </c>
      <c r="D1420" s="40">
        <v>26</v>
      </c>
      <c r="E1420" s="40" t="s">
        <v>2964</v>
      </c>
      <c r="F1420" s="40" t="s">
        <v>737</v>
      </c>
      <c r="G1420" s="40" t="s">
        <v>738</v>
      </c>
      <c r="H1420" s="40" t="s">
        <v>2966</v>
      </c>
      <c r="I1420" s="40" t="str">
        <f>VLOOKUP(Таблица18[[#This Row],[Номер акта]],$AB$1:$AF$2504,3,FALSE)</f>
        <v>А-4/1</v>
      </c>
      <c r="J1420" s="40" t="s">
        <v>782</v>
      </c>
      <c r="K1420" s="40" t="s">
        <v>2939</v>
      </c>
      <c r="L1420" s="121">
        <v>9180</v>
      </c>
      <c r="M1420" s="121">
        <v>4630</v>
      </c>
      <c r="N1420" s="121">
        <v>20.5</v>
      </c>
      <c r="O1420" s="363">
        <v>4550</v>
      </c>
      <c r="P1420" s="363">
        <v>3617.2</v>
      </c>
      <c r="Q1420" s="121">
        <v>2026</v>
      </c>
      <c r="R1420" s="121">
        <v>42</v>
      </c>
      <c r="S1420" s="148">
        <v>46179</v>
      </c>
      <c r="T1420" s="363">
        <f>Таблица18[[#This Row],[Вес нетто]]-Таблица18[[#This Row],[Зачетный вес]]</f>
        <v>932.80000000000018</v>
      </c>
      <c r="U1420" s="392">
        <f>Таблица18[[#This Row],[Отход]]/Таблица18[[#This Row],[Вес нетто]]</f>
        <v>0.20501098901098905</v>
      </c>
      <c r="V1420" s="121">
        <f>MONTH(Таблица18[[#This Row],[Дата акта]])</f>
        <v>6</v>
      </c>
      <c r="W1420" s="121">
        <f>DAY(Таблица18[[#This Row],[Дата акта]])</f>
        <v>6</v>
      </c>
      <c r="X1420" s="148">
        <f>DATE(1900,Таблица18[[#This Row],[Месяц]],Таблица18[[#This Row],[Число]])</f>
        <v>158</v>
      </c>
      <c r="Y1420" s="121"/>
      <c r="Z1420" s="121" t="str">
        <f>Таблица18[[#This Row],[Хар-ка]]</f>
        <v>Высший</v>
      </c>
      <c r="AA1420"/>
      <c r="AB1420">
        <v>42</v>
      </c>
      <c r="AC1420"/>
      <c r="AD1420" s="460" t="s">
        <v>2935</v>
      </c>
      <c r="AE1420" s="463" t="s">
        <v>782</v>
      </c>
      <c r="AF1420" t="s">
        <v>46</v>
      </c>
    </row>
    <row r="1421" spans="1:32" s="465" customFormat="1" ht="22.5" x14ac:dyDescent="0.25">
      <c r="A1421" s="40" t="s">
        <v>2977</v>
      </c>
      <c r="B1421" s="360" t="s">
        <v>2940</v>
      </c>
      <c r="C1421" s="40">
        <v>85</v>
      </c>
      <c r="D1421" s="40">
        <v>27</v>
      </c>
      <c r="E1421" s="40" t="s">
        <v>2964</v>
      </c>
      <c r="F1421" s="40" t="s">
        <v>347</v>
      </c>
      <c r="G1421" s="40" t="s">
        <v>351</v>
      </c>
      <c r="H1421" s="40" t="s">
        <v>2966</v>
      </c>
      <c r="I1421" s="40" t="str">
        <f>VLOOKUP(Таблица18[[#This Row],[Номер акта]],$AB$1:$AF$2504,3,FALSE)</f>
        <v>А-4/1</v>
      </c>
      <c r="J1421" s="40" t="s">
        <v>782</v>
      </c>
      <c r="K1421" s="40" t="s">
        <v>2939</v>
      </c>
      <c r="L1421" s="121">
        <v>29380</v>
      </c>
      <c r="M1421" s="121">
        <v>15750</v>
      </c>
      <c r="N1421" s="121">
        <v>20.5</v>
      </c>
      <c r="O1421" s="363">
        <v>13630</v>
      </c>
      <c r="P1421" s="363">
        <v>10835.8</v>
      </c>
      <c r="Q1421" s="121">
        <v>2026</v>
      </c>
      <c r="R1421" s="121">
        <v>43</v>
      </c>
      <c r="S1421" s="148">
        <v>46179</v>
      </c>
      <c r="T1421" s="363">
        <f>Таблица18[[#This Row],[Вес нетто]]-Таблица18[[#This Row],[Зачетный вес]]</f>
        <v>2794.2000000000007</v>
      </c>
      <c r="U1421" s="392">
        <f>Таблица18[[#This Row],[Отход]]/Таблица18[[#This Row],[Вес нетто]]</f>
        <v>0.20500366837857673</v>
      </c>
      <c r="V1421" s="121">
        <f>MONTH(Таблица18[[#This Row],[Дата акта]])</f>
        <v>6</v>
      </c>
      <c r="W1421" s="121">
        <f>DAY(Таблица18[[#This Row],[Дата акта]])</f>
        <v>6</v>
      </c>
      <c r="X1421" s="148">
        <f>DATE(1900,Таблица18[[#This Row],[Месяц]],Таблица18[[#This Row],[Число]])</f>
        <v>158</v>
      </c>
      <c r="Y1421" s="121"/>
      <c r="Z1421" s="121" t="str">
        <f>Таблица18[[#This Row],[Хар-ка]]</f>
        <v>Высший</v>
      </c>
      <c r="AA1421"/>
      <c r="AB1421">
        <v>43</v>
      </c>
      <c r="AC1421"/>
      <c r="AD1421" s="460" t="s">
        <v>2935</v>
      </c>
      <c r="AE1421" s="463" t="s">
        <v>782</v>
      </c>
      <c r="AF1421" t="s">
        <v>46</v>
      </c>
    </row>
    <row r="1422" spans="1:32" s="465" customFormat="1" ht="22.5" x14ac:dyDescent="0.25">
      <c r="A1422" s="40" t="s">
        <v>2978</v>
      </c>
      <c r="B1422" s="360" t="s">
        <v>2940</v>
      </c>
      <c r="C1422" s="40">
        <v>86</v>
      </c>
      <c r="D1422" s="40">
        <v>28</v>
      </c>
      <c r="E1422" s="40" t="s">
        <v>2964</v>
      </c>
      <c r="F1422" s="40" t="s">
        <v>1806</v>
      </c>
      <c r="G1422" s="40" t="s">
        <v>1807</v>
      </c>
      <c r="H1422" s="40" t="s">
        <v>2935</v>
      </c>
      <c r="I1422" s="40" t="str">
        <f>VLOOKUP(Таблица18[[#This Row],[Номер акта]],$AB$1:$AF$2504,3,FALSE)</f>
        <v>А-4/1</v>
      </c>
      <c r="J1422" s="40" t="s">
        <v>782</v>
      </c>
      <c r="K1422" s="40" t="s">
        <v>2939</v>
      </c>
      <c r="L1422" s="121">
        <v>28470</v>
      </c>
      <c r="M1422" s="121">
        <v>14630</v>
      </c>
      <c r="N1422" s="121">
        <v>22.5</v>
      </c>
      <c r="O1422" s="363">
        <v>13840</v>
      </c>
      <c r="P1422" s="363">
        <v>10726</v>
      </c>
      <c r="Q1422" s="121">
        <v>2026</v>
      </c>
      <c r="R1422" s="121">
        <v>44</v>
      </c>
      <c r="S1422" s="148">
        <v>46179</v>
      </c>
      <c r="T1422" s="363">
        <f>Таблица18[[#This Row],[Вес нетто]]-Таблица18[[#This Row],[Зачетный вес]]</f>
        <v>3114</v>
      </c>
      <c r="U1422" s="392">
        <f>Таблица18[[#This Row],[Отход]]/Таблица18[[#This Row],[Вес нетто]]</f>
        <v>0.22500000000000001</v>
      </c>
      <c r="V1422" s="121">
        <f>MONTH(Таблица18[[#This Row],[Дата акта]])</f>
        <v>6</v>
      </c>
      <c r="W1422" s="121">
        <f>DAY(Таблица18[[#This Row],[Дата акта]])</f>
        <v>6</v>
      </c>
      <c r="X1422" s="148">
        <f>DATE(1900,Таблица18[[#This Row],[Месяц]],Таблица18[[#This Row],[Число]])</f>
        <v>158</v>
      </c>
      <c r="Y1422" s="121"/>
      <c r="Z1422" s="121" t="str">
        <f>Таблица18[[#This Row],[Хар-ка]]</f>
        <v>Высший</v>
      </c>
      <c r="AA1422"/>
      <c r="AB1422">
        <v>44</v>
      </c>
      <c r="AC1422"/>
      <c r="AD1422" s="460" t="s">
        <v>2935</v>
      </c>
      <c r="AE1422" s="463" t="s">
        <v>782</v>
      </c>
      <c r="AF1422" t="s">
        <v>46</v>
      </c>
    </row>
    <row r="1423" spans="1:32" s="465" customFormat="1" ht="33.75" x14ac:dyDescent="0.25">
      <c r="A1423" s="40" t="s">
        <v>2979</v>
      </c>
      <c r="B1423" s="360" t="s">
        <v>2940</v>
      </c>
      <c r="C1423" s="40">
        <v>87</v>
      </c>
      <c r="D1423" s="40">
        <v>29</v>
      </c>
      <c r="E1423" s="40" t="s">
        <v>2964</v>
      </c>
      <c r="F1423" s="40" t="s">
        <v>311</v>
      </c>
      <c r="G1423" s="40" t="s">
        <v>315</v>
      </c>
      <c r="H1423" s="40" t="s">
        <v>2935</v>
      </c>
      <c r="I1423" s="40" t="str">
        <f>VLOOKUP(Таблица18[[#This Row],[Номер акта]],$AB$1:$AF$2504,3,FALSE)</f>
        <v>А-4/1</v>
      </c>
      <c r="J1423" s="40" t="s">
        <v>782</v>
      </c>
      <c r="K1423" s="40" t="s">
        <v>2939</v>
      </c>
      <c r="L1423" s="121">
        <v>28550</v>
      </c>
      <c r="M1423" s="121">
        <v>14910</v>
      </c>
      <c r="N1423" s="121">
        <v>21.5</v>
      </c>
      <c r="O1423" s="363">
        <v>13640</v>
      </c>
      <c r="P1423" s="363">
        <v>10707.4</v>
      </c>
      <c r="Q1423" s="121">
        <v>2026</v>
      </c>
      <c r="R1423" s="121">
        <v>45</v>
      </c>
      <c r="S1423" s="148">
        <v>46179</v>
      </c>
      <c r="T1423" s="363">
        <f>Таблица18[[#This Row],[Вес нетто]]-Таблица18[[#This Row],[Зачетный вес]]</f>
        <v>2932.6000000000004</v>
      </c>
      <c r="U1423" s="392">
        <f>Таблица18[[#This Row],[Отход]]/Таблица18[[#This Row],[Вес нетто]]</f>
        <v>0.21500000000000002</v>
      </c>
      <c r="V1423" s="121">
        <f>MONTH(Таблица18[[#This Row],[Дата акта]])</f>
        <v>6</v>
      </c>
      <c r="W1423" s="121">
        <f>DAY(Таблица18[[#This Row],[Дата акта]])</f>
        <v>6</v>
      </c>
      <c r="X1423" s="148">
        <f>DATE(1900,Таблица18[[#This Row],[Месяц]],Таблица18[[#This Row],[Число]])</f>
        <v>158</v>
      </c>
      <c r="Y1423" s="121"/>
      <c r="Z1423" s="121" t="str">
        <f>Таблица18[[#This Row],[Хар-ка]]</f>
        <v>Высший</v>
      </c>
      <c r="AA1423"/>
      <c r="AB1423">
        <v>45</v>
      </c>
      <c r="AC1423"/>
      <c r="AD1423" s="460" t="s">
        <v>2935</v>
      </c>
      <c r="AE1423" s="463" t="s">
        <v>782</v>
      </c>
      <c r="AF1423" t="s">
        <v>46</v>
      </c>
    </row>
    <row r="1424" spans="1:32" s="465" customFormat="1" ht="33.75" x14ac:dyDescent="0.25">
      <c r="A1424" s="40" t="s">
        <v>2980</v>
      </c>
      <c r="B1424" s="360" t="s">
        <v>2940</v>
      </c>
      <c r="C1424" s="40">
        <v>88</v>
      </c>
      <c r="D1424" s="40">
        <v>30</v>
      </c>
      <c r="E1424" s="40" t="s">
        <v>2964</v>
      </c>
      <c r="F1424" s="40" t="s">
        <v>737</v>
      </c>
      <c r="G1424" s="40" t="s">
        <v>738</v>
      </c>
      <c r="H1424" s="40" t="s">
        <v>2966</v>
      </c>
      <c r="I1424" s="40" t="str">
        <f>VLOOKUP(Таблица18[[#This Row],[Номер акта]],$AB$1:$AF$2504,3,FALSE)</f>
        <v>А-4/1</v>
      </c>
      <c r="J1424" s="40" t="s">
        <v>782</v>
      </c>
      <c r="K1424" s="40" t="s">
        <v>2939</v>
      </c>
      <c r="L1424" s="121">
        <v>9280</v>
      </c>
      <c r="M1424" s="121">
        <v>4620</v>
      </c>
      <c r="N1424" s="121">
        <v>21.5</v>
      </c>
      <c r="O1424" s="363">
        <v>4660</v>
      </c>
      <c r="P1424" s="363">
        <v>3658.1</v>
      </c>
      <c r="Q1424" s="121">
        <v>2026</v>
      </c>
      <c r="R1424" s="121">
        <v>46</v>
      </c>
      <c r="S1424" s="148">
        <v>46179</v>
      </c>
      <c r="T1424" s="363">
        <f>Таблица18[[#This Row],[Вес нетто]]-Таблица18[[#This Row],[Зачетный вес]]</f>
        <v>1001.9000000000001</v>
      </c>
      <c r="U1424" s="392">
        <f>Таблица18[[#This Row],[Отход]]/Таблица18[[#This Row],[Вес нетто]]</f>
        <v>0.21500000000000002</v>
      </c>
      <c r="V1424" s="121">
        <f>MONTH(Таблица18[[#This Row],[Дата акта]])</f>
        <v>6</v>
      </c>
      <c r="W1424" s="121">
        <f>DAY(Таблица18[[#This Row],[Дата акта]])</f>
        <v>6</v>
      </c>
      <c r="X1424" s="148">
        <f>DATE(1900,Таблица18[[#This Row],[Месяц]],Таблица18[[#This Row],[Число]])</f>
        <v>158</v>
      </c>
      <c r="Y1424" s="121"/>
      <c r="Z1424" s="121" t="str">
        <f>Таблица18[[#This Row],[Хар-ка]]</f>
        <v>Высший</v>
      </c>
      <c r="AA1424"/>
      <c r="AB1424">
        <v>46</v>
      </c>
      <c r="AC1424"/>
      <c r="AD1424" s="460" t="s">
        <v>2935</v>
      </c>
      <c r="AE1424" s="463" t="s">
        <v>782</v>
      </c>
      <c r="AF1424" t="s">
        <v>46</v>
      </c>
    </row>
    <row r="1425" spans="1:32" s="465" customFormat="1" ht="22.5" x14ac:dyDescent="0.25">
      <c r="A1425" s="40" t="s">
        <v>2981</v>
      </c>
      <c r="B1425" s="360" t="s">
        <v>2940</v>
      </c>
      <c r="C1425" s="40">
        <v>89</v>
      </c>
      <c r="D1425" s="40">
        <v>31</v>
      </c>
      <c r="E1425" s="40" t="s">
        <v>2964</v>
      </c>
      <c r="F1425" s="40" t="s">
        <v>127</v>
      </c>
      <c r="G1425" s="40" t="s">
        <v>131</v>
      </c>
      <c r="H1425" s="40" t="s">
        <v>2935</v>
      </c>
      <c r="I1425" s="40" t="str">
        <f>VLOOKUP(Таблица18[[#This Row],[Номер акта]],$AB$1:$AF$2504,3,FALSE)</f>
        <v>А-4/1</v>
      </c>
      <c r="J1425" s="40" t="s">
        <v>782</v>
      </c>
      <c r="K1425" s="40" t="s">
        <v>2939</v>
      </c>
      <c r="L1425" s="121">
        <v>28130</v>
      </c>
      <c r="M1425" s="121">
        <v>14420</v>
      </c>
      <c r="N1425" s="121">
        <v>21.5</v>
      </c>
      <c r="O1425" s="363">
        <v>13710</v>
      </c>
      <c r="P1425" s="363">
        <v>10762.4</v>
      </c>
      <c r="Q1425" s="121">
        <v>2026</v>
      </c>
      <c r="R1425" s="121">
        <v>47</v>
      </c>
      <c r="S1425" s="148">
        <v>46179</v>
      </c>
      <c r="T1425" s="363">
        <f>Таблица18[[#This Row],[Вес нетто]]-Таблица18[[#This Row],[Зачетный вес]]</f>
        <v>2947.6000000000004</v>
      </c>
      <c r="U1425" s="392">
        <f>Таблица18[[#This Row],[Отход]]/Таблица18[[#This Row],[Вес нетто]]</f>
        <v>0.21499635302698764</v>
      </c>
      <c r="V1425" s="121">
        <f>MONTH(Таблица18[[#This Row],[Дата акта]])</f>
        <v>6</v>
      </c>
      <c r="W1425" s="121">
        <f>DAY(Таблица18[[#This Row],[Дата акта]])</f>
        <v>6</v>
      </c>
      <c r="X1425" s="148">
        <f>DATE(1900,Таблица18[[#This Row],[Месяц]],Таблица18[[#This Row],[Число]])</f>
        <v>158</v>
      </c>
      <c r="Y1425" s="121"/>
      <c r="Z1425" s="121" t="str">
        <f>Таблица18[[#This Row],[Хар-ка]]</f>
        <v>Высший</v>
      </c>
      <c r="AA1425"/>
      <c r="AB1425">
        <v>47</v>
      </c>
      <c r="AC1425"/>
      <c r="AD1425" s="460" t="s">
        <v>2935</v>
      </c>
      <c r="AE1425" s="463" t="s">
        <v>782</v>
      </c>
      <c r="AF1425" t="s">
        <v>46</v>
      </c>
    </row>
    <row r="1426" spans="1:32" s="465" customFormat="1" ht="22.5" x14ac:dyDescent="0.25">
      <c r="A1426" s="40" t="s">
        <v>2982</v>
      </c>
      <c r="B1426" s="360" t="s">
        <v>2940</v>
      </c>
      <c r="C1426" s="40">
        <v>90</v>
      </c>
      <c r="D1426" s="40">
        <v>32</v>
      </c>
      <c r="E1426" s="40" t="s">
        <v>2964</v>
      </c>
      <c r="F1426" s="40" t="s">
        <v>347</v>
      </c>
      <c r="G1426" s="40" t="s">
        <v>351</v>
      </c>
      <c r="H1426" s="40" t="s">
        <v>2966</v>
      </c>
      <c r="I1426" s="40" t="str">
        <f>VLOOKUP(Таблица18[[#This Row],[Номер акта]],$AB$1:$AF$2504,3,FALSE)</f>
        <v>А-4/1</v>
      </c>
      <c r="J1426" s="40" t="s">
        <v>782</v>
      </c>
      <c r="K1426" s="40" t="s">
        <v>2939</v>
      </c>
      <c r="L1426" s="121">
        <v>30050</v>
      </c>
      <c r="M1426" s="121">
        <v>15740</v>
      </c>
      <c r="N1426" s="121">
        <v>21.5</v>
      </c>
      <c r="O1426" s="363">
        <v>14310</v>
      </c>
      <c r="P1426" s="363">
        <v>11233.3</v>
      </c>
      <c r="Q1426" s="121">
        <v>2026</v>
      </c>
      <c r="R1426" s="121">
        <v>48</v>
      </c>
      <c r="S1426" s="148">
        <v>46179</v>
      </c>
      <c r="T1426" s="363">
        <f>Таблица18[[#This Row],[Вес нетто]]-Таблица18[[#This Row],[Зачетный вес]]</f>
        <v>3076.7000000000007</v>
      </c>
      <c r="U1426" s="392">
        <f>Таблица18[[#This Row],[Отход]]/Таблица18[[#This Row],[Вес нетто]]</f>
        <v>0.21500349406009789</v>
      </c>
      <c r="V1426" s="121">
        <f>MONTH(Таблица18[[#This Row],[Дата акта]])</f>
        <v>6</v>
      </c>
      <c r="W1426" s="121">
        <f>DAY(Таблица18[[#This Row],[Дата акта]])</f>
        <v>6</v>
      </c>
      <c r="X1426" s="148">
        <f>DATE(1900,Таблица18[[#This Row],[Месяц]],Таблица18[[#This Row],[Число]])</f>
        <v>158</v>
      </c>
      <c r="Y1426" s="121"/>
      <c r="Z1426" s="121" t="str">
        <f>Таблица18[[#This Row],[Хар-ка]]</f>
        <v>Высший</v>
      </c>
      <c r="AA1426"/>
      <c r="AB1426">
        <v>48</v>
      </c>
      <c r="AC1426"/>
      <c r="AD1426" s="460" t="s">
        <v>2935</v>
      </c>
      <c r="AE1426" s="463" t="s">
        <v>782</v>
      </c>
      <c r="AF1426" t="s">
        <v>46</v>
      </c>
    </row>
    <row r="1427" spans="1:32" s="465" customFormat="1" ht="22.5" x14ac:dyDescent="0.25">
      <c r="A1427" s="40" t="s">
        <v>2983</v>
      </c>
      <c r="B1427" s="360" t="s">
        <v>2940</v>
      </c>
      <c r="C1427" s="40">
        <v>91</v>
      </c>
      <c r="D1427" s="40">
        <v>33</v>
      </c>
      <c r="E1427" s="40" t="s">
        <v>2964</v>
      </c>
      <c r="F1427" s="40" t="s">
        <v>1806</v>
      </c>
      <c r="G1427" s="40" t="s">
        <v>1807</v>
      </c>
      <c r="H1427" s="40" t="s">
        <v>2935</v>
      </c>
      <c r="I1427" s="40" t="str">
        <f>VLOOKUP(Таблица18[[#This Row],[Номер акта]],$AB$1:$AF$2504,3,FALSE)</f>
        <v>А-4/1</v>
      </c>
      <c r="J1427" s="40" t="s">
        <v>782</v>
      </c>
      <c r="K1427" s="40" t="s">
        <v>2939</v>
      </c>
      <c r="L1427" s="121">
        <v>28310</v>
      </c>
      <c r="M1427" s="121">
        <v>14620</v>
      </c>
      <c r="N1427" s="121">
        <v>23.5</v>
      </c>
      <c r="O1427" s="363">
        <v>13690</v>
      </c>
      <c r="P1427" s="363">
        <v>10472.9</v>
      </c>
      <c r="Q1427" s="121">
        <v>2026</v>
      </c>
      <c r="R1427" s="121">
        <v>49</v>
      </c>
      <c r="S1427" s="148">
        <v>46179</v>
      </c>
      <c r="T1427" s="363">
        <f>Таблица18[[#This Row],[Вес нетто]]-Таблица18[[#This Row],[Зачетный вес]]</f>
        <v>3217.1000000000004</v>
      </c>
      <c r="U1427" s="392">
        <f>Таблица18[[#This Row],[Отход]]/Таблица18[[#This Row],[Вес нетто]]</f>
        <v>0.23499634769905042</v>
      </c>
      <c r="V1427" s="121">
        <f>MONTH(Таблица18[[#This Row],[Дата акта]])</f>
        <v>6</v>
      </c>
      <c r="W1427" s="121">
        <f>DAY(Таблица18[[#This Row],[Дата акта]])</f>
        <v>6</v>
      </c>
      <c r="X1427" s="148">
        <f>DATE(1900,Таблица18[[#This Row],[Месяц]],Таблица18[[#This Row],[Число]])</f>
        <v>158</v>
      </c>
      <c r="Y1427" s="121"/>
      <c r="Z1427" s="121" t="str">
        <f>Таблица18[[#This Row],[Хар-ка]]</f>
        <v>Высший</v>
      </c>
      <c r="AA1427"/>
      <c r="AB1427">
        <v>49</v>
      </c>
      <c r="AC1427"/>
      <c r="AD1427" s="460" t="s">
        <v>2935</v>
      </c>
      <c r="AE1427" s="463" t="s">
        <v>782</v>
      </c>
      <c r="AF1427" t="s">
        <v>46</v>
      </c>
    </row>
    <row r="1428" spans="1:32" s="465" customFormat="1" ht="33.75" x14ac:dyDescent="0.25">
      <c r="A1428" s="40" t="s">
        <v>2984</v>
      </c>
      <c r="B1428" s="360" t="s">
        <v>2940</v>
      </c>
      <c r="C1428" s="40">
        <v>92</v>
      </c>
      <c r="D1428" s="40">
        <v>34</v>
      </c>
      <c r="E1428" s="40" t="s">
        <v>2964</v>
      </c>
      <c r="F1428" s="40" t="s">
        <v>311</v>
      </c>
      <c r="G1428" s="40" t="s">
        <v>315</v>
      </c>
      <c r="H1428" s="40" t="s">
        <v>2966</v>
      </c>
      <c r="I1428" s="40" t="str">
        <f>VLOOKUP(Таблица18[[#This Row],[Номер акта]],$AB$1:$AF$2504,3,FALSE)</f>
        <v>А-4/1</v>
      </c>
      <c r="J1428" s="40" t="s">
        <v>782</v>
      </c>
      <c r="K1428" s="40" t="s">
        <v>2939</v>
      </c>
      <c r="L1428" s="121">
        <v>28790</v>
      </c>
      <c r="M1428" s="121">
        <v>14950</v>
      </c>
      <c r="N1428" s="121">
        <v>20.5</v>
      </c>
      <c r="O1428" s="363">
        <v>13840</v>
      </c>
      <c r="P1428" s="363">
        <v>11002.8</v>
      </c>
      <c r="Q1428" s="121">
        <v>2026</v>
      </c>
      <c r="R1428" s="121">
        <v>39</v>
      </c>
      <c r="S1428" s="148">
        <v>46179</v>
      </c>
      <c r="T1428" s="363">
        <f>Таблица18[[#This Row],[Вес нетто]]-Таблица18[[#This Row],[Зачетный вес]]</f>
        <v>2837.2000000000007</v>
      </c>
      <c r="U1428" s="392">
        <f>Таблица18[[#This Row],[Отход]]/Таблица18[[#This Row],[Вес нетто]]</f>
        <v>0.20500000000000004</v>
      </c>
      <c r="V1428" s="121">
        <f>MONTH(Таблица18[[#This Row],[Дата акта]])</f>
        <v>6</v>
      </c>
      <c r="W1428" s="121">
        <f>DAY(Таблица18[[#This Row],[Дата акта]])</f>
        <v>6</v>
      </c>
      <c r="X1428" s="148">
        <f>DATE(1900,Таблица18[[#This Row],[Месяц]],Таблица18[[#This Row],[Число]])</f>
        <v>158</v>
      </c>
      <c r="Y1428" s="121"/>
      <c r="Z1428" s="121" t="str">
        <f>Таблица18[[#This Row],[Хар-ка]]</f>
        <v>Высший</v>
      </c>
      <c r="AA1428"/>
      <c r="AB1428">
        <v>39</v>
      </c>
      <c r="AC1428"/>
      <c r="AD1428" s="460" t="s">
        <v>2935</v>
      </c>
      <c r="AE1428" s="463" t="s">
        <v>782</v>
      </c>
      <c r="AF1428" t="s">
        <v>46</v>
      </c>
    </row>
    <row r="1429" spans="1:32" s="465" customFormat="1" ht="22.5" x14ac:dyDescent="0.25">
      <c r="A1429" s="40" t="s">
        <v>2985</v>
      </c>
      <c r="B1429" s="360" t="s">
        <v>2940</v>
      </c>
      <c r="C1429" s="40">
        <v>93</v>
      </c>
      <c r="D1429" s="40">
        <v>35</v>
      </c>
      <c r="E1429" s="40" t="s">
        <v>2964</v>
      </c>
      <c r="F1429" s="40" t="s">
        <v>127</v>
      </c>
      <c r="G1429" s="40" t="s">
        <v>131</v>
      </c>
      <c r="H1429" s="40" t="s">
        <v>2935</v>
      </c>
      <c r="I1429" s="40" t="str">
        <f>VLOOKUP(Таблица18[[#This Row],[Номер акта]],$AB$1:$AF$2504,3,FALSE)</f>
        <v>А-4/1</v>
      </c>
      <c r="J1429" s="40" t="s">
        <v>782</v>
      </c>
      <c r="K1429" s="40" t="s">
        <v>2939</v>
      </c>
      <c r="L1429" s="121">
        <v>28030</v>
      </c>
      <c r="M1429" s="121">
        <v>14400</v>
      </c>
      <c r="N1429" s="121">
        <v>17.5</v>
      </c>
      <c r="O1429" s="363">
        <v>13630</v>
      </c>
      <c r="P1429" s="363">
        <v>11244.8</v>
      </c>
      <c r="Q1429" s="121">
        <v>2026</v>
      </c>
      <c r="R1429" s="121">
        <v>38</v>
      </c>
      <c r="S1429" s="148">
        <v>46179</v>
      </c>
      <c r="T1429" s="363">
        <f>Таблица18[[#This Row],[Вес нетто]]-Таблица18[[#This Row],[Зачетный вес]]</f>
        <v>2385.2000000000007</v>
      </c>
      <c r="U1429" s="392">
        <f>Таблица18[[#This Row],[Отход]]/Таблица18[[#This Row],[Вес нетто]]</f>
        <v>0.17499633162142339</v>
      </c>
      <c r="V1429" s="121">
        <f>MONTH(Таблица18[[#This Row],[Дата акта]])</f>
        <v>6</v>
      </c>
      <c r="W1429" s="121">
        <f>DAY(Таблица18[[#This Row],[Дата акта]])</f>
        <v>6</v>
      </c>
      <c r="X1429" s="148">
        <f>DATE(1900,Таблица18[[#This Row],[Месяц]],Таблица18[[#This Row],[Число]])</f>
        <v>158</v>
      </c>
      <c r="Y1429" s="121"/>
      <c r="Z1429" s="121" t="str">
        <f>Таблица18[[#This Row],[Хар-ка]]</f>
        <v>Высший</v>
      </c>
      <c r="AA1429"/>
      <c r="AB1429">
        <v>38</v>
      </c>
      <c r="AC1429"/>
      <c r="AD1429" s="460" t="s">
        <v>2935</v>
      </c>
      <c r="AE1429" s="463" t="s">
        <v>782</v>
      </c>
      <c r="AF1429" t="s">
        <v>46</v>
      </c>
    </row>
    <row r="1430" spans="1:32" s="465" customFormat="1" ht="33.75" x14ac:dyDescent="0.25">
      <c r="A1430" s="40" t="s">
        <v>2986</v>
      </c>
      <c r="B1430" s="360" t="s">
        <v>2940</v>
      </c>
      <c r="C1430" s="40">
        <v>94</v>
      </c>
      <c r="D1430" s="40">
        <v>36</v>
      </c>
      <c r="E1430" s="40" t="s">
        <v>2964</v>
      </c>
      <c r="F1430" s="40" t="s">
        <v>737</v>
      </c>
      <c r="G1430" s="40" t="s">
        <v>738</v>
      </c>
      <c r="H1430" s="40" t="s">
        <v>2966</v>
      </c>
      <c r="I1430" s="40" t="str">
        <f>VLOOKUP(Таблица18[[#This Row],[Номер акта]],$AB$1:$AF$2504,3,FALSE)</f>
        <v>А-4/1</v>
      </c>
      <c r="J1430" s="40" t="s">
        <v>782</v>
      </c>
      <c r="K1430" s="40" t="s">
        <v>2939</v>
      </c>
      <c r="L1430" s="121">
        <v>9310</v>
      </c>
      <c r="M1430" s="121">
        <v>4620</v>
      </c>
      <c r="N1430" s="121">
        <v>20.5</v>
      </c>
      <c r="O1430" s="363">
        <v>4690</v>
      </c>
      <c r="P1430" s="363">
        <v>3728.5</v>
      </c>
      <c r="Q1430" s="121">
        <v>2026</v>
      </c>
      <c r="R1430" s="121">
        <v>40</v>
      </c>
      <c r="S1430" s="148">
        <v>46179</v>
      </c>
      <c r="T1430" s="363">
        <f>Таблица18[[#This Row],[Вес нетто]]-Таблица18[[#This Row],[Зачетный вес]]</f>
        <v>961.5</v>
      </c>
      <c r="U1430" s="392">
        <f>Таблица18[[#This Row],[Отход]]/Таблица18[[#This Row],[Вес нетто]]</f>
        <v>0.20501066098081022</v>
      </c>
      <c r="V1430" s="121">
        <f>MONTH(Таблица18[[#This Row],[Дата акта]])</f>
        <v>6</v>
      </c>
      <c r="W1430" s="121">
        <f>DAY(Таблица18[[#This Row],[Дата акта]])</f>
        <v>6</v>
      </c>
      <c r="X1430" s="148">
        <f>DATE(1900,Таблица18[[#This Row],[Месяц]],Таблица18[[#This Row],[Число]])</f>
        <v>158</v>
      </c>
      <c r="Y1430" s="121"/>
      <c r="Z1430" s="121" t="str">
        <f>Таблица18[[#This Row],[Хар-ка]]</f>
        <v>Высший</v>
      </c>
      <c r="AA1430"/>
      <c r="AB1430">
        <v>40</v>
      </c>
      <c r="AC1430"/>
      <c r="AD1430" s="460" t="s">
        <v>2935</v>
      </c>
      <c r="AE1430" s="463" t="s">
        <v>782</v>
      </c>
      <c r="AF1430" t="s">
        <v>46</v>
      </c>
    </row>
    <row r="1431" spans="1:32" s="465" customFormat="1" ht="22.5" x14ac:dyDescent="0.25">
      <c r="A1431" s="40" t="s">
        <v>2969</v>
      </c>
      <c r="B1431" s="360" t="s">
        <v>2940</v>
      </c>
      <c r="C1431" s="40">
        <v>95</v>
      </c>
      <c r="D1431" s="40">
        <v>37</v>
      </c>
      <c r="E1431" s="40" t="s">
        <v>2964</v>
      </c>
      <c r="F1431" s="40" t="s">
        <v>347</v>
      </c>
      <c r="G1431" s="40" t="s">
        <v>351</v>
      </c>
      <c r="H1431" s="40" t="s">
        <v>2966</v>
      </c>
      <c r="I1431" s="40" t="str">
        <f>VLOOKUP(Таблица18[[#This Row],[Номер акта]],$AB$1:$AF$2504,3,FALSE)</f>
        <v>А-4/1</v>
      </c>
      <c r="J1431" s="40" t="s">
        <v>782</v>
      </c>
      <c r="K1431" s="40" t="s">
        <v>2939</v>
      </c>
      <c r="L1431" s="121">
        <v>31220</v>
      </c>
      <c r="M1431" s="121">
        <v>15720</v>
      </c>
      <c r="N1431" s="121">
        <v>20.5</v>
      </c>
      <c r="O1431" s="363">
        <v>15500</v>
      </c>
      <c r="P1431" s="363">
        <v>12322.5</v>
      </c>
      <c r="Q1431" s="121">
        <v>2026</v>
      </c>
      <c r="R1431" s="121">
        <v>51</v>
      </c>
      <c r="S1431" s="148">
        <v>46179</v>
      </c>
      <c r="T1431" s="363">
        <f>Таблица18[[#This Row],[Вес нетто]]-Таблица18[[#This Row],[Зачетный вес]]</f>
        <v>3177.5</v>
      </c>
      <c r="U1431" s="392">
        <f>Таблица18[[#This Row],[Отход]]/Таблица18[[#This Row],[Вес нетто]]</f>
        <v>0.20499999999999999</v>
      </c>
      <c r="V1431" s="121">
        <f>MONTH(Таблица18[[#This Row],[Дата акта]])</f>
        <v>6</v>
      </c>
      <c r="W1431" s="121">
        <f>DAY(Таблица18[[#This Row],[Дата акта]])</f>
        <v>6</v>
      </c>
      <c r="X1431" s="148">
        <f>DATE(1900,Таблица18[[#This Row],[Месяц]],Таблица18[[#This Row],[Число]])</f>
        <v>158</v>
      </c>
      <c r="Y1431" s="121"/>
      <c r="Z1431" s="121" t="str">
        <f>Таблица18[[#This Row],[Хар-ка]]</f>
        <v>Высший</v>
      </c>
      <c r="AA1431"/>
      <c r="AB1431">
        <v>51</v>
      </c>
      <c r="AC1431"/>
      <c r="AD1431" s="460" t="s">
        <v>2935</v>
      </c>
      <c r="AE1431" s="463" t="s">
        <v>782</v>
      </c>
      <c r="AF1431" t="s">
        <v>46</v>
      </c>
    </row>
    <row r="1432" spans="1:32" s="465" customFormat="1" ht="22.5" x14ac:dyDescent="0.25">
      <c r="A1432" s="40" t="s">
        <v>2970</v>
      </c>
      <c r="B1432" s="360" t="s">
        <v>2940</v>
      </c>
      <c r="C1432" s="40">
        <v>96</v>
      </c>
      <c r="D1432" s="40">
        <v>38</v>
      </c>
      <c r="E1432" s="40" t="s">
        <v>2964</v>
      </c>
      <c r="F1432" s="40" t="s">
        <v>1806</v>
      </c>
      <c r="G1432" s="40" t="s">
        <v>1807</v>
      </c>
      <c r="H1432" s="40" t="s">
        <v>2966</v>
      </c>
      <c r="I1432" s="40" t="str">
        <f>VLOOKUP(Таблица18[[#This Row],[Номер акта]],$AB$1:$AF$2504,3,FALSE)</f>
        <v>А-4/1</v>
      </c>
      <c r="J1432" s="40" t="s">
        <v>782</v>
      </c>
      <c r="K1432" s="40" t="s">
        <v>2939</v>
      </c>
      <c r="L1432" s="121">
        <v>28140</v>
      </c>
      <c r="M1432" s="121">
        <v>14620</v>
      </c>
      <c r="N1432" s="121">
        <v>23.5</v>
      </c>
      <c r="O1432" s="363">
        <v>13520</v>
      </c>
      <c r="P1432" s="363">
        <v>10342.799999999999</v>
      </c>
      <c r="Q1432" s="121">
        <v>2026</v>
      </c>
      <c r="R1432" s="121">
        <v>52</v>
      </c>
      <c r="S1432" s="148">
        <v>46179</v>
      </c>
      <c r="T1432" s="363">
        <f>Таблица18[[#This Row],[Вес нетто]]-Таблица18[[#This Row],[Зачетный вес]]</f>
        <v>3177.2000000000007</v>
      </c>
      <c r="U1432" s="392">
        <f>Таблица18[[#This Row],[Отход]]/Таблица18[[#This Row],[Вес нетто]]</f>
        <v>0.23500000000000004</v>
      </c>
      <c r="V1432" s="121">
        <f>MONTH(Таблица18[[#This Row],[Дата акта]])</f>
        <v>6</v>
      </c>
      <c r="W1432" s="121">
        <f>DAY(Таблица18[[#This Row],[Дата акта]])</f>
        <v>6</v>
      </c>
      <c r="X1432" s="148">
        <f>DATE(1900,Таблица18[[#This Row],[Месяц]],Таблица18[[#This Row],[Число]])</f>
        <v>158</v>
      </c>
      <c r="Y1432" s="121"/>
      <c r="Z1432" s="121" t="str">
        <f>Таблица18[[#This Row],[Хар-ка]]</f>
        <v>Высший</v>
      </c>
      <c r="AA1432"/>
      <c r="AB1432">
        <v>52</v>
      </c>
      <c r="AC1432"/>
      <c r="AD1432" s="460" t="s">
        <v>2935</v>
      </c>
      <c r="AE1432" s="463" t="s">
        <v>782</v>
      </c>
      <c r="AF1432" t="s">
        <v>46</v>
      </c>
    </row>
    <row r="1433" spans="1:32" s="465" customFormat="1" ht="33.75" x14ac:dyDescent="0.25">
      <c r="A1433" s="40" t="s">
        <v>2971</v>
      </c>
      <c r="B1433" s="360" t="s">
        <v>2940</v>
      </c>
      <c r="C1433" s="40">
        <v>97</v>
      </c>
      <c r="D1433" s="40">
        <v>39</v>
      </c>
      <c r="E1433" s="40" t="s">
        <v>2964</v>
      </c>
      <c r="F1433" s="40" t="s">
        <v>311</v>
      </c>
      <c r="G1433" s="40" t="s">
        <v>315</v>
      </c>
      <c r="H1433" s="40" t="s">
        <v>2935</v>
      </c>
      <c r="I1433" s="40" t="str">
        <f>VLOOKUP(Таблица18[[#This Row],[Номер акта]],$AB$1:$AF$2504,3,FALSE)</f>
        <v>А-4/1</v>
      </c>
      <c r="J1433" s="40" t="s">
        <v>782</v>
      </c>
      <c r="K1433" s="40" t="s">
        <v>2939</v>
      </c>
      <c r="L1433" s="121">
        <v>28490</v>
      </c>
      <c r="M1433" s="121">
        <v>14940</v>
      </c>
      <c r="N1433" s="121">
        <v>20.5</v>
      </c>
      <c r="O1433" s="363">
        <v>13550</v>
      </c>
      <c r="P1433" s="363">
        <v>10772.3</v>
      </c>
      <c r="Q1433" s="121">
        <v>2026</v>
      </c>
      <c r="R1433" s="121">
        <v>53</v>
      </c>
      <c r="S1433" s="148">
        <v>46179</v>
      </c>
      <c r="T1433" s="363">
        <f>Таблица18[[#This Row],[Вес нетто]]-Таблица18[[#This Row],[Зачетный вес]]</f>
        <v>2777.7000000000007</v>
      </c>
      <c r="U1433" s="392">
        <f>Таблица18[[#This Row],[Отход]]/Таблица18[[#This Row],[Вес нетто]]</f>
        <v>0.20499630996309967</v>
      </c>
      <c r="V1433" s="121">
        <f>MONTH(Таблица18[[#This Row],[Дата акта]])</f>
        <v>6</v>
      </c>
      <c r="W1433" s="121">
        <f>DAY(Таблица18[[#This Row],[Дата акта]])</f>
        <v>6</v>
      </c>
      <c r="X1433" s="148">
        <f>DATE(1900,Таблица18[[#This Row],[Месяц]],Таблица18[[#This Row],[Число]])</f>
        <v>158</v>
      </c>
      <c r="Y1433" s="121"/>
      <c r="Z1433" s="121" t="str">
        <f>Таблица18[[#This Row],[Хар-ка]]</f>
        <v>Высший</v>
      </c>
      <c r="AA1433"/>
      <c r="AB1433">
        <v>53</v>
      </c>
      <c r="AC1433"/>
      <c r="AD1433" s="460" t="s">
        <v>2935</v>
      </c>
      <c r="AE1433" s="463" t="s">
        <v>782</v>
      </c>
      <c r="AF1433" t="s">
        <v>46</v>
      </c>
    </row>
    <row r="1434" spans="1:32" s="465" customFormat="1" ht="33.75" x14ac:dyDescent="0.25">
      <c r="A1434" s="40" t="s">
        <v>2972</v>
      </c>
      <c r="B1434" s="360" t="s">
        <v>2940</v>
      </c>
      <c r="C1434" s="40">
        <v>98</v>
      </c>
      <c r="D1434" s="40">
        <v>40</v>
      </c>
      <c r="E1434" s="40" t="s">
        <v>2964</v>
      </c>
      <c r="F1434" s="40" t="s">
        <v>737</v>
      </c>
      <c r="G1434" s="40" t="s">
        <v>738</v>
      </c>
      <c r="H1434" s="40" t="s">
        <v>2966</v>
      </c>
      <c r="I1434" s="40" t="str">
        <f>VLOOKUP(Таблица18[[#This Row],[Номер акта]],$AB$1:$AF$2504,3,FALSE)</f>
        <v>А-4/1</v>
      </c>
      <c r="J1434" s="40" t="s">
        <v>782</v>
      </c>
      <c r="K1434" s="40" t="s">
        <v>2939</v>
      </c>
      <c r="L1434" s="121">
        <v>9100</v>
      </c>
      <c r="M1434" s="121">
        <v>4630</v>
      </c>
      <c r="N1434" s="121">
        <v>17.5</v>
      </c>
      <c r="O1434" s="363">
        <v>4470</v>
      </c>
      <c r="P1434" s="363">
        <v>3687.7</v>
      </c>
      <c r="Q1434" s="121">
        <v>2026</v>
      </c>
      <c r="R1434" s="121">
        <v>54</v>
      </c>
      <c r="S1434" s="148">
        <v>46179</v>
      </c>
      <c r="T1434" s="363">
        <f>Таблица18[[#This Row],[Вес нетто]]-Таблица18[[#This Row],[Зачетный вес]]</f>
        <v>782.30000000000018</v>
      </c>
      <c r="U1434" s="392">
        <f>Таблица18[[#This Row],[Отход]]/Таблица18[[#This Row],[Вес нетто]]</f>
        <v>0.17501118568232665</v>
      </c>
      <c r="V1434" s="121">
        <f>MONTH(Таблица18[[#This Row],[Дата акта]])</f>
        <v>6</v>
      </c>
      <c r="W1434" s="121">
        <f>DAY(Таблица18[[#This Row],[Дата акта]])</f>
        <v>6</v>
      </c>
      <c r="X1434" s="148">
        <f>DATE(1900,Таблица18[[#This Row],[Месяц]],Таблица18[[#This Row],[Число]])</f>
        <v>158</v>
      </c>
      <c r="Y1434" s="121"/>
      <c r="Z1434" s="121" t="str">
        <f>Таблица18[[#This Row],[Хар-ка]]</f>
        <v>Высший</v>
      </c>
      <c r="AA1434"/>
      <c r="AB1434">
        <v>54</v>
      </c>
      <c r="AC1434"/>
      <c r="AD1434" s="460" t="s">
        <v>2935</v>
      </c>
      <c r="AE1434" s="463" t="s">
        <v>782</v>
      </c>
      <c r="AF1434" t="s">
        <v>46</v>
      </c>
    </row>
    <row r="1435" spans="1:32" s="465" customFormat="1" ht="22.5" x14ac:dyDescent="0.25">
      <c r="A1435" s="40" t="s">
        <v>2987</v>
      </c>
      <c r="B1435" s="360" t="s">
        <v>2940</v>
      </c>
      <c r="C1435" s="40">
        <v>99</v>
      </c>
      <c r="D1435" s="40">
        <v>41</v>
      </c>
      <c r="E1435" s="40" t="s">
        <v>2964</v>
      </c>
      <c r="F1435" s="40" t="s">
        <v>127</v>
      </c>
      <c r="G1435" s="40" t="s">
        <v>131</v>
      </c>
      <c r="H1435" s="40" t="s">
        <v>2966</v>
      </c>
      <c r="I1435" s="40" t="str">
        <f>VLOOKUP(Таблица18[[#This Row],[Номер акта]],$AB$1:$AF$2504,3,FALSE)</f>
        <v>А-4/1</v>
      </c>
      <c r="J1435" s="40" t="s">
        <v>782</v>
      </c>
      <c r="K1435" s="40" t="s">
        <v>2939</v>
      </c>
      <c r="L1435" s="121">
        <v>28940</v>
      </c>
      <c r="M1435" s="121">
        <v>14380</v>
      </c>
      <c r="N1435" s="121">
        <v>15.5</v>
      </c>
      <c r="O1435" s="363">
        <v>14560</v>
      </c>
      <c r="P1435" s="363">
        <v>12303.2</v>
      </c>
      <c r="Q1435" s="121">
        <v>2026</v>
      </c>
      <c r="R1435" s="121">
        <v>55</v>
      </c>
      <c r="S1435" s="148">
        <v>46179</v>
      </c>
      <c r="T1435" s="363">
        <f>Таблица18[[#This Row],[Вес нетто]]-Таблица18[[#This Row],[Зачетный вес]]</f>
        <v>2256.7999999999993</v>
      </c>
      <c r="U1435" s="392">
        <f>Таблица18[[#This Row],[Отход]]/Таблица18[[#This Row],[Вес нетто]]</f>
        <v>0.15499999999999994</v>
      </c>
      <c r="V1435" s="121">
        <f>MONTH(Таблица18[[#This Row],[Дата акта]])</f>
        <v>6</v>
      </c>
      <c r="W1435" s="121">
        <f>DAY(Таблица18[[#This Row],[Дата акта]])</f>
        <v>6</v>
      </c>
      <c r="X1435" s="148">
        <f>DATE(1900,Таблица18[[#This Row],[Месяц]],Таблица18[[#This Row],[Число]])</f>
        <v>158</v>
      </c>
      <c r="Y1435" s="121"/>
      <c r="Z1435" s="121" t="str">
        <f>Таблица18[[#This Row],[Хар-ка]]</f>
        <v>Высший</v>
      </c>
      <c r="AA1435"/>
      <c r="AB1435">
        <v>55</v>
      </c>
      <c r="AC1435"/>
      <c r="AD1435" s="460" t="s">
        <v>2935</v>
      </c>
      <c r="AE1435" s="463" t="s">
        <v>782</v>
      </c>
      <c r="AF1435" t="s">
        <v>46</v>
      </c>
    </row>
    <row r="1436" spans="1:32" s="465" customFormat="1" ht="22.5" x14ac:dyDescent="0.25">
      <c r="A1436" s="40" t="s">
        <v>2989</v>
      </c>
      <c r="B1436" s="360" t="s">
        <v>2940</v>
      </c>
      <c r="C1436" s="40">
        <v>100</v>
      </c>
      <c r="D1436" s="40">
        <v>42</v>
      </c>
      <c r="E1436" s="40" t="s">
        <v>2964</v>
      </c>
      <c r="F1436" s="40" t="s">
        <v>347</v>
      </c>
      <c r="G1436" s="40" t="s">
        <v>351</v>
      </c>
      <c r="H1436" s="40" t="s">
        <v>2966</v>
      </c>
      <c r="I1436" s="40" t="str">
        <f>VLOOKUP(Таблица18[[#This Row],[Номер акта]],$AB$1:$AF$2504,3,FALSE)</f>
        <v>А-4/1</v>
      </c>
      <c r="J1436" s="40" t="s">
        <v>782</v>
      </c>
      <c r="K1436" s="40" t="s">
        <v>2939</v>
      </c>
      <c r="L1436" s="121">
        <v>29140</v>
      </c>
      <c r="M1436" s="121">
        <v>15740</v>
      </c>
      <c r="N1436" s="121">
        <v>14.5</v>
      </c>
      <c r="O1436" s="363">
        <v>13400</v>
      </c>
      <c r="P1436" s="363">
        <v>11457</v>
      </c>
      <c r="Q1436" s="121">
        <v>2026</v>
      </c>
      <c r="R1436" s="121">
        <v>56</v>
      </c>
      <c r="S1436" s="148">
        <v>46180</v>
      </c>
      <c r="T1436" s="363">
        <f>Таблица18[[#This Row],[Вес нетто]]-Таблица18[[#This Row],[Зачетный вес]]</f>
        <v>1943</v>
      </c>
      <c r="U1436" s="392">
        <f>Таблица18[[#This Row],[Отход]]/Таблица18[[#This Row],[Вес нетто]]</f>
        <v>0.14499999999999999</v>
      </c>
      <c r="V1436" s="121">
        <f>MONTH(Таблица18[[#This Row],[Дата акта]])</f>
        <v>6</v>
      </c>
      <c r="W1436" s="121">
        <f>DAY(Таблица18[[#This Row],[Дата акта]])</f>
        <v>7</v>
      </c>
      <c r="X1436" s="148">
        <f>DATE(1900,Таблица18[[#This Row],[Месяц]],Таблица18[[#This Row],[Число]])</f>
        <v>159</v>
      </c>
      <c r="Y1436" s="121"/>
      <c r="Z1436" s="121" t="str">
        <f>Таблица18[[#This Row],[Хар-ка]]</f>
        <v>Высший</v>
      </c>
      <c r="AA1436"/>
      <c r="AB1436">
        <v>56</v>
      </c>
      <c r="AC1436"/>
      <c r="AD1436" s="460" t="s">
        <v>2935</v>
      </c>
      <c r="AE1436" s="463" t="s">
        <v>782</v>
      </c>
      <c r="AF1436" t="s">
        <v>46</v>
      </c>
    </row>
    <row r="1437" spans="1:32" s="465" customFormat="1" ht="22.5" x14ac:dyDescent="0.25">
      <c r="A1437" s="40" t="s">
        <v>2990</v>
      </c>
      <c r="B1437" s="360" t="s">
        <v>2940</v>
      </c>
      <c r="C1437" s="40">
        <v>101</v>
      </c>
      <c r="D1437" s="40">
        <v>43</v>
      </c>
      <c r="E1437" s="40" t="s">
        <v>2964</v>
      </c>
      <c r="F1437" s="40" t="s">
        <v>1806</v>
      </c>
      <c r="G1437" s="40" t="s">
        <v>1807</v>
      </c>
      <c r="H1437" s="40" t="s">
        <v>2935</v>
      </c>
      <c r="I1437" s="40" t="str">
        <f>VLOOKUP(Таблица18[[#This Row],[Номер акта]],$AB$1:$AF$2504,3,FALSE)</f>
        <v>А-4/1</v>
      </c>
      <c r="J1437" s="40" t="s">
        <v>782</v>
      </c>
      <c r="K1437" s="40" t="s">
        <v>2939</v>
      </c>
      <c r="L1437" s="121">
        <v>28120</v>
      </c>
      <c r="M1437" s="121">
        <v>14650</v>
      </c>
      <c r="N1437" s="121">
        <v>17.5</v>
      </c>
      <c r="O1437" s="363">
        <v>13470</v>
      </c>
      <c r="P1437" s="363">
        <v>11112.8</v>
      </c>
      <c r="Q1437" s="121">
        <v>2026</v>
      </c>
      <c r="R1437" s="121">
        <v>57</v>
      </c>
      <c r="S1437" s="148">
        <v>46180</v>
      </c>
      <c r="T1437" s="363">
        <f>Таблица18[[#This Row],[Вес нетто]]-Таблица18[[#This Row],[Зачетный вес]]</f>
        <v>2357.2000000000007</v>
      </c>
      <c r="U1437" s="392">
        <f>Таблица18[[#This Row],[Отход]]/Таблица18[[#This Row],[Вес нетто]]</f>
        <v>0.17499628804751305</v>
      </c>
      <c r="V1437" s="121">
        <f>MONTH(Таблица18[[#This Row],[Дата акта]])</f>
        <v>6</v>
      </c>
      <c r="W1437" s="121">
        <f>DAY(Таблица18[[#This Row],[Дата акта]])</f>
        <v>7</v>
      </c>
      <c r="X1437" s="148">
        <f>DATE(1900,Таблица18[[#This Row],[Месяц]],Таблица18[[#This Row],[Число]])</f>
        <v>159</v>
      </c>
      <c r="Y1437" s="121"/>
      <c r="Z1437" s="121" t="str">
        <f>Таблица18[[#This Row],[Хар-ка]]</f>
        <v>Высший</v>
      </c>
      <c r="AA1437"/>
      <c r="AB1437">
        <v>57</v>
      </c>
      <c r="AC1437"/>
      <c r="AD1437" s="460" t="s">
        <v>2935</v>
      </c>
      <c r="AE1437" s="463" t="s">
        <v>782</v>
      </c>
      <c r="AF1437" t="s">
        <v>46</v>
      </c>
    </row>
    <row r="1438" spans="1:32" s="465" customFormat="1" ht="33.75" x14ac:dyDescent="0.25">
      <c r="A1438" s="40" t="s">
        <v>2988</v>
      </c>
      <c r="B1438" s="360" t="s">
        <v>2940</v>
      </c>
      <c r="C1438" s="40">
        <v>102</v>
      </c>
      <c r="D1438" s="40">
        <v>44</v>
      </c>
      <c r="E1438" s="40" t="s">
        <v>2964</v>
      </c>
      <c r="F1438" s="40" t="s">
        <v>737</v>
      </c>
      <c r="G1438" s="40" t="s">
        <v>738</v>
      </c>
      <c r="H1438" s="40" t="s">
        <v>2966</v>
      </c>
      <c r="I1438" s="40" t="str">
        <f>VLOOKUP(Таблица18[[#This Row],[Номер акта]],$AB$1:$AF$2504,3,FALSE)</f>
        <v>А-4/1</v>
      </c>
      <c r="J1438" s="40" t="s">
        <v>782</v>
      </c>
      <c r="K1438" s="40" t="s">
        <v>2939</v>
      </c>
      <c r="L1438" s="121">
        <v>9100</v>
      </c>
      <c r="M1438" s="121">
        <v>4610</v>
      </c>
      <c r="N1438" s="121">
        <v>13.5</v>
      </c>
      <c r="O1438" s="363">
        <v>4490</v>
      </c>
      <c r="P1438" s="363">
        <v>3883.8</v>
      </c>
      <c r="Q1438" s="121">
        <v>2026</v>
      </c>
      <c r="R1438" s="121">
        <v>58</v>
      </c>
      <c r="S1438" s="148">
        <v>46180</v>
      </c>
      <c r="T1438" s="363">
        <f>Таблица18[[#This Row],[Вес нетто]]-Таблица18[[#This Row],[Зачетный вес]]</f>
        <v>606.19999999999982</v>
      </c>
      <c r="U1438" s="392">
        <f>Таблица18[[#This Row],[Отход]]/Таблица18[[#This Row],[Вес нетто]]</f>
        <v>0.135011135857461</v>
      </c>
      <c r="V1438" s="121">
        <f>MONTH(Таблица18[[#This Row],[Дата акта]])</f>
        <v>6</v>
      </c>
      <c r="W1438" s="121">
        <f>DAY(Таблица18[[#This Row],[Дата акта]])</f>
        <v>7</v>
      </c>
      <c r="X1438" s="148">
        <f>DATE(1900,Таблица18[[#This Row],[Месяц]],Таблица18[[#This Row],[Число]])</f>
        <v>159</v>
      </c>
      <c r="Y1438" s="121"/>
      <c r="Z1438" s="121" t="str">
        <f>Таблица18[[#This Row],[Хар-ка]]</f>
        <v>Высший</v>
      </c>
      <c r="AA1438"/>
      <c r="AB1438">
        <v>58</v>
      </c>
      <c r="AC1438"/>
      <c r="AD1438" s="460" t="s">
        <v>2935</v>
      </c>
      <c r="AE1438" s="463" t="s">
        <v>782</v>
      </c>
      <c r="AF1438" t="s">
        <v>46</v>
      </c>
    </row>
    <row r="1439" spans="1:32" s="465" customFormat="1" ht="33.75" x14ac:dyDescent="0.25">
      <c r="A1439" s="40" t="s">
        <v>2991</v>
      </c>
      <c r="B1439" s="360" t="s">
        <v>2940</v>
      </c>
      <c r="C1439" s="40">
        <v>103</v>
      </c>
      <c r="D1439" s="40">
        <v>45</v>
      </c>
      <c r="E1439" s="40" t="s">
        <v>2964</v>
      </c>
      <c r="F1439" s="40" t="s">
        <v>311</v>
      </c>
      <c r="G1439" s="40" t="s">
        <v>315</v>
      </c>
      <c r="H1439" s="40" t="s">
        <v>2935</v>
      </c>
      <c r="I1439" s="40" t="str">
        <f>VLOOKUP(Таблица18[[#This Row],[Номер акта]],$AB$1:$AF$2504,3,FALSE)</f>
        <v>А-4/1</v>
      </c>
      <c r="J1439" s="40" t="s">
        <v>782</v>
      </c>
      <c r="K1439" s="40" t="s">
        <v>2939</v>
      </c>
      <c r="L1439" s="121">
        <v>28510</v>
      </c>
      <c r="M1439" s="121">
        <v>14930</v>
      </c>
      <c r="N1439" s="121">
        <v>18.5</v>
      </c>
      <c r="O1439" s="363">
        <v>13580</v>
      </c>
      <c r="P1439" s="363">
        <v>11067.7</v>
      </c>
      <c r="Q1439" s="121">
        <v>2026</v>
      </c>
      <c r="R1439" s="121">
        <v>59</v>
      </c>
      <c r="S1439" s="148">
        <v>46180</v>
      </c>
      <c r="T1439" s="363">
        <f>Таблица18[[#This Row],[Вес нетто]]-Таблица18[[#This Row],[Зачетный вес]]</f>
        <v>2512.2999999999993</v>
      </c>
      <c r="U1439" s="392">
        <f>Таблица18[[#This Row],[Отход]]/Таблица18[[#This Row],[Вес нетто]]</f>
        <v>0.18499999999999994</v>
      </c>
      <c r="V1439" s="121">
        <f>MONTH(Таблица18[[#This Row],[Дата акта]])</f>
        <v>6</v>
      </c>
      <c r="W1439" s="121">
        <f>DAY(Таблица18[[#This Row],[Дата акта]])</f>
        <v>7</v>
      </c>
      <c r="X1439" s="148">
        <f>DATE(1900,Таблица18[[#This Row],[Месяц]],Таблица18[[#This Row],[Число]])</f>
        <v>159</v>
      </c>
      <c r="Y1439" s="121"/>
      <c r="Z1439" s="121" t="str">
        <f>Таблица18[[#This Row],[Хар-ка]]</f>
        <v>Высший</v>
      </c>
      <c r="AA1439"/>
      <c r="AB1439">
        <v>59</v>
      </c>
      <c r="AC1439"/>
      <c r="AD1439" s="460" t="s">
        <v>2935</v>
      </c>
      <c r="AE1439" s="463" t="s">
        <v>782</v>
      </c>
      <c r="AF1439" t="s">
        <v>46</v>
      </c>
    </row>
    <row r="1440" spans="1:32" s="465" customFormat="1" ht="22.5" x14ac:dyDescent="0.25">
      <c r="A1440" s="40" t="s">
        <v>2992</v>
      </c>
      <c r="B1440" s="360" t="s">
        <v>2940</v>
      </c>
      <c r="C1440" s="40">
        <v>104</v>
      </c>
      <c r="D1440" s="40">
        <v>46</v>
      </c>
      <c r="E1440" s="40" t="s">
        <v>2964</v>
      </c>
      <c r="F1440" s="40" t="s">
        <v>127</v>
      </c>
      <c r="G1440" s="40" t="s">
        <v>131</v>
      </c>
      <c r="H1440" s="40" t="s">
        <v>2935</v>
      </c>
      <c r="I1440" s="40" t="str">
        <f>VLOOKUP(Таблица18[[#This Row],[Номер акта]],$AB$1:$AF$2504,3,FALSE)</f>
        <v>А-4/1</v>
      </c>
      <c r="J1440" s="40" t="s">
        <v>782</v>
      </c>
      <c r="K1440" s="40" t="s">
        <v>2939</v>
      </c>
      <c r="L1440" s="121">
        <v>27890</v>
      </c>
      <c r="M1440" s="121">
        <v>14350</v>
      </c>
      <c r="N1440" s="121">
        <v>18.5</v>
      </c>
      <c r="O1440" s="363">
        <v>13540</v>
      </c>
      <c r="P1440" s="363">
        <v>11035.1</v>
      </c>
      <c r="Q1440" s="121">
        <v>2026</v>
      </c>
      <c r="R1440" s="121">
        <v>60</v>
      </c>
      <c r="S1440" s="148">
        <v>46180</v>
      </c>
      <c r="T1440" s="363">
        <f>Таблица18[[#This Row],[Вес нетто]]-Таблица18[[#This Row],[Зачетный вес]]</f>
        <v>2504.8999999999996</v>
      </c>
      <c r="U1440" s="392">
        <f>Таблица18[[#This Row],[Отход]]/Таблица18[[#This Row],[Вес нетто]]</f>
        <v>0.18499999999999997</v>
      </c>
      <c r="V1440" s="121">
        <f>MONTH(Таблица18[[#This Row],[Дата акта]])</f>
        <v>6</v>
      </c>
      <c r="W1440" s="121">
        <f>DAY(Таблица18[[#This Row],[Дата акта]])</f>
        <v>7</v>
      </c>
      <c r="X1440" s="148">
        <f>DATE(1900,Таблица18[[#This Row],[Месяц]],Таблица18[[#This Row],[Число]])</f>
        <v>159</v>
      </c>
      <c r="Y1440" s="121"/>
      <c r="Z1440" s="121" t="str">
        <f>Таблица18[[#This Row],[Хар-ка]]</f>
        <v>Высший</v>
      </c>
      <c r="AA1440"/>
      <c r="AB1440">
        <v>60</v>
      </c>
      <c r="AC1440"/>
      <c r="AD1440" s="460" t="s">
        <v>2935</v>
      </c>
      <c r="AE1440" s="463" t="s">
        <v>782</v>
      </c>
      <c r="AF1440" t="s">
        <v>46</v>
      </c>
    </row>
    <row r="1441" spans="1:32" s="465" customFormat="1" ht="33.75" x14ac:dyDescent="0.25">
      <c r="A1441" s="40" t="s">
        <v>2993</v>
      </c>
      <c r="B1441" s="360" t="s">
        <v>2940</v>
      </c>
      <c r="C1441" s="40">
        <v>107</v>
      </c>
      <c r="D1441" s="40">
        <v>47</v>
      </c>
      <c r="E1441" s="40" t="s">
        <v>2964</v>
      </c>
      <c r="F1441" s="40" t="s">
        <v>121</v>
      </c>
      <c r="G1441" s="40" t="s">
        <v>125</v>
      </c>
      <c r="H1441" s="40" t="s">
        <v>2935</v>
      </c>
      <c r="I1441" s="40" t="str">
        <f>VLOOKUP(Таблица18[[#This Row],[Номер акта]],$AB$1:$AF$2504,3,FALSE)</f>
        <v>А-4/1</v>
      </c>
      <c r="J1441" s="40" t="s">
        <v>782</v>
      </c>
      <c r="K1441" s="40" t="s">
        <v>2939</v>
      </c>
      <c r="L1441" s="121">
        <v>28700</v>
      </c>
      <c r="M1441" s="121">
        <v>14820</v>
      </c>
      <c r="N1441" s="121">
        <v>20.5</v>
      </c>
      <c r="O1441" s="363">
        <v>13880</v>
      </c>
      <c r="P1441" s="363">
        <v>11034.6</v>
      </c>
      <c r="Q1441" s="121">
        <v>2026</v>
      </c>
      <c r="R1441" s="121">
        <v>61</v>
      </c>
      <c r="S1441" s="148">
        <v>46180</v>
      </c>
      <c r="T1441" s="363">
        <f>Таблица18[[#This Row],[Вес нетто]]-Таблица18[[#This Row],[Зачетный вес]]</f>
        <v>2845.3999999999996</v>
      </c>
      <c r="U1441" s="392">
        <f>Таблица18[[#This Row],[Отход]]/Таблица18[[#This Row],[Вес нетто]]</f>
        <v>0.20499999999999996</v>
      </c>
      <c r="V1441" s="121">
        <f>MONTH(Таблица18[[#This Row],[Дата акта]])</f>
        <v>6</v>
      </c>
      <c r="W1441" s="121">
        <f>DAY(Таблица18[[#This Row],[Дата акта]])</f>
        <v>7</v>
      </c>
      <c r="X1441" s="148">
        <f>DATE(1900,Таблица18[[#This Row],[Месяц]],Таблица18[[#This Row],[Число]])</f>
        <v>159</v>
      </c>
      <c r="Y1441" s="121"/>
      <c r="Z1441" s="121" t="str">
        <f>Таблица18[[#This Row],[Хар-ка]]</f>
        <v>Высший</v>
      </c>
      <c r="AA1441"/>
      <c r="AB1441">
        <v>61</v>
      </c>
      <c r="AC1441"/>
      <c r="AD1441" s="460" t="s">
        <v>2935</v>
      </c>
      <c r="AE1441" s="463" t="s">
        <v>782</v>
      </c>
      <c r="AF1441" t="s">
        <v>46</v>
      </c>
    </row>
    <row r="1442" spans="1:32" s="465" customFormat="1" ht="33.75" x14ac:dyDescent="0.25">
      <c r="A1442" s="40" t="s">
        <v>2994</v>
      </c>
      <c r="B1442" s="360" t="s">
        <v>2940</v>
      </c>
      <c r="C1442" s="40">
        <v>109</v>
      </c>
      <c r="D1442" s="40">
        <v>48</v>
      </c>
      <c r="E1442" s="40" t="s">
        <v>2964</v>
      </c>
      <c r="F1442" s="40" t="s">
        <v>762</v>
      </c>
      <c r="G1442" s="40" t="s">
        <v>763</v>
      </c>
      <c r="H1442" s="40" t="s">
        <v>2966</v>
      </c>
      <c r="I1442" s="40" t="str">
        <f>VLOOKUP(Таблица18[[#This Row],[Номер акта]],$AB$1:$AF$2504,3,FALSE)</f>
        <v>А-4/1</v>
      </c>
      <c r="J1442" s="40" t="s">
        <v>782</v>
      </c>
      <c r="K1442" s="40" t="s">
        <v>2939</v>
      </c>
      <c r="L1442" s="121">
        <v>9160</v>
      </c>
      <c r="M1442" s="121">
        <v>4690</v>
      </c>
      <c r="N1442" s="121">
        <v>13.5</v>
      </c>
      <c r="O1442" s="363">
        <v>4470</v>
      </c>
      <c r="P1442" s="363">
        <v>3866.5</v>
      </c>
      <c r="Q1442" s="121">
        <v>2026</v>
      </c>
      <c r="R1442" s="121">
        <v>62</v>
      </c>
      <c r="S1442" s="148">
        <v>46180</v>
      </c>
      <c r="T1442" s="363">
        <f>Таблица18[[#This Row],[Вес нетто]]-Таблица18[[#This Row],[Зачетный вес]]</f>
        <v>603.5</v>
      </c>
      <c r="U1442" s="392">
        <f>Таблица18[[#This Row],[Отход]]/Таблица18[[#This Row],[Вес нетто]]</f>
        <v>0.13501118568232662</v>
      </c>
      <c r="V1442" s="121">
        <f>MONTH(Таблица18[[#This Row],[Дата акта]])</f>
        <v>6</v>
      </c>
      <c r="W1442" s="121">
        <f>DAY(Таблица18[[#This Row],[Дата акта]])</f>
        <v>7</v>
      </c>
      <c r="X1442" s="148">
        <f>DATE(1900,Таблица18[[#This Row],[Месяц]],Таблица18[[#This Row],[Число]])</f>
        <v>159</v>
      </c>
      <c r="Y1442" s="121"/>
      <c r="Z1442" s="121" t="str">
        <f>Таблица18[[#This Row],[Хар-ка]]</f>
        <v>Высший</v>
      </c>
      <c r="AA1442"/>
      <c r="AB1442">
        <v>62</v>
      </c>
      <c r="AC1442"/>
      <c r="AD1442" s="460" t="s">
        <v>2935</v>
      </c>
      <c r="AE1442" s="463" t="s">
        <v>782</v>
      </c>
      <c r="AF1442" t="s">
        <v>46</v>
      </c>
    </row>
    <row r="1443" spans="1:32" s="465" customFormat="1" ht="22.5" x14ac:dyDescent="0.25">
      <c r="A1443" s="40" t="s">
        <v>2995</v>
      </c>
      <c r="B1443" s="360" t="s">
        <v>2940</v>
      </c>
      <c r="C1443" s="40">
        <v>111</v>
      </c>
      <c r="D1443" s="40">
        <v>49</v>
      </c>
      <c r="E1443" s="40" t="s">
        <v>2964</v>
      </c>
      <c r="F1443" s="40" t="s">
        <v>1792</v>
      </c>
      <c r="G1443" s="40" t="s">
        <v>80</v>
      </c>
      <c r="H1443" s="40" t="s">
        <v>2966</v>
      </c>
      <c r="I1443" s="40" t="str">
        <f>VLOOKUP(Таблица18[[#This Row],[Номер акта]],$AB$1:$AF$2504,3,FALSE)</f>
        <v>А-4/1</v>
      </c>
      <c r="J1443" s="40" t="s">
        <v>782</v>
      </c>
      <c r="K1443" s="40" t="s">
        <v>2939</v>
      </c>
      <c r="L1443" s="121">
        <v>28230</v>
      </c>
      <c r="M1443" s="121">
        <v>14350</v>
      </c>
      <c r="N1443" s="121">
        <v>16.5</v>
      </c>
      <c r="O1443" s="363">
        <v>13880</v>
      </c>
      <c r="P1443" s="363">
        <v>11589.8</v>
      </c>
      <c r="Q1443" s="121">
        <v>2026</v>
      </c>
      <c r="R1443" s="121">
        <v>63</v>
      </c>
      <c r="S1443" s="148">
        <v>46180</v>
      </c>
      <c r="T1443" s="363">
        <f>Таблица18[[#This Row],[Вес нетто]]-Таблица18[[#This Row],[Зачетный вес]]</f>
        <v>2290.2000000000007</v>
      </c>
      <c r="U1443" s="392">
        <f>Таблица18[[#This Row],[Отход]]/Таблица18[[#This Row],[Вес нетто]]</f>
        <v>0.16500000000000006</v>
      </c>
      <c r="V1443" s="121">
        <f>MONTH(Таблица18[[#This Row],[Дата акта]])</f>
        <v>6</v>
      </c>
      <c r="W1443" s="121">
        <f>DAY(Таблица18[[#This Row],[Дата акта]])</f>
        <v>7</v>
      </c>
      <c r="X1443" s="148">
        <f>DATE(1900,Таблица18[[#This Row],[Месяц]],Таблица18[[#This Row],[Число]])</f>
        <v>159</v>
      </c>
      <c r="Y1443" s="121"/>
      <c r="Z1443" s="121" t="str">
        <f>Таблица18[[#This Row],[Хар-ка]]</f>
        <v>Высший</v>
      </c>
      <c r="AA1443"/>
      <c r="AB1443">
        <v>63</v>
      </c>
      <c r="AC1443"/>
      <c r="AD1443" s="460" t="s">
        <v>2935</v>
      </c>
      <c r="AE1443" s="463" t="s">
        <v>782</v>
      </c>
      <c r="AF1443" t="s">
        <v>46</v>
      </c>
    </row>
    <row r="1444" spans="1:32" s="465" customFormat="1" ht="22.5" x14ac:dyDescent="0.25">
      <c r="A1444" s="40" t="s">
        <v>2996</v>
      </c>
      <c r="B1444" s="360" t="s">
        <v>2940</v>
      </c>
      <c r="C1444" s="40">
        <v>113</v>
      </c>
      <c r="D1444" s="40">
        <v>50</v>
      </c>
      <c r="E1444" s="40" t="s">
        <v>2964</v>
      </c>
      <c r="F1444" s="40" t="s">
        <v>894</v>
      </c>
      <c r="G1444" s="40" t="s">
        <v>895</v>
      </c>
      <c r="H1444" s="40" t="s">
        <v>2935</v>
      </c>
      <c r="I1444" s="40" t="str">
        <f>VLOOKUP(Таблица18[[#This Row],[Номер акта]],$AB$1:$AF$2504,3,FALSE)</f>
        <v>А-4/1</v>
      </c>
      <c r="J1444" s="40" t="s">
        <v>782</v>
      </c>
      <c r="K1444" s="40" t="s">
        <v>2939</v>
      </c>
      <c r="L1444" s="121">
        <v>26920</v>
      </c>
      <c r="M1444" s="121">
        <v>15000</v>
      </c>
      <c r="N1444" s="121">
        <v>29.5</v>
      </c>
      <c r="O1444" s="363">
        <v>11920</v>
      </c>
      <c r="P1444" s="363">
        <v>8403.6</v>
      </c>
      <c r="Q1444" s="121">
        <v>2026</v>
      </c>
      <c r="R1444" s="121">
        <v>64</v>
      </c>
      <c r="S1444" s="148">
        <v>46180</v>
      </c>
      <c r="T1444" s="363">
        <f>Таблица18[[#This Row],[Вес нетто]]-Таблица18[[#This Row],[Зачетный вес]]</f>
        <v>3516.3999999999996</v>
      </c>
      <c r="U1444" s="392">
        <f>Таблица18[[#This Row],[Отход]]/Таблица18[[#This Row],[Вес нетто]]</f>
        <v>0.29499999999999998</v>
      </c>
      <c r="V1444" s="121">
        <f>MONTH(Таблица18[[#This Row],[Дата акта]])</f>
        <v>6</v>
      </c>
      <c r="W1444" s="121">
        <f>DAY(Таблица18[[#This Row],[Дата акта]])</f>
        <v>7</v>
      </c>
      <c r="X1444" s="148">
        <f>DATE(1900,Таблица18[[#This Row],[Месяц]],Таблица18[[#This Row],[Число]])</f>
        <v>159</v>
      </c>
      <c r="Y1444" s="121"/>
      <c r="Z1444" s="121" t="str">
        <f>Таблица18[[#This Row],[Хар-ка]]</f>
        <v>Высший</v>
      </c>
      <c r="AA1444"/>
      <c r="AB1444">
        <v>64</v>
      </c>
      <c r="AC1444"/>
      <c r="AD1444" s="460" t="s">
        <v>2935</v>
      </c>
      <c r="AE1444" s="463" t="s">
        <v>782</v>
      </c>
      <c r="AF1444" t="s">
        <v>46</v>
      </c>
    </row>
    <row r="1445" spans="1:32" s="465" customFormat="1" ht="33.75" x14ac:dyDescent="0.25">
      <c r="A1445" s="40" t="s">
        <v>2997</v>
      </c>
      <c r="B1445" s="360" t="s">
        <v>2940</v>
      </c>
      <c r="C1445" s="40">
        <v>114</v>
      </c>
      <c r="D1445" s="40">
        <v>51</v>
      </c>
      <c r="E1445" s="40" t="s">
        <v>2964</v>
      </c>
      <c r="F1445" s="40" t="s">
        <v>762</v>
      </c>
      <c r="G1445" s="40" t="s">
        <v>763</v>
      </c>
      <c r="H1445" s="40" t="s">
        <v>2966</v>
      </c>
      <c r="I1445" s="40" t="str">
        <f>VLOOKUP(Таблица18[[#This Row],[Номер акта]],$AB$1:$AF$2504,3,FALSE)</f>
        <v>А-4/1</v>
      </c>
      <c r="J1445" s="40" t="s">
        <v>782</v>
      </c>
      <c r="K1445" s="40" t="s">
        <v>2939</v>
      </c>
      <c r="L1445" s="121">
        <v>6500</v>
      </c>
      <c r="M1445" s="121">
        <v>4670</v>
      </c>
      <c r="N1445" s="121">
        <v>14.5</v>
      </c>
      <c r="O1445" s="363">
        <v>1830</v>
      </c>
      <c r="P1445" s="363">
        <v>1564.6</v>
      </c>
      <c r="Q1445" s="121">
        <v>2026</v>
      </c>
      <c r="R1445" s="121">
        <v>65</v>
      </c>
      <c r="S1445" s="148">
        <v>46180</v>
      </c>
      <c r="T1445" s="363">
        <f>Таблица18[[#This Row],[Вес нетто]]-Таблица18[[#This Row],[Зачетный вес]]</f>
        <v>265.40000000000009</v>
      </c>
      <c r="U1445" s="392">
        <f>Таблица18[[#This Row],[Отход]]/Таблица18[[#This Row],[Вес нетто]]</f>
        <v>0.14502732240437163</v>
      </c>
      <c r="V1445" s="121">
        <f>MONTH(Таблица18[[#This Row],[Дата акта]])</f>
        <v>6</v>
      </c>
      <c r="W1445" s="121">
        <f>DAY(Таблица18[[#This Row],[Дата акта]])</f>
        <v>7</v>
      </c>
      <c r="X1445" s="148">
        <f>DATE(1900,Таблица18[[#This Row],[Месяц]],Таблица18[[#This Row],[Число]])</f>
        <v>159</v>
      </c>
      <c r="Y1445" s="121"/>
      <c r="Z1445" s="121" t="str">
        <f>Таблица18[[#This Row],[Хар-ка]]</f>
        <v>Высший</v>
      </c>
      <c r="AA1445"/>
      <c r="AB1445">
        <v>65</v>
      </c>
      <c r="AC1445"/>
      <c r="AD1445" s="460" t="s">
        <v>2935</v>
      </c>
      <c r="AE1445" s="463" t="s">
        <v>782</v>
      </c>
      <c r="AF1445" t="s">
        <v>46</v>
      </c>
    </row>
    <row r="1446" spans="1:32" s="465" customFormat="1" ht="33.75" x14ac:dyDescent="0.25">
      <c r="A1446" s="40" t="s">
        <v>2998</v>
      </c>
      <c r="B1446" s="360" t="s">
        <v>2940</v>
      </c>
      <c r="C1446" s="40">
        <v>115</v>
      </c>
      <c r="D1446" s="40">
        <v>52</v>
      </c>
      <c r="E1446" s="40" t="s">
        <v>2964</v>
      </c>
      <c r="F1446" s="40" t="s">
        <v>1312</v>
      </c>
      <c r="G1446" s="40" t="s">
        <v>320</v>
      </c>
      <c r="H1446" s="40" t="s">
        <v>2966</v>
      </c>
      <c r="I1446" s="40" t="str">
        <f>VLOOKUP(Таблица18[[#This Row],[Номер акта]],$AB$1:$AF$2504,3,FALSE)</f>
        <v>А-4/1</v>
      </c>
      <c r="J1446" s="40" t="s">
        <v>782</v>
      </c>
      <c r="K1446" s="40" t="s">
        <v>2939</v>
      </c>
      <c r="L1446" s="121">
        <v>29950</v>
      </c>
      <c r="M1446" s="121">
        <v>14550</v>
      </c>
      <c r="N1446" s="121">
        <v>13.5</v>
      </c>
      <c r="O1446" s="363">
        <v>15400</v>
      </c>
      <c r="P1446" s="363">
        <v>13321</v>
      </c>
      <c r="Q1446" s="121">
        <v>2026</v>
      </c>
      <c r="R1446" s="121">
        <v>66</v>
      </c>
      <c r="S1446" s="148">
        <v>46180</v>
      </c>
      <c r="T1446" s="363">
        <f>Таблица18[[#This Row],[Вес нетто]]-Таблица18[[#This Row],[Зачетный вес]]</f>
        <v>2079</v>
      </c>
      <c r="U1446" s="392">
        <f>Таблица18[[#This Row],[Отход]]/Таблица18[[#This Row],[Вес нетто]]</f>
        <v>0.13500000000000001</v>
      </c>
      <c r="V1446" s="121">
        <f>MONTH(Таблица18[[#This Row],[Дата акта]])</f>
        <v>6</v>
      </c>
      <c r="W1446" s="121">
        <f>DAY(Таблица18[[#This Row],[Дата акта]])</f>
        <v>7</v>
      </c>
      <c r="X1446" s="148">
        <f>DATE(1900,Таблица18[[#This Row],[Месяц]],Таблица18[[#This Row],[Число]])</f>
        <v>159</v>
      </c>
      <c r="Y1446" s="121"/>
      <c r="Z1446" s="121" t="str">
        <f>Таблица18[[#This Row],[Хар-ка]]</f>
        <v>Высший</v>
      </c>
      <c r="AA1446"/>
      <c r="AB1446">
        <v>66</v>
      </c>
      <c r="AC1446"/>
      <c r="AD1446" s="460" t="s">
        <v>2935</v>
      </c>
      <c r="AE1446" s="463" t="s">
        <v>782</v>
      </c>
      <c r="AF1446" t="s">
        <v>46</v>
      </c>
    </row>
    <row r="1447" spans="1:32" s="465" customFormat="1" ht="33.75" x14ac:dyDescent="0.25">
      <c r="A1447" s="40" t="s">
        <v>2999</v>
      </c>
      <c r="B1447" s="360" t="s">
        <v>2940</v>
      </c>
      <c r="C1447" s="40">
        <v>117</v>
      </c>
      <c r="D1447" s="40">
        <v>53</v>
      </c>
      <c r="E1447" s="40" t="s">
        <v>2964</v>
      </c>
      <c r="F1447" s="40" t="s">
        <v>121</v>
      </c>
      <c r="G1447" s="40" t="s">
        <v>125</v>
      </c>
      <c r="H1447" s="40" t="s">
        <v>2968</v>
      </c>
      <c r="I1447" s="40" t="str">
        <f>VLOOKUP(Таблица18[[#This Row],[Номер акта]],$AB$1:$AF$2504,3,FALSE)</f>
        <v>А-3</v>
      </c>
      <c r="J1447" s="40" t="s">
        <v>524</v>
      </c>
      <c r="K1447" s="40" t="s">
        <v>2939</v>
      </c>
      <c r="L1447" s="121">
        <v>28200</v>
      </c>
      <c r="M1447" s="121">
        <v>14800</v>
      </c>
      <c r="N1447" s="121">
        <v>20.5</v>
      </c>
      <c r="O1447" s="363">
        <v>13400</v>
      </c>
      <c r="P1447" s="363">
        <v>10653</v>
      </c>
      <c r="Q1447" s="121">
        <v>2026</v>
      </c>
      <c r="R1447" s="121">
        <v>67</v>
      </c>
      <c r="S1447" s="148">
        <v>46180</v>
      </c>
      <c r="T1447" s="363">
        <f>Таблица18[[#This Row],[Вес нетто]]-Таблица18[[#This Row],[Зачетный вес]]</f>
        <v>2747</v>
      </c>
      <c r="U1447" s="392">
        <f>Таблица18[[#This Row],[Отход]]/Таблица18[[#This Row],[Вес нетто]]</f>
        <v>0.20499999999999999</v>
      </c>
      <c r="V1447" s="121">
        <f>MONTH(Таблица18[[#This Row],[Дата акта]])</f>
        <v>6</v>
      </c>
      <c r="W1447" s="121">
        <f>DAY(Таблица18[[#This Row],[Дата акта]])</f>
        <v>7</v>
      </c>
      <c r="X1447" s="148">
        <f>DATE(1900,Таблица18[[#This Row],[Месяц]],Таблица18[[#This Row],[Число]])</f>
        <v>159</v>
      </c>
      <c r="Y1447" s="121"/>
      <c r="Z1447" s="121" t="str">
        <f>Таблица18[[#This Row],[Хар-ка]]</f>
        <v>Высший</v>
      </c>
      <c r="AA1447"/>
      <c r="AB1447">
        <v>67</v>
      </c>
      <c r="AC1447"/>
      <c r="AD1447" s="460" t="s">
        <v>2968</v>
      </c>
      <c r="AE1447" s="463" t="s">
        <v>524</v>
      </c>
      <c r="AF1447" t="s">
        <v>46</v>
      </c>
    </row>
    <row r="1448" spans="1:32" s="465" customFormat="1" ht="22.5" x14ac:dyDescent="0.25">
      <c r="A1448" s="40" t="s">
        <v>3000</v>
      </c>
      <c r="B1448" s="360" t="s">
        <v>2940</v>
      </c>
      <c r="C1448" s="40">
        <v>118</v>
      </c>
      <c r="D1448" s="40">
        <v>54</v>
      </c>
      <c r="E1448" s="40" t="s">
        <v>2964</v>
      </c>
      <c r="F1448" s="40" t="s">
        <v>1792</v>
      </c>
      <c r="G1448" s="40" t="s">
        <v>80</v>
      </c>
      <c r="H1448" s="40" t="s">
        <v>2968</v>
      </c>
      <c r="I1448" s="40" t="str">
        <f>VLOOKUP(Таблица18[[#This Row],[Номер акта]],$AB$1:$AF$2504,3,FALSE)</f>
        <v>А-3</v>
      </c>
      <c r="J1448" s="40" t="s">
        <v>524</v>
      </c>
      <c r="K1448" s="40" t="s">
        <v>2939</v>
      </c>
      <c r="L1448" s="121">
        <v>27470</v>
      </c>
      <c r="M1448" s="121">
        <v>14320</v>
      </c>
      <c r="N1448" s="121">
        <v>19.5</v>
      </c>
      <c r="O1448" s="363">
        <v>13150</v>
      </c>
      <c r="P1448" s="363">
        <v>10585.7</v>
      </c>
      <c r="Q1448" s="121">
        <v>2026</v>
      </c>
      <c r="R1448" s="121">
        <v>68</v>
      </c>
      <c r="S1448" s="148">
        <v>46180</v>
      </c>
      <c r="T1448" s="363">
        <f>Таблица18[[#This Row],[Вес нетто]]-Таблица18[[#This Row],[Зачетный вес]]</f>
        <v>2564.2999999999993</v>
      </c>
      <c r="U1448" s="392">
        <f>Таблица18[[#This Row],[Отход]]/Таблица18[[#This Row],[Вес нетто]]</f>
        <v>0.19500380228136877</v>
      </c>
      <c r="V1448" s="121">
        <f>MONTH(Таблица18[[#This Row],[Дата акта]])</f>
        <v>6</v>
      </c>
      <c r="W1448" s="121">
        <f>DAY(Таблица18[[#This Row],[Дата акта]])</f>
        <v>7</v>
      </c>
      <c r="X1448" s="148">
        <f>DATE(1900,Таблица18[[#This Row],[Месяц]],Таблица18[[#This Row],[Число]])</f>
        <v>159</v>
      </c>
      <c r="Y1448" s="121"/>
      <c r="Z1448" s="121" t="str">
        <f>Таблица18[[#This Row],[Хар-ка]]</f>
        <v>Высший</v>
      </c>
      <c r="AA1448"/>
      <c r="AB1448">
        <v>68</v>
      </c>
      <c r="AC1448"/>
      <c r="AD1448" s="460" t="s">
        <v>2968</v>
      </c>
      <c r="AE1448" s="463" t="s">
        <v>524</v>
      </c>
      <c r="AF1448" t="s">
        <v>46</v>
      </c>
    </row>
    <row r="1449" spans="1:32" s="465" customFormat="1" ht="22.5" x14ac:dyDescent="0.25">
      <c r="A1449" s="40" t="s">
        <v>3001</v>
      </c>
      <c r="B1449" s="360" t="s">
        <v>2940</v>
      </c>
      <c r="C1449" s="40">
        <v>119</v>
      </c>
      <c r="D1449" s="40">
        <v>55</v>
      </c>
      <c r="E1449" s="40" t="s">
        <v>2964</v>
      </c>
      <c r="F1449" s="40" t="s">
        <v>894</v>
      </c>
      <c r="G1449" s="40" t="s">
        <v>895</v>
      </c>
      <c r="H1449" s="40" t="s">
        <v>2968</v>
      </c>
      <c r="I1449" s="40" t="str">
        <f>VLOOKUP(Таблица18[[#This Row],[Номер акта]],$AB$1:$AF$2504,3,FALSE)</f>
        <v>А-3</v>
      </c>
      <c r="J1449" s="40" t="s">
        <v>524</v>
      </c>
      <c r="K1449" s="40" t="s">
        <v>2939</v>
      </c>
      <c r="L1449" s="121">
        <v>28450</v>
      </c>
      <c r="M1449" s="121">
        <v>15000</v>
      </c>
      <c r="N1449" s="121">
        <v>19.5</v>
      </c>
      <c r="O1449" s="363">
        <v>13450</v>
      </c>
      <c r="P1449" s="363">
        <v>10827.2</v>
      </c>
      <c r="Q1449" s="121">
        <v>2026</v>
      </c>
      <c r="R1449" s="121">
        <v>69</v>
      </c>
      <c r="S1449" s="148">
        <v>46180</v>
      </c>
      <c r="T1449" s="363">
        <f>Таблица18[[#This Row],[Вес нетто]]-Таблица18[[#This Row],[Зачетный вес]]</f>
        <v>2622.7999999999993</v>
      </c>
      <c r="U1449" s="392">
        <f>Таблица18[[#This Row],[Отход]]/Таблица18[[#This Row],[Вес нетто]]</f>
        <v>0.19500371747211889</v>
      </c>
      <c r="V1449" s="121">
        <f>MONTH(Таблица18[[#This Row],[Дата акта]])</f>
        <v>6</v>
      </c>
      <c r="W1449" s="121">
        <f>DAY(Таблица18[[#This Row],[Дата акта]])</f>
        <v>7</v>
      </c>
      <c r="X1449" s="148">
        <f>DATE(1900,Таблица18[[#This Row],[Месяц]],Таблица18[[#This Row],[Число]])</f>
        <v>159</v>
      </c>
      <c r="Y1449" s="121"/>
      <c r="Z1449" s="121" t="str">
        <f>Таблица18[[#This Row],[Хар-ка]]</f>
        <v>Высший</v>
      </c>
      <c r="AA1449"/>
      <c r="AB1449">
        <v>69</v>
      </c>
      <c r="AC1449"/>
      <c r="AD1449" s="460" t="s">
        <v>2968</v>
      </c>
      <c r="AE1449" s="463" t="s">
        <v>524</v>
      </c>
      <c r="AF1449" t="s">
        <v>46</v>
      </c>
    </row>
    <row r="1450" spans="1:32" s="465" customFormat="1" ht="33.75" x14ac:dyDescent="0.25">
      <c r="A1450" s="40" t="s">
        <v>3002</v>
      </c>
      <c r="B1450" s="360" t="s">
        <v>2940</v>
      </c>
      <c r="C1450" s="40">
        <v>120</v>
      </c>
      <c r="D1450" s="40">
        <v>56</v>
      </c>
      <c r="E1450" s="40" t="s">
        <v>2964</v>
      </c>
      <c r="F1450" s="40" t="s">
        <v>762</v>
      </c>
      <c r="G1450" s="40" t="s">
        <v>763</v>
      </c>
      <c r="H1450" s="40" t="s">
        <v>2968</v>
      </c>
      <c r="I1450" s="40" t="str">
        <f>VLOOKUP(Таблица18[[#This Row],[Номер акта]],$AB$1:$AF$2504,3,FALSE)</f>
        <v>А-3</v>
      </c>
      <c r="J1450" s="40" t="s">
        <v>524</v>
      </c>
      <c r="K1450" s="40" t="s">
        <v>2939</v>
      </c>
      <c r="L1450" s="121">
        <v>9260</v>
      </c>
      <c r="M1450" s="121">
        <v>4670</v>
      </c>
      <c r="N1450" s="121">
        <v>18.5</v>
      </c>
      <c r="O1450" s="363">
        <v>4590</v>
      </c>
      <c r="P1450" s="363">
        <v>3740.8</v>
      </c>
      <c r="Q1450" s="121">
        <v>2026</v>
      </c>
      <c r="R1450" s="121">
        <v>70</v>
      </c>
      <c r="S1450" s="148">
        <v>46180</v>
      </c>
      <c r="T1450" s="363">
        <f>Таблица18[[#This Row],[Вес нетто]]-Таблица18[[#This Row],[Зачетный вес]]</f>
        <v>849.19999999999982</v>
      </c>
      <c r="U1450" s="392">
        <f>Таблица18[[#This Row],[Отход]]/Таблица18[[#This Row],[Вес нетто]]</f>
        <v>0.18501089324618733</v>
      </c>
      <c r="V1450" s="121">
        <f>MONTH(Таблица18[[#This Row],[Дата акта]])</f>
        <v>6</v>
      </c>
      <c r="W1450" s="121">
        <f>DAY(Таблица18[[#This Row],[Дата акта]])</f>
        <v>7</v>
      </c>
      <c r="X1450" s="148">
        <f>DATE(1900,Таблица18[[#This Row],[Месяц]],Таблица18[[#This Row],[Число]])</f>
        <v>159</v>
      </c>
      <c r="Y1450" s="121"/>
      <c r="Z1450" s="121" t="str">
        <f>Таблица18[[#This Row],[Хар-ка]]</f>
        <v>Высший</v>
      </c>
      <c r="AA1450"/>
      <c r="AB1450">
        <v>70</v>
      </c>
      <c r="AC1450"/>
      <c r="AD1450" s="460" t="s">
        <v>2968</v>
      </c>
      <c r="AE1450" s="463" t="s">
        <v>524</v>
      </c>
      <c r="AF1450" t="s">
        <v>46</v>
      </c>
    </row>
    <row r="1451" spans="1:32" s="465" customFormat="1" ht="33.75" x14ac:dyDescent="0.25">
      <c r="A1451" s="40" t="s">
        <v>3003</v>
      </c>
      <c r="B1451" s="360" t="s">
        <v>2940</v>
      </c>
      <c r="C1451" s="40">
        <v>121</v>
      </c>
      <c r="D1451" s="40">
        <v>57</v>
      </c>
      <c r="E1451" s="40" t="s">
        <v>2964</v>
      </c>
      <c r="F1451" s="40" t="s">
        <v>1312</v>
      </c>
      <c r="G1451" s="40" t="s">
        <v>320</v>
      </c>
      <c r="H1451" s="40" t="s">
        <v>2968</v>
      </c>
      <c r="I1451" s="40" t="str">
        <f>VLOOKUP(Таблица18[[#This Row],[Номер акта]],$AB$1:$AF$2504,3,FALSE)</f>
        <v>А-3</v>
      </c>
      <c r="J1451" s="40" t="s">
        <v>524</v>
      </c>
      <c r="K1451" s="40" t="s">
        <v>2939</v>
      </c>
      <c r="L1451" s="121">
        <v>27980</v>
      </c>
      <c r="M1451" s="121">
        <v>14530</v>
      </c>
      <c r="N1451" s="121">
        <v>19.5</v>
      </c>
      <c r="O1451" s="363">
        <v>13450</v>
      </c>
      <c r="P1451" s="363">
        <v>10827.2</v>
      </c>
      <c r="Q1451" s="121">
        <v>2026</v>
      </c>
      <c r="R1451" s="121">
        <v>71</v>
      </c>
      <c r="S1451" s="148">
        <v>46180</v>
      </c>
      <c r="T1451" s="363">
        <f>Таблица18[[#This Row],[Вес нетто]]-Таблица18[[#This Row],[Зачетный вес]]</f>
        <v>2622.7999999999993</v>
      </c>
      <c r="U1451" s="392">
        <f>Таблица18[[#This Row],[Отход]]/Таблица18[[#This Row],[Вес нетто]]</f>
        <v>0.19500371747211889</v>
      </c>
      <c r="V1451" s="121">
        <f>MONTH(Таблица18[[#This Row],[Дата акта]])</f>
        <v>6</v>
      </c>
      <c r="W1451" s="121">
        <f>DAY(Таблица18[[#This Row],[Дата акта]])</f>
        <v>7</v>
      </c>
      <c r="X1451" s="148">
        <f>DATE(1900,Таблица18[[#This Row],[Месяц]],Таблица18[[#This Row],[Число]])</f>
        <v>159</v>
      </c>
      <c r="Y1451" s="121"/>
      <c r="Z1451" s="121" t="str">
        <f>Таблица18[[#This Row],[Хар-ка]]</f>
        <v>Высший</v>
      </c>
      <c r="AA1451"/>
      <c r="AB1451">
        <v>71</v>
      </c>
      <c r="AC1451"/>
      <c r="AD1451" s="460" t="s">
        <v>2968</v>
      </c>
      <c r="AE1451" s="463" t="s">
        <v>524</v>
      </c>
      <c r="AF1451" t="s">
        <v>46</v>
      </c>
    </row>
    <row r="1452" spans="1:32" s="465" customFormat="1" ht="33.75" x14ac:dyDescent="0.25">
      <c r="A1452" s="40" t="s">
        <v>3004</v>
      </c>
      <c r="B1452" s="360" t="s">
        <v>2940</v>
      </c>
      <c r="C1452" s="40">
        <v>122</v>
      </c>
      <c r="D1452" s="40">
        <v>58</v>
      </c>
      <c r="E1452" s="40" t="s">
        <v>2964</v>
      </c>
      <c r="F1452" s="40" t="s">
        <v>121</v>
      </c>
      <c r="G1452" s="40" t="s">
        <v>125</v>
      </c>
      <c r="H1452" s="40" t="s">
        <v>2968</v>
      </c>
      <c r="I1452" s="40" t="str">
        <f>VLOOKUP(Таблица18[[#This Row],[Номер акта]],$AB$1:$AF$2504,3,FALSE)</f>
        <v>А-3</v>
      </c>
      <c r="J1452" s="40" t="s">
        <v>524</v>
      </c>
      <c r="K1452" s="40" t="s">
        <v>2939</v>
      </c>
      <c r="L1452" s="121">
        <v>28040</v>
      </c>
      <c r="M1452" s="121">
        <v>14790</v>
      </c>
      <c r="N1452" s="121">
        <v>17</v>
      </c>
      <c r="O1452" s="363">
        <v>13250</v>
      </c>
      <c r="P1452" s="363">
        <v>10997.5</v>
      </c>
      <c r="Q1452" s="121">
        <v>2026</v>
      </c>
      <c r="R1452" s="121">
        <v>72</v>
      </c>
      <c r="S1452" s="148">
        <v>46180</v>
      </c>
      <c r="T1452" s="363">
        <f>Таблица18[[#This Row],[Вес нетто]]-Таблица18[[#This Row],[Зачетный вес]]</f>
        <v>2252.5</v>
      </c>
      <c r="U1452" s="392">
        <f>Таблица18[[#This Row],[Отход]]/Таблица18[[#This Row],[Вес нетто]]</f>
        <v>0.17</v>
      </c>
      <c r="V1452" s="121">
        <f>MONTH(Таблица18[[#This Row],[Дата акта]])</f>
        <v>6</v>
      </c>
      <c r="W1452" s="121">
        <f>DAY(Таблица18[[#This Row],[Дата акта]])</f>
        <v>7</v>
      </c>
      <c r="X1452" s="148">
        <f>DATE(1900,Таблица18[[#This Row],[Месяц]],Таблица18[[#This Row],[Число]])</f>
        <v>159</v>
      </c>
      <c r="Y1452" s="121"/>
      <c r="Z1452" s="121" t="str">
        <f>Таблица18[[#This Row],[Хар-ка]]</f>
        <v>Высший</v>
      </c>
      <c r="AA1452"/>
      <c r="AB1452">
        <v>72</v>
      </c>
      <c r="AC1452"/>
      <c r="AD1452" s="460" t="s">
        <v>2968</v>
      </c>
      <c r="AE1452" s="463" t="s">
        <v>524</v>
      </c>
      <c r="AF1452" t="s">
        <v>46</v>
      </c>
    </row>
    <row r="1453" spans="1:32" s="465" customFormat="1" ht="22.5" x14ac:dyDescent="0.25">
      <c r="A1453" s="40" t="s">
        <v>3005</v>
      </c>
      <c r="B1453" s="360" t="s">
        <v>2940</v>
      </c>
      <c r="C1453" s="40">
        <v>123</v>
      </c>
      <c r="D1453" s="40">
        <v>59</v>
      </c>
      <c r="E1453" s="40" t="s">
        <v>2964</v>
      </c>
      <c r="F1453" s="40" t="s">
        <v>1792</v>
      </c>
      <c r="G1453" s="40" t="s">
        <v>80</v>
      </c>
      <c r="H1453" s="40" t="s">
        <v>2968</v>
      </c>
      <c r="I1453" s="40" t="str">
        <f>VLOOKUP(Таблица18[[#This Row],[Номер акта]],$AB$1:$AF$2504,3,FALSE)</f>
        <v>А-3</v>
      </c>
      <c r="J1453" s="40" t="s">
        <v>524</v>
      </c>
      <c r="K1453" s="40" t="s">
        <v>2939</v>
      </c>
      <c r="L1453" s="121">
        <v>27630</v>
      </c>
      <c r="M1453" s="121">
        <v>14320</v>
      </c>
      <c r="N1453" s="121">
        <v>19.5</v>
      </c>
      <c r="O1453" s="363">
        <v>13310</v>
      </c>
      <c r="P1453" s="363">
        <v>10714.5</v>
      </c>
      <c r="Q1453" s="121">
        <v>2026</v>
      </c>
      <c r="R1453" s="121">
        <v>73</v>
      </c>
      <c r="S1453" s="148">
        <v>46180</v>
      </c>
      <c r="T1453" s="363">
        <f>Таблица18[[#This Row],[Вес нетто]]-Таблица18[[#This Row],[Зачетный вес]]</f>
        <v>2595.5</v>
      </c>
      <c r="U1453" s="392">
        <f>Таблица18[[#This Row],[Отход]]/Таблица18[[#This Row],[Вес нетто]]</f>
        <v>0.19500375657400451</v>
      </c>
      <c r="V1453" s="121">
        <f>MONTH(Таблица18[[#This Row],[Дата акта]])</f>
        <v>6</v>
      </c>
      <c r="W1453" s="121">
        <f>DAY(Таблица18[[#This Row],[Дата акта]])</f>
        <v>7</v>
      </c>
      <c r="X1453" s="148">
        <f>DATE(1900,Таблица18[[#This Row],[Месяц]],Таблица18[[#This Row],[Число]])</f>
        <v>159</v>
      </c>
      <c r="Y1453" s="121"/>
      <c r="Z1453" s="121" t="str">
        <f>Таблица18[[#This Row],[Хар-ка]]</f>
        <v>Высший</v>
      </c>
      <c r="AA1453"/>
      <c r="AB1453">
        <v>73</v>
      </c>
      <c r="AC1453"/>
      <c r="AD1453" s="460" t="s">
        <v>2968</v>
      </c>
      <c r="AE1453" s="463" t="s">
        <v>524</v>
      </c>
      <c r="AF1453" t="s">
        <v>46</v>
      </c>
    </row>
    <row r="1454" spans="1:32" s="465" customFormat="1" ht="22.5" x14ac:dyDescent="0.25">
      <c r="A1454" s="40" t="s">
        <v>3006</v>
      </c>
      <c r="B1454" s="360" t="s">
        <v>2940</v>
      </c>
      <c r="C1454" s="40">
        <v>124</v>
      </c>
      <c r="D1454" s="40">
        <v>60</v>
      </c>
      <c r="E1454" s="40" t="s">
        <v>2964</v>
      </c>
      <c r="F1454" s="40" t="s">
        <v>894</v>
      </c>
      <c r="G1454" s="40" t="s">
        <v>895</v>
      </c>
      <c r="H1454" s="40" t="s">
        <v>2968</v>
      </c>
      <c r="I1454" s="40" t="str">
        <f>VLOOKUP(Таблица18[[#This Row],[Номер акта]],$AB$1:$AF$2504,3,FALSE)</f>
        <v>А-3</v>
      </c>
      <c r="J1454" s="40" t="s">
        <v>524</v>
      </c>
      <c r="K1454" s="40" t="s">
        <v>2939</v>
      </c>
      <c r="L1454" s="121">
        <v>28410</v>
      </c>
      <c r="M1454" s="121">
        <v>15000</v>
      </c>
      <c r="N1454" s="121">
        <v>17</v>
      </c>
      <c r="O1454" s="363">
        <v>13410</v>
      </c>
      <c r="P1454" s="363">
        <v>11130.3</v>
      </c>
      <c r="Q1454" s="121">
        <v>2026</v>
      </c>
      <c r="R1454" s="121">
        <v>75</v>
      </c>
      <c r="S1454" s="148">
        <v>46180</v>
      </c>
      <c r="T1454" s="363">
        <f>Таблица18[[#This Row],[Вес нетто]]-Таблица18[[#This Row],[Зачетный вес]]</f>
        <v>2279.7000000000007</v>
      </c>
      <c r="U1454" s="392">
        <f>Таблица18[[#This Row],[Отход]]/Таблица18[[#This Row],[Вес нетто]]</f>
        <v>0.17000000000000007</v>
      </c>
      <c r="V1454" s="121">
        <f>MONTH(Таблица18[[#This Row],[Дата акта]])</f>
        <v>6</v>
      </c>
      <c r="W1454" s="121">
        <f>DAY(Таблица18[[#This Row],[Дата акта]])</f>
        <v>7</v>
      </c>
      <c r="X1454" s="148">
        <f>DATE(1900,Таблица18[[#This Row],[Месяц]],Таблица18[[#This Row],[Число]])</f>
        <v>159</v>
      </c>
      <c r="Y1454" s="121"/>
      <c r="Z1454" s="121" t="str">
        <f>Таблица18[[#This Row],[Хар-ка]]</f>
        <v>Высший</v>
      </c>
      <c r="AA1454"/>
      <c r="AB1454">
        <v>75</v>
      </c>
      <c r="AC1454"/>
      <c r="AD1454" s="460" t="s">
        <v>2968</v>
      </c>
      <c r="AE1454" s="463" t="s">
        <v>524</v>
      </c>
      <c r="AF1454" t="s">
        <v>46</v>
      </c>
    </row>
    <row r="1455" spans="1:32" s="465" customFormat="1" ht="33.75" x14ac:dyDescent="0.25">
      <c r="A1455" s="40" t="s">
        <v>3007</v>
      </c>
      <c r="B1455" s="360" t="s">
        <v>2940</v>
      </c>
      <c r="C1455" s="40">
        <v>125</v>
      </c>
      <c r="D1455" s="40">
        <v>61</v>
      </c>
      <c r="E1455" s="40" t="s">
        <v>2964</v>
      </c>
      <c r="F1455" s="40" t="s">
        <v>762</v>
      </c>
      <c r="G1455" s="40" t="s">
        <v>763</v>
      </c>
      <c r="H1455" s="40" t="s">
        <v>2968</v>
      </c>
      <c r="I1455" s="40" t="str">
        <f>VLOOKUP(Таблица18[[#This Row],[Номер акта]],$AB$1:$AF$2504,3,FALSE)</f>
        <v>А-3</v>
      </c>
      <c r="J1455" s="40" t="s">
        <v>524</v>
      </c>
      <c r="K1455" s="40" t="s">
        <v>2939</v>
      </c>
      <c r="L1455" s="121">
        <v>9170</v>
      </c>
      <c r="M1455" s="121">
        <v>4670</v>
      </c>
      <c r="N1455" s="121">
        <v>19.5</v>
      </c>
      <c r="O1455" s="363">
        <v>4500</v>
      </c>
      <c r="P1455" s="363">
        <v>3622.5</v>
      </c>
      <c r="Q1455" s="121">
        <v>2026</v>
      </c>
      <c r="R1455" s="121">
        <v>74</v>
      </c>
      <c r="S1455" s="148">
        <v>46180</v>
      </c>
      <c r="T1455" s="363">
        <f>Таблица18[[#This Row],[Вес нетто]]-Таблица18[[#This Row],[Зачетный вес]]</f>
        <v>877.5</v>
      </c>
      <c r="U1455" s="392">
        <f>Таблица18[[#This Row],[Отход]]/Таблица18[[#This Row],[Вес нетто]]</f>
        <v>0.19500000000000001</v>
      </c>
      <c r="V1455" s="121">
        <f>MONTH(Таблица18[[#This Row],[Дата акта]])</f>
        <v>6</v>
      </c>
      <c r="W1455" s="121">
        <f>DAY(Таблица18[[#This Row],[Дата акта]])</f>
        <v>7</v>
      </c>
      <c r="X1455" s="148">
        <f>DATE(1900,Таблица18[[#This Row],[Месяц]],Таблица18[[#This Row],[Число]])</f>
        <v>159</v>
      </c>
      <c r="Y1455" s="121"/>
      <c r="Z1455" s="121" t="str">
        <f>Таблица18[[#This Row],[Хар-ка]]</f>
        <v>Высший</v>
      </c>
      <c r="AA1455"/>
      <c r="AB1455">
        <v>74</v>
      </c>
      <c r="AC1455"/>
      <c r="AD1455" s="460" t="s">
        <v>2968</v>
      </c>
      <c r="AE1455" s="463" t="s">
        <v>524</v>
      </c>
      <c r="AF1455" t="s">
        <v>46</v>
      </c>
    </row>
    <row r="1456" spans="1:32" s="465" customFormat="1" ht="33.75" x14ac:dyDescent="0.25">
      <c r="A1456" s="40" t="s">
        <v>3008</v>
      </c>
      <c r="B1456" s="360" t="s">
        <v>2940</v>
      </c>
      <c r="C1456" s="40">
        <v>126</v>
      </c>
      <c r="D1456" s="40">
        <v>62</v>
      </c>
      <c r="E1456" s="40" t="s">
        <v>2964</v>
      </c>
      <c r="F1456" s="40" t="s">
        <v>1312</v>
      </c>
      <c r="G1456" s="40" t="s">
        <v>320</v>
      </c>
      <c r="H1456" s="40" t="s">
        <v>2968</v>
      </c>
      <c r="I1456" s="40" t="str">
        <f>VLOOKUP(Таблица18[[#This Row],[Номер акта]],$AB$1:$AF$2504,3,FALSE)</f>
        <v>А-3</v>
      </c>
      <c r="J1456" s="40" t="s">
        <v>524</v>
      </c>
      <c r="K1456" s="40" t="s">
        <v>2939</v>
      </c>
      <c r="L1456" s="121">
        <v>27980</v>
      </c>
      <c r="M1456" s="121">
        <v>14530</v>
      </c>
      <c r="N1456" s="121">
        <v>19.5</v>
      </c>
      <c r="O1456" s="363">
        <v>13450</v>
      </c>
      <c r="P1456" s="363">
        <v>10827.2</v>
      </c>
      <c r="Q1456" s="121">
        <v>2026</v>
      </c>
      <c r="R1456" s="121">
        <v>76</v>
      </c>
      <c r="S1456" s="148">
        <v>46181</v>
      </c>
      <c r="T1456" s="363">
        <f>Таблица18[[#This Row],[Вес нетто]]-Таблица18[[#This Row],[Зачетный вес]]</f>
        <v>2622.7999999999993</v>
      </c>
      <c r="U1456" s="392">
        <f>Таблица18[[#This Row],[Отход]]/Таблица18[[#This Row],[Вес нетто]]</f>
        <v>0.19500371747211889</v>
      </c>
      <c r="V1456" s="121">
        <f>MONTH(Таблица18[[#This Row],[Дата акта]])</f>
        <v>6</v>
      </c>
      <c r="W1456" s="121">
        <f>DAY(Таблица18[[#This Row],[Дата акта]])</f>
        <v>8</v>
      </c>
      <c r="X1456" s="148">
        <f>DATE(1900,Таблица18[[#This Row],[Месяц]],Таблица18[[#This Row],[Число]])</f>
        <v>160</v>
      </c>
      <c r="Y1456" s="121"/>
      <c r="Z1456" s="121" t="str">
        <f>Таблица18[[#This Row],[Хар-ка]]</f>
        <v>Высший</v>
      </c>
      <c r="AA1456"/>
      <c r="AB1456">
        <v>76</v>
      </c>
      <c r="AC1456"/>
      <c r="AD1456" s="460" t="s">
        <v>2968</v>
      </c>
      <c r="AE1456" s="463" t="s">
        <v>524</v>
      </c>
      <c r="AF1456" t="s">
        <v>46</v>
      </c>
    </row>
    <row r="1457" spans="1:32" s="465" customFormat="1" ht="33.75" x14ac:dyDescent="0.25">
      <c r="A1457" s="40" t="s">
        <v>3009</v>
      </c>
      <c r="B1457" s="360" t="s">
        <v>2940</v>
      </c>
      <c r="C1457" s="40">
        <v>127</v>
      </c>
      <c r="D1457" s="40">
        <v>63</v>
      </c>
      <c r="E1457" s="40" t="s">
        <v>2964</v>
      </c>
      <c r="F1457" s="40" t="s">
        <v>121</v>
      </c>
      <c r="G1457" s="40" t="s">
        <v>125</v>
      </c>
      <c r="H1457" s="40" t="s">
        <v>2968</v>
      </c>
      <c r="I1457" s="40" t="str">
        <f>VLOOKUP(Таблица18[[#This Row],[Номер акта]],$AB$1:$AF$2504,3,FALSE)</f>
        <v>А-3</v>
      </c>
      <c r="J1457" s="40" t="s">
        <v>524</v>
      </c>
      <c r="K1457" s="40" t="s">
        <v>2939</v>
      </c>
      <c r="L1457" s="121">
        <v>28350</v>
      </c>
      <c r="M1457" s="121">
        <v>14790</v>
      </c>
      <c r="N1457" s="121">
        <v>15.5</v>
      </c>
      <c r="O1457" s="363">
        <v>13560</v>
      </c>
      <c r="P1457" s="363">
        <v>11458.2</v>
      </c>
      <c r="Q1457" s="121">
        <v>2026</v>
      </c>
      <c r="R1457" s="121">
        <v>77</v>
      </c>
      <c r="S1457" s="148">
        <v>46181</v>
      </c>
      <c r="T1457" s="363">
        <f>Таблица18[[#This Row],[Вес нетто]]-Таблица18[[#This Row],[Зачетный вес]]</f>
        <v>2101.7999999999993</v>
      </c>
      <c r="U1457" s="392">
        <f>Таблица18[[#This Row],[Отход]]/Таблица18[[#This Row],[Вес нетто]]</f>
        <v>0.15499999999999994</v>
      </c>
      <c r="V1457" s="121">
        <f>MONTH(Таблица18[[#This Row],[Дата акта]])</f>
        <v>6</v>
      </c>
      <c r="W1457" s="121">
        <f>DAY(Таблица18[[#This Row],[Дата акта]])</f>
        <v>8</v>
      </c>
      <c r="X1457" s="148">
        <f>DATE(1900,Таблица18[[#This Row],[Месяц]],Таблица18[[#This Row],[Число]])</f>
        <v>160</v>
      </c>
      <c r="Y1457" s="121"/>
      <c r="Z1457" s="121" t="str">
        <f>Таблица18[[#This Row],[Хар-ка]]</f>
        <v>Высший</v>
      </c>
      <c r="AA1457"/>
      <c r="AB1457">
        <v>77</v>
      </c>
      <c r="AC1457"/>
      <c r="AD1457" s="460" t="s">
        <v>2968</v>
      </c>
      <c r="AE1457" s="463" t="s">
        <v>524</v>
      </c>
      <c r="AF1457" t="s">
        <v>46</v>
      </c>
    </row>
    <row r="1458" spans="1:32" s="465" customFormat="1" ht="33.75" x14ac:dyDescent="0.25">
      <c r="A1458" s="40" t="s">
        <v>3010</v>
      </c>
      <c r="B1458" s="360" t="s">
        <v>2940</v>
      </c>
      <c r="C1458" s="40">
        <v>128</v>
      </c>
      <c r="D1458" s="40">
        <v>64</v>
      </c>
      <c r="E1458" s="40" t="s">
        <v>2964</v>
      </c>
      <c r="F1458" s="40" t="s">
        <v>762</v>
      </c>
      <c r="G1458" s="40" t="s">
        <v>763</v>
      </c>
      <c r="H1458" s="40" t="s">
        <v>2968</v>
      </c>
      <c r="I1458" s="40" t="str">
        <f>VLOOKUP(Таблица18[[#This Row],[Номер акта]],$AB$1:$AF$2504,3,FALSE)</f>
        <v>А-3</v>
      </c>
      <c r="J1458" s="40" t="s">
        <v>524</v>
      </c>
      <c r="K1458" s="40" t="s">
        <v>2939</v>
      </c>
      <c r="L1458" s="121">
        <v>9180</v>
      </c>
      <c r="M1458" s="121">
        <v>4670</v>
      </c>
      <c r="N1458" s="121">
        <v>17.5</v>
      </c>
      <c r="O1458" s="363">
        <v>4510</v>
      </c>
      <c r="P1458" s="363">
        <v>3720.7</v>
      </c>
      <c r="Q1458" s="121">
        <v>2026</v>
      </c>
      <c r="R1458" s="121">
        <v>78</v>
      </c>
      <c r="S1458" s="148">
        <v>46181</v>
      </c>
      <c r="T1458" s="363">
        <f>Таблица18[[#This Row],[Вес нетто]]-Таблица18[[#This Row],[Зачетный вес]]</f>
        <v>789.30000000000018</v>
      </c>
      <c r="U1458" s="392">
        <f>Таблица18[[#This Row],[Отход]]/Таблица18[[#This Row],[Вес нетто]]</f>
        <v>0.17501108647450114</v>
      </c>
      <c r="V1458" s="121">
        <f>MONTH(Таблица18[[#This Row],[Дата акта]])</f>
        <v>6</v>
      </c>
      <c r="W1458" s="121">
        <f>DAY(Таблица18[[#This Row],[Дата акта]])</f>
        <v>8</v>
      </c>
      <c r="X1458" s="148">
        <f>DATE(1900,Таблица18[[#This Row],[Месяц]],Таблица18[[#This Row],[Число]])</f>
        <v>160</v>
      </c>
      <c r="Y1458" s="121"/>
      <c r="Z1458" s="121" t="str">
        <f>Таблица18[[#This Row],[Хар-ка]]</f>
        <v>Высший</v>
      </c>
      <c r="AA1458"/>
      <c r="AB1458">
        <v>78</v>
      </c>
      <c r="AC1458"/>
      <c r="AD1458" s="460" t="s">
        <v>2968</v>
      </c>
      <c r="AE1458" s="463" t="s">
        <v>524</v>
      </c>
      <c r="AF1458" t="s">
        <v>46</v>
      </c>
    </row>
    <row r="1459" spans="1:32" s="465" customFormat="1" ht="22.5" x14ac:dyDescent="0.25">
      <c r="A1459" s="40" t="s">
        <v>3011</v>
      </c>
      <c r="B1459" s="360" t="s">
        <v>2940</v>
      </c>
      <c r="C1459" s="40">
        <v>129</v>
      </c>
      <c r="D1459" s="40">
        <v>65</v>
      </c>
      <c r="E1459" s="40" t="s">
        <v>2964</v>
      </c>
      <c r="F1459" s="40" t="s">
        <v>1792</v>
      </c>
      <c r="G1459" s="40" t="s">
        <v>80</v>
      </c>
      <c r="H1459" s="40" t="s">
        <v>2968</v>
      </c>
      <c r="I1459" s="40" t="str">
        <f>VLOOKUP(Таблица18[[#This Row],[Номер акта]],$AB$1:$AF$2504,3,FALSE)</f>
        <v>А-3</v>
      </c>
      <c r="J1459" s="40" t="s">
        <v>524</v>
      </c>
      <c r="K1459" s="40" t="s">
        <v>2939</v>
      </c>
      <c r="L1459" s="121">
        <v>27750</v>
      </c>
      <c r="M1459" s="121">
        <v>14310</v>
      </c>
      <c r="N1459" s="121">
        <v>19.5</v>
      </c>
      <c r="O1459" s="363">
        <v>13440</v>
      </c>
      <c r="P1459" s="363">
        <v>10819.2</v>
      </c>
      <c r="Q1459" s="121">
        <v>2026</v>
      </c>
      <c r="R1459" s="121">
        <v>79</v>
      </c>
      <c r="S1459" s="148">
        <v>46181</v>
      </c>
      <c r="T1459" s="363">
        <f>Таблица18[[#This Row],[Вес нетто]]-Таблица18[[#This Row],[Зачетный вес]]</f>
        <v>2620.7999999999993</v>
      </c>
      <c r="U1459" s="392">
        <f>Таблица18[[#This Row],[Отход]]/Таблица18[[#This Row],[Вес нетто]]</f>
        <v>0.19499999999999995</v>
      </c>
      <c r="V1459" s="121">
        <f>MONTH(Таблица18[[#This Row],[Дата акта]])</f>
        <v>6</v>
      </c>
      <c r="W1459" s="121">
        <f>DAY(Таблица18[[#This Row],[Дата акта]])</f>
        <v>8</v>
      </c>
      <c r="X1459" s="148">
        <f>DATE(1900,Таблица18[[#This Row],[Месяц]],Таблица18[[#This Row],[Число]])</f>
        <v>160</v>
      </c>
      <c r="Y1459" s="121"/>
      <c r="Z1459" s="121" t="str">
        <f>Таблица18[[#This Row],[Хар-ка]]</f>
        <v>Высший</v>
      </c>
      <c r="AA1459"/>
      <c r="AB1459">
        <v>79</v>
      </c>
      <c r="AC1459"/>
      <c r="AD1459" s="460" t="s">
        <v>2968</v>
      </c>
      <c r="AE1459" s="463" t="s">
        <v>524</v>
      </c>
      <c r="AF1459" t="s">
        <v>46</v>
      </c>
    </row>
    <row r="1460" spans="1:32" s="465" customFormat="1" ht="22.5" x14ac:dyDescent="0.25">
      <c r="A1460" s="40" t="s">
        <v>3012</v>
      </c>
      <c r="B1460" s="360" t="s">
        <v>2940</v>
      </c>
      <c r="C1460" s="40">
        <v>130</v>
      </c>
      <c r="D1460" s="40">
        <v>66</v>
      </c>
      <c r="E1460" s="40" t="s">
        <v>2964</v>
      </c>
      <c r="F1460" s="40" t="s">
        <v>894</v>
      </c>
      <c r="G1460" s="40" t="s">
        <v>895</v>
      </c>
      <c r="H1460" s="40" t="s">
        <v>2968</v>
      </c>
      <c r="I1460" s="40" t="str">
        <f>VLOOKUP(Таблица18[[#This Row],[Номер акта]],$AB$1:$AF$2504,3,FALSE)</f>
        <v>А-3</v>
      </c>
      <c r="J1460" s="40" t="s">
        <v>524</v>
      </c>
      <c r="K1460" s="40" t="s">
        <v>2939</v>
      </c>
      <c r="L1460" s="121">
        <v>28430</v>
      </c>
      <c r="M1460" s="121">
        <v>14970</v>
      </c>
      <c r="N1460" s="121">
        <v>20.5</v>
      </c>
      <c r="O1460" s="363">
        <v>13460</v>
      </c>
      <c r="P1460" s="363">
        <v>10700.7</v>
      </c>
      <c r="Q1460" s="121">
        <v>2026</v>
      </c>
      <c r="R1460" s="121">
        <v>80</v>
      </c>
      <c r="S1460" s="148">
        <v>46181</v>
      </c>
      <c r="T1460" s="363">
        <f>Таблица18[[#This Row],[Вес нетто]]-Таблица18[[#This Row],[Зачетный вес]]</f>
        <v>2759.2999999999993</v>
      </c>
      <c r="U1460" s="392">
        <f>Таблица18[[#This Row],[Отход]]/Таблица18[[#This Row],[Вес нетто]]</f>
        <v>0.20499999999999993</v>
      </c>
      <c r="V1460" s="121">
        <f>MONTH(Таблица18[[#This Row],[Дата акта]])</f>
        <v>6</v>
      </c>
      <c r="W1460" s="121">
        <f>DAY(Таблица18[[#This Row],[Дата акта]])</f>
        <v>8</v>
      </c>
      <c r="X1460" s="148">
        <f>DATE(1900,Таблица18[[#This Row],[Месяц]],Таблица18[[#This Row],[Число]])</f>
        <v>160</v>
      </c>
      <c r="Y1460" s="121"/>
      <c r="Z1460" s="121" t="str">
        <f>Таблица18[[#This Row],[Хар-ка]]</f>
        <v>Высший</v>
      </c>
      <c r="AA1460"/>
      <c r="AB1460">
        <v>80</v>
      </c>
      <c r="AC1460"/>
      <c r="AD1460" s="460" t="s">
        <v>2968</v>
      </c>
      <c r="AE1460" s="463" t="s">
        <v>524</v>
      </c>
      <c r="AF1460" t="s">
        <v>46</v>
      </c>
    </row>
    <row r="1461" spans="1:32" s="465" customFormat="1" ht="33.75" x14ac:dyDescent="0.25">
      <c r="A1461" s="40" t="s">
        <v>3160</v>
      </c>
      <c r="B1461" s="360" t="s">
        <v>2940</v>
      </c>
      <c r="C1461" s="40">
        <v>131</v>
      </c>
      <c r="D1461" s="40">
        <v>67</v>
      </c>
      <c r="E1461" s="40" t="s">
        <v>2964</v>
      </c>
      <c r="F1461" s="40" t="s">
        <v>1312</v>
      </c>
      <c r="G1461" s="40" t="s">
        <v>320</v>
      </c>
      <c r="H1461" s="40" t="s">
        <v>2968</v>
      </c>
      <c r="I1461" s="40" t="str">
        <f>VLOOKUP(Таблица18[[#This Row],[Номер акта]],$AB$1:$AF$2504,3,FALSE)</f>
        <v>А-3</v>
      </c>
      <c r="J1461" s="40" t="s">
        <v>524</v>
      </c>
      <c r="K1461" s="40" t="s">
        <v>2939</v>
      </c>
      <c r="L1461" s="121">
        <v>27750</v>
      </c>
      <c r="M1461" s="121">
        <v>14510</v>
      </c>
      <c r="N1461" s="121">
        <v>18.5</v>
      </c>
      <c r="O1461" s="363">
        <v>13240</v>
      </c>
      <c r="P1461" s="363">
        <v>10790.6</v>
      </c>
      <c r="Q1461" s="121">
        <v>2026</v>
      </c>
      <c r="R1461" s="121">
        <v>83</v>
      </c>
      <c r="S1461" s="148">
        <v>46181</v>
      </c>
      <c r="T1461" s="363">
        <f>Таблица18[[#This Row],[Вес нетто]]-Таблица18[[#This Row],[Зачетный вес]]</f>
        <v>2449.3999999999996</v>
      </c>
      <c r="U1461" s="392">
        <f>Таблица18[[#This Row],[Отход]]/Таблица18[[#This Row],[Вес нетто]]</f>
        <v>0.18499999999999997</v>
      </c>
      <c r="V1461" s="121">
        <f>MONTH(Таблица18[[#This Row],[Дата акта]])</f>
        <v>6</v>
      </c>
      <c r="W1461" s="121">
        <f>DAY(Таблица18[[#This Row],[Дата акта]])</f>
        <v>8</v>
      </c>
      <c r="X1461" s="148">
        <f>DATE(1900,Таблица18[[#This Row],[Месяц]],Таблица18[[#This Row],[Число]])</f>
        <v>160</v>
      </c>
      <c r="Y1461" s="121"/>
      <c r="Z1461" s="121" t="str">
        <f>Таблица18[[#This Row],[Хар-ка]]</f>
        <v>Высший</v>
      </c>
      <c r="AA1461"/>
      <c r="AB1461">
        <v>83</v>
      </c>
      <c r="AC1461"/>
      <c r="AD1461" s="460" t="s">
        <v>2968</v>
      </c>
      <c r="AE1461" s="463" t="s">
        <v>524</v>
      </c>
      <c r="AF1461" t="s">
        <v>46</v>
      </c>
    </row>
    <row r="1462" spans="1:32" s="465" customFormat="1" ht="33.75" x14ac:dyDescent="0.25">
      <c r="A1462" s="40" t="s">
        <v>3159</v>
      </c>
      <c r="B1462" s="360" t="s">
        <v>2940</v>
      </c>
      <c r="C1462" s="40">
        <v>132</v>
      </c>
      <c r="D1462" s="40">
        <v>68</v>
      </c>
      <c r="E1462" s="40" t="s">
        <v>2964</v>
      </c>
      <c r="F1462" s="40" t="s">
        <v>121</v>
      </c>
      <c r="G1462" s="40" t="s">
        <v>125</v>
      </c>
      <c r="H1462" s="40" t="s">
        <v>2968</v>
      </c>
      <c r="I1462" s="40" t="str">
        <f>VLOOKUP(Таблица18[[#This Row],[Номер акта]],$AB$1:$AF$2504,3,FALSE)</f>
        <v>А-3</v>
      </c>
      <c r="J1462" s="40" t="s">
        <v>524</v>
      </c>
      <c r="K1462" s="40" t="s">
        <v>2939</v>
      </c>
      <c r="L1462" s="121">
        <v>28340</v>
      </c>
      <c r="M1462" s="121">
        <v>14760</v>
      </c>
      <c r="N1462" s="121">
        <v>19.5</v>
      </c>
      <c r="O1462" s="363">
        <v>13580</v>
      </c>
      <c r="P1462" s="363">
        <v>10931.9</v>
      </c>
      <c r="Q1462" s="121">
        <v>2026</v>
      </c>
      <c r="R1462" s="121">
        <v>82</v>
      </c>
      <c r="S1462" s="148">
        <v>46181</v>
      </c>
      <c r="T1462" s="363">
        <f>Таблица18[[#This Row],[Вес нетто]]-Таблица18[[#This Row],[Зачетный вес]]</f>
        <v>2648.1000000000004</v>
      </c>
      <c r="U1462" s="392">
        <f>Таблица18[[#This Row],[Отход]]/Таблица18[[#This Row],[Вес нетто]]</f>
        <v>0.19500000000000003</v>
      </c>
      <c r="V1462" s="121">
        <f>MONTH(Таблица18[[#This Row],[Дата акта]])</f>
        <v>6</v>
      </c>
      <c r="W1462" s="121">
        <f>DAY(Таблица18[[#This Row],[Дата акта]])</f>
        <v>8</v>
      </c>
      <c r="X1462" s="148">
        <f>DATE(1900,Таблица18[[#This Row],[Месяц]],Таблица18[[#This Row],[Число]])</f>
        <v>160</v>
      </c>
      <c r="Y1462" s="121"/>
      <c r="Z1462" s="121" t="str">
        <f>Таблица18[[#This Row],[Хар-ка]]</f>
        <v>Высший</v>
      </c>
      <c r="AA1462"/>
      <c r="AB1462">
        <v>82</v>
      </c>
      <c r="AC1462"/>
      <c r="AD1462" s="460" t="s">
        <v>2968</v>
      </c>
      <c r="AE1462" s="463" t="s">
        <v>524</v>
      </c>
      <c r="AF1462" t="s">
        <v>46</v>
      </c>
    </row>
    <row r="1463" spans="1:32" s="465" customFormat="1" ht="33.75" x14ac:dyDescent="0.25">
      <c r="A1463" s="40" t="s">
        <v>3158</v>
      </c>
      <c r="B1463" s="360" t="s">
        <v>2940</v>
      </c>
      <c r="C1463" s="40">
        <v>133</v>
      </c>
      <c r="D1463" s="40">
        <v>69</v>
      </c>
      <c r="E1463" s="40" t="s">
        <v>2964</v>
      </c>
      <c r="F1463" s="40" t="s">
        <v>762</v>
      </c>
      <c r="G1463" s="40" t="s">
        <v>763</v>
      </c>
      <c r="H1463" s="40" t="s">
        <v>2968</v>
      </c>
      <c r="I1463" s="40" t="str">
        <f>VLOOKUP(Таблица18[[#This Row],[Номер акта]],$AB$1:$AF$2504,3,FALSE)</f>
        <v>А-3</v>
      </c>
      <c r="J1463" s="40" t="s">
        <v>524</v>
      </c>
      <c r="K1463" s="40" t="s">
        <v>2939</v>
      </c>
      <c r="L1463" s="121">
        <v>9200</v>
      </c>
      <c r="M1463" s="121">
        <v>4660</v>
      </c>
      <c r="N1463" s="121">
        <v>20.5</v>
      </c>
      <c r="O1463" s="363">
        <v>4540</v>
      </c>
      <c r="P1463" s="363">
        <v>3609.3</v>
      </c>
      <c r="Q1463" s="121">
        <v>2026</v>
      </c>
      <c r="R1463" s="121">
        <v>81</v>
      </c>
      <c r="S1463" s="148">
        <v>46181</v>
      </c>
      <c r="T1463" s="363">
        <f>Таблица18[[#This Row],[Вес нетто]]-Таблица18[[#This Row],[Зачетный вес]]</f>
        <v>930.69999999999982</v>
      </c>
      <c r="U1463" s="392">
        <f>Таблица18[[#This Row],[Отход]]/Таблица18[[#This Row],[Вес нетто]]</f>
        <v>0.20499999999999996</v>
      </c>
      <c r="V1463" s="121">
        <f>MONTH(Таблица18[[#This Row],[Дата акта]])</f>
        <v>6</v>
      </c>
      <c r="W1463" s="121">
        <f>DAY(Таблица18[[#This Row],[Дата акта]])</f>
        <v>8</v>
      </c>
      <c r="X1463" s="148">
        <f>DATE(1900,Таблица18[[#This Row],[Месяц]],Таблица18[[#This Row],[Число]])</f>
        <v>160</v>
      </c>
      <c r="Y1463" s="121"/>
      <c r="Z1463" s="121" t="str">
        <f>Таблица18[[#This Row],[Хар-ка]]</f>
        <v>Высший</v>
      </c>
      <c r="AA1463"/>
      <c r="AB1463">
        <v>81</v>
      </c>
      <c r="AC1463"/>
      <c r="AD1463" s="460" t="s">
        <v>2968</v>
      </c>
      <c r="AE1463" s="463" t="s">
        <v>524</v>
      </c>
      <c r="AF1463" t="s">
        <v>46</v>
      </c>
    </row>
    <row r="1464" spans="1:32" s="465" customFormat="1" ht="33.75" x14ac:dyDescent="0.25">
      <c r="A1464" s="40" t="s">
        <v>3161</v>
      </c>
      <c r="B1464" s="360" t="s">
        <v>2940</v>
      </c>
      <c r="C1464" s="40">
        <v>134</v>
      </c>
      <c r="D1464" s="40">
        <v>70</v>
      </c>
      <c r="E1464" s="40" t="s">
        <v>2964</v>
      </c>
      <c r="F1464" s="40" t="s">
        <v>329</v>
      </c>
      <c r="G1464" s="40" t="s">
        <v>333</v>
      </c>
      <c r="H1464" s="40" t="s">
        <v>2968</v>
      </c>
      <c r="I1464" s="40" t="str">
        <f>VLOOKUP(Таблица18[[#This Row],[Номер акта]],$AB$1:$AF$2504,3,FALSE)</f>
        <v>А-3</v>
      </c>
      <c r="J1464" s="40" t="s">
        <v>524</v>
      </c>
      <c r="K1464" s="40" t="s">
        <v>2939</v>
      </c>
      <c r="L1464" s="121">
        <v>28390</v>
      </c>
      <c r="M1464" s="121">
        <v>14980</v>
      </c>
      <c r="N1464" s="121">
        <v>20.5</v>
      </c>
      <c r="O1464" s="363">
        <v>13410</v>
      </c>
      <c r="P1464" s="363">
        <v>10661</v>
      </c>
      <c r="Q1464" s="121">
        <v>2026</v>
      </c>
      <c r="R1464" s="121">
        <v>84</v>
      </c>
      <c r="S1464" s="148">
        <v>46181</v>
      </c>
      <c r="T1464" s="363">
        <f>Таблица18[[#This Row],[Вес нетто]]-Таблица18[[#This Row],[Зачетный вес]]</f>
        <v>2749</v>
      </c>
      <c r="U1464" s="392">
        <f>Таблица18[[#This Row],[Отход]]/Таблица18[[#This Row],[Вес нетто]]</f>
        <v>0.20499627143922447</v>
      </c>
      <c r="V1464" s="121">
        <f>MONTH(Таблица18[[#This Row],[Дата акта]])</f>
        <v>6</v>
      </c>
      <c r="W1464" s="121">
        <f>DAY(Таблица18[[#This Row],[Дата акта]])</f>
        <v>8</v>
      </c>
      <c r="X1464" s="148">
        <f>DATE(1900,Таблица18[[#This Row],[Месяц]],Таблица18[[#This Row],[Число]])</f>
        <v>160</v>
      </c>
      <c r="Y1464" s="121"/>
      <c r="Z1464" s="121" t="str">
        <f>Таблица18[[#This Row],[Хар-ка]]</f>
        <v>Высший</v>
      </c>
      <c r="AA1464"/>
      <c r="AB1464">
        <v>84</v>
      </c>
      <c r="AC1464"/>
      <c r="AD1464" s="460" t="s">
        <v>2968</v>
      </c>
      <c r="AE1464" s="463" t="s">
        <v>524</v>
      </c>
      <c r="AF1464" t="s">
        <v>46</v>
      </c>
    </row>
    <row r="1465" spans="1:32" s="465" customFormat="1" ht="33.75" x14ac:dyDescent="0.25">
      <c r="A1465" s="40" t="s">
        <v>3162</v>
      </c>
      <c r="B1465" s="360" t="s">
        <v>2940</v>
      </c>
      <c r="C1465" s="40">
        <v>136</v>
      </c>
      <c r="D1465" s="40">
        <v>71</v>
      </c>
      <c r="E1465" s="40" t="s">
        <v>2964</v>
      </c>
      <c r="F1465" s="40" t="s">
        <v>195</v>
      </c>
      <c r="G1465" s="40" t="s">
        <v>199</v>
      </c>
      <c r="H1465" s="40" t="s">
        <v>2968</v>
      </c>
      <c r="I1465" s="40" t="str">
        <f>VLOOKUP(Таблица18[[#This Row],[Номер акта]],$AB$1:$AF$2504,3,FALSE)</f>
        <v>А-3</v>
      </c>
      <c r="J1465" s="40" t="s">
        <v>524</v>
      </c>
      <c r="K1465" s="40" t="s">
        <v>2939</v>
      </c>
      <c r="L1465" s="121">
        <v>28780</v>
      </c>
      <c r="M1465" s="121">
        <v>15130</v>
      </c>
      <c r="N1465" s="121">
        <v>18.5</v>
      </c>
      <c r="O1465" s="363">
        <v>13650</v>
      </c>
      <c r="P1465" s="363">
        <v>11124.7</v>
      </c>
      <c r="Q1465" s="121">
        <v>2026</v>
      </c>
      <c r="R1465" s="121">
        <v>85</v>
      </c>
      <c r="S1465" s="148">
        <v>46181</v>
      </c>
      <c r="T1465" s="363">
        <f>Таблица18[[#This Row],[Вес нетто]]-Таблица18[[#This Row],[Зачетный вес]]</f>
        <v>2525.2999999999993</v>
      </c>
      <c r="U1465" s="392">
        <f>Таблица18[[#This Row],[Отход]]/Таблица18[[#This Row],[Вес нетто]]</f>
        <v>0.18500366300366294</v>
      </c>
      <c r="V1465" s="121">
        <f>MONTH(Таблица18[[#This Row],[Дата акта]])</f>
        <v>6</v>
      </c>
      <c r="W1465" s="121">
        <f>DAY(Таблица18[[#This Row],[Дата акта]])</f>
        <v>8</v>
      </c>
      <c r="X1465" s="148">
        <f>DATE(1900,Таблица18[[#This Row],[Месяц]],Таблица18[[#This Row],[Число]])</f>
        <v>160</v>
      </c>
      <c r="Y1465" s="121"/>
      <c r="Z1465" s="121" t="str">
        <f>Таблица18[[#This Row],[Хар-ка]]</f>
        <v>Высший</v>
      </c>
      <c r="AA1465"/>
      <c r="AB1465">
        <v>85</v>
      </c>
      <c r="AC1465"/>
      <c r="AD1465" s="460" t="s">
        <v>2968</v>
      </c>
      <c r="AE1465" s="463" t="s">
        <v>524</v>
      </c>
      <c r="AF1465" t="s">
        <v>46</v>
      </c>
    </row>
    <row r="1466" spans="1:32" s="465" customFormat="1" ht="22.5" x14ac:dyDescent="0.25">
      <c r="A1466" s="40" t="s">
        <v>3163</v>
      </c>
      <c r="B1466" s="360" t="s">
        <v>2940</v>
      </c>
      <c r="C1466" s="40">
        <v>137</v>
      </c>
      <c r="D1466" s="40">
        <v>72</v>
      </c>
      <c r="E1466" s="40" t="s">
        <v>2964</v>
      </c>
      <c r="F1466" s="40" t="s">
        <v>234</v>
      </c>
      <c r="G1466" s="40" t="s">
        <v>238</v>
      </c>
      <c r="H1466" s="40" t="s">
        <v>2968</v>
      </c>
      <c r="I1466" s="40" t="str">
        <f>VLOOKUP(Таблица18[[#This Row],[Номер акта]],$AB$1:$AF$2504,3,FALSE)</f>
        <v>А-3</v>
      </c>
      <c r="J1466" s="40" t="s">
        <v>524</v>
      </c>
      <c r="K1466" s="40" t="s">
        <v>2939</v>
      </c>
      <c r="L1466" s="121">
        <v>29250</v>
      </c>
      <c r="M1466" s="121">
        <v>15620</v>
      </c>
      <c r="N1466" s="121">
        <v>15.5</v>
      </c>
      <c r="O1466" s="363">
        <v>13630</v>
      </c>
      <c r="P1466" s="363">
        <v>11517.3</v>
      </c>
      <c r="Q1466" s="121">
        <v>2026</v>
      </c>
      <c r="R1466" s="121">
        <v>86</v>
      </c>
      <c r="S1466" s="148">
        <v>46181</v>
      </c>
      <c r="T1466" s="363">
        <f>Таблица18[[#This Row],[Вес нетто]]-Таблица18[[#This Row],[Зачетный вес]]</f>
        <v>2112.7000000000007</v>
      </c>
      <c r="U1466" s="392">
        <f>Таблица18[[#This Row],[Отход]]/Таблица18[[#This Row],[Вес нетто]]</f>
        <v>0.15500366837857671</v>
      </c>
      <c r="V1466" s="121">
        <f>MONTH(Таблица18[[#This Row],[Дата акта]])</f>
        <v>6</v>
      </c>
      <c r="W1466" s="121">
        <f>DAY(Таблица18[[#This Row],[Дата акта]])</f>
        <v>8</v>
      </c>
      <c r="X1466" s="148">
        <f>DATE(1900,Таблица18[[#This Row],[Месяц]],Таблица18[[#This Row],[Число]])</f>
        <v>160</v>
      </c>
      <c r="Y1466" s="121"/>
      <c r="Z1466" s="121" t="str">
        <f>Таблица18[[#This Row],[Хар-ка]]</f>
        <v>Высший</v>
      </c>
      <c r="AA1466"/>
      <c r="AB1466">
        <v>86</v>
      </c>
      <c r="AC1466"/>
      <c r="AD1466" s="460" t="s">
        <v>2968</v>
      </c>
      <c r="AE1466" s="463" t="s">
        <v>524</v>
      </c>
      <c r="AF1466" t="s">
        <v>46</v>
      </c>
    </row>
    <row r="1467" spans="1:32" s="465" customFormat="1" ht="33.75" x14ac:dyDescent="0.25">
      <c r="A1467" s="40" t="s">
        <v>3164</v>
      </c>
      <c r="B1467" s="360" t="s">
        <v>2940</v>
      </c>
      <c r="C1467" s="40">
        <v>138</v>
      </c>
      <c r="D1467" s="40">
        <v>73</v>
      </c>
      <c r="E1467" s="40" t="s">
        <v>2964</v>
      </c>
      <c r="F1467" s="40" t="s">
        <v>329</v>
      </c>
      <c r="G1467" s="40" t="s">
        <v>333</v>
      </c>
      <c r="H1467" s="40" t="s">
        <v>2968</v>
      </c>
      <c r="I1467" s="40" t="str">
        <f>VLOOKUP(Таблица18[[#This Row],[Номер акта]],$AB$1:$AF$2504,3,FALSE)</f>
        <v>А-3</v>
      </c>
      <c r="J1467" s="40" t="s">
        <v>524</v>
      </c>
      <c r="K1467" s="40" t="s">
        <v>2939</v>
      </c>
      <c r="L1467" s="121">
        <v>28510</v>
      </c>
      <c r="M1467" s="121">
        <v>21780</v>
      </c>
      <c r="N1467" s="121">
        <v>16</v>
      </c>
      <c r="O1467" s="363">
        <v>6730</v>
      </c>
      <c r="P1467" s="363">
        <v>5653.2</v>
      </c>
      <c r="Q1467" s="121">
        <v>2026</v>
      </c>
      <c r="R1467" s="121">
        <v>87</v>
      </c>
      <c r="S1467" s="148">
        <v>46181</v>
      </c>
      <c r="T1467" s="363">
        <f>Таблица18[[#This Row],[Вес нетто]]-Таблица18[[#This Row],[Зачетный вес]]</f>
        <v>1076.8000000000002</v>
      </c>
      <c r="U1467" s="392">
        <f>Таблица18[[#This Row],[Отход]]/Таблица18[[#This Row],[Вес нетто]]</f>
        <v>0.16000000000000003</v>
      </c>
      <c r="V1467" s="121">
        <f>MONTH(Таблица18[[#This Row],[Дата акта]])</f>
        <v>6</v>
      </c>
      <c r="W1467" s="121">
        <f>DAY(Таблица18[[#This Row],[Дата акта]])</f>
        <v>8</v>
      </c>
      <c r="X1467" s="148">
        <f>DATE(1900,Таблица18[[#This Row],[Месяц]],Таблица18[[#This Row],[Число]])</f>
        <v>160</v>
      </c>
      <c r="Y1467" s="121"/>
      <c r="Z1467" s="121" t="str">
        <f>Таблица18[[#This Row],[Хар-ка]]</f>
        <v>Высший</v>
      </c>
      <c r="AA1467"/>
      <c r="AB1467">
        <v>87</v>
      </c>
      <c r="AC1467"/>
      <c r="AD1467" s="460" t="s">
        <v>2968</v>
      </c>
      <c r="AE1467" s="463" t="s">
        <v>524</v>
      </c>
      <c r="AF1467" t="s">
        <v>46</v>
      </c>
    </row>
    <row r="1468" spans="1:32" s="465" customFormat="1" ht="33.75" x14ac:dyDescent="0.25">
      <c r="A1468" s="40" t="s">
        <v>3165</v>
      </c>
      <c r="B1468" s="360" t="s">
        <v>2940</v>
      </c>
      <c r="C1468" s="40">
        <v>140</v>
      </c>
      <c r="D1468" s="40">
        <v>74</v>
      </c>
      <c r="E1468" s="40" t="s">
        <v>2964</v>
      </c>
      <c r="F1468" s="40" t="s">
        <v>329</v>
      </c>
      <c r="G1468" s="40" t="s">
        <v>333</v>
      </c>
      <c r="H1468" s="40" t="s">
        <v>2968</v>
      </c>
      <c r="I1468" s="40" t="str">
        <f>VLOOKUP(Таблица18[[#This Row],[Номер акта]],$AB$1:$AF$2504,3,FALSE)</f>
        <v>А-3</v>
      </c>
      <c r="J1468" s="40" t="s">
        <v>524</v>
      </c>
      <c r="K1468" s="40" t="s">
        <v>2939</v>
      </c>
      <c r="L1468" s="121">
        <v>21780</v>
      </c>
      <c r="M1468" s="121">
        <v>14960</v>
      </c>
      <c r="N1468" s="121">
        <v>18.5</v>
      </c>
      <c r="O1468" s="363">
        <v>6820</v>
      </c>
      <c r="P1468" s="363">
        <v>5558.3</v>
      </c>
      <c r="Q1468" s="121">
        <v>2026</v>
      </c>
      <c r="R1468" s="121">
        <v>88</v>
      </c>
      <c r="S1468" s="148">
        <v>46181</v>
      </c>
      <c r="T1468" s="363">
        <f>Таблица18[[#This Row],[Вес нетто]]-Таблица18[[#This Row],[Зачетный вес]]</f>
        <v>1261.6999999999998</v>
      </c>
      <c r="U1468" s="392">
        <f>Таблица18[[#This Row],[Отход]]/Таблица18[[#This Row],[Вес нетто]]</f>
        <v>0.18499999999999997</v>
      </c>
      <c r="V1468" s="121">
        <f>MONTH(Таблица18[[#This Row],[Дата акта]])</f>
        <v>6</v>
      </c>
      <c r="W1468" s="121">
        <f>DAY(Таблица18[[#This Row],[Дата акта]])</f>
        <v>8</v>
      </c>
      <c r="X1468" s="148">
        <f>DATE(1900,Таблица18[[#This Row],[Месяц]],Таблица18[[#This Row],[Число]])</f>
        <v>160</v>
      </c>
      <c r="Y1468" s="121"/>
      <c r="Z1468" s="121" t="str">
        <f>Таблица18[[#This Row],[Хар-ка]]</f>
        <v>Высший</v>
      </c>
      <c r="AA1468"/>
      <c r="AB1468">
        <v>88</v>
      </c>
      <c r="AC1468"/>
      <c r="AD1468" s="460" t="s">
        <v>2968</v>
      </c>
      <c r="AE1468" s="463" t="s">
        <v>524</v>
      </c>
      <c r="AF1468" t="s">
        <v>46</v>
      </c>
    </row>
    <row r="1469" spans="1:32" s="465" customFormat="1" ht="33.75" x14ac:dyDescent="0.25">
      <c r="A1469" s="40" t="s">
        <v>3166</v>
      </c>
      <c r="B1469" s="360" t="s">
        <v>2940</v>
      </c>
      <c r="C1469" s="40">
        <v>141</v>
      </c>
      <c r="D1469" s="40">
        <v>75</v>
      </c>
      <c r="E1469" s="40" t="s">
        <v>2964</v>
      </c>
      <c r="F1469" s="40" t="s">
        <v>195</v>
      </c>
      <c r="G1469" s="40" t="s">
        <v>199</v>
      </c>
      <c r="H1469" s="40" t="s">
        <v>2968</v>
      </c>
      <c r="I1469" s="40" t="str">
        <f>VLOOKUP(Таблица18[[#This Row],[Номер акта]],$AB$1:$AF$2504,3,FALSE)</f>
        <v>А-3</v>
      </c>
      <c r="J1469" s="40" t="s">
        <v>524</v>
      </c>
      <c r="K1469" s="40" t="s">
        <v>2939</v>
      </c>
      <c r="L1469" s="121">
        <v>28570</v>
      </c>
      <c r="M1469" s="121">
        <v>15220</v>
      </c>
      <c r="N1469" s="121">
        <v>13.5</v>
      </c>
      <c r="O1469" s="363">
        <v>13350</v>
      </c>
      <c r="P1469" s="363">
        <v>11547.7</v>
      </c>
      <c r="Q1469" s="121">
        <v>2026</v>
      </c>
      <c r="R1469" s="121">
        <v>89</v>
      </c>
      <c r="S1469" s="148">
        <v>46181</v>
      </c>
      <c r="T1469" s="363">
        <f>Таблица18[[#This Row],[Вес нетто]]-Таблица18[[#This Row],[Зачетный вес]]</f>
        <v>1802.2999999999993</v>
      </c>
      <c r="U1469" s="392">
        <f>Таблица18[[#This Row],[Отход]]/Таблица18[[#This Row],[Вес нетто]]</f>
        <v>0.13500374531835199</v>
      </c>
      <c r="V1469" s="121">
        <f>MONTH(Таблица18[[#This Row],[Дата акта]])</f>
        <v>6</v>
      </c>
      <c r="W1469" s="121">
        <f>DAY(Таблица18[[#This Row],[Дата акта]])</f>
        <v>8</v>
      </c>
      <c r="X1469" s="148">
        <f>DATE(1900,Таблица18[[#This Row],[Месяц]],Таблица18[[#This Row],[Число]])</f>
        <v>160</v>
      </c>
      <c r="Y1469" s="121"/>
      <c r="Z1469" s="121" t="str">
        <f>Таблица18[[#This Row],[Хар-ка]]</f>
        <v>Высший</v>
      </c>
      <c r="AA1469"/>
      <c r="AB1469">
        <v>89</v>
      </c>
      <c r="AC1469"/>
      <c r="AD1469" s="460" t="s">
        <v>2968</v>
      </c>
      <c r="AE1469" s="463" t="s">
        <v>524</v>
      </c>
      <c r="AF1469" t="s">
        <v>46</v>
      </c>
    </row>
    <row r="1470" spans="1:32" s="465" customFormat="1" ht="22.5" x14ac:dyDescent="0.25">
      <c r="A1470" s="40" t="s">
        <v>3167</v>
      </c>
      <c r="B1470" s="360" t="s">
        <v>2940</v>
      </c>
      <c r="C1470" s="40">
        <v>143</v>
      </c>
      <c r="D1470" s="40">
        <v>76</v>
      </c>
      <c r="E1470" s="40" t="s">
        <v>2964</v>
      </c>
      <c r="F1470" s="40" t="s">
        <v>234</v>
      </c>
      <c r="G1470" s="40" t="s">
        <v>238</v>
      </c>
      <c r="H1470" s="40" t="s">
        <v>2968</v>
      </c>
      <c r="I1470" s="40" t="str">
        <f>VLOOKUP(Таблица18[[#This Row],[Номер акта]],$AB$1:$AF$2504,3,FALSE)</f>
        <v>А-3</v>
      </c>
      <c r="J1470" s="40" t="s">
        <v>524</v>
      </c>
      <c r="K1470" s="40" t="s">
        <v>2939</v>
      </c>
      <c r="L1470" s="121">
        <v>29150</v>
      </c>
      <c r="M1470" s="121">
        <v>15590</v>
      </c>
      <c r="N1470" s="121">
        <v>19.5</v>
      </c>
      <c r="O1470" s="363">
        <v>13560</v>
      </c>
      <c r="P1470" s="363">
        <v>10915.8</v>
      </c>
      <c r="Q1470" s="121">
        <v>2026</v>
      </c>
      <c r="R1470" s="121">
        <v>90</v>
      </c>
      <c r="S1470" s="148">
        <v>46181</v>
      </c>
      <c r="T1470" s="363">
        <f>Таблица18[[#This Row],[Вес нетто]]-Таблица18[[#This Row],[Зачетный вес]]</f>
        <v>2644.2000000000007</v>
      </c>
      <c r="U1470" s="392">
        <f>Таблица18[[#This Row],[Отход]]/Таблица18[[#This Row],[Вес нетто]]</f>
        <v>0.19500000000000006</v>
      </c>
      <c r="V1470" s="121">
        <f>MONTH(Таблица18[[#This Row],[Дата акта]])</f>
        <v>6</v>
      </c>
      <c r="W1470" s="121">
        <f>DAY(Таблица18[[#This Row],[Дата акта]])</f>
        <v>8</v>
      </c>
      <c r="X1470" s="148">
        <f>DATE(1900,Таблица18[[#This Row],[Месяц]],Таблица18[[#This Row],[Число]])</f>
        <v>160</v>
      </c>
      <c r="Y1470" s="121"/>
      <c r="Z1470" s="121" t="str">
        <f>Таблица18[[#This Row],[Хар-ка]]</f>
        <v>Высший</v>
      </c>
      <c r="AA1470"/>
      <c r="AB1470">
        <v>90</v>
      </c>
      <c r="AC1470"/>
      <c r="AD1470" s="460" t="s">
        <v>2968</v>
      </c>
      <c r="AE1470" s="463" t="s">
        <v>524</v>
      </c>
      <c r="AF1470" t="s">
        <v>46</v>
      </c>
    </row>
    <row r="1471" spans="1:32" s="465" customFormat="1" ht="33.75" x14ac:dyDescent="0.25">
      <c r="A1471" s="40" t="s">
        <v>3168</v>
      </c>
      <c r="B1471" s="360" t="s">
        <v>2940</v>
      </c>
      <c r="C1471" s="40">
        <v>144</v>
      </c>
      <c r="D1471" s="40">
        <v>77</v>
      </c>
      <c r="E1471" s="40" t="s">
        <v>2964</v>
      </c>
      <c r="F1471" s="40" t="s">
        <v>329</v>
      </c>
      <c r="G1471" s="40" t="s">
        <v>333</v>
      </c>
      <c r="H1471" s="40" t="s">
        <v>2968</v>
      </c>
      <c r="I1471" s="40" t="str">
        <f>VLOOKUP(Таблица18[[#This Row],[Номер акта]],$AB$1:$AF$2504,3,FALSE)</f>
        <v>А-3</v>
      </c>
      <c r="J1471" s="40" t="s">
        <v>524</v>
      </c>
      <c r="K1471" s="40" t="s">
        <v>2939</v>
      </c>
      <c r="L1471" s="121">
        <v>28630</v>
      </c>
      <c r="M1471" s="121">
        <v>14940</v>
      </c>
      <c r="N1471" s="121">
        <v>17</v>
      </c>
      <c r="O1471" s="363">
        <v>13690</v>
      </c>
      <c r="P1471" s="363">
        <v>11362.7</v>
      </c>
      <c r="Q1471" s="121">
        <v>2026</v>
      </c>
      <c r="R1471" s="121">
        <v>91</v>
      </c>
      <c r="S1471" s="148">
        <v>46181</v>
      </c>
      <c r="T1471" s="363">
        <f>Таблица18[[#This Row],[Вес нетто]]-Таблица18[[#This Row],[Зачетный вес]]</f>
        <v>2327.2999999999993</v>
      </c>
      <c r="U1471" s="392">
        <f>Таблица18[[#This Row],[Отход]]/Таблица18[[#This Row],[Вес нетто]]</f>
        <v>0.16999999999999996</v>
      </c>
      <c r="V1471" s="121">
        <f>MONTH(Таблица18[[#This Row],[Дата акта]])</f>
        <v>6</v>
      </c>
      <c r="W1471" s="121">
        <f>DAY(Таблица18[[#This Row],[Дата акта]])</f>
        <v>8</v>
      </c>
      <c r="X1471" s="148">
        <f>DATE(1900,Таблица18[[#This Row],[Месяц]],Таблица18[[#This Row],[Число]])</f>
        <v>160</v>
      </c>
      <c r="Y1471" s="121"/>
      <c r="Z1471" s="121" t="str">
        <f>Таблица18[[#This Row],[Хар-ка]]</f>
        <v>Высший</v>
      </c>
      <c r="AA1471"/>
      <c r="AB1471">
        <v>91</v>
      </c>
      <c r="AC1471"/>
      <c r="AD1471" s="460" t="s">
        <v>2968</v>
      </c>
      <c r="AE1471" s="463" t="s">
        <v>524</v>
      </c>
      <c r="AF1471" t="s">
        <v>46</v>
      </c>
    </row>
    <row r="1472" spans="1:32" s="465" customFormat="1" ht="33.75" x14ac:dyDescent="0.25">
      <c r="A1472" s="40" t="s">
        <v>3171</v>
      </c>
      <c r="B1472" s="360" t="s">
        <v>2940</v>
      </c>
      <c r="C1472" s="40">
        <v>146</v>
      </c>
      <c r="D1472" s="40">
        <v>78</v>
      </c>
      <c r="E1472" s="40" t="s">
        <v>2964</v>
      </c>
      <c r="F1472" s="40" t="s">
        <v>195</v>
      </c>
      <c r="G1472" s="40" t="s">
        <v>199</v>
      </c>
      <c r="H1472" s="40" t="s">
        <v>2968</v>
      </c>
      <c r="I1472" s="40" t="str">
        <f>VLOOKUP(Таблица18[[#This Row],[Номер акта]],$AB$1:$AF$2504,3,FALSE)</f>
        <v>А-3</v>
      </c>
      <c r="J1472" s="40" t="s">
        <v>524</v>
      </c>
      <c r="K1472" s="40" t="s">
        <v>2939</v>
      </c>
      <c r="L1472" s="121">
        <v>29190</v>
      </c>
      <c r="M1472" s="121">
        <v>15210</v>
      </c>
      <c r="N1472" s="121">
        <v>14.5</v>
      </c>
      <c r="O1472" s="363">
        <v>13980</v>
      </c>
      <c r="P1472" s="363">
        <v>11952.9</v>
      </c>
      <c r="Q1472" s="121">
        <v>2026</v>
      </c>
      <c r="R1472" s="121">
        <v>92</v>
      </c>
      <c r="S1472" s="148">
        <v>46181</v>
      </c>
      <c r="T1472" s="363">
        <f>Таблица18[[#This Row],[Вес нетто]]-Таблица18[[#This Row],[Зачетный вес]]</f>
        <v>2027.1000000000004</v>
      </c>
      <c r="U1472" s="392">
        <f>Таблица18[[#This Row],[Отход]]/Таблица18[[#This Row],[Вес нетто]]</f>
        <v>0.14500000000000002</v>
      </c>
      <c r="V1472" s="121">
        <f>MONTH(Таблица18[[#This Row],[Дата акта]])</f>
        <v>6</v>
      </c>
      <c r="W1472" s="121">
        <f>DAY(Таблица18[[#This Row],[Дата акта]])</f>
        <v>8</v>
      </c>
      <c r="X1472" s="148">
        <f>DATE(1900,Таблица18[[#This Row],[Месяц]],Таблица18[[#This Row],[Число]])</f>
        <v>160</v>
      </c>
      <c r="Y1472" s="121"/>
      <c r="Z1472" s="121" t="str">
        <f>Таблица18[[#This Row],[Хар-ка]]</f>
        <v>Высший</v>
      </c>
      <c r="AA1472"/>
      <c r="AB1472">
        <v>92</v>
      </c>
      <c r="AC1472"/>
      <c r="AD1472" s="460" t="s">
        <v>2968</v>
      </c>
      <c r="AE1472" s="463" t="s">
        <v>524</v>
      </c>
      <c r="AF1472" t="s">
        <v>46</v>
      </c>
    </row>
    <row r="1473" spans="1:32" s="465" customFormat="1" ht="22.5" x14ac:dyDescent="0.25">
      <c r="A1473" s="40" t="s">
        <v>3172</v>
      </c>
      <c r="B1473" s="360" t="s">
        <v>2940</v>
      </c>
      <c r="C1473" s="40">
        <v>147</v>
      </c>
      <c r="D1473" s="40">
        <v>79</v>
      </c>
      <c r="E1473" s="40" t="s">
        <v>2964</v>
      </c>
      <c r="F1473" s="40" t="s">
        <v>234</v>
      </c>
      <c r="G1473" s="40" t="s">
        <v>238</v>
      </c>
      <c r="H1473" s="40" t="s">
        <v>2968</v>
      </c>
      <c r="I1473" s="40" t="str">
        <f>VLOOKUP(Таблица18[[#This Row],[Номер акта]],$AB$1:$AF$2504,3,FALSE)</f>
        <v>А-3</v>
      </c>
      <c r="J1473" s="40" t="s">
        <v>524</v>
      </c>
      <c r="K1473" s="40" t="s">
        <v>2939</v>
      </c>
      <c r="L1473" s="121">
        <v>28750</v>
      </c>
      <c r="M1473" s="121">
        <v>15570</v>
      </c>
      <c r="N1473" s="121">
        <v>17.5</v>
      </c>
      <c r="O1473" s="363">
        <v>13180</v>
      </c>
      <c r="P1473" s="363">
        <v>10873.5</v>
      </c>
      <c r="Q1473" s="121">
        <v>2026</v>
      </c>
      <c r="R1473" s="121">
        <v>93</v>
      </c>
      <c r="S1473" s="148">
        <v>46181</v>
      </c>
      <c r="T1473" s="363">
        <f>Таблица18[[#This Row],[Вес нетто]]-Таблица18[[#This Row],[Зачетный вес]]</f>
        <v>2306.5</v>
      </c>
      <c r="U1473" s="392">
        <f>Таблица18[[#This Row],[Отход]]/Таблица18[[#This Row],[Вес нетто]]</f>
        <v>0.17499999999999999</v>
      </c>
      <c r="V1473" s="121">
        <f>MONTH(Таблица18[[#This Row],[Дата акта]])</f>
        <v>6</v>
      </c>
      <c r="W1473" s="121">
        <f>DAY(Таблица18[[#This Row],[Дата акта]])</f>
        <v>8</v>
      </c>
      <c r="X1473" s="148">
        <f>DATE(1900,Таблица18[[#This Row],[Месяц]],Таблица18[[#This Row],[Число]])</f>
        <v>160</v>
      </c>
      <c r="Y1473" s="121"/>
      <c r="Z1473" s="121" t="str">
        <f>Таблица18[[#This Row],[Хар-ка]]</f>
        <v>Высший</v>
      </c>
      <c r="AA1473"/>
      <c r="AB1473">
        <v>93</v>
      </c>
      <c r="AC1473"/>
      <c r="AD1473" s="460" t="s">
        <v>2968</v>
      </c>
      <c r="AE1473" s="463" t="s">
        <v>524</v>
      </c>
      <c r="AF1473" t="s">
        <v>46</v>
      </c>
    </row>
    <row r="1474" spans="1:32" s="465" customFormat="1" ht="33.75" x14ac:dyDescent="0.25">
      <c r="A1474" s="40" t="s">
        <v>3173</v>
      </c>
      <c r="B1474" s="360" t="s">
        <v>2940</v>
      </c>
      <c r="C1474" s="40">
        <v>148</v>
      </c>
      <c r="D1474" s="40">
        <v>80</v>
      </c>
      <c r="E1474" s="40" t="s">
        <v>2964</v>
      </c>
      <c r="F1474" s="40" t="s">
        <v>121</v>
      </c>
      <c r="G1474" s="40" t="s">
        <v>125</v>
      </c>
      <c r="H1474" s="40" t="s">
        <v>2968</v>
      </c>
      <c r="I1474" s="40" t="str">
        <f>VLOOKUP(Таблица18[[#This Row],[Номер акта]],$AB$1:$AF$2504,3,FALSE)</f>
        <v>А-3</v>
      </c>
      <c r="J1474" s="40" t="s">
        <v>524</v>
      </c>
      <c r="K1474" s="40" t="s">
        <v>2939</v>
      </c>
      <c r="L1474" s="121">
        <v>28030</v>
      </c>
      <c r="M1474" s="121">
        <v>14740</v>
      </c>
      <c r="N1474" s="121">
        <v>15.5</v>
      </c>
      <c r="O1474" s="363">
        <v>13290</v>
      </c>
      <c r="P1474" s="363">
        <v>11230.1</v>
      </c>
      <c r="Q1474" s="121">
        <v>2026</v>
      </c>
      <c r="R1474" s="121">
        <v>94</v>
      </c>
      <c r="S1474" s="148">
        <v>46181</v>
      </c>
      <c r="T1474" s="363">
        <f>Таблица18[[#This Row],[Вес нетто]]-Таблица18[[#This Row],[Зачетный вес]]</f>
        <v>2059.8999999999996</v>
      </c>
      <c r="U1474" s="392">
        <f>Таблица18[[#This Row],[Отход]]/Таблица18[[#This Row],[Вес нетто]]</f>
        <v>0.15499623777276145</v>
      </c>
      <c r="V1474" s="121">
        <f>MONTH(Таблица18[[#This Row],[Дата акта]])</f>
        <v>6</v>
      </c>
      <c r="W1474" s="121">
        <f>DAY(Таблица18[[#This Row],[Дата акта]])</f>
        <v>8</v>
      </c>
      <c r="X1474" s="148">
        <f>DATE(1900,Таблица18[[#This Row],[Месяц]],Таблица18[[#This Row],[Число]])</f>
        <v>160</v>
      </c>
      <c r="Y1474" s="121"/>
      <c r="Z1474" s="121" t="str">
        <f>Таблица18[[#This Row],[Хар-ка]]</f>
        <v>Высший</v>
      </c>
      <c r="AA1474"/>
      <c r="AB1474">
        <v>94</v>
      </c>
      <c r="AC1474"/>
      <c r="AD1474" s="460" t="s">
        <v>2968</v>
      </c>
      <c r="AE1474" s="463" t="s">
        <v>524</v>
      </c>
      <c r="AF1474" t="s">
        <v>46</v>
      </c>
    </row>
    <row r="1475" spans="1:32" s="465" customFormat="1" ht="33.75" x14ac:dyDescent="0.25">
      <c r="A1475" s="40" t="s">
        <v>3169</v>
      </c>
      <c r="B1475" s="360" t="s">
        <v>2940</v>
      </c>
      <c r="C1475" s="40">
        <v>149</v>
      </c>
      <c r="D1475" s="40">
        <v>81</v>
      </c>
      <c r="E1475" s="40" t="s">
        <v>2964</v>
      </c>
      <c r="F1475" s="40" t="s">
        <v>329</v>
      </c>
      <c r="G1475" s="40" t="s">
        <v>333</v>
      </c>
      <c r="H1475" s="40" t="s">
        <v>2968</v>
      </c>
      <c r="I1475" s="40" t="str">
        <f>VLOOKUP(Таблица18[[#This Row],[Номер акта]],$AB$1:$AF$2504,3,FALSE)</f>
        <v>А-3</v>
      </c>
      <c r="J1475" s="40" t="s">
        <v>524</v>
      </c>
      <c r="K1475" s="40" t="s">
        <v>2939</v>
      </c>
      <c r="L1475" s="121">
        <v>28260</v>
      </c>
      <c r="M1475" s="121">
        <v>14930</v>
      </c>
      <c r="N1475" s="121">
        <v>18.5</v>
      </c>
      <c r="O1475" s="363">
        <v>13330</v>
      </c>
      <c r="P1475" s="363">
        <v>10863.9</v>
      </c>
      <c r="Q1475" s="121">
        <v>2026</v>
      </c>
      <c r="R1475" s="121">
        <v>95</v>
      </c>
      <c r="S1475" s="148">
        <v>46181</v>
      </c>
      <c r="T1475" s="363">
        <f>Таблица18[[#This Row],[Вес нетто]]-Таблица18[[#This Row],[Зачетный вес]]</f>
        <v>2466.1000000000004</v>
      </c>
      <c r="U1475" s="392">
        <f>Таблица18[[#This Row],[Отход]]/Таблица18[[#This Row],[Вес нетто]]</f>
        <v>0.18500375093773447</v>
      </c>
      <c r="V1475" s="121">
        <f>MONTH(Таблица18[[#This Row],[Дата акта]])</f>
        <v>6</v>
      </c>
      <c r="W1475" s="121">
        <f>DAY(Таблица18[[#This Row],[Дата акта]])</f>
        <v>8</v>
      </c>
      <c r="X1475" s="148">
        <f>DATE(1900,Таблица18[[#This Row],[Месяц]],Таблица18[[#This Row],[Число]])</f>
        <v>160</v>
      </c>
      <c r="Y1475" s="121"/>
      <c r="Z1475" s="121" t="str">
        <f>Таблица18[[#This Row],[Хар-ка]]</f>
        <v>Высший</v>
      </c>
      <c r="AA1475"/>
      <c r="AB1475">
        <v>95</v>
      </c>
      <c r="AC1475"/>
      <c r="AD1475" s="460" t="s">
        <v>2968</v>
      </c>
      <c r="AE1475" s="463" t="s">
        <v>524</v>
      </c>
      <c r="AF1475" t="s">
        <v>46</v>
      </c>
    </row>
    <row r="1476" spans="1:32" s="465" customFormat="1" ht="33.75" x14ac:dyDescent="0.25">
      <c r="A1476" s="40" t="s">
        <v>3170</v>
      </c>
      <c r="B1476" s="360" t="s">
        <v>2940</v>
      </c>
      <c r="C1476" s="40">
        <v>150</v>
      </c>
      <c r="D1476" s="40">
        <v>82</v>
      </c>
      <c r="E1476" s="40" t="s">
        <v>2964</v>
      </c>
      <c r="F1476" s="40" t="s">
        <v>195</v>
      </c>
      <c r="G1476" s="40" t="s">
        <v>199</v>
      </c>
      <c r="H1476" s="40" t="s">
        <v>2968</v>
      </c>
      <c r="I1476" s="40" t="str">
        <f>VLOOKUP(Таблица18[[#This Row],[Номер акта]],$AB$1:$AF$2504,3,FALSE)</f>
        <v>А-3</v>
      </c>
      <c r="J1476" s="40" t="s">
        <v>524</v>
      </c>
      <c r="K1476" s="40" t="s">
        <v>2939</v>
      </c>
      <c r="L1476" s="121">
        <v>28540</v>
      </c>
      <c r="M1476" s="121">
        <v>15200</v>
      </c>
      <c r="N1476" s="121">
        <v>19.5</v>
      </c>
      <c r="O1476" s="363">
        <v>13340</v>
      </c>
      <c r="P1476" s="363">
        <v>10738.7</v>
      </c>
      <c r="Q1476" s="121">
        <v>2026</v>
      </c>
      <c r="R1476" s="121">
        <v>96</v>
      </c>
      <c r="S1476" s="148">
        <v>46181</v>
      </c>
      <c r="T1476" s="363">
        <f>Таблица18[[#This Row],[Вес нетто]]-Таблица18[[#This Row],[Зачетный вес]]</f>
        <v>2601.2999999999993</v>
      </c>
      <c r="U1476" s="392">
        <f>Таблица18[[#This Row],[Отход]]/Таблица18[[#This Row],[Вес нетто]]</f>
        <v>0.19499999999999995</v>
      </c>
      <c r="V1476" s="121">
        <f>MONTH(Таблица18[[#This Row],[Дата акта]])</f>
        <v>6</v>
      </c>
      <c r="W1476" s="121">
        <f>DAY(Таблица18[[#This Row],[Дата акта]])</f>
        <v>8</v>
      </c>
      <c r="X1476" s="148">
        <f>DATE(1900,Таблица18[[#This Row],[Месяц]],Таблица18[[#This Row],[Число]])</f>
        <v>160</v>
      </c>
      <c r="Y1476" s="121"/>
      <c r="Z1476" s="121" t="str">
        <f>Таблица18[[#This Row],[Хар-ка]]</f>
        <v>Высший</v>
      </c>
      <c r="AA1476"/>
      <c r="AB1476">
        <v>96</v>
      </c>
      <c r="AC1476"/>
      <c r="AD1476" s="460" t="s">
        <v>2968</v>
      </c>
      <c r="AE1476" s="463" t="s">
        <v>524</v>
      </c>
      <c r="AF1476" t="s">
        <v>46</v>
      </c>
    </row>
    <row r="1477" spans="1:32" s="465" customFormat="1" ht="22.5" x14ac:dyDescent="0.25">
      <c r="A1477" s="40" t="s">
        <v>3174</v>
      </c>
      <c r="B1477" s="360" t="s">
        <v>2940</v>
      </c>
      <c r="C1477" s="40">
        <v>151</v>
      </c>
      <c r="D1477" s="40">
        <v>83</v>
      </c>
      <c r="E1477" s="40" t="s">
        <v>2964</v>
      </c>
      <c r="F1477" s="40" t="s">
        <v>234</v>
      </c>
      <c r="G1477" s="40" t="s">
        <v>238</v>
      </c>
      <c r="H1477" s="40" t="s">
        <v>2968</v>
      </c>
      <c r="I1477" s="40" t="str">
        <f>VLOOKUP(Таблица18[[#This Row],[Номер акта]],$AB$1:$AF$2504,3,FALSE)</f>
        <v>А-3</v>
      </c>
      <c r="J1477" s="40" t="s">
        <v>524</v>
      </c>
      <c r="K1477" s="40" t="s">
        <v>2939</v>
      </c>
      <c r="L1477" s="121">
        <v>28590</v>
      </c>
      <c r="M1477" s="121">
        <v>15570</v>
      </c>
      <c r="N1477" s="121">
        <v>18.5</v>
      </c>
      <c r="O1477" s="363">
        <v>13020</v>
      </c>
      <c r="P1477" s="363">
        <v>10611.3</v>
      </c>
      <c r="Q1477" s="121">
        <v>2026</v>
      </c>
      <c r="R1477" s="121">
        <v>97</v>
      </c>
      <c r="S1477" s="148">
        <v>46182</v>
      </c>
      <c r="T1477" s="363">
        <f>Таблица18[[#This Row],[Вес нетто]]-Таблица18[[#This Row],[Зачетный вес]]</f>
        <v>2408.7000000000007</v>
      </c>
      <c r="U1477" s="392">
        <f>Таблица18[[#This Row],[Отход]]/Таблица18[[#This Row],[Вес нетто]]</f>
        <v>0.18500000000000005</v>
      </c>
      <c r="V1477" s="121">
        <f>MONTH(Таблица18[[#This Row],[Дата акта]])</f>
        <v>6</v>
      </c>
      <c r="W1477" s="121">
        <f>DAY(Таблица18[[#This Row],[Дата акта]])</f>
        <v>9</v>
      </c>
      <c r="X1477" s="148">
        <f>DATE(1900,Таблица18[[#This Row],[Месяц]],Таблица18[[#This Row],[Число]])</f>
        <v>161</v>
      </c>
      <c r="Y1477" s="121"/>
      <c r="Z1477" s="121" t="str">
        <f>Таблица18[[#This Row],[Хар-ка]]</f>
        <v>Высший</v>
      </c>
      <c r="AA1477"/>
      <c r="AB1477">
        <v>97</v>
      </c>
      <c r="AC1477"/>
      <c r="AD1477" s="460" t="s">
        <v>2968</v>
      </c>
      <c r="AE1477" s="463" t="s">
        <v>524</v>
      </c>
      <c r="AF1477" t="s">
        <v>46</v>
      </c>
    </row>
    <row r="1478" spans="1:32" s="465" customFormat="1" ht="33.75" x14ac:dyDescent="0.25">
      <c r="A1478" s="40" t="s">
        <v>3175</v>
      </c>
      <c r="B1478" s="360" t="s">
        <v>2940</v>
      </c>
      <c r="C1478" s="40">
        <v>152</v>
      </c>
      <c r="D1478" s="40">
        <v>84</v>
      </c>
      <c r="E1478" s="40" t="s">
        <v>2964</v>
      </c>
      <c r="F1478" s="40" t="s">
        <v>121</v>
      </c>
      <c r="G1478" s="40" t="s">
        <v>125</v>
      </c>
      <c r="H1478" s="40" t="s">
        <v>2968</v>
      </c>
      <c r="I1478" s="40" t="str">
        <f>VLOOKUP(Таблица18[[#This Row],[Номер акта]],$AB$1:$AF$2504,3,FALSE)</f>
        <v>А-3</v>
      </c>
      <c r="J1478" s="40" t="s">
        <v>524</v>
      </c>
      <c r="K1478" s="40" t="s">
        <v>2939</v>
      </c>
      <c r="L1478" s="121">
        <v>28040</v>
      </c>
      <c r="M1478" s="121">
        <v>14730</v>
      </c>
      <c r="N1478" s="121">
        <v>16.5</v>
      </c>
      <c r="O1478" s="363">
        <v>13310</v>
      </c>
      <c r="P1478" s="363">
        <v>11113.9</v>
      </c>
      <c r="Q1478" s="121">
        <v>2026</v>
      </c>
      <c r="R1478" s="121">
        <v>98</v>
      </c>
      <c r="S1478" s="148">
        <v>46182</v>
      </c>
      <c r="T1478" s="363">
        <f>Таблица18[[#This Row],[Вес нетто]]-Таблица18[[#This Row],[Зачетный вес]]</f>
        <v>2196.1000000000004</v>
      </c>
      <c r="U1478" s="392">
        <f>Таблица18[[#This Row],[Отход]]/Таблица18[[#This Row],[Вес нетто]]</f>
        <v>0.16499624342599553</v>
      </c>
      <c r="V1478" s="121">
        <f>MONTH(Таблица18[[#This Row],[Дата акта]])</f>
        <v>6</v>
      </c>
      <c r="W1478" s="121">
        <f>DAY(Таблица18[[#This Row],[Дата акта]])</f>
        <v>9</v>
      </c>
      <c r="X1478" s="148">
        <f>DATE(1900,Таблица18[[#This Row],[Месяц]],Таблица18[[#This Row],[Число]])</f>
        <v>161</v>
      </c>
      <c r="Y1478" s="121"/>
      <c r="Z1478" s="121" t="str">
        <f>Таблица18[[#This Row],[Хар-ка]]</f>
        <v>Высший</v>
      </c>
      <c r="AA1478"/>
      <c r="AB1478">
        <v>98</v>
      </c>
      <c r="AC1478"/>
      <c r="AD1478" s="460" t="s">
        <v>2968</v>
      </c>
      <c r="AE1478" s="463" t="s">
        <v>524</v>
      </c>
      <c r="AF1478" t="s">
        <v>46</v>
      </c>
    </row>
    <row r="1479" spans="1:32" s="465" customFormat="1" ht="33.75" x14ac:dyDescent="0.25">
      <c r="A1479" s="40" t="s">
        <v>3176</v>
      </c>
      <c r="B1479" s="360" t="s">
        <v>2940</v>
      </c>
      <c r="C1479" s="40">
        <v>153</v>
      </c>
      <c r="D1479" s="40">
        <v>85</v>
      </c>
      <c r="E1479" s="40" t="s">
        <v>2964</v>
      </c>
      <c r="F1479" s="40" t="s">
        <v>329</v>
      </c>
      <c r="G1479" s="40" t="s">
        <v>333</v>
      </c>
      <c r="H1479" s="40" t="s">
        <v>2968</v>
      </c>
      <c r="I1479" s="40" t="str">
        <f>VLOOKUP(Таблица18[[#This Row],[Номер акта]],$AB$1:$AF$2504,3,FALSE)</f>
        <v>А-3</v>
      </c>
      <c r="J1479" s="40" t="s">
        <v>524</v>
      </c>
      <c r="K1479" s="40" t="s">
        <v>2939</v>
      </c>
      <c r="L1479" s="121">
        <v>28270</v>
      </c>
      <c r="M1479" s="121">
        <v>14930</v>
      </c>
      <c r="N1479" s="121">
        <v>20.5</v>
      </c>
      <c r="O1479" s="363">
        <v>13340</v>
      </c>
      <c r="P1479" s="363">
        <v>10605.3</v>
      </c>
      <c r="Q1479" s="121">
        <v>2026</v>
      </c>
      <c r="R1479" s="121">
        <v>99</v>
      </c>
      <c r="S1479" s="148">
        <v>46182</v>
      </c>
      <c r="T1479" s="363">
        <f>Таблица18[[#This Row],[Вес нетто]]-Таблица18[[#This Row],[Зачетный вес]]</f>
        <v>2734.7000000000007</v>
      </c>
      <c r="U1479" s="392">
        <f>Таблица18[[#This Row],[Отход]]/Таблица18[[#This Row],[Вес нетто]]</f>
        <v>0.20500000000000004</v>
      </c>
      <c r="V1479" s="121">
        <f>MONTH(Таблица18[[#This Row],[Дата акта]])</f>
        <v>6</v>
      </c>
      <c r="W1479" s="121">
        <f>DAY(Таблица18[[#This Row],[Дата акта]])</f>
        <v>9</v>
      </c>
      <c r="X1479" s="148">
        <f>DATE(1900,Таблица18[[#This Row],[Месяц]],Таблица18[[#This Row],[Число]])</f>
        <v>161</v>
      </c>
      <c r="Y1479" s="121"/>
      <c r="Z1479" s="121" t="str">
        <f>Таблица18[[#This Row],[Хар-ка]]</f>
        <v>Высший</v>
      </c>
      <c r="AA1479"/>
      <c r="AB1479">
        <v>99</v>
      </c>
      <c r="AC1479"/>
      <c r="AD1479" s="460" t="s">
        <v>2968</v>
      </c>
      <c r="AE1479" s="463" t="s">
        <v>524</v>
      </c>
      <c r="AF1479" t="s">
        <v>46</v>
      </c>
    </row>
    <row r="1480" spans="1:32" s="465" customFormat="1" ht="33.75" x14ac:dyDescent="0.25">
      <c r="A1480" s="40" t="s">
        <v>3177</v>
      </c>
      <c r="B1480" s="360" t="s">
        <v>2940</v>
      </c>
      <c r="C1480" s="40">
        <v>154</v>
      </c>
      <c r="D1480" s="40">
        <v>86</v>
      </c>
      <c r="E1480" s="40" t="s">
        <v>2964</v>
      </c>
      <c r="F1480" s="40" t="s">
        <v>195</v>
      </c>
      <c r="G1480" s="40" t="s">
        <v>199</v>
      </c>
      <c r="H1480" s="40" t="s">
        <v>2968</v>
      </c>
      <c r="I1480" s="40" t="str">
        <f>VLOOKUP(Таблица18[[#This Row],[Номер акта]],$AB$1:$AF$2504,3,FALSE)</f>
        <v>А-3</v>
      </c>
      <c r="J1480" s="40" t="s">
        <v>524</v>
      </c>
      <c r="K1480" s="40" t="s">
        <v>2939</v>
      </c>
      <c r="L1480" s="121">
        <v>28690</v>
      </c>
      <c r="M1480" s="121">
        <v>15180</v>
      </c>
      <c r="N1480" s="121">
        <v>21.5</v>
      </c>
      <c r="O1480" s="363">
        <v>13510</v>
      </c>
      <c r="P1480" s="363">
        <v>10605.3</v>
      </c>
      <c r="Q1480" s="121">
        <v>2026</v>
      </c>
      <c r="R1480" s="121">
        <v>100</v>
      </c>
      <c r="S1480" s="148">
        <v>46182</v>
      </c>
      <c r="T1480" s="363">
        <f>Таблица18[[#This Row],[Вес нетто]]-Таблица18[[#This Row],[Зачетный вес]]</f>
        <v>2904.7000000000007</v>
      </c>
      <c r="U1480" s="392">
        <f>Таблица18[[#This Row],[Отход]]/Таблица18[[#This Row],[Вес нетто]]</f>
        <v>0.21500370096225024</v>
      </c>
      <c r="V1480" s="121">
        <f>MONTH(Таблица18[[#This Row],[Дата акта]])</f>
        <v>6</v>
      </c>
      <c r="W1480" s="121">
        <f>DAY(Таблица18[[#This Row],[Дата акта]])</f>
        <v>9</v>
      </c>
      <c r="X1480" s="148">
        <f>DATE(1900,Таблица18[[#This Row],[Месяц]],Таблица18[[#This Row],[Число]])</f>
        <v>161</v>
      </c>
      <c r="Y1480" s="121"/>
      <c r="Z1480" s="121" t="str">
        <f>Таблица18[[#This Row],[Хар-ка]]</f>
        <v>Высший</v>
      </c>
      <c r="AA1480"/>
      <c r="AB1480">
        <v>100</v>
      </c>
      <c r="AC1480"/>
      <c r="AD1480" s="460" t="s">
        <v>2968</v>
      </c>
      <c r="AE1480" s="463" t="s">
        <v>524</v>
      </c>
      <c r="AF1480" t="s">
        <v>46</v>
      </c>
    </row>
    <row r="1481" spans="1:32" s="465" customFormat="1" ht="22.5" x14ac:dyDescent="0.25">
      <c r="A1481" s="40" t="s">
        <v>3185</v>
      </c>
      <c r="B1481" s="360" t="s">
        <v>2940</v>
      </c>
      <c r="C1481" s="40">
        <v>155</v>
      </c>
      <c r="D1481" s="40">
        <v>87</v>
      </c>
      <c r="E1481" s="40" t="s">
        <v>2964</v>
      </c>
      <c r="F1481" s="40" t="s">
        <v>234</v>
      </c>
      <c r="G1481" s="40" t="s">
        <v>238</v>
      </c>
      <c r="H1481" s="40" t="s">
        <v>2968</v>
      </c>
      <c r="I1481" s="40" t="str">
        <f>VLOOKUP(Таблица18[[#This Row],[Номер акта]],$AB$1:$AF$2504,3,FALSE)</f>
        <v>А-3</v>
      </c>
      <c r="J1481" s="40" t="s">
        <v>524</v>
      </c>
      <c r="K1481" s="40" t="s">
        <v>2939</v>
      </c>
      <c r="L1481" s="121">
        <v>28800</v>
      </c>
      <c r="M1481" s="121">
        <v>15570</v>
      </c>
      <c r="N1481" s="121">
        <v>24.5</v>
      </c>
      <c r="O1481" s="363">
        <v>13230</v>
      </c>
      <c r="P1481" s="363">
        <v>9988.7000000000007</v>
      </c>
      <c r="Q1481" s="121">
        <v>2026</v>
      </c>
      <c r="R1481" s="121">
        <v>101</v>
      </c>
      <c r="S1481" s="148">
        <v>46182</v>
      </c>
      <c r="T1481" s="363">
        <f>Таблица18[[#This Row],[Вес нетто]]-Таблица18[[#This Row],[Зачетный вес]]</f>
        <v>3241.2999999999993</v>
      </c>
      <c r="U1481" s="392">
        <f>Таблица18[[#This Row],[Отход]]/Таблица18[[#This Row],[Вес нетто]]</f>
        <v>0.24499622071050636</v>
      </c>
      <c r="V1481" s="121">
        <f>MONTH(Таблица18[[#This Row],[Дата акта]])</f>
        <v>6</v>
      </c>
      <c r="W1481" s="121">
        <f>DAY(Таблица18[[#This Row],[Дата акта]])</f>
        <v>9</v>
      </c>
      <c r="X1481" s="148">
        <f>DATE(1900,Таблица18[[#This Row],[Месяц]],Таблица18[[#This Row],[Число]])</f>
        <v>161</v>
      </c>
      <c r="Y1481" s="121"/>
      <c r="Z1481" s="121" t="str">
        <f>Таблица18[[#This Row],[Хар-ка]]</f>
        <v>Высший</v>
      </c>
      <c r="AA1481"/>
      <c r="AB1481">
        <v>101</v>
      </c>
      <c r="AC1481"/>
      <c r="AD1481" s="460" t="s">
        <v>2968</v>
      </c>
      <c r="AE1481" t="s">
        <v>524</v>
      </c>
      <c r="AF1481" t="s">
        <v>46</v>
      </c>
    </row>
    <row r="1482" spans="1:32" s="465" customFormat="1" ht="33.75" x14ac:dyDescent="0.25">
      <c r="A1482" s="40" t="s">
        <v>3181</v>
      </c>
      <c r="B1482" s="360" t="s">
        <v>2940</v>
      </c>
      <c r="C1482" s="40">
        <v>156</v>
      </c>
      <c r="D1482" s="40">
        <v>88</v>
      </c>
      <c r="E1482" s="40" t="s">
        <v>2964</v>
      </c>
      <c r="F1482" s="40" t="s">
        <v>121</v>
      </c>
      <c r="G1482" s="40" t="s">
        <v>125</v>
      </c>
      <c r="H1482" s="40" t="s">
        <v>2968</v>
      </c>
      <c r="I1482" s="40" t="str">
        <f>VLOOKUP(Таблица18[[#This Row],[Номер акта]],$AB$1:$AF$2504,3,FALSE)</f>
        <v>А-3</v>
      </c>
      <c r="J1482" s="40" t="s">
        <v>524</v>
      </c>
      <c r="K1482" s="40" t="s">
        <v>2939</v>
      </c>
      <c r="L1482" s="121">
        <v>27880</v>
      </c>
      <c r="M1482" s="121">
        <v>14720</v>
      </c>
      <c r="N1482" s="121">
        <v>24.5</v>
      </c>
      <c r="O1482" s="363">
        <v>13160</v>
      </c>
      <c r="P1482" s="363">
        <v>9935.7999999999993</v>
      </c>
      <c r="Q1482" s="121">
        <v>2026</v>
      </c>
      <c r="R1482" s="121">
        <v>102</v>
      </c>
      <c r="S1482" s="148">
        <v>46182</v>
      </c>
      <c r="T1482" s="363">
        <f>Таблица18[[#This Row],[Вес нетто]]-Таблица18[[#This Row],[Зачетный вес]]</f>
        <v>3224.2000000000007</v>
      </c>
      <c r="U1482" s="392">
        <f>Таблица18[[#This Row],[Отход]]/Таблица18[[#This Row],[Вес нетто]]</f>
        <v>0.24500000000000005</v>
      </c>
      <c r="V1482" s="121">
        <f>MONTH(Таблица18[[#This Row],[Дата акта]])</f>
        <v>6</v>
      </c>
      <c r="W1482" s="121">
        <f>DAY(Таблица18[[#This Row],[Дата акта]])</f>
        <v>9</v>
      </c>
      <c r="X1482" s="148">
        <f>DATE(1900,Таблица18[[#This Row],[Месяц]],Таблица18[[#This Row],[Число]])</f>
        <v>161</v>
      </c>
      <c r="Y1482" s="121"/>
      <c r="Z1482" s="121" t="str">
        <f>Таблица18[[#This Row],[Хар-ка]]</f>
        <v>Высший</v>
      </c>
      <c r="AA1482"/>
      <c r="AB1482">
        <v>102</v>
      </c>
      <c r="AC1482"/>
      <c r="AD1482" s="460" t="s">
        <v>2968</v>
      </c>
      <c r="AE1482" t="s">
        <v>524</v>
      </c>
      <c r="AF1482" t="s">
        <v>46</v>
      </c>
    </row>
    <row r="1483" spans="1:32" s="465" customFormat="1" ht="33.75" x14ac:dyDescent="0.25">
      <c r="A1483" s="40" t="s">
        <v>3180</v>
      </c>
      <c r="B1483" s="360" t="s">
        <v>2940</v>
      </c>
      <c r="C1483" s="40">
        <v>157</v>
      </c>
      <c r="D1483" s="40">
        <v>89</v>
      </c>
      <c r="E1483" s="40" t="s">
        <v>2964</v>
      </c>
      <c r="F1483" s="40" t="s">
        <v>329</v>
      </c>
      <c r="G1483" s="40" t="s">
        <v>333</v>
      </c>
      <c r="H1483" s="40" t="s">
        <v>2968</v>
      </c>
      <c r="I1483" s="40" t="str">
        <f>VLOOKUP(Таблица18[[#This Row],[Номер акта]],$AB$1:$AF$2504,3,FALSE)</f>
        <v>А-3</v>
      </c>
      <c r="J1483" s="40" t="s">
        <v>524</v>
      </c>
      <c r="K1483" s="40" t="s">
        <v>2939</v>
      </c>
      <c r="L1483" s="121">
        <v>22020</v>
      </c>
      <c r="M1483" s="121">
        <v>14910</v>
      </c>
      <c r="N1483" s="121">
        <v>22.5</v>
      </c>
      <c r="O1483" s="363">
        <v>7110</v>
      </c>
      <c r="P1483" s="363">
        <v>5510.3</v>
      </c>
      <c r="Q1483" s="121">
        <v>2026</v>
      </c>
      <c r="R1483" s="121">
        <v>103</v>
      </c>
      <c r="S1483" s="148">
        <v>46182</v>
      </c>
      <c r="T1483" s="363">
        <f>Таблица18[[#This Row],[Вес нетто]]-Таблица18[[#This Row],[Зачетный вес]]</f>
        <v>1599.6999999999998</v>
      </c>
      <c r="U1483" s="392">
        <f>Таблица18[[#This Row],[Отход]]/Таблица18[[#This Row],[Вес нетто]]</f>
        <v>0.22499296765119547</v>
      </c>
      <c r="V1483" s="121">
        <f>MONTH(Таблица18[[#This Row],[Дата акта]])</f>
        <v>6</v>
      </c>
      <c r="W1483" s="121">
        <f>DAY(Таблица18[[#This Row],[Дата акта]])</f>
        <v>9</v>
      </c>
      <c r="X1483" s="148">
        <f>DATE(1900,Таблица18[[#This Row],[Месяц]],Таблица18[[#This Row],[Число]])</f>
        <v>161</v>
      </c>
      <c r="Y1483" s="121"/>
      <c r="Z1483" s="121" t="str">
        <f>Таблица18[[#This Row],[Хар-ка]]</f>
        <v>Высший</v>
      </c>
      <c r="AA1483"/>
      <c r="AB1483">
        <v>103</v>
      </c>
      <c r="AC1483"/>
      <c r="AD1483" s="460" t="s">
        <v>2968</v>
      </c>
      <c r="AE1483" t="s">
        <v>524</v>
      </c>
      <c r="AF1483" t="s">
        <v>46</v>
      </c>
    </row>
    <row r="1484" spans="1:32" s="465" customFormat="1" ht="33.75" x14ac:dyDescent="0.25">
      <c r="A1484" s="40" t="s">
        <v>3193</v>
      </c>
      <c r="B1484" s="360" t="s">
        <v>2940</v>
      </c>
      <c r="C1484" s="40">
        <v>160</v>
      </c>
      <c r="D1484" s="40">
        <v>90</v>
      </c>
      <c r="E1484" s="40" t="s">
        <v>2964</v>
      </c>
      <c r="F1484" s="40" t="s">
        <v>195</v>
      </c>
      <c r="G1484" s="40" t="s">
        <v>199</v>
      </c>
      <c r="H1484" s="40" t="s">
        <v>2974</v>
      </c>
      <c r="I1484" s="40" t="str">
        <f>VLOOKUP(Таблица18[[#This Row],[Номер акта]],$AB$1:$AF$2504,3,FALSE)</f>
        <v>А-22/1</v>
      </c>
      <c r="J1484" s="40" t="s">
        <v>747</v>
      </c>
      <c r="K1484" s="40" t="s">
        <v>2939</v>
      </c>
      <c r="L1484" s="121">
        <v>28560</v>
      </c>
      <c r="M1484" s="121">
        <v>15160</v>
      </c>
      <c r="N1484" s="121">
        <v>20.5</v>
      </c>
      <c r="O1484" s="363">
        <v>13400</v>
      </c>
      <c r="P1484" s="363">
        <v>10653</v>
      </c>
      <c r="Q1484" s="121">
        <v>2026</v>
      </c>
      <c r="R1484" s="121">
        <v>104</v>
      </c>
      <c r="S1484" s="148">
        <v>46182</v>
      </c>
      <c r="T1484" s="363">
        <f>Таблица18[[#This Row],[Вес нетто]]-Таблица18[[#This Row],[Зачетный вес]]</f>
        <v>2747</v>
      </c>
      <c r="U1484" s="392">
        <f>Таблица18[[#This Row],[Отход]]/Таблица18[[#This Row],[Вес нетто]]</f>
        <v>0.20499999999999999</v>
      </c>
      <c r="V1484" s="121">
        <f>MONTH(Таблица18[[#This Row],[Дата акта]])</f>
        <v>6</v>
      </c>
      <c r="W1484" s="121">
        <f>DAY(Таблица18[[#This Row],[Дата акта]])</f>
        <v>9</v>
      </c>
      <c r="X1484" s="148">
        <f>DATE(1900,Таблица18[[#This Row],[Месяц]],Таблица18[[#This Row],[Число]])</f>
        <v>161</v>
      </c>
      <c r="Y1484" s="121"/>
      <c r="Z1484" s="121" t="str">
        <f>Таблица18[[#This Row],[Хар-ка]]</f>
        <v>Высший</v>
      </c>
      <c r="AA1484"/>
      <c r="AB1484">
        <v>104</v>
      </c>
      <c r="AC1484"/>
      <c r="AD1484" s="460" t="s">
        <v>2974</v>
      </c>
      <c r="AE1484" t="s">
        <v>747</v>
      </c>
      <c r="AF1484" t="s">
        <v>46</v>
      </c>
    </row>
    <row r="1485" spans="1:32" s="465" customFormat="1" ht="33.75" x14ac:dyDescent="0.25">
      <c r="A1485" s="40" t="s">
        <v>3183</v>
      </c>
      <c r="B1485" s="360" t="s">
        <v>2940</v>
      </c>
      <c r="C1485" s="40">
        <v>161</v>
      </c>
      <c r="D1485" s="40">
        <v>91</v>
      </c>
      <c r="E1485" s="40" t="s">
        <v>2964</v>
      </c>
      <c r="F1485" s="40" t="s">
        <v>762</v>
      </c>
      <c r="G1485" s="40" t="s">
        <v>763</v>
      </c>
      <c r="H1485" s="40" t="s">
        <v>2974</v>
      </c>
      <c r="I1485" s="40" t="str">
        <f>VLOOKUP(Таблица18[[#This Row],[Номер акта]],$AB$1:$AF$2504,3,FALSE)</f>
        <v>А-22/1</v>
      </c>
      <c r="J1485" s="40" t="s">
        <v>747</v>
      </c>
      <c r="K1485" s="40" t="s">
        <v>2939</v>
      </c>
      <c r="L1485" s="121">
        <v>9240</v>
      </c>
      <c r="M1485" s="121">
        <v>4680</v>
      </c>
      <c r="N1485" s="121">
        <v>17.5</v>
      </c>
      <c r="O1485" s="363">
        <v>4560</v>
      </c>
      <c r="P1485" s="363">
        <v>3762</v>
      </c>
      <c r="Q1485" s="121">
        <v>2026</v>
      </c>
      <c r="R1485" s="121">
        <v>105</v>
      </c>
      <c r="S1485" s="148">
        <v>46182</v>
      </c>
      <c r="T1485" s="363">
        <f>Таблица18[[#This Row],[Вес нетто]]-Таблица18[[#This Row],[Зачетный вес]]</f>
        <v>798</v>
      </c>
      <c r="U1485" s="392">
        <f>Таблица18[[#This Row],[Отход]]/Таблица18[[#This Row],[Вес нетто]]</f>
        <v>0.17499999999999999</v>
      </c>
      <c r="V1485" s="121">
        <f>MONTH(Таблица18[[#This Row],[Дата акта]])</f>
        <v>6</v>
      </c>
      <c r="W1485" s="121">
        <f>DAY(Таблица18[[#This Row],[Дата акта]])</f>
        <v>9</v>
      </c>
      <c r="X1485" s="148">
        <f>DATE(1900,Таблица18[[#This Row],[Месяц]],Таблица18[[#This Row],[Число]])</f>
        <v>161</v>
      </c>
      <c r="Y1485" s="121"/>
      <c r="Z1485" s="121" t="str">
        <f>Таблица18[[#This Row],[Хар-ка]]</f>
        <v>Высший</v>
      </c>
      <c r="AA1485"/>
      <c r="AB1485">
        <v>105</v>
      </c>
      <c r="AC1485"/>
      <c r="AD1485" s="460" t="s">
        <v>2974</v>
      </c>
      <c r="AE1485" t="s">
        <v>747</v>
      </c>
      <c r="AF1485" t="s">
        <v>46</v>
      </c>
    </row>
    <row r="1486" spans="1:32" s="465" customFormat="1" ht="22.5" x14ac:dyDescent="0.25">
      <c r="A1486" s="40" t="s">
        <v>3184</v>
      </c>
      <c r="B1486" s="360" t="s">
        <v>2940</v>
      </c>
      <c r="C1486" s="40">
        <v>162</v>
      </c>
      <c r="D1486" s="40">
        <v>92</v>
      </c>
      <c r="E1486" s="40" t="s">
        <v>2964</v>
      </c>
      <c r="F1486" s="40" t="s">
        <v>1792</v>
      </c>
      <c r="G1486" s="40" t="s">
        <v>80</v>
      </c>
      <c r="H1486" s="40" t="s">
        <v>3194</v>
      </c>
      <c r="I1486" s="40" t="str">
        <f>VLOOKUP(Таблица18[[#This Row],[Номер акта]],$AB$1:$AF$2504,3,FALSE)</f>
        <v>А-22/1</v>
      </c>
      <c r="J1486" s="40" t="s">
        <v>747</v>
      </c>
      <c r="K1486" s="40" t="s">
        <v>2939</v>
      </c>
      <c r="L1486" s="121">
        <v>27350</v>
      </c>
      <c r="M1486" s="121">
        <v>14340</v>
      </c>
      <c r="N1486" s="121">
        <v>11.5</v>
      </c>
      <c r="O1486" s="363">
        <v>13010</v>
      </c>
      <c r="P1486" s="363">
        <v>11513.8</v>
      </c>
      <c r="Q1486" s="121">
        <v>2026</v>
      </c>
      <c r="R1486" s="121">
        <v>106</v>
      </c>
      <c r="S1486" s="148">
        <v>46182</v>
      </c>
      <c r="T1486" s="363">
        <f>Таблица18[[#This Row],[Вес нетто]]-Таблица18[[#This Row],[Зачетный вес]]</f>
        <v>1496.2000000000007</v>
      </c>
      <c r="U1486" s="392">
        <f>Таблица18[[#This Row],[Отход]]/Таблица18[[#This Row],[Вес нетто]]</f>
        <v>0.11500384319754041</v>
      </c>
      <c r="V1486" s="121">
        <f>MONTH(Таблица18[[#This Row],[Дата акта]])</f>
        <v>6</v>
      </c>
      <c r="W1486" s="121">
        <f>DAY(Таблица18[[#This Row],[Дата акта]])</f>
        <v>9</v>
      </c>
      <c r="X1486" s="148">
        <f>DATE(1900,Таблица18[[#This Row],[Месяц]],Таблица18[[#This Row],[Число]])</f>
        <v>161</v>
      </c>
      <c r="Y1486" s="121"/>
      <c r="Z1486" s="121" t="str">
        <f>Таблица18[[#This Row],[Хар-ка]]</f>
        <v>Высший</v>
      </c>
      <c r="AA1486"/>
      <c r="AB1486">
        <v>106</v>
      </c>
      <c r="AC1486"/>
      <c r="AD1486" s="460" t="s">
        <v>2974</v>
      </c>
      <c r="AE1486" t="s">
        <v>747</v>
      </c>
      <c r="AF1486" t="s">
        <v>46</v>
      </c>
    </row>
    <row r="1487" spans="1:32" s="465" customFormat="1" ht="33.75" x14ac:dyDescent="0.25">
      <c r="A1487" s="40" t="s">
        <v>3190</v>
      </c>
      <c r="B1487" s="360" t="s">
        <v>2940</v>
      </c>
      <c r="C1487" s="40">
        <v>163</v>
      </c>
      <c r="D1487" s="40">
        <v>93</v>
      </c>
      <c r="E1487" s="40" t="s">
        <v>2964</v>
      </c>
      <c r="F1487" s="40" t="s">
        <v>3195</v>
      </c>
      <c r="G1487" s="40" t="s">
        <v>3196</v>
      </c>
      <c r="H1487" s="40" t="s">
        <v>3194</v>
      </c>
      <c r="I1487" s="40" t="str">
        <f>VLOOKUP(Таблица18[[#This Row],[Номер акта]],$AB$1:$AF$2504,3,FALSE)</f>
        <v>А-22/1</v>
      </c>
      <c r="J1487" s="40" t="s">
        <v>747</v>
      </c>
      <c r="K1487" s="40" t="s">
        <v>2939</v>
      </c>
      <c r="L1487" s="121">
        <v>27820</v>
      </c>
      <c r="M1487" s="121">
        <v>14350</v>
      </c>
      <c r="N1487" s="121">
        <v>18.5</v>
      </c>
      <c r="O1487" s="363">
        <v>13470</v>
      </c>
      <c r="P1487" s="363">
        <v>10978</v>
      </c>
      <c r="Q1487" s="121">
        <v>2026</v>
      </c>
      <c r="R1487" s="121">
        <v>107</v>
      </c>
      <c r="S1487" s="148">
        <v>46182</v>
      </c>
      <c r="T1487" s="363">
        <f>Таблица18[[#This Row],[Вес нетто]]-Таблица18[[#This Row],[Зачетный вес]]</f>
        <v>2492</v>
      </c>
      <c r="U1487" s="392">
        <f>Таблица18[[#This Row],[Отход]]/Таблица18[[#This Row],[Вес нетто]]</f>
        <v>0.18500371195248702</v>
      </c>
      <c r="V1487" s="121">
        <f>MONTH(Таблица18[[#This Row],[Дата акта]])</f>
        <v>6</v>
      </c>
      <c r="W1487" s="121">
        <f>DAY(Таблица18[[#This Row],[Дата акта]])</f>
        <v>9</v>
      </c>
      <c r="X1487" s="148">
        <f>DATE(1900,Таблица18[[#This Row],[Месяц]],Таблица18[[#This Row],[Число]])</f>
        <v>161</v>
      </c>
      <c r="Y1487" s="121"/>
      <c r="Z1487" s="121" t="str">
        <f>Таблица18[[#This Row],[Хар-ка]]</f>
        <v>Высший</v>
      </c>
      <c r="AA1487"/>
      <c r="AB1487">
        <v>107</v>
      </c>
      <c r="AC1487"/>
      <c r="AD1487" s="460" t="s">
        <v>2974</v>
      </c>
      <c r="AE1487" t="s">
        <v>747</v>
      </c>
      <c r="AF1487" t="s">
        <v>46</v>
      </c>
    </row>
    <row r="1488" spans="1:32" s="465" customFormat="1" ht="33.75" x14ac:dyDescent="0.25">
      <c r="A1488" s="40" t="s">
        <v>3508</v>
      </c>
      <c r="B1488" s="360" t="s">
        <v>2940</v>
      </c>
      <c r="C1488" s="40">
        <v>165</v>
      </c>
      <c r="D1488" s="40" t="s">
        <v>3509</v>
      </c>
      <c r="E1488" s="40" t="s">
        <v>2964</v>
      </c>
      <c r="F1488" s="40" t="s">
        <v>3203</v>
      </c>
      <c r="G1488" s="40" t="s">
        <v>3378</v>
      </c>
      <c r="H1488" s="40" t="s">
        <v>3194</v>
      </c>
      <c r="I1488" s="40" t="str">
        <f>VLOOKUP(Таблица18[[#This Row],[Номер акта]],$AB$1:$AF$2504,3,FALSE)</f>
        <v>А-22/1</v>
      </c>
      <c r="J1488" s="40" t="s">
        <v>747</v>
      </c>
      <c r="K1488" s="40" t="s">
        <v>2939</v>
      </c>
      <c r="L1488" s="121">
        <v>31820</v>
      </c>
      <c r="M1488" s="121">
        <v>14280</v>
      </c>
      <c r="N1488" s="121">
        <v>14.9</v>
      </c>
      <c r="O1488" s="363">
        <v>17540</v>
      </c>
      <c r="P1488" s="363">
        <v>14875.5</v>
      </c>
      <c r="Q1488" s="121">
        <v>2026</v>
      </c>
      <c r="R1488" s="121">
        <v>272</v>
      </c>
      <c r="S1488" s="148">
        <v>46182</v>
      </c>
      <c r="T1488" s="363">
        <f>Таблица18[[#This Row],[Вес нетто]]-Таблица18[[#This Row],[Зачетный вес]]</f>
        <v>2664.5</v>
      </c>
      <c r="U1488" s="392">
        <f>Таблица18[[#This Row],[Отход]]/Таблица18[[#This Row],[Вес нетто]]</f>
        <v>0.15190992018244015</v>
      </c>
      <c r="V1488" s="121">
        <f>MONTH(Таблица18[[#This Row],[Дата акта]])</f>
        <v>6</v>
      </c>
      <c r="W1488" s="121">
        <f>DAY(Таблица18[[#This Row],[Дата акта]])</f>
        <v>9</v>
      </c>
      <c r="X1488" s="148">
        <f>DATE(1900,Таблица18[[#This Row],[Месяц]],Таблица18[[#This Row],[Число]])</f>
        <v>161</v>
      </c>
      <c r="Y1488" s="121"/>
      <c r="Z1488" s="121" t="str">
        <f>Таблица18[[#This Row],[Хар-ка]]</f>
        <v>Высший</v>
      </c>
      <c r="AA1488"/>
      <c r="AB1488">
        <v>272</v>
      </c>
      <c r="AC1488"/>
      <c r="AD1488" s="460" t="s">
        <v>2974</v>
      </c>
      <c r="AE1488" t="s">
        <v>747</v>
      </c>
      <c r="AF1488" t="s">
        <v>46</v>
      </c>
    </row>
    <row r="1489" spans="1:32" s="465" customFormat="1" ht="33.75" x14ac:dyDescent="0.25">
      <c r="A1489" s="40" t="s">
        <v>3339</v>
      </c>
      <c r="B1489" s="360" t="s">
        <v>2940</v>
      </c>
      <c r="C1489" s="40">
        <v>166</v>
      </c>
      <c r="D1489" s="40" t="s">
        <v>3621</v>
      </c>
      <c r="E1489" s="40" t="s">
        <v>2964</v>
      </c>
      <c r="F1489" s="40" t="s">
        <v>3202</v>
      </c>
      <c r="G1489" s="40" t="s">
        <v>3383</v>
      </c>
      <c r="H1489" s="40" t="s">
        <v>2974</v>
      </c>
      <c r="I1489" s="40" t="str">
        <f>VLOOKUP(Таблица18[[#This Row],[Номер акта]],$AB$1:$AF$2504,3,FALSE)</f>
        <v>А-22/1</v>
      </c>
      <c r="J1489" s="40" t="s">
        <v>747</v>
      </c>
      <c r="K1489" s="40" t="s">
        <v>2939</v>
      </c>
      <c r="L1489" s="121">
        <v>30560</v>
      </c>
      <c r="M1489" s="121">
        <v>15170</v>
      </c>
      <c r="N1489" s="121">
        <v>11</v>
      </c>
      <c r="O1489" s="363">
        <v>15390</v>
      </c>
      <c r="P1489" s="363">
        <v>13701</v>
      </c>
      <c r="Q1489" s="121">
        <v>2026</v>
      </c>
      <c r="R1489" s="121">
        <v>228</v>
      </c>
      <c r="S1489" s="148">
        <v>46188</v>
      </c>
      <c r="T1489" s="363">
        <f>Таблица18[[#This Row],[Вес нетто]]-Таблица18[[#This Row],[Зачетный вес]]</f>
        <v>1689</v>
      </c>
      <c r="U1489" s="392">
        <f>Таблица18[[#This Row],[Отход]]/Таблица18[[#This Row],[Вес нетто]]</f>
        <v>0.10974658869395712</v>
      </c>
      <c r="V1489" s="121">
        <f>MONTH(Таблица18[[#This Row],[Дата акта]])</f>
        <v>6</v>
      </c>
      <c r="W1489" s="121">
        <f>DAY(Таблица18[[#This Row],[Дата акта]])</f>
        <v>15</v>
      </c>
      <c r="X1489" s="148">
        <f>DATE(1900,Таблица18[[#This Row],[Месяц]],Таблица18[[#This Row],[Число]])</f>
        <v>167</v>
      </c>
      <c r="Y1489" s="121"/>
      <c r="Z1489" s="121" t="str">
        <f>Таблица18[[#This Row],[Хар-ка]]</f>
        <v>Высший</v>
      </c>
      <c r="AA1489"/>
      <c r="AB1489">
        <v>228</v>
      </c>
      <c r="AC1489"/>
      <c r="AD1489" s="460" t="s">
        <v>2974</v>
      </c>
      <c r="AE1489" t="s">
        <v>747</v>
      </c>
      <c r="AF1489" t="s">
        <v>46</v>
      </c>
    </row>
    <row r="1490" spans="1:32" s="465" customFormat="1" ht="33.75" x14ac:dyDescent="0.25">
      <c r="A1490" s="40" t="s">
        <v>3191</v>
      </c>
      <c r="B1490" s="360" t="s">
        <v>2940</v>
      </c>
      <c r="C1490" s="40">
        <v>167</v>
      </c>
      <c r="D1490" s="40">
        <v>94</v>
      </c>
      <c r="E1490" s="40" t="s">
        <v>2964</v>
      </c>
      <c r="F1490" s="40" t="s">
        <v>329</v>
      </c>
      <c r="G1490" s="40" t="s">
        <v>333</v>
      </c>
      <c r="H1490" s="40" t="s">
        <v>3194</v>
      </c>
      <c r="I1490" s="40" t="str">
        <f>VLOOKUP(Таблица18[[#This Row],[Номер акта]],$AB$1:$AF$2504,3,FALSE)</f>
        <v>А-22/1</v>
      </c>
      <c r="J1490" s="40" t="s">
        <v>747</v>
      </c>
      <c r="K1490" s="40" t="s">
        <v>2939</v>
      </c>
      <c r="L1490" s="121">
        <v>28550</v>
      </c>
      <c r="M1490" s="121">
        <v>15020</v>
      </c>
      <c r="N1490" s="121">
        <v>20.5</v>
      </c>
      <c r="O1490" s="363">
        <v>13530</v>
      </c>
      <c r="P1490" s="363">
        <v>10756.3</v>
      </c>
      <c r="Q1490" s="121">
        <v>2026</v>
      </c>
      <c r="R1490" s="121">
        <v>108</v>
      </c>
      <c r="S1490" s="148">
        <v>46182</v>
      </c>
      <c r="T1490" s="363">
        <f>Таблица18[[#This Row],[Вес нетто]]-Таблица18[[#This Row],[Зачетный вес]]</f>
        <v>2773.7000000000007</v>
      </c>
      <c r="U1490" s="392">
        <f>Таблица18[[#This Row],[Отход]]/Таблица18[[#This Row],[Вес нетто]]</f>
        <v>0.20500369549150041</v>
      </c>
      <c r="V1490" s="121">
        <f>MONTH(Таблица18[[#This Row],[Дата акта]])</f>
        <v>6</v>
      </c>
      <c r="W1490" s="121">
        <f>DAY(Таблица18[[#This Row],[Дата акта]])</f>
        <v>9</v>
      </c>
      <c r="X1490" s="148">
        <f>DATE(1900,Таблица18[[#This Row],[Месяц]],Таблица18[[#This Row],[Число]])</f>
        <v>161</v>
      </c>
      <c r="Y1490" s="121"/>
      <c r="Z1490" s="121" t="str">
        <f>Таблица18[[#This Row],[Хар-ка]]</f>
        <v>Высший</v>
      </c>
      <c r="AA1490"/>
      <c r="AB1490">
        <v>108</v>
      </c>
      <c r="AC1490"/>
      <c r="AD1490" s="460" t="s">
        <v>2974</v>
      </c>
      <c r="AE1490" t="s">
        <v>747</v>
      </c>
      <c r="AF1490" t="s">
        <v>46</v>
      </c>
    </row>
    <row r="1491" spans="1:32" s="465" customFormat="1" ht="33.75" x14ac:dyDescent="0.25">
      <c r="A1491" s="40" t="s">
        <v>3187</v>
      </c>
      <c r="B1491" s="360" t="s">
        <v>2940</v>
      </c>
      <c r="C1491" s="40">
        <v>168</v>
      </c>
      <c r="D1491" s="40">
        <v>95</v>
      </c>
      <c r="E1491" s="40" t="s">
        <v>2964</v>
      </c>
      <c r="F1491" s="40" t="s">
        <v>762</v>
      </c>
      <c r="G1491" s="40" t="s">
        <v>763</v>
      </c>
      <c r="H1491" s="40" t="s">
        <v>2974</v>
      </c>
      <c r="I1491" s="40" t="str">
        <f>VLOOKUP(Таблица18[[#This Row],[Номер акта]],$AB$1:$AF$2504,3,FALSE)</f>
        <v>А-22/1</v>
      </c>
      <c r="J1491" s="40" t="s">
        <v>747</v>
      </c>
      <c r="K1491" s="40" t="s">
        <v>2939</v>
      </c>
      <c r="L1491" s="121">
        <v>8770</v>
      </c>
      <c r="M1491" s="121">
        <v>4680</v>
      </c>
      <c r="N1491" s="121">
        <v>15.5</v>
      </c>
      <c r="O1491" s="363">
        <v>4090</v>
      </c>
      <c r="P1491" s="363">
        <v>3456.1</v>
      </c>
      <c r="Q1491" s="121">
        <v>2026</v>
      </c>
      <c r="R1491" s="121">
        <v>109</v>
      </c>
      <c r="S1491" s="148">
        <v>46182</v>
      </c>
      <c r="T1491" s="363">
        <f>Таблица18[[#This Row],[Вес нетто]]-Таблица18[[#This Row],[Зачетный вес]]</f>
        <v>633.90000000000009</v>
      </c>
      <c r="U1491" s="392">
        <f>Таблица18[[#This Row],[Отход]]/Таблица18[[#This Row],[Вес нетто]]</f>
        <v>0.15498777506112471</v>
      </c>
      <c r="V1491" s="121">
        <f>MONTH(Таблица18[[#This Row],[Дата акта]])</f>
        <v>6</v>
      </c>
      <c r="W1491" s="121">
        <f>DAY(Таблица18[[#This Row],[Дата акта]])</f>
        <v>9</v>
      </c>
      <c r="X1491" s="148">
        <f>DATE(1900,Таблица18[[#This Row],[Месяц]],Таблица18[[#This Row],[Число]])</f>
        <v>161</v>
      </c>
      <c r="Y1491" s="121"/>
      <c r="Z1491" s="121" t="str">
        <f>Таблица18[[#This Row],[Хар-ка]]</f>
        <v>Высший</v>
      </c>
      <c r="AA1491"/>
      <c r="AB1491">
        <v>109</v>
      </c>
      <c r="AC1491"/>
      <c r="AD1491" s="460" t="s">
        <v>2974</v>
      </c>
      <c r="AE1491" t="s">
        <v>747</v>
      </c>
      <c r="AF1491" t="s">
        <v>46</v>
      </c>
    </row>
    <row r="1492" spans="1:32" s="465" customFormat="1" ht="33.75" x14ac:dyDescent="0.25">
      <c r="A1492" s="40" t="s">
        <v>3189</v>
      </c>
      <c r="B1492" s="360" t="s">
        <v>2940</v>
      </c>
      <c r="C1492" s="40">
        <v>170</v>
      </c>
      <c r="D1492" s="40">
        <v>96</v>
      </c>
      <c r="E1492" s="40" t="s">
        <v>2964</v>
      </c>
      <c r="F1492" s="40" t="s">
        <v>195</v>
      </c>
      <c r="G1492" s="40" t="s">
        <v>199</v>
      </c>
      <c r="H1492" s="40" t="s">
        <v>2974</v>
      </c>
      <c r="I1492" s="40" t="str">
        <f>VLOOKUP(Таблица18[[#This Row],[Номер акта]],$AB$1:$AF$2504,3,FALSE)</f>
        <v>А-22/1</v>
      </c>
      <c r="J1492" s="40" t="s">
        <v>747</v>
      </c>
      <c r="K1492" s="40" t="s">
        <v>2939</v>
      </c>
      <c r="L1492" s="121">
        <v>28570</v>
      </c>
      <c r="M1492" s="121">
        <v>15160</v>
      </c>
      <c r="N1492" s="121">
        <v>9.5</v>
      </c>
      <c r="O1492" s="363">
        <v>13410</v>
      </c>
      <c r="P1492" s="363">
        <v>12136.1</v>
      </c>
      <c r="Q1492" s="121">
        <v>2026</v>
      </c>
      <c r="R1492" s="121">
        <v>110</v>
      </c>
      <c r="S1492" s="148">
        <v>46182</v>
      </c>
      <c r="T1492" s="363">
        <f>Таблица18[[#This Row],[Вес нетто]]-Таблица18[[#This Row],[Зачетный вес]]</f>
        <v>1273.8999999999996</v>
      </c>
      <c r="U1492" s="392">
        <f>Таблица18[[#This Row],[Отход]]/Таблица18[[#This Row],[Вес нетто]]</f>
        <v>9.4996271439224428E-2</v>
      </c>
      <c r="V1492" s="121">
        <f>MONTH(Таблица18[[#This Row],[Дата акта]])</f>
        <v>6</v>
      </c>
      <c r="W1492" s="121">
        <f>DAY(Таблица18[[#This Row],[Дата акта]])</f>
        <v>9</v>
      </c>
      <c r="X1492" s="148">
        <f>DATE(1900,Таблица18[[#This Row],[Месяц]],Таблица18[[#This Row],[Число]])</f>
        <v>161</v>
      </c>
      <c r="Y1492" s="121"/>
      <c r="Z1492" s="121" t="str">
        <f>Таблица18[[#This Row],[Хар-ка]]</f>
        <v>Высший</v>
      </c>
      <c r="AA1492"/>
      <c r="AB1492">
        <v>110</v>
      </c>
      <c r="AC1492"/>
      <c r="AD1492" s="460" t="s">
        <v>2974</v>
      </c>
      <c r="AE1492" t="s">
        <v>747</v>
      </c>
      <c r="AF1492" t="s">
        <v>46</v>
      </c>
    </row>
    <row r="1493" spans="1:32" s="465" customFormat="1" ht="22.5" x14ac:dyDescent="0.25">
      <c r="A1493" s="40" t="s">
        <v>3179</v>
      </c>
      <c r="B1493" s="360" t="s">
        <v>2940</v>
      </c>
      <c r="C1493" s="40">
        <v>171</v>
      </c>
      <c r="D1493" s="40">
        <v>92</v>
      </c>
      <c r="E1493" s="40" t="s">
        <v>2964</v>
      </c>
      <c r="F1493" s="40" t="s">
        <v>1792</v>
      </c>
      <c r="G1493" s="40" t="s">
        <v>80</v>
      </c>
      <c r="H1493" s="40" t="s">
        <v>3194</v>
      </c>
      <c r="I1493" s="40" t="str">
        <f>VLOOKUP(Таблица18[[#This Row],[Номер акта]],$AB$1:$AF$2504,3,FALSE)</f>
        <v>А-22/1</v>
      </c>
      <c r="J1493" s="40" t="s">
        <v>747</v>
      </c>
      <c r="K1493" s="40" t="s">
        <v>2939</v>
      </c>
      <c r="L1493" s="121">
        <v>27670</v>
      </c>
      <c r="M1493" s="121">
        <v>14370</v>
      </c>
      <c r="N1493" s="121">
        <v>15.5</v>
      </c>
      <c r="O1493" s="363">
        <v>13300</v>
      </c>
      <c r="P1493" s="363">
        <v>11238.5</v>
      </c>
      <c r="Q1493" s="121">
        <v>2026</v>
      </c>
      <c r="R1493" s="121">
        <v>111</v>
      </c>
      <c r="S1493" s="148">
        <v>46182</v>
      </c>
      <c r="T1493" s="363">
        <f>Таблица18[[#This Row],[Вес нетто]]-Таблица18[[#This Row],[Зачетный вес]]</f>
        <v>2061.5</v>
      </c>
      <c r="U1493" s="392">
        <f>Таблица18[[#This Row],[Отход]]/Таблица18[[#This Row],[Вес нетто]]</f>
        <v>0.155</v>
      </c>
      <c r="V1493" s="121">
        <f>MONTH(Таблица18[[#This Row],[Дата акта]])</f>
        <v>6</v>
      </c>
      <c r="W1493" s="121">
        <f>DAY(Таблица18[[#This Row],[Дата акта]])</f>
        <v>9</v>
      </c>
      <c r="X1493" s="148">
        <f>DATE(1900,Таблица18[[#This Row],[Месяц]],Таблица18[[#This Row],[Число]])</f>
        <v>161</v>
      </c>
      <c r="Y1493" s="121"/>
      <c r="Z1493" s="121" t="str">
        <f>Таблица18[[#This Row],[Хар-ка]]</f>
        <v>Высший</v>
      </c>
      <c r="AA1493"/>
      <c r="AB1493">
        <v>111</v>
      </c>
      <c r="AC1493"/>
      <c r="AD1493" s="460" t="s">
        <v>2974</v>
      </c>
      <c r="AE1493" t="s">
        <v>747</v>
      </c>
      <c r="AF1493" t="s">
        <v>46</v>
      </c>
    </row>
    <row r="1494" spans="1:32" s="465" customFormat="1" ht="33.75" x14ac:dyDescent="0.25">
      <c r="A1494" s="40" t="s">
        <v>3188</v>
      </c>
      <c r="B1494" s="360" t="s">
        <v>2940</v>
      </c>
      <c r="C1494" s="40">
        <v>172</v>
      </c>
      <c r="D1494" s="40">
        <v>98</v>
      </c>
      <c r="E1494" s="40" t="s">
        <v>2964</v>
      </c>
      <c r="F1494" s="40" t="s">
        <v>3195</v>
      </c>
      <c r="G1494" s="40" t="s">
        <v>3196</v>
      </c>
      <c r="H1494" s="40" t="s">
        <v>3194</v>
      </c>
      <c r="I1494" s="40" t="str">
        <f>VLOOKUP(Таблица18[[#This Row],[Номер акта]],$AB$1:$AF$2504,3,FALSE)</f>
        <v>А-22/1</v>
      </c>
      <c r="J1494" s="40" t="s">
        <v>747</v>
      </c>
      <c r="K1494" s="40" t="s">
        <v>2939</v>
      </c>
      <c r="L1494" s="121">
        <v>27420</v>
      </c>
      <c r="M1494" s="121">
        <v>14350</v>
      </c>
      <c r="N1494" s="121">
        <v>11.5</v>
      </c>
      <c r="O1494" s="363">
        <v>13070</v>
      </c>
      <c r="P1494" s="363">
        <v>11566.9</v>
      </c>
      <c r="Q1494" s="121">
        <v>2026</v>
      </c>
      <c r="R1494" s="121">
        <v>112</v>
      </c>
      <c r="S1494" s="148">
        <v>46182</v>
      </c>
      <c r="T1494" s="363">
        <f>Таблица18[[#This Row],[Вес нетто]]-Таблица18[[#This Row],[Зачетный вес]]</f>
        <v>1503.1000000000004</v>
      </c>
      <c r="U1494" s="392">
        <f>Таблица18[[#This Row],[Отход]]/Таблица18[[#This Row],[Вес нетто]]</f>
        <v>0.11500382555470547</v>
      </c>
      <c r="V1494" s="121">
        <f>MONTH(Таблица18[[#This Row],[Дата акта]])</f>
        <v>6</v>
      </c>
      <c r="W1494" s="121">
        <f>DAY(Таблица18[[#This Row],[Дата акта]])</f>
        <v>9</v>
      </c>
      <c r="X1494" s="148">
        <f>DATE(1900,Таблица18[[#This Row],[Месяц]],Таблица18[[#This Row],[Число]])</f>
        <v>161</v>
      </c>
      <c r="Y1494" s="121"/>
      <c r="Z1494" s="121" t="str">
        <f>Таблица18[[#This Row],[Хар-ка]]</f>
        <v>Высший</v>
      </c>
      <c r="AA1494"/>
      <c r="AB1494">
        <v>112</v>
      </c>
      <c r="AC1494"/>
      <c r="AD1494" s="460" t="s">
        <v>2974</v>
      </c>
      <c r="AE1494" t="s">
        <v>747</v>
      </c>
      <c r="AF1494" t="s">
        <v>46</v>
      </c>
    </row>
    <row r="1495" spans="1:32" s="465" customFormat="1" ht="33.75" x14ac:dyDescent="0.25">
      <c r="A1495" s="40" t="s">
        <v>3197</v>
      </c>
      <c r="B1495" s="360" t="s">
        <v>2940</v>
      </c>
      <c r="C1495" s="40">
        <v>173</v>
      </c>
      <c r="D1495" s="40">
        <v>99</v>
      </c>
      <c r="E1495" s="40" t="s">
        <v>2964</v>
      </c>
      <c r="F1495" s="40" t="s">
        <v>329</v>
      </c>
      <c r="G1495" s="40" t="s">
        <v>333</v>
      </c>
      <c r="H1495" s="40" t="s">
        <v>3194</v>
      </c>
      <c r="I1495" s="40" t="str">
        <f>VLOOKUP(Таблица18[[#This Row],[Номер акта]],$AB$1:$AF$2504,3,FALSE)</f>
        <v>А-22/1</v>
      </c>
      <c r="J1495" s="40" t="s">
        <v>747</v>
      </c>
      <c r="K1495" s="40" t="s">
        <v>2939</v>
      </c>
      <c r="L1495" s="121">
        <v>28230</v>
      </c>
      <c r="M1495" s="121">
        <v>15130</v>
      </c>
      <c r="N1495" s="121">
        <v>21.5</v>
      </c>
      <c r="O1495" s="363">
        <v>13100</v>
      </c>
      <c r="P1495" s="363">
        <v>10283.5</v>
      </c>
      <c r="Q1495" s="121">
        <v>2026</v>
      </c>
      <c r="R1495" s="121">
        <v>113</v>
      </c>
      <c r="S1495" s="148">
        <v>46182</v>
      </c>
      <c r="T1495" s="363">
        <f>Таблица18[[#This Row],[Вес нетто]]-Таблица18[[#This Row],[Зачетный вес]]</f>
        <v>2816.5</v>
      </c>
      <c r="U1495" s="392">
        <f>Таблица18[[#This Row],[Отход]]/Таблица18[[#This Row],[Вес нетто]]</f>
        <v>0.215</v>
      </c>
      <c r="V1495" s="121">
        <f>MONTH(Таблица18[[#This Row],[Дата акта]])</f>
        <v>6</v>
      </c>
      <c r="W1495" s="121">
        <f>DAY(Таблица18[[#This Row],[Дата акта]])</f>
        <v>9</v>
      </c>
      <c r="X1495" s="148">
        <f>DATE(1900,Таблица18[[#This Row],[Месяц]],Таблица18[[#This Row],[Число]])</f>
        <v>161</v>
      </c>
      <c r="Y1495" s="121"/>
      <c r="Z1495" s="121" t="str">
        <f>Таблица18[[#This Row],[Хар-ка]]</f>
        <v>Высший</v>
      </c>
      <c r="AA1495"/>
      <c r="AB1495">
        <v>113</v>
      </c>
      <c r="AC1495"/>
      <c r="AD1495" s="460" t="s">
        <v>2974</v>
      </c>
      <c r="AE1495" t="s">
        <v>747</v>
      </c>
      <c r="AF1495" t="s">
        <v>46</v>
      </c>
    </row>
    <row r="1496" spans="1:32" s="465" customFormat="1" ht="33.75" x14ac:dyDescent="0.25">
      <c r="A1496" s="40" t="s">
        <v>3182</v>
      </c>
      <c r="B1496" s="360" t="s">
        <v>2940</v>
      </c>
      <c r="C1496" s="40">
        <v>174</v>
      </c>
      <c r="D1496" s="40">
        <v>100</v>
      </c>
      <c r="E1496" s="40" t="s">
        <v>2964</v>
      </c>
      <c r="F1496" s="40" t="s">
        <v>762</v>
      </c>
      <c r="G1496" s="40" t="s">
        <v>763</v>
      </c>
      <c r="H1496" s="40" t="s">
        <v>2974</v>
      </c>
      <c r="I1496" s="40" t="str">
        <f>VLOOKUP(Таблица18[[#This Row],[Номер акта]],$AB$1:$AF$2504,3,FALSE)</f>
        <v>А-22/1</v>
      </c>
      <c r="J1496" s="40" t="s">
        <v>747</v>
      </c>
      <c r="K1496" s="40" t="s">
        <v>2939</v>
      </c>
      <c r="L1496" s="121">
        <v>9100</v>
      </c>
      <c r="M1496" s="121">
        <v>4670</v>
      </c>
      <c r="N1496" s="121">
        <v>15.5</v>
      </c>
      <c r="O1496" s="363">
        <v>4430</v>
      </c>
      <c r="P1496" s="363">
        <v>3743.4</v>
      </c>
      <c r="Q1496" s="121">
        <v>2026</v>
      </c>
      <c r="R1496" s="121">
        <v>114</v>
      </c>
      <c r="S1496" s="148">
        <v>46182</v>
      </c>
      <c r="T1496" s="363">
        <f>Таблица18[[#This Row],[Вес нетто]]-Таблица18[[#This Row],[Зачетный вес]]</f>
        <v>686.59999999999991</v>
      </c>
      <c r="U1496" s="392">
        <f>Таблица18[[#This Row],[Отход]]/Таблица18[[#This Row],[Вес нетто]]</f>
        <v>0.1549887133182844</v>
      </c>
      <c r="V1496" s="121">
        <f>MONTH(Таблица18[[#This Row],[Дата акта]])</f>
        <v>6</v>
      </c>
      <c r="W1496" s="121">
        <f>DAY(Таблица18[[#This Row],[Дата акта]])</f>
        <v>9</v>
      </c>
      <c r="X1496" s="148">
        <f>DATE(1900,Таблица18[[#This Row],[Месяц]],Таблица18[[#This Row],[Число]])</f>
        <v>161</v>
      </c>
      <c r="Y1496" s="121"/>
      <c r="Z1496" s="121" t="str">
        <f>Таблица18[[#This Row],[Хар-ка]]</f>
        <v>Высший</v>
      </c>
      <c r="AA1496"/>
      <c r="AB1496">
        <v>114</v>
      </c>
      <c r="AC1496"/>
      <c r="AD1496" s="460" t="s">
        <v>2974</v>
      </c>
      <c r="AE1496" t="s">
        <v>747</v>
      </c>
      <c r="AF1496" t="s">
        <v>46</v>
      </c>
    </row>
    <row r="1497" spans="1:32" s="465" customFormat="1" ht="33.75" x14ac:dyDescent="0.25">
      <c r="A1497" s="40" t="s">
        <v>3198</v>
      </c>
      <c r="B1497" s="360" t="s">
        <v>2940</v>
      </c>
      <c r="C1497" s="40">
        <v>175</v>
      </c>
      <c r="D1497" s="40">
        <v>101</v>
      </c>
      <c r="E1497" s="40" t="s">
        <v>2964</v>
      </c>
      <c r="F1497" s="40" t="s">
        <v>195</v>
      </c>
      <c r="G1497" s="40" t="s">
        <v>199</v>
      </c>
      <c r="H1497" s="40" t="s">
        <v>2974</v>
      </c>
      <c r="I1497" s="40" t="str">
        <f>VLOOKUP(Таблица18[[#This Row],[Номер акта]],$AB$1:$AF$2504,3,FALSE)</f>
        <v>А-22/1</v>
      </c>
      <c r="J1497" s="40" t="s">
        <v>747</v>
      </c>
      <c r="K1497" s="40" t="s">
        <v>2939</v>
      </c>
      <c r="L1497" s="121">
        <v>28510</v>
      </c>
      <c r="M1497" s="121">
        <v>15240</v>
      </c>
      <c r="N1497" s="121">
        <v>12.5</v>
      </c>
      <c r="O1497" s="363">
        <v>13270</v>
      </c>
      <c r="P1497" s="363">
        <v>11611.3</v>
      </c>
      <c r="Q1497" s="121">
        <v>2026</v>
      </c>
      <c r="R1497" s="121">
        <v>115</v>
      </c>
      <c r="S1497" s="148">
        <v>46182</v>
      </c>
      <c r="T1497" s="363">
        <f>Таблица18[[#This Row],[Вес нетто]]-Таблица18[[#This Row],[Зачетный вес]]</f>
        <v>1658.7000000000007</v>
      </c>
      <c r="U1497" s="392">
        <f>Таблица18[[#This Row],[Отход]]/Таблица18[[#This Row],[Вес нетто]]</f>
        <v>0.12499623210248687</v>
      </c>
      <c r="V1497" s="121">
        <f>MONTH(Таблица18[[#This Row],[Дата акта]])</f>
        <v>6</v>
      </c>
      <c r="W1497" s="121">
        <f>DAY(Таблица18[[#This Row],[Дата акта]])</f>
        <v>9</v>
      </c>
      <c r="X1497" s="148">
        <f>DATE(1900,Таблица18[[#This Row],[Месяц]],Таблица18[[#This Row],[Число]])</f>
        <v>161</v>
      </c>
      <c r="Y1497" s="121"/>
      <c r="Z1497" s="121" t="str">
        <f>Таблица18[[#This Row],[Хар-ка]]</f>
        <v>Высший</v>
      </c>
      <c r="AA1497"/>
      <c r="AB1497">
        <v>115</v>
      </c>
      <c r="AC1497"/>
      <c r="AD1497" s="460" t="s">
        <v>2974</v>
      </c>
      <c r="AE1497" t="s">
        <v>747</v>
      </c>
      <c r="AF1497" t="s">
        <v>46</v>
      </c>
    </row>
    <row r="1498" spans="1:32" s="465" customFormat="1" ht="33.75" x14ac:dyDescent="0.25">
      <c r="A1498" s="40" t="s">
        <v>3667</v>
      </c>
      <c r="B1498" s="360" t="s">
        <v>2940</v>
      </c>
      <c r="C1498" s="40">
        <v>176</v>
      </c>
      <c r="D1498" s="40" t="s">
        <v>3512</v>
      </c>
      <c r="E1498" s="40" t="s">
        <v>2964</v>
      </c>
      <c r="F1498" s="40" t="s">
        <v>305</v>
      </c>
      <c r="G1498" s="40" t="s">
        <v>309</v>
      </c>
      <c r="H1498" s="40" t="s">
        <v>3099</v>
      </c>
      <c r="I1498" s="40" t="str">
        <f>VLOOKUP(Таблица18[[#This Row],[Номер акта]],$AB$1:$AF$2504,3,FALSE)</f>
        <v>А-23</v>
      </c>
      <c r="J1498" s="40" t="s">
        <v>747</v>
      </c>
      <c r="K1498" s="40" t="s">
        <v>2939</v>
      </c>
      <c r="L1498" s="121">
        <v>27500</v>
      </c>
      <c r="M1498" s="121">
        <v>14470</v>
      </c>
      <c r="N1498" s="121">
        <v>11.6</v>
      </c>
      <c r="O1498" s="363">
        <v>13030</v>
      </c>
      <c r="P1498" s="363">
        <v>11448</v>
      </c>
      <c r="Q1498" s="121">
        <v>2026</v>
      </c>
      <c r="R1498" s="121">
        <v>270</v>
      </c>
      <c r="S1498" s="148">
        <v>46182</v>
      </c>
      <c r="T1498" s="363">
        <f>Таблица18[[#This Row],[Вес нетто]]-Таблица18[[#This Row],[Зачетный вес]]</f>
        <v>1582</v>
      </c>
      <c r="U1498" s="392">
        <f>Таблица18[[#This Row],[Отход]]/Таблица18[[#This Row],[Вес нетто]]</f>
        <v>0.12141212586339217</v>
      </c>
      <c r="V1498" s="121">
        <f>MONTH(Таблица18[[#This Row],[Дата акта]])</f>
        <v>6</v>
      </c>
      <c r="W1498" s="121">
        <f>DAY(Таблица18[[#This Row],[Дата акта]])</f>
        <v>9</v>
      </c>
      <c r="X1498" s="148">
        <f>DATE(1900,Таблица18[[#This Row],[Месяц]],Таблица18[[#This Row],[Число]])</f>
        <v>161</v>
      </c>
      <c r="Y1498" s="121"/>
      <c r="Z1498" s="121" t="str">
        <f>Таблица18[[#This Row],[Хар-ка]]</f>
        <v>Высший</v>
      </c>
      <c r="AA1498"/>
      <c r="AB1498">
        <v>270</v>
      </c>
      <c r="AC1498"/>
      <c r="AD1498" s="460" t="s">
        <v>3099</v>
      </c>
      <c r="AE1498" t="s">
        <v>747</v>
      </c>
      <c r="AF1498" t="s">
        <v>46</v>
      </c>
    </row>
    <row r="1499" spans="1:32" s="465" customFormat="1" ht="33.75" x14ac:dyDescent="0.25">
      <c r="A1499" s="40" t="s">
        <v>3510</v>
      </c>
      <c r="B1499" s="360" t="s">
        <v>2940</v>
      </c>
      <c r="C1499" s="40">
        <v>177</v>
      </c>
      <c r="D1499" s="40" t="s">
        <v>3511</v>
      </c>
      <c r="E1499" s="40" t="s">
        <v>2964</v>
      </c>
      <c r="F1499" s="40" t="s">
        <v>3204</v>
      </c>
      <c r="G1499" s="40" t="s">
        <v>3303</v>
      </c>
      <c r="H1499" s="40" t="s">
        <v>3099</v>
      </c>
      <c r="I1499" s="40" t="str">
        <f>VLOOKUP(Таблица18[[#This Row],[Номер акта]],$AB$1:$AF$2504,3,FALSE)</f>
        <v>А-23</v>
      </c>
      <c r="J1499" s="40" t="s">
        <v>747</v>
      </c>
      <c r="K1499" s="40" t="s">
        <v>2939</v>
      </c>
      <c r="L1499" s="121">
        <v>28160</v>
      </c>
      <c r="M1499" s="121">
        <v>15060</v>
      </c>
      <c r="N1499" s="121">
        <v>13.9</v>
      </c>
      <c r="O1499" s="363">
        <v>13100</v>
      </c>
      <c r="P1499" s="363">
        <v>11283</v>
      </c>
      <c r="Q1499" s="121">
        <v>2026</v>
      </c>
      <c r="R1499" s="121">
        <v>271</v>
      </c>
      <c r="S1499" s="148">
        <v>46182</v>
      </c>
      <c r="T1499" s="363">
        <f>Таблица18[[#This Row],[Вес нетто]]-Таблица18[[#This Row],[Зачетный вес]]</f>
        <v>1817</v>
      </c>
      <c r="U1499" s="392">
        <f>Таблица18[[#This Row],[Отход]]/Таблица18[[#This Row],[Вес нетто]]</f>
        <v>0.13870229007633589</v>
      </c>
      <c r="V1499" s="121">
        <f>MONTH(Таблица18[[#This Row],[Дата акта]])</f>
        <v>6</v>
      </c>
      <c r="W1499" s="121">
        <f>DAY(Таблица18[[#This Row],[Дата акта]])</f>
        <v>9</v>
      </c>
      <c r="X1499" s="148">
        <f>DATE(1900,Таблица18[[#This Row],[Месяц]],Таблица18[[#This Row],[Число]])</f>
        <v>161</v>
      </c>
      <c r="Y1499" s="121"/>
      <c r="Z1499" s="121" t="str">
        <f>Таблица18[[#This Row],[Хар-ка]]</f>
        <v>Высший</v>
      </c>
      <c r="AA1499"/>
      <c r="AB1499">
        <v>271</v>
      </c>
      <c r="AC1499"/>
      <c r="AD1499" s="460" t="s">
        <v>3099</v>
      </c>
      <c r="AE1499" t="s">
        <v>747</v>
      </c>
      <c r="AF1499" t="s">
        <v>46</v>
      </c>
    </row>
    <row r="1500" spans="1:32" s="465" customFormat="1" ht="22.5" x14ac:dyDescent="0.25">
      <c r="A1500" s="40" t="s">
        <v>3199</v>
      </c>
      <c r="B1500" s="360" t="s">
        <v>2940</v>
      </c>
      <c r="C1500" s="40">
        <v>178</v>
      </c>
      <c r="D1500" s="40">
        <v>102</v>
      </c>
      <c r="E1500" s="40" t="s">
        <v>2964</v>
      </c>
      <c r="F1500" s="40" t="s">
        <v>1792</v>
      </c>
      <c r="G1500" s="40" t="s">
        <v>80</v>
      </c>
      <c r="H1500" s="40" t="s">
        <v>2974</v>
      </c>
      <c r="I1500" s="40" t="str">
        <f>VLOOKUP(Таблица18[[#This Row],[Номер акта]],$AB$1:$AF$2504,3,FALSE)</f>
        <v>А-22/1</v>
      </c>
      <c r="J1500" s="40" t="s">
        <v>747</v>
      </c>
      <c r="K1500" s="40" t="s">
        <v>2939</v>
      </c>
      <c r="L1500" s="121">
        <v>27310</v>
      </c>
      <c r="M1500" s="121">
        <v>14430</v>
      </c>
      <c r="N1500" s="121">
        <v>10.5</v>
      </c>
      <c r="O1500" s="363">
        <v>12880</v>
      </c>
      <c r="P1500" s="363">
        <v>11527.6</v>
      </c>
      <c r="Q1500" s="121">
        <v>2026</v>
      </c>
      <c r="R1500" s="121">
        <v>116</v>
      </c>
      <c r="S1500" s="148">
        <v>46182</v>
      </c>
      <c r="T1500" s="363">
        <f>Таблица18[[#This Row],[Вес нетто]]-Таблица18[[#This Row],[Зачетный вес]]</f>
        <v>1352.3999999999996</v>
      </c>
      <c r="U1500" s="392">
        <f>Таблица18[[#This Row],[Отход]]/Таблица18[[#This Row],[Вес нетто]]</f>
        <v>0.10499999999999997</v>
      </c>
      <c r="V1500" s="121">
        <f>MONTH(Таблица18[[#This Row],[Дата акта]])</f>
        <v>6</v>
      </c>
      <c r="W1500" s="121">
        <f>DAY(Таблица18[[#This Row],[Дата акта]])</f>
        <v>9</v>
      </c>
      <c r="X1500" s="148">
        <f>DATE(1900,Таблица18[[#This Row],[Месяц]],Таблица18[[#This Row],[Число]])</f>
        <v>161</v>
      </c>
      <c r="Y1500" s="121"/>
      <c r="Z1500" s="121" t="str">
        <f>Таблица18[[#This Row],[Хар-ка]]</f>
        <v>Высший</v>
      </c>
      <c r="AA1500"/>
      <c r="AB1500">
        <v>116</v>
      </c>
      <c r="AC1500"/>
      <c r="AD1500" s="460" t="s">
        <v>2974</v>
      </c>
      <c r="AE1500" t="s">
        <v>747</v>
      </c>
      <c r="AF1500" t="s">
        <v>46</v>
      </c>
    </row>
    <row r="1501" spans="1:32" s="465" customFormat="1" ht="33.75" x14ac:dyDescent="0.25">
      <c r="A1501" s="40" t="s">
        <v>3200</v>
      </c>
      <c r="B1501" s="360" t="s">
        <v>2940</v>
      </c>
      <c r="C1501" s="40">
        <v>179</v>
      </c>
      <c r="D1501" s="40">
        <v>103</v>
      </c>
      <c r="E1501" s="40" t="s">
        <v>2964</v>
      </c>
      <c r="F1501" s="40" t="s">
        <v>3195</v>
      </c>
      <c r="G1501" s="40" t="s">
        <v>3196</v>
      </c>
      <c r="H1501" s="40" t="s">
        <v>2974</v>
      </c>
      <c r="I1501" s="40" t="str">
        <f>VLOOKUP(Таблица18[[#This Row],[Номер акта]],$AB$1:$AF$2504,3,FALSE)</f>
        <v>А-22/1</v>
      </c>
      <c r="J1501" s="40" t="s">
        <v>747</v>
      </c>
      <c r="K1501" s="40" t="s">
        <v>2939</v>
      </c>
      <c r="L1501" s="121">
        <v>27340</v>
      </c>
      <c r="M1501" s="121">
        <v>14370</v>
      </c>
      <c r="N1501" s="121">
        <v>17.5</v>
      </c>
      <c r="O1501" s="363">
        <v>12970</v>
      </c>
      <c r="P1501" s="363">
        <v>10700.3</v>
      </c>
      <c r="Q1501" s="121">
        <v>2026</v>
      </c>
      <c r="R1501" s="121">
        <v>117</v>
      </c>
      <c r="S1501" s="148">
        <v>46182</v>
      </c>
      <c r="T1501" s="363">
        <f>Таблица18[[#This Row],[Вес нетто]]-Таблица18[[#This Row],[Зачетный вес]]</f>
        <v>2269.7000000000007</v>
      </c>
      <c r="U1501" s="392">
        <f>Таблица18[[#This Row],[Отход]]/Таблица18[[#This Row],[Вес нетто]]</f>
        <v>0.17499614494988441</v>
      </c>
      <c r="V1501" s="121">
        <f>MONTH(Таблица18[[#This Row],[Дата акта]])</f>
        <v>6</v>
      </c>
      <c r="W1501" s="121">
        <f>DAY(Таблица18[[#This Row],[Дата акта]])</f>
        <v>9</v>
      </c>
      <c r="X1501" s="148">
        <f>DATE(1900,Таблица18[[#This Row],[Месяц]],Таблица18[[#This Row],[Число]])</f>
        <v>161</v>
      </c>
      <c r="Y1501" s="121"/>
      <c r="Z1501" s="121" t="str">
        <f>Таблица18[[#This Row],[Хар-ка]]</f>
        <v>Высший</v>
      </c>
      <c r="AA1501"/>
      <c r="AB1501">
        <v>117</v>
      </c>
      <c r="AC1501"/>
      <c r="AD1501" s="460" t="s">
        <v>2974</v>
      </c>
      <c r="AE1501" t="s">
        <v>747</v>
      </c>
      <c r="AF1501" t="s">
        <v>46</v>
      </c>
    </row>
    <row r="1502" spans="1:32" s="465" customFormat="1" ht="33.75" x14ac:dyDescent="0.25">
      <c r="A1502" s="40" t="s">
        <v>3201</v>
      </c>
      <c r="B1502" s="360" t="s">
        <v>2940</v>
      </c>
      <c r="C1502" s="40">
        <v>180</v>
      </c>
      <c r="D1502" s="40">
        <v>104</v>
      </c>
      <c r="E1502" s="40" t="s">
        <v>2964</v>
      </c>
      <c r="F1502" s="40" t="s">
        <v>329</v>
      </c>
      <c r="G1502" s="40" t="s">
        <v>333</v>
      </c>
      <c r="H1502" s="40" t="s">
        <v>2974</v>
      </c>
      <c r="I1502" s="40" t="str">
        <f>VLOOKUP(Таблица18[[#This Row],[Номер акта]],$AB$1:$AF$2504,3,FALSE)</f>
        <v>А-22/1</v>
      </c>
      <c r="J1502" s="40" t="s">
        <v>747</v>
      </c>
      <c r="K1502" s="40" t="s">
        <v>2939</v>
      </c>
      <c r="L1502" s="121">
        <v>30460</v>
      </c>
      <c r="M1502" s="121">
        <v>15040</v>
      </c>
      <c r="N1502" s="121">
        <v>13.5</v>
      </c>
      <c r="O1502" s="363">
        <v>15420</v>
      </c>
      <c r="P1502" s="363">
        <v>13338.3</v>
      </c>
      <c r="Q1502" s="121">
        <v>2026</v>
      </c>
      <c r="R1502" s="121">
        <v>118</v>
      </c>
      <c r="S1502" s="148">
        <v>46182</v>
      </c>
      <c r="T1502" s="363">
        <f>Таблица18[[#This Row],[Вес нетто]]-Таблица18[[#This Row],[Зачетный вес]]</f>
        <v>2081.7000000000007</v>
      </c>
      <c r="U1502" s="392">
        <f>Таблица18[[#This Row],[Отход]]/Таблица18[[#This Row],[Вес нетто]]</f>
        <v>0.13500000000000004</v>
      </c>
      <c r="V1502" s="121">
        <f>MONTH(Таблица18[[#This Row],[Дата акта]])</f>
        <v>6</v>
      </c>
      <c r="W1502" s="121">
        <f>DAY(Таблица18[[#This Row],[Дата акта]])</f>
        <v>9</v>
      </c>
      <c r="X1502" s="148">
        <f>DATE(1900,Таблица18[[#This Row],[Месяц]],Таблица18[[#This Row],[Число]])</f>
        <v>161</v>
      </c>
      <c r="Y1502" s="121"/>
      <c r="Z1502" s="121" t="str">
        <f>Таблица18[[#This Row],[Хар-ка]]</f>
        <v>Высший</v>
      </c>
      <c r="AA1502"/>
      <c r="AB1502">
        <v>118</v>
      </c>
      <c r="AC1502"/>
      <c r="AD1502" s="460" t="s">
        <v>2974</v>
      </c>
      <c r="AE1502" t="s">
        <v>747</v>
      </c>
      <c r="AF1502" t="s">
        <v>46</v>
      </c>
    </row>
    <row r="1503" spans="1:32" s="465" customFormat="1" ht="33.75" x14ac:dyDescent="0.25">
      <c r="A1503" s="40" t="s">
        <v>3219</v>
      </c>
      <c r="B1503" s="360" t="s">
        <v>2940</v>
      </c>
      <c r="C1503" s="40">
        <v>181</v>
      </c>
      <c r="D1503" s="40">
        <v>105</v>
      </c>
      <c r="E1503" s="40" t="s">
        <v>2964</v>
      </c>
      <c r="F1503" s="40" t="s">
        <v>762</v>
      </c>
      <c r="G1503" s="40" t="s">
        <v>763</v>
      </c>
      <c r="H1503" s="40" t="s">
        <v>3099</v>
      </c>
      <c r="I1503" s="40" t="str">
        <f>VLOOKUP(Таблица18[[#This Row],[Номер акта]],$AB$1:$AF$2504,3,FALSE)</f>
        <v>А-23</v>
      </c>
      <c r="J1503" s="40" t="s">
        <v>747</v>
      </c>
      <c r="K1503" s="40" t="s">
        <v>2939</v>
      </c>
      <c r="L1503" s="121">
        <v>8930</v>
      </c>
      <c r="M1503" s="121">
        <v>4680</v>
      </c>
      <c r="N1503" s="121">
        <v>15.5</v>
      </c>
      <c r="O1503" s="363">
        <v>4250</v>
      </c>
      <c r="P1503" s="363">
        <v>3591.2</v>
      </c>
      <c r="Q1503" s="121">
        <v>2026</v>
      </c>
      <c r="R1503" s="121">
        <v>119</v>
      </c>
      <c r="S1503" s="148">
        <v>46183</v>
      </c>
      <c r="T1503" s="363">
        <f>Таблица18[[#This Row],[Вес нетто]]-Таблица18[[#This Row],[Зачетный вес]]</f>
        <v>658.80000000000018</v>
      </c>
      <c r="U1503" s="392">
        <f>Таблица18[[#This Row],[Отход]]/Таблица18[[#This Row],[Вес нетто]]</f>
        <v>0.1550117647058824</v>
      </c>
      <c r="V1503" s="121">
        <f>MONTH(Таблица18[[#This Row],[Дата акта]])</f>
        <v>6</v>
      </c>
      <c r="W1503" s="121">
        <f>DAY(Таблица18[[#This Row],[Дата акта]])</f>
        <v>10</v>
      </c>
      <c r="X1503" s="148">
        <f>DATE(1900,Таблица18[[#This Row],[Месяц]],Таблица18[[#This Row],[Число]])</f>
        <v>162</v>
      </c>
      <c r="Y1503" s="121"/>
      <c r="Z1503" s="121" t="str">
        <f>Таблица18[[#This Row],[Хар-ка]]</f>
        <v>Высший</v>
      </c>
      <c r="AA1503"/>
      <c r="AB1503">
        <v>119</v>
      </c>
      <c r="AC1503"/>
      <c r="AD1503" s="460" t="s">
        <v>3099</v>
      </c>
      <c r="AE1503" t="s">
        <v>747</v>
      </c>
      <c r="AF1503" t="s">
        <v>46</v>
      </c>
    </row>
    <row r="1504" spans="1:32" s="465" customFormat="1" ht="33.75" x14ac:dyDescent="0.25">
      <c r="A1504" s="40" t="s">
        <v>3225</v>
      </c>
      <c r="B1504" s="360" t="s">
        <v>2940</v>
      </c>
      <c r="C1504" s="40">
        <v>182</v>
      </c>
      <c r="D1504" s="40">
        <v>106</v>
      </c>
      <c r="E1504" s="40" t="s">
        <v>2964</v>
      </c>
      <c r="F1504" s="40" t="s">
        <v>195</v>
      </c>
      <c r="G1504" s="40" t="s">
        <v>199</v>
      </c>
      <c r="H1504" s="40" t="s">
        <v>3099</v>
      </c>
      <c r="I1504" s="40" t="str">
        <f>VLOOKUP(Таблица18[[#This Row],[Номер акта]],$AB$1:$AF$2504,3,FALSE)</f>
        <v>А-23</v>
      </c>
      <c r="J1504" s="40" t="s">
        <v>747</v>
      </c>
      <c r="K1504" s="40" t="s">
        <v>2939</v>
      </c>
      <c r="L1504" s="121">
        <v>28220</v>
      </c>
      <c r="M1504" s="121">
        <v>15240</v>
      </c>
      <c r="N1504" s="121">
        <v>15.5</v>
      </c>
      <c r="O1504" s="363">
        <v>12980</v>
      </c>
      <c r="P1504" s="363">
        <v>10968.1</v>
      </c>
      <c r="Q1504" s="121">
        <v>2026</v>
      </c>
      <c r="R1504" s="121">
        <v>120</v>
      </c>
      <c r="S1504" s="148">
        <v>46183</v>
      </c>
      <c r="T1504" s="363">
        <f>Таблица18[[#This Row],[Вес нетто]]-Таблица18[[#This Row],[Зачетный вес]]</f>
        <v>2011.8999999999996</v>
      </c>
      <c r="U1504" s="392">
        <f>Таблица18[[#This Row],[Отход]]/Таблица18[[#This Row],[Вес нетто]]</f>
        <v>0.15499999999999997</v>
      </c>
      <c r="V1504" s="121">
        <f>MONTH(Таблица18[[#This Row],[Дата акта]])</f>
        <v>6</v>
      </c>
      <c r="W1504" s="121">
        <f>DAY(Таблица18[[#This Row],[Дата акта]])</f>
        <v>10</v>
      </c>
      <c r="X1504" s="148">
        <f>DATE(1900,Таблица18[[#This Row],[Месяц]],Таблица18[[#This Row],[Число]])</f>
        <v>162</v>
      </c>
      <c r="Y1504" s="121"/>
      <c r="Z1504" s="121" t="str">
        <f>Таблица18[[#This Row],[Хар-ка]]</f>
        <v>Высший</v>
      </c>
      <c r="AA1504"/>
      <c r="AB1504">
        <v>120</v>
      </c>
      <c r="AC1504"/>
      <c r="AD1504" s="460" t="s">
        <v>3099</v>
      </c>
      <c r="AE1504" t="s">
        <v>747</v>
      </c>
      <c r="AF1504" t="s">
        <v>46</v>
      </c>
    </row>
    <row r="1505" spans="1:32" s="465" customFormat="1" ht="22.5" x14ac:dyDescent="0.25">
      <c r="A1505" s="40" t="s">
        <v>3186</v>
      </c>
      <c r="B1505" s="360" t="s">
        <v>2940</v>
      </c>
      <c r="C1505" s="40">
        <v>184</v>
      </c>
      <c r="D1505" s="40">
        <v>107</v>
      </c>
      <c r="E1505" s="40" t="s">
        <v>2964</v>
      </c>
      <c r="F1505" s="40" t="s">
        <v>1792</v>
      </c>
      <c r="G1505" s="40" t="s">
        <v>80</v>
      </c>
      <c r="H1505" s="40" t="s">
        <v>3099</v>
      </c>
      <c r="I1505" s="40" t="str">
        <f>VLOOKUP(Таблица18[[#This Row],[Номер акта]],$AB$1:$AF$2504,3,FALSE)</f>
        <v>А-23</v>
      </c>
      <c r="J1505" s="40" t="s">
        <v>747</v>
      </c>
      <c r="K1505" s="40" t="s">
        <v>2939</v>
      </c>
      <c r="L1505" s="121">
        <v>27490</v>
      </c>
      <c r="M1505" s="121">
        <v>14430</v>
      </c>
      <c r="N1505" s="121">
        <v>10.5</v>
      </c>
      <c r="O1505" s="363">
        <v>13060</v>
      </c>
      <c r="P1505" s="363">
        <v>11688.7</v>
      </c>
      <c r="Q1505" s="121">
        <v>2026</v>
      </c>
      <c r="R1505" s="121">
        <v>121</v>
      </c>
      <c r="S1505" s="148">
        <v>46183</v>
      </c>
      <c r="T1505" s="363">
        <f>Таблица18[[#This Row],[Вес нетто]]-Таблица18[[#This Row],[Зачетный вес]]</f>
        <v>1371.2999999999993</v>
      </c>
      <c r="U1505" s="392">
        <f>Таблица18[[#This Row],[Отход]]/Таблица18[[#This Row],[Вес нетто]]</f>
        <v>0.10499999999999994</v>
      </c>
      <c r="V1505" s="121">
        <f>MONTH(Таблица18[[#This Row],[Дата акта]])</f>
        <v>6</v>
      </c>
      <c r="W1505" s="121">
        <f>DAY(Таблица18[[#This Row],[Дата акта]])</f>
        <v>10</v>
      </c>
      <c r="X1505" s="148">
        <f>DATE(1900,Таблица18[[#This Row],[Месяц]],Таблица18[[#This Row],[Число]])</f>
        <v>162</v>
      </c>
      <c r="Y1505" s="121"/>
      <c r="Z1505" s="121" t="str">
        <f>Таблица18[[#This Row],[Хар-ка]]</f>
        <v>Высший</v>
      </c>
      <c r="AA1505"/>
      <c r="AB1505">
        <v>121</v>
      </c>
      <c r="AC1505"/>
      <c r="AD1505" s="460" t="s">
        <v>3099</v>
      </c>
      <c r="AE1505" t="s">
        <v>747</v>
      </c>
      <c r="AF1505" t="s">
        <v>46</v>
      </c>
    </row>
    <row r="1506" spans="1:32" s="465" customFormat="1" ht="33.75" x14ac:dyDescent="0.25">
      <c r="A1506" s="40" t="s">
        <v>3192</v>
      </c>
      <c r="B1506" s="360" t="s">
        <v>2940</v>
      </c>
      <c r="C1506" s="40">
        <v>185</v>
      </c>
      <c r="D1506" s="40">
        <v>108</v>
      </c>
      <c r="E1506" s="40" t="s">
        <v>2964</v>
      </c>
      <c r="F1506" s="40" t="s">
        <v>3195</v>
      </c>
      <c r="G1506" s="40" t="s">
        <v>3196</v>
      </c>
      <c r="H1506" s="40" t="s">
        <v>3099</v>
      </c>
      <c r="I1506" s="40" t="str">
        <f>VLOOKUP(Таблица18[[#This Row],[Номер акта]],$AB$1:$AF$2504,3,FALSE)</f>
        <v>А-23</v>
      </c>
      <c r="J1506" s="40" t="s">
        <v>747</v>
      </c>
      <c r="K1506" s="40" t="s">
        <v>2939</v>
      </c>
      <c r="L1506" s="121">
        <v>27290</v>
      </c>
      <c r="M1506" s="121">
        <v>14360</v>
      </c>
      <c r="N1506" s="121">
        <v>9.5</v>
      </c>
      <c r="O1506" s="363">
        <v>12930</v>
      </c>
      <c r="P1506" s="363">
        <v>11701.6</v>
      </c>
      <c r="Q1506" s="121">
        <v>2026</v>
      </c>
      <c r="R1506" s="121">
        <v>122</v>
      </c>
      <c r="S1506" s="148">
        <v>46183</v>
      </c>
      <c r="T1506" s="363">
        <f>Таблица18[[#This Row],[Вес нетто]]-Таблица18[[#This Row],[Зачетный вес]]</f>
        <v>1228.3999999999996</v>
      </c>
      <c r="U1506" s="392">
        <f>Таблица18[[#This Row],[Отход]]/Таблица18[[#This Row],[Вес нетто]]</f>
        <v>9.5003866976024726E-2</v>
      </c>
      <c r="V1506" s="121">
        <f>MONTH(Таблица18[[#This Row],[Дата акта]])</f>
        <v>6</v>
      </c>
      <c r="W1506" s="121">
        <f>DAY(Таблица18[[#This Row],[Дата акта]])</f>
        <v>10</v>
      </c>
      <c r="X1506" s="148">
        <f>DATE(1900,Таблица18[[#This Row],[Месяц]],Таблица18[[#This Row],[Число]])</f>
        <v>162</v>
      </c>
      <c r="Y1506" s="121"/>
      <c r="Z1506" s="121" t="str">
        <f>Таблица18[[#This Row],[Хар-ка]]</f>
        <v>Высший</v>
      </c>
      <c r="AA1506"/>
      <c r="AB1506">
        <v>122</v>
      </c>
      <c r="AC1506"/>
      <c r="AD1506" s="460" t="s">
        <v>3099</v>
      </c>
      <c r="AE1506" t="s">
        <v>747</v>
      </c>
      <c r="AF1506" t="s">
        <v>46</v>
      </c>
    </row>
    <row r="1507" spans="1:32" s="465" customFormat="1" ht="33.75" x14ac:dyDescent="0.25">
      <c r="A1507" s="40" t="s">
        <v>3208</v>
      </c>
      <c r="B1507" s="360" t="s">
        <v>2940</v>
      </c>
      <c r="C1507" s="40">
        <v>186</v>
      </c>
      <c r="D1507" s="40">
        <v>109</v>
      </c>
      <c r="E1507" s="40" t="s">
        <v>2964</v>
      </c>
      <c r="F1507" s="40" t="s">
        <v>329</v>
      </c>
      <c r="G1507" s="40" t="s">
        <v>333</v>
      </c>
      <c r="H1507" s="40" t="s">
        <v>3099</v>
      </c>
      <c r="I1507" s="40" t="str">
        <f>VLOOKUP(Таблица18[[#This Row],[Номер акта]],$AB$1:$AF$2504,3,FALSE)</f>
        <v>А-23</v>
      </c>
      <c r="J1507" s="40" t="s">
        <v>747</v>
      </c>
      <c r="K1507" s="40" t="s">
        <v>2939</v>
      </c>
      <c r="L1507" s="121">
        <v>27950</v>
      </c>
      <c r="M1507" s="121">
        <v>15020</v>
      </c>
      <c r="N1507" s="121">
        <v>16.5</v>
      </c>
      <c r="O1507" s="363">
        <v>12930</v>
      </c>
      <c r="P1507" s="363">
        <v>10796.6</v>
      </c>
      <c r="Q1507" s="121">
        <v>2026</v>
      </c>
      <c r="R1507" s="121">
        <v>123</v>
      </c>
      <c r="S1507" s="148">
        <v>46183</v>
      </c>
      <c r="T1507" s="363">
        <f>Таблица18[[#This Row],[Вес нетто]]-Таблица18[[#This Row],[Зачетный вес]]</f>
        <v>2133.3999999999996</v>
      </c>
      <c r="U1507" s="392">
        <f>Таблица18[[#This Row],[Отход]]/Таблица18[[#This Row],[Вес нетто]]</f>
        <v>0.16499613302397523</v>
      </c>
      <c r="V1507" s="121">
        <f>MONTH(Таблица18[[#This Row],[Дата акта]])</f>
        <v>6</v>
      </c>
      <c r="W1507" s="121">
        <f>DAY(Таблица18[[#This Row],[Дата акта]])</f>
        <v>10</v>
      </c>
      <c r="X1507" s="148">
        <f>DATE(1900,Таблица18[[#This Row],[Месяц]],Таблица18[[#This Row],[Число]])</f>
        <v>162</v>
      </c>
      <c r="Y1507" s="121"/>
      <c r="Z1507" s="121" t="str">
        <f>Таблица18[[#This Row],[Хар-ка]]</f>
        <v>Высший</v>
      </c>
      <c r="AA1507"/>
      <c r="AB1507">
        <v>123</v>
      </c>
      <c r="AC1507"/>
      <c r="AD1507" s="460" t="s">
        <v>3099</v>
      </c>
      <c r="AE1507" t="s">
        <v>747</v>
      </c>
      <c r="AF1507" t="s">
        <v>46</v>
      </c>
    </row>
    <row r="1508" spans="1:32" s="465" customFormat="1" ht="33.75" x14ac:dyDescent="0.25">
      <c r="A1508" s="40" t="s">
        <v>3216</v>
      </c>
      <c r="B1508" s="360" t="s">
        <v>2940</v>
      </c>
      <c r="C1508" s="40">
        <v>187</v>
      </c>
      <c r="D1508" s="40">
        <v>110</v>
      </c>
      <c r="E1508" s="40" t="s">
        <v>2964</v>
      </c>
      <c r="F1508" s="40" t="s">
        <v>762</v>
      </c>
      <c r="G1508" s="40" t="s">
        <v>763</v>
      </c>
      <c r="H1508" s="40" t="s">
        <v>3099</v>
      </c>
      <c r="I1508" s="40" t="str">
        <f>VLOOKUP(Таблица18[[#This Row],[Номер акта]],$AB$1:$AF$2504,3,FALSE)</f>
        <v>А-23</v>
      </c>
      <c r="J1508" s="40" t="s">
        <v>747</v>
      </c>
      <c r="K1508" s="40" t="s">
        <v>2939</v>
      </c>
      <c r="L1508" s="121">
        <v>9080</v>
      </c>
      <c r="M1508" s="121">
        <v>4660</v>
      </c>
      <c r="N1508" s="121">
        <v>15.5</v>
      </c>
      <c r="O1508" s="363">
        <v>4420</v>
      </c>
      <c r="P1508" s="363">
        <v>3734.9</v>
      </c>
      <c r="Q1508" s="121">
        <v>2026</v>
      </c>
      <c r="R1508" s="121">
        <v>124</v>
      </c>
      <c r="S1508" s="148">
        <v>46183</v>
      </c>
      <c r="T1508" s="363">
        <f>Таблица18[[#This Row],[Вес нетто]]-Таблица18[[#This Row],[Зачетный вес]]</f>
        <v>685.09999999999991</v>
      </c>
      <c r="U1508" s="392">
        <f>Таблица18[[#This Row],[Отход]]/Таблица18[[#This Row],[Вес нетто]]</f>
        <v>0.15499999999999997</v>
      </c>
      <c r="V1508" s="121">
        <f>MONTH(Таблица18[[#This Row],[Дата акта]])</f>
        <v>6</v>
      </c>
      <c r="W1508" s="121">
        <f>DAY(Таблица18[[#This Row],[Дата акта]])</f>
        <v>10</v>
      </c>
      <c r="X1508" s="148">
        <f>DATE(1900,Таблица18[[#This Row],[Месяц]],Таблица18[[#This Row],[Число]])</f>
        <v>162</v>
      </c>
      <c r="Y1508" s="121"/>
      <c r="Z1508" s="121" t="str">
        <f>Таблица18[[#This Row],[Хар-ка]]</f>
        <v>Высший</v>
      </c>
      <c r="AA1508"/>
      <c r="AB1508">
        <v>124</v>
      </c>
      <c r="AC1508"/>
      <c r="AD1508" s="460" t="s">
        <v>3099</v>
      </c>
      <c r="AE1508" t="s">
        <v>747</v>
      </c>
      <c r="AF1508" t="s">
        <v>46</v>
      </c>
    </row>
    <row r="1509" spans="1:32" s="465" customFormat="1" ht="33.75" x14ac:dyDescent="0.25">
      <c r="A1509" s="40" t="s">
        <v>3211</v>
      </c>
      <c r="B1509" s="360" t="s">
        <v>2940</v>
      </c>
      <c r="C1509" s="40">
        <v>189</v>
      </c>
      <c r="D1509" s="40">
        <v>111</v>
      </c>
      <c r="E1509" s="40" t="s">
        <v>2964</v>
      </c>
      <c r="F1509" s="40" t="s">
        <v>239</v>
      </c>
      <c r="G1509" s="40" t="s">
        <v>243</v>
      </c>
      <c r="H1509" s="40" t="s">
        <v>3099</v>
      </c>
      <c r="I1509" s="40" t="str">
        <f>VLOOKUP(Таблица18[[#This Row],[Номер акта]],$AB$1:$AF$2504,3,FALSE)</f>
        <v>А-23</v>
      </c>
      <c r="J1509" s="40" t="s">
        <v>747</v>
      </c>
      <c r="K1509" s="40" t="s">
        <v>2939</v>
      </c>
      <c r="L1509" s="121">
        <v>27620</v>
      </c>
      <c r="M1509" s="121">
        <v>14460</v>
      </c>
      <c r="N1509" s="121">
        <v>13.5</v>
      </c>
      <c r="O1509" s="363">
        <v>13160</v>
      </c>
      <c r="P1509" s="363">
        <v>11383.4</v>
      </c>
      <c r="Q1509" s="121">
        <v>2026</v>
      </c>
      <c r="R1509" s="121">
        <v>125</v>
      </c>
      <c r="S1509" s="148">
        <v>46183</v>
      </c>
      <c r="T1509" s="363">
        <f>Таблица18[[#This Row],[Вес нетто]]-Таблица18[[#This Row],[Зачетный вес]]</f>
        <v>1776.6000000000004</v>
      </c>
      <c r="U1509" s="392">
        <f>Таблица18[[#This Row],[Отход]]/Таблица18[[#This Row],[Вес нетто]]</f>
        <v>0.13500000000000004</v>
      </c>
      <c r="V1509" s="121">
        <f>MONTH(Таблица18[[#This Row],[Дата акта]])</f>
        <v>6</v>
      </c>
      <c r="W1509" s="121">
        <f>DAY(Таблица18[[#This Row],[Дата акта]])</f>
        <v>10</v>
      </c>
      <c r="X1509" s="148">
        <f>DATE(1900,Таблица18[[#This Row],[Месяц]],Таблица18[[#This Row],[Число]])</f>
        <v>162</v>
      </c>
      <c r="Y1509" s="121"/>
      <c r="Z1509" s="121" t="str">
        <f>Таблица18[[#This Row],[Хар-ка]]</f>
        <v>Высший</v>
      </c>
      <c r="AA1509"/>
      <c r="AB1509">
        <v>125</v>
      </c>
      <c r="AC1509"/>
      <c r="AD1509" s="460" t="s">
        <v>3099</v>
      </c>
      <c r="AE1509" t="s">
        <v>747</v>
      </c>
      <c r="AF1509" t="s">
        <v>46</v>
      </c>
    </row>
    <row r="1510" spans="1:32" s="465" customFormat="1" ht="22.5" x14ac:dyDescent="0.25">
      <c r="A1510" s="40" t="s">
        <v>3210</v>
      </c>
      <c r="B1510" s="360" t="s">
        <v>2940</v>
      </c>
      <c r="C1510" s="40">
        <v>190</v>
      </c>
      <c r="D1510" s="40">
        <v>112</v>
      </c>
      <c r="E1510" s="40" t="s">
        <v>2964</v>
      </c>
      <c r="F1510" s="40" t="s">
        <v>212</v>
      </c>
      <c r="G1510" s="40" t="s">
        <v>2965</v>
      </c>
      <c r="H1510" s="40" t="s">
        <v>3099</v>
      </c>
      <c r="I1510" s="40" t="str">
        <f>VLOOKUP(Таблица18[[#This Row],[Номер акта]],$AB$1:$AF$2504,3,FALSE)</f>
        <v>А-23</v>
      </c>
      <c r="J1510" s="40" t="s">
        <v>747</v>
      </c>
      <c r="K1510" s="40" t="s">
        <v>2939</v>
      </c>
      <c r="L1510" s="121">
        <v>28500</v>
      </c>
      <c r="M1510" s="121">
        <v>15800</v>
      </c>
      <c r="N1510" s="121">
        <v>13.5</v>
      </c>
      <c r="O1510" s="363">
        <v>12700</v>
      </c>
      <c r="P1510" s="363">
        <v>10985.5</v>
      </c>
      <c r="Q1510" s="121">
        <v>2026</v>
      </c>
      <c r="R1510" s="121">
        <v>126</v>
      </c>
      <c r="S1510" s="148">
        <v>46183</v>
      </c>
      <c r="T1510" s="363">
        <f>Таблица18[[#This Row],[Вес нетто]]-Таблица18[[#This Row],[Зачетный вес]]</f>
        <v>1714.5</v>
      </c>
      <c r="U1510" s="392">
        <f>Таблица18[[#This Row],[Отход]]/Таблица18[[#This Row],[Вес нетто]]</f>
        <v>0.13500000000000001</v>
      </c>
      <c r="V1510" s="121">
        <f>MONTH(Таблица18[[#This Row],[Дата акта]])</f>
        <v>6</v>
      </c>
      <c r="W1510" s="121">
        <f>DAY(Таблица18[[#This Row],[Дата акта]])</f>
        <v>10</v>
      </c>
      <c r="X1510" s="148">
        <f>DATE(1900,Таблица18[[#This Row],[Месяц]],Таблица18[[#This Row],[Число]])</f>
        <v>162</v>
      </c>
      <c r="Y1510" s="121"/>
      <c r="Z1510" s="121" t="str">
        <f>Таблица18[[#This Row],[Хар-ка]]</f>
        <v>Высший</v>
      </c>
      <c r="AA1510"/>
      <c r="AB1510">
        <v>126</v>
      </c>
      <c r="AC1510"/>
      <c r="AD1510" s="460" t="s">
        <v>3099</v>
      </c>
      <c r="AE1510" t="s">
        <v>747</v>
      </c>
      <c r="AF1510" t="s">
        <v>46</v>
      </c>
    </row>
    <row r="1511" spans="1:32" s="465" customFormat="1" ht="22.5" x14ac:dyDescent="0.25">
      <c r="A1511" s="40" t="s">
        <v>3213</v>
      </c>
      <c r="B1511" s="360" t="s">
        <v>2940</v>
      </c>
      <c r="C1511" s="40">
        <v>192</v>
      </c>
      <c r="D1511" s="40">
        <v>113</v>
      </c>
      <c r="E1511" s="40" t="s">
        <v>2964</v>
      </c>
      <c r="F1511" s="40" t="s">
        <v>335</v>
      </c>
      <c r="G1511" s="40" t="s">
        <v>339</v>
      </c>
      <c r="H1511" s="40" t="s">
        <v>3099</v>
      </c>
      <c r="I1511" s="40" t="str">
        <f>VLOOKUP(Таблица18[[#This Row],[Номер акта]],$AB$1:$AF$2504,3,FALSE)</f>
        <v>А-23</v>
      </c>
      <c r="J1511" s="40" t="s">
        <v>747</v>
      </c>
      <c r="K1511" s="40" t="s">
        <v>2939</v>
      </c>
      <c r="L1511" s="121">
        <v>28250</v>
      </c>
      <c r="M1511" s="121">
        <v>14870</v>
      </c>
      <c r="N1511" s="121">
        <v>14.5</v>
      </c>
      <c r="O1511" s="363">
        <v>13380</v>
      </c>
      <c r="P1511" s="363">
        <v>11439.9</v>
      </c>
      <c r="Q1511" s="121">
        <v>2026</v>
      </c>
      <c r="R1511" s="121">
        <v>127</v>
      </c>
      <c r="S1511" s="148">
        <v>46183</v>
      </c>
      <c r="T1511" s="363">
        <f>Таблица18[[#This Row],[Вес нетто]]-Таблица18[[#This Row],[Зачетный вес]]</f>
        <v>1940.1000000000004</v>
      </c>
      <c r="U1511" s="392">
        <f>Таблица18[[#This Row],[Отход]]/Таблица18[[#This Row],[Вес нетто]]</f>
        <v>0.14500000000000002</v>
      </c>
      <c r="V1511" s="121">
        <f>MONTH(Таблица18[[#This Row],[Дата акта]])</f>
        <v>6</v>
      </c>
      <c r="W1511" s="121">
        <f>DAY(Таблица18[[#This Row],[Дата акта]])</f>
        <v>10</v>
      </c>
      <c r="X1511" s="148">
        <f>DATE(1900,Таблица18[[#This Row],[Месяц]],Таблица18[[#This Row],[Число]])</f>
        <v>162</v>
      </c>
      <c r="Y1511" s="121"/>
      <c r="Z1511" s="121" t="str">
        <f>Таблица18[[#This Row],[Хар-ка]]</f>
        <v>Высший</v>
      </c>
      <c r="AA1511"/>
      <c r="AB1511">
        <v>127</v>
      </c>
      <c r="AC1511"/>
      <c r="AD1511" s="460" t="s">
        <v>3099</v>
      </c>
      <c r="AE1511" t="s">
        <v>747</v>
      </c>
      <c r="AF1511" t="s">
        <v>46</v>
      </c>
    </row>
    <row r="1512" spans="1:32" s="465" customFormat="1" ht="22.5" x14ac:dyDescent="0.25">
      <c r="A1512" s="40" t="s">
        <v>3207</v>
      </c>
      <c r="B1512" s="360" t="s">
        <v>2940</v>
      </c>
      <c r="C1512" s="40">
        <v>193</v>
      </c>
      <c r="D1512" s="40">
        <v>114</v>
      </c>
      <c r="E1512" s="40" t="s">
        <v>2964</v>
      </c>
      <c r="F1512" s="40" t="s">
        <v>127</v>
      </c>
      <c r="G1512" s="40" t="s">
        <v>131</v>
      </c>
      <c r="H1512" s="40" t="s">
        <v>3099</v>
      </c>
      <c r="I1512" s="40" t="str">
        <f>VLOOKUP(Таблица18[[#This Row],[Номер акта]],$AB$1:$AF$2504,3,FALSE)</f>
        <v>А-23</v>
      </c>
      <c r="J1512" s="40" t="s">
        <v>747</v>
      </c>
      <c r="K1512" s="40" t="s">
        <v>2939</v>
      </c>
      <c r="L1512" s="121">
        <v>18420</v>
      </c>
      <c r="M1512" s="121">
        <v>9770</v>
      </c>
      <c r="N1512" s="121">
        <v>12</v>
      </c>
      <c r="O1512" s="363">
        <v>8650</v>
      </c>
      <c r="P1512" s="363">
        <v>7612</v>
      </c>
      <c r="Q1512" s="121">
        <v>2026</v>
      </c>
      <c r="R1512" s="121">
        <v>128</v>
      </c>
      <c r="S1512" s="148">
        <v>46183</v>
      </c>
      <c r="T1512" s="363">
        <f>Таблица18[[#This Row],[Вес нетто]]-Таблица18[[#This Row],[Зачетный вес]]</f>
        <v>1038</v>
      </c>
      <c r="U1512" s="392">
        <f>Таблица18[[#This Row],[Отход]]/Таблица18[[#This Row],[Вес нетто]]</f>
        <v>0.12</v>
      </c>
      <c r="V1512" s="121">
        <f>MONTH(Таблица18[[#This Row],[Дата акта]])</f>
        <v>6</v>
      </c>
      <c r="W1512" s="121">
        <f>DAY(Таблица18[[#This Row],[Дата акта]])</f>
        <v>10</v>
      </c>
      <c r="X1512" s="148">
        <f>DATE(1900,Таблица18[[#This Row],[Месяц]],Таблица18[[#This Row],[Число]])</f>
        <v>162</v>
      </c>
      <c r="Y1512" s="121"/>
      <c r="Z1512" s="121" t="str">
        <f>Таблица18[[#This Row],[Хар-ка]]</f>
        <v>Высший</v>
      </c>
      <c r="AA1512"/>
      <c r="AB1512">
        <v>128</v>
      </c>
      <c r="AC1512"/>
      <c r="AD1512" s="460" t="s">
        <v>3099</v>
      </c>
      <c r="AE1512" t="s">
        <v>747</v>
      </c>
      <c r="AF1512" t="s">
        <v>46</v>
      </c>
    </row>
    <row r="1513" spans="1:32" s="465" customFormat="1" ht="33.75" x14ac:dyDescent="0.25">
      <c r="A1513" s="40" t="s">
        <v>3513</v>
      </c>
      <c r="B1513" s="360" t="s">
        <v>2940</v>
      </c>
      <c r="C1513" s="40">
        <v>194</v>
      </c>
      <c r="D1513" s="40" t="s">
        <v>3514</v>
      </c>
      <c r="E1513" s="40" t="s">
        <v>2964</v>
      </c>
      <c r="F1513" s="40" t="s">
        <v>305</v>
      </c>
      <c r="G1513" s="40" t="s">
        <v>309</v>
      </c>
      <c r="H1513" s="40" t="s">
        <v>3101</v>
      </c>
      <c r="I1513" s="40" t="str">
        <f>VLOOKUP(Таблица18[[#This Row],[Номер акта]],$AB$1:$AF$2504,3,FALSE)</f>
        <v>А-38</v>
      </c>
      <c r="J1513" s="40" t="s">
        <v>524</v>
      </c>
      <c r="K1513" s="40" t="s">
        <v>2939</v>
      </c>
      <c r="L1513" s="121">
        <v>27870</v>
      </c>
      <c r="M1513" s="121">
        <v>14440</v>
      </c>
      <c r="N1513" s="121">
        <v>13.4</v>
      </c>
      <c r="O1513" s="363">
        <v>13430</v>
      </c>
      <c r="P1513" s="363">
        <v>11111</v>
      </c>
      <c r="Q1513" s="121">
        <v>2026</v>
      </c>
      <c r="R1513" s="121">
        <v>274</v>
      </c>
      <c r="S1513" s="148">
        <v>46183</v>
      </c>
      <c r="T1513" s="363">
        <f>Таблица18[[#This Row],[Вес нетто]]-Таблица18[[#This Row],[Зачетный вес]]</f>
        <v>2319</v>
      </c>
      <c r="U1513" s="392">
        <f>Таблица18[[#This Row],[Отход]]/Таблица18[[#This Row],[Вес нетто]]</f>
        <v>0.17267311988086373</v>
      </c>
      <c r="V1513" s="121">
        <f>MONTH(Таблица18[[#This Row],[Дата акта]])</f>
        <v>6</v>
      </c>
      <c r="W1513" s="121">
        <f>DAY(Таблица18[[#This Row],[Дата акта]])</f>
        <v>10</v>
      </c>
      <c r="X1513" s="148">
        <f>DATE(1900,Таблица18[[#This Row],[Месяц]],Таблица18[[#This Row],[Число]])</f>
        <v>162</v>
      </c>
      <c r="Y1513" s="121"/>
      <c r="Z1513" s="121" t="str">
        <f>Таблица18[[#This Row],[Хар-ка]]</f>
        <v>Высший</v>
      </c>
      <c r="AA1513"/>
      <c r="AB1513">
        <v>274</v>
      </c>
      <c r="AC1513"/>
      <c r="AD1513" s="460" t="s">
        <v>3101</v>
      </c>
      <c r="AE1513" t="s">
        <v>524</v>
      </c>
      <c r="AF1513" t="s">
        <v>46</v>
      </c>
    </row>
    <row r="1514" spans="1:32" s="465" customFormat="1" ht="33.75" x14ac:dyDescent="0.25">
      <c r="A1514" s="40" t="s">
        <v>3515</v>
      </c>
      <c r="B1514" s="360" t="s">
        <v>2940</v>
      </c>
      <c r="C1514" s="40">
        <v>195</v>
      </c>
      <c r="D1514" s="40" t="s">
        <v>3516</v>
      </c>
      <c r="E1514" s="40" t="s">
        <v>2964</v>
      </c>
      <c r="F1514" s="40" t="s">
        <v>3204</v>
      </c>
      <c r="G1514" s="40" t="s">
        <v>3303</v>
      </c>
      <c r="H1514" s="40" t="s">
        <v>3101</v>
      </c>
      <c r="I1514" s="40" t="str">
        <f>VLOOKUP(Таблица18[[#This Row],[Номер акта]],$AB$1:$AF$2504,3,FALSE)</f>
        <v>А-38</v>
      </c>
      <c r="J1514" s="40" t="s">
        <v>524</v>
      </c>
      <c r="K1514" s="40" t="s">
        <v>2939</v>
      </c>
      <c r="L1514" s="121">
        <v>27940</v>
      </c>
      <c r="M1514" s="121">
        <v>15050</v>
      </c>
      <c r="N1514" s="121">
        <v>14.7</v>
      </c>
      <c r="O1514" s="363">
        <v>12890</v>
      </c>
      <c r="P1514" s="363">
        <v>10816</v>
      </c>
      <c r="Q1514" s="121">
        <v>2026</v>
      </c>
      <c r="R1514" s="121">
        <v>276</v>
      </c>
      <c r="S1514" s="148">
        <v>46183</v>
      </c>
      <c r="T1514" s="363">
        <f>Таблица18[[#This Row],[Вес нетто]]-Таблица18[[#This Row],[Зачетный вес]]</f>
        <v>2074</v>
      </c>
      <c r="U1514" s="392">
        <f>Таблица18[[#This Row],[Отход]]/Таблица18[[#This Row],[Вес нетто]]</f>
        <v>0.16089992242048098</v>
      </c>
      <c r="V1514" s="121">
        <f>MONTH(Таблица18[[#This Row],[Дата акта]])</f>
        <v>6</v>
      </c>
      <c r="W1514" s="121">
        <f>DAY(Таблица18[[#This Row],[Дата акта]])</f>
        <v>10</v>
      </c>
      <c r="X1514" s="148">
        <f>DATE(1900,Таблица18[[#This Row],[Месяц]],Таблица18[[#This Row],[Число]])</f>
        <v>162</v>
      </c>
      <c r="Y1514" s="121"/>
      <c r="Z1514" s="121" t="str">
        <f>Таблица18[[#This Row],[Хар-ка]]</f>
        <v>Высший</v>
      </c>
      <c r="AA1514"/>
      <c r="AB1514">
        <v>276</v>
      </c>
      <c r="AC1514"/>
      <c r="AD1514" s="460" t="s">
        <v>3101</v>
      </c>
      <c r="AE1514" t="s">
        <v>524</v>
      </c>
      <c r="AF1514" t="s">
        <v>46</v>
      </c>
    </row>
    <row r="1515" spans="1:32" s="465" customFormat="1" ht="33.75" x14ac:dyDescent="0.25">
      <c r="A1515" s="40" t="s">
        <v>3231</v>
      </c>
      <c r="B1515" s="360" t="s">
        <v>3230</v>
      </c>
      <c r="C1515" s="40">
        <v>196</v>
      </c>
      <c r="D1515" s="40">
        <v>115</v>
      </c>
      <c r="E1515" s="40" t="s">
        <v>2964</v>
      </c>
      <c r="F1515" s="40" t="s">
        <v>737</v>
      </c>
      <c r="G1515" s="40" t="s">
        <v>738</v>
      </c>
      <c r="H1515" s="40" t="s">
        <v>3232</v>
      </c>
      <c r="I1515" s="40" t="str">
        <f>VLOOKUP(Таблица18[[#This Row],[Номер акта]],$AB$1:$AF$2504,3,FALSE)</f>
        <v>А-112/1</v>
      </c>
      <c r="J1515" s="40" t="s">
        <v>524</v>
      </c>
      <c r="K1515" s="40" t="s">
        <v>2939</v>
      </c>
      <c r="L1515" s="121">
        <v>9080</v>
      </c>
      <c r="M1515" s="121">
        <v>4650</v>
      </c>
      <c r="N1515" s="121">
        <v>6.5</v>
      </c>
      <c r="O1515" s="363">
        <v>4430</v>
      </c>
      <c r="P1515" s="363">
        <v>4142</v>
      </c>
      <c r="Q1515" s="121">
        <v>2026</v>
      </c>
      <c r="R1515" s="121">
        <v>129</v>
      </c>
      <c r="S1515" s="148">
        <v>46183</v>
      </c>
      <c r="T1515" s="363">
        <f>Таблица18[[#This Row],[Вес нетто]]-Таблица18[[#This Row],[Зачетный вес]]</f>
        <v>288</v>
      </c>
      <c r="U1515" s="392">
        <f>Таблица18[[#This Row],[Отход]]/Таблица18[[#This Row],[Вес нетто]]</f>
        <v>6.5011286681715574E-2</v>
      </c>
      <c r="V1515" s="121">
        <f>MONTH(Таблица18[[#This Row],[Дата акта]])</f>
        <v>6</v>
      </c>
      <c r="W1515" s="121">
        <f>DAY(Таблица18[[#This Row],[Дата акта]])</f>
        <v>10</v>
      </c>
      <c r="X1515" s="148">
        <f>DATE(1900,Таблица18[[#This Row],[Месяц]],Таблица18[[#This Row],[Число]])</f>
        <v>162</v>
      </c>
      <c r="Y1515" s="121"/>
      <c r="Z1515" s="121" t="str">
        <f>Таблица18[[#This Row],[Хар-ка]]</f>
        <v>Первый</v>
      </c>
      <c r="AA1515"/>
      <c r="AB1515">
        <v>129</v>
      </c>
      <c r="AC1515"/>
      <c r="AD1515" s="460" t="s">
        <v>3095</v>
      </c>
      <c r="AE1515" t="s">
        <v>524</v>
      </c>
      <c r="AF1515" t="s">
        <v>46</v>
      </c>
    </row>
    <row r="1516" spans="1:32" s="465" customFormat="1" ht="33.75" x14ac:dyDescent="0.25">
      <c r="A1516" s="40" t="s">
        <v>3226</v>
      </c>
      <c r="B1516" s="360" t="s">
        <v>2940</v>
      </c>
      <c r="C1516" s="40">
        <v>197</v>
      </c>
      <c r="D1516" s="40">
        <v>116</v>
      </c>
      <c r="E1516" s="40" t="s">
        <v>2964</v>
      </c>
      <c r="F1516" s="40" t="s">
        <v>239</v>
      </c>
      <c r="G1516" s="40" t="s">
        <v>243</v>
      </c>
      <c r="H1516" s="40" t="s">
        <v>3101</v>
      </c>
      <c r="I1516" s="40" t="str">
        <f>VLOOKUP(Таблица18[[#This Row],[Номер акта]],$AB$1:$AF$2504,3,FALSE)</f>
        <v>А-38</v>
      </c>
      <c r="J1516" s="40" t="s">
        <v>524</v>
      </c>
      <c r="K1516" s="40" t="s">
        <v>2939</v>
      </c>
      <c r="L1516" s="121">
        <v>27670</v>
      </c>
      <c r="M1516" s="121">
        <v>14450</v>
      </c>
      <c r="N1516" s="121">
        <v>9.5</v>
      </c>
      <c r="O1516" s="363">
        <v>13220</v>
      </c>
      <c r="P1516" s="363">
        <v>11964.1</v>
      </c>
      <c r="Q1516" s="121">
        <v>2026</v>
      </c>
      <c r="R1516" s="121">
        <v>130</v>
      </c>
      <c r="S1516" s="148">
        <v>46183</v>
      </c>
      <c r="T1516" s="363">
        <f>Таблица18[[#This Row],[Вес нетто]]-Таблица18[[#This Row],[Зачетный вес]]</f>
        <v>1255.8999999999996</v>
      </c>
      <c r="U1516" s="392">
        <f>Таблица18[[#This Row],[Отход]]/Таблица18[[#This Row],[Вес нетто]]</f>
        <v>9.4999999999999973E-2</v>
      </c>
      <c r="V1516" s="121">
        <f>MONTH(Таблица18[[#This Row],[Дата акта]])</f>
        <v>6</v>
      </c>
      <c r="W1516" s="121">
        <f>DAY(Таблица18[[#This Row],[Дата акта]])</f>
        <v>10</v>
      </c>
      <c r="X1516" s="148">
        <f>DATE(1900,Таблица18[[#This Row],[Месяц]],Таблица18[[#This Row],[Число]])</f>
        <v>162</v>
      </c>
      <c r="Y1516" s="121"/>
      <c r="Z1516" s="121" t="str">
        <f>Таблица18[[#This Row],[Хар-ка]]</f>
        <v>Высший</v>
      </c>
      <c r="AA1516"/>
      <c r="AB1516">
        <v>130</v>
      </c>
      <c r="AC1516"/>
      <c r="AD1516" s="460" t="s">
        <v>3101</v>
      </c>
      <c r="AE1516" t="s">
        <v>524</v>
      </c>
      <c r="AF1516" t="s">
        <v>46</v>
      </c>
    </row>
    <row r="1517" spans="1:32" s="465" customFormat="1" ht="22.5" x14ac:dyDescent="0.25">
      <c r="A1517" s="40" t="s">
        <v>3229</v>
      </c>
      <c r="B1517" s="360" t="s">
        <v>2940</v>
      </c>
      <c r="C1517" s="40">
        <v>199</v>
      </c>
      <c r="D1517" s="40">
        <v>117</v>
      </c>
      <c r="E1517" s="40" t="s">
        <v>2964</v>
      </c>
      <c r="F1517" s="40" t="s">
        <v>127</v>
      </c>
      <c r="G1517" s="40" t="s">
        <v>131</v>
      </c>
      <c r="H1517" s="40" t="s">
        <v>3094</v>
      </c>
      <c r="I1517" s="40" t="str">
        <f>VLOOKUP(Таблица18[[#This Row],[Номер акта]],$AB$1:$AF$2504,3,FALSE)</f>
        <v>А-111/1</v>
      </c>
      <c r="J1517" s="40" t="s">
        <v>524</v>
      </c>
      <c r="K1517" s="40" t="s">
        <v>2939</v>
      </c>
      <c r="L1517" s="121">
        <v>16560</v>
      </c>
      <c r="M1517" s="121">
        <v>9760</v>
      </c>
      <c r="N1517" s="121">
        <v>12</v>
      </c>
      <c r="O1517" s="363">
        <v>6800</v>
      </c>
      <c r="P1517" s="363">
        <v>5984</v>
      </c>
      <c r="Q1517" s="121">
        <v>2026</v>
      </c>
      <c r="R1517" s="121">
        <v>131</v>
      </c>
      <c r="S1517" s="148">
        <v>46183</v>
      </c>
      <c r="T1517" s="363">
        <f>Таблица18[[#This Row],[Вес нетто]]-Таблица18[[#This Row],[Зачетный вес]]</f>
        <v>816</v>
      </c>
      <c r="U1517" s="392">
        <f>Таблица18[[#This Row],[Отход]]/Таблица18[[#This Row],[Вес нетто]]</f>
        <v>0.12</v>
      </c>
      <c r="V1517" s="121">
        <f>MONTH(Таблица18[[#This Row],[Дата акта]])</f>
        <v>6</v>
      </c>
      <c r="W1517" s="121">
        <f>DAY(Таблица18[[#This Row],[Дата акта]])</f>
        <v>10</v>
      </c>
      <c r="X1517" s="148">
        <f>DATE(1900,Таблица18[[#This Row],[Месяц]],Таблица18[[#This Row],[Число]])</f>
        <v>162</v>
      </c>
      <c r="Y1517" s="121"/>
      <c r="Z1517" s="121" t="str">
        <f>Таблица18[[#This Row],[Хар-ка]]</f>
        <v>Высший</v>
      </c>
      <c r="AA1517"/>
      <c r="AB1517">
        <v>131</v>
      </c>
      <c r="AC1517"/>
      <c r="AD1517" s="460" t="s">
        <v>3094</v>
      </c>
      <c r="AE1517" t="s">
        <v>524</v>
      </c>
      <c r="AF1517" t="s">
        <v>46</v>
      </c>
    </row>
    <row r="1518" spans="1:32" s="465" customFormat="1" ht="33.75" x14ac:dyDescent="0.25">
      <c r="A1518" s="40" t="s">
        <v>3517</v>
      </c>
      <c r="B1518" s="360" t="s">
        <v>2940</v>
      </c>
      <c r="C1518" s="40">
        <v>200</v>
      </c>
      <c r="D1518" s="40" t="s">
        <v>3518</v>
      </c>
      <c r="E1518" s="40" t="s">
        <v>2964</v>
      </c>
      <c r="F1518" s="40" t="s">
        <v>329</v>
      </c>
      <c r="G1518" s="40" t="s">
        <v>333</v>
      </c>
      <c r="H1518" s="40" t="s">
        <v>3101</v>
      </c>
      <c r="I1518" s="40" t="str">
        <f>VLOOKUP(Таблица18[[#This Row],[Номер акта]],$AB$1:$AF$2504,3,FALSE)</f>
        <v>А-38</v>
      </c>
      <c r="J1518" s="40" t="s">
        <v>524</v>
      </c>
      <c r="K1518" s="40" t="s">
        <v>2939</v>
      </c>
      <c r="L1518" s="121">
        <v>28060</v>
      </c>
      <c r="M1518" s="121">
        <v>15000</v>
      </c>
      <c r="N1518" s="121">
        <v>14</v>
      </c>
      <c r="O1518" s="363">
        <v>13060</v>
      </c>
      <c r="P1518" s="363">
        <v>11230</v>
      </c>
      <c r="Q1518" s="121">
        <v>2026</v>
      </c>
      <c r="R1518" s="121">
        <v>280</v>
      </c>
      <c r="S1518" s="148">
        <v>46183</v>
      </c>
      <c r="T1518" s="363">
        <f>Таблица18[[#This Row],[Вес нетто]]-Таблица18[[#This Row],[Зачетный вес]]</f>
        <v>1830</v>
      </c>
      <c r="U1518" s="392">
        <f>Таблица18[[#This Row],[Отход]]/Таблица18[[#This Row],[Вес нетто]]</f>
        <v>0.14012251148545177</v>
      </c>
      <c r="V1518" s="121">
        <f>MONTH(Таблица18[[#This Row],[Дата акта]])</f>
        <v>6</v>
      </c>
      <c r="W1518" s="121">
        <f>DAY(Таблица18[[#This Row],[Дата акта]])</f>
        <v>10</v>
      </c>
      <c r="X1518" s="148">
        <f>DATE(1900,Таблица18[[#This Row],[Месяц]],Таблица18[[#This Row],[Число]])</f>
        <v>162</v>
      </c>
      <c r="Y1518" s="121"/>
      <c r="Z1518" s="121" t="str">
        <f>Таблица18[[#This Row],[Хар-ка]]</f>
        <v>Высший</v>
      </c>
      <c r="AA1518"/>
      <c r="AB1518">
        <v>280</v>
      </c>
      <c r="AC1518"/>
      <c r="AD1518" s="460" t="s">
        <v>3101</v>
      </c>
      <c r="AE1518" t="s">
        <v>524</v>
      </c>
      <c r="AF1518" t="s">
        <v>46</v>
      </c>
    </row>
    <row r="1519" spans="1:32" s="465" customFormat="1" ht="22.5" x14ac:dyDescent="0.25">
      <c r="A1519" s="40" t="s">
        <v>3212</v>
      </c>
      <c r="B1519" s="360" t="s">
        <v>2940</v>
      </c>
      <c r="C1519" s="40">
        <v>201</v>
      </c>
      <c r="D1519" s="40">
        <v>118</v>
      </c>
      <c r="E1519" s="40" t="s">
        <v>2964</v>
      </c>
      <c r="F1519" s="40" t="s">
        <v>212</v>
      </c>
      <c r="G1519" s="40" t="s">
        <v>2965</v>
      </c>
      <c r="H1519" s="40" t="s">
        <v>3101</v>
      </c>
      <c r="I1519" s="40" t="str">
        <f>VLOOKUP(Таблица18[[#This Row],[Номер акта]],$AB$1:$AF$2504,3,FALSE)</f>
        <v>А-38</v>
      </c>
      <c r="J1519" s="40" t="s">
        <v>524</v>
      </c>
      <c r="K1519" s="40" t="s">
        <v>2939</v>
      </c>
      <c r="L1519" s="121">
        <v>28990</v>
      </c>
      <c r="M1519" s="121">
        <v>15780</v>
      </c>
      <c r="N1519" s="121">
        <v>9.5</v>
      </c>
      <c r="O1519" s="363">
        <v>13210</v>
      </c>
      <c r="P1519" s="363">
        <v>11955.1</v>
      </c>
      <c r="Q1519" s="121">
        <v>2026</v>
      </c>
      <c r="R1519" s="121">
        <v>133</v>
      </c>
      <c r="S1519" s="148">
        <v>46183</v>
      </c>
      <c r="T1519" s="363">
        <f>Таблица18[[#This Row],[Вес нетто]]-Таблица18[[#This Row],[Зачетный вес]]</f>
        <v>1254.8999999999996</v>
      </c>
      <c r="U1519" s="392">
        <f>Таблица18[[#This Row],[Отход]]/Таблица18[[#This Row],[Вес нетто]]</f>
        <v>9.4996214988644939E-2</v>
      </c>
      <c r="V1519" s="121">
        <f>MONTH(Таблица18[[#This Row],[Дата акта]])</f>
        <v>6</v>
      </c>
      <c r="W1519" s="121">
        <f>DAY(Таблица18[[#This Row],[Дата акта]])</f>
        <v>10</v>
      </c>
      <c r="X1519" s="148">
        <f>DATE(1900,Таблица18[[#This Row],[Месяц]],Таблица18[[#This Row],[Число]])</f>
        <v>162</v>
      </c>
      <c r="Y1519" s="121"/>
      <c r="Z1519" s="121" t="str">
        <f>Таблица18[[#This Row],[Хар-ка]]</f>
        <v>Высший</v>
      </c>
      <c r="AA1519"/>
      <c r="AB1519">
        <v>133</v>
      </c>
      <c r="AC1519"/>
      <c r="AD1519" s="460" t="s">
        <v>3101</v>
      </c>
      <c r="AE1519" t="s">
        <v>524</v>
      </c>
      <c r="AF1519" t="s">
        <v>46</v>
      </c>
    </row>
    <row r="1520" spans="1:32" s="465" customFormat="1" ht="33.75" x14ac:dyDescent="0.25">
      <c r="A1520" s="40" t="s">
        <v>3214</v>
      </c>
      <c r="B1520" s="360" t="s">
        <v>2940</v>
      </c>
      <c r="C1520" s="40">
        <v>202</v>
      </c>
      <c r="D1520" s="40">
        <v>119</v>
      </c>
      <c r="E1520" s="40" t="s">
        <v>2964</v>
      </c>
      <c r="F1520" s="40" t="s">
        <v>737</v>
      </c>
      <c r="G1520" s="40" t="s">
        <v>738</v>
      </c>
      <c r="H1520" s="40" t="s">
        <v>2087</v>
      </c>
      <c r="I1520" s="40" t="str">
        <f>VLOOKUP(Таблица18[[#This Row],[Номер акта]],$AB$1:$AF$2504,3,FALSE)</f>
        <v>А-111/1</v>
      </c>
      <c r="J1520" s="40" t="s">
        <v>524</v>
      </c>
      <c r="K1520" s="40" t="s">
        <v>2939</v>
      </c>
      <c r="L1520" s="121">
        <v>9260</v>
      </c>
      <c r="M1520" s="121">
        <v>4640</v>
      </c>
      <c r="N1520" s="121">
        <v>9</v>
      </c>
      <c r="O1520" s="363">
        <v>4620</v>
      </c>
      <c r="P1520" s="363">
        <v>4204.2</v>
      </c>
      <c r="Q1520" s="121">
        <v>2026</v>
      </c>
      <c r="R1520" s="121">
        <v>132</v>
      </c>
      <c r="S1520" s="148">
        <v>46183</v>
      </c>
      <c r="T1520" s="363">
        <f>Таблица18[[#This Row],[Вес нетто]]-Таблица18[[#This Row],[Зачетный вес]]</f>
        <v>415.80000000000018</v>
      </c>
      <c r="U1520" s="392">
        <f>Таблица18[[#This Row],[Отход]]/Таблица18[[#This Row],[Вес нетто]]</f>
        <v>9.0000000000000038E-2</v>
      </c>
      <c r="V1520" s="121">
        <f>MONTH(Таблица18[[#This Row],[Дата акта]])</f>
        <v>6</v>
      </c>
      <c r="W1520" s="121">
        <f>DAY(Таблица18[[#This Row],[Дата акта]])</f>
        <v>10</v>
      </c>
      <c r="X1520" s="148">
        <f>DATE(1900,Таблица18[[#This Row],[Месяц]],Таблица18[[#This Row],[Число]])</f>
        <v>162</v>
      </c>
      <c r="Y1520" s="121"/>
      <c r="Z1520" s="121" t="str">
        <f>Таблица18[[#This Row],[Хар-ка]]</f>
        <v>Высший</v>
      </c>
      <c r="AA1520"/>
      <c r="AB1520">
        <v>132</v>
      </c>
      <c r="AC1520"/>
      <c r="AD1520" s="460" t="s">
        <v>3094</v>
      </c>
      <c r="AE1520" t="s">
        <v>524</v>
      </c>
      <c r="AF1520" t="s">
        <v>46</v>
      </c>
    </row>
    <row r="1521" spans="1:32" s="465" customFormat="1" ht="33.75" x14ac:dyDescent="0.25">
      <c r="A1521" s="40" t="s">
        <v>3519</v>
      </c>
      <c r="B1521" s="360" t="s">
        <v>2940</v>
      </c>
      <c r="C1521" s="40">
        <v>203</v>
      </c>
      <c r="D1521" s="40" t="s">
        <v>3520</v>
      </c>
      <c r="E1521" s="40" t="s">
        <v>2964</v>
      </c>
      <c r="F1521" s="40" t="s">
        <v>195</v>
      </c>
      <c r="G1521" s="40" t="s">
        <v>199</v>
      </c>
      <c r="H1521" s="40" t="s">
        <v>3101</v>
      </c>
      <c r="I1521" s="40" t="str">
        <f>VLOOKUP(Таблица18[[#This Row],[Номер акта]],$AB$1:$AF$2504,3,FALSE)</f>
        <v>А-38</v>
      </c>
      <c r="J1521" s="40" t="s">
        <v>524</v>
      </c>
      <c r="K1521" s="40" t="s">
        <v>2939</v>
      </c>
      <c r="L1521" s="121">
        <v>28160</v>
      </c>
      <c r="M1521" s="121">
        <v>15330</v>
      </c>
      <c r="N1521" s="121">
        <v>11</v>
      </c>
      <c r="O1521" s="363">
        <v>12830</v>
      </c>
      <c r="P1521" s="363">
        <v>11499</v>
      </c>
      <c r="Q1521" s="121">
        <v>2026</v>
      </c>
      <c r="R1521" s="121">
        <v>281</v>
      </c>
      <c r="S1521" s="148">
        <v>46183</v>
      </c>
      <c r="T1521" s="363">
        <f>Таблица18[[#This Row],[Вес нетто]]-Таблица18[[#This Row],[Зачетный вес]]</f>
        <v>1331</v>
      </c>
      <c r="U1521" s="392">
        <f>Таблица18[[#This Row],[Отход]]/Таблица18[[#This Row],[Вес нетто]]</f>
        <v>0.10374123148869836</v>
      </c>
      <c r="V1521" s="121">
        <f>MONTH(Таблица18[[#This Row],[Дата акта]])</f>
        <v>6</v>
      </c>
      <c r="W1521" s="121">
        <f>DAY(Таблица18[[#This Row],[Дата акта]])</f>
        <v>10</v>
      </c>
      <c r="X1521" s="148">
        <f>DATE(1900,Таблица18[[#This Row],[Месяц]],Таблица18[[#This Row],[Число]])</f>
        <v>162</v>
      </c>
      <c r="Y1521" s="121"/>
      <c r="Z1521" s="121" t="str">
        <f>Таблица18[[#This Row],[Хар-ка]]</f>
        <v>Высший</v>
      </c>
      <c r="AA1521"/>
      <c r="AB1521">
        <v>281</v>
      </c>
      <c r="AC1521"/>
      <c r="AD1521" s="460" t="s">
        <v>3101</v>
      </c>
      <c r="AE1521" t="s">
        <v>524</v>
      </c>
      <c r="AF1521" t="s">
        <v>46</v>
      </c>
    </row>
    <row r="1522" spans="1:32" s="465" customFormat="1" ht="22.5" x14ac:dyDescent="0.25">
      <c r="A1522" s="40" t="s">
        <v>3223</v>
      </c>
      <c r="B1522" s="360" t="s">
        <v>2940</v>
      </c>
      <c r="C1522" s="40">
        <v>204</v>
      </c>
      <c r="D1522" s="40">
        <v>120</v>
      </c>
      <c r="E1522" s="40" t="s">
        <v>2964</v>
      </c>
      <c r="F1522" s="40" t="s">
        <v>335</v>
      </c>
      <c r="G1522" s="40" t="s">
        <v>339</v>
      </c>
      <c r="H1522" s="40" t="s">
        <v>3101</v>
      </c>
      <c r="I1522" s="40" t="str">
        <f>VLOOKUP(Таблица18[[#This Row],[Номер акта]],$AB$1:$AF$2504,3,FALSE)</f>
        <v>А-38</v>
      </c>
      <c r="J1522" s="40" t="s">
        <v>524</v>
      </c>
      <c r="K1522" s="40" t="s">
        <v>2939</v>
      </c>
      <c r="L1522" s="121">
        <v>28170</v>
      </c>
      <c r="M1522" s="121">
        <v>14860</v>
      </c>
      <c r="N1522" s="121">
        <v>7</v>
      </c>
      <c r="O1522" s="363">
        <v>13310</v>
      </c>
      <c r="P1522" s="363">
        <v>12378.3</v>
      </c>
      <c r="Q1522" s="121">
        <v>2026</v>
      </c>
      <c r="R1522" s="121">
        <v>134</v>
      </c>
      <c r="S1522" s="148">
        <v>46183</v>
      </c>
      <c r="T1522" s="363">
        <f>Таблица18[[#This Row],[Вес нетто]]-Таблица18[[#This Row],[Зачетный вес]]</f>
        <v>931.70000000000073</v>
      </c>
      <c r="U1522" s="392">
        <f>Таблица18[[#This Row],[Отход]]/Таблица18[[#This Row],[Вес нетто]]</f>
        <v>7.0000000000000048E-2</v>
      </c>
      <c r="V1522" s="121">
        <f>MONTH(Таблица18[[#This Row],[Дата акта]])</f>
        <v>6</v>
      </c>
      <c r="W1522" s="121">
        <f>DAY(Таблица18[[#This Row],[Дата акта]])</f>
        <v>10</v>
      </c>
      <c r="X1522" s="148">
        <f>DATE(1900,Таблица18[[#This Row],[Месяц]],Таблица18[[#This Row],[Число]])</f>
        <v>162</v>
      </c>
      <c r="Y1522" s="121"/>
      <c r="Z1522" s="121" t="str">
        <f>Таблица18[[#This Row],[Хар-ка]]</f>
        <v>Высший</v>
      </c>
      <c r="AA1522"/>
      <c r="AB1522">
        <v>134</v>
      </c>
      <c r="AC1522"/>
      <c r="AD1522" s="460" t="s">
        <v>3101</v>
      </c>
      <c r="AE1522" t="s">
        <v>524</v>
      </c>
      <c r="AF1522" t="s">
        <v>46</v>
      </c>
    </row>
    <row r="1523" spans="1:32" s="465" customFormat="1" ht="22.5" x14ac:dyDescent="0.25">
      <c r="A1523" s="40" t="s">
        <v>3521</v>
      </c>
      <c r="B1523" s="360" t="s">
        <v>2940</v>
      </c>
      <c r="C1523" s="40">
        <v>205</v>
      </c>
      <c r="D1523" s="40" t="s">
        <v>3522</v>
      </c>
      <c r="E1523" s="40" t="s">
        <v>2964</v>
      </c>
      <c r="F1523" s="40" t="s">
        <v>302</v>
      </c>
      <c r="G1523" s="40" t="s">
        <v>3379</v>
      </c>
      <c r="H1523" s="40" t="s">
        <v>3101</v>
      </c>
      <c r="I1523" s="40" t="str">
        <f>VLOOKUP(Таблица18[[#This Row],[Номер акта]],$AB$1:$AF$2504,3,FALSE)</f>
        <v>А-38</v>
      </c>
      <c r="J1523" s="40" t="s">
        <v>524</v>
      </c>
      <c r="K1523" s="40" t="s">
        <v>2939</v>
      </c>
      <c r="L1523" s="121">
        <v>33690</v>
      </c>
      <c r="M1523" s="121">
        <v>16260</v>
      </c>
      <c r="N1523" s="121">
        <v>5</v>
      </c>
      <c r="O1523" s="363">
        <v>17430</v>
      </c>
      <c r="P1523" s="363">
        <v>16555</v>
      </c>
      <c r="Q1523" s="121">
        <v>2026</v>
      </c>
      <c r="R1523" s="121">
        <v>287</v>
      </c>
      <c r="S1523" s="148">
        <v>46183</v>
      </c>
      <c r="T1523" s="363">
        <f>Таблица18[[#This Row],[Вес нетто]]-Таблица18[[#This Row],[Зачетный вес]]</f>
        <v>875</v>
      </c>
      <c r="U1523" s="392">
        <f>Таблица18[[#This Row],[Отход]]/Таблица18[[#This Row],[Вес нетто]]</f>
        <v>5.0200803212851405E-2</v>
      </c>
      <c r="V1523" s="121">
        <f>MONTH(Таблица18[[#This Row],[Дата акта]])</f>
        <v>6</v>
      </c>
      <c r="W1523" s="121">
        <f>DAY(Таблица18[[#This Row],[Дата акта]])</f>
        <v>10</v>
      </c>
      <c r="X1523" s="148">
        <f>DATE(1900,Таблица18[[#This Row],[Месяц]],Таблица18[[#This Row],[Число]])</f>
        <v>162</v>
      </c>
      <c r="Y1523" s="121"/>
      <c r="Z1523" s="121" t="str">
        <f>Таблица18[[#This Row],[Хар-ка]]</f>
        <v>Высший</v>
      </c>
      <c r="AA1523"/>
      <c r="AB1523">
        <v>287</v>
      </c>
      <c r="AC1523"/>
      <c r="AD1523" s="460" t="s">
        <v>3101</v>
      </c>
      <c r="AE1523" t="s">
        <v>524</v>
      </c>
      <c r="AF1523" t="s">
        <v>46</v>
      </c>
    </row>
    <row r="1524" spans="1:32" s="465" customFormat="1" ht="33.75" x14ac:dyDescent="0.25">
      <c r="A1524" s="40" t="s">
        <v>3217</v>
      </c>
      <c r="B1524" s="360" t="s">
        <v>2940</v>
      </c>
      <c r="C1524" s="40">
        <v>206</v>
      </c>
      <c r="D1524" s="40">
        <v>121</v>
      </c>
      <c r="E1524" s="40" t="s">
        <v>2964</v>
      </c>
      <c r="F1524" s="40" t="s">
        <v>239</v>
      </c>
      <c r="G1524" s="40" t="s">
        <v>243</v>
      </c>
      <c r="H1524" s="40" t="s">
        <v>3101</v>
      </c>
      <c r="I1524" s="40" t="str">
        <f>VLOOKUP(Таблица18[[#This Row],[Номер акта]],$AB$1:$AF$2504,3,FALSE)</f>
        <v>А-38</v>
      </c>
      <c r="J1524" s="40" t="s">
        <v>524</v>
      </c>
      <c r="K1524" s="40" t="s">
        <v>2939</v>
      </c>
      <c r="L1524" s="121">
        <v>27700</v>
      </c>
      <c r="M1524" s="121">
        <v>14370</v>
      </c>
      <c r="N1524" s="121">
        <v>12</v>
      </c>
      <c r="O1524" s="363">
        <v>13330</v>
      </c>
      <c r="P1524" s="363">
        <v>11730.4</v>
      </c>
      <c r="Q1524" s="121">
        <v>2026</v>
      </c>
      <c r="R1524" s="121">
        <v>135</v>
      </c>
      <c r="S1524" s="148">
        <v>46183</v>
      </c>
      <c r="T1524" s="363">
        <f>Таблица18[[#This Row],[Вес нетто]]-Таблица18[[#This Row],[Зачетный вес]]</f>
        <v>1599.6000000000004</v>
      </c>
      <c r="U1524" s="392">
        <f>Таблица18[[#This Row],[Отход]]/Таблица18[[#This Row],[Вес нетто]]</f>
        <v>0.12000000000000002</v>
      </c>
      <c r="V1524" s="121">
        <f>MONTH(Таблица18[[#This Row],[Дата акта]])</f>
        <v>6</v>
      </c>
      <c r="W1524" s="121">
        <f>DAY(Таблица18[[#This Row],[Дата акта]])</f>
        <v>10</v>
      </c>
      <c r="X1524" s="148">
        <f>DATE(1900,Таблица18[[#This Row],[Месяц]],Таблица18[[#This Row],[Число]])</f>
        <v>162</v>
      </c>
      <c r="Y1524" s="121"/>
      <c r="Z1524" s="121" t="str">
        <f>Таблица18[[#This Row],[Хар-ка]]</f>
        <v>Высший</v>
      </c>
      <c r="AA1524"/>
      <c r="AB1524">
        <v>135</v>
      </c>
      <c r="AC1524"/>
      <c r="AD1524" s="460" t="s">
        <v>3101</v>
      </c>
      <c r="AE1524" t="s">
        <v>524</v>
      </c>
      <c r="AF1524" t="s">
        <v>46</v>
      </c>
    </row>
    <row r="1525" spans="1:32" s="465" customFormat="1" ht="33.75" x14ac:dyDescent="0.25">
      <c r="A1525" s="40" t="s">
        <v>3668</v>
      </c>
      <c r="B1525" s="360" t="s">
        <v>2940</v>
      </c>
      <c r="C1525" s="40">
        <v>207</v>
      </c>
      <c r="D1525" s="40" t="s">
        <v>3535</v>
      </c>
      <c r="E1525" s="40" t="s">
        <v>2964</v>
      </c>
      <c r="F1525" s="40" t="s">
        <v>305</v>
      </c>
      <c r="G1525" s="40" t="s">
        <v>309</v>
      </c>
      <c r="H1525" s="40" t="s">
        <v>3238</v>
      </c>
      <c r="I1525" s="40" t="str">
        <f>VLOOKUP(Таблица18[[#This Row],[Номер акта]],$AB$1:$AF$2504,3,FALSE)</f>
        <v>А-38</v>
      </c>
      <c r="J1525" s="40" t="s">
        <v>524</v>
      </c>
      <c r="K1525" s="40" t="s">
        <v>2939</v>
      </c>
      <c r="L1525" s="121">
        <v>27500</v>
      </c>
      <c r="M1525" s="121">
        <v>14440</v>
      </c>
      <c r="N1525" s="121">
        <v>9.6999999999999993</v>
      </c>
      <c r="O1525" s="363">
        <v>13060</v>
      </c>
      <c r="P1525" s="363">
        <v>11667</v>
      </c>
      <c r="Q1525" s="121">
        <v>2026</v>
      </c>
      <c r="R1525" s="121">
        <v>282</v>
      </c>
      <c r="S1525" s="148">
        <v>46183</v>
      </c>
      <c r="T1525" s="363">
        <f>Таблица18[[#This Row],[Вес нетто]]-Таблица18[[#This Row],[Зачетный вес]]</f>
        <v>1393</v>
      </c>
      <c r="U1525" s="392">
        <f>Таблица18[[#This Row],[Отход]]/Таблица18[[#This Row],[Вес нетто]]</f>
        <v>0.1066615620214395</v>
      </c>
      <c r="V1525" s="121">
        <f>MONTH(Таблица18[[#This Row],[Дата акта]])</f>
        <v>6</v>
      </c>
      <c r="W1525" s="121">
        <f>DAY(Таблица18[[#This Row],[Дата акта]])</f>
        <v>10</v>
      </c>
      <c r="X1525" s="148">
        <f>DATE(1900,Таблица18[[#This Row],[Месяц]],Таблица18[[#This Row],[Число]])</f>
        <v>162</v>
      </c>
      <c r="Y1525" s="121"/>
      <c r="Z1525" s="121" t="str">
        <f>Таблица18[[#This Row],[Хар-ка]]</f>
        <v>Высший</v>
      </c>
      <c r="AA1525"/>
      <c r="AB1525">
        <v>282</v>
      </c>
      <c r="AC1525"/>
      <c r="AD1525" s="460" t="s">
        <v>3101</v>
      </c>
      <c r="AE1525" t="s">
        <v>524</v>
      </c>
      <c r="AF1525" t="s">
        <v>46</v>
      </c>
    </row>
    <row r="1526" spans="1:32" s="465" customFormat="1" ht="22.5" x14ac:dyDescent="0.25">
      <c r="A1526" s="40" t="s">
        <v>3215</v>
      </c>
      <c r="B1526" s="360" t="s">
        <v>2940</v>
      </c>
      <c r="C1526" s="40">
        <v>208</v>
      </c>
      <c r="D1526" s="40">
        <v>122</v>
      </c>
      <c r="E1526" s="40" t="s">
        <v>2964</v>
      </c>
      <c r="F1526" s="40" t="s">
        <v>127</v>
      </c>
      <c r="G1526" s="40" t="s">
        <v>131</v>
      </c>
      <c r="H1526" s="40" t="s">
        <v>3101</v>
      </c>
      <c r="I1526" s="40" t="str">
        <f>VLOOKUP(Таблица18[[#This Row],[Номер акта]],$AB$1:$AF$2504,3,FALSE)</f>
        <v>А-38</v>
      </c>
      <c r="J1526" s="40" t="s">
        <v>524</v>
      </c>
      <c r="K1526" s="40" t="s">
        <v>2939</v>
      </c>
      <c r="L1526" s="121">
        <v>28070</v>
      </c>
      <c r="M1526" s="121">
        <v>14370</v>
      </c>
      <c r="N1526" s="121">
        <v>12.5</v>
      </c>
      <c r="O1526" s="363">
        <v>13700</v>
      </c>
      <c r="P1526" s="363">
        <v>11987.5</v>
      </c>
      <c r="Q1526" s="121">
        <v>2026</v>
      </c>
      <c r="R1526" s="121">
        <v>136</v>
      </c>
      <c r="S1526" s="148">
        <v>46183</v>
      </c>
      <c r="T1526" s="363">
        <f>Таблица18[[#This Row],[Вес нетто]]-Таблица18[[#This Row],[Зачетный вес]]</f>
        <v>1712.5</v>
      </c>
      <c r="U1526" s="392">
        <f>Таблица18[[#This Row],[Отход]]/Таблица18[[#This Row],[Вес нетто]]</f>
        <v>0.125</v>
      </c>
      <c r="V1526" s="121">
        <f>MONTH(Таблица18[[#This Row],[Дата акта]])</f>
        <v>6</v>
      </c>
      <c r="W1526" s="121">
        <f>DAY(Таблица18[[#This Row],[Дата акта]])</f>
        <v>10</v>
      </c>
      <c r="X1526" s="148">
        <f>DATE(1900,Таблица18[[#This Row],[Месяц]],Таблица18[[#This Row],[Число]])</f>
        <v>162</v>
      </c>
      <c r="Y1526" s="121"/>
      <c r="Z1526" s="121" t="str">
        <f>Таблица18[[#This Row],[Хар-ка]]</f>
        <v>Высший</v>
      </c>
      <c r="AA1526"/>
      <c r="AB1526">
        <v>136</v>
      </c>
      <c r="AC1526"/>
      <c r="AD1526" s="460" t="s">
        <v>3101</v>
      </c>
      <c r="AE1526" t="s">
        <v>524</v>
      </c>
      <c r="AF1526" t="s">
        <v>46</v>
      </c>
    </row>
    <row r="1527" spans="1:32" s="465" customFormat="1" ht="22.5" x14ac:dyDescent="0.25">
      <c r="A1527" s="40" t="s">
        <v>3220</v>
      </c>
      <c r="B1527" s="360" t="s">
        <v>2940</v>
      </c>
      <c r="C1527" s="40">
        <v>209</v>
      </c>
      <c r="D1527" s="40">
        <v>118</v>
      </c>
      <c r="E1527" s="40" t="s">
        <v>2964</v>
      </c>
      <c r="F1527" s="40" t="s">
        <v>212</v>
      </c>
      <c r="G1527" s="40" t="s">
        <v>2965</v>
      </c>
      <c r="H1527" s="40" t="s">
        <v>3101</v>
      </c>
      <c r="I1527" s="40" t="str">
        <f>VLOOKUP(Таблица18[[#This Row],[Номер акта]],$AB$1:$AF$2504,3,FALSE)</f>
        <v>А-38</v>
      </c>
      <c r="J1527" s="40" t="s">
        <v>524</v>
      </c>
      <c r="K1527" s="40" t="s">
        <v>2939</v>
      </c>
      <c r="L1527" s="121">
        <v>28820</v>
      </c>
      <c r="M1527" s="121">
        <v>15780</v>
      </c>
      <c r="N1527" s="121">
        <v>10.5</v>
      </c>
      <c r="O1527" s="363">
        <v>13040</v>
      </c>
      <c r="P1527" s="363">
        <v>11670.8</v>
      </c>
      <c r="Q1527" s="121">
        <v>2026</v>
      </c>
      <c r="R1527" s="121">
        <v>137</v>
      </c>
      <c r="S1527" s="148">
        <v>46183</v>
      </c>
      <c r="T1527" s="363">
        <f>Таблица18[[#This Row],[Вес нетто]]-Таблица18[[#This Row],[Зачетный вес]]</f>
        <v>1369.2000000000007</v>
      </c>
      <c r="U1527" s="392">
        <f>Таблица18[[#This Row],[Отход]]/Таблица18[[#This Row],[Вес нетто]]</f>
        <v>0.10500000000000005</v>
      </c>
      <c r="V1527" s="121">
        <f>MONTH(Таблица18[[#This Row],[Дата акта]])</f>
        <v>6</v>
      </c>
      <c r="W1527" s="121">
        <f>DAY(Таблица18[[#This Row],[Дата акта]])</f>
        <v>10</v>
      </c>
      <c r="X1527" s="148">
        <f>DATE(1900,Таблица18[[#This Row],[Месяц]],Таблица18[[#This Row],[Число]])</f>
        <v>162</v>
      </c>
      <c r="Y1527" s="121"/>
      <c r="Z1527" s="121" t="str">
        <f>Таблица18[[#This Row],[Хар-ка]]</f>
        <v>Высший</v>
      </c>
      <c r="AA1527"/>
      <c r="AB1527">
        <v>137</v>
      </c>
      <c r="AC1527"/>
      <c r="AD1527" s="460" t="s">
        <v>3101</v>
      </c>
      <c r="AE1527" t="s">
        <v>524</v>
      </c>
      <c r="AF1527" t="s">
        <v>46</v>
      </c>
    </row>
    <row r="1528" spans="1:32" s="465" customFormat="1" ht="33.75" x14ac:dyDescent="0.25">
      <c r="A1528" s="40" t="s">
        <v>3222</v>
      </c>
      <c r="B1528" s="360" t="s">
        <v>2940</v>
      </c>
      <c r="C1528" s="40">
        <v>210</v>
      </c>
      <c r="D1528" s="40">
        <v>124</v>
      </c>
      <c r="E1528" s="40" t="s">
        <v>2964</v>
      </c>
      <c r="F1528" s="40" t="s">
        <v>737</v>
      </c>
      <c r="G1528" s="40" t="s">
        <v>738</v>
      </c>
      <c r="H1528" s="40" t="s">
        <v>3101</v>
      </c>
      <c r="I1528" s="40" t="str">
        <f>VLOOKUP(Таблица18[[#This Row],[Номер акта]],$AB$1:$AF$2504,3,FALSE)</f>
        <v>А-38</v>
      </c>
      <c r="J1528" s="40" t="s">
        <v>524</v>
      </c>
      <c r="K1528" s="40" t="s">
        <v>2939</v>
      </c>
      <c r="L1528" s="121">
        <v>9040</v>
      </c>
      <c r="M1528" s="121">
        <v>4640</v>
      </c>
      <c r="N1528" s="121">
        <v>11.5</v>
      </c>
      <c r="O1528" s="363">
        <v>4400</v>
      </c>
      <c r="P1528" s="363">
        <v>3894</v>
      </c>
      <c r="Q1528" s="121">
        <v>2026</v>
      </c>
      <c r="R1528" s="121">
        <v>138</v>
      </c>
      <c r="S1528" s="148">
        <v>46183</v>
      </c>
      <c r="T1528" s="363">
        <f>Таблица18[[#This Row],[Вес нетто]]-Таблица18[[#This Row],[Зачетный вес]]</f>
        <v>506</v>
      </c>
      <c r="U1528" s="392">
        <f>Таблица18[[#This Row],[Отход]]/Таблица18[[#This Row],[Вес нетто]]</f>
        <v>0.115</v>
      </c>
      <c r="V1528" s="121">
        <f>MONTH(Таблица18[[#This Row],[Дата акта]])</f>
        <v>6</v>
      </c>
      <c r="W1528" s="121">
        <f>DAY(Таблица18[[#This Row],[Дата акта]])</f>
        <v>10</v>
      </c>
      <c r="X1528" s="148">
        <f>DATE(1900,Таблица18[[#This Row],[Месяц]],Таблица18[[#This Row],[Число]])</f>
        <v>162</v>
      </c>
      <c r="Y1528" s="121"/>
      <c r="Z1528" s="121" t="str">
        <f>Таблица18[[#This Row],[Хар-ка]]</f>
        <v>Высший</v>
      </c>
      <c r="AA1528"/>
      <c r="AB1528">
        <v>138</v>
      </c>
      <c r="AC1528"/>
      <c r="AD1528" s="460" t="s">
        <v>3101</v>
      </c>
      <c r="AE1528" t="s">
        <v>524</v>
      </c>
      <c r="AF1528" t="s">
        <v>46</v>
      </c>
    </row>
    <row r="1529" spans="1:32" s="465" customFormat="1" ht="22.5" x14ac:dyDescent="0.25">
      <c r="A1529" s="40" t="s">
        <v>3523</v>
      </c>
      <c r="B1529" s="360" t="s">
        <v>2940</v>
      </c>
      <c r="C1529" s="40">
        <v>213</v>
      </c>
      <c r="D1529" s="40" t="s">
        <v>3524</v>
      </c>
      <c r="E1529" s="40" t="s">
        <v>2964</v>
      </c>
      <c r="F1529" s="40" t="s">
        <v>3233</v>
      </c>
      <c r="G1529" s="40" t="s">
        <v>3380</v>
      </c>
      <c r="H1529" s="40" t="s">
        <v>3101</v>
      </c>
      <c r="I1529" s="40" t="str">
        <f>VLOOKUP(Таблица18[[#This Row],[Номер акта]],$AB$1:$AF$2504,3,FALSE)</f>
        <v>А-38</v>
      </c>
      <c r="J1529" s="40" t="s">
        <v>524</v>
      </c>
      <c r="K1529" s="40" t="s">
        <v>2939</v>
      </c>
      <c r="L1529" s="121">
        <v>34120</v>
      </c>
      <c r="M1529" s="121">
        <v>14230</v>
      </c>
      <c r="N1529" s="121">
        <v>3.4</v>
      </c>
      <c r="O1529" s="363">
        <v>19890</v>
      </c>
      <c r="P1529" s="363">
        <v>19213.7</v>
      </c>
      <c r="Q1529" s="121">
        <v>2026</v>
      </c>
      <c r="R1529" s="121">
        <v>288</v>
      </c>
      <c r="S1529" s="148">
        <v>46183</v>
      </c>
      <c r="T1529" s="363">
        <f>Таблица18[[#This Row],[Вес нетто]]-Таблица18[[#This Row],[Зачетный вес]]</f>
        <v>676.29999999999927</v>
      </c>
      <c r="U1529" s="392">
        <f>Таблица18[[#This Row],[Отход]]/Таблица18[[#This Row],[Вес нетто]]</f>
        <v>3.4002011060834551E-2</v>
      </c>
      <c r="V1529" s="121">
        <f>MONTH(Таблица18[[#This Row],[Дата акта]])</f>
        <v>6</v>
      </c>
      <c r="W1529" s="121">
        <f>DAY(Таблица18[[#This Row],[Дата акта]])</f>
        <v>10</v>
      </c>
      <c r="X1529" s="148">
        <f>DATE(1900,Таблица18[[#This Row],[Месяц]],Таблица18[[#This Row],[Число]])</f>
        <v>162</v>
      </c>
      <c r="Y1529" s="121"/>
      <c r="Z1529" s="121" t="str">
        <f>Таблица18[[#This Row],[Хар-ка]]</f>
        <v>Высший</v>
      </c>
      <c r="AA1529"/>
      <c r="AB1529">
        <v>288</v>
      </c>
      <c r="AC1529"/>
      <c r="AD1529" s="460" t="s">
        <v>3101</v>
      </c>
      <c r="AE1529" t="s">
        <v>524</v>
      </c>
      <c r="AF1529" t="s">
        <v>46</v>
      </c>
    </row>
    <row r="1530" spans="1:32" s="465" customFormat="1" ht="33.75" x14ac:dyDescent="0.25">
      <c r="A1530" s="40" t="s">
        <v>3525</v>
      </c>
      <c r="B1530" s="360" t="s">
        <v>2940</v>
      </c>
      <c r="C1530" s="40">
        <v>214</v>
      </c>
      <c r="D1530" s="40" t="s">
        <v>3526</v>
      </c>
      <c r="E1530" s="40" t="s">
        <v>2964</v>
      </c>
      <c r="F1530" s="40" t="s">
        <v>3234</v>
      </c>
      <c r="G1530" s="40" t="s">
        <v>3381</v>
      </c>
      <c r="H1530" s="40" t="s">
        <v>3101</v>
      </c>
      <c r="I1530" s="40" t="str">
        <f>VLOOKUP(Таблица18[[#This Row],[Номер акта]],$AB$1:$AF$2504,3,FALSE)</f>
        <v>А-38</v>
      </c>
      <c r="J1530" s="40" t="s">
        <v>524</v>
      </c>
      <c r="K1530" s="40" t="s">
        <v>2939</v>
      </c>
      <c r="L1530" s="121">
        <v>32840</v>
      </c>
      <c r="M1530" s="121">
        <v>15360</v>
      </c>
      <c r="N1530" s="121">
        <v>13.8</v>
      </c>
      <c r="O1530" s="363">
        <v>17480</v>
      </c>
      <c r="P1530" s="363">
        <v>14501</v>
      </c>
      <c r="Q1530" s="121">
        <v>2026</v>
      </c>
      <c r="R1530" s="121">
        <v>305</v>
      </c>
      <c r="S1530" s="148">
        <v>46184</v>
      </c>
      <c r="T1530" s="363">
        <f>Таблица18[[#This Row],[Вес нетто]]-Таблица18[[#This Row],[Зачетный вес]]</f>
        <v>2979</v>
      </c>
      <c r="U1530" s="392">
        <f>Таблица18[[#This Row],[Отход]]/Таблица18[[#This Row],[Вес нетто]]</f>
        <v>0.1704233409610984</v>
      </c>
      <c r="V1530" s="121">
        <f>MONTH(Таблица18[[#This Row],[Дата акта]])</f>
        <v>6</v>
      </c>
      <c r="W1530" s="121">
        <f>DAY(Таблица18[[#This Row],[Дата акта]])</f>
        <v>11</v>
      </c>
      <c r="X1530" s="148">
        <f>DATE(1900,Таблица18[[#This Row],[Месяц]],Таблица18[[#This Row],[Число]])</f>
        <v>163</v>
      </c>
      <c r="Y1530" s="121"/>
      <c r="Z1530" s="121" t="str">
        <f>Таблица18[[#This Row],[Хар-ка]]</f>
        <v>Высший</v>
      </c>
      <c r="AA1530"/>
      <c r="AB1530">
        <v>305</v>
      </c>
      <c r="AC1530"/>
      <c r="AD1530" s="460" t="s">
        <v>3101</v>
      </c>
      <c r="AE1530" t="s">
        <v>524</v>
      </c>
      <c r="AF1530" t="s">
        <v>46</v>
      </c>
    </row>
    <row r="1531" spans="1:32" s="465" customFormat="1" ht="33.75" x14ac:dyDescent="0.25">
      <c r="A1531" s="40" t="s">
        <v>3527</v>
      </c>
      <c r="B1531" s="360" t="s">
        <v>2940</v>
      </c>
      <c r="C1531" s="40">
        <v>215</v>
      </c>
      <c r="D1531" s="40" t="s">
        <v>3528</v>
      </c>
      <c r="E1531" s="40" t="s">
        <v>2964</v>
      </c>
      <c r="F1531" s="40" t="s">
        <v>3235</v>
      </c>
      <c r="G1531" s="40" t="s">
        <v>3382</v>
      </c>
      <c r="H1531" s="40" t="s">
        <v>3101</v>
      </c>
      <c r="I1531" s="40" t="str">
        <f>VLOOKUP(Таблица18[[#This Row],[Номер акта]],$AB$1:$AF$2504,3,FALSE)</f>
        <v>А-38</v>
      </c>
      <c r="J1531" s="40" t="s">
        <v>524</v>
      </c>
      <c r="K1531" s="40" t="s">
        <v>2939</v>
      </c>
      <c r="L1531" s="121">
        <v>29510</v>
      </c>
      <c r="M1531" s="121">
        <v>14720</v>
      </c>
      <c r="N1531" s="121">
        <v>10.4</v>
      </c>
      <c r="O1531" s="363">
        <v>14790</v>
      </c>
      <c r="P1531" s="363">
        <v>12734</v>
      </c>
      <c r="Q1531" s="121">
        <v>2026</v>
      </c>
      <c r="R1531" s="121">
        <v>306</v>
      </c>
      <c r="S1531" s="148">
        <v>46184</v>
      </c>
      <c r="T1531" s="363">
        <f>Таблица18[[#This Row],[Вес нетто]]-Таблица18[[#This Row],[Зачетный вес]]</f>
        <v>2056</v>
      </c>
      <c r="U1531" s="392">
        <f>Таблица18[[#This Row],[Отход]]/Таблица18[[#This Row],[Вес нетто]]</f>
        <v>0.13901284651791751</v>
      </c>
      <c r="V1531" s="121">
        <f>MONTH(Таблица18[[#This Row],[Дата акта]])</f>
        <v>6</v>
      </c>
      <c r="W1531" s="121">
        <f>DAY(Таблица18[[#This Row],[Дата акта]])</f>
        <v>11</v>
      </c>
      <c r="X1531" s="148">
        <f>DATE(1900,Таблица18[[#This Row],[Месяц]],Таблица18[[#This Row],[Число]])</f>
        <v>163</v>
      </c>
      <c r="Y1531" s="121"/>
      <c r="Z1531" s="121" t="str">
        <f>Таблица18[[#This Row],[Хар-ка]]</f>
        <v>Высший</v>
      </c>
      <c r="AA1531"/>
      <c r="AB1531">
        <v>306</v>
      </c>
      <c r="AC1531"/>
      <c r="AD1531" s="460" t="s">
        <v>3101</v>
      </c>
      <c r="AE1531" t="s">
        <v>524</v>
      </c>
      <c r="AF1531" t="s">
        <v>46</v>
      </c>
    </row>
    <row r="1532" spans="1:32" s="465" customFormat="1" ht="22.5" x14ac:dyDescent="0.25">
      <c r="A1532" s="40" t="s">
        <v>3224</v>
      </c>
      <c r="B1532" s="360" t="s">
        <v>2940</v>
      </c>
      <c r="C1532" s="40">
        <v>216</v>
      </c>
      <c r="D1532" s="40">
        <v>120</v>
      </c>
      <c r="E1532" s="40" t="s">
        <v>2964</v>
      </c>
      <c r="F1532" s="40" t="s">
        <v>335</v>
      </c>
      <c r="G1532" s="40" t="s">
        <v>339</v>
      </c>
      <c r="H1532" s="40" t="s">
        <v>3101</v>
      </c>
      <c r="I1532" s="40" t="str">
        <f>VLOOKUP(Таблица18[[#This Row],[Номер акта]],$AB$1:$AF$2504,3,FALSE)</f>
        <v>А-38</v>
      </c>
      <c r="J1532" s="40" t="s">
        <v>524</v>
      </c>
      <c r="K1532" s="40" t="s">
        <v>2939</v>
      </c>
      <c r="L1532" s="121">
        <v>28000</v>
      </c>
      <c r="M1532" s="121">
        <v>14870</v>
      </c>
      <c r="N1532" s="121">
        <v>13.5</v>
      </c>
      <c r="O1532" s="363">
        <v>13130</v>
      </c>
      <c r="P1532" s="363">
        <v>11357.4</v>
      </c>
      <c r="Q1532" s="121">
        <v>2026</v>
      </c>
      <c r="R1532" s="121">
        <v>139</v>
      </c>
      <c r="S1532" s="148">
        <v>46184</v>
      </c>
      <c r="T1532" s="363">
        <f>Таблица18[[#This Row],[Вес нетто]]-Таблица18[[#This Row],[Зачетный вес]]</f>
        <v>1772.6000000000004</v>
      </c>
      <c r="U1532" s="392">
        <f>Таблица18[[#This Row],[Отход]]/Таблица18[[#This Row],[Вес нетто]]</f>
        <v>0.13500380807311504</v>
      </c>
      <c r="V1532" s="121">
        <f>MONTH(Таблица18[[#This Row],[Дата акта]])</f>
        <v>6</v>
      </c>
      <c r="W1532" s="121">
        <f>DAY(Таблица18[[#This Row],[Дата акта]])</f>
        <v>11</v>
      </c>
      <c r="X1532" s="148">
        <f>DATE(1900,Таблица18[[#This Row],[Месяц]],Таблица18[[#This Row],[Число]])</f>
        <v>163</v>
      </c>
      <c r="Y1532" s="121"/>
      <c r="Z1532" s="121" t="str">
        <f>Таблица18[[#This Row],[Хар-ка]]</f>
        <v>Высший</v>
      </c>
      <c r="AA1532"/>
      <c r="AB1532">
        <v>139</v>
      </c>
      <c r="AC1532"/>
      <c r="AD1532" s="460" t="s">
        <v>3101</v>
      </c>
      <c r="AE1532" t="s">
        <v>524</v>
      </c>
      <c r="AF1532" t="s">
        <v>46</v>
      </c>
    </row>
    <row r="1533" spans="1:32" s="465" customFormat="1" ht="33.75" x14ac:dyDescent="0.25">
      <c r="A1533" s="40" t="s">
        <v>3529</v>
      </c>
      <c r="B1533" s="360" t="s">
        <v>2940</v>
      </c>
      <c r="C1533" s="40">
        <v>217</v>
      </c>
      <c r="D1533" s="40" t="s">
        <v>3530</v>
      </c>
      <c r="E1533" s="40" t="s">
        <v>2964</v>
      </c>
      <c r="F1533" s="40" t="s">
        <v>3204</v>
      </c>
      <c r="G1533" s="40" t="s">
        <v>3303</v>
      </c>
      <c r="H1533" s="40" t="s">
        <v>3248</v>
      </c>
      <c r="I1533" s="40" t="str">
        <f>VLOOKUP(Таблица18[[#This Row],[Номер акта]],$AB$1:$AF$2504,3,FALSE)</f>
        <v>А-24/1</v>
      </c>
      <c r="J1533" s="40" t="s">
        <v>901</v>
      </c>
      <c r="K1533" s="40" t="s">
        <v>2939</v>
      </c>
      <c r="L1533" s="121">
        <v>28030</v>
      </c>
      <c r="M1533" s="121">
        <v>15120</v>
      </c>
      <c r="N1533" s="121">
        <v>9.8000000000000007</v>
      </c>
      <c r="O1533" s="363">
        <v>12910</v>
      </c>
      <c r="P1533" s="363">
        <v>11555</v>
      </c>
      <c r="Q1533" s="121">
        <v>2026</v>
      </c>
      <c r="R1533" s="121">
        <v>284</v>
      </c>
      <c r="S1533" s="148">
        <v>46184</v>
      </c>
      <c r="T1533" s="363">
        <f>Таблица18[[#This Row],[Вес нетто]]-Таблица18[[#This Row],[Зачетный вес]]</f>
        <v>1355</v>
      </c>
      <c r="U1533" s="392">
        <f>Таблица18[[#This Row],[Отход]]/Таблица18[[#This Row],[Вес нетто]]</f>
        <v>0.10495739736638265</v>
      </c>
      <c r="V1533" s="121">
        <f>MONTH(Таблица18[[#This Row],[Дата акта]])</f>
        <v>6</v>
      </c>
      <c r="W1533" s="121">
        <f>DAY(Таблица18[[#This Row],[Дата акта]])</f>
        <v>11</v>
      </c>
      <c r="X1533" s="148">
        <f>DATE(1900,Таблица18[[#This Row],[Месяц]],Таблица18[[#This Row],[Число]])</f>
        <v>163</v>
      </c>
      <c r="Y1533" s="121"/>
      <c r="Z1533" s="121" t="str">
        <f>Таблица18[[#This Row],[Хар-ка]]</f>
        <v>Высший</v>
      </c>
      <c r="AA1533"/>
      <c r="AB1533">
        <v>284</v>
      </c>
      <c r="AC1533"/>
      <c r="AD1533" s="460" t="s">
        <v>3100</v>
      </c>
      <c r="AE1533" t="s">
        <v>901</v>
      </c>
      <c r="AF1533" t="s">
        <v>46</v>
      </c>
    </row>
    <row r="1534" spans="1:32" s="465" customFormat="1" ht="33.75" x14ac:dyDescent="0.25">
      <c r="A1534" s="40" t="s">
        <v>3218</v>
      </c>
      <c r="B1534" s="360" t="s">
        <v>2940</v>
      </c>
      <c r="C1534" s="40">
        <v>218</v>
      </c>
      <c r="D1534" s="40">
        <v>126</v>
      </c>
      <c r="E1534" s="40" t="s">
        <v>2964</v>
      </c>
      <c r="F1534" s="40" t="s">
        <v>239</v>
      </c>
      <c r="G1534" s="40" t="s">
        <v>243</v>
      </c>
      <c r="H1534" s="40" t="s">
        <v>3101</v>
      </c>
      <c r="I1534" s="40" t="str">
        <f>VLOOKUP(Таблица18[[#This Row],[Номер акта]],$AB$1:$AF$2504,3,FALSE)</f>
        <v>А-38</v>
      </c>
      <c r="J1534" s="40" t="s">
        <v>524</v>
      </c>
      <c r="K1534" s="40" t="s">
        <v>2939</v>
      </c>
      <c r="L1534" s="121">
        <v>27410</v>
      </c>
      <c r="M1534" s="121">
        <v>14440</v>
      </c>
      <c r="N1534" s="121">
        <v>10.5</v>
      </c>
      <c r="O1534" s="363">
        <v>12970</v>
      </c>
      <c r="P1534" s="363">
        <v>11608.1</v>
      </c>
      <c r="Q1534" s="121">
        <v>2026</v>
      </c>
      <c r="R1534" s="121">
        <v>140</v>
      </c>
      <c r="S1534" s="148">
        <v>46184</v>
      </c>
      <c r="T1534" s="363">
        <f>Таблица18[[#This Row],[Вес нетто]]-Таблица18[[#This Row],[Зачетный вес]]</f>
        <v>1361.8999999999996</v>
      </c>
      <c r="U1534" s="392">
        <f>Таблица18[[#This Row],[Отход]]/Таблица18[[#This Row],[Вес нетто]]</f>
        <v>0.10500385505011563</v>
      </c>
      <c r="V1534" s="121">
        <f>MONTH(Таблица18[[#This Row],[Дата акта]])</f>
        <v>6</v>
      </c>
      <c r="W1534" s="121">
        <f>DAY(Таблица18[[#This Row],[Дата акта]])</f>
        <v>11</v>
      </c>
      <c r="X1534" s="148">
        <f>DATE(1900,Таблица18[[#This Row],[Месяц]],Таблица18[[#This Row],[Число]])</f>
        <v>163</v>
      </c>
      <c r="Y1534" s="121"/>
      <c r="Z1534" s="121" t="str">
        <f>Таблица18[[#This Row],[Хар-ка]]</f>
        <v>Высший</v>
      </c>
      <c r="AA1534"/>
      <c r="AB1534">
        <v>140</v>
      </c>
      <c r="AC1534"/>
      <c r="AD1534" s="460" t="s">
        <v>3101</v>
      </c>
      <c r="AE1534" t="s">
        <v>524</v>
      </c>
      <c r="AF1534" t="s">
        <v>46</v>
      </c>
    </row>
    <row r="1535" spans="1:32" s="465" customFormat="1" ht="22.5" x14ac:dyDescent="0.25">
      <c r="A1535" s="40" t="s">
        <v>3227</v>
      </c>
      <c r="B1535" s="360" t="s">
        <v>2940</v>
      </c>
      <c r="C1535" s="40">
        <v>220</v>
      </c>
      <c r="D1535" s="40">
        <v>127</v>
      </c>
      <c r="E1535" s="40" t="s">
        <v>2964</v>
      </c>
      <c r="F1535" s="40" t="s">
        <v>127</v>
      </c>
      <c r="G1535" s="40" t="s">
        <v>131</v>
      </c>
      <c r="H1535" s="40" t="s">
        <v>3101</v>
      </c>
      <c r="I1535" s="40" t="str">
        <f>VLOOKUP(Таблица18[[#This Row],[Номер акта]],$AB$1:$AF$2504,3,FALSE)</f>
        <v>А-38</v>
      </c>
      <c r="J1535" s="40" t="s">
        <v>524</v>
      </c>
      <c r="K1535" s="40" t="s">
        <v>2939</v>
      </c>
      <c r="L1535" s="121">
        <v>27590</v>
      </c>
      <c r="M1535" s="121">
        <v>14380</v>
      </c>
      <c r="N1535" s="121">
        <v>12.5</v>
      </c>
      <c r="O1535" s="363">
        <v>13210</v>
      </c>
      <c r="P1535" s="363">
        <v>11558.7</v>
      </c>
      <c r="Q1535" s="121">
        <v>2026</v>
      </c>
      <c r="R1535" s="121">
        <v>141</v>
      </c>
      <c r="S1535" s="148">
        <v>46184</v>
      </c>
      <c r="T1535" s="363">
        <f>Таблица18[[#This Row],[Вес нетто]]-Таблица18[[#This Row],[Зачетный вес]]</f>
        <v>1651.2999999999993</v>
      </c>
      <c r="U1535" s="392">
        <f>Таблица18[[#This Row],[Отход]]/Таблица18[[#This Row],[Вес нетто]]</f>
        <v>0.12500378501135498</v>
      </c>
      <c r="V1535" s="121">
        <f>MONTH(Таблица18[[#This Row],[Дата акта]])</f>
        <v>6</v>
      </c>
      <c r="W1535" s="121">
        <f>DAY(Таблица18[[#This Row],[Дата акта]])</f>
        <v>11</v>
      </c>
      <c r="X1535" s="148">
        <f>DATE(1900,Таблица18[[#This Row],[Месяц]],Таблица18[[#This Row],[Число]])</f>
        <v>163</v>
      </c>
      <c r="Y1535" s="121"/>
      <c r="Z1535" s="121" t="str">
        <f>Таблица18[[#This Row],[Хар-ка]]</f>
        <v>Высший</v>
      </c>
      <c r="AA1535"/>
      <c r="AB1535">
        <v>141</v>
      </c>
      <c r="AC1535"/>
      <c r="AD1535" s="460" t="s">
        <v>3101</v>
      </c>
      <c r="AE1535" t="s">
        <v>524</v>
      </c>
      <c r="AF1535" t="s">
        <v>46</v>
      </c>
    </row>
    <row r="1536" spans="1:32" s="465" customFormat="1" ht="22.5" x14ac:dyDescent="0.25">
      <c r="A1536" s="40" t="s">
        <v>3221</v>
      </c>
      <c r="B1536" s="360" t="s">
        <v>2940</v>
      </c>
      <c r="C1536" s="40">
        <v>221</v>
      </c>
      <c r="D1536" s="40">
        <v>128</v>
      </c>
      <c r="E1536" s="40" t="s">
        <v>2964</v>
      </c>
      <c r="F1536" s="40" t="s">
        <v>212</v>
      </c>
      <c r="G1536" s="40" t="s">
        <v>2965</v>
      </c>
      <c r="H1536" s="40" t="s">
        <v>3101</v>
      </c>
      <c r="I1536" s="40" t="str">
        <f>VLOOKUP(Таблица18[[#This Row],[Номер акта]],$AB$1:$AF$2504,3,FALSE)</f>
        <v>А-38</v>
      </c>
      <c r="J1536" s="40" t="s">
        <v>524</v>
      </c>
      <c r="K1536" s="40" t="s">
        <v>2939</v>
      </c>
      <c r="L1536" s="121">
        <v>28880</v>
      </c>
      <c r="M1536" s="121">
        <v>15770</v>
      </c>
      <c r="N1536" s="121">
        <v>11.5</v>
      </c>
      <c r="O1536" s="363">
        <v>13110</v>
      </c>
      <c r="P1536" s="363">
        <v>11602.3</v>
      </c>
      <c r="Q1536" s="121">
        <v>2026</v>
      </c>
      <c r="R1536" s="121">
        <v>143</v>
      </c>
      <c r="S1536" s="148">
        <v>46184</v>
      </c>
      <c r="T1536" s="363">
        <f>Таблица18[[#This Row],[Вес нетто]]-Таблица18[[#This Row],[Зачетный вес]]</f>
        <v>1507.7000000000007</v>
      </c>
      <c r="U1536" s="392">
        <f>Таблица18[[#This Row],[Отход]]/Таблица18[[#This Row],[Вес нетто]]</f>
        <v>0.11500381388253247</v>
      </c>
      <c r="V1536" s="121">
        <f>MONTH(Таблица18[[#This Row],[Дата акта]])</f>
        <v>6</v>
      </c>
      <c r="W1536" s="121">
        <f>DAY(Таблица18[[#This Row],[Дата акта]])</f>
        <v>11</v>
      </c>
      <c r="X1536" s="148">
        <f>DATE(1900,Таблица18[[#This Row],[Месяц]],Таблица18[[#This Row],[Число]])</f>
        <v>163</v>
      </c>
      <c r="Y1536" s="121"/>
      <c r="Z1536" s="121" t="str">
        <f>Таблица18[[#This Row],[Хар-ка]]</f>
        <v>Высший</v>
      </c>
      <c r="AA1536"/>
      <c r="AB1536">
        <v>143</v>
      </c>
      <c r="AC1536"/>
      <c r="AD1536" s="460" t="s">
        <v>3101</v>
      </c>
      <c r="AE1536" t="s">
        <v>524</v>
      </c>
      <c r="AF1536" t="s">
        <v>46</v>
      </c>
    </row>
    <row r="1537" spans="1:32" s="465" customFormat="1" ht="33.75" x14ac:dyDescent="0.25">
      <c r="A1537" s="40" t="s">
        <v>3209</v>
      </c>
      <c r="B1537" s="360" t="s">
        <v>2940</v>
      </c>
      <c r="C1537" s="40">
        <v>222</v>
      </c>
      <c r="D1537" s="40">
        <v>129</v>
      </c>
      <c r="E1537" s="40" t="s">
        <v>2964</v>
      </c>
      <c r="F1537" s="40" t="s">
        <v>737</v>
      </c>
      <c r="G1537" s="40" t="s">
        <v>738</v>
      </c>
      <c r="H1537" s="40" t="s">
        <v>3101</v>
      </c>
      <c r="I1537" s="40" t="str">
        <f>VLOOKUP(Таблица18[[#This Row],[Номер акта]],$AB$1:$AF$2504,3,FALSE)</f>
        <v>А-38</v>
      </c>
      <c r="J1537" s="40" t="s">
        <v>524</v>
      </c>
      <c r="K1537" s="40" t="s">
        <v>2939</v>
      </c>
      <c r="L1537" s="121">
        <v>9150</v>
      </c>
      <c r="M1537" s="121">
        <v>4630</v>
      </c>
      <c r="N1537" s="121">
        <v>13</v>
      </c>
      <c r="O1537" s="363">
        <v>4520</v>
      </c>
      <c r="P1537" s="363">
        <v>3932.4</v>
      </c>
      <c r="Q1537" s="121">
        <v>2026</v>
      </c>
      <c r="R1537" s="121">
        <v>142</v>
      </c>
      <c r="S1537" s="148">
        <v>46184</v>
      </c>
      <c r="T1537" s="363">
        <f>Таблица18[[#This Row],[Вес нетто]]-Таблица18[[#This Row],[Зачетный вес]]</f>
        <v>587.59999999999991</v>
      </c>
      <c r="U1537" s="392">
        <f>Таблица18[[#This Row],[Отход]]/Таблица18[[#This Row],[Вес нетто]]</f>
        <v>0.12999999999999998</v>
      </c>
      <c r="V1537" s="121">
        <f>MONTH(Таблица18[[#This Row],[Дата акта]])</f>
        <v>6</v>
      </c>
      <c r="W1537" s="121">
        <f>DAY(Таблица18[[#This Row],[Дата акта]])</f>
        <v>11</v>
      </c>
      <c r="X1537" s="148">
        <f>DATE(1900,Таблица18[[#This Row],[Месяц]],Таблица18[[#This Row],[Число]])</f>
        <v>163</v>
      </c>
      <c r="Y1537" s="121"/>
      <c r="Z1537" s="121" t="str">
        <f>Таблица18[[#This Row],[Хар-ка]]</f>
        <v>Высший</v>
      </c>
      <c r="AA1537"/>
      <c r="AB1537">
        <v>142</v>
      </c>
      <c r="AC1537"/>
      <c r="AD1537" s="460" t="s">
        <v>3101</v>
      </c>
      <c r="AE1537" t="s">
        <v>524</v>
      </c>
      <c r="AF1537" t="s">
        <v>46</v>
      </c>
    </row>
    <row r="1538" spans="1:32" s="465" customFormat="1" ht="22.5" x14ac:dyDescent="0.25">
      <c r="A1538" s="40" t="s">
        <v>3228</v>
      </c>
      <c r="B1538" s="360" t="s">
        <v>2940</v>
      </c>
      <c r="C1538" s="40">
        <v>223</v>
      </c>
      <c r="D1538" s="40">
        <v>130</v>
      </c>
      <c r="E1538" s="40" t="s">
        <v>2964</v>
      </c>
      <c r="F1538" s="40" t="s">
        <v>335</v>
      </c>
      <c r="G1538" s="40" t="s">
        <v>339</v>
      </c>
      <c r="H1538" s="40" t="s">
        <v>3101</v>
      </c>
      <c r="I1538" s="40" t="str">
        <f>VLOOKUP(Таблица18[[#This Row],[Номер акта]],$AB$1:$AF$2504,3,FALSE)</f>
        <v>А-38</v>
      </c>
      <c r="J1538" s="40" t="s">
        <v>524</v>
      </c>
      <c r="K1538" s="40" t="s">
        <v>2939</v>
      </c>
      <c r="L1538" s="121">
        <v>31560</v>
      </c>
      <c r="M1538" s="121">
        <v>14860</v>
      </c>
      <c r="N1538" s="121">
        <v>13.5</v>
      </c>
      <c r="O1538" s="363">
        <v>16700</v>
      </c>
      <c r="P1538" s="363">
        <v>14445.5</v>
      </c>
      <c r="Q1538" s="121">
        <v>2026</v>
      </c>
      <c r="R1538" s="121">
        <v>144</v>
      </c>
      <c r="S1538" s="148">
        <v>46184</v>
      </c>
      <c r="T1538" s="363">
        <f>Таблица18[[#This Row],[Вес нетто]]-Таблица18[[#This Row],[Зачетный вес]]</f>
        <v>2254.5</v>
      </c>
      <c r="U1538" s="392">
        <f>Таблица18[[#This Row],[Отход]]/Таблица18[[#This Row],[Вес нетто]]</f>
        <v>0.13500000000000001</v>
      </c>
      <c r="V1538" s="121">
        <f>MONTH(Таблица18[[#This Row],[Дата акта]])</f>
        <v>6</v>
      </c>
      <c r="W1538" s="121">
        <f>DAY(Таблица18[[#This Row],[Дата акта]])</f>
        <v>11</v>
      </c>
      <c r="X1538" s="148">
        <f>DATE(1900,Таблица18[[#This Row],[Месяц]],Таблица18[[#This Row],[Число]])</f>
        <v>163</v>
      </c>
      <c r="Y1538" s="121"/>
      <c r="Z1538" s="121" t="str">
        <f>Таблица18[[#This Row],[Хар-ка]]</f>
        <v>Высший</v>
      </c>
      <c r="AA1538"/>
      <c r="AB1538">
        <v>144</v>
      </c>
      <c r="AC1538"/>
      <c r="AD1538" s="460" t="s">
        <v>3101</v>
      </c>
      <c r="AE1538" t="s">
        <v>524</v>
      </c>
      <c r="AF1538" t="s">
        <v>46</v>
      </c>
    </row>
    <row r="1539" spans="1:32" s="465" customFormat="1" ht="33.75" x14ac:dyDescent="0.25">
      <c r="A1539" s="40" t="s">
        <v>3239</v>
      </c>
      <c r="B1539" s="360" t="s">
        <v>2940</v>
      </c>
      <c r="C1539" s="40">
        <v>224</v>
      </c>
      <c r="D1539" s="40">
        <v>131</v>
      </c>
      <c r="E1539" s="40" t="s">
        <v>2964</v>
      </c>
      <c r="F1539" s="40" t="s">
        <v>239</v>
      </c>
      <c r="G1539" s="40" t="s">
        <v>243</v>
      </c>
      <c r="H1539" s="40" t="s">
        <v>3102</v>
      </c>
      <c r="I1539" s="40" t="str">
        <f>VLOOKUP(Таблица18[[#This Row],[Номер акта]],$AB$1:$AF$2504,3,FALSE)</f>
        <v>А-5/1</v>
      </c>
      <c r="J1539" s="40" t="s">
        <v>524</v>
      </c>
      <c r="K1539" s="40" t="s">
        <v>2939</v>
      </c>
      <c r="L1539" s="121">
        <v>27500</v>
      </c>
      <c r="M1539" s="121">
        <v>14410</v>
      </c>
      <c r="N1539" s="121">
        <v>9</v>
      </c>
      <c r="O1539" s="363">
        <v>13090</v>
      </c>
      <c r="P1539" s="363">
        <v>11911.9</v>
      </c>
      <c r="Q1539" s="121">
        <v>2026</v>
      </c>
      <c r="R1539" s="121">
        <v>145</v>
      </c>
      <c r="S1539" s="148">
        <v>46184</v>
      </c>
      <c r="T1539" s="363">
        <f>Таблица18[[#This Row],[Вес нетто]]-Таблица18[[#This Row],[Зачетный вес]]</f>
        <v>1178.1000000000004</v>
      </c>
      <c r="U1539" s="392">
        <f>Таблица18[[#This Row],[Отход]]/Таблица18[[#This Row],[Вес нетто]]</f>
        <v>9.0000000000000024E-2</v>
      </c>
      <c r="V1539" s="121">
        <f>MONTH(Таблица18[[#This Row],[Дата акта]])</f>
        <v>6</v>
      </c>
      <c r="W1539" s="121">
        <f>DAY(Таблица18[[#This Row],[Дата акта]])</f>
        <v>11</v>
      </c>
      <c r="X1539" s="148">
        <f>DATE(1900,Таблица18[[#This Row],[Месяц]],Таблица18[[#This Row],[Число]])</f>
        <v>163</v>
      </c>
      <c r="Y1539" s="121"/>
      <c r="Z1539" s="121" t="str">
        <f>Таблица18[[#This Row],[Хар-ка]]</f>
        <v>Высший</v>
      </c>
      <c r="AA1539"/>
      <c r="AB1539">
        <v>145</v>
      </c>
      <c r="AC1539"/>
      <c r="AD1539" s="460" t="s">
        <v>3102</v>
      </c>
      <c r="AE1539" t="s">
        <v>524</v>
      </c>
      <c r="AF1539" t="s">
        <v>46</v>
      </c>
    </row>
    <row r="1540" spans="1:32" s="465" customFormat="1" ht="33.75" x14ac:dyDescent="0.25">
      <c r="A1540" s="40" t="s">
        <v>3531</v>
      </c>
      <c r="B1540" s="360" t="s">
        <v>3230</v>
      </c>
      <c r="C1540" s="40">
        <v>225</v>
      </c>
      <c r="D1540" s="40" t="s">
        <v>3532</v>
      </c>
      <c r="E1540" s="40" t="s">
        <v>2964</v>
      </c>
      <c r="F1540" s="40" t="s">
        <v>3202</v>
      </c>
      <c r="G1540" s="40" t="s">
        <v>3383</v>
      </c>
      <c r="H1540" s="40" t="s">
        <v>3238</v>
      </c>
      <c r="I1540" s="40" t="str">
        <f>VLOOKUP(Таблица18[[#This Row],[Номер акта]],$AB$1:$AF$2504,3,FALSE)</f>
        <v>А-5/1</v>
      </c>
      <c r="J1540" s="40" t="s">
        <v>524</v>
      </c>
      <c r="K1540" s="40" t="s">
        <v>2939</v>
      </c>
      <c r="L1540" s="121">
        <v>28570</v>
      </c>
      <c r="M1540" s="121">
        <v>15150</v>
      </c>
      <c r="N1540" s="121">
        <v>7</v>
      </c>
      <c r="O1540" s="363">
        <v>13420</v>
      </c>
      <c r="P1540" s="363">
        <v>11980</v>
      </c>
      <c r="Q1540" s="121">
        <v>2026</v>
      </c>
      <c r="R1540" s="121">
        <v>307</v>
      </c>
      <c r="S1540" s="148">
        <v>46184</v>
      </c>
      <c r="T1540" s="363">
        <f>Таблица18[[#This Row],[Вес нетто]]-Таблица18[[#This Row],[Зачетный вес]]</f>
        <v>1440</v>
      </c>
      <c r="U1540" s="392">
        <f>Таблица18[[#This Row],[Отход]]/Таблица18[[#This Row],[Вес нетто]]</f>
        <v>0.10730253353204174</v>
      </c>
      <c r="V1540" s="121">
        <f>MONTH(Таблица18[[#This Row],[Дата акта]])</f>
        <v>6</v>
      </c>
      <c r="W1540" s="121">
        <f>DAY(Таблица18[[#This Row],[Дата акта]])</f>
        <v>11</v>
      </c>
      <c r="X1540" s="148">
        <f>DATE(1900,Таблица18[[#This Row],[Месяц]],Таблица18[[#This Row],[Число]])</f>
        <v>163</v>
      </c>
      <c r="Y1540" s="121"/>
      <c r="Z1540" s="121" t="str">
        <f>Таблица18[[#This Row],[Хар-ка]]</f>
        <v>Первый</v>
      </c>
      <c r="AA1540"/>
      <c r="AB1540">
        <v>307</v>
      </c>
      <c r="AC1540"/>
      <c r="AD1540" s="460" t="s">
        <v>3102</v>
      </c>
      <c r="AE1540" t="s">
        <v>524</v>
      </c>
      <c r="AF1540" t="s">
        <v>46</v>
      </c>
    </row>
    <row r="1541" spans="1:32" s="465" customFormat="1" ht="22.5" x14ac:dyDescent="0.25">
      <c r="A1541" s="40" t="s">
        <v>3240</v>
      </c>
      <c r="B1541" s="360" t="s">
        <v>2940</v>
      </c>
      <c r="C1541" s="40">
        <v>228</v>
      </c>
      <c r="D1541" s="40">
        <v>132</v>
      </c>
      <c r="E1541" s="40" t="s">
        <v>2964</v>
      </c>
      <c r="F1541" s="40" t="s">
        <v>1806</v>
      </c>
      <c r="G1541" s="40" t="s">
        <v>1807</v>
      </c>
      <c r="H1541" s="40" t="s">
        <v>3102</v>
      </c>
      <c r="I1541" s="40" t="str">
        <f>VLOOKUP(Таблица18[[#This Row],[Номер акта]],$AB$1:$AF$2504,3,FALSE)</f>
        <v>А-5/1</v>
      </c>
      <c r="J1541" s="40" t="s">
        <v>524</v>
      </c>
      <c r="K1541" s="40" t="s">
        <v>2939</v>
      </c>
      <c r="L1541" s="121">
        <v>27990</v>
      </c>
      <c r="M1541" s="121">
        <v>14810</v>
      </c>
      <c r="N1541" s="121">
        <v>13.5</v>
      </c>
      <c r="O1541" s="363">
        <v>13180</v>
      </c>
      <c r="P1541" s="363">
        <v>11400.7</v>
      </c>
      <c r="Q1541" s="121">
        <v>2026</v>
      </c>
      <c r="R1541" s="121">
        <v>146</v>
      </c>
      <c r="S1541" s="148">
        <v>46184</v>
      </c>
      <c r="T1541" s="363">
        <f>Таблица18[[#This Row],[Вес нетто]]-Таблица18[[#This Row],[Зачетный вес]]</f>
        <v>1779.2999999999993</v>
      </c>
      <c r="U1541" s="392">
        <f>Таблица18[[#This Row],[Отход]]/Таблица18[[#This Row],[Вес нетто]]</f>
        <v>0.13499999999999995</v>
      </c>
      <c r="V1541" s="121">
        <f>MONTH(Таблица18[[#This Row],[Дата акта]])</f>
        <v>6</v>
      </c>
      <c r="W1541" s="121">
        <f>DAY(Таблица18[[#This Row],[Дата акта]])</f>
        <v>11</v>
      </c>
      <c r="X1541" s="148">
        <f>DATE(1900,Таблица18[[#This Row],[Месяц]],Таблица18[[#This Row],[Число]])</f>
        <v>163</v>
      </c>
      <c r="Y1541" s="121"/>
      <c r="Z1541" s="121" t="str">
        <f>Таблица18[[#This Row],[Хар-ка]]</f>
        <v>Высший</v>
      </c>
      <c r="AA1541"/>
      <c r="AB1541">
        <v>146</v>
      </c>
      <c r="AC1541"/>
      <c r="AD1541" s="460" t="s">
        <v>3102</v>
      </c>
      <c r="AE1541" t="s">
        <v>524</v>
      </c>
      <c r="AF1541" t="s">
        <v>46</v>
      </c>
    </row>
    <row r="1542" spans="1:32" s="465" customFormat="1" ht="33.75" x14ac:dyDescent="0.25">
      <c r="A1542" s="40" t="s">
        <v>3241</v>
      </c>
      <c r="B1542" s="360" t="s">
        <v>2940</v>
      </c>
      <c r="C1542" s="40">
        <v>230</v>
      </c>
      <c r="D1542" s="40">
        <v>133</v>
      </c>
      <c r="E1542" s="40" t="s">
        <v>2964</v>
      </c>
      <c r="F1542" s="40" t="s">
        <v>2967</v>
      </c>
      <c r="G1542" s="40" t="s">
        <v>1810</v>
      </c>
      <c r="H1542" s="40" t="s">
        <v>3102</v>
      </c>
      <c r="I1542" s="40" t="str">
        <f>VLOOKUP(Таблица18[[#This Row],[Номер акта]],$AB$1:$AF$2504,3,FALSE)</f>
        <v>А-5/1</v>
      </c>
      <c r="J1542" s="40" t="s">
        <v>524</v>
      </c>
      <c r="K1542" s="40" t="s">
        <v>2939</v>
      </c>
      <c r="L1542" s="121">
        <v>27640</v>
      </c>
      <c r="M1542" s="121">
        <v>14290</v>
      </c>
      <c r="N1542" s="121">
        <v>8</v>
      </c>
      <c r="O1542" s="363">
        <v>13350</v>
      </c>
      <c r="P1542" s="363">
        <v>12282</v>
      </c>
      <c r="Q1542" s="121">
        <v>2026</v>
      </c>
      <c r="R1542" s="121">
        <v>147</v>
      </c>
      <c r="S1542" s="148">
        <v>46184</v>
      </c>
      <c r="T1542" s="363">
        <f>Таблица18[[#This Row],[Вес нетто]]-Таблица18[[#This Row],[Зачетный вес]]</f>
        <v>1068</v>
      </c>
      <c r="U1542" s="392">
        <f>Таблица18[[#This Row],[Отход]]/Таблица18[[#This Row],[Вес нетто]]</f>
        <v>0.08</v>
      </c>
      <c r="V1542" s="121">
        <f>MONTH(Таблица18[[#This Row],[Дата акта]])</f>
        <v>6</v>
      </c>
      <c r="W1542" s="121">
        <f>DAY(Таблица18[[#This Row],[Дата акта]])</f>
        <v>11</v>
      </c>
      <c r="X1542" s="148">
        <f>DATE(1900,Таблица18[[#This Row],[Месяц]],Таблица18[[#This Row],[Число]])</f>
        <v>163</v>
      </c>
      <c r="Y1542" s="121"/>
      <c r="Z1542" s="121" t="str">
        <f>Таблица18[[#This Row],[Хар-ка]]</f>
        <v>Высший</v>
      </c>
      <c r="AA1542"/>
      <c r="AB1542">
        <v>147</v>
      </c>
      <c r="AC1542"/>
      <c r="AD1542" s="460" t="s">
        <v>3102</v>
      </c>
      <c r="AE1542" t="s">
        <v>524</v>
      </c>
      <c r="AF1542" t="s">
        <v>46</v>
      </c>
    </row>
    <row r="1543" spans="1:32" s="465" customFormat="1" ht="22.5" x14ac:dyDescent="0.25">
      <c r="A1543" s="40" t="s">
        <v>3242</v>
      </c>
      <c r="B1543" s="360" t="s">
        <v>3230</v>
      </c>
      <c r="C1543" s="40">
        <v>231</v>
      </c>
      <c r="D1543" s="40">
        <v>134</v>
      </c>
      <c r="E1543" s="40" t="s">
        <v>2964</v>
      </c>
      <c r="F1543" s="40" t="s">
        <v>347</v>
      </c>
      <c r="G1543" s="40" t="s">
        <v>137</v>
      </c>
      <c r="H1543" s="40" t="s">
        <v>3102</v>
      </c>
      <c r="I1543" s="40" t="str">
        <f>VLOOKUP(Таблица18[[#This Row],[Номер акта]],$AB$1:$AF$2504,3,FALSE)</f>
        <v>А-5/1</v>
      </c>
      <c r="J1543" s="40" t="s">
        <v>524</v>
      </c>
      <c r="K1543" s="40" t="s">
        <v>2939</v>
      </c>
      <c r="L1543" s="121">
        <v>28430</v>
      </c>
      <c r="M1543" s="121">
        <v>14970</v>
      </c>
      <c r="N1543" s="121">
        <v>10</v>
      </c>
      <c r="O1543" s="363">
        <v>13460</v>
      </c>
      <c r="P1543" s="363">
        <v>12114</v>
      </c>
      <c r="Q1543" s="121">
        <v>2026</v>
      </c>
      <c r="R1543" s="121">
        <v>148</v>
      </c>
      <c r="S1543" s="148">
        <v>46184</v>
      </c>
      <c r="T1543" s="363">
        <f>Таблица18[[#This Row],[Вес нетто]]-Таблица18[[#This Row],[Зачетный вес]]</f>
        <v>1346</v>
      </c>
      <c r="U1543" s="392">
        <f>Таблица18[[#This Row],[Отход]]/Таблица18[[#This Row],[Вес нетто]]</f>
        <v>0.1</v>
      </c>
      <c r="V1543" s="121">
        <f>MONTH(Таблица18[[#This Row],[Дата акта]])</f>
        <v>6</v>
      </c>
      <c r="W1543" s="121">
        <f>DAY(Таблица18[[#This Row],[Дата акта]])</f>
        <v>11</v>
      </c>
      <c r="X1543" s="148">
        <f>DATE(1900,Таблица18[[#This Row],[Месяц]],Таблица18[[#This Row],[Число]])</f>
        <v>163</v>
      </c>
      <c r="Y1543" s="121"/>
      <c r="Z1543" s="121" t="str">
        <f>Таблица18[[#This Row],[Хар-ка]]</f>
        <v>Первый</v>
      </c>
      <c r="AA1543"/>
      <c r="AB1543">
        <v>148</v>
      </c>
      <c r="AC1543"/>
      <c r="AD1543" s="460" t="s">
        <v>3102</v>
      </c>
      <c r="AE1543" t="s">
        <v>524</v>
      </c>
      <c r="AF1543" t="s">
        <v>46</v>
      </c>
    </row>
    <row r="1544" spans="1:32" s="465" customFormat="1" ht="33.75" x14ac:dyDescent="0.25">
      <c r="A1544" s="40" t="s">
        <v>3243</v>
      </c>
      <c r="B1544" s="360" t="s">
        <v>2940</v>
      </c>
      <c r="C1544" s="40">
        <v>232</v>
      </c>
      <c r="D1544" s="40">
        <v>135</v>
      </c>
      <c r="E1544" s="40" t="s">
        <v>2964</v>
      </c>
      <c r="F1544" s="40" t="s">
        <v>762</v>
      </c>
      <c r="G1544" s="40" t="s">
        <v>763</v>
      </c>
      <c r="H1544" s="40" t="s">
        <v>3102</v>
      </c>
      <c r="I1544" s="40" t="str">
        <f>VLOOKUP(Таблица18[[#This Row],[Номер акта]],$AB$1:$AF$2504,3,FALSE)</f>
        <v>А-5/1</v>
      </c>
      <c r="J1544" s="40" t="s">
        <v>524</v>
      </c>
      <c r="K1544" s="40" t="s">
        <v>2939</v>
      </c>
      <c r="L1544" s="121">
        <v>9190</v>
      </c>
      <c r="M1544" s="121">
        <v>4680</v>
      </c>
      <c r="N1544" s="121">
        <v>11.5</v>
      </c>
      <c r="O1544" s="363">
        <v>4510</v>
      </c>
      <c r="P1544" s="363">
        <v>3991.4</v>
      </c>
      <c r="Q1544" s="121">
        <v>2026</v>
      </c>
      <c r="R1544" s="121">
        <v>149</v>
      </c>
      <c r="S1544" s="148">
        <v>46184</v>
      </c>
      <c r="T1544" s="363">
        <f>Таблица18[[#This Row],[Вес нетто]]-Таблица18[[#This Row],[Зачетный вес]]</f>
        <v>518.59999999999991</v>
      </c>
      <c r="U1544" s="392">
        <f>Таблица18[[#This Row],[Отход]]/Таблица18[[#This Row],[Вес нетто]]</f>
        <v>0.11498891352549886</v>
      </c>
      <c r="V1544" s="121">
        <f>MONTH(Таблица18[[#This Row],[Дата акта]])</f>
        <v>6</v>
      </c>
      <c r="W1544" s="121">
        <f>DAY(Таблица18[[#This Row],[Дата акта]])</f>
        <v>11</v>
      </c>
      <c r="X1544" s="148">
        <f>DATE(1900,Таблица18[[#This Row],[Месяц]],Таблица18[[#This Row],[Число]])</f>
        <v>163</v>
      </c>
      <c r="Y1544" s="121"/>
      <c r="Z1544" s="121" t="str">
        <f>Таблица18[[#This Row],[Хар-ка]]</f>
        <v>Высший</v>
      </c>
      <c r="AA1544"/>
      <c r="AB1544">
        <v>149</v>
      </c>
      <c r="AC1544"/>
      <c r="AD1544" s="460" t="s">
        <v>3102</v>
      </c>
      <c r="AE1544" t="s">
        <v>524</v>
      </c>
      <c r="AF1544" t="s">
        <v>46</v>
      </c>
    </row>
    <row r="1545" spans="1:32" s="465" customFormat="1" ht="33.75" x14ac:dyDescent="0.25">
      <c r="A1545" s="40" t="s">
        <v>3237</v>
      </c>
      <c r="B1545" s="360" t="s">
        <v>3230</v>
      </c>
      <c r="C1545" s="40">
        <v>236</v>
      </c>
      <c r="D1545" s="40">
        <v>136</v>
      </c>
      <c r="E1545" s="40" t="s">
        <v>2964</v>
      </c>
      <c r="F1545" s="40" t="s">
        <v>311</v>
      </c>
      <c r="G1545" s="40" t="s">
        <v>315</v>
      </c>
      <c r="H1545" s="40" t="s">
        <v>3238</v>
      </c>
      <c r="I1545" s="40" t="str">
        <f>VLOOKUP(Таблица18[[#This Row],[Номер акта]],$AB$1:$AF$2504,3,FALSE)</f>
        <v>А-5/1</v>
      </c>
      <c r="J1545" s="40" t="s">
        <v>524</v>
      </c>
      <c r="K1545" s="40" t="s">
        <v>2939</v>
      </c>
      <c r="L1545" s="121">
        <v>28340</v>
      </c>
      <c r="M1545" s="121">
        <v>14900</v>
      </c>
      <c r="N1545" s="121">
        <v>10</v>
      </c>
      <c r="O1545" s="363">
        <v>13440</v>
      </c>
      <c r="P1545" s="363">
        <v>12096</v>
      </c>
      <c r="Q1545" s="121">
        <v>2026</v>
      </c>
      <c r="R1545" s="121">
        <v>150</v>
      </c>
      <c r="S1545" s="148">
        <v>46184</v>
      </c>
      <c r="T1545" s="363">
        <f>Таблица18[[#This Row],[Вес нетто]]-Таблица18[[#This Row],[Зачетный вес]]</f>
        <v>1344</v>
      </c>
      <c r="U1545" s="392">
        <f>Таблица18[[#This Row],[Отход]]/Таблица18[[#This Row],[Вес нетто]]</f>
        <v>0.1</v>
      </c>
      <c r="V1545" s="121">
        <f>MONTH(Таблица18[[#This Row],[Дата акта]])</f>
        <v>6</v>
      </c>
      <c r="W1545" s="121">
        <f>DAY(Таблица18[[#This Row],[Дата акта]])</f>
        <v>11</v>
      </c>
      <c r="X1545" s="148">
        <f>DATE(1900,Таблица18[[#This Row],[Месяц]],Таблица18[[#This Row],[Число]])</f>
        <v>163</v>
      </c>
      <c r="Y1545" s="121"/>
      <c r="Z1545" s="121" t="str">
        <f>Таблица18[[#This Row],[Хар-ка]]</f>
        <v>Первый</v>
      </c>
      <c r="AA1545"/>
      <c r="AB1545">
        <v>150</v>
      </c>
      <c r="AC1545"/>
      <c r="AD1545" s="460" t="s">
        <v>3102</v>
      </c>
      <c r="AE1545" t="s">
        <v>524</v>
      </c>
      <c r="AF1545" t="s">
        <v>46</v>
      </c>
    </row>
    <row r="1546" spans="1:32" s="465" customFormat="1" ht="22.5" x14ac:dyDescent="0.25">
      <c r="A1546" s="40" t="s">
        <v>3245</v>
      </c>
      <c r="B1546" s="360" t="s">
        <v>3230</v>
      </c>
      <c r="C1546" s="40">
        <v>238</v>
      </c>
      <c r="D1546" s="40">
        <v>137</v>
      </c>
      <c r="E1546" s="40" t="s">
        <v>2964</v>
      </c>
      <c r="F1546" s="40" t="s">
        <v>1806</v>
      </c>
      <c r="G1546" s="40" t="s">
        <v>1807</v>
      </c>
      <c r="H1546" s="40" t="s">
        <v>3102</v>
      </c>
      <c r="I1546" s="40" t="str">
        <f>VLOOKUP(Таблица18[[#This Row],[Номер акта]],$AB$1:$AF$2504,3,FALSE)</f>
        <v>А-5/1</v>
      </c>
      <c r="J1546" s="40" t="s">
        <v>524</v>
      </c>
      <c r="K1546" s="40" t="s">
        <v>2939</v>
      </c>
      <c r="L1546" s="121">
        <v>28140</v>
      </c>
      <c r="M1546" s="121">
        <v>14780</v>
      </c>
      <c r="N1546" s="121">
        <v>10</v>
      </c>
      <c r="O1546" s="363">
        <v>13360</v>
      </c>
      <c r="P1546" s="363">
        <v>12024</v>
      </c>
      <c r="Q1546" s="121">
        <v>2026</v>
      </c>
      <c r="R1546" s="121">
        <v>151</v>
      </c>
      <c r="S1546" s="148">
        <v>46184</v>
      </c>
      <c r="T1546" s="363">
        <f>Таблица18[[#This Row],[Вес нетто]]-Таблица18[[#This Row],[Зачетный вес]]</f>
        <v>1336</v>
      </c>
      <c r="U1546" s="392">
        <f>Таблица18[[#This Row],[Отход]]/Таблица18[[#This Row],[Вес нетто]]</f>
        <v>0.1</v>
      </c>
      <c r="V1546" s="121">
        <f>MONTH(Таблица18[[#This Row],[Дата акта]])</f>
        <v>6</v>
      </c>
      <c r="W1546" s="121">
        <f>DAY(Таблица18[[#This Row],[Дата акта]])</f>
        <v>11</v>
      </c>
      <c r="X1546" s="148">
        <f>DATE(1900,Таблица18[[#This Row],[Месяц]],Таблица18[[#This Row],[Число]])</f>
        <v>163</v>
      </c>
      <c r="Y1546" s="121"/>
      <c r="Z1546" s="121" t="str">
        <f>Таблица18[[#This Row],[Хар-ка]]</f>
        <v>Первый</v>
      </c>
      <c r="AA1546"/>
      <c r="AB1546">
        <v>151</v>
      </c>
      <c r="AC1546"/>
      <c r="AD1546" s="460" t="s">
        <v>3102</v>
      </c>
      <c r="AE1546" t="s">
        <v>524</v>
      </c>
      <c r="AF1546" t="s">
        <v>46</v>
      </c>
    </row>
    <row r="1547" spans="1:32" s="465" customFormat="1" ht="33.75" x14ac:dyDescent="0.25">
      <c r="A1547" s="40" t="s">
        <v>3246</v>
      </c>
      <c r="B1547" s="360" t="s">
        <v>3230</v>
      </c>
      <c r="C1547" s="40">
        <v>239</v>
      </c>
      <c r="D1547" s="40">
        <v>138</v>
      </c>
      <c r="E1547" s="40" t="s">
        <v>2964</v>
      </c>
      <c r="F1547" s="40" t="s">
        <v>2967</v>
      </c>
      <c r="G1547" s="40" t="s">
        <v>1810</v>
      </c>
      <c r="H1547" s="40" t="s">
        <v>3102</v>
      </c>
      <c r="I1547" s="40" t="str">
        <f>VLOOKUP(Таблица18[[#This Row],[Номер акта]],$AB$1:$AF$2504,3,FALSE)</f>
        <v>А-5/1</v>
      </c>
      <c r="J1547" s="40" t="s">
        <v>524</v>
      </c>
      <c r="K1547" s="40" t="s">
        <v>2939</v>
      </c>
      <c r="L1547" s="121">
        <v>27520</v>
      </c>
      <c r="M1547" s="121">
        <v>14270</v>
      </c>
      <c r="N1547" s="121">
        <v>11</v>
      </c>
      <c r="O1547" s="363">
        <v>13250</v>
      </c>
      <c r="P1547" s="363">
        <v>11792.5</v>
      </c>
      <c r="Q1547" s="121">
        <v>2026</v>
      </c>
      <c r="R1547" s="121">
        <v>152</v>
      </c>
      <c r="S1547" s="148">
        <v>46184</v>
      </c>
      <c r="T1547" s="363">
        <f>Таблица18[[#This Row],[Вес нетто]]-Таблица18[[#This Row],[Зачетный вес]]</f>
        <v>1457.5</v>
      </c>
      <c r="U1547" s="392">
        <f>Таблица18[[#This Row],[Отход]]/Таблица18[[#This Row],[Вес нетто]]</f>
        <v>0.11</v>
      </c>
      <c r="V1547" s="121">
        <f>MONTH(Таблица18[[#This Row],[Дата акта]])</f>
        <v>6</v>
      </c>
      <c r="W1547" s="121">
        <f>DAY(Таблица18[[#This Row],[Дата акта]])</f>
        <v>11</v>
      </c>
      <c r="X1547" s="148">
        <f>DATE(1900,Таблица18[[#This Row],[Месяц]],Таблица18[[#This Row],[Число]])</f>
        <v>163</v>
      </c>
      <c r="Y1547" s="121"/>
      <c r="Z1547" s="121" t="str">
        <f>Таблица18[[#This Row],[Хар-ка]]</f>
        <v>Первый</v>
      </c>
      <c r="AA1547"/>
      <c r="AB1547">
        <v>152</v>
      </c>
      <c r="AC1547"/>
      <c r="AD1547" s="460" t="s">
        <v>3102</v>
      </c>
      <c r="AE1547" t="s">
        <v>524</v>
      </c>
      <c r="AF1547" t="s">
        <v>46</v>
      </c>
    </row>
    <row r="1548" spans="1:32" s="465" customFormat="1" ht="22.5" x14ac:dyDescent="0.25">
      <c r="A1548" s="40" t="s">
        <v>3244</v>
      </c>
      <c r="B1548" s="360" t="s">
        <v>3230</v>
      </c>
      <c r="C1548" s="40">
        <v>240</v>
      </c>
      <c r="D1548" s="40">
        <v>139</v>
      </c>
      <c r="E1548" s="40" t="s">
        <v>2964</v>
      </c>
      <c r="F1548" s="40" t="s">
        <v>347</v>
      </c>
      <c r="G1548" s="40" t="s">
        <v>137</v>
      </c>
      <c r="H1548" s="40" t="s">
        <v>3102</v>
      </c>
      <c r="I1548" s="40" t="str">
        <f>VLOOKUP(Таблица18[[#This Row],[Номер акта]],$AB$1:$AF$2504,3,FALSE)</f>
        <v>А-5/1</v>
      </c>
      <c r="J1548" s="40" t="s">
        <v>524</v>
      </c>
      <c r="K1548" s="40" t="s">
        <v>2939</v>
      </c>
      <c r="L1548" s="121">
        <v>28350</v>
      </c>
      <c r="M1548" s="121">
        <v>14950</v>
      </c>
      <c r="N1548" s="121">
        <v>8</v>
      </c>
      <c r="O1548" s="363">
        <v>13400</v>
      </c>
      <c r="P1548" s="363">
        <v>12328</v>
      </c>
      <c r="Q1548" s="121">
        <v>2026</v>
      </c>
      <c r="R1548" s="121">
        <v>153</v>
      </c>
      <c r="S1548" s="148">
        <v>46184</v>
      </c>
      <c r="T1548" s="363">
        <f>Таблица18[[#This Row],[Вес нетто]]-Таблица18[[#This Row],[Зачетный вес]]</f>
        <v>1072</v>
      </c>
      <c r="U1548" s="392">
        <f>Таблица18[[#This Row],[Отход]]/Таблица18[[#This Row],[Вес нетто]]</f>
        <v>0.08</v>
      </c>
      <c r="V1548" s="121">
        <f>MONTH(Таблица18[[#This Row],[Дата акта]])</f>
        <v>6</v>
      </c>
      <c r="W1548" s="121">
        <f>DAY(Таблица18[[#This Row],[Дата акта]])</f>
        <v>11</v>
      </c>
      <c r="X1548" s="148">
        <f>DATE(1900,Таблица18[[#This Row],[Месяц]],Таблица18[[#This Row],[Число]])</f>
        <v>163</v>
      </c>
      <c r="Y1548" s="121"/>
      <c r="Z1548" s="121" t="str">
        <f>Таблица18[[#This Row],[Хар-ка]]</f>
        <v>Первый</v>
      </c>
      <c r="AA1548"/>
      <c r="AB1548">
        <v>153</v>
      </c>
      <c r="AC1548"/>
      <c r="AD1548" s="460" t="s">
        <v>3102</v>
      </c>
      <c r="AE1548" t="s">
        <v>524</v>
      </c>
      <c r="AF1548" t="s">
        <v>46</v>
      </c>
    </row>
    <row r="1549" spans="1:32" s="465" customFormat="1" ht="33.75" x14ac:dyDescent="0.25">
      <c r="A1549" s="40" t="s">
        <v>3533</v>
      </c>
      <c r="B1549" s="360" t="s">
        <v>2940</v>
      </c>
      <c r="C1549" s="40">
        <v>241</v>
      </c>
      <c r="D1549" s="40" t="s">
        <v>3534</v>
      </c>
      <c r="E1549" s="40" t="s">
        <v>2964</v>
      </c>
      <c r="F1549" s="40" t="s">
        <v>195</v>
      </c>
      <c r="G1549" s="40" t="s">
        <v>199</v>
      </c>
      <c r="H1549" s="40" t="s">
        <v>3248</v>
      </c>
      <c r="I1549" s="40" t="str">
        <f>VLOOKUP(Таблица18[[#This Row],[Номер акта]],$AB$1:$AF$2504,3,FALSE)</f>
        <v>А-24/1</v>
      </c>
      <c r="J1549" s="40" t="s">
        <v>901</v>
      </c>
      <c r="K1549" s="40" t="s">
        <v>2939</v>
      </c>
      <c r="L1549" s="121">
        <v>28200</v>
      </c>
      <c r="M1549" s="121">
        <v>15350</v>
      </c>
      <c r="N1549" s="121">
        <v>9.8000000000000007</v>
      </c>
      <c r="O1549" s="363">
        <v>12850</v>
      </c>
      <c r="P1549" s="363">
        <v>11564</v>
      </c>
      <c r="Q1549" s="121">
        <v>2026</v>
      </c>
      <c r="R1549" s="121">
        <v>286</v>
      </c>
      <c r="S1549" s="148">
        <v>46184</v>
      </c>
      <c r="T1549" s="363">
        <f>Таблица18[[#This Row],[Вес нетто]]-Таблица18[[#This Row],[Зачетный вес]]</f>
        <v>1286</v>
      </c>
      <c r="U1549" s="392">
        <f>Таблица18[[#This Row],[Отход]]/Таблица18[[#This Row],[Вес нетто]]</f>
        <v>0.10007782101167315</v>
      </c>
      <c r="V1549" s="121">
        <f>MONTH(Таблица18[[#This Row],[Дата акта]])</f>
        <v>6</v>
      </c>
      <c r="W1549" s="121">
        <f>DAY(Таблица18[[#This Row],[Дата акта]])</f>
        <v>11</v>
      </c>
      <c r="X1549" s="148">
        <f>DATE(1900,Таблица18[[#This Row],[Месяц]],Таблица18[[#This Row],[Число]])</f>
        <v>163</v>
      </c>
      <c r="Y1549" s="121"/>
      <c r="Z1549" s="121" t="str">
        <f>Таблица18[[#This Row],[Хар-ка]]</f>
        <v>Высший</v>
      </c>
      <c r="AA1549"/>
      <c r="AB1549">
        <v>286</v>
      </c>
      <c r="AC1549"/>
      <c r="AD1549" s="460" t="s">
        <v>3100</v>
      </c>
      <c r="AE1549" t="s">
        <v>901</v>
      </c>
      <c r="AF1549" t="s">
        <v>46</v>
      </c>
    </row>
    <row r="1550" spans="1:32" s="465" customFormat="1" ht="33.75" x14ac:dyDescent="0.25">
      <c r="A1550" s="40" t="s">
        <v>3251</v>
      </c>
      <c r="B1550" s="360" t="s">
        <v>3230</v>
      </c>
      <c r="C1550" s="40">
        <v>242</v>
      </c>
      <c r="D1550" s="40">
        <v>140</v>
      </c>
      <c r="E1550" s="40" t="s">
        <v>2964</v>
      </c>
      <c r="F1550" s="40" t="s">
        <v>311</v>
      </c>
      <c r="G1550" s="40" t="s">
        <v>315</v>
      </c>
      <c r="H1550" s="40" t="s">
        <v>3102</v>
      </c>
      <c r="I1550" s="40" t="str">
        <f>VLOOKUP(Таблица18[[#This Row],[Номер акта]],$AB$1:$AF$2504,3,FALSE)</f>
        <v>А-5/1</v>
      </c>
      <c r="J1550" s="40" t="s">
        <v>524</v>
      </c>
      <c r="K1550" s="40" t="s">
        <v>2939</v>
      </c>
      <c r="L1550" s="121">
        <v>28700</v>
      </c>
      <c r="M1550" s="121">
        <v>15000</v>
      </c>
      <c r="N1550" s="121">
        <v>9</v>
      </c>
      <c r="O1550" s="363">
        <v>13700</v>
      </c>
      <c r="P1550" s="363">
        <v>12467</v>
      </c>
      <c r="Q1550" s="121">
        <v>2026</v>
      </c>
      <c r="R1550" s="121">
        <v>154</v>
      </c>
      <c r="S1550" s="148">
        <v>46184</v>
      </c>
      <c r="T1550" s="363">
        <f>Таблица18[[#This Row],[Вес нетто]]-Таблица18[[#This Row],[Зачетный вес]]</f>
        <v>1233</v>
      </c>
      <c r="U1550" s="392">
        <f>Таблица18[[#This Row],[Отход]]/Таблица18[[#This Row],[Вес нетто]]</f>
        <v>0.09</v>
      </c>
      <c r="V1550" s="121">
        <f>MONTH(Таблица18[[#This Row],[Дата акта]])</f>
        <v>6</v>
      </c>
      <c r="W1550" s="121">
        <f>DAY(Таблица18[[#This Row],[Дата акта]])</f>
        <v>11</v>
      </c>
      <c r="X1550" s="148">
        <f>DATE(1900,Таблица18[[#This Row],[Месяц]],Таблица18[[#This Row],[Число]])</f>
        <v>163</v>
      </c>
      <c r="Y1550" s="121"/>
      <c r="Z1550" s="121" t="str">
        <f>Таблица18[[#This Row],[Хар-ка]]</f>
        <v>Первый</v>
      </c>
      <c r="AA1550"/>
      <c r="AB1550">
        <v>154</v>
      </c>
      <c r="AC1550"/>
      <c r="AD1550" s="460" t="s">
        <v>3102</v>
      </c>
      <c r="AE1550" t="s">
        <v>524</v>
      </c>
      <c r="AF1550" t="s">
        <v>46</v>
      </c>
    </row>
    <row r="1551" spans="1:32" s="465" customFormat="1" ht="22.5" x14ac:dyDescent="0.25">
      <c r="A1551" s="40" t="s">
        <v>3250</v>
      </c>
      <c r="B1551" s="360" t="s">
        <v>2940</v>
      </c>
      <c r="C1551" s="40">
        <v>243</v>
      </c>
      <c r="D1551" s="40">
        <v>141</v>
      </c>
      <c r="E1551" s="40" t="s">
        <v>2964</v>
      </c>
      <c r="F1551" s="40" t="s">
        <v>1806</v>
      </c>
      <c r="G1551" s="40" t="s">
        <v>1807</v>
      </c>
      <c r="H1551" s="40" t="s">
        <v>3100</v>
      </c>
      <c r="I1551" s="40" t="str">
        <f>VLOOKUP(Таблица18[[#This Row],[Номер акта]],$AB$1:$AF$2504,3,FALSE)</f>
        <v>А-24/1</v>
      </c>
      <c r="J1551" s="40" t="s">
        <v>901</v>
      </c>
      <c r="K1551" s="40" t="s">
        <v>2939</v>
      </c>
      <c r="L1551" s="121">
        <v>27700</v>
      </c>
      <c r="M1551" s="121">
        <v>14780</v>
      </c>
      <c r="N1551" s="121">
        <v>10</v>
      </c>
      <c r="O1551" s="363">
        <v>12920</v>
      </c>
      <c r="P1551" s="363">
        <v>11628</v>
      </c>
      <c r="Q1551" s="121">
        <v>2026</v>
      </c>
      <c r="R1551" s="121">
        <v>155</v>
      </c>
      <c r="S1551" s="148">
        <v>46184</v>
      </c>
      <c r="T1551" s="363">
        <f>Таблица18[[#This Row],[Вес нетто]]-Таблица18[[#This Row],[Зачетный вес]]</f>
        <v>1292</v>
      </c>
      <c r="U1551" s="392">
        <f>Таблица18[[#This Row],[Отход]]/Таблица18[[#This Row],[Вес нетто]]</f>
        <v>0.1</v>
      </c>
      <c r="V1551" s="121">
        <f>MONTH(Таблица18[[#This Row],[Дата акта]])</f>
        <v>6</v>
      </c>
      <c r="W1551" s="121">
        <f>DAY(Таблица18[[#This Row],[Дата акта]])</f>
        <v>11</v>
      </c>
      <c r="X1551" s="148">
        <f>DATE(1900,Таблица18[[#This Row],[Месяц]],Таблица18[[#This Row],[Число]])</f>
        <v>163</v>
      </c>
      <c r="Y1551" s="121"/>
      <c r="Z1551" s="121" t="str">
        <f>Таблица18[[#This Row],[Хар-ка]]</f>
        <v>Высший</v>
      </c>
      <c r="AA1551"/>
      <c r="AB1551">
        <v>155</v>
      </c>
      <c r="AC1551"/>
      <c r="AD1551" s="460" t="s">
        <v>3100</v>
      </c>
      <c r="AE1551" t="s">
        <v>901</v>
      </c>
      <c r="AF1551" t="s">
        <v>46</v>
      </c>
    </row>
    <row r="1552" spans="1:32" s="465" customFormat="1" ht="33.75" x14ac:dyDescent="0.25">
      <c r="A1552" s="40" t="s">
        <v>3247</v>
      </c>
      <c r="B1552" s="360" t="s">
        <v>2940</v>
      </c>
      <c r="C1552" s="40">
        <v>245</v>
      </c>
      <c r="D1552" s="40">
        <v>142</v>
      </c>
      <c r="E1552" s="40" t="s">
        <v>2964</v>
      </c>
      <c r="F1552" s="40" t="s">
        <v>2967</v>
      </c>
      <c r="G1552" s="40" t="s">
        <v>1810</v>
      </c>
      <c r="H1552" s="40" t="s">
        <v>3248</v>
      </c>
      <c r="I1552" s="40" t="str">
        <f>VLOOKUP(Таблица18[[#This Row],[Номер акта]],$AB$1:$AF$2504,3,FALSE)</f>
        <v>А-24/1</v>
      </c>
      <c r="J1552" s="40" t="s">
        <v>901</v>
      </c>
      <c r="K1552" s="40" t="s">
        <v>2939</v>
      </c>
      <c r="L1552" s="121">
        <v>26890</v>
      </c>
      <c r="M1552" s="121">
        <v>14260</v>
      </c>
      <c r="N1552" s="121">
        <v>11</v>
      </c>
      <c r="O1552" s="363">
        <v>12630</v>
      </c>
      <c r="P1552" s="363">
        <v>11240.7</v>
      </c>
      <c r="Q1552" s="121">
        <v>2026</v>
      </c>
      <c r="R1552" s="121">
        <v>156</v>
      </c>
      <c r="S1552" s="148">
        <v>46184</v>
      </c>
      <c r="T1552" s="363">
        <f>Таблица18[[#This Row],[Вес нетто]]-Таблица18[[#This Row],[Зачетный вес]]</f>
        <v>1389.2999999999993</v>
      </c>
      <c r="U1552" s="392">
        <f>Таблица18[[#This Row],[Отход]]/Таблица18[[#This Row],[Вес нетто]]</f>
        <v>0.10999999999999995</v>
      </c>
      <c r="V1552" s="121">
        <f>MONTH(Таблица18[[#This Row],[Дата акта]])</f>
        <v>6</v>
      </c>
      <c r="W1552" s="121">
        <f>DAY(Таблица18[[#This Row],[Дата акта]])</f>
        <v>11</v>
      </c>
      <c r="X1552" s="148">
        <f>DATE(1900,Таблица18[[#This Row],[Месяц]],Таблица18[[#This Row],[Число]])</f>
        <v>163</v>
      </c>
      <c r="Y1552" s="121"/>
      <c r="Z1552" s="121" t="str">
        <f>Таблица18[[#This Row],[Хар-ка]]</f>
        <v>Высший</v>
      </c>
      <c r="AA1552"/>
      <c r="AB1552">
        <v>156</v>
      </c>
      <c r="AC1552"/>
      <c r="AD1552" s="460" t="s">
        <v>3100</v>
      </c>
      <c r="AE1552" t="s">
        <v>901</v>
      </c>
      <c r="AF1552" t="s">
        <v>46</v>
      </c>
    </row>
    <row r="1553" spans="1:32" s="465" customFormat="1" ht="22.5" x14ac:dyDescent="0.25">
      <c r="A1553" s="40" t="s">
        <v>3249</v>
      </c>
      <c r="B1553" s="360" t="s">
        <v>2940</v>
      </c>
      <c r="C1553" s="40">
        <v>246</v>
      </c>
      <c r="D1553" s="40">
        <v>143</v>
      </c>
      <c r="E1553" s="40" t="s">
        <v>2964</v>
      </c>
      <c r="F1553" s="40" t="s">
        <v>347</v>
      </c>
      <c r="G1553" s="40" t="s">
        <v>137</v>
      </c>
      <c r="H1553" s="40" t="s">
        <v>3248</v>
      </c>
      <c r="I1553" s="40" t="str">
        <f>VLOOKUP(Таблица18[[#This Row],[Номер акта]],$AB$1:$AF$2504,3,FALSE)</f>
        <v>А-24/1</v>
      </c>
      <c r="J1553" s="40" t="s">
        <v>901</v>
      </c>
      <c r="K1553" s="40" t="s">
        <v>2939</v>
      </c>
      <c r="L1553" s="121">
        <v>28080</v>
      </c>
      <c r="M1553" s="121">
        <v>14940</v>
      </c>
      <c r="N1553" s="121">
        <v>8</v>
      </c>
      <c r="O1553" s="363">
        <v>13140</v>
      </c>
      <c r="P1553" s="363">
        <v>12088.8</v>
      </c>
      <c r="Q1553" s="121">
        <v>2026</v>
      </c>
      <c r="R1553" s="121">
        <v>157</v>
      </c>
      <c r="S1553" s="148">
        <v>46184</v>
      </c>
      <c r="T1553" s="363">
        <f>Таблица18[[#This Row],[Вес нетто]]-Таблица18[[#This Row],[Зачетный вес]]</f>
        <v>1051.2000000000007</v>
      </c>
      <c r="U1553" s="392">
        <f>Таблица18[[#This Row],[Отход]]/Таблица18[[#This Row],[Вес нетто]]</f>
        <v>8.0000000000000057E-2</v>
      </c>
      <c r="V1553" s="121">
        <f>MONTH(Таблица18[[#This Row],[Дата акта]])</f>
        <v>6</v>
      </c>
      <c r="W1553" s="121">
        <f>DAY(Таблица18[[#This Row],[Дата акта]])</f>
        <v>11</v>
      </c>
      <c r="X1553" s="148">
        <f>DATE(1900,Таблица18[[#This Row],[Месяц]],Таблица18[[#This Row],[Число]])</f>
        <v>163</v>
      </c>
      <c r="Y1553" s="121"/>
      <c r="Z1553" s="121" t="str">
        <f>Таблица18[[#This Row],[Хар-ка]]</f>
        <v>Высший</v>
      </c>
      <c r="AA1553"/>
      <c r="AB1553">
        <v>157</v>
      </c>
      <c r="AC1553"/>
      <c r="AD1553" s="460" t="s">
        <v>3100</v>
      </c>
      <c r="AE1553" t="s">
        <v>901</v>
      </c>
      <c r="AF1553" t="s">
        <v>46</v>
      </c>
    </row>
    <row r="1554" spans="1:32" s="465" customFormat="1" ht="33.75" x14ac:dyDescent="0.25">
      <c r="A1554" s="40" t="s">
        <v>3252</v>
      </c>
      <c r="B1554" s="360" t="s">
        <v>2940</v>
      </c>
      <c r="C1554" s="40">
        <v>247</v>
      </c>
      <c r="D1554" s="40">
        <v>144</v>
      </c>
      <c r="E1554" s="40" t="s">
        <v>2964</v>
      </c>
      <c r="F1554" s="40" t="s">
        <v>311</v>
      </c>
      <c r="G1554" s="40" t="s">
        <v>315</v>
      </c>
      <c r="H1554" s="40" t="s">
        <v>3100</v>
      </c>
      <c r="I1554" s="40" t="str">
        <f>VLOOKUP(Таблица18[[#This Row],[Номер акта]],$AB$1:$AF$2504,3,FALSE)</f>
        <v>А-24/1</v>
      </c>
      <c r="J1554" s="40" t="s">
        <v>901</v>
      </c>
      <c r="K1554" s="40" t="s">
        <v>2939</v>
      </c>
      <c r="L1554" s="121">
        <v>28030</v>
      </c>
      <c r="M1554" s="121">
        <v>14990</v>
      </c>
      <c r="N1554" s="121">
        <v>9.5</v>
      </c>
      <c r="O1554" s="363">
        <v>13040</v>
      </c>
      <c r="P1554" s="363">
        <v>11801.2</v>
      </c>
      <c r="Q1554" s="121">
        <v>2026</v>
      </c>
      <c r="R1554" s="121">
        <v>158</v>
      </c>
      <c r="S1554" s="148">
        <v>46184</v>
      </c>
      <c r="T1554" s="363">
        <f>Таблица18[[#This Row],[Вес нетто]]-Таблица18[[#This Row],[Зачетный вес]]</f>
        <v>1238.7999999999993</v>
      </c>
      <c r="U1554" s="392">
        <f>Таблица18[[#This Row],[Отход]]/Таблица18[[#This Row],[Вес нетто]]</f>
        <v>9.4999999999999946E-2</v>
      </c>
      <c r="V1554" s="121">
        <f>MONTH(Таблица18[[#This Row],[Дата акта]])</f>
        <v>6</v>
      </c>
      <c r="W1554" s="121">
        <f>DAY(Таблица18[[#This Row],[Дата акта]])</f>
        <v>11</v>
      </c>
      <c r="X1554" s="148">
        <f>DATE(1900,Таблица18[[#This Row],[Месяц]],Таблица18[[#This Row],[Число]])</f>
        <v>163</v>
      </c>
      <c r="Y1554" s="121"/>
      <c r="Z1554" s="121" t="str">
        <f>Таблица18[[#This Row],[Хар-ка]]</f>
        <v>Высший</v>
      </c>
      <c r="AA1554"/>
      <c r="AB1554">
        <v>158</v>
      </c>
      <c r="AC1554"/>
      <c r="AD1554" s="460" t="s">
        <v>3100</v>
      </c>
      <c r="AE1554" t="s">
        <v>901</v>
      </c>
      <c r="AF1554" t="s">
        <v>46</v>
      </c>
    </row>
    <row r="1555" spans="1:32" s="465" customFormat="1" ht="33.75" x14ac:dyDescent="0.25">
      <c r="A1555" s="40" t="s">
        <v>3253</v>
      </c>
      <c r="B1555" s="360" t="s">
        <v>2940</v>
      </c>
      <c r="C1555" s="40">
        <v>248</v>
      </c>
      <c r="D1555" s="40">
        <v>145</v>
      </c>
      <c r="E1555" s="40" t="s">
        <v>2964</v>
      </c>
      <c r="F1555" s="40" t="s">
        <v>762</v>
      </c>
      <c r="G1555" s="40" t="s">
        <v>763</v>
      </c>
      <c r="H1555" s="40" t="s">
        <v>3100</v>
      </c>
      <c r="I1555" s="40" t="str">
        <f>VLOOKUP(Таблица18[[#This Row],[Номер акта]],$AB$1:$AF$2504,3,FALSE)</f>
        <v>А-24/1</v>
      </c>
      <c r="J1555" s="40" t="s">
        <v>901</v>
      </c>
      <c r="K1555" s="40" t="s">
        <v>2939</v>
      </c>
      <c r="L1555" s="121">
        <v>8830</v>
      </c>
      <c r="M1555" s="121">
        <v>4680</v>
      </c>
      <c r="N1555" s="121">
        <v>6.5</v>
      </c>
      <c r="O1555" s="363">
        <v>4150</v>
      </c>
      <c r="P1555" s="363">
        <v>3880.3</v>
      </c>
      <c r="Q1555" s="121">
        <v>2026</v>
      </c>
      <c r="R1555" s="121">
        <v>159</v>
      </c>
      <c r="S1555" s="148">
        <v>46185</v>
      </c>
      <c r="T1555" s="363">
        <f>Таблица18[[#This Row],[Вес нетто]]-Таблица18[[#This Row],[Зачетный вес]]</f>
        <v>269.69999999999982</v>
      </c>
      <c r="U1555" s="392">
        <f>Таблица18[[#This Row],[Отход]]/Таблица18[[#This Row],[Вес нетто]]</f>
        <v>6.4987951807228869E-2</v>
      </c>
      <c r="V1555" s="121">
        <f>MONTH(Таблица18[[#This Row],[Дата акта]])</f>
        <v>6</v>
      </c>
      <c r="W1555" s="121">
        <f>DAY(Таблица18[[#This Row],[Дата акта]])</f>
        <v>12</v>
      </c>
      <c r="X1555" s="148">
        <f>DATE(1900,Таблица18[[#This Row],[Месяц]],Таблица18[[#This Row],[Число]])</f>
        <v>164</v>
      </c>
      <c r="Y1555" s="121"/>
      <c r="Z1555" s="121" t="str">
        <f>Таблица18[[#This Row],[Хар-ка]]</f>
        <v>Высший</v>
      </c>
      <c r="AA1555"/>
      <c r="AB1555">
        <v>159</v>
      </c>
      <c r="AC1555"/>
      <c r="AD1555" s="460" t="s">
        <v>3100</v>
      </c>
      <c r="AE1555" t="s">
        <v>901</v>
      </c>
      <c r="AF1555" t="s">
        <v>46</v>
      </c>
    </row>
    <row r="1556" spans="1:32" s="465" customFormat="1" ht="22.5" x14ac:dyDescent="0.25">
      <c r="A1556" s="40" t="s">
        <v>3254</v>
      </c>
      <c r="B1556" s="360" t="s">
        <v>2940</v>
      </c>
      <c r="C1556" s="40">
        <v>249</v>
      </c>
      <c r="D1556" s="40">
        <v>146</v>
      </c>
      <c r="E1556" s="40" t="s">
        <v>2964</v>
      </c>
      <c r="F1556" s="40" t="s">
        <v>1792</v>
      </c>
      <c r="G1556" s="40" t="s">
        <v>80</v>
      </c>
      <c r="H1556" s="40" t="s">
        <v>3248</v>
      </c>
      <c r="I1556" s="40" t="str">
        <f>VLOOKUP(Таблица18[[#This Row],[Номер акта]],$AB$1:$AF$2504,3,FALSE)</f>
        <v>А-24/1</v>
      </c>
      <c r="J1556" s="40" t="s">
        <v>901</v>
      </c>
      <c r="K1556" s="40" t="s">
        <v>2939</v>
      </c>
      <c r="L1556" s="121">
        <v>27230</v>
      </c>
      <c r="M1556" s="121">
        <v>14400</v>
      </c>
      <c r="N1556" s="121">
        <v>10</v>
      </c>
      <c r="O1556" s="363">
        <v>12830</v>
      </c>
      <c r="P1556" s="363">
        <v>11547</v>
      </c>
      <c r="Q1556" s="121">
        <v>2026</v>
      </c>
      <c r="R1556" s="121">
        <v>160</v>
      </c>
      <c r="S1556" s="148">
        <v>46185</v>
      </c>
      <c r="T1556" s="363">
        <f>Таблица18[[#This Row],[Вес нетто]]-Таблица18[[#This Row],[Зачетный вес]]</f>
        <v>1283</v>
      </c>
      <c r="U1556" s="392">
        <f>Таблица18[[#This Row],[Отход]]/Таблица18[[#This Row],[Вес нетто]]</f>
        <v>0.1</v>
      </c>
      <c r="V1556" s="121">
        <f>MONTH(Таблица18[[#This Row],[Дата акта]])</f>
        <v>6</v>
      </c>
      <c r="W1556" s="121">
        <f>DAY(Таблица18[[#This Row],[Дата акта]])</f>
        <v>12</v>
      </c>
      <c r="X1556" s="148">
        <f>DATE(1900,Таблица18[[#This Row],[Месяц]],Таблица18[[#This Row],[Число]])</f>
        <v>164</v>
      </c>
      <c r="Y1556" s="121"/>
      <c r="Z1556" s="121" t="str">
        <f>Таблица18[[#This Row],[Хар-ка]]</f>
        <v>Высший</v>
      </c>
      <c r="AA1556"/>
      <c r="AB1556">
        <v>160</v>
      </c>
      <c r="AC1556"/>
      <c r="AD1556" s="460" t="s">
        <v>3100</v>
      </c>
      <c r="AE1556" t="s">
        <v>901</v>
      </c>
      <c r="AF1556" t="s">
        <v>46</v>
      </c>
    </row>
    <row r="1557" spans="1:32" s="465" customFormat="1" ht="22.5" x14ac:dyDescent="0.25">
      <c r="A1557" s="40" t="s">
        <v>3255</v>
      </c>
      <c r="B1557" s="360" t="s">
        <v>2940</v>
      </c>
      <c r="C1557" s="40">
        <v>250</v>
      </c>
      <c r="D1557" s="40">
        <v>147</v>
      </c>
      <c r="E1557" s="40" t="s">
        <v>2964</v>
      </c>
      <c r="F1557" s="40" t="s">
        <v>1806</v>
      </c>
      <c r="G1557" s="40" t="s">
        <v>1807</v>
      </c>
      <c r="H1557" s="40" t="s">
        <v>3248</v>
      </c>
      <c r="I1557" s="40" t="str">
        <f>VLOOKUP(Таблица18[[#This Row],[Номер акта]],$AB$1:$AF$2504,3,FALSE)</f>
        <v>А-24/1</v>
      </c>
      <c r="J1557" s="40" t="s">
        <v>901</v>
      </c>
      <c r="K1557" s="40" t="s">
        <v>2939</v>
      </c>
      <c r="L1557" s="121">
        <v>27600</v>
      </c>
      <c r="M1557" s="121">
        <v>14770</v>
      </c>
      <c r="N1557" s="121">
        <v>12.5</v>
      </c>
      <c r="O1557" s="363">
        <v>12830</v>
      </c>
      <c r="P1557" s="363">
        <v>11226.2</v>
      </c>
      <c r="Q1557" s="121">
        <v>2026</v>
      </c>
      <c r="R1557" s="121">
        <v>161</v>
      </c>
      <c r="S1557" s="148">
        <v>46185</v>
      </c>
      <c r="T1557" s="363">
        <f>Таблица18[[#This Row],[Вес нетто]]-Таблица18[[#This Row],[Зачетный вес]]</f>
        <v>1603.7999999999993</v>
      </c>
      <c r="U1557" s="392">
        <f>Таблица18[[#This Row],[Отход]]/Таблица18[[#This Row],[Вес нетто]]</f>
        <v>0.12500389711613399</v>
      </c>
      <c r="V1557" s="121">
        <f>MONTH(Таблица18[[#This Row],[Дата акта]])</f>
        <v>6</v>
      </c>
      <c r="W1557" s="121">
        <f>DAY(Таблица18[[#This Row],[Дата акта]])</f>
        <v>12</v>
      </c>
      <c r="X1557" s="148">
        <f>DATE(1900,Таблица18[[#This Row],[Месяц]],Таблица18[[#This Row],[Число]])</f>
        <v>164</v>
      </c>
      <c r="Y1557" s="121"/>
      <c r="Z1557" s="121" t="str">
        <f>Таблица18[[#This Row],[Хар-ка]]</f>
        <v>Высший</v>
      </c>
      <c r="AA1557"/>
      <c r="AB1557">
        <v>161</v>
      </c>
      <c r="AC1557"/>
      <c r="AD1557" s="460" t="s">
        <v>3100</v>
      </c>
      <c r="AE1557" t="s">
        <v>901</v>
      </c>
      <c r="AF1557" t="s">
        <v>46</v>
      </c>
    </row>
    <row r="1558" spans="1:32" s="465" customFormat="1" ht="33.75" x14ac:dyDescent="0.25">
      <c r="A1558" s="40" t="s">
        <v>3256</v>
      </c>
      <c r="B1558" s="360" t="s">
        <v>2940</v>
      </c>
      <c r="C1558" s="40">
        <v>251</v>
      </c>
      <c r="D1558" s="40">
        <v>148</v>
      </c>
      <c r="E1558" s="40" t="s">
        <v>2964</v>
      </c>
      <c r="F1558" s="40" t="s">
        <v>2967</v>
      </c>
      <c r="G1558" s="40" t="s">
        <v>1810</v>
      </c>
      <c r="H1558" s="40" t="s">
        <v>3248</v>
      </c>
      <c r="I1558" s="40" t="str">
        <f>VLOOKUP(Таблица18[[#This Row],[Номер акта]],$AB$1:$AF$2504,3,FALSE)</f>
        <v>А-24/1</v>
      </c>
      <c r="J1558" s="40" t="s">
        <v>901</v>
      </c>
      <c r="K1558" s="40" t="s">
        <v>2939</v>
      </c>
      <c r="L1558" s="121">
        <v>27110</v>
      </c>
      <c r="M1558" s="121">
        <v>14250</v>
      </c>
      <c r="N1558" s="121">
        <v>10</v>
      </c>
      <c r="O1558" s="363">
        <v>12860</v>
      </c>
      <c r="P1558" s="363">
        <v>11574</v>
      </c>
      <c r="Q1558" s="121">
        <v>2026</v>
      </c>
      <c r="R1558" s="121">
        <v>162</v>
      </c>
      <c r="S1558" s="148">
        <v>46185</v>
      </c>
      <c r="T1558" s="363">
        <f>Таблица18[[#This Row],[Вес нетто]]-Таблица18[[#This Row],[Зачетный вес]]</f>
        <v>1286</v>
      </c>
      <c r="U1558" s="392">
        <f>Таблица18[[#This Row],[Отход]]/Таблица18[[#This Row],[Вес нетто]]</f>
        <v>0.1</v>
      </c>
      <c r="V1558" s="121">
        <f>MONTH(Таблица18[[#This Row],[Дата акта]])</f>
        <v>6</v>
      </c>
      <c r="W1558" s="121">
        <f>DAY(Таблица18[[#This Row],[Дата акта]])</f>
        <v>12</v>
      </c>
      <c r="X1558" s="148">
        <f>DATE(1900,Таблица18[[#This Row],[Месяц]],Таблица18[[#This Row],[Число]])</f>
        <v>164</v>
      </c>
      <c r="Y1558" s="121"/>
      <c r="Z1558" s="121" t="str">
        <f>Таблица18[[#This Row],[Хар-ка]]</f>
        <v>Высший</v>
      </c>
      <c r="AA1558"/>
      <c r="AB1558">
        <v>162</v>
      </c>
      <c r="AC1558"/>
      <c r="AD1558" s="460" t="s">
        <v>3100</v>
      </c>
      <c r="AE1558" t="s">
        <v>901</v>
      </c>
      <c r="AF1558" t="s">
        <v>46</v>
      </c>
    </row>
    <row r="1559" spans="1:32" s="465" customFormat="1" ht="22.5" x14ac:dyDescent="0.25">
      <c r="A1559" s="40" t="s">
        <v>3257</v>
      </c>
      <c r="B1559" s="360" t="s">
        <v>2940</v>
      </c>
      <c r="C1559" s="40">
        <v>252</v>
      </c>
      <c r="D1559" s="40">
        <v>149</v>
      </c>
      <c r="E1559" s="40" t="s">
        <v>2964</v>
      </c>
      <c r="F1559" s="40" t="s">
        <v>347</v>
      </c>
      <c r="G1559" s="40" t="s">
        <v>137</v>
      </c>
      <c r="H1559" s="40" t="s">
        <v>3100</v>
      </c>
      <c r="I1559" s="40" t="str">
        <f>VLOOKUP(Таблица18[[#This Row],[Номер акта]],$AB$1:$AF$2504,3,FALSE)</f>
        <v>А-24/1</v>
      </c>
      <c r="J1559" s="40" t="s">
        <v>901</v>
      </c>
      <c r="K1559" s="40" t="s">
        <v>2939</v>
      </c>
      <c r="L1559" s="121">
        <v>27680</v>
      </c>
      <c r="M1559" s="121">
        <v>14930</v>
      </c>
      <c r="N1559" s="121">
        <v>6.5</v>
      </c>
      <c r="O1559" s="363">
        <v>12750</v>
      </c>
      <c r="P1559" s="363">
        <v>11921.3</v>
      </c>
      <c r="Q1559" s="121">
        <v>2026</v>
      </c>
      <c r="R1559" s="121">
        <v>163</v>
      </c>
      <c r="S1559" s="148">
        <v>46185</v>
      </c>
      <c r="T1559" s="363">
        <f>Таблица18[[#This Row],[Вес нетто]]-Таблица18[[#This Row],[Зачетный вес]]</f>
        <v>828.70000000000073</v>
      </c>
      <c r="U1559" s="392">
        <f>Таблица18[[#This Row],[Отход]]/Таблица18[[#This Row],[Вес нетто]]</f>
        <v>6.4996078431372603E-2</v>
      </c>
      <c r="V1559" s="121">
        <f>MONTH(Таблица18[[#This Row],[Дата акта]])</f>
        <v>6</v>
      </c>
      <c r="W1559" s="121">
        <f>DAY(Таблица18[[#This Row],[Дата акта]])</f>
        <v>12</v>
      </c>
      <c r="X1559" s="148">
        <f>DATE(1900,Таблица18[[#This Row],[Месяц]],Таблица18[[#This Row],[Число]])</f>
        <v>164</v>
      </c>
      <c r="Y1559" s="121"/>
      <c r="Z1559" s="121" t="str">
        <f>Таблица18[[#This Row],[Хар-ка]]</f>
        <v>Высший</v>
      </c>
      <c r="AA1559"/>
      <c r="AB1559">
        <v>163</v>
      </c>
      <c r="AC1559"/>
      <c r="AD1559" s="460" t="s">
        <v>3100</v>
      </c>
      <c r="AE1559" t="s">
        <v>901</v>
      </c>
      <c r="AF1559" t="s">
        <v>46</v>
      </c>
    </row>
    <row r="1560" spans="1:32" s="465" customFormat="1" ht="33.75" x14ac:dyDescent="0.25">
      <c r="A1560" s="40" t="s">
        <v>3258</v>
      </c>
      <c r="B1560" s="360" t="s">
        <v>2940</v>
      </c>
      <c r="C1560" s="40">
        <v>253</v>
      </c>
      <c r="D1560" s="40">
        <v>150</v>
      </c>
      <c r="E1560" s="40" t="s">
        <v>2964</v>
      </c>
      <c r="F1560" s="40" t="s">
        <v>311</v>
      </c>
      <c r="G1560" s="40" t="s">
        <v>315</v>
      </c>
      <c r="H1560" s="40" t="s">
        <v>3100</v>
      </c>
      <c r="I1560" s="40" t="str">
        <f>VLOOKUP(Таблица18[[#This Row],[Номер акта]],$AB$1:$AF$2504,3,FALSE)</f>
        <v>А-24/1</v>
      </c>
      <c r="J1560" s="40" t="s">
        <v>901</v>
      </c>
      <c r="K1560" s="40" t="s">
        <v>2939</v>
      </c>
      <c r="L1560" s="121">
        <v>27980</v>
      </c>
      <c r="M1560" s="121">
        <v>14980</v>
      </c>
      <c r="N1560" s="121">
        <v>9.5</v>
      </c>
      <c r="O1560" s="363">
        <v>13000</v>
      </c>
      <c r="P1560" s="363">
        <v>11765</v>
      </c>
      <c r="Q1560" s="121">
        <v>2026</v>
      </c>
      <c r="R1560" s="121">
        <v>164</v>
      </c>
      <c r="S1560" s="148">
        <v>46185</v>
      </c>
      <c r="T1560" s="363">
        <f>Таблица18[[#This Row],[Вес нетто]]-Таблица18[[#This Row],[Зачетный вес]]</f>
        <v>1235</v>
      </c>
      <c r="U1560" s="392">
        <f>Таблица18[[#This Row],[Отход]]/Таблица18[[#This Row],[Вес нетто]]</f>
        <v>9.5000000000000001E-2</v>
      </c>
      <c r="V1560" s="121">
        <f>MONTH(Таблица18[[#This Row],[Дата акта]])</f>
        <v>6</v>
      </c>
      <c r="W1560" s="121">
        <f>DAY(Таблица18[[#This Row],[Дата акта]])</f>
        <v>12</v>
      </c>
      <c r="X1560" s="148">
        <f>DATE(1900,Таблица18[[#This Row],[Месяц]],Таблица18[[#This Row],[Число]])</f>
        <v>164</v>
      </c>
      <c r="Y1560" s="121"/>
      <c r="Z1560" s="121" t="str">
        <f>Таблица18[[#This Row],[Хар-ка]]</f>
        <v>Высший</v>
      </c>
      <c r="AA1560"/>
      <c r="AB1560">
        <v>164</v>
      </c>
      <c r="AC1560"/>
      <c r="AD1560" s="460" t="s">
        <v>3100</v>
      </c>
      <c r="AE1560" t="s">
        <v>901</v>
      </c>
      <c r="AF1560" t="s">
        <v>46</v>
      </c>
    </row>
    <row r="1561" spans="1:32" s="465" customFormat="1" ht="33.75" x14ac:dyDescent="0.25">
      <c r="A1561" s="40" t="s">
        <v>3259</v>
      </c>
      <c r="B1561" s="360" t="s">
        <v>2940</v>
      </c>
      <c r="C1561" s="40">
        <v>254</v>
      </c>
      <c r="D1561" s="40">
        <v>151</v>
      </c>
      <c r="E1561" s="40" t="s">
        <v>2964</v>
      </c>
      <c r="F1561" s="40" t="s">
        <v>762</v>
      </c>
      <c r="G1561" s="40" t="s">
        <v>763</v>
      </c>
      <c r="H1561" s="40" t="s">
        <v>3248</v>
      </c>
      <c r="I1561" s="40" t="str">
        <f>VLOOKUP(Таблица18[[#This Row],[Номер акта]],$AB$1:$AF$2504,3,FALSE)</f>
        <v>А-24/1</v>
      </c>
      <c r="J1561" s="40" t="s">
        <v>901</v>
      </c>
      <c r="K1561" s="40" t="s">
        <v>2939</v>
      </c>
      <c r="L1561" s="121">
        <v>9130</v>
      </c>
      <c r="M1561" s="121">
        <v>4670</v>
      </c>
      <c r="N1561" s="121">
        <v>7.5</v>
      </c>
      <c r="O1561" s="363">
        <v>4460</v>
      </c>
      <c r="P1561" s="363">
        <v>4125.5</v>
      </c>
      <c r="Q1561" s="121">
        <v>2026</v>
      </c>
      <c r="R1561" s="121">
        <v>165</v>
      </c>
      <c r="S1561" s="148">
        <v>46185</v>
      </c>
      <c r="T1561" s="363">
        <f>Таблица18[[#This Row],[Вес нетто]]-Таблица18[[#This Row],[Зачетный вес]]</f>
        <v>334.5</v>
      </c>
      <c r="U1561" s="392">
        <f>Таблица18[[#This Row],[Отход]]/Таблица18[[#This Row],[Вес нетто]]</f>
        <v>7.4999999999999997E-2</v>
      </c>
      <c r="V1561" s="121">
        <f>MONTH(Таблица18[[#This Row],[Дата акта]])</f>
        <v>6</v>
      </c>
      <c r="W1561" s="121">
        <f>DAY(Таблица18[[#This Row],[Дата акта]])</f>
        <v>12</v>
      </c>
      <c r="X1561" s="148">
        <f>DATE(1900,Таблица18[[#This Row],[Месяц]],Таблица18[[#This Row],[Число]])</f>
        <v>164</v>
      </c>
      <c r="Y1561" s="121"/>
      <c r="Z1561" s="121" t="str">
        <f>Таблица18[[#This Row],[Хар-ка]]</f>
        <v>Высший</v>
      </c>
      <c r="AA1561"/>
      <c r="AB1561">
        <v>165</v>
      </c>
      <c r="AC1561"/>
      <c r="AD1561" s="460" t="s">
        <v>3100</v>
      </c>
      <c r="AE1561" t="s">
        <v>901</v>
      </c>
      <c r="AF1561" t="s">
        <v>46</v>
      </c>
    </row>
    <row r="1562" spans="1:32" s="465" customFormat="1" ht="22.5" x14ac:dyDescent="0.25">
      <c r="A1562" s="40" t="s">
        <v>3260</v>
      </c>
      <c r="B1562" s="360" t="s">
        <v>2940</v>
      </c>
      <c r="C1562" s="40">
        <v>255</v>
      </c>
      <c r="D1562" s="40">
        <v>152</v>
      </c>
      <c r="E1562" s="40" t="s">
        <v>2964</v>
      </c>
      <c r="F1562" s="40" t="s">
        <v>1792</v>
      </c>
      <c r="G1562" s="40" t="s">
        <v>80</v>
      </c>
      <c r="H1562" s="40" t="s">
        <v>3248</v>
      </c>
      <c r="I1562" s="40" t="str">
        <f>VLOOKUP(Таблица18[[#This Row],[Номер акта]],$AB$1:$AF$2504,3,FALSE)</f>
        <v>А-24/1</v>
      </c>
      <c r="J1562" s="40" t="s">
        <v>901</v>
      </c>
      <c r="K1562" s="40" t="s">
        <v>2939</v>
      </c>
      <c r="L1562" s="121">
        <v>27390</v>
      </c>
      <c r="M1562" s="121">
        <v>14380</v>
      </c>
      <c r="N1562" s="121">
        <v>8.5</v>
      </c>
      <c r="O1562" s="363">
        <v>13010</v>
      </c>
      <c r="P1562" s="363">
        <v>11904.1</v>
      </c>
      <c r="Q1562" s="121">
        <v>2026</v>
      </c>
      <c r="R1562" s="121">
        <v>166</v>
      </c>
      <c r="S1562" s="148">
        <v>46185</v>
      </c>
      <c r="T1562" s="363">
        <f>Таблица18[[#This Row],[Вес нетто]]-Таблица18[[#This Row],[Зачетный вес]]</f>
        <v>1105.8999999999996</v>
      </c>
      <c r="U1562" s="392">
        <f>Таблица18[[#This Row],[Отход]]/Таблица18[[#This Row],[Вес нетто]]</f>
        <v>8.5003843197540327E-2</v>
      </c>
      <c r="V1562" s="121">
        <f>MONTH(Таблица18[[#This Row],[Дата акта]])</f>
        <v>6</v>
      </c>
      <c r="W1562" s="121">
        <f>DAY(Таблица18[[#This Row],[Дата акта]])</f>
        <v>12</v>
      </c>
      <c r="X1562" s="148">
        <f>DATE(1900,Таблица18[[#This Row],[Месяц]],Таблица18[[#This Row],[Число]])</f>
        <v>164</v>
      </c>
      <c r="Y1562" s="121"/>
      <c r="Z1562" s="121" t="str">
        <f>Таблица18[[#This Row],[Хар-ка]]</f>
        <v>Высший</v>
      </c>
      <c r="AA1562"/>
      <c r="AB1562">
        <v>166</v>
      </c>
      <c r="AC1562"/>
      <c r="AD1562" s="460" t="s">
        <v>3100</v>
      </c>
      <c r="AE1562" t="s">
        <v>901</v>
      </c>
      <c r="AF1562" t="s">
        <v>46</v>
      </c>
    </row>
    <row r="1563" spans="1:32" s="465" customFormat="1" ht="33.75" x14ac:dyDescent="0.25">
      <c r="A1563" s="40" t="s">
        <v>3261</v>
      </c>
      <c r="B1563" s="360" t="s">
        <v>2940</v>
      </c>
      <c r="C1563" s="40">
        <v>256</v>
      </c>
      <c r="D1563" s="40">
        <v>153</v>
      </c>
      <c r="E1563" s="40" t="s">
        <v>2964</v>
      </c>
      <c r="F1563" s="40" t="s">
        <v>1312</v>
      </c>
      <c r="G1563" s="40" t="s">
        <v>320</v>
      </c>
      <c r="H1563" s="40" t="s">
        <v>3100</v>
      </c>
      <c r="I1563" s="40" t="str">
        <f>VLOOKUP(Таблица18[[#This Row],[Номер акта]],$AB$1:$AF$2504,3,FALSE)</f>
        <v>А-24/1</v>
      </c>
      <c r="J1563" s="40" t="s">
        <v>901</v>
      </c>
      <c r="K1563" s="40" t="s">
        <v>2939</v>
      </c>
      <c r="L1563" s="121">
        <v>27590</v>
      </c>
      <c r="M1563" s="121">
        <v>14470</v>
      </c>
      <c r="N1563" s="121">
        <v>11</v>
      </c>
      <c r="O1563" s="363">
        <v>13120</v>
      </c>
      <c r="P1563" s="363">
        <v>11676.8</v>
      </c>
      <c r="Q1563" s="121">
        <v>2026</v>
      </c>
      <c r="R1563" s="121">
        <v>167</v>
      </c>
      <c r="S1563" s="148">
        <v>46185</v>
      </c>
      <c r="T1563" s="363">
        <f>Таблица18[[#This Row],[Вес нетто]]-Таблица18[[#This Row],[Зачетный вес]]</f>
        <v>1443.2000000000007</v>
      </c>
      <c r="U1563" s="392">
        <f>Таблица18[[#This Row],[Отход]]/Таблица18[[#This Row],[Вес нетто]]</f>
        <v>0.11000000000000006</v>
      </c>
      <c r="V1563" s="121">
        <f>MONTH(Таблица18[[#This Row],[Дата акта]])</f>
        <v>6</v>
      </c>
      <c r="W1563" s="121">
        <f>DAY(Таблица18[[#This Row],[Дата акта]])</f>
        <v>12</v>
      </c>
      <c r="X1563" s="148">
        <f>DATE(1900,Таблица18[[#This Row],[Месяц]],Таблица18[[#This Row],[Число]])</f>
        <v>164</v>
      </c>
      <c r="Y1563" s="121"/>
      <c r="Z1563" s="121" t="str">
        <f>Таблица18[[#This Row],[Хар-ка]]</f>
        <v>Высший</v>
      </c>
      <c r="AA1563"/>
      <c r="AB1563">
        <v>167</v>
      </c>
      <c r="AC1563"/>
      <c r="AD1563" s="460" t="s">
        <v>3100</v>
      </c>
      <c r="AE1563" t="s">
        <v>901</v>
      </c>
      <c r="AF1563" t="s">
        <v>46</v>
      </c>
    </row>
    <row r="1564" spans="1:32" s="465" customFormat="1" ht="22.5" x14ac:dyDescent="0.25">
      <c r="A1564" s="40" t="s">
        <v>3262</v>
      </c>
      <c r="B1564" s="360" t="s">
        <v>2940</v>
      </c>
      <c r="C1564" s="40">
        <v>257</v>
      </c>
      <c r="D1564" s="40">
        <v>154</v>
      </c>
      <c r="E1564" s="40" t="s">
        <v>2964</v>
      </c>
      <c r="F1564" s="40" t="s">
        <v>894</v>
      </c>
      <c r="G1564" s="40" t="s">
        <v>895</v>
      </c>
      <c r="H1564" s="40" t="s">
        <v>3100</v>
      </c>
      <c r="I1564" s="40" t="str">
        <f>VLOOKUP(Таблица18[[#This Row],[Номер акта]],$AB$1:$AF$2504,3,FALSE)</f>
        <v>А-24/1</v>
      </c>
      <c r="J1564" s="40" t="s">
        <v>901</v>
      </c>
      <c r="K1564" s="40" t="s">
        <v>2939</v>
      </c>
      <c r="L1564" s="121">
        <v>28120</v>
      </c>
      <c r="M1564" s="121">
        <v>14940</v>
      </c>
      <c r="N1564" s="121">
        <v>8.5</v>
      </c>
      <c r="O1564" s="363">
        <v>13180</v>
      </c>
      <c r="P1564" s="363">
        <v>12059.7</v>
      </c>
      <c r="Q1564" s="121">
        <v>2026</v>
      </c>
      <c r="R1564" s="121">
        <v>168</v>
      </c>
      <c r="S1564" s="148">
        <v>46185</v>
      </c>
      <c r="T1564" s="363">
        <f>Таблица18[[#This Row],[Вес нетто]]-Таблица18[[#This Row],[Зачетный вес]]</f>
        <v>1120.2999999999993</v>
      </c>
      <c r="U1564" s="392">
        <f>Таблица18[[#This Row],[Отход]]/Таблица18[[#This Row],[Вес нетто]]</f>
        <v>8.4999999999999951E-2</v>
      </c>
      <c r="V1564" s="121">
        <f>MONTH(Таблица18[[#This Row],[Дата акта]])</f>
        <v>6</v>
      </c>
      <c r="W1564" s="121">
        <f>DAY(Таблица18[[#This Row],[Дата акта]])</f>
        <v>12</v>
      </c>
      <c r="X1564" s="148">
        <f>DATE(1900,Таблица18[[#This Row],[Месяц]],Таблица18[[#This Row],[Число]])</f>
        <v>164</v>
      </c>
      <c r="Y1564" s="121"/>
      <c r="Z1564" s="121" t="str">
        <f>Таблица18[[#This Row],[Хар-ка]]</f>
        <v>Высший</v>
      </c>
      <c r="AA1564"/>
      <c r="AB1564">
        <v>168</v>
      </c>
      <c r="AC1564"/>
      <c r="AD1564" s="460" t="s">
        <v>3100</v>
      </c>
      <c r="AE1564" t="s">
        <v>901</v>
      </c>
      <c r="AF1564" t="s">
        <v>46</v>
      </c>
    </row>
    <row r="1565" spans="1:32" s="465" customFormat="1" ht="33.75" x14ac:dyDescent="0.25">
      <c r="A1565" s="40" t="s">
        <v>3263</v>
      </c>
      <c r="B1565" s="360" t="s">
        <v>2940</v>
      </c>
      <c r="C1565" s="40">
        <v>258</v>
      </c>
      <c r="D1565" s="40">
        <v>155</v>
      </c>
      <c r="E1565" s="40" t="s">
        <v>2964</v>
      </c>
      <c r="F1565" s="40" t="s">
        <v>121</v>
      </c>
      <c r="G1565" s="40" t="s">
        <v>125</v>
      </c>
      <c r="H1565" s="40" t="s">
        <v>3100</v>
      </c>
      <c r="I1565" s="40" t="str">
        <f>VLOOKUP(Таблица18[[#This Row],[Номер акта]],$AB$1:$AF$2504,3,FALSE)</f>
        <v>А-24/1</v>
      </c>
      <c r="J1565" s="40" t="s">
        <v>901</v>
      </c>
      <c r="K1565" s="40" t="s">
        <v>2939</v>
      </c>
      <c r="L1565" s="121">
        <v>27670</v>
      </c>
      <c r="M1565" s="121">
        <v>14850</v>
      </c>
      <c r="N1565" s="121">
        <v>14</v>
      </c>
      <c r="O1565" s="363">
        <v>12820</v>
      </c>
      <c r="P1565" s="363">
        <v>11025.2</v>
      </c>
      <c r="Q1565" s="121">
        <v>2026</v>
      </c>
      <c r="R1565" s="121">
        <v>169</v>
      </c>
      <c r="S1565" s="148">
        <v>46185</v>
      </c>
      <c r="T1565" s="363">
        <f>Таблица18[[#This Row],[Вес нетто]]-Таблица18[[#This Row],[Зачетный вес]]</f>
        <v>1794.7999999999993</v>
      </c>
      <c r="U1565" s="392">
        <f>Таблица18[[#This Row],[Отход]]/Таблица18[[#This Row],[Вес нетто]]</f>
        <v>0.13999999999999993</v>
      </c>
      <c r="V1565" s="121">
        <f>MONTH(Таблица18[[#This Row],[Дата акта]])</f>
        <v>6</v>
      </c>
      <c r="W1565" s="121">
        <f>DAY(Таблица18[[#This Row],[Дата акта]])</f>
        <v>12</v>
      </c>
      <c r="X1565" s="148">
        <f>DATE(1900,Таблица18[[#This Row],[Месяц]],Таблица18[[#This Row],[Число]])</f>
        <v>164</v>
      </c>
      <c r="Y1565" s="121"/>
      <c r="Z1565" s="121" t="str">
        <f>Таблица18[[#This Row],[Хар-ка]]</f>
        <v>Высший</v>
      </c>
      <c r="AA1565"/>
      <c r="AB1565">
        <v>169</v>
      </c>
      <c r="AC1565"/>
      <c r="AD1565" s="460" t="s">
        <v>3100</v>
      </c>
      <c r="AE1565" t="s">
        <v>901</v>
      </c>
      <c r="AF1565" t="s">
        <v>46</v>
      </c>
    </row>
    <row r="1566" spans="1:32" s="465" customFormat="1" ht="33.75" x14ac:dyDescent="0.25">
      <c r="A1566" s="40" t="s">
        <v>3264</v>
      </c>
      <c r="B1566" s="360" t="s">
        <v>2940</v>
      </c>
      <c r="C1566" s="40">
        <v>260</v>
      </c>
      <c r="D1566" s="40">
        <v>156</v>
      </c>
      <c r="E1566" s="40" t="s">
        <v>2964</v>
      </c>
      <c r="F1566" s="40" t="s">
        <v>737</v>
      </c>
      <c r="G1566" s="40" t="s">
        <v>738</v>
      </c>
      <c r="H1566" s="40" t="s">
        <v>3100</v>
      </c>
      <c r="I1566" s="40" t="str">
        <f>VLOOKUP(Таблица18[[#This Row],[Номер акта]],$AB$1:$AF$2504,3,FALSE)</f>
        <v>А-24/1</v>
      </c>
      <c r="J1566" s="40" t="s">
        <v>901</v>
      </c>
      <c r="K1566" s="40" t="s">
        <v>2939</v>
      </c>
      <c r="L1566" s="121">
        <v>9030</v>
      </c>
      <c r="M1566" s="121">
        <v>4640</v>
      </c>
      <c r="N1566" s="121">
        <v>16</v>
      </c>
      <c r="O1566" s="363">
        <v>4390</v>
      </c>
      <c r="P1566" s="363">
        <v>3687.6</v>
      </c>
      <c r="Q1566" s="121">
        <v>2026</v>
      </c>
      <c r="R1566" s="121">
        <v>170</v>
      </c>
      <c r="S1566" s="148">
        <v>46185</v>
      </c>
      <c r="T1566" s="363">
        <f>Таблица18[[#This Row],[Вес нетто]]-Таблица18[[#This Row],[Зачетный вес]]</f>
        <v>702.40000000000009</v>
      </c>
      <c r="U1566" s="392">
        <f>Таблица18[[#This Row],[Отход]]/Таблица18[[#This Row],[Вес нетто]]</f>
        <v>0.16000000000000003</v>
      </c>
      <c r="V1566" s="121">
        <f>MONTH(Таблица18[[#This Row],[Дата акта]])</f>
        <v>6</v>
      </c>
      <c r="W1566" s="121">
        <f>DAY(Таблица18[[#This Row],[Дата акта]])</f>
        <v>12</v>
      </c>
      <c r="X1566" s="148">
        <f>DATE(1900,Таблица18[[#This Row],[Месяц]],Таблица18[[#This Row],[Число]])</f>
        <v>164</v>
      </c>
      <c r="Y1566" s="121"/>
      <c r="Z1566" s="121" t="str">
        <f>Таблица18[[#This Row],[Хар-ка]]</f>
        <v>Высший</v>
      </c>
      <c r="AA1566"/>
      <c r="AB1566">
        <v>170</v>
      </c>
      <c r="AC1566"/>
      <c r="AD1566" s="460" t="s">
        <v>3100</v>
      </c>
      <c r="AE1566" t="s">
        <v>901</v>
      </c>
      <c r="AF1566" t="s">
        <v>46</v>
      </c>
    </row>
    <row r="1567" spans="1:32" s="465" customFormat="1" ht="22.5" x14ac:dyDescent="0.25">
      <c r="A1567" s="40" t="s">
        <v>3265</v>
      </c>
      <c r="B1567" s="360" t="s">
        <v>2940</v>
      </c>
      <c r="C1567" s="40">
        <v>261</v>
      </c>
      <c r="D1567" s="40">
        <v>157</v>
      </c>
      <c r="E1567" s="40" t="s">
        <v>2964</v>
      </c>
      <c r="F1567" s="40" t="s">
        <v>127</v>
      </c>
      <c r="G1567" s="40" t="s">
        <v>131</v>
      </c>
      <c r="H1567" s="40" t="s">
        <v>3100</v>
      </c>
      <c r="I1567" s="40" t="str">
        <f>VLOOKUP(Таблица18[[#This Row],[Номер акта]],$AB$1:$AF$2504,3,FALSE)</f>
        <v>А-24/1</v>
      </c>
      <c r="J1567" s="40" t="s">
        <v>901</v>
      </c>
      <c r="K1567" s="40" t="s">
        <v>2939</v>
      </c>
      <c r="L1567" s="121">
        <v>27380</v>
      </c>
      <c r="M1567" s="121">
        <v>14400</v>
      </c>
      <c r="N1567" s="121">
        <v>10</v>
      </c>
      <c r="O1567" s="363">
        <v>12980</v>
      </c>
      <c r="P1567" s="363">
        <v>11682</v>
      </c>
      <c r="Q1567" s="121">
        <v>2026</v>
      </c>
      <c r="R1567" s="121">
        <v>171</v>
      </c>
      <c r="S1567" s="148">
        <v>46185</v>
      </c>
      <c r="T1567" s="363">
        <f>Таблица18[[#This Row],[Вес нетто]]-Таблица18[[#This Row],[Зачетный вес]]</f>
        <v>1298</v>
      </c>
      <c r="U1567" s="392">
        <f>Таблица18[[#This Row],[Отход]]/Таблица18[[#This Row],[Вес нетто]]</f>
        <v>0.1</v>
      </c>
      <c r="V1567" s="121">
        <f>MONTH(Таблица18[[#This Row],[Дата акта]])</f>
        <v>6</v>
      </c>
      <c r="W1567" s="121">
        <f>DAY(Таблица18[[#This Row],[Дата акта]])</f>
        <v>12</v>
      </c>
      <c r="X1567" s="148">
        <f>DATE(1900,Таблица18[[#This Row],[Месяц]],Таблица18[[#This Row],[Число]])</f>
        <v>164</v>
      </c>
      <c r="Y1567" s="121"/>
      <c r="Z1567" s="121" t="str">
        <f>Таблица18[[#This Row],[Хар-ка]]</f>
        <v>Высший</v>
      </c>
      <c r="AA1567"/>
      <c r="AB1567">
        <v>171</v>
      </c>
      <c r="AC1567"/>
      <c r="AD1567" s="460" t="s">
        <v>3100</v>
      </c>
      <c r="AE1567" t="s">
        <v>901</v>
      </c>
      <c r="AF1567" t="s">
        <v>46</v>
      </c>
    </row>
    <row r="1568" spans="1:32" s="465" customFormat="1" ht="33.75" x14ac:dyDescent="0.25">
      <c r="A1568" s="40" t="s">
        <v>3266</v>
      </c>
      <c r="B1568" s="360" t="s">
        <v>2940</v>
      </c>
      <c r="C1568" s="40">
        <v>262</v>
      </c>
      <c r="D1568" s="40">
        <v>158</v>
      </c>
      <c r="E1568" s="40" t="s">
        <v>2964</v>
      </c>
      <c r="F1568" s="40" t="s">
        <v>1312</v>
      </c>
      <c r="G1568" s="40" t="s">
        <v>320</v>
      </c>
      <c r="H1568" s="40" t="s">
        <v>3100</v>
      </c>
      <c r="I1568" s="40" t="str">
        <f>VLOOKUP(Таблица18[[#This Row],[Номер акта]],$AB$1:$AF$2504,3,FALSE)</f>
        <v>А-24/1</v>
      </c>
      <c r="J1568" s="40" t="s">
        <v>901</v>
      </c>
      <c r="K1568" s="40" t="s">
        <v>2939</v>
      </c>
      <c r="L1568" s="121">
        <v>26900</v>
      </c>
      <c r="M1568" s="121">
        <v>14440</v>
      </c>
      <c r="N1568" s="121">
        <v>9</v>
      </c>
      <c r="O1568" s="363">
        <v>12460</v>
      </c>
      <c r="P1568" s="363">
        <v>11338.6</v>
      </c>
      <c r="Q1568" s="121">
        <v>2026</v>
      </c>
      <c r="R1568" s="121">
        <v>172</v>
      </c>
      <c r="S1568" s="148">
        <v>46185</v>
      </c>
      <c r="T1568" s="363">
        <f>Таблица18[[#This Row],[Вес нетто]]-Таблица18[[#This Row],[Зачетный вес]]</f>
        <v>1121.3999999999996</v>
      </c>
      <c r="U1568" s="392">
        <f>Таблица18[[#This Row],[Отход]]/Таблица18[[#This Row],[Вес нетто]]</f>
        <v>8.9999999999999969E-2</v>
      </c>
      <c r="V1568" s="121">
        <f>MONTH(Таблица18[[#This Row],[Дата акта]])</f>
        <v>6</v>
      </c>
      <c r="W1568" s="121">
        <f>DAY(Таблица18[[#This Row],[Дата акта]])</f>
        <v>12</v>
      </c>
      <c r="X1568" s="148">
        <f>DATE(1900,Таблица18[[#This Row],[Месяц]],Таблица18[[#This Row],[Число]])</f>
        <v>164</v>
      </c>
      <c r="Y1568" s="121"/>
      <c r="Z1568" s="121" t="str">
        <f>Таблица18[[#This Row],[Хар-ка]]</f>
        <v>Высший</v>
      </c>
      <c r="AA1568"/>
      <c r="AB1568">
        <v>172</v>
      </c>
      <c r="AC1568"/>
      <c r="AD1568" s="460" t="s">
        <v>3100</v>
      </c>
      <c r="AE1568" t="s">
        <v>901</v>
      </c>
      <c r="AF1568" t="s">
        <v>46</v>
      </c>
    </row>
    <row r="1569" spans="1:32" s="465" customFormat="1" ht="33.75" x14ac:dyDescent="0.25">
      <c r="A1569" s="40" t="s">
        <v>3536</v>
      </c>
      <c r="B1569" s="360" t="s">
        <v>2940</v>
      </c>
      <c r="C1569" s="40">
        <v>264</v>
      </c>
      <c r="D1569" s="40" t="s">
        <v>3537</v>
      </c>
      <c r="E1569" s="40" t="s">
        <v>2964</v>
      </c>
      <c r="F1569" s="40" t="s">
        <v>305</v>
      </c>
      <c r="G1569" s="40" t="s">
        <v>309</v>
      </c>
      <c r="H1569" s="40" t="s">
        <v>3248</v>
      </c>
      <c r="I1569" s="40" t="str">
        <f>VLOOKUP(Таблица18[[#This Row],[Номер акта]],$AB$1:$AF$2504,3,FALSE)</f>
        <v>А-24/1</v>
      </c>
      <c r="J1569" s="40" t="s">
        <v>901</v>
      </c>
      <c r="K1569" s="40" t="s">
        <v>2939</v>
      </c>
      <c r="L1569" s="121">
        <v>27280</v>
      </c>
      <c r="M1569" s="121">
        <v>14290</v>
      </c>
      <c r="N1569" s="121">
        <v>7.4</v>
      </c>
      <c r="O1569" s="363">
        <v>12990</v>
      </c>
      <c r="P1569" s="363">
        <v>11397</v>
      </c>
      <c r="Q1569" s="121">
        <v>2026</v>
      </c>
      <c r="R1569" s="121">
        <v>314</v>
      </c>
      <c r="S1569" s="148">
        <v>46185</v>
      </c>
      <c r="T1569" s="363">
        <f>Таблица18[[#This Row],[Вес нетто]]-Таблица18[[#This Row],[Зачетный вес]]</f>
        <v>1593</v>
      </c>
      <c r="U1569" s="392">
        <f>Таблица18[[#This Row],[Отход]]/Таблица18[[#This Row],[Вес нетто]]</f>
        <v>0.12263279445727483</v>
      </c>
      <c r="V1569" s="121">
        <f>MONTH(Таблица18[[#This Row],[Дата акта]])</f>
        <v>6</v>
      </c>
      <c r="W1569" s="121">
        <f>DAY(Таблица18[[#This Row],[Дата акта]])</f>
        <v>12</v>
      </c>
      <c r="X1569" s="148">
        <f>DATE(1900,Таблица18[[#This Row],[Месяц]],Таблица18[[#This Row],[Число]])</f>
        <v>164</v>
      </c>
      <c r="Y1569" s="121"/>
      <c r="Z1569" s="121" t="str">
        <f>Таблица18[[#This Row],[Хар-ка]]</f>
        <v>Высший</v>
      </c>
      <c r="AA1569"/>
      <c r="AB1569">
        <v>314</v>
      </c>
      <c r="AC1569"/>
      <c r="AD1569" s="460" t="s">
        <v>3100</v>
      </c>
      <c r="AE1569" t="s">
        <v>901</v>
      </c>
      <c r="AF1569" t="s">
        <v>46</v>
      </c>
    </row>
    <row r="1570" spans="1:32" s="465" customFormat="1" ht="22.5" x14ac:dyDescent="0.25">
      <c r="A1570" s="40" t="s">
        <v>3267</v>
      </c>
      <c r="B1570" s="360" t="s">
        <v>2940</v>
      </c>
      <c r="C1570" s="40">
        <v>265</v>
      </c>
      <c r="D1570" s="40">
        <v>159</v>
      </c>
      <c r="E1570" s="40" t="s">
        <v>2964</v>
      </c>
      <c r="F1570" s="40" t="s">
        <v>894</v>
      </c>
      <c r="G1570" s="40" t="s">
        <v>895</v>
      </c>
      <c r="H1570" s="40" t="s">
        <v>3100</v>
      </c>
      <c r="I1570" s="40" t="str">
        <f>VLOOKUP(Таблица18[[#This Row],[Номер акта]],$AB$1:$AF$2504,3,FALSE)</f>
        <v>А-24/1</v>
      </c>
      <c r="J1570" s="40" t="s">
        <v>901</v>
      </c>
      <c r="K1570" s="40" t="s">
        <v>2939</v>
      </c>
      <c r="L1570" s="121">
        <v>27440</v>
      </c>
      <c r="M1570" s="121">
        <v>14910</v>
      </c>
      <c r="N1570" s="121">
        <v>13.5</v>
      </c>
      <c r="O1570" s="363">
        <v>12530</v>
      </c>
      <c r="P1570" s="363">
        <v>10838.5</v>
      </c>
      <c r="Q1570" s="121">
        <v>2026</v>
      </c>
      <c r="R1570" s="121">
        <v>173</v>
      </c>
      <c r="S1570" s="148">
        <v>46185</v>
      </c>
      <c r="T1570" s="363">
        <f>Таблица18[[#This Row],[Вес нетто]]-Таблица18[[#This Row],[Зачетный вес]]</f>
        <v>1691.5</v>
      </c>
      <c r="U1570" s="392">
        <f>Таблица18[[#This Row],[Отход]]/Таблица18[[#This Row],[Вес нетто]]</f>
        <v>0.13499600957701516</v>
      </c>
      <c r="V1570" s="121">
        <f>MONTH(Таблица18[[#This Row],[Дата акта]])</f>
        <v>6</v>
      </c>
      <c r="W1570" s="121">
        <f>DAY(Таблица18[[#This Row],[Дата акта]])</f>
        <v>12</v>
      </c>
      <c r="X1570" s="148">
        <f>DATE(1900,Таблица18[[#This Row],[Месяц]],Таблица18[[#This Row],[Число]])</f>
        <v>164</v>
      </c>
      <c r="Y1570" s="121"/>
      <c r="Z1570" s="121" t="str">
        <f>Таблица18[[#This Row],[Хар-ка]]</f>
        <v>Высший</v>
      </c>
      <c r="AA1570"/>
      <c r="AB1570">
        <v>173</v>
      </c>
      <c r="AC1570"/>
      <c r="AD1570" s="460" t="s">
        <v>3100</v>
      </c>
      <c r="AE1570" t="s">
        <v>901</v>
      </c>
      <c r="AF1570" t="s">
        <v>46</v>
      </c>
    </row>
    <row r="1571" spans="1:32" s="465" customFormat="1" ht="33.75" x14ac:dyDescent="0.25">
      <c r="A1571" s="40" t="s">
        <v>3268</v>
      </c>
      <c r="B1571" s="360" t="s">
        <v>2940</v>
      </c>
      <c r="C1571" s="40">
        <v>266</v>
      </c>
      <c r="D1571" s="40">
        <v>160</v>
      </c>
      <c r="E1571" s="40" t="s">
        <v>2964</v>
      </c>
      <c r="F1571" s="40" t="s">
        <v>121</v>
      </c>
      <c r="G1571" s="40" t="s">
        <v>125</v>
      </c>
      <c r="H1571" s="40" t="s">
        <v>3100</v>
      </c>
      <c r="I1571" s="40" t="str">
        <f>VLOOKUP(Таблица18[[#This Row],[Номер акта]],$AB$1:$AF$2504,3,FALSE)</f>
        <v>А-24/1</v>
      </c>
      <c r="J1571" s="40" t="s">
        <v>901</v>
      </c>
      <c r="K1571" s="40" t="s">
        <v>2939</v>
      </c>
      <c r="L1571" s="121">
        <v>27450</v>
      </c>
      <c r="M1571" s="121">
        <v>14820</v>
      </c>
      <c r="N1571" s="121">
        <v>11</v>
      </c>
      <c r="O1571" s="363">
        <v>12630</v>
      </c>
      <c r="P1571" s="363">
        <v>11240.7</v>
      </c>
      <c r="Q1571" s="121">
        <v>2026</v>
      </c>
      <c r="R1571" s="121">
        <v>174</v>
      </c>
      <c r="S1571" s="148">
        <v>46185</v>
      </c>
      <c r="T1571" s="363">
        <f>Таблица18[[#This Row],[Вес нетто]]-Таблица18[[#This Row],[Зачетный вес]]</f>
        <v>1389.2999999999993</v>
      </c>
      <c r="U1571" s="392">
        <f>Таблица18[[#This Row],[Отход]]/Таблица18[[#This Row],[Вес нетто]]</f>
        <v>0.10999999999999995</v>
      </c>
      <c r="V1571" s="121">
        <f>MONTH(Таблица18[[#This Row],[Дата акта]])</f>
        <v>6</v>
      </c>
      <c r="W1571" s="121">
        <f>DAY(Таблица18[[#This Row],[Дата акта]])</f>
        <v>12</v>
      </c>
      <c r="X1571" s="148">
        <f>DATE(1900,Таблица18[[#This Row],[Месяц]],Таблица18[[#This Row],[Число]])</f>
        <v>164</v>
      </c>
      <c r="Y1571" s="121"/>
      <c r="Z1571" s="121" t="str">
        <f>Таблица18[[#This Row],[Хар-ка]]</f>
        <v>Высший</v>
      </c>
      <c r="AA1571"/>
      <c r="AB1571">
        <v>174</v>
      </c>
      <c r="AC1571"/>
      <c r="AD1571" s="460" t="s">
        <v>3100</v>
      </c>
      <c r="AE1571" t="s">
        <v>901</v>
      </c>
      <c r="AF1571" t="s">
        <v>46</v>
      </c>
    </row>
    <row r="1572" spans="1:32" s="465" customFormat="1" ht="33.75" x14ac:dyDescent="0.25">
      <c r="A1572" s="40" t="s">
        <v>3269</v>
      </c>
      <c r="B1572" s="360" t="s">
        <v>2940</v>
      </c>
      <c r="C1572" s="40">
        <v>267</v>
      </c>
      <c r="D1572" s="40">
        <v>161</v>
      </c>
      <c r="E1572" s="40" t="s">
        <v>2964</v>
      </c>
      <c r="F1572" s="40" t="s">
        <v>737</v>
      </c>
      <c r="G1572" s="40" t="s">
        <v>738</v>
      </c>
      <c r="H1572" s="40" t="s">
        <v>3100</v>
      </c>
      <c r="I1572" s="40" t="str">
        <f>VLOOKUP(Таблица18[[#This Row],[Номер акта]],$AB$1:$AF$2504,3,FALSE)</f>
        <v>А-24/1</v>
      </c>
      <c r="J1572" s="40" t="s">
        <v>901</v>
      </c>
      <c r="K1572" s="40" t="s">
        <v>2939</v>
      </c>
      <c r="L1572" s="121">
        <v>8780</v>
      </c>
      <c r="M1572" s="121">
        <v>4630</v>
      </c>
      <c r="N1572" s="121">
        <v>7</v>
      </c>
      <c r="O1572" s="363">
        <v>4150</v>
      </c>
      <c r="P1572" s="363">
        <v>3859.5</v>
      </c>
      <c r="Q1572" s="121">
        <v>2026</v>
      </c>
      <c r="R1572" s="121">
        <v>175</v>
      </c>
      <c r="S1572" s="148">
        <v>46185</v>
      </c>
      <c r="T1572" s="363">
        <f>Таблица18[[#This Row],[Вес нетто]]-Таблица18[[#This Row],[Зачетный вес]]</f>
        <v>290.5</v>
      </c>
      <c r="U1572" s="392">
        <f>Таблица18[[#This Row],[Отход]]/Таблица18[[#This Row],[Вес нетто]]</f>
        <v>7.0000000000000007E-2</v>
      </c>
      <c r="V1572" s="121">
        <f>MONTH(Таблица18[[#This Row],[Дата акта]])</f>
        <v>6</v>
      </c>
      <c r="W1572" s="121">
        <f>DAY(Таблица18[[#This Row],[Дата акта]])</f>
        <v>12</v>
      </c>
      <c r="X1572" s="148">
        <f>DATE(1900,Таблица18[[#This Row],[Месяц]],Таблица18[[#This Row],[Число]])</f>
        <v>164</v>
      </c>
      <c r="Y1572" s="121"/>
      <c r="Z1572" s="121" t="str">
        <f>Таблица18[[#This Row],[Хар-ка]]</f>
        <v>Высший</v>
      </c>
      <c r="AA1572"/>
      <c r="AB1572">
        <v>175</v>
      </c>
      <c r="AC1572"/>
      <c r="AD1572" s="460" t="s">
        <v>3100</v>
      </c>
      <c r="AE1572" t="s">
        <v>901</v>
      </c>
      <c r="AF1572" t="s">
        <v>46</v>
      </c>
    </row>
    <row r="1573" spans="1:32" s="465" customFormat="1" ht="22.5" x14ac:dyDescent="0.25">
      <c r="A1573" s="40" t="s">
        <v>3270</v>
      </c>
      <c r="B1573" s="360" t="s">
        <v>2940</v>
      </c>
      <c r="C1573" s="40">
        <v>268</v>
      </c>
      <c r="D1573" s="40">
        <v>162</v>
      </c>
      <c r="E1573" s="40" t="s">
        <v>2964</v>
      </c>
      <c r="F1573" s="40" t="s">
        <v>127</v>
      </c>
      <c r="G1573" s="40" t="s">
        <v>131</v>
      </c>
      <c r="H1573" s="40" t="s">
        <v>3100</v>
      </c>
      <c r="I1573" s="40" t="str">
        <f>VLOOKUP(Таблица18[[#This Row],[Номер акта]],$AB$1:$AF$2504,3,FALSE)</f>
        <v>А-24/1</v>
      </c>
      <c r="J1573" s="40" t="s">
        <v>901</v>
      </c>
      <c r="K1573" s="40" t="s">
        <v>2939</v>
      </c>
      <c r="L1573" s="121">
        <v>19680</v>
      </c>
      <c r="M1573" s="121">
        <v>14380</v>
      </c>
      <c r="N1573" s="121">
        <v>7</v>
      </c>
      <c r="O1573" s="363">
        <v>5300</v>
      </c>
      <c r="P1573" s="363">
        <v>4929</v>
      </c>
      <c r="Q1573" s="121">
        <v>2026</v>
      </c>
      <c r="R1573" s="121">
        <v>176</v>
      </c>
      <c r="S1573" s="148">
        <v>46185</v>
      </c>
      <c r="T1573" s="363">
        <f>Таблица18[[#This Row],[Вес нетто]]-Таблица18[[#This Row],[Зачетный вес]]</f>
        <v>371</v>
      </c>
      <c r="U1573" s="392">
        <f>Таблица18[[#This Row],[Отход]]/Таблица18[[#This Row],[Вес нетто]]</f>
        <v>7.0000000000000007E-2</v>
      </c>
      <c r="V1573" s="121">
        <f>MONTH(Таблица18[[#This Row],[Дата акта]])</f>
        <v>6</v>
      </c>
      <c r="W1573" s="121">
        <f>DAY(Таблица18[[#This Row],[Дата акта]])</f>
        <v>12</v>
      </c>
      <c r="X1573" s="148">
        <f>DATE(1900,Таблица18[[#This Row],[Месяц]],Таблица18[[#This Row],[Число]])</f>
        <v>164</v>
      </c>
      <c r="Y1573" s="121"/>
      <c r="Z1573" s="121" t="str">
        <f>Таблица18[[#This Row],[Хар-ка]]</f>
        <v>Высший</v>
      </c>
      <c r="AA1573"/>
      <c r="AB1573">
        <v>176</v>
      </c>
      <c r="AC1573"/>
      <c r="AD1573" s="460" t="s">
        <v>3100</v>
      </c>
      <c r="AE1573" t="s">
        <v>901</v>
      </c>
      <c r="AF1573" t="s">
        <v>46</v>
      </c>
    </row>
    <row r="1574" spans="1:32" s="465" customFormat="1" ht="22.5" x14ac:dyDescent="0.25">
      <c r="A1574" s="40" t="s">
        <v>3538</v>
      </c>
      <c r="B1574" s="360" t="s">
        <v>2940</v>
      </c>
      <c r="C1574" s="40">
        <v>269</v>
      </c>
      <c r="D1574" s="40" t="s">
        <v>3539</v>
      </c>
      <c r="E1574" s="40" t="s">
        <v>2964</v>
      </c>
      <c r="F1574" s="40" t="s">
        <v>166</v>
      </c>
      <c r="G1574" s="40" t="s">
        <v>170</v>
      </c>
      <c r="H1574" s="40" t="s">
        <v>3103</v>
      </c>
      <c r="I1574" s="40" t="str">
        <f>VLOOKUP(Таблица18[[#This Row],[Номер акта]],$AB$1:$AF$2504,3,FALSE)</f>
        <v>А-76/3</v>
      </c>
      <c r="J1574" s="40" t="s">
        <v>524</v>
      </c>
      <c r="K1574" s="40" t="s">
        <v>2939</v>
      </c>
      <c r="L1574" s="121">
        <v>28440</v>
      </c>
      <c r="M1574" s="121">
        <v>15000</v>
      </c>
      <c r="N1574" s="121">
        <v>8.9</v>
      </c>
      <c r="O1574" s="363">
        <v>13440</v>
      </c>
      <c r="P1574" s="363">
        <v>11656</v>
      </c>
      <c r="Q1574" s="121">
        <v>2026</v>
      </c>
      <c r="R1574" s="121">
        <v>315</v>
      </c>
      <c r="S1574" s="148">
        <v>46185</v>
      </c>
      <c r="T1574" s="363">
        <f>Таблица18[[#This Row],[Вес нетто]]-Таблица18[[#This Row],[Зачетный вес]]</f>
        <v>1784</v>
      </c>
      <c r="U1574" s="392">
        <f>Таблица18[[#This Row],[Отход]]/Таблица18[[#This Row],[Вес нетто]]</f>
        <v>0.13273809523809524</v>
      </c>
      <c r="V1574" s="121">
        <f>MONTH(Таблица18[[#This Row],[Дата акта]])</f>
        <v>6</v>
      </c>
      <c r="W1574" s="121">
        <f>DAY(Таблица18[[#This Row],[Дата акта]])</f>
        <v>12</v>
      </c>
      <c r="X1574" s="148">
        <f>DATE(1900,Таблица18[[#This Row],[Месяц]],Таблица18[[#This Row],[Число]])</f>
        <v>164</v>
      </c>
      <c r="Y1574" s="121"/>
      <c r="Z1574" s="121" t="str">
        <f>Таблица18[[#This Row],[Хар-ка]]</f>
        <v>Высший</v>
      </c>
      <c r="AA1574"/>
      <c r="AB1574">
        <v>315</v>
      </c>
      <c r="AC1574"/>
      <c r="AD1574" s="460" t="s">
        <v>3103</v>
      </c>
      <c r="AE1574" t="s">
        <v>524</v>
      </c>
      <c r="AF1574" t="s">
        <v>46</v>
      </c>
    </row>
    <row r="1575" spans="1:32" s="465" customFormat="1" ht="33.75" x14ac:dyDescent="0.25">
      <c r="A1575" s="40" t="s">
        <v>3274</v>
      </c>
      <c r="B1575" s="360" t="s">
        <v>3230</v>
      </c>
      <c r="C1575" s="40">
        <v>270</v>
      </c>
      <c r="D1575" s="40">
        <v>163</v>
      </c>
      <c r="E1575" s="40" t="s">
        <v>2964</v>
      </c>
      <c r="F1575" s="40" t="s">
        <v>1312</v>
      </c>
      <c r="G1575" s="40" t="s">
        <v>320</v>
      </c>
      <c r="H1575" s="40" t="s">
        <v>3103</v>
      </c>
      <c r="I1575" s="40" t="str">
        <f>VLOOKUP(Таблица18[[#This Row],[Номер акта]],$AB$1:$AF$2504,3,FALSE)</f>
        <v>А-76/5</v>
      </c>
      <c r="J1575" s="40" t="s">
        <v>524</v>
      </c>
      <c r="K1575" s="40" t="s">
        <v>2939</v>
      </c>
      <c r="L1575" s="121">
        <v>28180</v>
      </c>
      <c r="M1575" s="121">
        <v>14430</v>
      </c>
      <c r="N1575" s="121">
        <v>12</v>
      </c>
      <c r="O1575" s="363">
        <v>13750</v>
      </c>
      <c r="P1575" s="363">
        <v>12100</v>
      </c>
      <c r="Q1575" s="121">
        <v>2026</v>
      </c>
      <c r="R1575" s="121">
        <v>177</v>
      </c>
      <c r="S1575" s="148">
        <v>46185</v>
      </c>
      <c r="T1575" s="363">
        <f>Таблица18[[#This Row],[Вес нетто]]-Таблица18[[#This Row],[Зачетный вес]]</f>
        <v>1650</v>
      </c>
      <c r="U1575" s="392">
        <f>Таблица18[[#This Row],[Отход]]/Таблица18[[#This Row],[Вес нетто]]</f>
        <v>0.12</v>
      </c>
      <c r="V1575" s="121">
        <f>MONTH(Таблица18[[#This Row],[Дата акта]])</f>
        <v>6</v>
      </c>
      <c r="W1575" s="121">
        <f>DAY(Таблица18[[#This Row],[Дата акта]])</f>
        <v>12</v>
      </c>
      <c r="X1575" s="148">
        <f>DATE(1900,Таблица18[[#This Row],[Месяц]],Таблица18[[#This Row],[Число]])</f>
        <v>164</v>
      </c>
      <c r="Y1575" s="121"/>
      <c r="Z1575" s="121" t="str">
        <f>Таблица18[[#This Row],[Хар-ка]]</f>
        <v>Первый</v>
      </c>
      <c r="AA1575"/>
      <c r="AB1575">
        <v>177</v>
      </c>
      <c r="AC1575"/>
      <c r="AD1575" s="460" t="s">
        <v>3104</v>
      </c>
      <c r="AE1575" t="s">
        <v>524</v>
      </c>
      <c r="AF1575" t="s">
        <v>46</v>
      </c>
    </row>
    <row r="1576" spans="1:32" s="465" customFormat="1" ht="22.5" x14ac:dyDescent="0.25">
      <c r="A1576" s="40" t="s">
        <v>3275</v>
      </c>
      <c r="B1576" s="360" t="s">
        <v>3230</v>
      </c>
      <c r="C1576" s="40">
        <v>271</v>
      </c>
      <c r="D1576" s="40">
        <v>164</v>
      </c>
      <c r="E1576" s="40" t="s">
        <v>2964</v>
      </c>
      <c r="F1576" s="40" t="s">
        <v>894</v>
      </c>
      <c r="G1576" s="40" t="s">
        <v>895</v>
      </c>
      <c r="H1576" s="40" t="s">
        <v>3103</v>
      </c>
      <c r="I1576" s="40" t="str">
        <f>VLOOKUP(Таблица18[[#This Row],[Номер акта]],$AB$1:$AF$2504,3,FALSE)</f>
        <v>А-76/5</v>
      </c>
      <c r="J1576" s="40" t="s">
        <v>524</v>
      </c>
      <c r="K1576" s="40" t="s">
        <v>2939</v>
      </c>
      <c r="L1576" s="121">
        <v>28180</v>
      </c>
      <c r="M1576" s="121">
        <v>14910</v>
      </c>
      <c r="N1576" s="121">
        <v>8.5</v>
      </c>
      <c r="O1576" s="363">
        <v>13270</v>
      </c>
      <c r="P1576" s="363">
        <v>12142.1</v>
      </c>
      <c r="Q1576" s="121">
        <v>2026</v>
      </c>
      <c r="R1576" s="121">
        <v>178</v>
      </c>
      <c r="S1576" s="148">
        <v>46185</v>
      </c>
      <c r="T1576" s="363">
        <f>Таблица18[[#This Row],[Вес нетто]]-Таблица18[[#This Row],[Зачетный вес]]</f>
        <v>1127.8999999999996</v>
      </c>
      <c r="U1576" s="392">
        <f>Таблица18[[#This Row],[Отход]]/Таблица18[[#This Row],[Вес нетто]]</f>
        <v>8.4996232102486788E-2</v>
      </c>
      <c r="V1576" s="121">
        <f>MONTH(Таблица18[[#This Row],[Дата акта]])</f>
        <v>6</v>
      </c>
      <c r="W1576" s="121">
        <f>DAY(Таблица18[[#This Row],[Дата акта]])</f>
        <v>12</v>
      </c>
      <c r="X1576" s="148">
        <f>DATE(1900,Таблица18[[#This Row],[Месяц]],Таблица18[[#This Row],[Число]])</f>
        <v>164</v>
      </c>
      <c r="Y1576" s="121"/>
      <c r="Z1576" s="121" t="str">
        <f>Таблица18[[#This Row],[Хар-ка]]</f>
        <v>Первый</v>
      </c>
      <c r="AA1576"/>
      <c r="AB1576">
        <v>178</v>
      </c>
      <c r="AC1576"/>
      <c r="AD1576" s="460" t="s">
        <v>3104</v>
      </c>
      <c r="AE1576" t="s">
        <v>524</v>
      </c>
      <c r="AF1576" t="s">
        <v>46</v>
      </c>
    </row>
    <row r="1577" spans="1:32" s="465" customFormat="1" ht="33.75" x14ac:dyDescent="0.25">
      <c r="A1577" s="40" t="s">
        <v>3277</v>
      </c>
      <c r="B1577" s="360" t="s">
        <v>3230</v>
      </c>
      <c r="C1577" s="40">
        <v>272</v>
      </c>
      <c r="D1577" s="40">
        <v>165</v>
      </c>
      <c r="E1577" s="40" t="s">
        <v>2964</v>
      </c>
      <c r="F1577" s="40" t="s">
        <v>121</v>
      </c>
      <c r="G1577" s="40" t="s">
        <v>125</v>
      </c>
      <c r="H1577" s="40" t="s">
        <v>3103</v>
      </c>
      <c r="I1577" s="40" t="str">
        <f>VLOOKUP(Таблица18[[#This Row],[Номер акта]],$AB$1:$AF$2504,3,FALSE)</f>
        <v>А-76/5</v>
      </c>
      <c r="J1577" s="40" t="s">
        <v>524</v>
      </c>
      <c r="K1577" s="40" t="s">
        <v>2939</v>
      </c>
      <c r="L1577" s="121">
        <v>28040</v>
      </c>
      <c r="M1577" s="121">
        <v>14820</v>
      </c>
      <c r="N1577" s="121">
        <v>12</v>
      </c>
      <c r="O1577" s="363">
        <v>13220</v>
      </c>
      <c r="P1577" s="363">
        <v>11633.6</v>
      </c>
      <c r="Q1577" s="121">
        <v>2026</v>
      </c>
      <c r="R1577" s="121">
        <v>179</v>
      </c>
      <c r="S1577" s="148">
        <v>46185</v>
      </c>
      <c r="T1577" s="363">
        <f>Таблица18[[#This Row],[Вес нетто]]-Таблица18[[#This Row],[Зачетный вес]]</f>
        <v>1586.3999999999996</v>
      </c>
      <c r="U1577" s="392">
        <f>Таблица18[[#This Row],[Отход]]/Таблица18[[#This Row],[Вес нетто]]</f>
        <v>0.11999999999999997</v>
      </c>
      <c r="V1577" s="121">
        <f>MONTH(Таблица18[[#This Row],[Дата акта]])</f>
        <v>6</v>
      </c>
      <c r="W1577" s="121">
        <f>DAY(Таблица18[[#This Row],[Дата акта]])</f>
        <v>12</v>
      </c>
      <c r="X1577" s="148">
        <f>DATE(1900,Таблица18[[#This Row],[Месяц]],Таблица18[[#This Row],[Число]])</f>
        <v>164</v>
      </c>
      <c r="Y1577" s="121"/>
      <c r="Z1577" s="121" t="str">
        <f>Таблица18[[#This Row],[Хар-ка]]</f>
        <v>Первый</v>
      </c>
      <c r="AA1577"/>
      <c r="AB1577">
        <v>179</v>
      </c>
      <c r="AC1577"/>
      <c r="AD1577" s="460" t="s">
        <v>3104</v>
      </c>
      <c r="AE1577" t="s">
        <v>524</v>
      </c>
      <c r="AF1577" t="s">
        <v>46</v>
      </c>
    </row>
    <row r="1578" spans="1:32" s="465" customFormat="1" ht="22.5" x14ac:dyDescent="0.25">
      <c r="A1578" s="40" t="s">
        <v>3271</v>
      </c>
      <c r="B1578" s="360" t="s">
        <v>3230</v>
      </c>
      <c r="C1578" s="40">
        <v>273</v>
      </c>
      <c r="D1578" s="40">
        <v>166</v>
      </c>
      <c r="E1578" s="40" t="s">
        <v>2964</v>
      </c>
      <c r="F1578" s="40" t="s">
        <v>127</v>
      </c>
      <c r="G1578" s="40" t="s">
        <v>131</v>
      </c>
      <c r="H1578" s="40" t="s">
        <v>3103</v>
      </c>
      <c r="I1578" s="40" t="str">
        <f>VLOOKUP(Таблица18[[#This Row],[Номер акта]],$AB$1:$AF$2504,3,FALSE)</f>
        <v>А-76/5</v>
      </c>
      <c r="J1578" s="40" t="s">
        <v>524</v>
      </c>
      <c r="K1578" s="40" t="s">
        <v>2939</v>
      </c>
      <c r="L1578" s="121">
        <v>27140</v>
      </c>
      <c r="M1578" s="121">
        <v>14380</v>
      </c>
      <c r="N1578" s="121">
        <v>16</v>
      </c>
      <c r="O1578" s="363">
        <v>12760</v>
      </c>
      <c r="P1578" s="363">
        <v>10718.4</v>
      </c>
      <c r="Q1578" s="121">
        <v>2026</v>
      </c>
      <c r="R1578" s="121">
        <v>180</v>
      </c>
      <c r="S1578" s="148">
        <v>46185</v>
      </c>
      <c r="T1578" s="363">
        <f>Таблица18[[#This Row],[Вес нетто]]-Таблица18[[#This Row],[Зачетный вес]]</f>
        <v>2041.6000000000004</v>
      </c>
      <c r="U1578" s="392">
        <f>Таблица18[[#This Row],[Отход]]/Таблица18[[#This Row],[Вес нетто]]</f>
        <v>0.16000000000000003</v>
      </c>
      <c r="V1578" s="121">
        <f>MONTH(Таблица18[[#This Row],[Дата акта]])</f>
        <v>6</v>
      </c>
      <c r="W1578" s="121">
        <f>DAY(Таблица18[[#This Row],[Дата акта]])</f>
        <v>12</v>
      </c>
      <c r="X1578" s="148">
        <f>DATE(1900,Таблица18[[#This Row],[Месяц]],Таблица18[[#This Row],[Число]])</f>
        <v>164</v>
      </c>
      <c r="Y1578" s="121"/>
      <c r="Z1578" s="121" t="str">
        <f>Таблица18[[#This Row],[Хар-ка]]</f>
        <v>Первый</v>
      </c>
      <c r="AA1578"/>
      <c r="AB1578">
        <v>180</v>
      </c>
      <c r="AC1578"/>
      <c r="AD1578" s="460" t="s">
        <v>3104</v>
      </c>
      <c r="AE1578" t="s">
        <v>524</v>
      </c>
      <c r="AF1578" t="s">
        <v>46</v>
      </c>
    </row>
    <row r="1579" spans="1:32" s="465" customFormat="1" ht="33.75" x14ac:dyDescent="0.25">
      <c r="A1579" s="40" t="s">
        <v>3272</v>
      </c>
      <c r="B1579" s="360" t="s">
        <v>3273</v>
      </c>
      <c r="C1579" s="40">
        <v>274</v>
      </c>
      <c r="D1579" s="40">
        <v>167</v>
      </c>
      <c r="E1579" s="40" t="s">
        <v>2964</v>
      </c>
      <c r="F1579" s="40" t="s">
        <v>737</v>
      </c>
      <c r="G1579" s="40" t="s">
        <v>738</v>
      </c>
      <c r="H1579" s="40" t="s">
        <v>3103</v>
      </c>
      <c r="I1579" s="40" t="str">
        <f>VLOOKUP(Таблица18[[#This Row],[Номер акта]],$AB$1:$AF$2504,3,FALSE)</f>
        <v>А-76/5</v>
      </c>
      <c r="J1579" s="40" t="s">
        <v>524</v>
      </c>
      <c r="K1579" s="40" t="s">
        <v>2939</v>
      </c>
      <c r="L1579" s="121">
        <v>9260</v>
      </c>
      <c r="M1579" s="121">
        <v>4620</v>
      </c>
      <c r="N1579" s="121">
        <v>10</v>
      </c>
      <c r="O1579" s="363">
        <v>4640</v>
      </c>
      <c r="P1579" s="363">
        <v>4176</v>
      </c>
      <c r="Q1579" s="121">
        <v>2026</v>
      </c>
      <c r="R1579" s="121">
        <v>181</v>
      </c>
      <c r="S1579" s="148">
        <v>46185</v>
      </c>
      <c r="T1579" s="363">
        <f>Таблица18[[#This Row],[Вес нетто]]-Таблица18[[#This Row],[Зачетный вес]]</f>
        <v>464</v>
      </c>
      <c r="U1579" s="392">
        <f>Таблица18[[#This Row],[Отход]]/Таблица18[[#This Row],[Вес нетто]]</f>
        <v>0.1</v>
      </c>
      <c r="V1579" s="121">
        <f>MONTH(Таблица18[[#This Row],[Дата акта]])</f>
        <v>6</v>
      </c>
      <c r="W1579" s="121">
        <f>DAY(Таблица18[[#This Row],[Дата акта]])</f>
        <v>12</v>
      </c>
      <c r="X1579" s="148">
        <f>DATE(1900,Таблица18[[#This Row],[Месяц]],Таблица18[[#This Row],[Число]])</f>
        <v>164</v>
      </c>
      <c r="Y1579" s="121"/>
      <c r="Z1579" s="121" t="str">
        <f>Таблица18[[#This Row],[Хар-ка]]</f>
        <v>Второй</v>
      </c>
      <c r="AA1579"/>
      <c r="AB1579">
        <v>181</v>
      </c>
      <c r="AC1579"/>
      <c r="AD1579" s="460" t="s">
        <v>3104</v>
      </c>
      <c r="AE1579" t="s">
        <v>524</v>
      </c>
      <c r="AF1579" t="s">
        <v>46</v>
      </c>
    </row>
    <row r="1580" spans="1:32" s="465" customFormat="1" ht="33.75" x14ac:dyDescent="0.25">
      <c r="A1580" s="40" t="s">
        <v>3276</v>
      </c>
      <c r="B1580" s="360" t="s">
        <v>3230</v>
      </c>
      <c r="C1580" s="40">
        <v>275</v>
      </c>
      <c r="D1580" s="40">
        <v>168</v>
      </c>
      <c r="E1580" s="40" t="s">
        <v>2964</v>
      </c>
      <c r="F1580" s="40" t="s">
        <v>1312</v>
      </c>
      <c r="G1580" s="40" t="s">
        <v>320</v>
      </c>
      <c r="H1580" s="40"/>
      <c r="I1580" s="40" t="str">
        <f>VLOOKUP(Таблица18[[#This Row],[Номер акта]],$AB$1:$AF$2504,3,FALSE)</f>
        <v>А-76/5</v>
      </c>
      <c r="J1580" s="40" t="s">
        <v>524</v>
      </c>
      <c r="K1580" s="40" t="s">
        <v>2939</v>
      </c>
      <c r="L1580" s="121">
        <v>27770</v>
      </c>
      <c r="M1580" s="121">
        <v>14420</v>
      </c>
      <c r="N1580" s="121">
        <v>14</v>
      </c>
      <c r="O1580" s="363">
        <v>13350</v>
      </c>
      <c r="P1580" s="363">
        <v>11481</v>
      </c>
      <c r="Q1580" s="121">
        <v>2026</v>
      </c>
      <c r="R1580" s="121">
        <v>182</v>
      </c>
      <c r="S1580" s="148">
        <v>46185</v>
      </c>
      <c r="T1580" s="363">
        <f>Таблица18[[#This Row],[Вес нетто]]-Таблица18[[#This Row],[Зачетный вес]]</f>
        <v>1869</v>
      </c>
      <c r="U1580" s="392">
        <f>Таблица18[[#This Row],[Отход]]/Таблица18[[#This Row],[Вес нетто]]</f>
        <v>0.14000000000000001</v>
      </c>
      <c r="V1580" s="121">
        <f>MONTH(Таблица18[[#This Row],[Дата акта]])</f>
        <v>6</v>
      </c>
      <c r="W1580" s="121">
        <f>DAY(Таблица18[[#This Row],[Дата акта]])</f>
        <v>12</v>
      </c>
      <c r="X1580" s="148">
        <f>DATE(1900,Таблица18[[#This Row],[Месяц]],Таблица18[[#This Row],[Число]])</f>
        <v>164</v>
      </c>
      <c r="Y1580" s="121"/>
      <c r="Z1580" s="121" t="str">
        <f>Таблица18[[#This Row],[Хар-ка]]</f>
        <v>Первый</v>
      </c>
      <c r="AA1580"/>
      <c r="AB1580">
        <v>182</v>
      </c>
      <c r="AC1580"/>
      <c r="AD1580" s="460" t="s">
        <v>3104</v>
      </c>
      <c r="AE1580" t="s">
        <v>524</v>
      </c>
      <c r="AF1580" t="s">
        <v>46</v>
      </c>
    </row>
    <row r="1581" spans="1:32" s="465" customFormat="1" ht="22.5" x14ac:dyDescent="0.25">
      <c r="A1581" s="40" t="s">
        <v>3278</v>
      </c>
      <c r="B1581" s="360" t="s">
        <v>3230</v>
      </c>
      <c r="C1581" s="40">
        <v>276</v>
      </c>
      <c r="D1581" s="40">
        <v>169</v>
      </c>
      <c r="E1581" s="40" t="s">
        <v>2964</v>
      </c>
      <c r="F1581" s="40" t="s">
        <v>894</v>
      </c>
      <c r="G1581" s="40" t="s">
        <v>895</v>
      </c>
      <c r="H1581" s="40" t="s">
        <v>3103</v>
      </c>
      <c r="I1581" s="40" t="str">
        <f>VLOOKUP(Таблица18[[#This Row],[Номер акта]],$AB$1:$AF$2504,3,FALSE)</f>
        <v>А-76/3</v>
      </c>
      <c r="J1581" s="40" t="s">
        <v>524</v>
      </c>
      <c r="K1581" s="40" t="s">
        <v>2939</v>
      </c>
      <c r="L1581" s="121">
        <v>28120</v>
      </c>
      <c r="M1581" s="121">
        <v>14900</v>
      </c>
      <c r="N1581" s="121">
        <v>13.5</v>
      </c>
      <c r="O1581" s="363">
        <v>13220</v>
      </c>
      <c r="P1581" s="363">
        <v>11435.3</v>
      </c>
      <c r="Q1581" s="121">
        <v>2026</v>
      </c>
      <c r="R1581" s="121">
        <v>183</v>
      </c>
      <c r="S1581" s="148">
        <v>46185</v>
      </c>
      <c r="T1581" s="363">
        <f>Таблица18[[#This Row],[Вес нетто]]-Таблица18[[#This Row],[Зачетный вес]]</f>
        <v>1784.7000000000007</v>
      </c>
      <c r="U1581" s="392">
        <f>Таблица18[[#This Row],[Отход]]/Таблица18[[#This Row],[Вес нетто]]</f>
        <v>0.13500000000000006</v>
      </c>
      <c r="V1581" s="121">
        <f>MONTH(Таблица18[[#This Row],[Дата акта]])</f>
        <v>6</v>
      </c>
      <c r="W1581" s="121">
        <f>DAY(Таблица18[[#This Row],[Дата акта]])</f>
        <v>12</v>
      </c>
      <c r="X1581" s="148">
        <f>DATE(1900,Таблица18[[#This Row],[Месяц]],Таблица18[[#This Row],[Число]])</f>
        <v>164</v>
      </c>
      <c r="Y1581" s="121"/>
      <c r="Z1581" s="121" t="str">
        <f>Таблица18[[#This Row],[Хар-ка]]</f>
        <v>Первый</v>
      </c>
      <c r="AA1581"/>
      <c r="AB1581">
        <v>183</v>
      </c>
      <c r="AC1581"/>
      <c r="AD1581" s="460" t="s">
        <v>3103</v>
      </c>
      <c r="AE1581" t="s">
        <v>524</v>
      </c>
      <c r="AF1581" t="s">
        <v>46</v>
      </c>
    </row>
    <row r="1582" spans="1:32" s="465" customFormat="1" ht="33.75" x14ac:dyDescent="0.25">
      <c r="A1582" s="40" t="s">
        <v>3540</v>
      </c>
      <c r="B1582" s="360" t="s">
        <v>3230</v>
      </c>
      <c r="C1582" s="40">
        <v>277</v>
      </c>
      <c r="D1582" s="40" t="s">
        <v>3541</v>
      </c>
      <c r="E1582" s="40" t="s">
        <v>2964</v>
      </c>
      <c r="F1582" s="40" t="s">
        <v>3234</v>
      </c>
      <c r="G1582" s="40" t="s">
        <v>3381</v>
      </c>
      <c r="H1582" s="40" t="s">
        <v>3103</v>
      </c>
      <c r="I1582" s="40" t="str">
        <f>VLOOKUP(Таблица18[[#This Row],[Номер акта]],$AB$1:$AF$2504,3,FALSE)</f>
        <v>А-76/3</v>
      </c>
      <c r="J1582" s="40" t="s">
        <v>524</v>
      </c>
      <c r="K1582" s="40" t="s">
        <v>2939</v>
      </c>
      <c r="L1582" s="121">
        <v>32670</v>
      </c>
      <c r="M1582" s="121">
        <v>15220</v>
      </c>
      <c r="N1582" s="121">
        <v>12.2</v>
      </c>
      <c r="O1582" s="363">
        <v>17450</v>
      </c>
      <c r="P1582" s="363">
        <v>14772</v>
      </c>
      <c r="Q1582" s="121">
        <v>2026</v>
      </c>
      <c r="R1582" s="121">
        <v>310</v>
      </c>
      <c r="S1582" s="148">
        <v>46186</v>
      </c>
      <c r="T1582" s="363">
        <f>Таблица18[[#This Row],[Вес нетто]]-Таблица18[[#This Row],[Зачетный вес]]</f>
        <v>2678</v>
      </c>
      <c r="U1582" s="392">
        <f>Таблица18[[#This Row],[Отход]]/Таблица18[[#This Row],[Вес нетто]]</f>
        <v>0.15346704871060171</v>
      </c>
      <c r="V1582" s="121">
        <f>MONTH(Таблица18[[#This Row],[Дата акта]])</f>
        <v>6</v>
      </c>
      <c r="W1582" s="121">
        <f>DAY(Таблица18[[#This Row],[Дата акта]])</f>
        <v>13</v>
      </c>
      <c r="X1582" s="148">
        <f>DATE(1900,Таблица18[[#This Row],[Месяц]],Таблица18[[#This Row],[Число]])</f>
        <v>165</v>
      </c>
      <c r="Y1582" s="121"/>
      <c r="Z1582" s="121" t="str">
        <f>Таблица18[[#This Row],[Хар-ка]]</f>
        <v>Первый</v>
      </c>
      <c r="AA1582"/>
      <c r="AB1582">
        <v>310</v>
      </c>
      <c r="AC1582"/>
      <c r="AD1582" s="460" t="s">
        <v>3103</v>
      </c>
      <c r="AE1582" t="s">
        <v>524</v>
      </c>
      <c r="AF1582" t="s">
        <v>46</v>
      </c>
    </row>
    <row r="1583" spans="1:32" s="465" customFormat="1" ht="33.75" x14ac:dyDescent="0.25">
      <c r="A1583" s="40" t="s">
        <v>3281</v>
      </c>
      <c r="B1583" s="360" t="s">
        <v>3230</v>
      </c>
      <c r="C1583" s="40">
        <v>278</v>
      </c>
      <c r="D1583" s="40">
        <v>170</v>
      </c>
      <c r="E1583" s="40" t="s">
        <v>2964</v>
      </c>
      <c r="F1583" s="40" t="s">
        <v>121</v>
      </c>
      <c r="G1583" s="40" t="s">
        <v>125</v>
      </c>
      <c r="H1583" s="40"/>
      <c r="I1583" s="40" t="str">
        <f>VLOOKUP(Таблица18[[#This Row],[Номер акта]],$AB$1:$AF$2504,3,FALSE)</f>
        <v>А-76/3</v>
      </c>
      <c r="J1583" s="40" t="s">
        <v>524</v>
      </c>
      <c r="K1583" s="40" t="s">
        <v>2939</v>
      </c>
      <c r="L1583" s="121">
        <v>27810</v>
      </c>
      <c r="M1583" s="121">
        <v>14820</v>
      </c>
      <c r="N1583" s="121">
        <v>14</v>
      </c>
      <c r="O1583" s="363">
        <v>12990</v>
      </c>
      <c r="P1583" s="363">
        <v>11171.4</v>
      </c>
      <c r="Q1583" s="121">
        <v>2026</v>
      </c>
      <c r="R1583" s="121">
        <v>184</v>
      </c>
      <c r="S1583" s="148">
        <v>46186</v>
      </c>
      <c r="T1583" s="363">
        <f>Таблица18[[#This Row],[Вес нетто]]-Таблица18[[#This Row],[Зачетный вес]]</f>
        <v>1818.6000000000004</v>
      </c>
      <c r="U1583" s="392">
        <f>Таблица18[[#This Row],[Отход]]/Таблица18[[#This Row],[Вес нетто]]</f>
        <v>0.14000000000000004</v>
      </c>
      <c r="V1583" s="121">
        <f>MONTH(Таблица18[[#This Row],[Дата акта]])</f>
        <v>6</v>
      </c>
      <c r="W1583" s="121">
        <f>DAY(Таблица18[[#This Row],[Дата акта]])</f>
        <v>13</v>
      </c>
      <c r="X1583" s="148">
        <f>DATE(1900,Таблица18[[#This Row],[Месяц]],Таблица18[[#This Row],[Число]])</f>
        <v>165</v>
      </c>
      <c r="Y1583" s="121"/>
      <c r="Z1583" s="121" t="str">
        <f>Таблица18[[#This Row],[Хар-ка]]</f>
        <v>Первый</v>
      </c>
      <c r="AA1583"/>
      <c r="AB1583">
        <v>184</v>
      </c>
      <c r="AC1583"/>
      <c r="AD1583" s="460" t="s">
        <v>3103</v>
      </c>
      <c r="AE1583" t="s">
        <v>524</v>
      </c>
      <c r="AF1583" t="s">
        <v>46</v>
      </c>
    </row>
    <row r="1584" spans="1:32" s="465" customFormat="1" ht="33.75" x14ac:dyDescent="0.25">
      <c r="A1584" s="40" t="s">
        <v>3283</v>
      </c>
      <c r="B1584" s="360" t="s">
        <v>3230</v>
      </c>
      <c r="C1584" s="40">
        <v>279</v>
      </c>
      <c r="D1584" s="40">
        <v>171</v>
      </c>
      <c r="E1584" s="40" t="s">
        <v>2964</v>
      </c>
      <c r="F1584" s="40" t="s">
        <v>737</v>
      </c>
      <c r="G1584" s="40" t="s">
        <v>738</v>
      </c>
      <c r="H1584" s="40"/>
      <c r="I1584" s="40" t="str">
        <f>VLOOKUP(Таблица18[[#This Row],[Номер акта]],$AB$1:$AF$2504,3,FALSE)</f>
        <v>А-76/3</v>
      </c>
      <c r="J1584" s="40" t="s">
        <v>524</v>
      </c>
      <c r="K1584" s="40" t="s">
        <v>2939</v>
      </c>
      <c r="L1584" s="121">
        <v>9030</v>
      </c>
      <c r="M1584" s="121">
        <v>4620</v>
      </c>
      <c r="N1584" s="121">
        <v>9.5</v>
      </c>
      <c r="O1584" s="363">
        <v>4410</v>
      </c>
      <c r="P1584" s="363">
        <v>3991</v>
      </c>
      <c r="Q1584" s="121">
        <v>2026</v>
      </c>
      <c r="R1584" s="121">
        <v>185</v>
      </c>
      <c r="S1584" s="148">
        <v>46186</v>
      </c>
      <c r="T1584" s="363">
        <f>Таблица18[[#This Row],[Вес нетто]]-Таблица18[[#This Row],[Зачетный вес]]</f>
        <v>419</v>
      </c>
      <c r="U1584" s="392">
        <f>Таблица18[[#This Row],[Отход]]/Таблица18[[#This Row],[Вес нетто]]</f>
        <v>9.5011337868480719E-2</v>
      </c>
      <c r="V1584" s="121">
        <f>MONTH(Таблица18[[#This Row],[Дата акта]])</f>
        <v>6</v>
      </c>
      <c r="W1584" s="121">
        <f>DAY(Таблица18[[#This Row],[Дата акта]])</f>
        <v>13</v>
      </c>
      <c r="X1584" s="148">
        <f>DATE(1900,Таблица18[[#This Row],[Месяц]],Таблица18[[#This Row],[Число]])</f>
        <v>165</v>
      </c>
      <c r="Y1584" s="121"/>
      <c r="Z1584" s="121" t="str">
        <f>Таблица18[[#This Row],[Хар-ка]]</f>
        <v>Первый</v>
      </c>
      <c r="AA1584"/>
      <c r="AB1584">
        <v>185</v>
      </c>
      <c r="AC1584"/>
      <c r="AD1584" s="460" t="s">
        <v>3103</v>
      </c>
      <c r="AE1584" t="s">
        <v>524</v>
      </c>
      <c r="AF1584" t="s">
        <v>46</v>
      </c>
    </row>
    <row r="1585" spans="1:32" s="465" customFormat="1" ht="22.5" x14ac:dyDescent="0.25">
      <c r="A1585" s="40" t="s">
        <v>3279</v>
      </c>
      <c r="B1585" s="360" t="s">
        <v>3230</v>
      </c>
      <c r="C1585" s="40">
        <v>280</v>
      </c>
      <c r="D1585" s="40">
        <v>172</v>
      </c>
      <c r="E1585" s="40" t="s">
        <v>2964</v>
      </c>
      <c r="F1585" s="40" t="s">
        <v>127</v>
      </c>
      <c r="G1585" s="40" t="s">
        <v>131</v>
      </c>
      <c r="H1585" s="40" t="s">
        <v>3103</v>
      </c>
      <c r="I1585" s="40" t="str">
        <f>VLOOKUP(Таблица18[[#This Row],[Номер акта]],$AB$1:$AF$2504,3,FALSE)</f>
        <v>А-76/3</v>
      </c>
      <c r="J1585" s="40" t="s">
        <v>524</v>
      </c>
      <c r="K1585" s="40" t="s">
        <v>2939</v>
      </c>
      <c r="L1585" s="121">
        <v>27540</v>
      </c>
      <c r="M1585" s="121">
        <v>14390</v>
      </c>
      <c r="N1585" s="121">
        <v>14.5</v>
      </c>
      <c r="O1585" s="363">
        <v>13150</v>
      </c>
      <c r="P1585" s="363">
        <v>11243.3</v>
      </c>
      <c r="Q1585" s="121">
        <v>2026</v>
      </c>
      <c r="R1585" s="121">
        <v>186</v>
      </c>
      <c r="S1585" s="148">
        <v>46186</v>
      </c>
      <c r="T1585" s="363">
        <f>Таблица18[[#This Row],[Вес нетто]]-Таблица18[[#This Row],[Зачетный вес]]</f>
        <v>1906.7000000000007</v>
      </c>
      <c r="U1585" s="392">
        <f>Таблица18[[#This Row],[Отход]]/Таблица18[[#This Row],[Вес нетто]]</f>
        <v>0.14499619771863123</v>
      </c>
      <c r="V1585" s="121">
        <f>MONTH(Таблица18[[#This Row],[Дата акта]])</f>
        <v>6</v>
      </c>
      <c r="W1585" s="121">
        <f>DAY(Таблица18[[#This Row],[Дата акта]])</f>
        <v>13</v>
      </c>
      <c r="X1585" s="148">
        <f>DATE(1900,Таблица18[[#This Row],[Месяц]],Таблица18[[#This Row],[Число]])</f>
        <v>165</v>
      </c>
      <c r="Y1585" s="121"/>
      <c r="Z1585" s="121" t="str">
        <f>Таблица18[[#This Row],[Хар-ка]]</f>
        <v>Первый</v>
      </c>
      <c r="AA1585"/>
      <c r="AB1585">
        <v>186</v>
      </c>
      <c r="AC1585"/>
      <c r="AD1585" s="460" t="s">
        <v>3103</v>
      </c>
      <c r="AE1585" t="s">
        <v>524</v>
      </c>
      <c r="AF1585" t="s">
        <v>46</v>
      </c>
    </row>
    <row r="1586" spans="1:32" s="465" customFormat="1" ht="33.75" x14ac:dyDescent="0.25">
      <c r="A1586" s="40" t="s">
        <v>3280</v>
      </c>
      <c r="B1586" s="360" t="s">
        <v>3230</v>
      </c>
      <c r="C1586" s="40">
        <v>281</v>
      </c>
      <c r="D1586" s="40">
        <v>173</v>
      </c>
      <c r="E1586" s="40" t="s">
        <v>2964</v>
      </c>
      <c r="F1586" s="40" t="s">
        <v>1312</v>
      </c>
      <c r="G1586" s="40" t="s">
        <v>320</v>
      </c>
      <c r="H1586" s="40" t="s">
        <v>3103</v>
      </c>
      <c r="I1586" s="40" t="str">
        <f>VLOOKUP(Таблица18[[#This Row],[Номер акта]],$AB$1:$AF$2504,3,FALSE)</f>
        <v>А-76/3</v>
      </c>
      <c r="J1586" s="40" t="s">
        <v>524</v>
      </c>
      <c r="K1586" s="40" t="s">
        <v>2939</v>
      </c>
      <c r="L1586" s="121">
        <v>27720</v>
      </c>
      <c r="M1586" s="121">
        <v>14420</v>
      </c>
      <c r="N1586" s="121">
        <v>11.5</v>
      </c>
      <c r="O1586" s="363">
        <v>13300</v>
      </c>
      <c r="P1586" s="363">
        <v>11770.5</v>
      </c>
      <c r="Q1586" s="121">
        <v>2026</v>
      </c>
      <c r="R1586" s="121">
        <v>187</v>
      </c>
      <c r="S1586" s="148">
        <v>46186</v>
      </c>
      <c r="T1586" s="363">
        <f>Таблица18[[#This Row],[Вес нетто]]-Таблица18[[#This Row],[Зачетный вес]]</f>
        <v>1529.5</v>
      </c>
      <c r="U1586" s="392">
        <f>Таблица18[[#This Row],[Отход]]/Таблица18[[#This Row],[Вес нетто]]</f>
        <v>0.115</v>
      </c>
      <c r="V1586" s="121">
        <f>MONTH(Таблица18[[#This Row],[Дата акта]])</f>
        <v>6</v>
      </c>
      <c r="W1586" s="121">
        <f>DAY(Таблица18[[#This Row],[Дата акта]])</f>
        <v>13</v>
      </c>
      <c r="X1586" s="148">
        <f>DATE(1900,Таблица18[[#This Row],[Месяц]],Таблица18[[#This Row],[Число]])</f>
        <v>165</v>
      </c>
      <c r="Y1586" s="121"/>
      <c r="Z1586" s="121" t="str">
        <f>Таблица18[[#This Row],[Хар-ка]]</f>
        <v>Первый</v>
      </c>
      <c r="AA1586"/>
      <c r="AB1586">
        <v>187</v>
      </c>
      <c r="AC1586"/>
      <c r="AD1586" s="460" t="s">
        <v>3103</v>
      </c>
      <c r="AE1586" t="s">
        <v>524</v>
      </c>
      <c r="AF1586" t="s">
        <v>46</v>
      </c>
    </row>
    <row r="1587" spans="1:32" s="465" customFormat="1" ht="22.5" x14ac:dyDescent="0.25">
      <c r="A1587" s="40" t="s">
        <v>3282</v>
      </c>
      <c r="B1587" s="360" t="s">
        <v>3230</v>
      </c>
      <c r="C1587" s="40">
        <v>282</v>
      </c>
      <c r="D1587" s="40">
        <v>174</v>
      </c>
      <c r="E1587" s="40" t="s">
        <v>2964</v>
      </c>
      <c r="F1587" s="40" t="s">
        <v>894</v>
      </c>
      <c r="G1587" s="40" t="s">
        <v>895</v>
      </c>
      <c r="H1587" s="40" t="s">
        <v>3103</v>
      </c>
      <c r="I1587" s="40" t="str">
        <f>VLOOKUP(Таблица18[[#This Row],[Номер акта]],$AB$1:$AF$2504,3,FALSE)</f>
        <v>А-76/3</v>
      </c>
      <c r="J1587" s="40" t="s">
        <v>524</v>
      </c>
      <c r="K1587" s="40" t="s">
        <v>2939</v>
      </c>
      <c r="L1587" s="121">
        <v>28240</v>
      </c>
      <c r="M1587" s="121">
        <v>14880</v>
      </c>
      <c r="N1587" s="121">
        <v>13.5</v>
      </c>
      <c r="O1587" s="363">
        <v>13360</v>
      </c>
      <c r="P1587" s="363">
        <v>11556.4</v>
      </c>
      <c r="Q1587" s="121">
        <v>2026</v>
      </c>
      <c r="R1587" s="121">
        <v>188</v>
      </c>
      <c r="S1587" s="148">
        <v>46186</v>
      </c>
      <c r="T1587" s="363">
        <f>Таблица18[[#This Row],[Вес нетто]]-Таблица18[[#This Row],[Зачетный вес]]</f>
        <v>1803.6000000000004</v>
      </c>
      <c r="U1587" s="392">
        <f>Таблица18[[#This Row],[Отход]]/Таблица18[[#This Row],[Вес нетто]]</f>
        <v>0.13500000000000004</v>
      </c>
      <c r="V1587" s="121">
        <f>MONTH(Таблица18[[#This Row],[Дата акта]])</f>
        <v>6</v>
      </c>
      <c r="W1587" s="121">
        <f>DAY(Таблица18[[#This Row],[Дата акта]])</f>
        <v>13</v>
      </c>
      <c r="X1587" s="148">
        <f>DATE(1900,Таблица18[[#This Row],[Месяц]],Таблица18[[#This Row],[Число]])</f>
        <v>165</v>
      </c>
      <c r="Y1587" s="121"/>
      <c r="Z1587" s="121" t="str">
        <f>Таблица18[[#This Row],[Хар-ка]]</f>
        <v>Первый</v>
      </c>
      <c r="AA1587"/>
      <c r="AB1587">
        <v>188</v>
      </c>
      <c r="AC1587"/>
      <c r="AD1587" s="460" t="s">
        <v>3103</v>
      </c>
      <c r="AE1587" t="s">
        <v>524</v>
      </c>
      <c r="AF1587" t="s">
        <v>46</v>
      </c>
    </row>
    <row r="1588" spans="1:32" s="465" customFormat="1" ht="33.75" x14ac:dyDescent="0.25">
      <c r="A1588" s="40" t="s">
        <v>3284</v>
      </c>
      <c r="B1588" s="360" t="s">
        <v>2940</v>
      </c>
      <c r="C1588" s="40">
        <v>284</v>
      </c>
      <c r="D1588" s="40">
        <v>175</v>
      </c>
      <c r="E1588" s="40" t="s">
        <v>2964</v>
      </c>
      <c r="F1588" s="40" t="s">
        <v>3195</v>
      </c>
      <c r="G1588" s="40" t="s">
        <v>3196</v>
      </c>
      <c r="H1588" s="40" t="s">
        <v>3103</v>
      </c>
      <c r="I1588" s="40" t="str">
        <f>VLOOKUP(Таблица18[[#This Row],[Номер акта]],$AB$1:$AF$2504,3,FALSE)</f>
        <v>А-76/3</v>
      </c>
      <c r="J1588" s="40" t="s">
        <v>524</v>
      </c>
      <c r="K1588" s="40" t="s">
        <v>2939</v>
      </c>
      <c r="L1588" s="121">
        <v>27390</v>
      </c>
      <c r="M1588" s="121">
        <v>14300</v>
      </c>
      <c r="N1588" s="121">
        <v>14.5</v>
      </c>
      <c r="O1588" s="363">
        <v>13090</v>
      </c>
      <c r="P1588" s="363">
        <v>11192</v>
      </c>
      <c r="Q1588" s="121">
        <v>2026</v>
      </c>
      <c r="R1588" s="121">
        <v>189</v>
      </c>
      <c r="S1588" s="148">
        <v>46186</v>
      </c>
      <c r="T1588" s="363">
        <f>Таблица18[[#This Row],[Вес нетто]]-Таблица18[[#This Row],[Зачетный вес]]</f>
        <v>1898</v>
      </c>
      <c r="U1588" s="392">
        <f>Таблица18[[#This Row],[Отход]]/Таблица18[[#This Row],[Вес нетто]]</f>
        <v>0.14499618029029793</v>
      </c>
      <c r="V1588" s="121">
        <f>MONTH(Таблица18[[#This Row],[Дата акта]])</f>
        <v>6</v>
      </c>
      <c r="W1588" s="121">
        <f>DAY(Таблица18[[#This Row],[Дата акта]])</f>
        <v>13</v>
      </c>
      <c r="X1588" s="148">
        <f>DATE(1900,Таблица18[[#This Row],[Месяц]],Таблица18[[#This Row],[Число]])</f>
        <v>165</v>
      </c>
      <c r="Y1588" s="121"/>
      <c r="Z1588" s="121" t="str">
        <f>Таблица18[[#This Row],[Хар-ка]]</f>
        <v>Высший</v>
      </c>
      <c r="AA1588"/>
      <c r="AB1588">
        <v>189</v>
      </c>
      <c r="AC1588"/>
      <c r="AD1588" s="460" t="s">
        <v>3103</v>
      </c>
      <c r="AE1588" t="s">
        <v>524</v>
      </c>
      <c r="AF1588" t="s">
        <v>46</v>
      </c>
    </row>
    <row r="1589" spans="1:32" s="465" customFormat="1" ht="33.75" x14ac:dyDescent="0.25">
      <c r="A1589" s="40" t="s">
        <v>3542</v>
      </c>
      <c r="B1589" s="360" t="s">
        <v>2940</v>
      </c>
      <c r="C1589" s="40">
        <v>285</v>
      </c>
      <c r="D1589" s="40" t="s">
        <v>3543</v>
      </c>
      <c r="E1589" s="40" t="s">
        <v>2964</v>
      </c>
      <c r="F1589" s="40" t="s">
        <v>3329</v>
      </c>
      <c r="G1589" s="40" t="s">
        <v>3384</v>
      </c>
      <c r="H1589" s="40" t="s">
        <v>3103</v>
      </c>
      <c r="I1589" s="40" t="str">
        <f>VLOOKUP(Таблица18[[#This Row],[Номер акта]],$AB$1:$AF$2504,3,FALSE)</f>
        <v>А-76/3</v>
      </c>
      <c r="J1589" s="40" t="s">
        <v>524</v>
      </c>
      <c r="K1589" s="40" t="s">
        <v>2939</v>
      </c>
      <c r="L1589" s="121">
        <v>34640</v>
      </c>
      <c r="M1589" s="121">
        <v>16980</v>
      </c>
      <c r="N1589" s="121">
        <v>5</v>
      </c>
      <c r="O1589" s="363">
        <v>17660</v>
      </c>
      <c r="P1589" s="363">
        <v>16777</v>
      </c>
      <c r="Q1589" s="121">
        <v>2026</v>
      </c>
      <c r="R1589" s="121">
        <v>340</v>
      </c>
      <c r="S1589" s="148">
        <v>46186</v>
      </c>
      <c r="T1589" s="363">
        <f>Таблица18[[#This Row],[Вес нетто]]-Таблица18[[#This Row],[Зачетный вес]]</f>
        <v>883</v>
      </c>
      <c r="U1589" s="392">
        <f>Таблица18[[#This Row],[Отход]]/Таблица18[[#This Row],[Вес нетто]]</f>
        <v>0.05</v>
      </c>
      <c r="V1589" s="121">
        <f>MONTH(Таблица18[[#This Row],[Дата акта]])</f>
        <v>6</v>
      </c>
      <c r="W1589" s="121">
        <f>DAY(Таблица18[[#This Row],[Дата акта]])</f>
        <v>13</v>
      </c>
      <c r="X1589" s="148">
        <f>DATE(1900,Таблица18[[#This Row],[Месяц]],Таблица18[[#This Row],[Число]])</f>
        <v>165</v>
      </c>
      <c r="Y1589" s="121"/>
      <c r="Z1589" s="121" t="str">
        <f>Таблица18[[#This Row],[Хар-ка]]</f>
        <v>Высший</v>
      </c>
      <c r="AA1589"/>
      <c r="AB1589">
        <v>340</v>
      </c>
      <c r="AC1589"/>
      <c r="AD1589" s="460" t="s">
        <v>3103</v>
      </c>
      <c r="AE1589" t="s">
        <v>524</v>
      </c>
      <c r="AF1589" t="s">
        <v>46</v>
      </c>
    </row>
    <row r="1590" spans="1:32" s="465" customFormat="1" ht="33.75" x14ac:dyDescent="0.25">
      <c r="A1590" s="40" t="s">
        <v>3285</v>
      </c>
      <c r="B1590" s="360" t="s">
        <v>2940</v>
      </c>
      <c r="C1590" s="40">
        <v>287</v>
      </c>
      <c r="D1590" s="40">
        <v>176</v>
      </c>
      <c r="E1590" s="40" t="s">
        <v>2964</v>
      </c>
      <c r="F1590" s="40" t="s">
        <v>239</v>
      </c>
      <c r="G1590" s="40" t="s">
        <v>243</v>
      </c>
      <c r="H1590" s="40" t="s">
        <v>3103</v>
      </c>
      <c r="I1590" s="40" t="str">
        <f>VLOOKUP(Таблица18[[#This Row],[Номер акта]],$AB$1:$AF$2504,3,FALSE)</f>
        <v>А-76/3</v>
      </c>
      <c r="J1590" s="40" t="s">
        <v>524</v>
      </c>
      <c r="K1590" s="40" t="s">
        <v>2939</v>
      </c>
      <c r="L1590" s="121">
        <v>27670</v>
      </c>
      <c r="M1590" s="121">
        <v>14480</v>
      </c>
      <c r="N1590" s="121">
        <v>17.5</v>
      </c>
      <c r="O1590" s="363">
        <v>13190</v>
      </c>
      <c r="P1590" s="363">
        <v>10881.8</v>
      </c>
      <c r="Q1590" s="121">
        <v>2026</v>
      </c>
      <c r="R1590" s="121">
        <v>190</v>
      </c>
      <c r="S1590" s="148">
        <v>46186</v>
      </c>
      <c r="T1590" s="363">
        <f>Таблица18[[#This Row],[Вес нетто]]-Таблица18[[#This Row],[Зачетный вес]]</f>
        <v>2308.2000000000007</v>
      </c>
      <c r="U1590" s="392">
        <f>Таблица18[[#This Row],[Отход]]/Таблица18[[#This Row],[Вес нетто]]</f>
        <v>0.17499620924943143</v>
      </c>
      <c r="V1590" s="121">
        <f>MONTH(Таблица18[[#This Row],[Дата акта]])</f>
        <v>6</v>
      </c>
      <c r="W1590" s="121">
        <f>DAY(Таблица18[[#This Row],[Дата акта]])</f>
        <v>13</v>
      </c>
      <c r="X1590" s="148">
        <f>DATE(1900,Таблица18[[#This Row],[Месяц]],Таблица18[[#This Row],[Число]])</f>
        <v>165</v>
      </c>
      <c r="Y1590" s="121"/>
      <c r="Z1590" s="121" t="str">
        <f>Таблица18[[#This Row],[Хар-ка]]</f>
        <v>Высший</v>
      </c>
      <c r="AA1590"/>
      <c r="AB1590">
        <v>190</v>
      </c>
      <c r="AC1590"/>
      <c r="AD1590" s="460" t="s">
        <v>3103</v>
      </c>
      <c r="AE1590" t="s">
        <v>524</v>
      </c>
      <c r="AF1590" t="s">
        <v>46</v>
      </c>
    </row>
    <row r="1591" spans="1:32" s="465" customFormat="1" ht="22.5" x14ac:dyDescent="0.25">
      <c r="A1591" s="40" t="s">
        <v>3286</v>
      </c>
      <c r="B1591" s="360" t="s">
        <v>2940</v>
      </c>
      <c r="C1591" s="40">
        <v>288</v>
      </c>
      <c r="D1591" s="40">
        <v>177</v>
      </c>
      <c r="E1591" s="40" t="s">
        <v>2964</v>
      </c>
      <c r="F1591" s="40" t="s">
        <v>212</v>
      </c>
      <c r="G1591" s="40" t="s">
        <v>2965</v>
      </c>
      <c r="H1591" s="40" t="s">
        <v>3103</v>
      </c>
      <c r="I1591" s="40" t="str">
        <f>VLOOKUP(Таблица18[[#This Row],[Номер акта]],$AB$1:$AF$2504,3,FALSE)</f>
        <v>А-76/3</v>
      </c>
      <c r="J1591" s="40" t="s">
        <v>524</v>
      </c>
      <c r="K1591" s="40" t="s">
        <v>2939</v>
      </c>
      <c r="L1591" s="121">
        <v>28970</v>
      </c>
      <c r="M1591" s="121">
        <v>15730</v>
      </c>
      <c r="N1591" s="121">
        <v>11.5</v>
      </c>
      <c r="O1591" s="363">
        <v>13240</v>
      </c>
      <c r="P1591" s="363">
        <v>11717.4</v>
      </c>
      <c r="Q1591" s="121">
        <v>2026</v>
      </c>
      <c r="R1591" s="121">
        <v>192</v>
      </c>
      <c r="S1591" s="148">
        <v>46186</v>
      </c>
      <c r="T1591" s="363">
        <f>Таблица18[[#This Row],[Вес нетто]]-Таблица18[[#This Row],[Зачетный вес]]</f>
        <v>1522.6000000000004</v>
      </c>
      <c r="U1591" s="392">
        <f>Таблица18[[#This Row],[Отход]]/Таблица18[[#This Row],[Вес нетто]]</f>
        <v>0.11500000000000003</v>
      </c>
      <c r="V1591" s="121">
        <f>MONTH(Таблица18[[#This Row],[Дата акта]])</f>
        <v>6</v>
      </c>
      <c r="W1591" s="121">
        <f>DAY(Таблица18[[#This Row],[Дата акта]])</f>
        <v>13</v>
      </c>
      <c r="X1591" s="148">
        <f>DATE(1900,Таблица18[[#This Row],[Месяц]],Таблица18[[#This Row],[Число]])</f>
        <v>165</v>
      </c>
      <c r="Y1591" s="121"/>
      <c r="Z1591" s="121" t="str">
        <f>Таблица18[[#This Row],[Хар-ка]]</f>
        <v>Высший</v>
      </c>
      <c r="AA1591"/>
      <c r="AB1591">
        <v>192</v>
      </c>
      <c r="AC1591"/>
      <c r="AD1591" s="460" t="s">
        <v>3103</v>
      </c>
      <c r="AE1591" t="s">
        <v>524</v>
      </c>
      <c r="AF1591" t="s">
        <v>46</v>
      </c>
    </row>
    <row r="1592" spans="1:32" s="465" customFormat="1" ht="22.5" x14ac:dyDescent="0.25">
      <c r="A1592" s="40" t="s">
        <v>3287</v>
      </c>
      <c r="B1592" s="360" t="s">
        <v>2940</v>
      </c>
      <c r="C1592" s="40">
        <v>289</v>
      </c>
      <c r="D1592" s="40">
        <v>178</v>
      </c>
      <c r="E1592" s="40" t="s">
        <v>2964</v>
      </c>
      <c r="F1592" s="40" t="s">
        <v>1792</v>
      </c>
      <c r="G1592" s="40" t="s">
        <v>80</v>
      </c>
      <c r="H1592" s="40" t="s">
        <v>3103</v>
      </c>
      <c r="I1592" s="40" t="str">
        <f>VLOOKUP(Таблица18[[#This Row],[Номер акта]],$AB$1:$AF$2504,3,FALSE)</f>
        <v>А-76/3</v>
      </c>
      <c r="J1592" s="40" t="s">
        <v>524</v>
      </c>
      <c r="K1592" s="40" t="s">
        <v>2939</v>
      </c>
      <c r="L1592" s="121">
        <v>21060</v>
      </c>
      <c r="M1592" s="121">
        <v>14370</v>
      </c>
      <c r="N1592" s="121">
        <v>11.5</v>
      </c>
      <c r="O1592" s="363">
        <v>6690</v>
      </c>
      <c r="P1592" s="363">
        <v>5920.6</v>
      </c>
      <c r="Q1592" s="121">
        <v>2026</v>
      </c>
      <c r="R1592" s="121">
        <v>191</v>
      </c>
      <c r="S1592" s="148">
        <v>46186</v>
      </c>
      <c r="T1592" s="363">
        <f>Таблица18[[#This Row],[Вес нетто]]-Таблица18[[#This Row],[Зачетный вес]]</f>
        <v>769.39999999999964</v>
      </c>
      <c r="U1592" s="392">
        <f>Таблица18[[#This Row],[Отход]]/Таблица18[[#This Row],[Вес нетто]]</f>
        <v>0.11500747384155451</v>
      </c>
      <c r="V1592" s="121">
        <f>MONTH(Таблица18[[#This Row],[Дата акта]])</f>
        <v>6</v>
      </c>
      <c r="W1592" s="121">
        <f>DAY(Таблица18[[#This Row],[Дата акта]])</f>
        <v>13</v>
      </c>
      <c r="X1592" s="148">
        <f>DATE(1900,Таблица18[[#This Row],[Месяц]],Таблица18[[#This Row],[Число]])</f>
        <v>165</v>
      </c>
      <c r="Y1592" s="121"/>
      <c r="Z1592" s="121" t="str">
        <f>Таблица18[[#This Row],[Хар-ка]]</f>
        <v>Высший</v>
      </c>
      <c r="AA1592"/>
      <c r="AB1592">
        <v>191</v>
      </c>
      <c r="AC1592"/>
      <c r="AD1592" s="460" t="s">
        <v>3103</v>
      </c>
      <c r="AE1592" t="s">
        <v>524</v>
      </c>
      <c r="AF1592" t="s">
        <v>46</v>
      </c>
    </row>
    <row r="1593" spans="1:32" s="465" customFormat="1" ht="33.75" x14ac:dyDescent="0.25">
      <c r="A1593" s="40" t="s">
        <v>3288</v>
      </c>
      <c r="B1593" s="360" t="s">
        <v>2940</v>
      </c>
      <c r="C1593" s="40">
        <v>291</v>
      </c>
      <c r="D1593" s="40">
        <v>179</v>
      </c>
      <c r="E1593" s="40" t="s">
        <v>2964</v>
      </c>
      <c r="F1593" s="40" t="s">
        <v>762</v>
      </c>
      <c r="G1593" s="40" t="s">
        <v>763</v>
      </c>
      <c r="H1593" s="40" t="s">
        <v>3103</v>
      </c>
      <c r="I1593" s="40" t="str">
        <f>VLOOKUP(Таблица18[[#This Row],[Номер акта]],$AB$1:$AF$2504,3,FALSE)</f>
        <v>А-76/3</v>
      </c>
      <c r="J1593" s="40" t="s">
        <v>524</v>
      </c>
      <c r="K1593" s="40" t="s">
        <v>2939</v>
      </c>
      <c r="L1593" s="121">
        <v>9120</v>
      </c>
      <c r="M1593" s="121">
        <v>4650</v>
      </c>
      <c r="N1593" s="121">
        <v>15.5</v>
      </c>
      <c r="O1593" s="363">
        <v>4470</v>
      </c>
      <c r="P1593" s="363">
        <v>3777.2</v>
      </c>
      <c r="Q1593" s="121">
        <v>2026</v>
      </c>
      <c r="R1593" s="121">
        <v>193</v>
      </c>
      <c r="S1593" s="148">
        <v>46186</v>
      </c>
      <c r="T1593" s="363">
        <f>Таблица18[[#This Row],[Вес нетто]]-Таблица18[[#This Row],[Зачетный вес]]</f>
        <v>692.80000000000018</v>
      </c>
      <c r="U1593" s="392">
        <f>Таблица18[[#This Row],[Отход]]/Таблица18[[#This Row],[Вес нетто]]</f>
        <v>0.15498881431767342</v>
      </c>
      <c r="V1593" s="121">
        <f>MONTH(Таблица18[[#This Row],[Дата акта]])</f>
        <v>6</v>
      </c>
      <c r="W1593" s="121">
        <f>DAY(Таблица18[[#This Row],[Дата акта]])</f>
        <v>13</v>
      </c>
      <c r="X1593" s="148">
        <f>DATE(1900,Таблица18[[#This Row],[Месяц]],Таблица18[[#This Row],[Число]])</f>
        <v>165</v>
      </c>
      <c r="Y1593" s="121"/>
      <c r="Z1593" s="121" t="str">
        <f>Таблица18[[#This Row],[Хар-ка]]</f>
        <v>Высший</v>
      </c>
      <c r="AA1593"/>
      <c r="AB1593">
        <v>193</v>
      </c>
      <c r="AC1593"/>
      <c r="AD1593" s="460" t="s">
        <v>3103</v>
      </c>
      <c r="AE1593" t="s">
        <v>524</v>
      </c>
      <c r="AF1593" t="s">
        <v>46</v>
      </c>
    </row>
    <row r="1594" spans="1:32" s="465" customFormat="1" ht="33.75" x14ac:dyDescent="0.25">
      <c r="A1594" s="40" t="s">
        <v>3544</v>
      </c>
      <c r="B1594" s="360" t="s">
        <v>2940</v>
      </c>
      <c r="C1594" s="40">
        <v>292</v>
      </c>
      <c r="D1594" s="40" t="s">
        <v>3545</v>
      </c>
      <c r="E1594" s="40" t="s">
        <v>2964</v>
      </c>
      <c r="F1594" s="40" t="s">
        <v>3330</v>
      </c>
      <c r="G1594" s="40" t="s">
        <v>3546</v>
      </c>
      <c r="H1594" s="40" t="s">
        <v>3103</v>
      </c>
      <c r="I1594" s="40" t="str">
        <f>VLOOKUP(Таблица18[[#This Row],[Номер акта]],$AB$1:$AF$2504,3,FALSE)</f>
        <v>А-76/3</v>
      </c>
      <c r="J1594" s="40" t="s">
        <v>524</v>
      </c>
      <c r="K1594" s="40" t="s">
        <v>2939</v>
      </c>
      <c r="L1594" s="121">
        <v>34230</v>
      </c>
      <c r="M1594" s="121">
        <v>14350</v>
      </c>
      <c r="N1594" s="121">
        <v>6</v>
      </c>
      <c r="O1594" s="363">
        <v>19880</v>
      </c>
      <c r="P1594" s="363">
        <v>18688</v>
      </c>
      <c r="Q1594" s="121">
        <v>2026</v>
      </c>
      <c r="R1594" s="121">
        <v>341</v>
      </c>
      <c r="S1594" s="148">
        <v>46186</v>
      </c>
      <c r="T1594" s="363">
        <f>Таблица18[[#This Row],[Вес нетто]]-Таблица18[[#This Row],[Зачетный вес]]</f>
        <v>1192</v>
      </c>
      <c r="U1594" s="392">
        <f>Таблица18[[#This Row],[Отход]]/Таблица18[[#This Row],[Вес нетто]]</f>
        <v>5.9959758551307848E-2</v>
      </c>
      <c r="V1594" s="121">
        <f>MONTH(Таблица18[[#This Row],[Дата акта]])</f>
        <v>6</v>
      </c>
      <c r="W1594" s="121">
        <f>DAY(Таблица18[[#This Row],[Дата акта]])</f>
        <v>13</v>
      </c>
      <c r="X1594" s="148">
        <f>DATE(1900,Таблица18[[#This Row],[Месяц]],Таблица18[[#This Row],[Число]])</f>
        <v>165</v>
      </c>
      <c r="Y1594" s="121"/>
      <c r="Z1594" s="121" t="str">
        <f>Таблица18[[#This Row],[Хар-ка]]</f>
        <v>Высший</v>
      </c>
      <c r="AA1594"/>
      <c r="AB1594">
        <v>341</v>
      </c>
      <c r="AC1594"/>
      <c r="AD1594" s="460" t="s">
        <v>3103</v>
      </c>
      <c r="AE1594" t="s">
        <v>524</v>
      </c>
      <c r="AF1594" t="s">
        <v>46</v>
      </c>
    </row>
    <row r="1595" spans="1:32" s="465" customFormat="1" ht="33.75" x14ac:dyDescent="0.25">
      <c r="A1595" s="40" t="s">
        <v>3289</v>
      </c>
      <c r="B1595" s="360" t="s">
        <v>2940</v>
      </c>
      <c r="C1595" s="40">
        <v>294</v>
      </c>
      <c r="D1595" s="40">
        <v>180</v>
      </c>
      <c r="E1595" s="40" t="s">
        <v>2964</v>
      </c>
      <c r="F1595" s="40" t="s">
        <v>239</v>
      </c>
      <c r="G1595" s="40" t="s">
        <v>243</v>
      </c>
      <c r="H1595" s="40" t="s">
        <v>3103</v>
      </c>
      <c r="I1595" s="40" t="str">
        <f>VLOOKUP(Таблица18[[#This Row],[Номер акта]],$AB$1:$AF$2504,3,FALSE)</f>
        <v>А-76/3</v>
      </c>
      <c r="J1595" s="40" t="s">
        <v>524</v>
      </c>
      <c r="K1595" s="40" t="s">
        <v>2939</v>
      </c>
      <c r="L1595" s="121">
        <v>27880</v>
      </c>
      <c r="M1595" s="121">
        <v>14470</v>
      </c>
      <c r="N1595" s="121">
        <v>12.5</v>
      </c>
      <c r="O1595" s="363">
        <v>13410</v>
      </c>
      <c r="P1595" s="363">
        <v>11733.8</v>
      </c>
      <c r="Q1595" s="121">
        <v>2026</v>
      </c>
      <c r="R1595" s="121">
        <v>194</v>
      </c>
      <c r="S1595" s="148">
        <v>46186</v>
      </c>
      <c r="T1595" s="363">
        <f>Таблица18[[#This Row],[Вес нетто]]-Таблица18[[#This Row],[Зачетный вес]]</f>
        <v>1676.2000000000007</v>
      </c>
      <c r="U1595" s="392">
        <f>Таблица18[[#This Row],[Отход]]/Таблица18[[#This Row],[Вес нетто]]</f>
        <v>0.12499627143922451</v>
      </c>
      <c r="V1595" s="121">
        <f>MONTH(Таблица18[[#This Row],[Дата акта]])</f>
        <v>6</v>
      </c>
      <c r="W1595" s="121">
        <f>DAY(Таблица18[[#This Row],[Дата акта]])</f>
        <v>13</v>
      </c>
      <c r="X1595" s="148">
        <f>DATE(1900,Таблица18[[#This Row],[Месяц]],Таблица18[[#This Row],[Число]])</f>
        <v>165</v>
      </c>
      <c r="Y1595" s="121"/>
      <c r="Z1595" s="121" t="str">
        <f>Таблица18[[#This Row],[Хар-ка]]</f>
        <v>Высший</v>
      </c>
      <c r="AA1595"/>
      <c r="AB1595">
        <v>194</v>
      </c>
      <c r="AC1595"/>
      <c r="AD1595" s="460" t="s">
        <v>3103</v>
      </c>
      <c r="AE1595" t="s">
        <v>524</v>
      </c>
      <c r="AF1595" t="s">
        <v>46</v>
      </c>
    </row>
    <row r="1596" spans="1:32" s="465" customFormat="1" ht="33.75" x14ac:dyDescent="0.25">
      <c r="A1596" s="40" t="s">
        <v>3290</v>
      </c>
      <c r="B1596" s="360" t="s">
        <v>2940</v>
      </c>
      <c r="C1596" s="40">
        <v>296</v>
      </c>
      <c r="D1596" s="40">
        <v>181</v>
      </c>
      <c r="E1596" s="40" t="s">
        <v>2964</v>
      </c>
      <c r="F1596" s="40" t="s">
        <v>3195</v>
      </c>
      <c r="G1596" s="40" t="s">
        <v>3196</v>
      </c>
      <c r="H1596" s="40" t="s">
        <v>3103</v>
      </c>
      <c r="I1596" s="40" t="str">
        <f>VLOOKUP(Таблица18[[#This Row],[Номер акта]],$AB$1:$AF$2504,3,FALSE)</f>
        <v>А-76/3</v>
      </c>
      <c r="J1596" s="40" t="s">
        <v>524</v>
      </c>
      <c r="K1596" s="40" t="s">
        <v>2939</v>
      </c>
      <c r="L1596" s="121">
        <v>27550</v>
      </c>
      <c r="M1596" s="121">
        <v>14280</v>
      </c>
      <c r="N1596" s="121">
        <v>9.5</v>
      </c>
      <c r="O1596" s="363">
        <v>13270</v>
      </c>
      <c r="P1596" s="363">
        <v>12009.4</v>
      </c>
      <c r="Q1596" s="121">
        <v>2026</v>
      </c>
      <c r="R1596" s="121">
        <v>195</v>
      </c>
      <c r="S1596" s="148">
        <v>46186</v>
      </c>
      <c r="T1596" s="363">
        <f>Таблица18[[#This Row],[Вес нетто]]-Таблица18[[#This Row],[Зачетный вес]]</f>
        <v>1260.6000000000004</v>
      </c>
      <c r="U1596" s="392">
        <f>Таблица18[[#This Row],[Отход]]/Таблица18[[#This Row],[Вес нетто]]</f>
        <v>9.4996232102486838E-2</v>
      </c>
      <c r="V1596" s="121">
        <f>MONTH(Таблица18[[#This Row],[Дата акта]])</f>
        <v>6</v>
      </c>
      <c r="W1596" s="121">
        <f>DAY(Таблица18[[#This Row],[Дата акта]])</f>
        <v>13</v>
      </c>
      <c r="X1596" s="148">
        <f>DATE(1900,Таблица18[[#This Row],[Месяц]],Таблица18[[#This Row],[Число]])</f>
        <v>165</v>
      </c>
      <c r="Y1596" s="121"/>
      <c r="Z1596" s="121" t="str">
        <f>Таблица18[[#This Row],[Хар-ка]]</f>
        <v>Высший</v>
      </c>
      <c r="AA1596"/>
      <c r="AB1596">
        <v>195</v>
      </c>
      <c r="AC1596"/>
      <c r="AD1596" s="460" t="s">
        <v>3103</v>
      </c>
      <c r="AE1596" t="s">
        <v>524</v>
      </c>
      <c r="AF1596" t="s">
        <v>46</v>
      </c>
    </row>
    <row r="1597" spans="1:32" s="465" customFormat="1" ht="22.5" x14ac:dyDescent="0.25">
      <c r="A1597" s="40" t="s">
        <v>3291</v>
      </c>
      <c r="B1597" s="360" t="s">
        <v>2940</v>
      </c>
      <c r="C1597" s="40">
        <v>297</v>
      </c>
      <c r="D1597" s="40">
        <v>182</v>
      </c>
      <c r="E1597" s="40" t="s">
        <v>2964</v>
      </c>
      <c r="F1597" s="40" t="s">
        <v>1792</v>
      </c>
      <c r="G1597" s="40" t="s">
        <v>80</v>
      </c>
      <c r="H1597" s="40" t="s">
        <v>3103</v>
      </c>
      <c r="I1597" s="40" t="str">
        <f>VLOOKUP(Таблица18[[#This Row],[Номер акта]],$AB$1:$AF$2504,3,FALSE)</f>
        <v>А-76/3</v>
      </c>
      <c r="J1597" s="40" t="s">
        <v>524</v>
      </c>
      <c r="K1597" s="40" t="s">
        <v>2939</v>
      </c>
      <c r="L1597" s="121">
        <v>27480</v>
      </c>
      <c r="M1597" s="121">
        <v>14480</v>
      </c>
      <c r="N1597" s="121">
        <v>15.5</v>
      </c>
      <c r="O1597" s="363">
        <v>13000</v>
      </c>
      <c r="P1597" s="363">
        <v>10985</v>
      </c>
      <c r="Q1597" s="121">
        <v>2026</v>
      </c>
      <c r="R1597" s="121">
        <v>196</v>
      </c>
      <c r="S1597" s="148">
        <v>46186</v>
      </c>
      <c r="T1597" s="363">
        <f>Таблица18[[#This Row],[Вес нетто]]-Таблица18[[#This Row],[Зачетный вес]]</f>
        <v>2015</v>
      </c>
      <c r="U1597" s="392">
        <f>Таблица18[[#This Row],[Отход]]/Таблица18[[#This Row],[Вес нетто]]</f>
        <v>0.155</v>
      </c>
      <c r="V1597" s="121">
        <f>MONTH(Таблица18[[#This Row],[Дата акта]])</f>
        <v>6</v>
      </c>
      <c r="W1597" s="121">
        <f>DAY(Таблица18[[#This Row],[Дата акта]])</f>
        <v>13</v>
      </c>
      <c r="X1597" s="148">
        <f>DATE(1900,Таблица18[[#This Row],[Месяц]],Таблица18[[#This Row],[Число]])</f>
        <v>165</v>
      </c>
      <c r="Y1597" s="121"/>
      <c r="Z1597" s="121" t="str">
        <f>Таблица18[[#This Row],[Хар-ка]]</f>
        <v>Высший</v>
      </c>
      <c r="AA1597"/>
      <c r="AB1597">
        <v>196</v>
      </c>
      <c r="AC1597"/>
      <c r="AD1597" s="460" t="s">
        <v>3103</v>
      </c>
      <c r="AE1597" t="s">
        <v>524</v>
      </c>
      <c r="AF1597" t="s">
        <v>46</v>
      </c>
    </row>
    <row r="1598" spans="1:32" s="465" customFormat="1" ht="33.75" x14ac:dyDescent="0.25">
      <c r="A1598" s="40" t="s">
        <v>3547</v>
      </c>
      <c r="B1598" s="360" t="s">
        <v>2940</v>
      </c>
      <c r="C1598" s="40">
        <v>298</v>
      </c>
      <c r="D1598" s="40" t="s">
        <v>3548</v>
      </c>
      <c r="E1598" s="40" t="s">
        <v>2964</v>
      </c>
      <c r="F1598" s="40" t="s">
        <v>3331</v>
      </c>
      <c r="G1598" s="40" t="s">
        <v>3549</v>
      </c>
      <c r="H1598" s="40" t="s">
        <v>3103</v>
      </c>
      <c r="I1598" s="40" t="str">
        <f>VLOOKUP(Таблица18[[#This Row],[Номер акта]],$AB$1:$AF$2504,3,FALSE)</f>
        <v>А-76/3</v>
      </c>
      <c r="J1598" s="40" t="s">
        <v>524</v>
      </c>
      <c r="K1598" s="40" t="s">
        <v>2939</v>
      </c>
      <c r="L1598" s="121">
        <v>31910</v>
      </c>
      <c r="M1598" s="121">
        <v>14360</v>
      </c>
      <c r="N1598" s="121">
        <v>6.5</v>
      </c>
      <c r="O1598" s="363">
        <v>17550</v>
      </c>
      <c r="P1598" s="363">
        <v>16409</v>
      </c>
      <c r="Q1598" s="121">
        <v>2026</v>
      </c>
      <c r="R1598" s="121">
        <v>342</v>
      </c>
      <c r="S1598" s="148">
        <v>46186</v>
      </c>
      <c r="T1598" s="363">
        <f>Таблица18[[#This Row],[Вес нетто]]-Таблица18[[#This Row],[Зачетный вес]]</f>
        <v>1141</v>
      </c>
      <c r="U1598" s="392">
        <f>Таблица18[[#This Row],[Отход]]/Таблица18[[#This Row],[Вес нетто]]</f>
        <v>6.501424501424502E-2</v>
      </c>
      <c r="V1598" s="121">
        <f>MONTH(Таблица18[[#This Row],[Дата акта]])</f>
        <v>6</v>
      </c>
      <c r="W1598" s="121">
        <f>DAY(Таблица18[[#This Row],[Дата акта]])</f>
        <v>13</v>
      </c>
      <c r="X1598" s="148">
        <f>DATE(1900,Таблица18[[#This Row],[Месяц]],Таблица18[[#This Row],[Число]])</f>
        <v>165</v>
      </c>
      <c r="Y1598" s="121"/>
      <c r="Z1598" s="121" t="str">
        <f>Таблица18[[#This Row],[Хар-ка]]</f>
        <v>Высший</v>
      </c>
      <c r="AA1598"/>
      <c r="AB1598">
        <v>342</v>
      </c>
      <c r="AC1598"/>
      <c r="AD1598" s="460" t="s">
        <v>3103</v>
      </c>
      <c r="AE1598" t="s">
        <v>524</v>
      </c>
      <c r="AF1598" t="s">
        <v>46</v>
      </c>
    </row>
    <row r="1599" spans="1:32" s="465" customFormat="1" ht="22.5" x14ac:dyDescent="0.25">
      <c r="A1599" s="40" t="s">
        <v>3292</v>
      </c>
      <c r="B1599" s="360" t="s">
        <v>2940</v>
      </c>
      <c r="C1599" s="40">
        <v>299</v>
      </c>
      <c r="D1599" s="40">
        <v>183</v>
      </c>
      <c r="E1599" s="40" t="s">
        <v>2964</v>
      </c>
      <c r="F1599" s="40" t="s">
        <v>212</v>
      </c>
      <c r="G1599" s="40" t="s">
        <v>2965</v>
      </c>
      <c r="H1599" s="40" t="s">
        <v>3103</v>
      </c>
      <c r="I1599" s="40" t="str">
        <f>VLOOKUP(Таблица18[[#This Row],[Номер акта]],$AB$1:$AF$2504,3,FALSE)</f>
        <v>А-76/3</v>
      </c>
      <c r="J1599" s="40" t="s">
        <v>524</v>
      </c>
      <c r="K1599" s="40" t="s">
        <v>2939</v>
      </c>
      <c r="L1599" s="121">
        <v>28960</v>
      </c>
      <c r="M1599" s="121">
        <v>15820</v>
      </c>
      <c r="N1599" s="121">
        <v>18.5</v>
      </c>
      <c r="O1599" s="363">
        <v>13140</v>
      </c>
      <c r="P1599" s="363">
        <v>10709.1</v>
      </c>
      <c r="Q1599" s="121">
        <v>2026</v>
      </c>
      <c r="R1599" s="121">
        <v>197</v>
      </c>
      <c r="S1599" s="148">
        <v>46186</v>
      </c>
      <c r="T1599" s="363">
        <f>Таблица18[[#This Row],[Вес нетто]]-Таблица18[[#This Row],[Зачетный вес]]</f>
        <v>2430.8999999999996</v>
      </c>
      <c r="U1599" s="392">
        <f>Таблица18[[#This Row],[Отход]]/Таблица18[[#This Row],[Вес нетто]]</f>
        <v>0.18499999999999997</v>
      </c>
      <c r="V1599" s="121">
        <f>MONTH(Таблица18[[#This Row],[Дата акта]])</f>
        <v>6</v>
      </c>
      <c r="W1599" s="121">
        <f>DAY(Таблица18[[#This Row],[Дата акта]])</f>
        <v>13</v>
      </c>
      <c r="X1599" s="148">
        <f>DATE(1900,Таблица18[[#This Row],[Месяц]],Таблица18[[#This Row],[Число]])</f>
        <v>165</v>
      </c>
      <c r="Y1599" s="121"/>
      <c r="Z1599" s="121" t="str">
        <f>Таблица18[[#This Row],[Хар-ка]]</f>
        <v>Высший</v>
      </c>
      <c r="AA1599"/>
      <c r="AB1599">
        <v>197</v>
      </c>
      <c r="AC1599"/>
      <c r="AD1599" s="460" t="s">
        <v>3103</v>
      </c>
      <c r="AE1599" t="s">
        <v>524</v>
      </c>
      <c r="AF1599" t="s">
        <v>46</v>
      </c>
    </row>
    <row r="1600" spans="1:32" s="465" customFormat="1" ht="33.75" x14ac:dyDescent="0.25">
      <c r="A1600" s="40" t="s">
        <v>3293</v>
      </c>
      <c r="B1600" s="360" t="s">
        <v>2940</v>
      </c>
      <c r="C1600" s="40">
        <v>300</v>
      </c>
      <c r="D1600" s="40">
        <v>184</v>
      </c>
      <c r="E1600" s="40" t="s">
        <v>2964</v>
      </c>
      <c r="F1600" s="40" t="s">
        <v>762</v>
      </c>
      <c r="G1600" s="40" t="s">
        <v>763</v>
      </c>
      <c r="H1600" s="40" t="s">
        <v>3103</v>
      </c>
      <c r="I1600" s="40" t="str">
        <f>VLOOKUP(Таблица18[[#This Row],[Номер акта]],$AB$1:$AF$2504,3,FALSE)</f>
        <v>А-76/3</v>
      </c>
      <c r="J1600" s="40" t="s">
        <v>524</v>
      </c>
      <c r="K1600" s="40" t="s">
        <v>2939</v>
      </c>
      <c r="L1600" s="121">
        <v>8900</v>
      </c>
      <c r="M1600" s="121">
        <v>4700</v>
      </c>
      <c r="N1600" s="121">
        <v>12.5</v>
      </c>
      <c r="O1600" s="363">
        <v>4200</v>
      </c>
      <c r="P1600" s="363">
        <v>3675</v>
      </c>
      <c r="Q1600" s="121">
        <v>2026</v>
      </c>
      <c r="R1600" s="121">
        <v>198</v>
      </c>
      <c r="S1600" s="148">
        <v>46186</v>
      </c>
      <c r="T1600" s="363">
        <f>Таблица18[[#This Row],[Вес нетто]]-Таблица18[[#This Row],[Зачетный вес]]</f>
        <v>525</v>
      </c>
      <c r="U1600" s="392">
        <f>Таблица18[[#This Row],[Отход]]/Таблица18[[#This Row],[Вес нетто]]</f>
        <v>0.125</v>
      </c>
      <c r="V1600" s="121">
        <f>MONTH(Таблица18[[#This Row],[Дата акта]])</f>
        <v>6</v>
      </c>
      <c r="W1600" s="121">
        <f>DAY(Таблица18[[#This Row],[Дата акта]])</f>
        <v>13</v>
      </c>
      <c r="X1600" s="148">
        <f>DATE(1900,Таблица18[[#This Row],[Месяц]],Таблица18[[#This Row],[Число]])</f>
        <v>165</v>
      </c>
      <c r="Y1600" s="121"/>
      <c r="Z1600" s="121" t="str">
        <f>Таблица18[[#This Row],[Хар-ка]]</f>
        <v>Высший</v>
      </c>
      <c r="AA1600"/>
      <c r="AB1600">
        <v>198</v>
      </c>
      <c r="AC1600"/>
      <c r="AD1600" s="460" t="s">
        <v>3103</v>
      </c>
      <c r="AE1600" t="s">
        <v>524</v>
      </c>
      <c r="AF1600" t="s">
        <v>46</v>
      </c>
    </row>
    <row r="1601" spans="1:32" s="465" customFormat="1" ht="33.75" x14ac:dyDescent="0.25">
      <c r="A1601" s="40" t="s">
        <v>3294</v>
      </c>
      <c r="B1601" s="360" t="s">
        <v>3230</v>
      </c>
      <c r="C1601" s="40">
        <v>301</v>
      </c>
      <c r="D1601" s="40">
        <v>185</v>
      </c>
      <c r="E1601" s="40" t="s">
        <v>2964</v>
      </c>
      <c r="F1601" s="40" t="s">
        <v>3195</v>
      </c>
      <c r="G1601" s="40" t="s">
        <v>3196</v>
      </c>
      <c r="H1601" s="40" t="s">
        <v>3103</v>
      </c>
      <c r="I1601" s="40" t="str">
        <f>VLOOKUP(Таблица18[[#This Row],[Номер акта]],$AB$1:$AF$2504,3,FALSE)</f>
        <v>А-76/3</v>
      </c>
      <c r="J1601" s="40" t="s">
        <v>524</v>
      </c>
      <c r="K1601" s="40" t="s">
        <v>2939</v>
      </c>
      <c r="L1601" s="121">
        <v>27410</v>
      </c>
      <c r="M1601" s="121">
        <v>14470</v>
      </c>
      <c r="N1601" s="121">
        <v>6.5</v>
      </c>
      <c r="O1601" s="363">
        <v>12940</v>
      </c>
      <c r="P1601" s="363">
        <v>12098.9</v>
      </c>
      <c r="Q1601" s="121">
        <v>2026</v>
      </c>
      <c r="R1601" s="121">
        <v>199</v>
      </c>
      <c r="S1601" s="148">
        <v>46186</v>
      </c>
      <c r="T1601" s="363">
        <f>Таблица18[[#This Row],[Вес нетто]]-Таблица18[[#This Row],[Зачетный вес]]</f>
        <v>841.10000000000036</v>
      </c>
      <c r="U1601" s="392">
        <f>Таблица18[[#This Row],[Отход]]/Таблица18[[#This Row],[Вес нетто]]</f>
        <v>6.500000000000003E-2</v>
      </c>
      <c r="V1601" s="121">
        <f>MONTH(Таблица18[[#This Row],[Дата акта]])</f>
        <v>6</v>
      </c>
      <c r="W1601" s="121">
        <f>DAY(Таблица18[[#This Row],[Дата акта]])</f>
        <v>13</v>
      </c>
      <c r="X1601" s="148">
        <f>DATE(1900,Таблица18[[#This Row],[Месяц]],Таблица18[[#This Row],[Число]])</f>
        <v>165</v>
      </c>
      <c r="Y1601" s="121"/>
      <c r="Z1601" s="121" t="str">
        <f>Таблица18[[#This Row],[Хар-ка]]</f>
        <v>Первый</v>
      </c>
      <c r="AA1601"/>
      <c r="AB1601">
        <v>199</v>
      </c>
      <c r="AC1601"/>
      <c r="AD1601" s="460" t="s">
        <v>3103</v>
      </c>
      <c r="AE1601" t="s">
        <v>524</v>
      </c>
      <c r="AF1601" t="s">
        <v>46</v>
      </c>
    </row>
    <row r="1602" spans="1:32" s="465" customFormat="1" ht="33.75" x14ac:dyDescent="0.25">
      <c r="A1602" s="40" t="s">
        <v>3295</v>
      </c>
      <c r="B1602" s="360" t="s">
        <v>3230</v>
      </c>
      <c r="C1602" s="40">
        <v>302</v>
      </c>
      <c r="D1602" s="40">
        <v>186</v>
      </c>
      <c r="E1602" s="40" t="s">
        <v>2964</v>
      </c>
      <c r="F1602" s="40" t="s">
        <v>239</v>
      </c>
      <c r="G1602" s="40" t="s">
        <v>243</v>
      </c>
      <c r="H1602" s="40" t="s">
        <v>3103</v>
      </c>
      <c r="I1602" s="40" t="str">
        <f>VLOOKUP(Таблица18[[#This Row],[Номер акта]],$AB$1:$AF$2504,3,FALSE)</f>
        <v>А-76/3</v>
      </c>
      <c r="J1602" s="40" t="s">
        <v>524</v>
      </c>
      <c r="K1602" s="40" t="s">
        <v>2939</v>
      </c>
      <c r="L1602" s="121">
        <v>27360</v>
      </c>
      <c r="M1602" s="121">
        <v>14580</v>
      </c>
      <c r="N1602" s="121">
        <v>7.5</v>
      </c>
      <c r="O1602" s="363">
        <v>12780</v>
      </c>
      <c r="P1602" s="363">
        <v>11821.5</v>
      </c>
      <c r="Q1602" s="121">
        <v>2026</v>
      </c>
      <c r="R1602" s="121">
        <v>200</v>
      </c>
      <c r="S1602" s="148">
        <v>46186</v>
      </c>
      <c r="T1602" s="363">
        <f>Таблица18[[#This Row],[Вес нетто]]-Таблица18[[#This Row],[Зачетный вес]]</f>
        <v>958.5</v>
      </c>
      <c r="U1602" s="392">
        <f>Таблица18[[#This Row],[Отход]]/Таблица18[[#This Row],[Вес нетто]]</f>
        <v>7.4999999999999997E-2</v>
      </c>
      <c r="V1602" s="121">
        <f>MONTH(Таблица18[[#This Row],[Дата акта]])</f>
        <v>6</v>
      </c>
      <c r="W1602" s="121">
        <f>DAY(Таблица18[[#This Row],[Дата акта]])</f>
        <v>13</v>
      </c>
      <c r="X1602" s="148">
        <f>DATE(1900,Таблица18[[#This Row],[Месяц]],Таблица18[[#This Row],[Число]])</f>
        <v>165</v>
      </c>
      <c r="Y1602" s="121"/>
      <c r="Z1602" s="121" t="str">
        <f>Таблица18[[#This Row],[Хар-ка]]</f>
        <v>Первый</v>
      </c>
      <c r="AA1602"/>
      <c r="AB1602">
        <v>200</v>
      </c>
      <c r="AC1602"/>
      <c r="AD1602" s="460" t="s">
        <v>3103</v>
      </c>
      <c r="AE1602" t="s">
        <v>524</v>
      </c>
      <c r="AF1602" t="s">
        <v>46</v>
      </c>
    </row>
    <row r="1603" spans="1:32" s="465" customFormat="1" ht="22.5" x14ac:dyDescent="0.25">
      <c r="A1603" s="40" t="s">
        <v>3296</v>
      </c>
      <c r="B1603" s="360" t="s">
        <v>3230</v>
      </c>
      <c r="C1603" s="40">
        <v>303</v>
      </c>
      <c r="D1603" s="40">
        <v>187</v>
      </c>
      <c r="E1603" s="40" t="s">
        <v>2964</v>
      </c>
      <c r="F1603" s="40" t="s">
        <v>1792</v>
      </c>
      <c r="G1603" s="40" t="s">
        <v>80</v>
      </c>
      <c r="H1603" s="40" t="s">
        <v>3103</v>
      </c>
      <c r="I1603" s="40" t="str">
        <f>VLOOKUP(Таблица18[[#This Row],[Номер акта]],$AB$1:$AF$2504,3,FALSE)</f>
        <v>А-76/3</v>
      </c>
      <c r="J1603" s="40" t="s">
        <v>524</v>
      </c>
      <c r="K1603" s="40" t="s">
        <v>2939</v>
      </c>
      <c r="L1603" s="121">
        <v>27350</v>
      </c>
      <c r="M1603" s="121">
        <v>14690</v>
      </c>
      <c r="N1603" s="121">
        <v>7.5</v>
      </c>
      <c r="O1603" s="363">
        <v>12660</v>
      </c>
      <c r="P1603" s="363">
        <v>11710.5</v>
      </c>
      <c r="Q1603" s="121">
        <v>2026</v>
      </c>
      <c r="R1603" s="121">
        <v>203</v>
      </c>
      <c r="S1603" s="148">
        <v>46186</v>
      </c>
      <c r="T1603" s="363">
        <f>Таблица18[[#This Row],[Вес нетто]]-Таблица18[[#This Row],[Зачетный вес]]</f>
        <v>949.5</v>
      </c>
      <c r="U1603" s="392">
        <f>Таблица18[[#This Row],[Отход]]/Таблица18[[#This Row],[Вес нетто]]</f>
        <v>7.4999999999999997E-2</v>
      </c>
      <c r="V1603" s="121">
        <f>MONTH(Таблица18[[#This Row],[Дата акта]])</f>
        <v>6</v>
      </c>
      <c r="W1603" s="121">
        <f>DAY(Таблица18[[#This Row],[Дата акта]])</f>
        <v>13</v>
      </c>
      <c r="X1603" s="148">
        <f>DATE(1900,Таблица18[[#This Row],[Месяц]],Таблица18[[#This Row],[Число]])</f>
        <v>165</v>
      </c>
      <c r="Y1603" s="121"/>
      <c r="Z1603" s="121" t="str">
        <f>Таблица18[[#This Row],[Хар-ка]]</f>
        <v>Первый</v>
      </c>
      <c r="AA1603"/>
      <c r="AB1603">
        <v>203</v>
      </c>
      <c r="AC1603"/>
      <c r="AD1603" s="460" t="s">
        <v>3103</v>
      </c>
      <c r="AE1603" t="s">
        <v>524</v>
      </c>
      <c r="AF1603" t="s">
        <v>46</v>
      </c>
    </row>
    <row r="1604" spans="1:32" s="465" customFormat="1" ht="33.75" x14ac:dyDescent="0.25">
      <c r="A1604" s="40" t="s">
        <v>3297</v>
      </c>
      <c r="B1604" s="360" t="s">
        <v>3230</v>
      </c>
      <c r="C1604" s="40">
        <v>304</v>
      </c>
      <c r="D1604" s="40">
        <v>188</v>
      </c>
      <c r="E1604" s="40" t="s">
        <v>2964</v>
      </c>
      <c r="F1604" s="40" t="s">
        <v>762</v>
      </c>
      <c r="G1604" s="40" t="s">
        <v>763</v>
      </c>
      <c r="H1604" s="40" t="s">
        <v>3103</v>
      </c>
      <c r="I1604" s="40" t="str">
        <f>VLOOKUP(Таблица18[[#This Row],[Номер акта]],$AB$1:$AF$2504,3,FALSE)</f>
        <v>А-76/3</v>
      </c>
      <c r="J1604" s="40" t="s">
        <v>524</v>
      </c>
      <c r="K1604" s="40" t="s">
        <v>2939</v>
      </c>
      <c r="L1604" s="121">
        <v>6890</v>
      </c>
      <c r="M1604" s="121">
        <v>4730</v>
      </c>
      <c r="N1604" s="121">
        <v>7.5</v>
      </c>
      <c r="O1604" s="363">
        <v>2160</v>
      </c>
      <c r="P1604" s="363">
        <v>1998</v>
      </c>
      <c r="Q1604" s="121">
        <v>2026</v>
      </c>
      <c r="R1604" s="121">
        <v>201</v>
      </c>
      <c r="S1604" s="148">
        <v>46186</v>
      </c>
      <c r="T1604" s="363">
        <f>Таблица18[[#This Row],[Вес нетто]]-Таблица18[[#This Row],[Зачетный вес]]</f>
        <v>162</v>
      </c>
      <c r="U1604" s="392">
        <f>Таблица18[[#This Row],[Отход]]/Таблица18[[#This Row],[Вес нетто]]</f>
        <v>7.4999999999999997E-2</v>
      </c>
      <c r="V1604" s="121">
        <f>MONTH(Таблица18[[#This Row],[Дата акта]])</f>
        <v>6</v>
      </c>
      <c r="W1604" s="121">
        <f>DAY(Таблица18[[#This Row],[Дата акта]])</f>
        <v>13</v>
      </c>
      <c r="X1604" s="148">
        <f>DATE(1900,Таблица18[[#This Row],[Месяц]],Таблица18[[#This Row],[Число]])</f>
        <v>165</v>
      </c>
      <c r="Y1604" s="121"/>
      <c r="Z1604" s="121" t="str">
        <f>Таблица18[[#This Row],[Хар-ка]]</f>
        <v>Первый</v>
      </c>
      <c r="AA1604"/>
      <c r="AB1604">
        <v>201</v>
      </c>
      <c r="AC1604"/>
      <c r="AD1604" s="460" t="s">
        <v>3103</v>
      </c>
      <c r="AE1604" t="s">
        <v>524</v>
      </c>
      <c r="AF1604" t="s">
        <v>46</v>
      </c>
    </row>
    <row r="1605" spans="1:32" s="465" customFormat="1" ht="22.5" x14ac:dyDescent="0.25">
      <c r="A1605" s="40" t="s">
        <v>3298</v>
      </c>
      <c r="B1605" s="360" t="s">
        <v>3230</v>
      </c>
      <c r="C1605" s="40">
        <v>306</v>
      </c>
      <c r="D1605" s="40">
        <v>189</v>
      </c>
      <c r="E1605" s="40" t="s">
        <v>2964</v>
      </c>
      <c r="F1605" s="40" t="s">
        <v>212</v>
      </c>
      <c r="G1605" s="40" t="s">
        <v>2965</v>
      </c>
      <c r="H1605" s="40" t="s">
        <v>3103</v>
      </c>
      <c r="I1605" s="40" t="str">
        <f>VLOOKUP(Таблица18[[#This Row],[Номер акта]],$AB$1:$AF$2504,3,FALSE)</f>
        <v>А-76/3</v>
      </c>
      <c r="J1605" s="40" t="s">
        <v>524</v>
      </c>
      <c r="K1605" s="40" t="s">
        <v>2939</v>
      </c>
      <c r="L1605" s="121">
        <v>22750</v>
      </c>
      <c r="M1605" s="121">
        <v>15960</v>
      </c>
      <c r="N1605" s="121">
        <v>6.5</v>
      </c>
      <c r="O1605" s="363">
        <v>6790</v>
      </c>
      <c r="P1605" s="363">
        <v>6348.7</v>
      </c>
      <c r="Q1605" s="121">
        <v>2026</v>
      </c>
      <c r="R1605" s="121">
        <v>202</v>
      </c>
      <c r="S1605" s="148">
        <v>46186</v>
      </c>
      <c r="T1605" s="363">
        <f>Таблица18[[#This Row],[Вес нетто]]-Таблица18[[#This Row],[Зачетный вес]]</f>
        <v>441.30000000000018</v>
      </c>
      <c r="U1605" s="392">
        <f>Таблица18[[#This Row],[Отход]]/Таблица18[[#This Row],[Вес нетто]]</f>
        <v>6.4992636229749656E-2</v>
      </c>
      <c r="V1605" s="121">
        <f>MONTH(Таблица18[[#This Row],[Дата акта]])</f>
        <v>6</v>
      </c>
      <c r="W1605" s="121">
        <f>DAY(Таблица18[[#This Row],[Дата акта]])</f>
        <v>13</v>
      </c>
      <c r="X1605" s="148">
        <f>DATE(1900,Таблица18[[#This Row],[Месяц]],Таблица18[[#This Row],[Число]])</f>
        <v>165</v>
      </c>
      <c r="Y1605" s="121"/>
      <c r="Z1605" s="121" t="str">
        <f>Таблица18[[#This Row],[Хар-ка]]</f>
        <v>Первый</v>
      </c>
      <c r="AA1605"/>
      <c r="AB1605">
        <v>202</v>
      </c>
      <c r="AC1605"/>
      <c r="AD1605" s="460" t="s">
        <v>3103</v>
      </c>
      <c r="AE1605" t="s">
        <v>524</v>
      </c>
      <c r="AF1605" t="s">
        <v>46</v>
      </c>
    </row>
    <row r="1606" spans="1:32" s="465" customFormat="1" ht="33.75" x14ac:dyDescent="0.25">
      <c r="A1606" s="40" t="s">
        <v>3301</v>
      </c>
      <c r="B1606" s="360" t="s">
        <v>3230</v>
      </c>
      <c r="C1606" s="40">
        <v>307</v>
      </c>
      <c r="D1606" s="40">
        <v>190</v>
      </c>
      <c r="E1606" s="40" t="s">
        <v>2964</v>
      </c>
      <c r="F1606" s="40" t="s">
        <v>305</v>
      </c>
      <c r="G1606" s="40" t="s">
        <v>309</v>
      </c>
      <c r="H1606" s="40" t="s">
        <v>3105</v>
      </c>
      <c r="I1606" s="40" t="str">
        <f>VLOOKUP(Таблица18[[#This Row],[Номер акта]],$AB$1:$AF$2504,3,FALSE)</f>
        <v>А-105/1</v>
      </c>
      <c r="J1606" s="40" t="s">
        <v>524</v>
      </c>
      <c r="K1606" s="40" t="s">
        <v>2939</v>
      </c>
      <c r="L1606" s="121">
        <v>23110</v>
      </c>
      <c r="M1606" s="121">
        <v>14410</v>
      </c>
      <c r="N1606" s="121">
        <v>7</v>
      </c>
      <c r="O1606" s="363">
        <v>8700</v>
      </c>
      <c r="P1606" s="363">
        <v>8091</v>
      </c>
      <c r="Q1606" s="121">
        <v>2026</v>
      </c>
      <c r="R1606" s="121">
        <v>204</v>
      </c>
      <c r="S1606" s="148">
        <v>46187</v>
      </c>
      <c r="T1606" s="363">
        <f>Таблица18[[#This Row],[Вес нетто]]-Таблица18[[#This Row],[Зачетный вес]]</f>
        <v>609</v>
      </c>
      <c r="U1606" s="392">
        <f>Таблица18[[#This Row],[Отход]]/Таблица18[[#This Row],[Вес нетто]]</f>
        <v>7.0000000000000007E-2</v>
      </c>
      <c r="V1606" s="121">
        <f>MONTH(Таблица18[[#This Row],[Дата акта]])</f>
        <v>6</v>
      </c>
      <c r="W1606" s="121">
        <f>DAY(Таблица18[[#This Row],[Дата акта]])</f>
        <v>14</v>
      </c>
      <c r="X1606" s="148">
        <f>DATE(1900,Таблица18[[#This Row],[Месяц]],Таблица18[[#This Row],[Число]])</f>
        <v>166</v>
      </c>
      <c r="Y1606" s="121"/>
      <c r="Z1606" s="121" t="str">
        <f>Таблица18[[#This Row],[Хар-ка]]</f>
        <v>Первый</v>
      </c>
      <c r="AA1606"/>
      <c r="AB1606">
        <v>204</v>
      </c>
      <c r="AC1606"/>
      <c r="AD1606" s="460" t="s">
        <v>3093</v>
      </c>
      <c r="AE1606" t="s">
        <v>524</v>
      </c>
      <c r="AF1606" t="s">
        <v>46</v>
      </c>
    </row>
    <row r="1607" spans="1:32" s="465" customFormat="1" ht="33.75" x14ac:dyDescent="0.25">
      <c r="A1607" s="40" t="s">
        <v>3302</v>
      </c>
      <c r="B1607" s="360" t="s">
        <v>2940</v>
      </c>
      <c r="C1607" s="40">
        <v>309</v>
      </c>
      <c r="D1607" s="40">
        <v>191</v>
      </c>
      <c r="E1607" s="40" t="s">
        <v>2964</v>
      </c>
      <c r="F1607" s="40" t="s">
        <v>3204</v>
      </c>
      <c r="G1607" s="40" t="s">
        <v>3303</v>
      </c>
      <c r="H1607" s="40" t="s">
        <v>3093</v>
      </c>
      <c r="I1607" s="40" t="str">
        <f>VLOOKUP(Таблица18[[#This Row],[Номер акта]],$AB$1:$AF$2504,3,FALSE)</f>
        <v>А-105/1</v>
      </c>
      <c r="J1607" s="40" t="s">
        <v>524</v>
      </c>
      <c r="K1607" s="40" t="s">
        <v>2939</v>
      </c>
      <c r="L1607" s="121">
        <v>28840</v>
      </c>
      <c r="M1607" s="121">
        <v>15330</v>
      </c>
      <c r="N1607" s="121">
        <v>22</v>
      </c>
      <c r="O1607" s="363">
        <v>13510</v>
      </c>
      <c r="P1607" s="363">
        <v>10537.8</v>
      </c>
      <c r="Q1607" s="121">
        <v>2026</v>
      </c>
      <c r="R1607" s="121">
        <v>205</v>
      </c>
      <c r="S1607" s="148">
        <v>46187</v>
      </c>
      <c r="T1607" s="363">
        <f>Таблица18[[#This Row],[Вес нетто]]-Таблица18[[#This Row],[Зачетный вес]]</f>
        <v>2972.2000000000007</v>
      </c>
      <c r="U1607" s="392">
        <f>Таблица18[[#This Row],[Отход]]/Таблица18[[#This Row],[Вес нетто]]</f>
        <v>0.22000000000000006</v>
      </c>
      <c r="V1607" s="121">
        <f>MONTH(Таблица18[[#This Row],[Дата акта]])</f>
        <v>6</v>
      </c>
      <c r="W1607" s="121">
        <f>DAY(Таблица18[[#This Row],[Дата акта]])</f>
        <v>14</v>
      </c>
      <c r="X1607" s="148">
        <f>DATE(1900,Таблица18[[#This Row],[Месяц]],Таблица18[[#This Row],[Число]])</f>
        <v>166</v>
      </c>
      <c r="Y1607" s="121"/>
      <c r="Z1607" s="121" t="str">
        <f>Таблица18[[#This Row],[Хар-ка]]</f>
        <v>Высший</v>
      </c>
      <c r="AA1607"/>
      <c r="AB1607">
        <v>205</v>
      </c>
      <c r="AC1607"/>
      <c r="AD1607" s="460" t="s">
        <v>3093</v>
      </c>
      <c r="AE1607" t="s">
        <v>524</v>
      </c>
      <c r="AF1607" t="s">
        <v>46</v>
      </c>
    </row>
    <row r="1608" spans="1:32" s="465" customFormat="1" ht="33.75" x14ac:dyDescent="0.25">
      <c r="A1608" s="40" t="s">
        <v>3304</v>
      </c>
      <c r="B1608" s="360" t="s">
        <v>2940</v>
      </c>
      <c r="C1608" s="40">
        <v>310</v>
      </c>
      <c r="D1608" s="40">
        <v>192</v>
      </c>
      <c r="E1608" s="40" t="s">
        <v>2964</v>
      </c>
      <c r="F1608" s="40" t="s">
        <v>311</v>
      </c>
      <c r="G1608" s="40" t="s">
        <v>315</v>
      </c>
      <c r="H1608" s="40" t="s">
        <v>3093</v>
      </c>
      <c r="I1608" s="40" t="str">
        <f>VLOOKUP(Таблица18[[#This Row],[Номер акта]],$AB$1:$AF$2504,3,FALSE)</f>
        <v>А-105/1</v>
      </c>
      <c r="J1608" s="40" t="s">
        <v>524</v>
      </c>
      <c r="K1608" s="40" t="s">
        <v>2939</v>
      </c>
      <c r="L1608" s="121">
        <v>27990</v>
      </c>
      <c r="M1608" s="121">
        <v>14990</v>
      </c>
      <c r="N1608" s="121">
        <v>21</v>
      </c>
      <c r="O1608" s="363">
        <v>13000</v>
      </c>
      <c r="P1608" s="363">
        <v>10270</v>
      </c>
      <c r="Q1608" s="121">
        <v>2026</v>
      </c>
      <c r="R1608" s="121">
        <v>206</v>
      </c>
      <c r="S1608" s="148">
        <v>46187</v>
      </c>
      <c r="T1608" s="363">
        <f>Таблица18[[#This Row],[Вес нетто]]-Таблица18[[#This Row],[Зачетный вес]]</f>
        <v>2730</v>
      </c>
      <c r="U1608" s="392">
        <f>Таблица18[[#This Row],[Отход]]/Таблица18[[#This Row],[Вес нетто]]</f>
        <v>0.21</v>
      </c>
      <c r="V1608" s="121">
        <f>MONTH(Таблица18[[#This Row],[Дата акта]])</f>
        <v>6</v>
      </c>
      <c r="W1608" s="121">
        <f>DAY(Таблица18[[#This Row],[Дата акта]])</f>
        <v>14</v>
      </c>
      <c r="X1608" s="148">
        <f>DATE(1900,Таблица18[[#This Row],[Месяц]],Таблица18[[#This Row],[Число]])</f>
        <v>166</v>
      </c>
      <c r="Y1608" s="121"/>
      <c r="Z1608" s="121" t="str">
        <f>Таблица18[[#This Row],[Хар-ка]]</f>
        <v>Высший</v>
      </c>
      <c r="AA1608"/>
      <c r="AB1608">
        <v>206</v>
      </c>
      <c r="AC1608"/>
      <c r="AD1608" s="460" t="s">
        <v>3093</v>
      </c>
      <c r="AE1608" t="s">
        <v>524</v>
      </c>
      <c r="AF1608" t="s">
        <v>46</v>
      </c>
    </row>
    <row r="1609" spans="1:32" s="465" customFormat="1" ht="22.5" x14ac:dyDescent="0.25">
      <c r="A1609" s="40" t="s">
        <v>3299</v>
      </c>
      <c r="B1609" s="360" t="s">
        <v>2940</v>
      </c>
      <c r="C1609" s="40">
        <v>311</v>
      </c>
      <c r="D1609" s="40">
        <v>193</v>
      </c>
      <c r="E1609" s="40" t="s">
        <v>2964</v>
      </c>
      <c r="F1609" s="40" t="s">
        <v>166</v>
      </c>
      <c r="G1609" s="40" t="s">
        <v>170</v>
      </c>
      <c r="H1609" s="40" t="s">
        <v>3300</v>
      </c>
      <c r="I1609" s="40" t="str">
        <f>VLOOKUP(Таблица18[[#This Row],[Номер акта]],$AB$1:$AF$2504,3,FALSE)</f>
        <v>А-105/1</v>
      </c>
      <c r="J1609" s="40" t="s">
        <v>524</v>
      </c>
      <c r="K1609" s="40" t="s">
        <v>2939</v>
      </c>
      <c r="L1609" s="121">
        <v>28450</v>
      </c>
      <c r="M1609" s="121">
        <v>14980</v>
      </c>
      <c r="N1609" s="121">
        <v>15.5</v>
      </c>
      <c r="O1609" s="363">
        <v>13470</v>
      </c>
      <c r="P1609" s="363">
        <v>11382.1</v>
      </c>
      <c r="Q1609" s="121">
        <v>2026</v>
      </c>
      <c r="R1609" s="121">
        <v>208</v>
      </c>
      <c r="S1609" s="148">
        <v>46187</v>
      </c>
      <c r="T1609" s="363">
        <f>Таблица18[[#This Row],[Вес нетто]]-Таблица18[[#This Row],[Зачетный вес]]</f>
        <v>2087.8999999999996</v>
      </c>
      <c r="U1609" s="392">
        <f>Таблица18[[#This Row],[Отход]]/Таблица18[[#This Row],[Вес нетто]]</f>
        <v>0.15500371195248699</v>
      </c>
      <c r="V1609" s="121">
        <f>MONTH(Таблица18[[#This Row],[Дата акта]])</f>
        <v>6</v>
      </c>
      <c r="W1609" s="121">
        <f>DAY(Таблица18[[#This Row],[Дата акта]])</f>
        <v>14</v>
      </c>
      <c r="X1609" s="148">
        <f>DATE(1900,Таблица18[[#This Row],[Месяц]],Таблица18[[#This Row],[Число]])</f>
        <v>166</v>
      </c>
      <c r="Y1609" s="121"/>
      <c r="Z1609" s="121" t="str">
        <f>Таблица18[[#This Row],[Хар-ка]]</f>
        <v>Высший</v>
      </c>
      <c r="AA1609"/>
      <c r="AB1609">
        <v>208</v>
      </c>
      <c r="AC1609"/>
      <c r="AD1609" s="460" t="s">
        <v>3093</v>
      </c>
      <c r="AE1609" t="s">
        <v>524</v>
      </c>
      <c r="AF1609" t="s">
        <v>46</v>
      </c>
    </row>
    <row r="1610" spans="1:32" s="465" customFormat="1" ht="33.75" x14ac:dyDescent="0.25">
      <c r="A1610" s="40" t="s">
        <v>3305</v>
      </c>
      <c r="B1610" s="360" t="s">
        <v>2940</v>
      </c>
      <c r="C1610" s="40">
        <v>312</v>
      </c>
      <c r="D1610" s="40">
        <v>194</v>
      </c>
      <c r="E1610" s="40" t="s">
        <v>2964</v>
      </c>
      <c r="F1610" s="40" t="s">
        <v>737</v>
      </c>
      <c r="G1610" s="40" t="s">
        <v>738</v>
      </c>
      <c r="H1610" s="40" t="s">
        <v>3300</v>
      </c>
      <c r="I1610" s="40" t="str">
        <f>VLOOKUP(Таблица18[[#This Row],[Номер акта]],$AB$1:$AF$2504,3,FALSE)</f>
        <v>А-105/1</v>
      </c>
      <c r="J1610" s="40" t="s">
        <v>524</v>
      </c>
      <c r="K1610" s="40" t="s">
        <v>2939</v>
      </c>
      <c r="L1610" s="121">
        <v>9170</v>
      </c>
      <c r="M1610" s="121">
        <v>4650</v>
      </c>
      <c r="N1610" s="121">
        <v>20.5</v>
      </c>
      <c r="O1610" s="363">
        <v>4520</v>
      </c>
      <c r="P1610" s="363">
        <v>3593.4</v>
      </c>
      <c r="Q1610" s="121">
        <v>2026</v>
      </c>
      <c r="R1610" s="121">
        <v>207</v>
      </c>
      <c r="S1610" s="148">
        <v>46187</v>
      </c>
      <c r="T1610" s="363">
        <f>Таблица18[[#This Row],[Вес нетто]]-Таблица18[[#This Row],[Зачетный вес]]</f>
        <v>926.59999999999991</v>
      </c>
      <c r="U1610" s="392">
        <f>Таблица18[[#This Row],[Отход]]/Таблица18[[#This Row],[Вес нетто]]</f>
        <v>0.20499999999999999</v>
      </c>
      <c r="V1610" s="121">
        <f>MONTH(Таблица18[[#This Row],[Дата акта]])</f>
        <v>6</v>
      </c>
      <c r="W1610" s="121">
        <f>DAY(Таблица18[[#This Row],[Дата акта]])</f>
        <v>14</v>
      </c>
      <c r="X1610" s="148">
        <f>DATE(1900,Таблица18[[#This Row],[Месяц]],Таблица18[[#This Row],[Число]])</f>
        <v>166</v>
      </c>
      <c r="Y1610" s="121"/>
      <c r="Z1610" s="121" t="str">
        <f>Таблица18[[#This Row],[Хар-ка]]</f>
        <v>Высший</v>
      </c>
      <c r="AA1610"/>
      <c r="AB1610">
        <v>207</v>
      </c>
      <c r="AC1610"/>
      <c r="AD1610" s="460" t="s">
        <v>3093</v>
      </c>
      <c r="AE1610" t="s">
        <v>524</v>
      </c>
      <c r="AF1610" t="s">
        <v>46</v>
      </c>
    </row>
    <row r="1611" spans="1:32" s="465" customFormat="1" ht="33.75" x14ac:dyDescent="0.25">
      <c r="A1611" s="40" t="s">
        <v>3306</v>
      </c>
      <c r="B1611" s="360" t="s">
        <v>2940</v>
      </c>
      <c r="C1611" s="40">
        <v>313</v>
      </c>
      <c r="D1611" s="40">
        <v>195</v>
      </c>
      <c r="E1611" s="40" t="s">
        <v>2964</v>
      </c>
      <c r="F1611" s="40" t="s">
        <v>305</v>
      </c>
      <c r="G1611" s="40" t="s">
        <v>309</v>
      </c>
      <c r="H1611" s="40" t="s">
        <v>3093</v>
      </c>
      <c r="I1611" s="40" t="str">
        <f>VLOOKUP(Таблица18[[#This Row],[Номер акта]],$AB$1:$AF$2504,3,FALSE)</f>
        <v>А-105/1</v>
      </c>
      <c r="J1611" s="40" t="s">
        <v>524</v>
      </c>
      <c r="K1611" s="40" t="s">
        <v>2939</v>
      </c>
      <c r="L1611" s="121">
        <v>30060</v>
      </c>
      <c r="M1611" s="121">
        <v>14440</v>
      </c>
      <c r="N1611" s="121">
        <v>15.5</v>
      </c>
      <c r="O1611" s="363">
        <v>15620</v>
      </c>
      <c r="P1611" s="363">
        <v>13198.9</v>
      </c>
      <c r="Q1611" s="121">
        <v>2026</v>
      </c>
      <c r="R1611" s="121">
        <v>209</v>
      </c>
      <c r="S1611" s="148">
        <v>46187</v>
      </c>
      <c r="T1611" s="363">
        <f>Таблица18[[#This Row],[Вес нетто]]-Таблица18[[#This Row],[Зачетный вес]]</f>
        <v>2421.1000000000004</v>
      </c>
      <c r="U1611" s="392">
        <f>Таблица18[[#This Row],[Отход]]/Таблица18[[#This Row],[Вес нетто]]</f>
        <v>0.15500000000000003</v>
      </c>
      <c r="V1611" s="121">
        <f>MONTH(Таблица18[[#This Row],[Дата акта]])</f>
        <v>6</v>
      </c>
      <c r="W1611" s="121">
        <f>DAY(Таблица18[[#This Row],[Дата акта]])</f>
        <v>14</v>
      </c>
      <c r="X1611" s="148">
        <f>DATE(1900,Таблица18[[#This Row],[Месяц]],Таблица18[[#This Row],[Число]])</f>
        <v>166</v>
      </c>
      <c r="Y1611" s="121"/>
      <c r="Z1611" s="121" t="str">
        <f>Таблица18[[#This Row],[Хар-ка]]</f>
        <v>Высший</v>
      </c>
      <c r="AA1611"/>
      <c r="AB1611">
        <v>209</v>
      </c>
      <c r="AC1611"/>
      <c r="AD1611" s="460" t="s">
        <v>3093</v>
      </c>
      <c r="AE1611" t="s">
        <v>524</v>
      </c>
      <c r="AF1611" t="s">
        <v>46</v>
      </c>
    </row>
    <row r="1612" spans="1:32" s="465" customFormat="1" ht="33.75" x14ac:dyDescent="0.25">
      <c r="A1612" s="40" t="s">
        <v>3307</v>
      </c>
      <c r="B1612" s="360" t="s">
        <v>3230</v>
      </c>
      <c r="C1612" s="40">
        <v>314</v>
      </c>
      <c r="D1612" s="40">
        <v>196</v>
      </c>
      <c r="E1612" s="40" t="s">
        <v>2964</v>
      </c>
      <c r="F1612" s="40" t="s">
        <v>3204</v>
      </c>
      <c r="G1612" s="40" t="s">
        <v>3303</v>
      </c>
      <c r="H1612" s="40" t="s">
        <v>3105</v>
      </c>
      <c r="I1612" s="40" t="str">
        <f>VLOOKUP(Таблица18[[#This Row],[Номер акта]],$AB$1:$AF$2504,3,FALSE)</f>
        <v>А-83/2</v>
      </c>
      <c r="J1612" s="40" t="s">
        <v>524</v>
      </c>
      <c r="K1612" s="40" t="s">
        <v>2939</v>
      </c>
      <c r="L1612" s="121">
        <v>28330</v>
      </c>
      <c r="M1612" s="121">
        <v>15430</v>
      </c>
      <c r="N1612" s="121">
        <v>13.5</v>
      </c>
      <c r="O1612" s="363">
        <v>12900</v>
      </c>
      <c r="P1612" s="363">
        <v>11158.5</v>
      </c>
      <c r="Q1612" s="121">
        <v>2026</v>
      </c>
      <c r="R1612" s="121">
        <v>210</v>
      </c>
      <c r="S1612" s="148">
        <v>46187</v>
      </c>
      <c r="T1612" s="363">
        <f>Таблица18[[#This Row],[Вес нетто]]-Таблица18[[#This Row],[Зачетный вес]]</f>
        <v>1741.5</v>
      </c>
      <c r="U1612" s="392">
        <f>Таблица18[[#This Row],[Отход]]/Таблица18[[#This Row],[Вес нетто]]</f>
        <v>0.13500000000000001</v>
      </c>
      <c r="V1612" s="121">
        <f>MONTH(Таблица18[[#This Row],[Дата акта]])</f>
        <v>6</v>
      </c>
      <c r="W1612" s="121">
        <f>DAY(Таблица18[[#This Row],[Дата акта]])</f>
        <v>14</v>
      </c>
      <c r="X1612" s="148">
        <f>DATE(1900,Таблица18[[#This Row],[Месяц]],Таблица18[[#This Row],[Число]])</f>
        <v>166</v>
      </c>
      <c r="Y1612" s="121"/>
      <c r="Z1612" s="121" t="str">
        <f>Таблица18[[#This Row],[Хар-ка]]</f>
        <v>Первый</v>
      </c>
      <c r="AA1612"/>
      <c r="AB1612">
        <v>210</v>
      </c>
      <c r="AC1612"/>
      <c r="AD1612" s="460" t="s">
        <v>3106</v>
      </c>
      <c r="AE1612" t="s">
        <v>524</v>
      </c>
      <c r="AF1612" t="s">
        <v>46</v>
      </c>
    </row>
    <row r="1613" spans="1:32" s="465" customFormat="1" ht="33.75" x14ac:dyDescent="0.25">
      <c r="A1613" s="40" t="s">
        <v>3308</v>
      </c>
      <c r="B1613" s="360" t="s">
        <v>2940</v>
      </c>
      <c r="C1613" s="40">
        <v>315</v>
      </c>
      <c r="D1613" s="40">
        <v>197</v>
      </c>
      <c r="E1613" s="40" t="s">
        <v>2964</v>
      </c>
      <c r="F1613" s="40" t="s">
        <v>737</v>
      </c>
      <c r="G1613" s="40" t="s">
        <v>738</v>
      </c>
      <c r="H1613" s="40" t="s">
        <v>3105</v>
      </c>
      <c r="I1613" s="40" t="str">
        <f>VLOOKUP(Таблица18[[#This Row],[Номер акта]],$AB$1:$AF$2504,3,FALSE)</f>
        <v>А-83/2</v>
      </c>
      <c r="J1613" s="40" t="s">
        <v>524</v>
      </c>
      <c r="K1613" s="40" t="s">
        <v>2939</v>
      </c>
      <c r="L1613" s="121">
        <v>7070</v>
      </c>
      <c r="M1613" s="121">
        <v>4860</v>
      </c>
      <c r="N1613" s="121">
        <v>16</v>
      </c>
      <c r="O1613" s="363">
        <v>2210</v>
      </c>
      <c r="P1613" s="363">
        <v>1856.4</v>
      </c>
      <c r="Q1613" s="121">
        <v>2026</v>
      </c>
      <c r="R1613" s="121">
        <v>211</v>
      </c>
      <c r="S1613" s="148">
        <v>46187</v>
      </c>
      <c r="T1613" s="363">
        <f>Таблица18[[#This Row],[Вес нетто]]-Таблица18[[#This Row],[Зачетный вес]]</f>
        <v>353.59999999999991</v>
      </c>
      <c r="U1613" s="392">
        <f>Таблица18[[#This Row],[Отход]]/Таблица18[[#This Row],[Вес нетто]]</f>
        <v>0.15999999999999995</v>
      </c>
      <c r="V1613" s="121">
        <f>MONTH(Таблица18[[#This Row],[Дата акта]])</f>
        <v>6</v>
      </c>
      <c r="W1613" s="121">
        <f>DAY(Таблица18[[#This Row],[Дата акта]])</f>
        <v>14</v>
      </c>
      <c r="X1613" s="148">
        <f>DATE(1900,Таблица18[[#This Row],[Месяц]],Таблица18[[#This Row],[Число]])</f>
        <v>166</v>
      </c>
      <c r="Y1613" s="121"/>
      <c r="Z1613" s="121" t="str">
        <f>Таблица18[[#This Row],[Хар-ка]]</f>
        <v>Высший</v>
      </c>
      <c r="AA1613"/>
      <c r="AB1613">
        <v>211</v>
      </c>
      <c r="AC1613"/>
      <c r="AD1613" s="460" t="s">
        <v>3106</v>
      </c>
      <c r="AE1613" t="s">
        <v>524</v>
      </c>
      <c r="AF1613" t="s">
        <v>46</v>
      </c>
    </row>
    <row r="1614" spans="1:32" s="465" customFormat="1" ht="33.75" x14ac:dyDescent="0.25">
      <c r="A1614" s="40" t="s">
        <v>3309</v>
      </c>
      <c r="B1614" s="360" t="s">
        <v>2940</v>
      </c>
      <c r="C1614" s="40">
        <v>316</v>
      </c>
      <c r="D1614" s="40">
        <v>198</v>
      </c>
      <c r="E1614" s="40" t="s">
        <v>2964</v>
      </c>
      <c r="F1614" s="40" t="s">
        <v>311</v>
      </c>
      <c r="G1614" s="40" t="s">
        <v>315</v>
      </c>
      <c r="H1614" s="40" t="s">
        <v>3105</v>
      </c>
      <c r="I1614" s="40" t="str">
        <f>VLOOKUP(Таблица18[[#This Row],[Номер акта]],$AB$1:$AF$2504,3,FALSE)</f>
        <v>А-83/2</v>
      </c>
      <c r="J1614" s="40" t="s">
        <v>524</v>
      </c>
      <c r="K1614" s="40" t="s">
        <v>2939</v>
      </c>
      <c r="L1614" s="121">
        <v>30150</v>
      </c>
      <c r="M1614" s="121">
        <v>15710</v>
      </c>
      <c r="N1614" s="121">
        <v>13</v>
      </c>
      <c r="O1614" s="363">
        <v>14440</v>
      </c>
      <c r="P1614" s="363">
        <v>12562.8</v>
      </c>
      <c r="Q1614" s="121">
        <v>2026</v>
      </c>
      <c r="R1614" s="121">
        <v>212</v>
      </c>
      <c r="S1614" s="148">
        <v>46187</v>
      </c>
      <c r="T1614" s="363">
        <f>Таблица18[[#This Row],[Вес нетто]]-Таблица18[[#This Row],[Зачетный вес]]</f>
        <v>1877.2000000000007</v>
      </c>
      <c r="U1614" s="392">
        <f>Таблица18[[#This Row],[Отход]]/Таблица18[[#This Row],[Вес нетто]]</f>
        <v>0.13000000000000006</v>
      </c>
      <c r="V1614" s="121">
        <f>MONTH(Таблица18[[#This Row],[Дата акта]])</f>
        <v>6</v>
      </c>
      <c r="W1614" s="121">
        <f>DAY(Таблица18[[#This Row],[Дата акта]])</f>
        <v>14</v>
      </c>
      <c r="X1614" s="148">
        <f>DATE(1900,Таблица18[[#This Row],[Месяц]],Таблица18[[#This Row],[Число]])</f>
        <v>166</v>
      </c>
      <c r="Y1614" s="121"/>
      <c r="Z1614" s="121" t="str">
        <f>Таблица18[[#This Row],[Хар-ка]]</f>
        <v>Высший</v>
      </c>
      <c r="AA1614"/>
      <c r="AB1614">
        <v>212</v>
      </c>
      <c r="AC1614"/>
      <c r="AD1614" s="460" t="s">
        <v>3106</v>
      </c>
      <c r="AE1614" t="s">
        <v>524</v>
      </c>
      <c r="AF1614" t="s">
        <v>46</v>
      </c>
    </row>
    <row r="1615" spans="1:32" s="465" customFormat="1" ht="22.5" x14ac:dyDescent="0.25">
      <c r="A1615" s="40" t="s">
        <v>3310</v>
      </c>
      <c r="B1615" s="360" t="s">
        <v>2940</v>
      </c>
      <c r="C1615" s="40">
        <v>317</v>
      </c>
      <c r="D1615" s="40">
        <v>199</v>
      </c>
      <c r="E1615" s="40" t="s">
        <v>2964</v>
      </c>
      <c r="F1615" s="40" t="s">
        <v>166</v>
      </c>
      <c r="G1615" s="40" t="s">
        <v>170</v>
      </c>
      <c r="H1615" s="40" t="s">
        <v>3105</v>
      </c>
      <c r="I1615" s="40" t="str">
        <f>VLOOKUP(Таблица18[[#This Row],[Номер акта]],$AB$1:$AF$2504,3,FALSE)</f>
        <v>А-83/2</v>
      </c>
      <c r="J1615" s="40" t="s">
        <v>524</v>
      </c>
      <c r="K1615" s="40" t="s">
        <v>2939</v>
      </c>
      <c r="L1615" s="121">
        <v>29580</v>
      </c>
      <c r="M1615" s="121">
        <v>15290</v>
      </c>
      <c r="N1615" s="121">
        <v>11</v>
      </c>
      <c r="O1615" s="363">
        <v>14290</v>
      </c>
      <c r="P1615" s="363">
        <v>12718.1</v>
      </c>
      <c r="Q1615" s="121">
        <v>2026</v>
      </c>
      <c r="R1615" s="121">
        <v>213</v>
      </c>
      <c r="S1615" s="148">
        <v>46187</v>
      </c>
      <c r="T1615" s="363">
        <f>Таблица18[[#This Row],[Вес нетто]]-Таблица18[[#This Row],[Зачетный вес]]</f>
        <v>1571.8999999999996</v>
      </c>
      <c r="U1615" s="392">
        <f>Таблица18[[#This Row],[Отход]]/Таблица18[[#This Row],[Вес нетто]]</f>
        <v>0.10999999999999997</v>
      </c>
      <c r="V1615" s="121">
        <f>MONTH(Таблица18[[#This Row],[Дата акта]])</f>
        <v>6</v>
      </c>
      <c r="W1615" s="121">
        <f>DAY(Таблица18[[#This Row],[Дата акта]])</f>
        <v>14</v>
      </c>
      <c r="X1615" s="148">
        <f>DATE(1900,Таблица18[[#This Row],[Месяц]],Таблица18[[#This Row],[Число]])</f>
        <v>166</v>
      </c>
      <c r="Y1615" s="121"/>
      <c r="Z1615" s="121" t="str">
        <f>Таблица18[[#This Row],[Хар-ка]]</f>
        <v>Высший</v>
      </c>
      <c r="AA1615"/>
      <c r="AB1615">
        <v>213</v>
      </c>
      <c r="AC1615"/>
      <c r="AD1615" s="460" t="s">
        <v>3106</v>
      </c>
      <c r="AE1615" t="s">
        <v>524</v>
      </c>
      <c r="AF1615" t="s">
        <v>46</v>
      </c>
    </row>
    <row r="1616" spans="1:32" s="465" customFormat="1" ht="33.75" x14ac:dyDescent="0.25">
      <c r="A1616" s="40" t="s">
        <v>3311</v>
      </c>
      <c r="B1616" s="360" t="s">
        <v>2940</v>
      </c>
      <c r="C1616" s="40">
        <v>318</v>
      </c>
      <c r="D1616" s="40">
        <v>200</v>
      </c>
      <c r="E1616" s="40" t="s">
        <v>2964</v>
      </c>
      <c r="F1616" s="40" t="s">
        <v>305</v>
      </c>
      <c r="G1616" s="40" t="s">
        <v>309</v>
      </c>
      <c r="H1616" s="40" t="s">
        <v>3105</v>
      </c>
      <c r="I1616" s="40" t="str">
        <f>VLOOKUP(Таблица18[[#This Row],[Номер акта]],$AB$1:$AF$2504,3,FALSE)</f>
        <v>А-83/2</v>
      </c>
      <c r="J1616" s="40" t="s">
        <v>524</v>
      </c>
      <c r="K1616" s="40" t="s">
        <v>2939</v>
      </c>
      <c r="L1616" s="121">
        <v>23210</v>
      </c>
      <c r="M1616" s="121">
        <v>14590</v>
      </c>
      <c r="N1616" s="121">
        <v>12</v>
      </c>
      <c r="O1616" s="363">
        <v>8620</v>
      </c>
      <c r="P1616" s="363">
        <v>7585.6</v>
      </c>
      <c r="Q1616" s="121">
        <v>2026</v>
      </c>
      <c r="R1616" s="121">
        <v>214</v>
      </c>
      <c r="S1616" s="148">
        <v>46187</v>
      </c>
      <c r="T1616" s="363">
        <f>Таблица18[[#This Row],[Вес нетто]]-Таблица18[[#This Row],[Зачетный вес]]</f>
        <v>1034.3999999999996</v>
      </c>
      <c r="U1616" s="392">
        <f>Таблица18[[#This Row],[Отход]]/Таблица18[[#This Row],[Вес нетто]]</f>
        <v>0.11999999999999995</v>
      </c>
      <c r="V1616" s="121">
        <f>MONTH(Таблица18[[#This Row],[Дата акта]])</f>
        <v>6</v>
      </c>
      <c r="W1616" s="121">
        <f>DAY(Таблица18[[#This Row],[Дата акта]])</f>
        <v>14</v>
      </c>
      <c r="X1616" s="148">
        <f>DATE(1900,Таблица18[[#This Row],[Месяц]],Таблица18[[#This Row],[Число]])</f>
        <v>166</v>
      </c>
      <c r="Y1616" s="121"/>
      <c r="Z1616" s="121" t="str">
        <f>Таблица18[[#This Row],[Хар-ка]]</f>
        <v>Высший</v>
      </c>
      <c r="AA1616"/>
      <c r="AB1616">
        <v>214</v>
      </c>
      <c r="AC1616"/>
      <c r="AD1616" s="460" t="s">
        <v>3106</v>
      </c>
      <c r="AE1616" t="s">
        <v>524</v>
      </c>
      <c r="AF1616" t="s">
        <v>46</v>
      </c>
    </row>
    <row r="1617" spans="1:32" s="465" customFormat="1" ht="33.75" x14ac:dyDescent="0.25">
      <c r="A1617" s="40" t="s">
        <v>3312</v>
      </c>
      <c r="B1617" s="360" t="s">
        <v>3230</v>
      </c>
      <c r="C1617" s="40">
        <v>319</v>
      </c>
      <c r="D1617" s="40">
        <v>201</v>
      </c>
      <c r="E1617" s="40" t="s">
        <v>2964</v>
      </c>
      <c r="F1617" s="40" t="s">
        <v>3204</v>
      </c>
      <c r="G1617" s="40" t="s">
        <v>3303</v>
      </c>
      <c r="H1617" s="40" t="s">
        <v>3105</v>
      </c>
      <c r="I1617" s="40" t="str">
        <f>VLOOKUP(Таблица18[[#This Row],[Номер акта]],$AB$1:$AF$2504,3,FALSE)</f>
        <v>А-83/2</v>
      </c>
      <c r="J1617" s="40" t="s">
        <v>524</v>
      </c>
      <c r="K1617" s="40" t="s">
        <v>2939</v>
      </c>
      <c r="L1617" s="121">
        <v>24540</v>
      </c>
      <c r="M1617" s="121">
        <v>15550</v>
      </c>
      <c r="N1617" s="121">
        <v>11</v>
      </c>
      <c r="O1617" s="363">
        <v>8990</v>
      </c>
      <c r="P1617" s="363">
        <v>8001.1</v>
      </c>
      <c r="Q1617" s="121">
        <v>2026</v>
      </c>
      <c r="R1617" s="121">
        <v>215</v>
      </c>
      <c r="S1617" s="148">
        <v>46187</v>
      </c>
      <c r="T1617" s="363">
        <f>Таблица18[[#This Row],[Вес нетто]]-Таблица18[[#This Row],[Зачетный вес]]</f>
        <v>988.89999999999964</v>
      </c>
      <c r="U1617" s="392">
        <f>Таблица18[[#This Row],[Отход]]/Таблица18[[#This Row],[Вес нетто]]</f>
        <v>0.10999999999999996</v>
      </c>
      <c r="V1617" s="121">
        <f>MONTH(Таблица18[[#This Row],[Дата акта]])</f>
        <v>6</v>
      </c>
      <c r="W1617" s="121">
        <f>DAY(Таблица18[[#This Row],[Дата акта]])</f>
        <v>14</v>
      </c>
      <c r="X1617" s="148">
        <f>DATE(1900,Таблица18[[#This Row],[Месяц]],Таблица18[[#This Row],[Число]])</f>
        <v>166</v>
      </c>
      <c r="Y1617" s="121"/>
      <c r="Z1617" s="121" t="str">
        <f>Таблица18[[#This Row],[Хар-ка]]</f>
        <v>Первый</v>
      </c>
      <c r="AA1617"/>
      <c r="AB1617">
        <v>215</v>
      </c>
      <c r="AC1617"/>
      <c r="AD1617" s="460" t="s">
        <v>3106</v>
      </c>
      <c r="AE1617" t="s">
        <v>524</v>
      </c>
      <c r="AF1617" t="s">
        <v>46</v>
      </c>
    </row>
    <row r="1618" spans="1:32" s="465" customFormat="1" ht="33.75" x14ac:dyDescent="0.25">
      <c r="A1618" s="40" t="s">
        <v>3313</v>
      </c>
      <c r="B1618" s="360" t="s">
        <v>2940</v>
      </c>
      <c r="C1618" s="40">
        <v>320</v>
      </c>
      <c r="D1618" s="40">
        <v>202</v>
      </c>
      <c r="E1618" s="40" t="s">
        <v>2964</v>
      </c>
      <c r="F1618" s="40" t="s">
        <v>311</v>
      </c>
      <c r="G1618" s="40" t="s">
        <v>315</v>
      </c>
      <c r="H1618" s="40" t="s">
        <v>3105</v>
      </c>
      <c r="I1618" s="40" t="str">
        <f>VLOOKUP(Таблица18[[#This Row],[Номер акта]],$AB$1:$AF$2504,3,FALSE)</f>
        <v>А-83/2</v>
      </c>
      <c r="J1618" s="40" t="s">
        <v>524</v>
      </c>
      <c r="K1618" s="40" t="s">
        <v>2939</v>
      </c>
      <c r="L1618" s="121">
        <v>28750</v>
      </c>
      <c r="M1618" s="121">
        <v>15640</v>
      </c>
      <c r="N1618" s="121">
        <v>16.5</v>
      </c>
      <c r="O1618" s="363">
        <v>13110</v>
      </c>
      <c r="P1618" s="363">
        <v>10946.9</v>
      </c>
      <c r="Q1618" s="121">
        <v>2026</v>
      </c>
      <c r="R1618" s="121">
        <v>216</v>
      </c>
      <c r="S1618" s="148">
        <v>46187</v>
      </c>
      <c r="T1618" s="363">
        <f>Таблица18[[#This Row],[Вес нетто]]-Таблица18[[#This Row],[Зачетный вес]]</f>
        <v>2163.1000000000004</v>
      </c>
      <c r="U1618" s="392">
        <f>Таблица18[[#This Row],[Отход]]/Таблица18[[#This Row],[Вес нетто]]</f>
        <v>0.16499618611746761</v>
      </c>
      <c r="V1618" s="121">
        <f>MONTH(Таблица18[[#This Row],[Дата акта]])</f>
        <v>6</v>
      </c>
      <c r="W1618" s="121">
        <f>DAY(Таблица18[[#This Row],[Дата акта]])</f>
        <v>14</v>
      </c>
      <c r="X1618" s="148">
        <f>DATE(1900,Таблица18[[#This Row],[Месяц]],Таблица18[[#This Row],[Число]])</f>
        <v>166</v>
      </c>
      <c r="Y1618" s="121"/>
      <c r="Z1618" s="121" t="str">
        <f>Таблица18[[#This Row],[Хар-ка]]</f>
        <v>Высший</v>
      </c>
      <c r="AA1618"/>
      <c r="AB1618">
        <v>216</v>
      </c>
      <c r="AC1618"/>
      <c r="AD1618" s="460" t="s">
        <v>3106</v>
      </c>
      <c r="AE1618" t="s">
        <v>524</v>
      </c>
      <c r="AF1618" t="s">
        <v>46</v>
      </c>
    </row>
    <row r="1619" spans="1:32" s="465" customFormat="1" ht="22.5" x14ac:dyDescent="0.25">
      <c r="A1619" s="40" t="s">
        <v>3314</v>
      </c>
      <c r="B1619" s="360" t="s">
        <v>2940</v>
      </c>
      <c r="C1619" s="40">
        <v>321</v>
      </c>
      <c r="D1619" s="40">
        <v>203</v>
      </c>
      <c r="E1619" s="40" t="s">
        <v>2964</v>
      </c>
      <c r="F1619" s="40" t="s">
        <v>166</v>
      </c>
      <c r="G1619" s="40" t="s">
        <v>170</v>
      </c>
      <c r="H1619" s="40" t="s">
        <v>3105</v>
      </c>
      <c r="I1619" s="40" t="str">
        <f>VLOOKUP(Таблица18[[#This Row],[Номер акта]],$AB$1:$AF$2504,3,FALSE)</f>
        <v>А-83/2</v>
      </c>
      <c r="J1619" s="40" t="s">
        <v>524</v>
      </c>
      <c r="K1619" s="40" t="s">
        <v>2939</v>
      </c>
      <c r="L1619" s="121">
        <v>28490</v>
      </c>
      <c r="M1619" s="121">
        <v>15360</v>
      </c>
      <c r="N1619" s="121">
        <v>19</v>
      </c>
      <c r="O1619" s="363">
        <v>13130</v>
      </c>
      <c r="P1619" s="363">
        <v>10635.3</v>
      </c>
      <c r="Q1619" s="121">
        <v>2026</v>
      </c>
      <c r="R1619" s="121">
        <v>217</v>
      </c>
      <c r="S1619" s="148">
        <v>46187</v>
      </c>
      <c r="T1619" s="363">
        <f>Таблица18[[#This Row],[Вес нетто]]-Таблица18[[#This Row],[Зачетный вес]]</f>
        <v>2494.7000000000007</v>
      </c>
      <c r="U1619" s="392">
        <f>Таблица18[[#This Row],[Отход]]/Таблица18[[#This Row],[Вес нетто]]</f>
        <v>0.19000000000000006</v>
      </c>
      <c r="V1619" s="121">
        <f>MONTH(Таблица18[[#This Row],[Дата акта]])</f>
        <v>6</v>
      </c>
      <c r="W1619" s="121">
        <f>DAY(Таблица18[[#This Row],[Дата акта]])</f>
        <v>14</v>
      </c>
      <c r="X1619" s="148">
        <f>DATE(1900,Таблица18[[#This Row],[Месяц]],Таблица18[[#This Row],[Число]])</f>
        <v>166</v>
      </c>
      <c r="Y1619" s="121"/>
      <c r="Z1619" s="121" t="str">
        <f>Таблица18[[#This Row],[Хар-ка]]</f>
        <v>Высший</v>
      </c>
      <c r="AA1619"/>
      <c r="AB1619">
        <v>217</v>
      </c>
      <c r="AC1619"/>
      <c r="AD1619" s="460" t="s">
        <v>3106</v>
      </c>
      <c r="AE1619" t="s">
        <v>524</v>
      </c>
      <c r="AF1619" t="s">
        <v>46</v>
      </c>
    </row>
    <row r="1620" spans="1:32" s="465" customFormat="1" ht="33.75" x14ac:dyDescent="0.25">
      <c r="A1620" s="40" t="s">
        <v>3315</v>
      </c>
      <c r="B1620" s="360" t="s">
        <v>2940</v>
      </c>
      <c r="C1620" s="40">
        <v>322</v>
      </c>
      <c r="D1620" s="40">
        <v>204</v>
      </c>
      <c r="E1620" s="40" t="s">
        <v>2964</v>
      </c>
      <c r="F1620" s="40" t="s">
        <v>305</v>
      </c>
      <c r="G1620" s="40" t="s">
        <v>309</v>
      </c>
      <c r="H1620" s="40" t="s">
        <v>3105</v>
      </c>
      <c r="I1620" s="40" t="str">
        <f>VLOOKUP(Таблица18[[#This Row],[Номер акта]],$AB$1:$AF$2504,3,FALSE)</f>
        <v>А-83/2</v>
      </c>
      <c r="J1620" s="40" t="s">
        <v>524</v>
      </c>
      <c r="K1620" s="40" t="s">
        <v>2939</v>
      </c>
      <c r="L1620" s="121">
        <v>27420</v>
      </c>
      <c r="M1620" s="121">
        <v>14670</v>
      </c>
      <c r="N1620" s="121">
        <v>14</v>
      </c>
      <c r="O1620" s="363">
        <v>12750</v>
      </c>
      <c r="P1620" s="363">
        <v>10965</v>
      </c>
      <c r="Q1620" s="121">
        <v>2026</v>
      </c>
      <c r="R1620" s="121">
        <v>218</v>
      </c>
      <c r="S1620" s="148">
        <v>46187</v>
      </c>
      <c r="T1620" s="363">
        <f>Таблица18[[#This Row],[Вес нетто]]-Таблица18[[#This Row],[Зачетный вес]]</f>
        <v>1785</v>
      </c>
      <c r="U1620" s="392">
        <f>Таблица18[[#This Row],[Отход]]/Таблица18[[#This Row],[Вес нетто]]</f>
        <v>0.14000000000000001</v>
      </c>
      <c r="V1620" s="121">
        <f>MONTH(Таблица18[[#This Row],[Дата акта]])</f>
        <v>6</v>
      </c>
      <c r="W1620" s="121">
        <f>DAY(Таблица18[[#This Row],[Дата акта]])</f>
        <v>14</v>
      </c>
      <c r="X1620" s="148">
        <f>DATE(1900,Таблица18[[#This Row],[Месяц]],Таблица18[[#This Row],[Число]])</f>
        <v>166</v>
      </c>
      <c r="Y1620" s="121"/>
      <c r="Z1620" s="121" t="str">
        <f>Таблица18[[#This Row],[Хар-ка]]</f>
        <v>Высший</v>
      </c>
      <c r="AA1620"/>
      <c r="AB1620">
        <v>218</v>
      </c>
      <c r="AC1620"/>
      <c r="AD1620" s="460" t="s">
        <v>3106</v>
      </c>
      <c r="AE1620" t="s">
        <v>524</v>
      </c>
      <c r="AF1620" t="s">
        <v>46</v>
      </c>
    </row>
    <row r="1621" spans="1:32" s="465" customFormat="1" ht="33.75" x14ac:dyDescent="0.25">
      <c r="A1621" s="40" t="s">
        <v>3316</v>
      </c>
      <c r="B1621" s="360" t="s">
        <v>2940</v>
      </c>
      <c r="C1621" s="40">
        <v>323</v>
      </c>
      <c r="D1621" s="40">
        <v>205</v>
      </c>
      <c r="E1621" s="40" t="s">
        <v>2964</v>
      </c>
      <c r="F1621" s="40" t="s">
        <v>3204</v>
      </c>
      <c r="G1621" s="40" t="s">
        <v>3303</v>
      </c>
      <c r="H1621" s="40" t="s">
        <v>3317</v>
      </c>
      <c r="I1621" s="40" t="str">
        <f>VLOOKUP(Таблица18[[#This Row],[Номер акта]],$AB$1:$AF$2504,3,FALSE)</f>
        <v>А-83/2</v>
      </c>
      <c r="J1621" s="40" t="s">
        <v>524</v>
      </c>
      <c r="K1621" s="40" t="s">
        <v>2939</v>
      </c>
      <c r="L1621" s="121">
        <v>28320</v>
      </c>
      <c r="M1621" s="121">
        <v>15570</v>
      </c>
      <c r="N1621" s="121">
        <v>13</v>
      </c>
      <c r="O1621" s="363">
        <v>12750</v>
      </c>
      <c r="P1621" s="363">
        <v>11092.5</v>
      </c>
      <c r="Q1621" s="121">
        <v>2026</v>
      </c>
      <c r="R1621" s="121">
        <v>219</v>
      </c>
      <c r="S1621" s="148">
        <v>46187</v>
      </c>
      <c r="T1621" s="363">
        <f>Таблица18[[#This Row],[Вес нетто]]-Таблица18[[#This Row],[Зачетный вес]]</f>
        <v>1657.5</v>
      </c>
      <c r="U1621" s="392">
        <f>Таблица18[[#This Row],[Отход]]/Таблица18[[#This Row],[Вес нетто]]</f>
        <v>0.13</v>
      </c>
      <c r="V1621" s="121">
        <f>MONTH(Таблица18[[#This Row],[Дата акта]])</f>
        <v>6</v>
      </c>
      <c r="W1621" s="121">
        <f>DAY(Таблица18[[#This Row],[Дата акта]])</f>
        <v>14</v>
      </c>
      <c r="X1621" s="148">
        <f>DATE(1900,Таблица18[[#This Row],[Месяц]],Таблица18[[#This Row],[Число]])</f>
        <v>166</v>
      </c>
      <c r="Y1621" s="121"/>
      <c r="Z1621" s="121" t="str">
        <f>Таблица18[[#This Row],[Хар-ка]]</f>
        <v>Высший</v>
      </c>
      <c r="AA1621"/>
      <c r="AB1621">
        <v>219</v>
      </c>
      <c r="AC1621"/>
      <c r="AD1621" s="460" t="s">
        <v>3106</v>
      </c>
      <c r="AE1621" t="s">
        <v>524</v>
      </c>
      <c r="AF1621" t="s">
        <v>46</v>
      </c>
    </row>
    <row r="1622" spans="1:32" s="465" customFormat="1" ht="33.75" x14ac:dyDescent="0.25">
      <c r="A1622" s="40" t="s">
        <v>3318</v>
      </c>
      <c r="B1622" s="360" t="s">
        <v>2940</v>
      </c>
      <c r="C1622" s="40">
        <v>324</v>
      </c>
      <c r="D1622" s="40">
        <v>206</v>
      </c>
      <c r="E1622" s="40" t="s">
        <v>2964</v>
      </c>
      <c r="F1622" s="40" t="s">
        <v>311</v>
      </c>
      <c r="G1622" s="40" t="s">
        <v>315</v>
      </c>
      <c r="H1622" s="40" t="s">
        <v>3105</v>
      </c>
      <c r="I1622" s="40" t="str">
        <f>VLOOKUP(Таблица18[[#This Row],[Номер акта]],$AB$1:$AF$2504,3,FALSE)</f>
        <v>А-83/2</v>
      </c>
      <c r="J1622" s="40" t="s">
        <v>524</v>
      </c>
      <c r="K1622" s="40" t="s">
        <v>2939</v>
      </c>
      <c r="L1622" s="121">
        <v>28060</v>
      </c>
      <c r="M1622" s="121">
        <v>15620</v>
      </c>
      <c r="N1622" s="121">
        <v>15</v>
      </c>
      <c r="O1622" s="363">
        <v>12440</v>
      </c>
      <c r="P1622" s="363">
        <v>10574</v>
      </c>
      <c r="Q1622" s="121">
        <v>2026</v>
      </c>
      <c r="R1622" s="121">
        <v>220</v>
      </c>
      <c r="S1622" s="148">
        <v>46187</v>
      </c>
      <c r="T1622" s="363">
        <f>Таблица18[[#This Row],[Вес нетто]]-Таблица18[[#This Row],[Зачетный вес]]</f>
        <v>1866</v>
      </c>
      <c r="U1622" s="392">
        <f>Таблица18[[#This Row],[Отход]]/Таблица18[[#This Row],[Вес нетто]]</f>
        <v>0.15</v>
      </c>
      <c r="V1622" s="121">
        <f>MONTH(Таблица18[[#This Row],[Дата акта]])</f>
        <v>6</v>
      </c>
      <c r="W1622" s="121">
        <f>DAY(Таблица18[[#This Row],[Дата акта]])</f>
        <v>14</v>
      </c>
      <c r="X1622" s="148">
        <f>DATE(1900,Таблица18[[#This Row],[Месяц]],Таблица18[[#This Row],[Число]])</f>
        <v>166</v>
      </c>
      <c r="Y1622" s="121"/>
      <c r="Z1622" s="121" t="str">
        <f>Таблица18[[#This Row],[Хар-ка]]</f>
        <v>Высший</v>
      </c>
      <c r="AA1622"/>
      <c r="AB1622">
        <v>220</v>
      </c>
      <c r="AC1622"/>
      <c r="AD1622" s="460" t="s">
        <v>3106</v>
      </c>
      <c r="AE1622" t="s">
        <v>524</v>
      </c>
      <c r="AF1622" t="s">
        <v>46</v>
      </c>
    </row>
    <row r="1623" spans="1:32" s="465" customFormat="1" ht="22.5" x14ac:dyDescent="0.25">
      <c r="A1623" s="40" t="s">
        <v>3319</v>
      </c>
      <c r="B1623" s="360" t="s">
        <v>3230</v>
      </c>
      <c r="C1623" s="40">
        <v>325</v>
      </c>
      <c r="D1623" s="40">
        <v>207</v>
      </c>
      <c r="E1623" s="40" t="s">
        <v>2964</v>
      </c>
      <c r="F1623" s="40" t="s">
        <v>166</v>
      </c>
      <c r="G1623" s="40" t="s">
        <v>170</v>
      </c>
      <c r="H1623" s="40" t="s">
        <v>3317</v>
      </c>
      <c r="I1623" s="40" t="str">
        <f>VLOOKUP(Таблица18[[#This Row],[Номер акта]],$AB$1:$AF$2504,3,FALSE)</f>
        <v>А-83/2</v>
      </c>
      <c r="J1623" s="40" t="s">
        <v>524</v>
      </c>
      <c r="K1623" s="40" t="s">
        <v>2939</v>
      </c>
      <c r="L1623" s="121">
        <v>28250</v>
      </c>
      <c r="M1623" s="121">
        <v>15430</v>
      </c>
      <c r="N1623" s="121">
        <v>16.5</v>
      </c>
      <c r="O1623" s="363">
        <v>12820</v>
      </c>
      <c r="P1623" s="363">
        <v>10704.7</v>
      </c>
      <c r="Q1623" s="121">
        <v>2026</v>
      </c>
      <c r="R1623" s="121">
        <v>221</v>
      </c>
      <c r="S1623" s="148">
        <v>46187</v>
      </c>
      <c r="T1623" s="363">
        <f>Таблица18[[#This Row],[Вес нетто]]-Таблица18[[#This Row],[Зачетный вес]]</f>
        <v>2115.2999999999993</v>
      </c>
      <c r="U1623" s="392">
        <f>Таблица18[[#This Row],[Отход]]/Таблица18[[#This Row],[Вес нетто]]</f>
        <v>0.16499999999999995</v>
      </c>
      <c r="V1623" s="121">
        <f>MONTH(Таблица18[[#This Row],[Дата акта]])</f>
        <v>6</v>
      </c>
      <c r="W1623" s="121">
        <f>DAY(Таблица18[[#This Row],[Дата акта]])</f>
        <v>14</v>
      </c>
      <c r="X1623" s="148">
        <f>DATE(1900,Таблица18[[#This Row],[Месяц]],Таблица18[[#This Row],[Число]])</f>
        <v>166</v>
      </c>
      <c r="Y1623" s="121"/>
      <c r="Z1623" s="121" t="str">
        <f>Таблица18[[#This Row],[Хар-ка]]</f>
        <v>Первый</v>
      </c>
      <c r="AA1623"/>
      <c r="AB1623">
        <v>221</v>
      </c>
      <c r="AC1623"/>
      <c r="AD1623" s="460" t="s">
        <v>3106</v>
      </c>
      <c r="AE1623" t="s">
        <v>524</v>
      </c>
      <c r="AF1623" t="s">
        <v>46</v>
      </c>
    </row>
    <row r="1624" spans="1:32" s="465" customFormat="1" ht="33.75" x14ac:dyDescent="0.25">
      <c r="A1624" s="40" t="s">
        <v>3320</v>
      </c>
      <c r="B1624" s="360" t="s">
        <v>2940</v>
      </c>
      <c r="C1624" s="40">
        <v>326</v>
      </c>
      <c r="D1624" s="40">
        <v>208</v>
      </c>
      <c r="E1624" s="40" t="s">
        <v>2964</v>
      </c>
      <c r="F1624" s="40" t="s">
        <v>305</v>
      </c>
      <c r="G1624" s="40" t="s">
        <v>309</v>
      </c>
      <c r="H1624" s="40" t="s">
        <v>3317</v>
      </c>
      <c r="I1624" s="40" t="str">
        <f>VLOOKUP(Таблица18[[#This Row],[Номер акта]],$AB$1:$AF$2504,3,FALSE)</f>
        <v>А-83/2</v>
      </c>
      <c r="J1624" s="40" t="s">
        <v>524</v>
      </c>
      <c r="K1624" s="40" t="s">
        <v>2939</v>
      </c>
      <c r="L1624" s="121">
        <v>26940</v>
      </c>
      <c r="M1624" s="121">
        <v>14660</v>
      </c>
      <c r="N1624" s="121">
        <v>10.5</v>
      </c>
      <c r="O1624" s="363">
        <v>12280</v>
      </c>
      <c r="P1624" s="363">
        <v>10990.6</v>
      </c>
      <c r="Q1624" s="121">
        <v>2026</v>
      </c>
      <c r="R1624" s="121">
        <v>222</v>
      </c>
      <c r="S1624" s="148">
        <v>46188</v>
      </c>
      <c r="T1624" s="363">
        <f>Таблица18[[#This Row],[Вес нетто]]-Таблица18[[#This Row],[Зачетный вес]]</f>
        <v>1289.3999999999996</v>
      </c>
      <c r="U1624" s="392">
        <f>Таблица18[[#This Row],[Отход]]/Таблица18[[#This Row],[Вес нетто]]</f>
        <v>0.10499999999999997</v>
      </c>
      <c r="V1624" s="121">
        <f>MONTH(Таблица18[[#This Row],[Дата акта]])</f>
        <v>6</v>
      </c>
      <c r="W1624" s="121">
        <f>DAY(Таблица18[[#This Row],[Дата акта]])</f>
        <v>15</v>
      </c>
      <c r="X1624" s="148">
        <f>DATE(1900,Таблица18[[#This Row],[Месяц]],Таблица18[[#This Row],[Число]])</f>
        <v>167</v>
      </c>
      <c r="Y1624" s="121"/>
      <c r="Z1624" s="121" t="str">
        <f>Таблица18[[#This Row],[Хар-ка]]</f>
        <v>Высший</v>
      </c>
      <c r="AA1624"/>
      <c r="AB1624">
        <v>222</v>
      </c>
      <c r="AC1624"/>
      <c r="AD1624" s="460" t="s">
        <v>3106</v>
      </c>
      <c r="AE1624" t="s">
        <v>524</v>
      </c>
      <c r="AF1624" t="s">
        <v>46</v>
      </c>
    </row>
    <row r="1625" spans="1:32" s="465" customFormat="1" ht="33.75" x14ac:dyDescent="0.25">
      <c r="A1625" s="40" t="s">
        <v>3321</v>
      </c>
      <c r="B1625" s="360" t="s">
        <v>3230</v>
      </c>
      <c r="C1625" s="40">
        <v>327</v>
      </c>
      <c r="D1625" s="40">
        <v>209</v>
      </c>
      <c r="E1625" s="40" t="s">
        <v>2964</v>
      </c>
      <c r="F1625" s="40" t="s">
        <v>3204</v>
      </c>
      <c r="G1625" s="40" t="s">
        <v>3303</v>
      </c>
      <c r="H1625" s="40" t="s">
        <v>3105</v>
      </c>
      <c r="I1625" s="40" t="str">
        <f>VLOOKUP(Таблица18[[#This Row],[Номер акта]],$AB$1:$AF$2504,3,FALSE)</f>
        <v>А-83/2</v>
      </c>
      <c r="J1625" s="40" t="s">
        <v>524</v>
      </c>
      <c r="K1625" s="40" t="s">
        <v>2939</v>
      </c>
      <c r="L1625" s="121">
        <v>28490</v>
      </c>
      <c r="M1625" s="121">
        <v>15670</v>
      </c>
      <c r="N1625" s="121">
        <v>18.5</v>
      </c>
      <c r="O1625" s="363">
        <v>12820</v>
      </c>
      <c r="P1625" s="363">
        <v>10448.299999999999</v>
      </c>
      <c r="Q1625" s="121">
        <v>2026</v>
      </c>
      <c r="R1625" s="121">
        <v>223</v>
      </c>
      <c r="S1625" s="148">
        <v>46188</v>
      </c>
      <c r="T1625" s="363">
        <f>Таблица18[[#This Row],[Вес нетто]]-Таблица18[[#This Row],[Зачетный вес]]</f>
        <v>2371.7000000000007</v>
      </c>
      <c r="U1625" s="392">
        <f>Таблица18[[#This Row],[Отход]]/Таблица18[[#This Row],[Вес нетто]]</f>
        <v>0.18500000000000005</v>
      </c>
      <c r="V1625" s="121">
        <f>MONTH(Таблица18[[#This Row],[Дата акта]])</f>
        <v>6</v>
      </c>
      <c r="W1625" s="121">
        <f>DAY(Таблица18[[#This Row],[Дата акта]])</f>
        <v>15</v>
      </c>
      <c r="X1625" s="148">
        <f>DATE(1900,Таблица18[[#This Row],[Месяц]],Таблица18[[#This Row],[Число]])</f>
        <v>167</v>
      </c>
      <c r="Y1625" s="121"/>
      <c r="Z1625" s="121" t="str">
        <f>Таблица18[[#This Row],[Хар-ка]]</f>
        <v>Первый</v>
      </c>
      <c r="AA1625"/>
      <c r="AB1625">
        <v>223</v>
      </c>
      <c r="AC1625"/>
      <c r="AD1625" s="460" t="s">
        <v>3106</v>
      </c>
      <c r="AE1625" t="s">
        <v>524</v>
      </c>
      <c r="AF1625" t="s">
        <v>46</v>
      </c>
    </row>
    <row r="1626" spans="1:32" s="465" customFormat="1" ht="33.75" x14ac:dyDescent="0.25">
      <c r="A1626" s="40" t="s">
        <v>3322</v>
      </c>
      <c r="B1626" s="360" t="s">
        <v>3230</v>
      </c>
      <c r="C1626" s="40">
        <v>328</v>
      </c>
      <c r="D1626" s="40">
        <v>210</v>
      </c>
      <c r="E1626" s="40" t="s">
        <v>2964</v>
      </c>
      <c r="F1626" s="40" t="s">
        <v>311</v>
      </c>
      <c r="G1626" s="40" t="s">
        <v>315</v>
      </c>
      <c r="H1626" s="40" t="s">
        <v>3105</v>
      </c>
      <c r="I1626" s="40" t="str">
        <f>VLOOKUP(Таблица18[[#This Row],[Номер акта]],$AB$1:$AF$2504,3,FALSE)</f>
        <v>А-83/2</v>
      </c>
      <c r="J1626" s="40" t="s">
        <v>524</v>
      </c>
      <c r="K1626" s="40" t="s">
        <v>2939</v>
      </c>
      <c r="L1626" s="121">
        <v>28700</v>
      </c>
      <c r="M1626" s="121">
        <v>15630</v>
      </c>
      <c r="N1626" s="121">
        <v>13.5</v>
      </c>
      <c r="O1626" s="363">
        <v>13070</v>
      </c>
      <c r="P1626" s="363">
        <v>11305.6</v>
      </c>
      <c r="Q1626" s="121">
        <v>2026</v>
      </c>
      <c r="R1626" s="121">
        <v>224</v>
      </c>
      <c r="S1626" s="148">
        <v>46188</v>
      </c>
      <c r="T1626" s="363">
        <f>Таблица18[[#This Row],[Вес нетто]]-Таблица18[[#This Row],[Зачетный вес]]</f>
        <v>1764.3999999999996</v>
      </c>
      <c r="U1626" s="392">
        <f>Таблица18[[#This Row],[Отход]]/Таблица18[[#This Row],[Вес нетто]]</f>
        <v>0.13499617444529455</v>
      </c>
      <c r="V1626" s="121">
        <f>MONTH(Таблица18[[#This Row],[Дата акта]])</f>
        <v>6</v>
      </c>
      <c r="W1626" s="121">
        <f>DAY(Таблица18[[#This Row],[Дата акта]])</f>
        <v>15</v>
      </c>
      <c r="X1626" s="148">
        <f>DATE(1900,Таблица18[[#This Row],[Месяц]],Таблица18[[#This Row],[Число]])</f>
        <v>167</v>
      </c>
      <c r="Y1626" s="121"/>
      <c r="Z1626" s="121" t="str">
        <f>Таблица18[[#This Row],[Хар-ка]]</f>
        <v>Первый</v>
      </c>
      <c r="AA1626"/>
      <c r="AB1626">
        <v>224</v>
      </c>
      <c r="AC1626"/>
      <c r="AD1626" s="460" t="s">
        <v>3106</v>
      </c>
      <c r="AE1626" t="s">
        <v>524</v>
      </c>
      <c r="AF1626" t="s">
        <v>46</v>
      </c>
    </row>
    <row r="1627" spans="1:32" s="465" customFormat="1" ht="22.5" x14ac:dyDescent="0.25">
      <c r="A1627" s="40" t="s">
        <v>3323</v>
      </c>
      <c r="B1627" s="360" t="s">
        <v>3230</v>
      </c>
      <c r="C1627" s="40">
        <v>329</v>
      </c>
      <c r="D1627" s="40">
        <v>211</v>
      </c>
      <c r="E1627" s="40" t="s">
        <v>2964</v>
      </c>
      <c r="F1627" s="40" t="s">
        <v>166</v>
      </c>
      <c r="G1627" s="40" t="s">
        <v>170</v>
      </c>
      <c r="H1627" s="40" t="s">
        <v>3105</v>
      </c>
      <c r="I1627" s="40" t="str">
        <f>VLOOKUP(Таблица18[[#This Row],[Номер акта]],$AB$1:$AF$2504,3,FALSE)</f>
        <v>А-83/2</v>
      </c>
      <c r="J1627" s="40" t="s">
        <v>524</v>
      </c>
      <c r="K1627" s="40" t="s">
        <v>2939</v>
      </c>
      <c r="L1627" s="121">
        <v>28000</v>
      </c>
      <c r="M1627" s="121">
        <v>15420</v>
      </c>
      <c r="N1627" s="121">
        <v>17.5</v>
      </c>
      <c r="O1627" s="363">
        <v>12580</v>
      </c>
      <c r="P1627" s="363">
        <v>10378.5</v>
      </c>
      <c r="Q1627" s="121">
        <v>2026</v>
      </c>
      <c r="R1627" s="121">
        <v>225</v>
      </c>
      <c r="S1627" s="148">
        <v>46188</v>
      </c>
      <c r="T1627" s="363">
        <f>Таблица18[[#This Row],[Вес нетто]]-Таблица18[[#This Row],[Зачетный вес]]</f>
        <v>2201.5</v>
      </c>
      <c r="U1627" s="392">
        <f>Таблица18[[#This Row],[Отход]]/Таблица18[[#This Row],[Вес нетто]]</f>
        <v>0.17499999999999999</v>
      </c>
      <c r="V1627" s="121">
        <f>MONTH(Таблица18[[#This Row],[Дата акта]])</f>
        <v>6</v>
      </c>
      <c r="W1627" s="121">
        <f>DAY(Таблица18[[#This Row],[Дата акта]])</f>
        <v>15</v>
      </c>
      <c r="X1627" s="148">
        <f>DATE(1900,Таблица18[[#This Row],[Месяц]],Таблица18[[#This Row],[Число]])</f>
        <v>167</v>
      </c>
      <c r="Y1627" s="121"/>
      <c r="Z1627" s="121" t="str">
        <f>Таблица18[[#This Row],[Хар-ка]]</f>
        <v>Первый</v>
      </c>
      <c r="AA1627"/>
      <c r="AB1627">
        <v>225</v>
      </c>
      <c r="AC1627"/>
      <c r="AD1627" s="460" t="s">
        <v>3106</v>
      </c>
      <c r="AE1627" t="s">
        <v>524</v>
      </c>
      <c r="AF1627" t="s">
        <v>46</v>
      </c>
    </row>
    <row r="1628" spans="1:32" s="465" customFormat="1" ht="33.75" x14ac:dyDescent="0.25">
      <c r="A1628" s="40" t="s">
        <v>3324</v>
      </c>
      <c r="B1628" s="360" t="s">
        <v>3230</v>
      </c>
      <c r="C1628" s="40">
        <v>330</v>
      </c>
      <c r="D1628" s="40">
        <v>212</v>
      </c>
      <c r="E1628" s="40" t="s">
        <v>2964</v>
      </c>
      <c r="F1628" s="40" t="s">
        <v>305</v>
      </c>
      <c r="G1628" s="40" t="s">
        <v>309</v>
      </c>
      <c r="H1628" s="40" t="s">
        <v>3317</v>
      </c>
      <c r="I1628" s="40" t="str">
        <f>VLOOKUP(Таблица18[[#This Row],[Номер акта]],$AB$1:$AF$2504,3,FALSE)</f>
        <v>А-83/2</v>
      </c>
      <c r="J1628" s="40" t="s">
        <v>524</v>
      </c>
      <c r="K1628" s="40" t="s">
        <v>2939</v>
      </c>
      <c r="L1628" s="121">
        <v>27550</v>
      </c>
      <c r="M1628" s="121">
        <v>14640</v>
      </c>
      <c r="N1628" s="121">
        <v>14.5</v>
      </c>
      <c r="O1628" s="363">
        <v>12910</v>
      </c>
      <c r="P1628" s="363">
        <v>11038</v>
      </c>
      <c r="Q1628" s="121">
        <v>2026</v>
      </c>
      <c r="R1628" s="121">
        <v>226</v>
      </c>
      <c r="S1628" s="148">
        <v>46188</v>
      </c>
      <c r="T1628" s="363">
        <f>Таблица18[[#This Row],[Вес нетто]]-Таблица18[[#This Row],[Зачетный вес]]</f>
        <v>1872</v>
      </c>
      <c r="U1628" s="392">
        <f>Таблица18[[#This Row],[Отход]]/Таблица18[[#This Row],[Вес нетто]]</f>
        <v>0.14500387296669248</v>
      </c>
      <c r="V1628" s="121">
        <f>MONTH(Таблица18[[#This Row],[Дата акта]])</f>
        <v>6</v>
      </c>
      <c r="W1628" s="121">
        <f>DAY(Таблица18[[#This Row],[Дата акта]])</f>
        <v>15</v>
      </c>
      <c r="X1628" s="148">
        <f>DATE(1900,Таблица18[[#This Row],[Месяц]],Таблица18[[#This Row],[Число]])</f>
        <v>167</v>
      </c>
      <c r="Y1628" s="121"/>
      <c r="Z1628" s="121" t="str">
        <f>Таблица18[[#This Row],[Хар-ка]]</f>
        <v>Первый</v>
      </c>
      <c r="AA1628"/>
      <c r="AB1628">
        <v>226</v>
      </c>
      <c r="AC1628"/>
      <c r="AD1628" s="460" t="s">
        <v>3106</v>
      </c>
      <c r="AE1628" t="s">
        <v>524</v>
      </c>
      <c r="AF1628" t="s">
        <v>46</v>
      </c>
    </row>
    <row r="1629" spans="1:32" s="465" customFormat="1" ht="33.75" x14ac:dyDescent="0.25">
      <c r="A1629" s="40" t="s">
        <v>3325</v>
      </c>
      <c r="B1629" s="360" t="s">
        <v>3230</v>
      </c>
      <c r="C1629" s="40">
        <v>331</v>
      </c>
      <c r="D1629" s="40">
        <v>213</v>
      </c>
      <c r="E1629" s="40" t="s">
        <v>2964</v>
      </c>
      <c r="F1629" s="40" t="s">
        <v>3204</v>
      </c>
      <c r="G1629" s="40" t="s">
        <v>3303</v>
      </c>
      <c r="H1629" s="40" t="s">
        <v>3105</v>
      </c>
      <c r="I1629" s="40" t="str">
        <f>VLOOKUP(Таблица18[[#This Row],[Номер акта]],$AB$1:$AF$2504,3,FALSE)</f>
        <v>А-83/2</v>
      </c>
      <c r="J1629" s="40" t="s">
        <v>524</v>
      </c>
      <c r="K1629" s="40" t="s">
        <v>2939</v>
      </c>
      <c r="L1629" s="121">
        <v>28470</v>
      </c>
      <c r="M1629" s="121">
        <v>15630</v>
      </c>
      <c r="N1629" s="121">
        <v>18.5</v>
      </c>
      <c r="O1629" s="363">
        <v>12840</v>
      </c>
      <c r="P1629" s="363">
        <v>10464.6</v>
      </c>
      <c r="Q1629" s="121">
        <v>2026</v>
      </c>
      <c r="R1629" s="121">
        <v>227</v>
      </c>
      <c r="S1629" s="148">
        <v>46188</v>
      </c>
      <c r="T1629" s="363">
        <f>Таблица18[[#This Row],[Вес нетто]]-Таблица18[[#This Row],[Зачетный вес]]</f>
        <v>2375.3999999999996</v>
      </c>
      <c r="U1629" s="392">
        <f>Таблица18[[#This Row],[Отход]]/Таблица18[[#This Row],[Вес нетто]]</f>
        <v>0.18499999999999997</v>
      </c>
      <c r="V1629" s="121">
        <f>MONTH(Таблица18[[#This Row],[Дата акта]])</f>
        <v>6</v>
      </c>
      <c r="W1629" s="121">
        <f>DAY(Таблица18[[#This Row],[Дата акта]])</f>
        <v>15</v>
      </c>
      <c r="X1629" s="148">
        <f>DATE(1900,Таблица18[[#This Row],[Месяц]],Таблица18[[#This Row],[Число]])</f>
        <v>167</v>
      </c>
      <c r="Y1629" s="121"/>
      <c r="Z1629" s="121" t="str">
        <f>Таблица18[[#This Row],[Хар-ка]]</f>
        <v>Первый</v>
      </c>
      <c r="AA1629"/>
      <c r="AB1629">
        <v>227</v>
      </c>
      <c r="AC1629"/>
      <c r="AD1629" s="460" t="s">
        <v>3106</v>
      </c>
      <c r="AE1629" t="s">
        <v>524</v>
      </c>
      <c r="AF1629" t="s">
        <v>46</v>
      </c>
    </row>
    <row r="1630" spans="1:32" s="465" customFormat="1" ht="33.75" x14ac:dyDescent="0.25">
      <c r="A1630" s="40" t="s">
        <v>3326</v>
      </c>
      <c r="B1630" s="360" t="s">
        <v>2940</v>
      </c>
      <c r="C1630" s="40">
        <v>336</v>
      </c>
      <c r="D1630" s="40">
        <v>214</v>
      </c>
      <c r="E1630" s="40" t="s">
        <v>2964</v>
      </c>
      <c r="F1630" s="40" t="s">
        <v>239</v>
      </c>
      <c r="G1630" s="40" t="s">
        <v>243</v>
      </c>
      <c r="H1630" s="40" t="s">
        <v>3317</v>
      </c>
      <c r="I1630" s="40" t="str">
        <f>VLOOKUP(Таблица18[[#This Row],[Номер акта]],$AB$1:$AF$2504,3,FALSE)</f>
        <v>А-83/2</v>
      </c>
      <c r="J1630" s="40" t="s">
        <v>524</v>
      </c>
      <c r="K1630" s="40" t="s">
        <v>2939</v>
      </c>
      <c r="L1630" s="121">
        <v>27530</v>
      </c>
      <c r="M1630" s="121">
        <v>14630</v>
      </c>
      <c r="N1630" s="121">
        <v>17.5</v>
      </c>
      <c r="O1630" s="363">
        <v>12900</v>
      </c>
      <c r="P1630" s="363">
        <v>10642.5</v>
      </c>
      <c r="Q1630" s="121">
        <v>2026</v>
      </c>
      <c r="R1630" s="121">
        <v>229</v>
      </c>
      <c r="S1630" s="148">
        <v>46188</v>
      </c>
      <c r="T1630" s="363">
        <f>Таблица18[[#This Row],[Вес нетто]]-Таблица18[[#This Row],[Зачетный вес]]</f>
        <v>2257.5</v>
      </c>
      <c r="U1630" s="392">
        <f>Таблица18[[#This Row],[Отход]]/Таблица18[[#This Row],[Вес нетто]]</f>
        <v>0.17499999999999999</v>
      </c>
      <c r="V1630" s="121">
        <f>MONTH(Таблица18[[#This Row],[Дата акта]])</f>
        <v>6</v>
      </c>
      <c r="W1630" s="121">
        <f>DAY(Таблица18[[#This Row],[Дата акта]])</f>
        <v>15</v>
      </c>
      <c r="X1630" s="148">
        <f>DATE(1900,Таблица18[[#This Row],[Месяц]],Таблица18[[#This Row],[Число]])</f>
        <v>167</v>
      </c>
      <c r="Y1630" s="121"/>
      <c r="Z1630" s="121" t="str">
        <f>Таблица18[[#This Row],[Хар-ка]]</f>
        <v>Высший</v>
      </c>
      <c r="AA1630"/>
      <c r="AB1630">
        <v>229</v>
      </c>
      <c r="AC1630"/>
      <c r="AD1630" s="460" t="s">
        <v>3106</v>
      </c>
      <c r="AE1630" t="s">
        <v>524</v>
      </c>
      <c r="AF1630" t="s">
        <v>46</v>
      </c>
    </row>
    <row r="1631" spans="1:32" s="465" customFormat="1" ht="22.5" x14ac:dyDescent="0.25">
      <c r="A1631" s="40" t="s">
        <v>3327</v>
      </c>
      <c r="B1631" s="360" t="s">
        <v>2940</v>
      </c>
      <c r="C1631" s="40">
        <v>338</v>
      </c>
      <c r="D1631" s="40">
        <v>215</v>
      </c>
      <c r="E1631" s="40" t="s">
        <v>2964</v>
      </c>
      <c r="F1631" s="40" t="s">
        <v>335</v>
      </c>
      <c r="G1631" s="40" t="s">
        <v>339</v>
      </c>
      <c r="H1631" s="40" t="s">
        <v>3105</v>
      </c>
      <c r="I1631" s="40" t="str">
        <f>VLOOKUP(Таблица18[[#This Row],[Номер акта]],$AB$1:$AF$2504,3,FALSE)</f>
        <v>А-83/2</v>
      </c>
      <c r="J1631" s="40" t="s">
        <v>524</v>
      </c>
      <c r="K1631" s="40" t="s">
        <v>2939</v>
      </c>
      <c r="L1631" s="121">
        <v>28340</v>
      </c>
      <c r="M1631" s="121">
        <v>14990</v>
      </c>
      <c r="N1631" s="121">
        <v>18.5</v>
      </c>
      <c r="O1631" s="363">
        <v>13350</v>
      </c>
      <c r="P1631" s="363">
        <v>10880.3</v>
      </c>
      <c r="Q1631" s="121">
        <v>2026</v>
      </c>
      <c r="R1631" s="121">
        <v>230</v>
      </c>
      <c r="S1631" s="148">
        <v>46188</v>
      </c>
      <c r="T1631" s="363">
        <f>Таблица18[[#This Row],[Вес нетто]]-Таблица18[[#This Row],[Зачетный вес]]</f>
        <v>2469.7000000000007</v>
      </c>
      <c r="U1631" s="392">
        <f>Таблица18[[#This Row],[Отход]]/Таблица18[[#This Row],[Вес нетто]]</f>
        <v>0.18499625468164799</v>
      </c>
      <c r="V1631" s="121">
        <f>MONTH(Таблица18[[#This Row],[Дата акта]])</f>
        <v>6</v>
      </c>
      <c r="W1631" s="121">
        <f>DAY(Таблица18[[#This Row],[Дата акта]])</f>
        <v>15</v>
      </c>
      <c r="X1631" s="148">
        <f>DATE(1900,Таблица18[[#This Row],[Месяц]],Таблица18[[#This Row],[Число]])</f>
        <v>167</v>
      </c>
      <c r="Y1631" s="121"/>
      <c r="Z1631" s="121" t="str">
        <f>Таблица18[[#This Row],[Хар-ка]]</f>
        <v>Высший</v>
      </c>
      <c r="AA1631"/>
      <c r="AB1631">
        <v>230</v>
      </c>
      <c r="AC1631"/>
      <c r="AD1631" s="460" t="s">
        <v>3106</v>
      </c>
      <c r="AE1631" t="s">
        <v>524</v>
      </c>
      <c r="AF1631" t="s">
        <v>46</v>
      </c>
    </row>
    <row r="1632" spans="1:32" s="465" customFormat="1" ht="22.5" x14ac:dyDescent="0.25">
      <c r="A1632" s="40" t="s">
        <v>3338</v>
      </c>
      <c r="B1632" s="360" t="s">
        <v>2940</v>
      </c>
      <c r="C1632" s="40">
        <v>339</v>
      </c>
      <c r="D1632" s="40">
        <v>216</v>
      </c>
      <c r="E1632" s="40" t="s">
        <v>2964</v>
      </c>
      <c r="F1632" s="40" t="s">
        <v>212</v>
      </c>
      <c r="G1632" s="40" t="s">
        <v>2965</v>
      </c>
      <c r="H1632" s="40" t="s">
        <v>3105</v>
      </c>
      <c r="I1632" s="40" t="str">
        <f>VLOOKUP(Таблица18[[#This Row],[Номер акта]],$AB$1:$AF$2504,3,FALSE)</f>
        <v>А-83/2</v>
      </c>
      <c r="J1632" s="40" t="s">
        <v>524</v>
      </c>
      <c r="K1632" s="40" t="s">
        <v>2939</v>
      </c>
      <c r="L1632" s="121">
        <v>29120</v>
      </c>
      <c r="M1632" s="121">
        <v>15900</v>
      </c>
      <c r="N1632" s="121">
        <v>18</v>
      </c>
      <c r="O1632" s="363">
        <v>13220</v>
      </c>
      <c r="P1632" s="363">
        <v>10840.4</v>
      </c>
      <c r="Q1632" s="121">
        <v>2026</v>
      </c>
      <c r="R1632" s="121">
        <v>231</v>
      </c>
      <c r="S1632" s="148">
        <v>46188</v>
      </c>
      <c r="T1632" s="363">
        <f>Таблица18[[#This Row],[Вес нетто]]-Таблица18[[#This Row],[Зачетный вес]]</f>
        <v>2379.6000000000004</v>
      </c>
      <c r="U1632" s="392">
        <f>Таблица18[[#This Row],[Отход]]/Таблица18[[#This Row],[Вес нетто]]</f>
        <v>0.18000000000000002</v>
      </c>
      <c r="V1632" s="121">
        <f>MONTH(Таблица18[[#This Row],[Дата акта]])</f>
        <v>6</v>
      </c>
      <c r="W1632" s="121">
        <f>DAY(Таблица18[[#This Row],[Дата акта]])</f>
        <v>15</v>
      </c>
      <c r="X1632" s="148">
        <f>DATE(1900,Таблица18[[#This Row],[Месяц]],Таблица18[[#This Row],[Число]])</f>
        <v>167</v>
      </c>
      <c r="Y1632" s="121"/>
      <c r="Z1632" s="121" t="str">
        <f>Таблица18[[#This Row],[Хар-ка]]</f>
        <v>Высший</v>
      </c>
      <c r="AA1632"/>
      <c r="AB1632">
        <v>231</v>
      </c>
      <c r="AC1632"/>
      <c r="AD1632" s="460" t="s">
        <v>3106</v>
      </c>
      <c r="AE1632" t="s">
        <v>524</v>
      </c>
      <c r="AF1632" t="s">
        <v>46</v>
      </c>
    </row>
    <row r="1633" spans="1:32" s="465" customFormat="1" ht="22.5" x14ac:dyDescent="0.25">
      <c r="A1633" s="40" t="s">
        <v>3345</v>
      </c>
      <c r="B1633" s="360" t="s">
        <v>3230</v>
      </c>
      <c r="C1633" s="40">
        <v>340</v>
      </c>
      <c r="D1633" s="40">
        <v>217</v>
      </c>
      <c r="E1633" s="40" t="s">
        <v>2964</v>
      </c>
      <c r="F1633" s="40" t="s">
        <v>1792</v>
      </c>
      <c r="G1633" s="40" t="s">
        <v>80</v>
      </c>
      <c r="H1633" s="40" t="s">
        <v>3105</v>
      </c>
      <c r="I1633" s="40" t="str">
        <f>VLOOKUP(Таблица18[[#This Row],[Номер акта]],$AB$1:$AF$2504,3,FALSE)</f>
        <v>А-83/2</v>
      </c>
      <c r="J1633" s="40" t="s">
        <v>524</v>
      </c>
      <c r="K1633" s="40" t="s">
        <v>2939</v>
      </c>
      <c r="L1633" s="121">
        <v>27800</v>
      </c>
      <c r="M1633" s="121">
        <v>14520</v>
      </c>
      <c r="N1633" s="121">
        <v>12.5</v>
      </c>
      <c r="O1633" s="363">
        <v>13280</v>
      </c>
      <c r="P1633" s="363">
        <v>11620</v>
      </c>
      <c r="Q1633" s="121">
        <v>2026</v>
      </c>
      <c r="R1633" s="121">
        <v>232</v>
      </c>
      <c r="S1633" s="148">
        <v>46188</v>
      </c>
      <c r="T1633" s="363">
        <f>Таблица18[[#This Row],[Вес нетто]]-Таблица18[[#This Row],[Зачетный вес]]</f>
        <v>1660</v>
      </c>
      <c r="U1633" s="392">
        <f>Таблица18[[#This Row],[Отход]]/Таблица18[[#This Row],[Вес нетто]]</f>
        <v>0.125</v>
      </c>
      <c r="V1633" s="121">
        <f>MONTH(Таблица18[[#This Row],[Дата акта]])</f>
        <v>6</v>
      </c>
      <c r="W1633" s="121">
        <f>DAY(Таблица18[[#This Row],[Дата акта]])</f>
        <v>15</v>
      </c>
      <c r="X1633" s="148">
        <f>DATE(1900,Таблица18[[#This Row],[Месяц]],Таблица18[[#This Row],[Число]])</f>
        <v>167</v>
      </c>
      <c r="Y1633" s="121"/>
      <c r="Z1633" s="121" t="str">
        <f>Таблица18[[#This Row],[Хар-ка]]</f>
        <v>Первый</v>
      </c>
      <c r="AA1633"/>
      <c r="AB1633">
        <v>232</v>
      </c>
      <c r="AC1633"/>
      <c r="AD1633" s="460" t="s">
        <v>3106</v>
      </c>
      <c r="AE1633" t="s">
        <v>524</v>
      </c>
      <c r="AF1633" t="s">
        <v>46</v>
      </c>
    </row>
    <row r="1634" spans="1:32" s="465" customFormat="1" ht="33.75" x14ac:dyDescent="0.25">
      <c r="A1634" s="40" t="s">
        <v>3344</v>
      </c>
      <c r="B1634" s="360" t="s">
        <v>3230</v>
      </c>
      <c r="C1634" s="40">
        <v>341</v>
      </c>
      <c r="D1634" s="40">
        <v>218</v>
      </c>
      <c r="E1634" s="40" t="s">
        <v>2964</v>
      </c>
      <c r="F1634" s="40" t="s">
        <v>762</v>
      </c>
      <c r="G1634" s="40" t="s">
        <v>763</v>
      </c>
      <c r="H1634" s="40" t="s">
        <v>3105</v>
      </c>
      <c r="I1634" s="40" t="str">
        <f>VLOOKUP(Таблица18[[#This Row],[Номер акта]],$AB$1:$AF$2504,3,FALSE)</f>
        <v>А-83/2</v>
      </c>
      <c r="J1634" s="40" t="s">
        <v>524</v>
      </c>
      <c r="K1634" s="40" t="s">
        <v>2939</v>
      </c>
      <c r="L1634" s="121">
        <v>9160</v>
      </c>
      <c r="M1634" s="121">
        <v>4710</v>
      </c>
      <c r="N1634" s="121">
        <v>10.5</v>
      </c>
      <c r="O1634" s="363">
        <v>4450</v>
      </c>
      <c r="P1634" s="363">
        <v>3982.8</v>
      </c>
      <c r="Q1634" s="121">
        <v>2026</v>
      </c>
      <c r="R1634" s="121">
        <v>233</v>
      </c>
      <c r="S1634" s="148">
        <v>46188</v>
      </c>
      <c r="T1634" s="363">
        <f>Таблица18[[#This Row],[Вес нетто]]-Таблица18[[#This Row],[Зачетный вес]]</f>
        <v>467.19999999999982</v>
      </c>
      <c r="U1634" s="392">
        <f>Таблица18[[#This Row],[Отход]]/Таблица18[[#This Row],[Вес нетто]]</f>
        <v>0.10498876404494378</v>
      </c>
      <c r="V1634" s="121">
        <f>MONTH(Таблица18[[#This Row],[Дата акта]])</f>
        <v>6</v>
      </c>
      <c r="W1634" s="121">
        <f>DAY(Таблица18[[#This Row],[Дата акта]])</f>
        <v>15</v>
      </c>
      <c r="X1634" s="148">
        <f>DATE(1900,Таблица18[[#This Row],[Месяц]],Таблица18[[#This Row],[Число]])</f>
        <v>167</v>
      </c>
      <c r="Y1634" s="121"/>
      <c r="Z1634" s="121" t="str">
        <f>Таблица18[[#This Row],[Хар-ка]]</f>
        <v>Первый</v>
      </c>
      <c r="AA1634"/>
      <c r="AB1634">
        <v>233</v>
      </c>
      <c r="AC1634"/>
      <c r="AD1634" s="460" t="s">
        <v>3106</v>
      </c>
      <c r="AE1634" t="s">
        <v>524</v>
      </c>
      <c r="AF1634" t="s">
        <v>46</v>
      </c>
    </row>
    <row r="1635" spans="1:32" s="465" customFormat="1" ht="33.75" x14ac:dyDescent="0.25">
      <c r="A1635" s="40" t="s">
        <v>3347</v>
      </c>
      <c r="B1635" s="360" t="s">
        <v>3230</v>
      </c>
      <c r="C1635" s="40">
        <v>342</v>
      </c>
      <c r="D1635" s="40">
        <v>219</v>
      </c>
      <c r="E1635" s="40" t="s">
        <v>2964</v>
      </c>
      <c r="F1635" s="40" t="s">
        <v>239</v>
      </c>
      <c r="G1635" s="40" t="s">
        <v>243</v>
      </c>
      <c r="H1635" s="40" t="s">
        <v>3105</v>
      </c>
      <c r="I1635" s="40" t="str">
        <f>VLOOKUP(Таблица18[[#This Row],[Номер акта]],$AB$1:$AF$2504,3,FALSE)</f>
        <v>А-83/2</v>
      </c>
      <c r="J1635" s="40" t="s">
        <v>524</v>
      </c>
      <c r="K1635" s="40" t="s">
        <v>2939</v>
      </c>
      <c r="L1635" s="121">
        <v>28200</v>
      </c>
      <c r="M1635" s="121">
        <v>14550</v>
      </c>
      <c r="N1635" s="121">
        <v>13</v>
      </c>
      <c r="O1635" s="363">
        <v>13650</v>
      </c>
      <c r="P1635" s="363">
        <v>11875.5</v>
      </c>
      <c r="Q1635" s="121">
        <v>2026</v>
      </c>
      <c r="R1635" s="121">
        <v>234</v>
      </c>
      <c r="S1635" s="148">
        <v>46188</v>
      </c>
      <c r="T1635" s="363">
        <f>Таблица18[[#This Row],[Вес нетто]]-Таблица18[[#This Row],[Зачетный вес]]</f>
        <v>1774.5</v>
      </c>
      <c r="U1635" s="392">
        <f>Таблица18[[#This Row],[Отход]]/Таблица18[[#This Row],[Вес нетто]]</f>
        <v>0.13</v>
      </c>
      <c r="V1635" s="121">
        <f>MONTH(Таблица18[[#This Row],[Дата акта]])</f>
        <v>6</v>
      </c>
      <c r="W1635" s="121">
        <f>DAY(Таблица18[[#This Row],[Дата акта]])</f>
        <v>15</v>
      </c>
      <c r="X1635" s="148">
        <f>DATE(1900,Таблица18[[#This Row],[Месяц]],Таблица18[[#This Row],[Число]])</f>
        <v>167</v>
      </c>
      <c r="Y1635" s="121"/>
      <c r="Z1635" s="121" t="str">
        <f>Таблица18[[#This Row],[Хар-ка]]</f>
        <v>Первый</v>
      </c>
      <c r="AA1635"/>
      <c r="AB1635">
        <v>234</v>
      </c>
      <c r="AC1635"/>
      <c r="AD1635" s="460" t="s">
        <v>3106</v>
      </c>
      <c r="AE1635" t="s">
        <v>524</v>
      </c>
      <c r="AF1635" t="s">
        <v>46</v>
      </c>
    </row>
    <row r="1636" spans="1:32" s="465" customFormat="1" ht="22.5" x14ac:dyDescent="0.25">
      <c r="A1636" s="40" t="s">
        <v>3385</v>
      </c>
      <c r="B1636" s="360" t="s">
        <v>2940</v>
      </c>
      <c r="C1636" s="40">
        <v>344</v>
      </c>
      <c r="D1636" s="40">
        <v>220</v>
      </c>
      <c r="E1636" s="40" t="s">
        <v>2964</v>
      </c>
      <c r="F1636" s="40" t="s">
        <v>335</v>
      </c>
      <c r="G1636" s="40" t="s">
        <v>339</v>
      </c>
      <c r="H1636" s="40" t="s">
        <v>3300</v>
      </c>
      <c r="I1636" s="40" t="str">
        <f>VLOOKUP(Таблица18[[#This Row],[Номер акта]],$AB$1:$AF$2504,3,FALSE)</f>
        <v>А-105/1</v>
      </c>
      <c r="J1636" s="40" t="s">
        <v>524</v>
      </c>
      <c r="K1636" s="40" t="s">
        <v>2939</v>
      </c>
      <c r="L1636" s="121">
        <v>28270</v>
      </c>
      <c r="M1636" s="121">
        <v>14860</v>
      </c>
      <c r="N1636" s="121">
        <v>16.5</v>
      </c>
      <c r="O1636" s="363">
        <v>13410</v>
      </c>
      <c r="P1636" s="363">
        <v>11197.3</v>
      </c>
      <c r="Q1636" s="121">
        <v>2026</v>
      </c>
      <c r="R1636" s="121">
        <v>278</v>
      </c>
      <c r="S1636" s="148">
        <v>46188</v>
      </c>
      <c r="T1636" s="363">
        <f>Таблица18[[#This Row],[Вес нетто]]-Таблица18[[#This Row],[Зачетный вес]]</f>
        <v>2212.7000000000007</v>
      </c>
      <c r="U1636" s="392">
        <f>Таблица18[[#This Row],[Отход]]/Таблица18[[#This Row],[Вес нетто]]</f>
        <v>0.16500372856077558</v>
      </c>
      <c r="V1636" s="121">
        <f>MONTH(Таблица18[[#This Row],[Дата акта]])</f>
        <v>6</v>
      </c>
      <c r="W1636" s="121">
        <f>DAY(Таблица18[[#This Row],[Дата акта]])</f>
        <v>15</v>
      </c>
      <c r="X1636" s="148">
        <f>DATE(1900,Таблица18[[#This Row],[Месяц]],Таблица18[[#This Row],[Число]])</f>
        <v>167</v>
      </c>
      <c r="Y1636" s="121"/>
      <c r="Z1636" s="121" t="str">
        <f>Таблица18[[#This Row],[Хар-ка]]</f>
        <v>Высший</v>
      </c>
      <c r="AA1636"/>
      <c r="AB1636">
        <v>278</v>
      </c>
      <c r="AC1636"/>
      <c r="AD1636" s="460" t="s">
        <v>3093</v>
      </c>
      <c r="AE1636" t="s">
        <v>524</v>
      </c>
      <c r="AF1636" t="s">
        <v>46</v>
      </c>
    </row>
    <row r="1637" spans="1:32" s="465" customFormat="1" ht="22.5" x14ac:dyDescent="0.25">
      <c r="A1637" s="40" t="s">
        <v>3333</v>
      </c>
      <c r="B1637" s="360" t="s">
        <v>2940</v>
      </c>
      <c r="C1637" s="40">
        <v>345</v>
      </c>
      <c r="D1637" s="40">
        <v>221</v>
      </c>
      <c r="E1637" s="40" t="s">
        <v>2964</v>
      </c>
      <c r="F1637" s="40" t="s">
        <v>212</v>
      </c>
      <c r="G1637" s="40" t="s">
        <v>2965</v>
      </c>
      <c r="H1637" s="40" t="s">
        <v>3300</v>
      </c>
      <c r="I1637" s="40" t="str">
        <f>VLOOKUP(Таблица18[[#This Row],[Номер акта]],$AB$1:$AF$2504,3,FALSE)</f>
        <v>А-105/1</v>
      </c>
      <c r="J1637" s="40" t="s">
        <v>524</v>
      </c>
      <c r="K1637" s="40" t="s">
        <v>2939</v>
      </c>
      <c r="L1637" s="121">
        <v>29110</v>
      </c>
      <c r="M1637" s="121">
        <v>15810</v>
      </c>
      <c r="N1637" s="121">
        <v>10.5</v>
      </c>
      <c r="O1637" s="363">
        <v>13300</v>
      </c>
      <c r="P1637" s="363">
        <v>11903.5</v>
      </c>
      <c r="Q1637" s="121">
        <v>2026</v>
      </c>
      <c r="R1637" s="121">
        <v>235</v>
      </c>
      <c r="S1637" s="148">
        <v>46188</v>
      </c>
      <c r="T1637" s="363">
        <f>Таблица18[[#This Row],[Вес нетто]]-Таблица18[[#This Row],[Зачетный вес]]</f>
        <v>1396.5</v>
      </c>
      <c r="U1637" s="392">
        <f>Таблица18[[#This Row],[Отход]]/Таблица18[[#This Row],[Вес нетто]]</f>
        <v>0.105</v>
      </c>
      <c r="V1637" s="121">
        <f>MONTH(Таблица18[[#This Row],[Дата акта]])</f>
        <v>6</v>
      </c>
      <c r="W1637" s="121">
        <f>DAY(Таблица18[[#This Row],[Дата акта]])</f>
        <v>15</v>
      </c>
      <c r="X1637" s="148">
        <f>DATE(1900,Таблица18[[#This Row],[Месяц]],Таблица18[[#This Row],[Число]])</f>
        <v>167</v>
      </c>
      <c r="Y1637" s="121"/>
      <c r="Z1637" s="121" t="str">
        <f>Таблица18[[#This Row],[Хар-ка]]</f>
        <v>Высший</v>
      </c>
      <c r="AA1637"/>
      <c r="AB1637">
        <v>235</v>
      </c>
      <c r="AC1637"/>
      <c r="AD1637" s="460" t="s">
        <v>3093</v>
      </c>
      <c r="AE1637" t="s">
        <v>524</v>
      </c>
      <c r="AF1637" t="s">
        <v>46</v>
      </c>
    </row>
    <row r="1638" spans="1:32" s="465" customFormat="1" ht="22.5" x14ac:dyDescent="0.25">
      <c r="A1638" s="40" t="s">
        <v>3334</v>
      </c>
      <c r="B1638" s="360" t="s">
        <v>2940</v>
      </c>
      <c r="C1638" s="40">
        <v>347</v>
      </c>
      <c r="D1638" s="40">
        <v>222</v>
      </c>
      <c r="E1638" s="40" t="s">
        <v>2964</v>
      </c>
      <c r="F1638" s="40" t="s">
        <v>1792</v>
      </c>
      <c r="G1638" s="40" t="s">
        <v>80</v>
      </c>
      <c r="H1638" s="40" t="s">
        <v>3093</v>
      </c>
      <c r="I1638" s="40" t="str">
        <f>VLOOKUP(Таблица18[[#This Row],[Номер акта]],$AB$1:$AF$2504,3,FALSE)</f>
        <v>А-105/1</v>
      </c>
      <c r="J1638" s="40" t="s">
        <v>524</v>
      </c>
      <c r="K1638" s="40" t="s">
        <v>2939</v>
      </c>
      <c r="L1638" s="121">
        <v>27580</v>
      </c>
      <c r="M1638" s="121">
        <v>14460</v>
      </c>
      <c r="N1638" s="121">
        <v>20</v>
      </c>
      <c r="O1638" s="363">
        <v>13120</v>
      </c>
      <c r="P1638" s="363">
        <v>10496</v>
      </c>
      <c r="Q1638" s="121">
        <v>2026</v>
      </c>
      <c r="R1638" s="121">
        <v>236</v>
      </c>
      <c r="S1638" s="148">
        <v>46188</v>
      </c>
      <c r="T1638" s="363">
        <f>Таблица18[[#This Row],[Вес нетто]]-Таблица18[[#This Row],[Зачетный вес]]</f>
        <v>2624</v>
      </c>
      <c r="U1638" s="392">
        <f>Таблица18[[#This Row],[Отход]]/Таблица18[[#This Row],[Вес нетто]]</f>
        <v>0.2</v>
      </c>
      <c r="V1638" s="121">
        <f>MONTH(Таблица18[[#This Row],[Дата акта]])</f>
        <v>6</v>
      </c>
      <c r="W1638" s="121">
        <f>DAY(Таблица18[[#This Row],[Дата акта]])</f>
        <v>15</v>
      </c>
      <c r="X1638" s="148">
        <f>DATE(1900,Таблица18[[#This Row],[Месяц]],Таблица18[[#This Row],[Число]])</f>
        <v>167</v>
      </c>
      <c r="Y1638" s="121"/>
      <c r="Z1638" s="121" t="str">
        <f>Таблица18[[#This Row],[Хар-ка]]</f>
        <v>Высший</v>
      </c>
      <c r="AA1638"/>
      <c r="AB1638">
        <v>236</v>
      </c>
      <c r="AC1638"/>
      <c r="AD1638" s="460" t="s">
        <v>3093</v>
      </c>
      <c r="AE1638" t="s">
        <v>524</v>
      </c>
      <c r="AF1638" t="s">
        <v>46</v>
      </c>
    </row>
    <row r="1639" spans="1:32" s="465" customFormat="1" ht="33.75" x14ac:dyDescent="0.25">
      <c r="A1639" s="40" t="s">
        <v>3346</v>
      </c>
      <c r="B1639" s="360" t="s">
        <v>3230</v>
      </c>
      <c r="C1639" s="40">
        <v>348</v>
      </c>
      <c r="D1639" s="40">
        <v>223</v>
      </c>
      <c r="E1639" s="40" t="s">
        <v>2964</v>
      </c>
      <c r="F1639" s="40" t="s">
        <v>762</v>
      </c>
      <c r="G1639" s="40" t="s">
        <v>763</v>
      </c>
      <c r="H1639" s="40" t="s">
        <v>3093</v>
      </c>
      <c r="I1639" s="40" t="str">
        <f>VLOOKUP(Таблица18[[#This Row],[Номер акта]],$AB$1:$AF$2504,3,FALSE)</f>
        <v>А-105/1</v>
      </c>
      <c r="J1639" s="40" t="s">
        <v>524</v>
      </c>
      <c r="K1639" s="40" t="s">
        <v>2939</v>
      </c>
      <c r="L1639" s="121">
        <v>9120</v>
      </c>
      <c r="M1639" s="121">
        <v>4690</v>
      </c>
      <c r="N1639" s="121">
        <v>10.5</v>
      </c>
      <c r="O1639" s="363">
        <v>4430</v>
      </c>
      <c r="P1639" s="363">
        <v>3964.9</v>
      </c>
      <c r="Q1639" s="121">
        <v>2026</v>
      </c>
      <c r="R1639" s="121">
        <v>237</v>
      </c>
      <c r="S1639" s="148">
        <v>46188</v>
      </c>
      <c r="T1639" s="363">
        <f>Таблица18[[#This Row],[Вес нетто]]-Таблица18[[#This Row],[Зачетный вес]]</f>
        <v>465.09999999999991</v>
      </c>
      <c r="U1639" s="392">
        <f>Таблица18[[#This Row],[Отход]]/Таблица18[[#This Row],[Вес нетто]]</f>
        <v>0.10498871331828441</v>
      </c>
      <c r="V1639" s="121">
        <f>MONTH(Таблица18[[#This Row],[Дата акта]])</f>
        <v>6</v>
      </c>
      <c r="W1639" s="121">
        <f>DAY(Таблица18[[#This Row],[Дата акта]])</f>
        <v>15</v>
      </c>
      <c r="X1639" s="148">
        <f>DATE(1900,Таблица18[[#This Row],[Месяц]],Таблица18[[#This Row],[Число]])</f>
        <v>167</v>
      </c>
      <c r="Y1639" s="121"/>
      <c r="Z1639" s="121" t="str">
        <f>Таблица18[[#This Row],[Хар-ка]]</f>
        <v>Первый</v>
      </c>
      <c r="AA1639"/>
      <c r="AB1639">
        <v>237</v>
      </c>
      <c r="AC1639"/>
      <c r="AD1639" s="460" t="s">
        <v>3093</v>
      </c>
      <c r="AE1639" t="s">
        <v>524</v>
      </c>
      <c r="AF1639" t="s">
        <v>46</v>
      </c>
    </row>
    <row r="1640" spans="1:32" s="465" customFormat="1" ht="33.75" x14ac:dyDescent="0.25">
      <c r="A1640" s="40" t="s">
        <v>3336</v>
      </c>
      <c r="B1640" s="360" t="s">
        <v>2940</v>
      </c>
      <c r="C1640" s="40">
        <v>349</v>
      </c>
      <c r="D1640" s="40">
        <v>224</v>
      </c>
      <c r="E1640" s="40" t="s">
        <v>2964</v>
      </c>
      <c r="F1640" s="40" t="s">
        <v>239</v>
      </c>
      <c r="G1640" s="40" t="s">
        <v>243</v>
      </c>
      <c r="H1640" s="40" t="s">
        <v>3093</v>
      </c>
      <c r="I1640" s="40" t="str">
        <f>VLOOKUP(Таблица18[[#This Row],[Номер акта]],$AB$1:$AF$2504,3,FALSE)</f>
        <v>А-105/1</v>
      </c>
      <c r="J1640" s="40" t="s">
        <v>524</v>
      </c>
      <c r="K1640" s="40" t="s">
        <v>2939</v>
      </c>
      <c r="L1640" s="121">
        <v>27660</v>
      </c>
      <c r="M1640" s="121">
        <v>14240</v>
      </c>
      <c r="N1640" s="121">
        <v>12</v>
      </c>
      <c r="O1640" s="363">
        <v>13420</v>
      </c>
      <c r="P1640" s="363">
        <v>11809.6</v>
      </c>
      <c r="Q1640" s="121">
        <v>2026</v>
      </c>
      <c r="R1640" s="121">
        <v>238</v>
      </c>
      <c r="S1640" s="148">
        <v>46188</v>
      </c>
      <c r="T1640" s="363">
        <f>Таблица18[[#This Row],[Вес нетто]]-Таблица18[[#This Row],[Зачетный вес]]</f>
        <v>1610.3999999999996</v>
      </c>
      <c r="U1640" s="392">
        <f>Таблица18[[#This Row],[Отход]]/Таблица18[[#This Row],[Вес нетто]]</f>
        <v>0.11999999999999997</v>
      </c>
      <c r="V1640" s="121">
        <f>MONTH(Таблица18[[#This Row],[Дата акта]])</f>
        <v>6</v>
      </c>
      <c r="W1640" s="121">
        <f>DAY(Таблица18[[#This Row],[Дата акта]])</f>
        <v>15</v>
      </c>
      <c r="X1640" s="148">
        <f>DATE(1900,Таблица18[[#This Row],[Месяц]],Таблица18[[#This Row],[Число]])</f>
        <v>167</v>
      </c>
      <c r="Y1640" s="121"/>
      <c r="Z1640" s="121" t="str">
        <f>Таблица18[[#This Row],[Хар-ка]]</f>
        <v>Высший</v>
      </c>
      <c r="AA1640"/>
      <c r="AB1640">
        <v>238</v>
      </c>
      <c r="AC1640"/>
      <c r="AD1640" s="460" t="s">
        <v>3093</v>
      </c>
      <c r="AE1640" t="s">
        <v>524</v>
      </c>
      <c r="AF1640" t="s">
        <v>46</v>
      </c>
    </row>
    <row r="1641" spans="1:32" s="465" customFormat="1" ht="22.5" x14ac:dyDescent="0.25">
      <c r="A1641" s="40" t="s">
        <v>3348</v>
      </c>
      <c r="B1641" s="360" t="s">
        <v>3230</v>
      </c>
      <c r="C1641" s="40">
        <v>350</v>
      </c>
      <c r="D1641" s="40">
        <v>225</v>
      </c>
      <c r="E1641" s="40" t="s">
        <v>2964</v>
      </c>
      <c r="F1641" s="40" t="s">
        <v>335</v>
      </c>
      <c r="G1641" s="40" t="s">
        <v>339</v>
      </c>
      <c r="H1641" s="40" t="s">
        <v>3093</v>
      </c>
      <c r="I1641" s="40" t="str">
        <f>VLOOKUP(Таблица18[[#This Row],[Номер акта]],$AB$1:$AF$2504,3,FALSE)</f>
        <v>А-105/1</v>
      </c>
      <c r="J1641" s="40" t="s">
        <v>524</v>
      </c>
      <c r="K1641" s="40" t="s">
        <v>2939</v>
      </c>
      <c r="L1641" s="121">
        <v>28030</v>
      </c>
      <c r="M1641" s="121">
        <v>14840</v>
      </c>
      <c r="N1641" s="121">
        <v>11.5</v>
      </c>
      <c r="O1641" s="363">
        <v>13190</v>
      </c>
      <c r="P1641" s="363">
        <v>11673.2</v>
      </c>
      <c r="Q1641" s="121">
        <v>2026</v>
      </c>
      <c r="R1641" s="121">
        <v>239</v>
      </c>
      <c r="S1641" s="148">
        <v>46188</v>
      </c>
      <c r="T1641" s="363">
        <f>Таблица18[[#This Row],[Вес нетто]]-Таблица18[[#This Row],[Зачетный вес]]</f>
        <v>1516.7999999999993</v>
      </c>
      <c r="U1641" s="392">
        <f>Таблица18[[#This Row],[Отход]]/Таблица18[[#This Row],[Вес нетто]]</f>
        <v>0.11499620924943134</v>
      </c>
      <c r="V1641" s="121">
        <f>MONTH(Таблица18[[#This Row],[Дата акта]])</f>
        <v>6</v>
      </c>
      <c r="W1641" s="121">
        <f>DAY(Таблица18[[#This Row],[Дата акта]])</f>
        <v>15</v>
      </c>
      <c r="X1641" s="148">
        <f>DATE(1900,Таблица18[[#This Row],[Месяц]],Таблица18[[#This Row],[Число]])</f>
        <v>167</v>
      </c>
      <c r="Y1641" s="121"/>
      <c r="Z1641" s="121" t="str">
        <f>Таблица18[[#This Row],[Хар-ка]]</f>
        <v>Первый</v>
      </c>
      <c r="AA1641"/>
      <c r="AB1641">
        <v>239</v>
      </c>
      <c r="AC1641"/>
      <c r="AD1641" s="460" t="s">
        <v>3093</v>
      </c>
      <c r="AE1641" t="s">
        <v>524</v>
      </c>
      <c r="AF1641" t="s">
        <v>46</v>
      </c>
    </row>
    <row r="1642" spans="1:32" s="465" customFormat="1" ht="22.5" x14ac:dyDescent="0.25">
      <c r="A1642" s="40" t="s">
        <v>3343</v>
      </c>
      <c r="B1642" s="360" t="s">
        <v>3230</v>
      </c>
      <c r="C1642" s="40">
        <v>351</v>
      </c>
      <c r="D1642" s="40">
        <v>226</v>
      </c>
      <c r="E1642" s="40" t="s">
        <v>2964</v>
      </c>
      <c r="F1642" s="40" t="s">
        <v>212</v>
      </c>
      <c r="G1642" s="40" t="s">
        <v>2965</v>
      </c>
      <c r="H1642" s="40" t="s">
        <v>3093</v>
      </c>
      <c r="I1642" s="40" t="str">
        <f>VLOOKUP(Таблица18[[#This Row],[Номер акта]],$AB$1:$AF$2504,3,FALSE)</f>
        <v>А-105/1</v>
      </c>
      <c r="J1642" s="40" t="s">
        <v>524</v>
      </c>
      <c r="K1642" s="40" t="s">
        <v>2939</v>
      </c>
      <c r="L1642" s="121">
        <v>29100</v>
      </c>
      <c r="M1642" s="121">
        <v>15770</v>
      </c>
      <c r="N1642" s="121">
        <v>14</v>
      </c>
      <c r="O1642" s="363">
        <v>13330</v>
      </c>
      <c r="P1642" s="363">
        <v>11463.8</v>
      </c>
      <c r="Q1642" s="121">
        <v>2026</v>
      </c>
      <c r="R1642" s="121">
        <v>240</v>
      </c>
      <c r="S1642" s="148">
        <v>46188</v>
      </c>
      <c r="T1642" s="363">
        <f>Таблица18[[#This Row],[Вес нетто]]-Таблица18[[#This Row],[Зачетный вес]]</f>
        <v>1866.2000000000007</v>
      </c>
      <c r="U1642" s="392">
        <f>Таблица18[[#This Row],[Отход]]/Таблица18[[#This Row],[Вес нетто]]</f>
        <v>0.14000000000000004</v>
      </c>
      <c r="V1642" s="121">
        <f>MONTH(Таблица18[[#This Row],[Дата акта]])</f>
        <v>6</v>
      </c>
      <c r="W1642" s="121">
        <f>DAY(Таблица18[[#This Row],[Дата акта]])</f>
        <v>15</v>
      </c>
      <c r="X1642" s="148">
        <f>DATE(1900,Таблица18[[#This Row],[Месяц]],Таблица18[[#This Row],[Число]])</f>
        <v>167</v>
      </c>
      <c r="Y1642" s="121"/>
      <c r="Z1642" s="121" t="str">
        <f>Таблица18[[#This Row],[Хар-ка]]</f>
        <v>Первый</v>
      </c>
      <c r="AA1642"/>
      <c r="AB1642">
        <v>240</v>
      </c>
      <c r="AC1642"/>
      <c r="AD1642" s="460" t="s">
        <v>3093</v>
      </c>
      <c r="AE1642" t="s">
        <v>524</v>
      </c>
      <c r="AF1642" t="s">
        <v>46</v>
      </c>
    </row>
    <row r="1643" spans="1:32" s="465" customFormat="1" ht="22.5" x14ac:dyDescent="0.25">
      <c r="A1643" s="40" t="s">
        <v>3350</v>
      </c>
      <c r="B1643" s="360" t="s">
        <v>2940</v>
      </c>
      <c r="C1643" s="40">
        <v>352</v>
      </c>
      <c r="D1643" s="40">
        <v>227</v>
      </c>
      <c r="E1643" s="40" t="s">
        <v>2964</v>
      </c>
      <c r="F1643" s="40" t="s">
        <v>1792</v>
      </c>
      <c r="G1643" s="40" t="s">
        <v>80</v>
      </c>
      <c r="H1643" s="40" t="s">
        <v>3093</v>
      </c>
      <c r="I1643" s="40" t="str">
        <f>VLOOKUP(Таблица18[[#This Row],[Номер акта]],$AB$1:$AF$2504,3,FALSE)</f>
        <v>А-105/1</v>
      </c>
      <c r="J1643" s="40" t="s">
        <v>524</v>
      </c>
      <c r="K1643" s="40" t="s">
        <v>2939</v>
      </c>
      <c r="L1643" s="121">
        <v>27620</v>
      </c>
      <c r="M1643" s="121">
        <v>14460</v>
      </c>
      <c r="N1643" s="121">
        <v>11</v>
      </c>
      <c r="O1643" s="363">
        <v>13160</v>
      </c>
      <c r="P1643" s="363">
        <v>11712.4</v>
      </c>
      <c r="Q1643" s="121">
        <v>2026</v>
      </c>
      <c r="R1643" s="121">
        <v>241</v>
      </c>
      <c r="S1643" s="148">
        <v>46188</v>
      </c>
      <c r="T1643" s="363">
        <f>Таблица18[[#This Row],[Вес нетто]]-Таблица18[[#This Row],[Зачетный вес]]</f>
        <v>1447.6000000000004</v>
      </c>
      <c r="U1643" s="392">
        <f>Таблица18[[#This Row],[Отход]]/Таблица18[[#This Row],[Вес нетто]]</f>
        <v>0.11000000000000003</v>
      </c>
      <c r="V1643" s="121">
        <f>MONTH(Таблица18[[#This Row],[Дата акта]])</f>
        <v>6</v>
      </c>
      <c r="W1643" s="121">
        <f>DAY(Таблица18[[#This Row],[Дата акта]])</f>
        <v>15</v>
      </c>
      <c r="X1643" s="148">
        <f>DATE(1900,Таблица18[[#This Row],[Месяц]],Таблица18[[#This Row],[Число]])</f>
        <v>167</v>
      </c>
      <c r="Y1643" s="121"/>
      <c r="Z1643" s="121" t="str">
        <f>Таблица18[[#This Row],[Хар-ка]]</f>
        <v>Высший</v>
      </c>
      <c r="AA1643"/>
      <c r="AB1643">
        <v>241</v>
      </c>
      <c r="AC1643"/>
      <c r="AD1643" s="460" t="s">
        <v>3093</v>
      </c>
      <c r="AE1643" t="s">
        <v>524</v>
      </c>
      <c r="AF1643" t="s">
        <v>46</v>
      </c>
    </row>
    <row r="1644" spans="1:32" s="465" customFormat="1" ht="33.75" x14ac:dyDescent="0.25">
      <c r="A1644" s="40" t="s">
        <v>3349</v>
      </c>
      <c r="B1644" s="360" t="s">
        <v>3230</v>
      </c>
      <c r="C1644" s="40">
        <v>353</v>
      </c>
      <c r="D1644" s="40">
        <v>228</v>
      </c>
      <c r="E1644" s="40" t="s">
        <v>2964</v>
      </c>
      <c r="F1644" s="40" t="s">
        <v>762</v>
      </c>
      <c r="G1644" s="40" t="s">
        <v>763</v>
      </c>
      <c r="H1644" s="40" t="s">
        <v>3093</v>
      </c>
      <c r="I1644" s="40" t="str">
        <f>VLOOKUP(Таблица18[[#This Row],[Номер акта]],$AB$1:$AF$2504,3,FALSE)</f>
        <v>А-105/1</v>
      </c>
      <c r="J1644" s="40" t="s">
        <v>524</v>
      </c>
      <c r="K1644" s="40" t="s">
        <v>2939</v>
      </c>
      <c r="L1644" s="121">
        <v>9030</v>
      </c>
      <c r="M1644" s="121">
        <v>4690</v>
      </c>
      <c r="N1644" s="121">
        <v>12.5</v>
      </c>
      <c r="O1644" s="363">
        <v>4340</v>
      </c>
      <c r="P1644" s="363">
        <v>3797.5</v>
      </c>
      <c r="Q1644" s="121">
        <v>2026</v>
      </c>
      <c r="R1644" s="121">
        <v>242</v>
      </c>
      <c r="S1644" s="148">
        <v>46188</v>
      </c>
      <c r="T1644" s="363">
        <f>Таблица18[[#This Row],[Вес нетто]]-Таблица18[[#This Row],[Зачетный вес]]</f>
        <v>542.5</v>
      </c>
      <c r="U1644" s="392">
        <f>Таблица18[[#This Row],[Отход]]/Таблица18[[#This Row],[Вес нетто]]</f>
        <v>0.125</v>
      </c>
      <c r="V1644" s="121">
        <f>MONTH(Таблица18[[#This Row],[Дата акта]])</f>
        <v>6</v>
      </c>
      <c r="W1644" s="121">
        <f>DAY(Таблица18[[#This Row],[Дата акта]])</f>
        <v>15</v>
      </c>
      <c r="X1644" s="148">
        <f>DATE(1900,Таблица18[[#This Row],[Месяц]],Таблица18[[#This Row],[Число]])</f>
        <v>167</v>
      </c>
      <c r="Y1644" s="121"/>
      <c r="Z1644" s="121" t="str">
        <f>Таблица18[[#This Row],[Хар-ка]]</f>
        <v>Первый</v>
      </c>
      <c r="AA1644"/>
      <c r="AB1644">
        <v>242</v>
      </c>
      <c r="AC1644"/>
      <c r="AD1644" s="460" t="s">
        <v>3093</v>
      </c>
      <c r="AE1644" t="s">
        <v>524</v>
      </c>
      <c r="AF1644" t="s">
        <v>46</v>
      </c>
    </row>
    <row r="1645" spans="1:32" s="465" customFormat="1" ht="33.75" x14ac:dyDescent="0.25">
      <c r="A1645" s="40" t="s">
        <v>3341</v>
      </c>
      <c r="B1645" s="360" t="s">
        <v>2940</v>
      </c>
      <c r="C1645" s="40">
        <v>354</v>
      </c>
      <c r="D1645" s="40">
        <v>229</v>
      </c>
      <c r="E1645" s="40" t="s">
        <v>2964</v>
      </c>
      <c r="F1645" s="40" t="s">
        <v>239</v>
      </c>
      <c r="G1645" s="40" t="s">
        <v>243</v>
      </c>
      <c r="H1645" s="40" t="s">
        <v>3093</v>
      </c>
      <c r="I1645" s="40" t="str">
        <f>VLOOKUP(Таблица18[[#This Row],[Номер акта]],$AB$1:$AF$2504,3,FALSE)</f>
        <v>А-105/1</v>
      </c>
      <c r="J1645" s="40" t="s">
        <v>524</v>
      </c>
      <c r="K1645" s="40" t="s">
        <v>2939</v>
      </c>
      <c r="L1645" s="121">
        <v>27830</v>
      </c>
      <c r="M1645" s="121">
        <v>14530</v>
      </c>
      <c r="N1645" s="121">
        <v>10</v>
      </c>
      <c r="O1645" s="363">
        <v>13300</v>
      </c>
      <c r="P1645" s="363">
        <v>11970</v>
      </c>
      <c r="Q1645" s="121">
        <v>2026</v>
      </c>
      <c r="R1645" s="121">
        <v>243</v>
      </c>
      <c r="S1645" s="148">
        <v>46188</v>
      </c>
      <c r="T1645" s="363">
        <f>Таблица18[[#This Row],[Вес нетто]]-Таблица18[[#This Row],[Зачетный вес]]</f>
        <v>1330</v>
      </c>
      <c r="U1645" s="392">
        <f>Таблица18[[#This Row],[Отход]]/Таблица18[[#This Row],[Вес нетто]]</f>
        <v>0.1</v>
      </c>
      <c r="V1645" s="121">
        <f>MONTH(Таблица18[[#This Row],[Дата акта]])</f>
        <v>6</v>
      </c>
      <c r="W1645" s="121">
        <f>DAY(Таблица18[[#This Row],[Дата акта]])</f>
        <v>15</v>
      </c>
      <c r="X1645" s="148">
        <f>DATE(1900,Таблица18[[#This Row],[Месяц]],Таблица18[[#This Row],[Число]])</f>
        <v>167</v>
      </c>
      <c r="Y1645" s="121"/>
      <c r="Z1645" s="121" t="str">
        <f>Таблица18[[#This Row],[Хар-ка]]</f>
        <v>Высший</v>
      </c>
      <c r="AA1645"/>
      <c r="AB1645">
        <v>243</v>
      </c>
      <c r="AC1645"/>
      <c r="AD1645" s="460" t="s">
        <v>3093</v>
      </c>
      <c r="AE1645" t="s">
        <v>524</v>
      </c>
      <c r="AF1645" t="s">
        <v>46</v>
      </c>
    </row>
    <row r="1646" spans="1:32" s="465" customFormat="1" ht="22.5" x14ac:dyDescent="0.25">
      <c r="A1646" s="40" t="s">
        <v>3340</v>
      </c>
      <c r="B1646" s="360" t="s">
        <v>2940</v>
      </c>
      <c r="C1646" s="40">
        <v>355</v>
      </c>
      <c r="D1646" s="40">
        <v>230</v>
      </c>
      <c r="E1646" s="40" t="s">
        <v>2964</v>
      </c>
      <c r="F1646" s="40" t="s">
        <v>335</v>
      </c>
      <c r="G1646" s="40" t="s">
        <v>339</v>
      </c>
      <c r="H1646" s="40" t="s">
        <v>3093</v>
      </c>
      <c r="I1646" s="40" t="str">
        <f>VLOOKUP(Таблица18[[#This Row],[Номер акта]],$AB$1:$AF$2504,3,FALSE)</f>
        <v>А-105/1</v>
      </c>
      <c r="J1646" s="40" t="s">
        <v>524</v>
      </c>
      <c r="K1646" s="40" t="s">
        <v>2939</v>
      </c>
      <c r="L1646" s="121">
        <v>28020</v>
      </c>
      <c r="M1646" s="121">
        <v>14840</v>
      </c>
      <c r="N1646" s="121">
        <v>10</v>
      </c>
      <c r="O1646" s="363">
        <v>13180</v>
      </c>
      <c r="P1646" s="363">
        <v>11862</v>
      </c>
      <c r="Q1646" s="121">
        <v>2026</v>
      </c>
      <c r="R1646" s="121">
        <v>244</v>
      </c>
      <c r="S1646" s="148">
        <v>46189</v>
      </c>
      <c r="T1646" s="363">
        <f>Таблица18[[#This Row],[Вес нетто]]-Таблица18[[#This Row],[Зачетный вес]]</f>
        <v>1318</v>
      </c>
      <c r="U1646" s="392">
        <f>Таблица18[[#This Row],[Отход]]/Таблица18[[#This Row],[Вес нетто]]</f>
        <v>0.1</v>
      </c>
      <c r="V1646" s="121">
        <f>MONTH(Таблица18[[#This Row],[Дата акта]])</f>
        <v>6</v>
      </c>
      <c r="W1646" s="121">
        <f>DAY(Таблица18[[#This Row],[Дата акта]])</f>
        <v>16</v>
      </c>
      <c r="X1646" s="148">
        <f>DATE(1900,Таблица18[[#This Row],[Месяц]],Таблица18[[#This Row],[Число]])</f>
        <v>168</v>
      </c>
      <c r="Y1646" s="121"/>
      <c r="Z1646" s="121" t="str">
        <f>Таблица18[[#This Row],[Хар-ка]]</f>
        <v>Высший</v>
      </c>
      <c r="AA1646"/>
      <c r="AB1646">
        <v>244</v>
      </c>
      <c r="AC1646"/>
      <c r="AD1646" s="460" t="s">
        <v>3093</v>
      </c>
      <c r="AE1646" t="s">
        <v>524</v>
      </c>
      <c r="AF1646" t="s">
        <v>46</v>
      </c>
    </row>
    <row r="1647" spans="1:32" s="465" customFormat="1" ht="22.5" x14ac:dyDescent="0.25">
      <c r="A1647" s="40" t="s">
        <v>3337</v>
      </c>
      <c r="B1647" s="360" t="s">
        <v>2940</v>
      </c>
      <c r="C1647" s="40">
        <v>356</v>
      </c>
      <c r="D1647" s="40">
        <v>231</v>
      </c>
      <c r="E1647" s="40" t="s">
        <v>2964</v>
      </c>
      <c r="F1647" s="40" t="s">
        <v>212</v>
      </c>
      <c r="G1647" s="40" t="s">
        <v>2965</v>
      </c>
      <c r="H1647" s="40" t="s">
        <v>3093</v>
      </c>
      <c r="I1647" s="40" t="str">
        <f>VLOOKUP(Таблица18[[#This Row],[Номер акта]],$AB$1:$AF$2504,3,FALSE)</f>
        <v>А-105/1</v>
      </c>
      <c r="J1647" s="40" t="s">
        <v>524</v>
      </c>
      <c r="K1647" s="40" t="s">
        <v>2939</v>
      </c>
      <c r="L1647" s="121">
        <v>29120</v>
      </c>
      <c r="M1647" s="121">
        <v>15770</v>
      </c>
      <c r="N1647" s="121">
        <v>17</v>
      </c>
      <c r="O1647" s="363">
        <v>13350</v>
      </c>
      <c r="P1647" s="363">
        <v>11080.5</v>
      </c>
      <c r="Q1647" s="121">
        <v>2026</v>
      </c>
      <c r="R1647" s="121">
        <v>245</v>
      </c>
      <c r="S1647" s="148">
        <v>46189</v>
      </c>
      <c r="T1647" s="363">
        <f>Таблица18[[#This Row],[Вес нетто]]-Таблица18[[#This Row],[Зачетный вес]]</f>
        <v>2269.5</v>
      </c>
      <c r="U1647" s="392">
        <f>Таблица18[[#This Row],[Отход]]/Таблица18[[#This Row],[Вес нетто]]</f>
        <v>0.17</v>
      </c>
      <c r="V1647" s="121">
        <f>MONTH(Таблица18[[#This Row],[Дата акта]])</f>
        <v>6</v>
      </c>
      <c r="W1647" s="121">
        <f>DAY(Таблица18[[#This Row],[Дата акта]])</f>
        <v>16</v>
      </c>
      <c r="X1647" s="148">
        <f>DATE(1900,Таблица18[[#This Row],[Месяц]],Таблица18[[#This Row],[Число]])</f>
        <v>168</v>
      </c>
      <c r="Y1647" s="121"/>
      <c r="Z1647" s="121" t="str">
        <f>Таблица18[[#This Row],[Хар-ка]]</f>
        <v>Высший</v>
      </c>
      <c r="AA1647"/>
      <c r="AB1647">
        <v>245</v>
      </c>
      <c r="AC1647"/>
      <c r="AD1647" s="460" t="s">
        <v>3093</v>
      </c>
      <c r="AE1647" t="s">
        <v>524</v>
      </c>
      <c r="AF1647" t="s">
        <v>46</v>
      </c>
    </row>
    <row r="1648" spans="1:32" s="465" customFormat="1" ht="22.5" x14ac:dyDescent="0.25">
      <c r="A1648" s="40" t="s">
        <v>3332</v>
      </c>
      <c r="B1648" s="360" t="s">
        <v>2940</v>
      </c>
      <c r="C1648" s="40">
        <v>357</v>
      </c>
      <c r="D1648" s="40">
        <v>232</v>
      </c>
      <c r="E1648" s="40" t="s">
        <v>2964</v>
      </c>
      <c r="F1648" s="40" t="s">
        <v>1792</v>
      </c>
      <c r="G1648" s="40" t="s">
        <v>80</v>
      </c>
      <c r="H1648" s="40" t="s">
        <v>3093</v>
      </c>
      <c r="I1648" s="40" t="str">
        <f>VLOOKUP(Таблица18[[#This Row],[Номер акта]],$AB$1:$AF$2504,3,FALSE)</f>
        <v>А-105/1</v>
      </c>
      <c r="J1648" s="40" t="s">
        <v>524</v>
      </c>
      <c r="K1648" s="40" t="s">
        <v>2939</v>
      </c>
      <c r="L1648" s="121">
        <v>27830</v>
      </c>
      <c r="M1648" s="121">
        <v>14470</v>
      </c>
      <c r="N1648" s="121">
        <v>17</v>
      </c>
      <c r="O1648" s="363">
        <v>13360</v>
      </c>
      <c r="P1648" s="363">
        <v>11088.8</v>
      </c>
      <c r="Q1648" s="121">
        <v>2026</v>
      </c>
      <c r="R1648" s="121">
        <v>246</v>
      </c>
      <c r="S1648" s="148">
        <v>46189</v>
      </c>
      <c r="T1648" s="363">
        <f>Таблица18[[#This Row],[Вес нетто]]-Таблица18[[#This Row],[Зачетный вес]]</f>
        <v>2271.2000000000007</v>
      </c>
      <c r="U1648" s="392">
        <f>Таблица18[[#This Row],[Отход]]/Таблица18[[#This Row],[Вес нетто]]</f>
        <v>0.17000000000000007</v>
      </c>
      <c r="V1648" s="121">
        <f>MONTH(Таблица18[[#This Row],[Дата акта]])</f>
        <v>6</v>
      </c>
      <c r="W1648" s="121">
        <f>DAY(Таблица18[[#This Row],[Дата акта]])</f>
        <v>16</v>
      </c>
      <c r="X1648" s="148">
        <f>DATE(1900,Таблица18[[#This Row],[Месяц]],Таблица18[[#This Row],[Число]])</f>
        <v>168</v>
      </c>
      <c r="Y1648" s="121"/>
      <c r="Z1648" s="121" t="str">
        <f>Таблица18[[#This Row],[Хар-ка]]</f>
        <v>Высший</v>
      </c>
      <c r="AA1648"/>
      <c r="AB1648">
        <v>246</v>
      </c>
      <c r="AC1648"/>
      <c r="AD1648" s="460" t="s">
        <v>3093</v>
      </c>
      <c r="AE1648" t="s">
        <v>524</v>
      </c>
      <c r="AF1648" t="s">
        <v>46</v>
      </c>
    </row>
    <row r="1649" spans="1:32" s="465" customFormat="1" ht="33.75" x14ac:dyDescent="0.25">
      <c r="A1649" s="40" t="s">
        <v>3342</v>
      </c>
      <c r="B1649" s="360" t="s">
        <v>2940</v>
      </c>
      <c r="C1649" s="40">
        <v>358</v>
      </c>
      <c r="D1649" s="40">
        <v>233</v>
      </c>
      <c r="E1649" s="40" t="s">
        <v>2964</v>
      </c>
      <c r="F1649" s="40" t="s">
        <v>762</v>
      </c>
      <c r="G1649" s="40" t="s">
        <v>763</v>
      </c>
      <c r="H1649" s="40" t="s">
        <v>3093</v>
      </c>
      <c r="I1649" s="40" t="str">
        <f>VLOOKUP(Таблица18[[#This Row],[Номер акта]],$AB$1:$AF$2504,3,FALSE)</f>
        <v>А-105/1</v>
      </c>
      <c r="J1649" s="40" t="s">
        <v>524</v>
      </c>
      <c r="K1649" s="40" t="s">
        <v>2939</v>
      </c>
      <c r="L1649" s="121">
        <v>9020</v>
      </c>
      <c r="M1649" s="121">
        <v>4680</v>
      </c>
      <c r="N1649" s="121">
        <v>10</v>
      </c>
      <c r="O1649" s="363">
        <v>4340</v>
      </c>
      <c r="P1649" s="363">
        <v>3906</v>
      </c>
      <c r="Q1649" s="121">
        <v>2026</v>
      </c>
      <c r="R1649" s="121">
        <v>247</v>
      </c>
      <c r="S1649" s="148">
        <v>46189</v>
      </c>
      <c r="T1649" s="363">
        <f>Таблица18[[#This Row],[Вес нетто]]-Таблица18[[#This Row],[Зачетный вес]]</f>
        <v>434</v>
      </c>
      <c r="U1649" s="392">
        <f>Таблица18[[#This Row],[Отход]]/Таблица18[[#This Row],[Вес нетто]]</f>
        <v>0.1</v>
      </c>
      <c r="V1649" s="121">
        <f>MONTH(Таблица18[[#This Row],[Дата акта]])</f>
        <v>6</v>
      </c>
      <c r="W1649" s="121">
        <f>DAY(Таблица18[[#This Row],[Дата акта]])</f>
        <v>16</v>
      </c>
      <c r="X1649" s="148">
        <f>DATE(1900,Таблица18[[#This Row],[Месяц]],Таблица18[[#This Row],[Число]])</f>
        <v>168</v>
      </c>
      <c r="Y1649" s="121"/>
      <c r="Z1649" s="121" t="str">
        <f>Таблица18[[#This Row],[Хар-ка]]</f>
        <v>Высший</v>
      </c>
      <c r="AA1649"/>
      <c r="AB1649">
        <v>247</v>
      </c>
      <c r="AC1649"/>
      <c r="AD1649" s="460" t="s">
        <v>3093</v>
      </c>
      <c r="AE1649" t="s">
        <v>524</v>
      </c>
      <c r="AF1649" t="s">
        <v>46</v>
      </c>
    </row>
    <row r="1650" spans="1:32" s="465" customFormat="1" ht="33.75" x14ac:dyDescent="0.25">
      <c r="A1650" s="40" t="s">
        <v>3335</v>
      </c>
      <c r="B1650" s="360" t="s">
        <v>2940</v>
      </c>
      <c r="C1650" s="40">
        <v>359</v>
      </c>
      <c r="D1650" s="40">
        <v>234</v>
      </c>
      <c r="E1650" s="40" t="s">
        <v>2964</v>
      </c>
      <c r="F1650" s="40" t="s">
        <v>239</v>
      </c>
      <c r="G1650" s="40" t="s">
        <v>243</v>
      </c>
      <c r="H1650" s="40" t="s">
        <v>3300</v>
      </c>
      <c r="I1650" s="40" t="str">
        <f>VLOOKUP(Таблица18[[#This Row],[Номер акта]],$AB$1:$AF$2504,3,FALSE)</f>
        <v>А-105/1</v>
      </c>
      <c r="J1650" s="40" t="s">
        <v>524</v>
      </c>
      <c r="K1650" s="40" t="s">
        <v>2939</v>
      </c>
      <c r="L1650" s="121">
        <v>27970</v>
      </c>
      <c r="M1650" s="121">
        <v>14510</v>
      </c>
      <c r="N1650" s="121">
        <v>13.5</v>
      </c>
      <c r="O1650" s="363">
        <v>13460</v>
      </c>
      <c r="P1650" s="363">
        <v>11642.9</v>
      </c>
      <c r="Q1650" s="121">
        <v>2026</v>
      </c>
      <c r="R1650" s="121">
        <v>248</v>
      </c>
      <c r="S1650" s="148">
        <v>46189</v>
      </c>
      <c r="T1650" s="363">
        <f>Таблица18[[#This Row],[Вес нетто]]-Таблица18[[#This Row],[Зачетный вес]]</f>
        <v>1817.1000000000004</v>
      </c>
      <c r="U1650" s="392">
        <f>Таблица18[[#This Row],[Отход]]/Таблица18[[#This Row],[Вес нетто]]</f>
        <v>0.13500000000000004</v>
      </c>
      <c r="V1650" s="121">
        <f>MONTH(Таблица18[[#This Row],[Дата акта]])</f>
        <v>6</v>
      </c>
      <c r="W1650" s="121">
        <f>DAY(Таблица18[[#This Row],[Дата акта]])</f>
        <v>16</v>
      </c>
      <c r="X1650" s="148">
        <f>DATE(1900,Таблица18[[#This Row],[Месяц]],Таблица18[[#This Row],[Число]])</f>
        <v>168</v>
      </c>
      <c r="Y1650" s="121"/>
      <c r="Z1650" s="121" t="str">
        <f>Таблица18[[#This Row],[Хар-ка]]</f>
        <v>Высший</v>
      </c>
      <c r="AA1650"/>
      <c r="AB1650">
        <v>248</v>
      </c>
      <c r="AC1650"/>
      <c r="AD1650" s="460" t="s">
        <v>3093</v>
      </c>
      <c r="AE1650" t="s">
        <v>524</v>
      </c>
      <c r="AF1650" t="s">
        <v>46</v>
      </c>
    </row>
    <row r="1651" spans="1:32" s="465" customFormat="1" ht="22.5" x14ac:dyDescent="0.25">
      <c r="A1651" s="40" t="s">
        <v>3356</v>
      </c>
      <c r="B1651" s="360" t="s">
        <v>2940</v>
      </c>
      <c r="C1651" s="40">
        <v>360</v>
      </c>
      <c r="D1651" s="40">
        <v>235</v>
      </c>
      <c r="E1651" s="40" t="s">
        <v>2964</v>
      </c>
      <c r="F1651" s="40" t="s">
        <v>335</v>
      </c>
      <c r="G1651" s="40" t="s">
        <v>339</v>
      </c>
      <c r="H1651" s="40" t="s">
        <v>3093</v>
      </c>
      <c r="I1651" s="40" t="str">
        <f>VLOOKUP(Таблица18[[#This Row],[Номер акта]],$AB$1:$AF$2504,3,FALSE)</f>
        <v>А-105/1</v>
      </c>
      <c r="J1651" s="40" t="s">
        <v>524</v>
      </c>
      <c r="K1651" s="40" t="s">
        <v>2939</v>
      </c>
      <c r="L1651" s="121">
        <v>27880</v>
      </c>
      <c r="M1651" s="121">
        <v>14830</v>
      </c>
      <c r="N1651" s="121">
        <v>11</v>
      </c>
      <c r="O1651" s="363">
        <v>13050</v>
      </c>
      <c r="P1651" s="363">
        <v>11614.5</v>
      </c>
      <c r="Q1651" s="121">
        <v>2026</v>
      </c>
      <c r="R1651" s="121">
        <v>249</v>
      </c>
      <c r="S1651" s="148">
        <v>46189</v>
      </c>
      <c r="T1651" s="363">
        <f>Таблица18[[#This Row],[Вес нетто]]-Таблица18[[#This Row],[Зачетный вес]]</f>
        <v>1435.5</v>
      </c>
      <c r="U1651" s="392">
        <f>Таблица18[[#This Row],[Отход]]/Таблица18[[#This Row],[Вес нетто]]</f>
        <v>0.11</v>
      </c>
      <c r="V1651" s="121">
        <f>MONTH(Таблица18[[#This Row],[Дата акта]])</f>
        <v>6</v>
      </c>
      <c r="W1651" s="121">
        <f>DAY(Таблица18[[#This Row],[Дата акта]])</f>
        <v>16</v>
      </c>
      <c r="X1651" s="148">
        <f>DATE(1900,Таблица18[[#This Row],[Месяц]],Таблица18[[#This Row],[Число]])</f>
        <v>168</v>
      </c>
      <c r="Y1651" s="121"/>
      <c r="Z1651" s="121" t="str">
        <f>Таблица18[[#This Row],[Хар-ка]]</f>
        <v>Высший</v>
      </c>
      <c r="AA1651"/>
      <c r="AB1651">
        <v>249</v>
      </c>
      <c r="AC1651"/>
      <c r="AD1651" s="460" t="s">
        <v>3093</v>
      </c>
      <c r="AE1651" t="s">
        <v>524</v>
      </c>
      <c r="AF1651" t="s">
        <v>46</v>
      </c>
    </row>
    <row r="1652" spans="1:32" s="465" customFormat="1" ht="22.5" x14ac:dyDescent="0.25">
      <c r="A1652" s="40" t="s">
        <v>3357</v>
      </c>
      <c r="B1652" s="360" t="s">
        <v>2940</v>
      </c>
      <c r="C1652" s="40">
        <v>361</v>
      </c>
      <c r="D1652" s="40">
        <v>236</v>
      </c>
      <c r="E1652" s="40" t="s">
        <v>2964</v>
      </c>
      <c r="F1652" s="40" t="s">
        <v>212</v>
      </c>
      <c r="G1652" s="40" t="s">
        <v>2965</v>
      </c>
      <c r="H1652" s="40" t="s">
        <v>3093</v>
      </c>
      <c r="I1652" s="40" t="str">
        <f>VLOOKUP(Таблица18[[#This Row],[Номер акта]],$AB$1:$AF$2504,3,FALSE)</f>
        <v>А-105/1</v>
      </c>
      <c r="J1652" s="40" t="s">
        <v>524</v>
      </c>
      <c r="K1652" s="40" t="s">
        <v>2939</v>
      </c>
      <c r="L1652" s="121">
        <v>33860</v>
      </c>
      <c r="M1652" s="121">
        <v>15730</v>
      </c>
      <c r="N1652" s="121">
        <v>8.5</v>
      </c>
      <c r="O1652" s="363">
        <v>18130</v>
      </c>
      <c r="P1652" s="363">
        <v>16589</v>
      </c>
      <c r="Q1652" s="121">
        <v>2026</v>
      </c>
      <c r="R1652" s="121">
        <v>250</v>
      </c>
      <c r="S1652" s="148">
        <v>46189</v>
      </c>
      <c r="T1652" s="363">
        <f>Таблица18[[#This Row],[Вес нетто]]-Таблица18[[#This Row],[Зачетный вес]]</f>
        <v>1541</v>
      </c>
      <c r="U1652" s="392">
        <f>Таблица18[[#This Row],[Отход]]/Таблица18[[#This Row],[Вес нетто]]</f>
        <v>8.499724214009928E-2</v>
      </c>
      <c r="V1652" s="121">
        <f>MONTH(Таблица18[[#This Row],[Дата акта]])</f>
        <v>6</v>
      </c>
      <c r="W1652" s="121">
        <f>DAY(Таблица18[[#This Row],[Дата акта]])</f>
        <v>16</v>
      </c>
      <c r="X1652" s="148">
        <f>DATE(1900,Таблица18[[#This Row],[Месяц]],Таблица18[[#This Row],[Число]])</f>
        <v>168</v>
      </c>
      <c r="Y1652" s="121"/>
      <c r="Z1652" s="121" t="str">
        <f>Таблица18[[#This Row],[Хар-ка]]</f>
        <v>Высший</v>
      </c>
      <c r="AA1652"/>
      <c r="AB1652">
        <v>250</v>
      </c>
      <c r="AC1652"/>
      <c r="AD1652" s="460" t="s">
        <v>3093</v>
      </c>
      <c r="AE1652" t="s">
        <v>524</v>
      </c>
      <c r="AF1652" t="s">
        <v>46</v>
      </c>
    </row>
    <row r="1653" spans="1:32" s="465" customFormat="1" ht="22.5" x14ac:dyDescent="0.25">
      <c r="A1653" s="40" t="s">
        <v>3354</v>
      </c>
      <c r="B1653" s="360" t="s">
        <v>2940</v>
      </c>
      <c r="C1653" s="40">
        <v>362</v>
      </c>
      <c r="D1653" s="40">
        <v>237</v>
      </c>
      <c r="E1653" s="40" t="s">
        <v>2964</v>
      </c>
      <c r="F1653" s="40" t="s">
        <v>347</v>
      </c>
      <c r="G1653" s="40" t="s">
        <v>137</v>
      </c>
      <c r="H1653" s="40" t="s">
        <v>3106</v>
      </c>
      <c r="I1653" s="40" t="str">
        <f>VLOOKUP(Таблица18[[#This Row],[Номер акта]],$AB$1:$AF$2504,3,FALSE)</f>
        <v>А-83/2</v>
      </c>
      <c r="J1653" s="40" t="s">
        <v>901</v>
      </c>
      <c r="K1653" s="40" t="s">
        <v>2939</v>
      </c>
      <c r="L1653" s="121">
        <v>28470</v>
      </c>
      <c r="M1653" s="121">
        <v>15120</v>
      </c>
      <c r="N1653" s="121">
        <v>10</v>
      </c>
      <c r="O1653" s="363">
        <v>13350</v>
      </c>
      <c r="P1653" s="363">
        <v>12015</v>
      </c>
      <c r="Q1653" s="121">
        <v>2026</v>
      </c>
      <c r="R1653" s="121">
        <v>251</v>
      </c>
      <c r="S1653" s="148">
        <v>46189</v>
      </c>
      <c r="T1653" s="363">
        <f>Таблица18[[#This Row],[Вес нетто]]-Таблица18[[#This Row],[Зачетный вес]]</f>
        <v>1335</v>
      </c>
      <c r="U1653" s="392">
        <f>Таблица18[[#This Row],[Отход]]/Таблица18[[#This Row],[Вес нетто]]</f>
        <v>0.1</v>
      </c>
      <c r="V1653" s="121">
        <f>MONTH(Таблица18[[#This Row],[Дата акта]])</f>
        <v>6</v>
      </c>
      <c r="W1653" s="121">
        <f>DAY(Таблица18[[#This Row],[Дата акта]])</f>
        <v>16</v>
      </c>
      <c r="X1653" s="148">
        <f>DATE(1900,Таблица18[[#This Row],[Месяц]],Таблица18[[#This Row],[Число]])</f>
        <v>168</v>
      </c>
      <c r="Y1653" s="121"/>
      <c r="Z1653" s="121" t="str">
        <f>Таблица18[[#This Row],[Хар-ка]]</f>
        <v>Высший</v>
      </c>
      <c r="AA1653"/>
      <c r="AB1653">
        <v>251</v>
      </c>
      <c r="AC1653"/>
      <c r="AD1653" s="460" t="s">
        <v>3106</v>
      </c>
      <c r="AE1653" t="s">
        <v>901</v>
      </c>
      <c r="AF1653" t="s">
        <v>46</v>
      </c>
    </row>
    <row r="1654" spans="1:32" s="465" customFormat="1" ht="33.75" x14ac:dyDescent="0.25">
      <c r="A1654" s="40" t="s">
        <v>3355</v>
      </c>
      <c r="B1654" s="360" t="s">
        <v>2940</v>
      </c>
      <c r="C1654" s="40">
        <v>364</v>
      </c>
      <c r="D1654" s="40">
        <v>238</v>
      </c>
      <c r="E1654" s="40" t="s">
        <v>2964</v>
      </c>
      <c r="F1654" s="40" t="s">
        <v>737</v>
      </c>
      <c r="G1654" s="40" t="s">
        <v>738</v>
      </c>
      <c r="H1654" s="40" t="s">
        <v>3105</v>
      </c>
      <c r="I1654" s="40" t="str">
        <f>VLOOKUP(Таблица18[[#This Row],[Номер акта]],$AB$1:$AF$2504,3,FALSE)</f>
        <v>А-83/1</v>
      </c>
      <c r="J1654" s="40" t="s">
        <v>901</v>
      </c>
      <c r="K1654" s="40" t="s">
        <v>2939</v>
      </c>
      <c r="L1654" s="121">
        <v>8890</v>
      </c>
      <c r="M1654" s="121">
        <v>4630</v>
      </c>
      <c r="N1654" s="121">
        <v>13</v>
      </c>
      <c r="O1654" s="363">
        <v>4260</v>
      </c>
      <c r="P1654" s="363">
        <v>3706.2</v>
      </c>
      <c r="Q1654" s="121">
        <v>2026</v>
      </c>
      <c r="R1654" s="121">
        <v>252</v>
      </c>
      <c r="S1654" s="148">
        <v>46189</v>
      </c>
      <c r="T1654" s="363">
        <f>Таблица18[[#This Row],[Вес нетто]]-Таблица18[[#This Row],[Зачетный вес]]</f>
        <v>553.80000000000018</v>
      </c>
      <c r="U1654" s="392">
        <f>Таблица18[[#This Row],[Отход]]/Таблица18[[#This Row],[Вес нетто]]</f>
        <v>0.13000000000000003</v>
      </c>
      <c r="V1654" s="121">
        <f>MONTH(Таблица18[[#This Row],[Дата акта]])</f>
        <v>6</v>
      </c>
      <c r="W1654" s="121">
        <f>DAY(Таблица18[[#This Row],[Дата акта]])</f>
        <v>16</v>
      </c>
      <c r="X1654" s="148">
        <f>DATE(1900,Таблица18[[#This Row],[Месяц]],Таблица18[[#This Row],[Число]])</f>
        <v>168</v>
      </c>
      <c r="Y1654" s="121"/>
      <c r="Z1654" s="121" t="str">
        <f>Таблица18[[#This Row],[Хар-ка]]</f>
        <v>Высший</v>
      </c>
      <c r="AA1654"/>
      <c r="AB1654">
        <v>252</v>
      </c>
      <c r="AC1654"/>
      <c r="AD1654" s="460" t="s">
        <v>3105</v>
      </c>
      <c r="AE1654" t="s">
        <v>901</v>
      </c>
      <c r="AF1654" t="s">
        <v>46</v>
      </c>
    </row>
    <row r="1655" spans="1:32" s="465" customFormat="1" ht="22.5" x14ac:dyDescent="0.25">
      <c r="A1655" s="40" t="s">
        <v>3352</v>
      </c>
      <c r="B1655" s="360" t="s">
        <v>2940</v>
      </c>
      <c r="C1655" s="40">
        <v>365</v>
      </c>
      <c r="D1655" s="40">
        <v>239</v>
      </c>
      <c r="E1655" s="40" t="s">
        <v>2964</v>
      </c>
      <c r="F1655" s="40" t="s">
        <v>1806</v>
      </c>
      <c r="G1655" s="40" t="s">
        <v>1807</v>
      </c>
      <c r="H1655" s="40" t="s">
        <v>3106</v>
      </c>
      <c r="I1655" s="40" t="str">
        <f>VLOOKUP(Таблица18[[#This Row],[Номер акта]],$AB$1:$AF$2504,3,FALSE)</f>
        <v>А-83/2</v>
      </c>
      <c r="J1655" s="40" t="s">
        <v>901</v>
      </c>
      <c r="K1655" s="40" t="s">
        <v>2939</v>
      </c>
      <c r="L1655" s="121">
        <v>28740</v>
      </c>
      <c r="M1655" s="121">
        <v>14750</v>
      </c>
      <c r="N1655" s="121">
        <v>12</v>
      </c>
      <c r="O1655" s="363">
        <v>13990</v>
      </c>
      <c r="P1655" s="363">
        <v>12311.2</v>
      </c>
      <c r="Q1655" s="121">
        <v>2026</v>
      </c>
      <c r="R1655" s="121">
        <v>253</v>
      </c>
      <c r="S1655" s="148">
        <v>46189</v>
      </c>
      <c r="T1655" s="363">
        <f>Таблица18[[#This Row],[Вес нетто]]-Таблица18[[#This Row],[Зачетный вес]]</f>
        <v>1678.7999999999993</v>
      </c>
      <c r="U1655" s="392">
        <f>Таблица18[[#This Row],[Отход]]/Таблица18[[#This Row],[Вес нетто]]</f>
        <v>0.11999999999999995</v>
      </c>
      <c r="V1655" s="121">
        <f>MONTH(Таблица18[[#This Row],[Дата акта]])</f>
        <v>6</v>
      </c>
      <c r="W1655" s="121">
        <f>DAY(Таблица18[[#This Row],[Дата акта]])</f>
        <v>16</v>
      </c>
      <c r="X1655" s="148">
        <f>DATE(1900,Таблица18[[#This Row],[Месяц]],Таблица18[[#This Row],[Число]])</f>
        <v>168</v>
      </c>
      <c r="Y1655" s="121"/>
      <c r="Z1655" s="121" t="str">
        <f>Таблица18[[#This Row],[Хар-ка]]</f>
        <v>Высший</v>
      </c>
      <c r="AA1655"/>
      <c r="AB1655">
        <v>253</v>
      </c>
      <c r="AC1655"/>
      <c r="AD1655" s="460" t="s">
        <v>3106</v>
      </c>
      <c r="AE1655" t="s">
        <v>901</v>
      </c>
      <c r="AF1655" t="s">
        <v>46</v>
      </c>
    </row>
    <row r="1656" spans="1:32" s="465" customFormat="1" ht="33.75" x14ac:dyDescent="0.25">
      <c r="A1656" s="40" t="s">
        <v>3353</v>
      </c>
      <c r="B1656" s="360" t="s">
        <v>2940</v>
      </c>
      <c r="C1656" s="40">
        <v>366</v>
      </c>
      <c r="D1656" s="40">
        <v>240</v>
      </c>
      <c r="E1656" s="40" t="s">
        <v>2964</v>
      </c>
      <c r="F1656" s="40" t="s">
        <v>311</v>
      </c>
      <c r="G1656" s="40" t="s">
        <v>315</v>
      </c>
      <c r="H1656" s="40" t="s">
        <v>3963</v>
      </c>
      <c r="I1656" s="40" t="str">
        <f>VLOOKUP(Таблица18[[#This Row],[Номер акта]],$AB$1:$AF$2504,3,FALSE)</f>
        <v>А-54/4</v>
      </c>
      <c r="J1656" s="40" t="s">
        <v>909</v>
      </c>
      <c r="K1656" s="40" t="s">
        <v>3375</v>
      </c>
      <c r="L1656" s="121">
        <v>27460</v>
      </c>
      <c r="M1656" s="121">
        <v>15220</v>
      </c>
      <c r="N1656" s="121">
        <v>16</v>
      </c>
      <c r="O1656" s="363">
        <v>12240</v>
      </c>
      <c r="P1656" s="363">
        <v>10281.6</v>
      </c>
      <c r="Q1656" s="121">
        <v>2026</v>
      </c>
      <c r="R1656" s="121">
        <v>254</v>
      </c>
      <c r="S1656" s="148">
        <v>46189</v>
      </c>
      <c r="T1656" s="363">
        <f>Таблица18[[#This Row],[Вес нетто]]-Таблица18[[#This Row],[Зачетный вес]]</f>
        <v>1958.3999999999996</v>
      </c>
      <c r="U1656" s="392">
        <f>Таблица18[[#This Row],[Отход]]/Таблица18[[#This Row],[Вес нетто]]</f>
        <v>0.15999999999999998</v>
      </c>
      <c r="V1656" s="121">
        <f>MONTH(Таблица18[[#This Row],[Дата акта]])</f>
        <v>6</v>
      </c>
      <c r="W1656" s="121">
        <f>DAY(Таблица18[[#This Row],[Дата акта]])</f>
        <v>16</v>
      </c>
      <c r="X1656" s="148">
        <f>DATE(1900,Таблица18[[#This Row],[Месяц]],Таблица18[[#This Row],[Число]])</f>
        <v>168</v>
      </c>
      <c r="Y1656" s="121"/>
      <c r="Z1656" s="121" t="str">
        <f>Таблица18[[#This Row],[Хар-ка]]</f>
        <v>Высший</v>
      </c>
      <c r="AA1656"/>
      <c r="AB1656">
        <v>254</v>
      </c>
      <c r="AC1656"/>
      <c r="AD1656" s="460" t="s">
        <v>2884</v>
      </c>
      <c r="AE1656" t="s">
        <v>909</v>
      </c>
      <c r="AF1656" t="s">
        <v>2932</v>
      </c>
    </row>
    <row r="1657" spans="1:32" s="465" customFormat="1" ht="22.5" x14ac:dyDescent="0.25">
      <c r="A1657" s="40" t="s">
        <v>3358</v>
      </c>
      <c r="B1657" s="360" t="s">
        <v>2940</v>
      </c>
      <c r="C1657" s="40">
        <v>367</v>
      </c>
      <c r="D1657" s="40">
        <v>241</v>
      </c>
      <c r="E1657" s="40" t="s">
        <v>2964</v>
      </c>
      <c r="F1657" s="40" t="s">
        <v>347</v>
      </c>
      <c r="G1657" s="40" t="s">
        <v>137</v>
      </c>
      <c r="H1657" s="40" t="s">
        <v>3106</v>
      </c>
      <c r="I1657" s="40" t="str">
        <f>VLOOKUP(Таблица18[[#This Row],[Номер акта]],$AB$1:$AF$2504,3,FALSE)</f>
        <v>А-83/1</v>
      </c>
      <c r="J1657" s="40" t="s">
        <v>901</v>
      </c>
      <c r="K1657" s="40" t="s">
        <v>2939</v>
      </c>
      <c r="L1657" s="121">
        <v>27910</v>
      </c>
      <c r="M1657" s="121">
        <v>15100</v>
      </c>
      <c r="N1657" s="121">
        <v>13</v>
      </c>
      <c r="O1657" s="363">
        <v>12810</v>
      </c>
      <c r="P1657" s="363">
        <v>11144.7</v>
      </c>
      <c r="Q1657" s="121">
        <v>2026</v>
      </c>
      <c r="R1657" s="121">
        <v>255</v>
      </c>
      <c r="S1657" s="148">
        <v>46189</v>
      </c>
      <c r="T1657" s="363">
        <f>Таблица18[[#This Row],[Вес нетто]]-Таблица18[[#This Row],[Зачетный вес]]</f>
        <v>1665.2999999999993</v>
      </c>
      <c r="U1657" s="392">
        <f>Таблица18[[#This Row],[Отход]]/Таблица18[[#This Row],[Вес нетто]]</f>
        <v>0.12999999999999995</v>
      </c>
      <c r="V1657" s="121">
        <f>MONTH(Таблица18[[#This Row],[Дата акта]])</f>
        <v>6</v>
      </c>
      <c r="W1657" s="121">
        <f>DAY(Таблица18[[#This Row],[Дата акта]])</f>
        <v>16</v>
      </c>
      <c r="X1657" s="148">
        <f>DATE(1900,Таблица18[[#This Row],[Месяц]],Таблица18[[#This Row],[Число]])</f>
        <v>168</v>
      </c>
      <c r="Y1657" s="121"/>
      <c r="Z1657" s="121" t="str">
        <f>Таблица18[[#This Row],[Хар-ка]]</f>
        <v>Высший</v>
      </c>
      <c r="AA1657"/>
      <c r="AB1657">
        <v>255</v>
      </c>
      <c r="AC1657"/>
      <c r="AD1657" s="460" t="s">
        <v>3105</v>
      </c>
      <c r="AE1657" t="s">
        <v>901</v>
      </c>
      <c r="AF1657" t="s">
        <v>46</v>
      </c>
    </row>
    <row r="1658" spans="1:32" s="465" customFormat="1" ht="33.75" x14ac:dyDescent="0.25">
      <c r="A1658" s="40" t="s">
        <v>3359</v>
      </c>
      <c r="B1658" s="360" t="s">
        <v>2940</v>
      </c>
      <c r="C1658" s="40">
        <v>368</v>
      </c>
      <c r="D1658" s="40">
        <v>242</v>
      </c>
      <c r="E1658" s="40" t="s">
        <v>2964</v>
      </c>
      <c r="F1658" s="40" t="s">
        <v>737</v>
      </c>
      <c r="G1658" s="40" t="s">
        <v>738</v>
      </c>
      <c r="H1658" s="40" t="s">
        <v>3095</v>
      </c>
      <c r="I1658" s="40" t="str">
        <f>VLOOKUP(Таблица18[[#This Row],[Номер акта]],$AB$1:$AF$2504,3,FALSE)</f>
        <v>А-112/1</v>
      </c>
      <c r="J1658" s="40" t="s">
        <v>909</v>
      </c>
      <c r="K1658" s="40" t="s">
        <v>2939</v>
      </c>
      <c r="L1658" s="121">
        <v>8830</v>
      </c>
      <c r="M1658" s="121">
        <v>4620</v>
      </c>
      <c r="N1658" s="121">
        <v>9.5</v>
      </c>
      <c r="O1658" s="363">
        <v>4210</v>
      </c>
      <c r="P1658" s="363">
        <v>3810.1</v>
      </c>
      <c r="Q1658" s="121">
        <v>2026</v>
      </c>
      <c r="R1658" s="121">
        <v>256</v>
      </c>
      <c r="S1658" s="148">
        <v>46189</v>
      </c>
      <c r="T1658" s="363">
        <f>Таблица18[[#This Row],[Вес нетто]]-Таблица18[[#This Row],[Зачетный вес]]</f>
        <v>399.90000000000009</v>
      </c>
      <c r="U1658" s="392">
        <f>Таблица18[[#This Row],[Отход]]/Таблица18[[#This Row],[Вес нетто]]</f>
        <v>9.4988123515439449E-2</v>
      </c>
      <c r="V1658" s="121">
        <f>MONTH(Таблица18[[#This Row],[Дата акта]])</f>
        <v>6</v>
      </c>
      <c r="W1658" s="121">
        <f>DAY(Таблица18[[#This Row],[Дата акта]])</f>
        <v>16</v>
      </c>
      <c r="X1658" s="148">
        <f>DATE(1900,Таблица18[[#This Row],[Месяц]],Таблица18[[#This Row],[Число]])</f>
        <v>168</v>
      </c>
      <c r="Y1658" s="121"/>
      <c r="Z1658" s="121" t="str">
        <f>Таблица18[[#This Row],[Хар-ка]]</f>
        <v>Высший</v>
      </c>
      <c r="AA1658"/>
      <c r="AB1658">
        <v>256</v>
      </c>
      <c r="AC1658"/>
      <c r="AD1658" s="460" t="s">
        <v>3095</v>
      </c>
      <c r="AE1658" t="s">
        <v>909</v>
      </c>
      <c r="AF1658" t="s">
        <v>46</v>
      </c>
    </row>
    <row r="1659" spans="1:32" s="465" customFormat="1" ht="22.5" x14ac:dyDescent="0.25">
      <c r="A1659" s="40" t="s">
        <v>3360</v>
      </c>
      <c r="B1659" s="360" t="s">
        <v>2940</v>
      </c>
      <c r="C1659" s="40">
        <v>369</v>
      </c>
      <c r="D1659" s="40">
        <v>243</v>
      </c>
      <c r="E1659" s="40" t="s">
        <v>2964</v>
      </c>
      <c r="F1659" s="40" t="s">
        <v>1806</v>
      </c>
      <c r="G1659" s="40" t="s">
        <v>1807</v>
      </c>
      <c r="H1659" s="40" t="s">
        <v>3232</v>
      </c>
      <c r="I1659" s="40" t="str">
        <f>VLOOKUP(Таблица18[[#This Row],[Номер акта]],$AB$1:$AF$2504,3,FALSE)</f>
        <v>А-112/1</v>
      </c>
      <c r="J1659" s="40" t="s">
        <v>909</v>
      </c>
      <c r="K1659" s="40" t="s">
        <v>2939</v>
      </c>
      <c r="L1659" s="121">
        <v>27650</v>
      </c>
      <c r="M1659" s="121">
        <v>21070</v>
      </c>
      <c r="N1659" s="121">
        <v>11.5</v>
      </c>
      <c r="O1659" s="363">
        <v>6580</v>
      </c>
      <c r="P1659" s="363">
        <v>5823.3</v>
      </c>
      <c r="Q1659" s="121">
        <v>2026</v>
      </c>
      <c r="R1659" s="121">
        <v>257</v>
      </c>
      <c r="S1659" s="148">
        <v>46189</v>
      </c>
      <c r="T1659" s="363">
        <f>Таблица18[[#This Row],[Вес нетто]]-Таблица18[[#This Row],[Зачетный вес]]</f>
        <v>756.69999999999982</v>
      </c>
      <c r="U1659" s="392">
        <f>Таблица18[[#This Row],[Отход]]/Таблица18[[#This Row],[Вес нетто]]</f>
        <v>0.11499999999999998</v>
      </c>
      <c r="V1659" s="121">
        <f>MONTH(Таблица18[[#This Row],[Дата акта]])</f>
        <v>6</v>
      </c>
      <c r="W1659" s="121">
        <f>DAY(Таблица18[[#This Row],[Дата акта]])</f>
        <v>16</v>
      </c>
      <c r="X1659" s="148">
        <f>DATE(1900,Таблица18[[#This Row],[Месяц]],Таблица18[[#This Row],[Число]])</f>
        <v>168</v>
      </c>
      <c r="Y1659" s="121"/>
      <c r="Z1659" s="121" t="str">
        <f>Таблица18[[#This Row],[Хар-ка]]</f>
        <v>Высший</v>
      </c>
      <c r="AA1659"/>
      <c r="AB1659">
        <v>257</v>
      </c>
      <c r="AC1659"/>
      <c r="AD1659" s="460" t="s">
        <v>3095</v>
      </c>
      <c r="AE1659" t="s">
        <v>909</v>
      </c>
      <c r="AF1659" t="s">
        <v>46</v>
      </c>
    </row>
    <row r="1660" spans="1:32" s="465" customFormat="1" ht="22.5" x14ac:dyDescent="0.25">
      <c r="A1660" s="40" t="s">
        <v>3361</v>
      </c>
      <c r="B1660" s="360" t="s">
        <v>2940</v>
      </c>
      <c r="C1660" s="40">
        <v>371</v>
      </c>
      <c r="D1660" s="40">
        <v>245</v>
      </c>
      <c r="E1660" s="40" t="s">
        <v>2964</v>
      </c>
      <c r="F1660" s="40" t="s">
        <v>127</v>
      </c>
      <c r="G1660" s="40" t="s">
        <v>131</v>
      </c>
      <c r="H1660" s="40" t="s">
        <v>3095</v>
      </c>
      <c r="I1660" s="40" t="str">
        <f>VLOOKUP(Таблица18[[#This Row],[Номер акта]],$AB$1:$AF$2504,3,FALSE)</f>
        <v>А-112/1</v>
      </c>
      <c r="J1660" s="40" t="s">
        <v>909</v>
      </c>
      <c r="K1660" s="40" t="s">
        <v>2939</v>
      </c>
      <c r="L1660" s="121">
        <v>27450</v>
      </c>
      <c r="M1660" s="121">
        <v>14430</v>
      </c>
      <c r="N1660" s="121">
        <v>14.5</v>
      </c>
      <c r="O1660" s="363">
        <v>13020</v>
      </c>
      <c r="P1660" s="363">
        <v>11132.1</v>
      </c>
      <c r="Q1660" s="121">
        <v>2026</v>
      </c>
      <c r="R1660" s="121">
        <v>258</v>
      </c>
      <c r="S1660" s="148">
        <v>46189</v>
      </c>
      <c r="T1660" s="363">
        <f>Таблица18[[#This Row],[Вес нетто]]-Таблица18[[#This Row],[Зачетный вес]]</f>
        <v>1887.8999999999996</v>
      </c>
      <c r="U1660" s="392">
        <f>Таблица18[[#This Row],[Отход]]/Таблица18[[#This Row],[Вес нетто]]</f>
        <v>0.14499999999999996</v>
      </c>
      <c r="V1660" s="121">
        <f>MONTH(Таблица18[[#This Row],[Дата акта]])</f>
        <v>6</v>
      </c>
      <c r="W1660" s="121">
        <f>DAY(Таблица18[[#This Row],[Дата акта]])</f>
        <v>16</v>
      </c>
      <c r="X1660" s="148">
        <f>DATE(1900,Таблица18[[#This Row],[Месяц]],Таблица18[[#This Row],[Число]])</f>
        <v>168</v>
      </c>
      <c r="Y1660" s="121"/>
      <c r="Z1660" s="121" t="str">
        <f>Таблица18[[#This Row],[Хар-ка]]</f>
        <v>Высший</v>
      </c>
      <c r="AA1660"/>
      <c r="AB1660">
        <v>258</v>
      </c>
      <c r="AC1660"/>
      <c r="AD1660" s="460" t="s">
        <v>3095</v>
      </c>
      <c r="AE1660" t="s">
        <v>909</v>
      </c>
      <c r="AF1660" t="s">
        <v>46</v>
      </c>
    </row>
    <row r="1661" spans="1:32" s="465" customFormat="1" ht="22.5" x14ac:dyDescent="0.25">
      <c r="A1661" s="40" t="s">
        <v>3416</v>
      </c>
      <c r="B1661" s="360" t="s">
        <v>2940</v>
      </c>
      <c r="C1661" s="40">
        <v>372</v>
      </c>
      <c r="D1661" s="40">
        <v>244</v>
      </c>
      <c r="E1661" s="40" t="s">
        <v>2964</v>
      </c>
      <c r="F1661" s="40" t="s">
        <v>1806</v>
      </c>
      <c r="G1661" s="40" t="s">
        <v>1807</v>
      </c>
      <c r="H1661" s="40" t="s">
        <v>3105</v>
      </c>
      <c r="I1661" s="40" t="str">
        <f>VLOOKUP(Таблица18[[#This Row],[Номер акта]],$AB$1:$AF$2504,3,FALSE)</f>
        <v>А-83/1</v>
      </c>
      <c r="J1661" s="40" t="s">
        <v>901</v>
      </c>
      <c r="K1661" s="40" t="s">
        <v>2939</v>
      </c>
      <c r="L1661" s="121">
        <v>21070</v>
      </c>
      <c r="M1661" s="121">
        <v>14720</v>
      </c>
      <c r="N1661" s="121">
        <v>16</v>
      </c>
      <c r="O1661" s="363">
        <v>6350</v>
      </c>
      <c r="P1661" s="363">
        <v>5334</v>
      </c>
      <c r="Q1661" s="121">
        <v>2026</v>
      </c>
      <c r="R1661" s="121">
        <v>279</v>
      </c>
      <c r="S1661" s="148">
        <v>46189</v>
      </c>
      <c r="T1661" s="363">
        <f>Таблица18[[#This Row],[Вес нетто]]-Таблица18[[#This Row],[Зачетный вес]]</f>
        <v>1016</v>
      </c>
      <c r="U1661" s="392">
        <f>Таблица18[[#This Row],[Отход]]/Таблица18[[#This Row],[Вес нетто]]</f>
        <v>0.16</v>
      </c>
      <c r="V1661" s="121">
        <f>MONTH(Таблица18[[#This Row],[Дата акта]])</f>
        <v>6</v>
      </c>
      <c r="W1661" s="121">
        <f>DAY(Таблица18[[#This Row],[Дата акта]])</f>
        <v>16</v>
      </c>
      <c r="X1661" s="148">
        <f>DATE(1900,Таблица18[[#This Row],[Месяц]],Таблица18[[#This Row],[Число]])</f>
        <v>168</v>
      </c>
      <c r="Y1661" s="121"/>
      <c r="Z1661" s="121" t="str">
        <f>Таблица18[[#This Row],[Хар-ка]]</f>
        <v>Высший</v>
      </c>
      <c r="AA1661"/>
      <c r="AB1661">
        <v>279</v>
      </c>
      <c r="AC1661"/>
      <c r="AD1661" s="460" t="s">
        <v>3105</v>
      </c>
      <c r="AE1661" t="s">
        <v>901</v>
      </c>
      <c r="AF1661" t="s">
        <v>46</v>
      </c>
    </row>
    <row r="1662" spans="1:32" s="465" customFormat="1" ht="33.75" x14ac:dyDescent="0.25">
      <c r="A1662" s="40" t="s">
        <v>3362</v>
      </c>
      <c r="B1662" s="360" t="s">
        <v>2940</v>
      </c>
      <c r="C1662" s="40">
        <v>373</v>
      </c>
      <c r="D1662" s="40">
        <v>246</v>
      </c>
      <c r="E1662" s="40" t="s">
        <v>2964</v>
      </c>
      <c r="F1662" s="40" t="s">
        <v>311</v>
      </c>
      <c r="G1662" s="40" t="s">
        <v>315</v>
      </c>
      <c r="H1662" s="40" t="s">
        <v>3095</v>
      </c>
      <c r="I1662" s="40" t="str">
        <f>VLOOKUP(Таблица18[[#This Row],[Номер акта]],$AB$1:$AF$2504,3,FALSE)</f>
        <v>А-112/1</v>
      </c>
      <c r="J1662" s="40" t="s">
        <v>909</v>
      </c>
      <c r="K1662" s="40" t="s">
        <v>2939</v>
      </c>
      <c r="L1662" s="121">
        <v>28480</v>
      </c>
      <c r="M1662" s="121">
        <v>15220</v>
      </c>
      <c r="N1662" s="121">
        <v>8.5</v>
      </c>
      <c r="O1662" s="363">
        <v>13260</v>
      </c>
      <c r="P1662" s="363">
        <v>12132.9</v>
      </c>
      <c r="Q1662" s="121">
        <v>2026</v>
      </c>
      <c r="R1662" s="121">
        <v>259</v>
      </c>
      <c r="S1662" s="148">
        <v>46189</v>
      </c>
      <c r="T1662" s="363">
        <f>Таблица18[[#This Row],[Вес нетто]]-Таблица18[[#This Row],[Зачетный вес]]</f>
        <v>1127.1000000000004</v>
      </c>
      <c r="U1662" s="392">
        <f>Таблица18[[#This Row],[Отход]]/Таблица18[[#This Row],[Вес нетто]]</f>
        <v>8.5000000000000034E-2</v>
      </c>
      <c r="V1662" s="121">
        <f>MONTH(Таблица18[[#This Row],[Дата акта]])</f>
        <v>6</v>
      </c>
      <c r="W1662" s="121">
        <f>DAY(Таблица18[[#This Row],[Дата акта]])</f>
        <v>16</v>
      </c>
      <c r="X1662" s="148">
        <f>DATE(1900,Таблица18[[#This Row],[Месяц]],Таблица18[[#This Row],[Число]])</f>
        <v>168</v>
      </c>
      <c r="Y1662" s="121"/>
      <c r="Z1662" s="121" t="str">
        <f>Таблица18[[#This Row],[Хар-ка]]</f>
        <v>Высший</v>
      </c>
      <c r="AA1662"/>
      <c r="AB1662">
        <v>259</v>
      </c>
      <c r="AC1662"/>
      <c r="AD1662" s="460" t="s">
        <v>3095</v>
      </c>
      <c r="AE1662" t="s">
        <v>909</v>
      </c>
      <c r="AF1662" t="s">
        <v>46</v>
      </c>
    </row>
    <row r="1663" spans="1:32" s="465" customFormat="1" ht="22.5" x14ac:dyDescent="0.25">
      <c r="A1663" s="40" t="s">
        <v>3364</v>
      </c>
      <c r="B1663" s="360" t="s">
        <v>2940</v>
      </c>
      <c r="C1663" s="40">
        <v>375</v>
      </c>
      <c r="D1663" s="40">
        <v>247</v>
      </c>
      <c r="E1663" s="40" t="s">
        <v>2964</v>
      </c>
      <c r="F1663" s="40" t="s">
        <v>347</v>
      </c>
      <c r="G1663" s="40" t="s">
        <v>137</v>
      </c>
      <c r="H1663" s="40" t="s">
        <v>3232</v>
      </c>
      <c r="I1663" s="40" t="str">
        <f>VLOOKUP(Таблица18[[#This Row],[Номер акта]],$AB$1:$AF$2504,3,FALSE)</f>
        <v>А-112/1</v>
      </c>
      <c r="J1663" s="40" t="s">
        <v>909</v>
      </c>
      <c r="K1663" s="40" t="s">
        <v>2939</v>
      </c>
      <c r="L1663" s="121">
        <v>28140</v>
      </c>
      <c r="M1663" s="121">
        <v>15070</v>
      </c>
      <c r="N1663" s="121">
        <v>10.5</v>
      </c>
      <c r="O1663" s="363">
        <v>13070</v>
      </c>
      <c r="P1663" s="363">
        <v>11697.6</v>
      </c>
      <c r="Q1663" s="121">
        <v>2026</v>
      </c>
      <c r="R1663" s="121">
        <v>260</v>
      </c>
      <c r="S1663" s="148">
        <v>46189</v>
      </c>
      <c r="T1663" s="363">
        <f>Таблица18[[#This Row],[Вес нетто]]-Таблица18[[#This Row],[Зачетный вес]]</f>
        <v>1372.3999999999996</v>
      </c>
      <c r="U1663" s="392">
        <f>Таблица18[[#This Row],[Отход]]/Таблица18[[#This Row],[Вес нетто]]</f>
        <v>0.1050038255547054</v>
      </c>
      <c r="V1663" s="121">
        <f>MONTH(Таблица18[[#This Row],[Дата акта]])</f>
        <v>6</v>
      </c>
      <c r="W1663" s="121">
        <f>DAY(Таблица18[[#This Row],[Дата акта]])</f>
        <v>16</v>
      </c>
      <c r="X1663" s="148">
        <f>DATE(1900,Таблица18[[#This Row],[Месяц]],Таблица18[[#This Row],[Число]])</f>
        <v>168</v>
      </c>
      <c r="Y1663" s="121"/>
      <c r="Z1663" s="121" t="str">
        <f>Таблица18[[#This Row],[Хар-ка]]</f>
        <v>Высший</v>
      </c>
      <c r="AA1663"/>
      <c r="AB1663">
        <v>260</v>
      </c>
      <c r="AC1663"/>
      <c r="AD1663" s="460" t="s">
        <v>3095</v>
      </c>
      <c r="AE1663" t="s">
        <v>909</v>
      </c>
      <c r="AF1663" t="s">
        <v>46</v>
      </c>
    </row>
    <row r="1664" spans="1:32" s="465" customFormat="1" ht="22.5" x14ac:dyDescent="0.25">
      <c r="A1664" s="40" t="s">
        <v>3366</v>
      </c>
      <c r="B1664" s="360" t="s">
        <v>2940</v>
      </c>
      <c r="C1664" s="40">
        <v>376</v>
      </c>
      <c r="D1664" s="40">
        <v>248</v>
      </c>
      <c r="E1664" s="40" t="s">
        <v>2964</v>
      </c>
      <c r="F1664" s="40" t="s">
        <v>1806</v>
      </c>
      <c r="G1664" s="40" t="s">
        <v>1807</v>
      </c>
      <c r="H1664" s="40" t="s">
        <v>3232</v>
      </c>
      <c r="I1664" s="40" t="str">
        <f>VLOOKUP(Таблица18[[#This Row],[Номер акта]],$AB$1:$AF$2504,3,FALSE)</f>
        <v>А-112/1</v>
      </c>
      <c r="J1664" s="40" t="s">
        <v>909</v>
      </c>
      <c r="K1664" s="40" t="s">
        <v>2939</v>
      </c>
      <c r="L1664" s="121">
        <v>27900</v>
      </c>
      <c r="M1664" s="121">
        <v>14610</v>
      </c>
      <c r="N1664" s="121">
        <v>12.5</v>
      </c>
      <c r="O1664" s="363">
        <v>13290</v>
      </c>
      <c r="P1664" s="363">
        <v>11628.7</v>
      </c>
      <c r="Q1664" s="121">
        <v>2026</v>
      </c>
      <c r="R1664" s="121">
        <v>261</v>
      </c>
      <c r="S1664" s="148">
        <v>46189</v>
      </c>
      <c r="T1664" s="363">
        <f>Таблица18[[#This Row],[Вес нетто]]-Таблица18[[#This Row],[Зачетный вес]]</f>
        <v>1661.2999999999993</v>
      </c>
      <c r="U1664" s="392">
        <f>Таблица18[[#This Row],[Отход]]/Таблица18[[#This Row],[Вес нетто]]</f>
        <v>0.12500376222723847</v>
      </c>
      <c r="V1664" s="121">
        <f>MONTH(Таблица18[[#This Row],[Дата акта]])</f>
        <v>6</v>
      </c>
      <c r="W1664" s="121">
        <f>DAY(Таблица18[[#This Row],[Дата акта]])</f>
        <v>16</v>
      </c>
      <c r="X1664" s="148">
        <f>DATE(1900,Таблица18[[#This Row],[Месяц]],Таблица18[[#This Row],[Число]])</f>
        <v>168</v>
      </c>
      <c r="Y1664" s="121"/>
      <c r="Z1664" s="121" t="str">
        <f>Таблица18[[#This Row],[Хар-ка]]</f>
        <v>Высший</v>
      </c>
      <c r="AA1664"/>
      <c r="AB1664">
        <v>261</v>
      </c>
      <c r="AC1664"/>
      <c r="AD1664" s="460" t="s">
        <v>3095</v>
      </c>
      <c r="AE1664" t="s">
        <v>909</v>
      </c>
      <c r="AF1664" t="s">
        <v>46</v>
      </c>
    </row>
    <row r="1665" spans="1:32" s="465" customFormat="1" ht="22.5" x14ac:dyDescent="0.25">
      <c r="A1665" s="40" t="s">
        <v>3363</v>
      </c>
      <c r="B1665" s="360" t="s">
        <v>3230</v>
      </c>
      <c r="C1665" s="40">
        <v>377</v>
      </c>
      <c r="D1665" s="40">
        <v>249</v>
      </c>
      <c r="E1665" s="40" t="s">
        <v>2964</v>
      </c>
      <c r="F1665" s="40" t="s">
        <v>127</v>
      </c>
      <c r="G1665" s="40" t="s">
        <v>131</v>
      </c>
      <c r="H1665" s="40" t="s">
        <v>3232</v>
      </c>
      <c r="I1665" s="40" t="str">
        <f>VLOOKUP(Таблица18[[#This Row],[Номер акта]],$AB$1:$AF$2504,3,FALSE)</f>
        <v>А-112/1</v>
      </c>
      <c r="J1665" s="40" t="s">
        <v>909</v>
      </c>
      <c r="K1665" s="40" t="s">
        <v>2939</v>
      </c>
      <c r="L1665" s="121">
        <v>27580</v>
      </c>
      <c r="M1665" s="121">
        <v>14420</v>
      </c>
      <c r="N1665" s="121">
        <v>12.5</v>
      </c>
      <c r="O1665" s="363">
        <v>13160</v>
      </c>
      <c r="P1665" s="363">
        <v>11515</v>
      </c>
      <c r="Q1665" s="121">
        <v>2026</v>
      </c>
      <c r="R1665" s="121">
        <v>263</v>
      </c>
      <c r="S1665" s="148">
        <v>46189</v>
      </c>
      <c r="T1665" s="363">
        <f>Таблица18[[#This Row],[Вес нетто]]-Таблица18[[#This Row],[Зачетный вес]]</f>
        <v>1645</v>
      </c>
      <c r="U1665" s="392">
        <f>Таблица18[[#This Row],[Отход]]/Таблица18[[#This Row],[Вес нетто]]</f>
        <v>0.125</v>
      </c>
      <c r="V1665" s="121">
        <f>MONTH(Таблица18[[#This Row],[Дата акта]])</f>
        <v>6</v>
      </c>
      <c r="W1665" s="121">
        <f>DAY(Таблица18[[#This Row],[Дата акта]])</f>
        <v>16</v>
      </c>
      <c r="X1665" s="148">
        <f>DATE(1900,Таблица18[[#This Row],[Месяц]],Таблица18[[#This Row],[Число]])</f>
        <v>168</v>
      </c>
      <c r="Y1665" s="121"/>
      <c r="Z1665" s="121" t="str">
        <f>Таблица18[[#This Row],[Хар-ка]]</f>
        <v>Первый</v>
      </c>
      <c r="AA1665"/>
      <c r="AB1665">
        <v>263</v>
      </c>
      <c r="AC1665"/>
      <c r="AD1665" s="460" t="s">
        <v>3095</v>
      </c>
      <c r="AE1665" t="s">
        <v>909</v>
      </c>
      <c r="AF1665" t="s">
        <v>46</v>
      </c>
    </row>
    <row r="1666" spans="1:32" s="465" customFormat="1" ht="33.75" x14ac:dyDescent="0.25">
      <c r="A1666" s="40" t="s">
        <v>3367</v>
      </c>
      <c r="B1666" s="360" t="s">
        <v>3230</v>
      </c>
      <c r="C1666" s="40">
        <v>378</v>
      </c>
      <c r="D1666" s="40">
        <v>242</v>
      </c>
      <c r="E1666" s="40" t="s">
        <v>2964</v>
      </c>
      <c r="F1666" s="40" t="s">
        <v>737</v>
      </c>
      <c r="G1666" s="40" t="s">
        <v>738</v>
      </c>
      <c r="H1666" s="40" t="s">
        <v>3232</v>
      </c>
      <c r="I1666" s="40" t="str">
        <f>VLOOKUP(Таблица18[[#This Row],[Номер акта]],$AB$1:$AF$2504,3,FALSE)</f>
        <v>А-112/1</v>
      </c>
      <c r="J1666" s="40" t="s">
        <v>909</v>
      </c>
      <c r="K1666" s="40" t="s">
        <v>2939</v>
      </c>
      <c r="L1666" s="121">
        <v>8960</v>
      </c>
      <c r="M1666" s="121">
        <v>4610</v>
      </c>
      <c r="N1666" s="121">
        <v>8.5</v>
      </c>
      <c r="O1666" s="363">
        <v>4350</v>
      </c>
      <c r="P1666" s="363">
        <v>3980.2</v>
      </c>
      <c r="Q1666" s="121">
        <v>2026</v>
      </c>
      <c r="R1666" s="121">
        <v>262</v>
      </c>
      <c r="S1666" s="148">
        <v>46189</v>
      </c>
      <c r="T1666" s="363">
        <f>Таблица18[[#This Row],[Вес нетто]]-Таблица18[[#This Row],[Зачетный вес]]</f>
        <v>369.80000000000018</v>
      </c>
      <c r="U1666" s="392">
        <f>Таблица18[[#This Row],[Отход]]/Таблица18[[#This Row],[Вес нетто]]</f>
        <v>8.5011494252873604E-2</v>
      </c>
      <c r="V1666" s="121">
        <f>MONTH(Таблица18[[#This Row],[Дата акта]])</f>
        <v>6</v>
      </c>
      <c r="W1666" s="121">
        <f>DAY(Таблица18[[#This Row],[Дата акта]])</f>
        <v>16</v>
      </c>
      <c r="X1666" s="148">
        <f>DATE(1900,Таблица18[[#This Row],[Месяц]],Таблица18[[#This Row],[Число]])</f>
        <v>168</v>
      </c>
      <c r="Y1666" s="121"/>
      <c r="Z1666" s="121" t="str">
        <f>Таблица18[[#This Row],[Хар-ка]]</f>
        <v>Первый</v>
      </c>
      <c r="AA1666"/>
      <c r="AB1666">
        <v>262</v>
      </c>
      <c r="AC1666"/>
      <c r="AD1666" s="460" t="s">
        <v>3095</v>
      </c>
      <c r="AE1666" t="s">
        <v>909</v>
      </c>
      <c r="AF1666" t="s">
        <v>46</v>
      </c>
    </row>
    <row r="1667" spans="1:32" s="465" customFormat="1" ht="33.75" x14ac:dyDescent="0.25">
      <c r="A1667" s="40" t="s">
        <v>3365</v>
      </c>
      <c r="B1667" s="360" t="s">
        <v>3230</v>
      </c>
      <c r="C1667" s="40">
        <v>379</v>
      </c>
      <c r="D1667" s="40">
        <v>251</v>
      </c>
      <c r="E1667" s="40" t="s">
        <v>2964</v>
      </c>
      <c r="F1667" s="40" t="s">
        <v>311</v>
      </c>
      <c r="G1667" s="40" t="s">
        <v>315</v>
      </c>
      <c r="H1667" s="40" t="s">
        <v>3232</v>
      </c>
      <c r="I1667" s="40" t="str">
        <f>VLOOKUP(Таблица18[[#This Row],[Номер акта]],$AB$1:$AF$2504,3,FALSE)</f>
        <v>А-112/1</v>
      </c>
      <c r="J1667" s="40" t="s">
        <v>909</v>
      </c>
      <c r="K1667" s="40" t="s">
        <v>2939</v>
      </c>
      <c r="L1667" s="121">
        <v>27760</v>
      </c>
      <c r="M1667" s="121">
        <v>15200</v>
      </c>
      <c r="N1667" s="121">
        <v>9</v>
      </c>
      <c r="O1667" s="363">
        <v>12560</v>
      </c>
      <c r="P1667" s="363">
        <v>11429.6</v>
      </c>
      <c r="Q1667" s="121">
        <v>2026</v>
      </c>
      <c r="R1667" s="121">
        <v>264</v>
      </c>
      <c r="S1667" s="148">
        <v>46189</v>
      </c>
      <c r="T1667" s="363">
        <f>Таблица18[[#This Row],[Вес нетто]]-Таблица18[[#This Row],[Зачетный вес]]</f>
        <v>1130.3999999999996</v>
      </c>
      <c r="U1667" s="392">
        <f>Таблица18[[#This Row],[Отход]]/Таблица18[[#This Row],[Вес нетто]]</f>
        <v>8.9999999999999969E-2</v>
      </c>
      <c r="V1667" s="121">
        <f>MONTH(Таблица18[[#This Row],[Дата акта]])</f>
        <v>6</v>
      </c>
      <c r="W1667" s="121">
        <f>DAY(Таблица18[[#This Row],[Дата акта]])</f>
        <v>16</v>
      </c>
      <c r="X1667" s="148">
        <f>DATE(1900,Таблица18[[#This Row],[Месяц]],Таблица18[[#This Row],[Число]])</f>
        <v>168</v>
      </c>
      <c r="Y1667" s="121"/>
      <c r="Z1667" s="121" t="str">
        <f>Таблица18[[#This Row],[Хар-ка]]</f>
        <v>Первый</v>
      </c>
      <c r="AA1667"/>
      <c r="AB1667">
        <v>264</v>
      </c>
      <c r="AC1667"/>
      <c r="AD1667" s="460" t="s">
        <v>3095</v>
      </c>
      <c r="AE1667" t="s">
        <v>909</v>
      </c>
      <c r="AF1667" t="s">
        <v>46</v>
      </c>
    </row>
    <row r="1668" spans="1:32" s="465" customFormat="1" ht="33.75" x14ac:dyDescent="0.25">
      <c r="A1668" s="40" t="s">
        <v>3368</v>
      </c>
      <c r="B1668" s="360" t="s">
        <v>3230</v>
      </c>
      <c r="C1668" s="40">
        <v>380</v>
      </c>
      <c r="D1668" s="40">
        <v>252</v>
      </c>
      <c r="E1668" s="40" t="s">
        <v>2964</v>
      </c>
      <c r="F1668" s="40" t="s">
        <v>737</v>
      </c>
      <c r="G1668" s="40" t="s">
        <v>738</v>
      </c>
      <c r="H1668" s="40" t="s">
        <v>3232</v>
      </c>
      <c r="I1668" s="40" t="str">
        <f>VLOOKUP(Таблица18[[#This Row],[Номер акта]],$AB$1:$AF$2504,3,FALSE)</f>
        <v>А-112/1</v>
      </c>
      <c r="J1668" s="40" t="s">
        <v>909</v>
      </c>
      <c r="K1668" s="40" t="s">
        <v>2939</v>
      </c>
      <c r="L1668" s="121">
        <v>9490</v>
      </c>
      <c r="M1668" s="121">
        <v>4610</v>
      </c>
      <c r="N1668" s="121">
        <v>8.5</v>
      </c>
      <c r="O1668" s="363">
        <v>4880</v>
      </c>
      <c r="P1668" s="363">
        <v>4465.2</v>
      </c>
      <c r="Q1668" s="121">
        <v>2026</v>
      </c>
      <c r="R1668" s="121">
        <v>265</v>
      </c>
      <c r="S1668" s="148">
        <v>46189</v>
      </c>
      <c r="T1668" s="363">
        <f>Таблица18[[#This Row],[Вес нетто]]-Таблица18[[#This Row],[Зачетный вес]]</f>
        <v>414.80000000000018</v>
      </c>
      <c r="U1668" s="392">
        <f>Таблица18[[#This Row],[Отход]]/Таблица18[[#This Row],[Вес нетто]]</f>
        <v>8.5000000000000034E-2</v>
      </c>
      <c r="V1668" s="121">
        <f>MONTH(Таблица18[[#This Row],[Дата акта]])</f>
        <v>6</v>
      </c>
      <c r="W1668" s="121">
        <f>DAY(Таблица18[[#This Row],[Дата акта]])</f>
        <v>16</v>
      </c>
      <c r="X1668" s="148">
        <f>DATE(1900,Таблица18[[#This Row],[Месяц]],Таблица18[[#This Row],[Число]])</f>
        <v>168</v>
      </c>
      <c r="Y1668" s="121"/>
      <c r="Z1668" s="121" t="str">
        <f>Таблица18[[#This Row],[Хар-ка]]</f>
        <v>Первый</v>
      </c>
      <c r="AA1668"/>
      <c r="AB1668">
        <v>265</v>
      </c>
      <c r="AC1668"/>
      <c r="AD1668" s="460" t="s">
        <v>3095</v>
      </c>
      <c r="AE1668" t="s">
        <v>909</v>
      </c>
      <c r="AF1668" t="s">
        <v>46</v>
      </c>
    </row>
    <row r="1669" spans="1:32" s="465" customFormat="1" ht="22.5" x14ac:dyDescent="0.25">
      <c r="A1669" s="40" t="s">
        <v>3369</v>
      </c>
      <c r="B1669" s="360" t="s">
        <v>3230</v>
      </c>
      <c r="C1669" s="40">
        <v>381</v>
      </c>
      <c r="D1669" s="40">
        <v>253</v>
      </c>
      <c r="E1669" s="40" t="s">
        <v>2964</v>
      </c>
      <c r="F1669" s="40" t="s">
        <v>347</v>
      </c>
      <c r="G1669" s="40" t="s">
        <v>137</v>
      </c>
      <c r="H1669" s="40" t="s">
        <v>3232</v>
      </c>
      <c r="I1669" s="40" t="str">
        <f>VLOOKUP(Таблица18[[#This Row],[Номер акта]],$AB$1:$AF$2504,3,FALSE)</f>
        <v>А-112/1</v>
      </c>
      <c r="J1669" s="40" t="s">
        <v>909</v>
      </c>
      <c r="K1669" s="40" t="s">
        <v>2939</v>
      </c>
      <c r="L1669" s="121">
        <v>27790</v>
      </c>
      <c r="M1669" s="121">
        <v>15110</v>
      </c>
      <c r="N1669" s="121">
        <v>8.5</v>
      </c>
      <c r="O1669" s="363">
        <v>12680</v>
      </c>
      <c r="P1669" s="363">
        <v>11602.2</v>
      </c>
      <c r="Q1669" s="121">
        <v>2026</v>
      </c>
      <c r="R1669" s="121">
        <v>266</v>
      </c>
      <c r="S1669" s="148">
        <v>46190</v>
      </c>
      <c r="T1669" s="363">
        <f>Таблица18[[#This Row],[Вес нетто]]-Таблица18[[#This Row],[Зачетный вес]]</f>
        <v>1077.7999999999993</v>
      </c>
      <c r="U1669" s="392">
        <f>Таблица18[[#This Row],[Отход]]/Таблица18[[#This Row],[Вес нетто]]</f>
        <v>8.4999999999999937E-2</v>
      </c>
      <c r="V1669" s="121">
        <f>MONTH(Таблица18[[#This Row],[Дата акта]])</f>
        <v>6</v>
      </c>
      <c r="W1669" s="121">
        <f>DAY(Таблица18[[#This Row],[Дата акта]])</f>
        <v>17</v>
      </c>
      <c r="X1669" s="148">
        <f>DATE(1900,Таблица18[[#This Row],[Месяц]],Таблица18[[#This Row],[Число]])</f>
        <v>169</v>
      </c>
      <c r="Y1669" s="121"/>
      <c r="Z1669" s="121" t="str">
        <f>Таблица18[[#This Row],[Хар-ка]]</f>
        <v>Первый</v>
      </c>
      <c r="AA1669"/>
      <c r="AB1669">
        <v>266</v>
      </c>
      <c r="AC1669"/>
      <c r="AD1669" s="460" t="s">
        <v>3095</v>
      </c>
      <c r="AE1669" t="s">
        <v>909</v>
      </c>
      <c r="AF1669" t="s">
        <v>46</v>
      </c>
    </row>
    <row r="1670" spans="1:32" s="465" customFormat="1" ht="22.5" x14ac:dyDescent="0.25">
      <c r="A1670" s="40" t="s">
        <v>3370</v>
      </c>
      <c r="B1670" s="360" t="s">
        <v>3230</v>
      </c>
      <c r="C1670" s="40">
        <v>382</v>
      </c>
      <c r="D1670" s="40">
        <v>254</v>
      </c>
      <c r="E1670" s="40" t="s">
        <v>2964</v>
      </c>
      <c r="F1670" s="40" t="s">
        <v>1806</v>
      </c>
      <c r="G1670" s="40" t="s">
        <v>1807</v>
      </c>
      <c r="H1670" s="40" t="s">
        <v>3095</v>
      </c>
      <c r="I1670" s="40" t="str">
        <f>VLOOKUP(Таблица18[[#This Row],[Номер акта]],$AB$1:$AF$2504,3,FALSE)</f>
        <v>А-112/1</v>
      </c>
      <c r="J1670" s="40" t="s">
        <v>909</v>
      </c>
      <c r="K1670" s="40" t="s">
        <v>2939</v>
      </c>
      <c r="L1670" s="121">
        <v>27200</v>
      </c>
      <c r="M1670" s="121">
        <v>14800</v>
      </c>
      <c r="N1670" s="121">
        <v>7.5</v>
      </c>
      <c r="O1670" s="363">
        <v>12400</v>
      </c>
      <c r="P1670" s="363">
        <v>11470</v>
      </c>
      <c r="Q1670" s="121">
        <v>2026</v>
      </c>
      <c r="R1670" s="121">
        <v>267</v>
      </c>
      <c r="S1670" s="148">
        <v>46190</v>
      </c>
      <c r="T1670" s="363">
        <f>Таблица18[[#This Row],[Вес нетто]]-Таблица18[[#This Row],[Зачетный вес]]</f>
        <v>930</v>
      </c>
      <c r="U1670" s="392">
        <f>Таблица18[[#This Row],[Отход]]/Таблица18[[#This Row],[Вес нетто]]</f>
        <v>7.4999999999999997E-2</v>
      </c>
      <c r="V1670" s="121">
        <f>MONTH(Таблица18[[#This Row],[Дата акта]])</f>
        <v>6</v>
      </c>
      <c r="W1670" s="121">
        <f>DAY(Таблица18[[#This Row],[Дата акта]])</f>
        <v>17</v>
      </c>
      <c r="X1670" s="148">
        <f>DATE(1900,Таблица18[[#This Row],[Месяц]],Таблица18[[#This Row],[Число]])</f>
        <v>169</v>
      </c>
      <c r="Y1670" s="121"/>
      <c r="Z1670" s="121" t="str">
        <f>Таблица18[[#This Row],[Хар-ка]]</f>
        <v>Первый</v>
      </c>
      <c r="AA1670"/>
      <c r="AB1670">
        <v>267</v>
      </c>
      <c r="AC1670"/>
      <c r="AD1670" s="460" t="s">
        <v>3095</v>
      </c>
      <c r="AE1670" t="s">
        <v>909</v>
      </c>
      <c r="AF1670" t="s">
        <v>46</v>
      </c>
    </row>
    <row r="1671" spans="1:32" s="465" customFormat="1" ht="22.5" x14ac:dyDescent="0.25">
      <c r="A1671" s="40" t="s">
        <v>3371</v>
      </c>
      <c r="B1671" s="360" t="s">
        <v>3230</v>
      </c>
      <c r="C1671" s="40">
        <v>383</v>
      </c>
      <c r="D1671" s="40">
        <v>255</v>
      </c>
      <c r="E1671" s="40" t="s">
        <v>2964</v>
      </c>
      <c r="F1671" s="40" t="s">
        <v>127</v>
      </c>
      <c r="G1671" s="40" t="s">
        <v>131</v>
      </c>
      <c r="H1671" s="40" t="s">
        <v>3095</v>
      </c>
      <c r="I1671" s="40" t="str">
        <f>VLOOKUP(Таблица18[[#This Row],[Номер акта]],$AB$1:$AF$2504,3,FALSE)</f>
        <v>А-112/1</v>
      </c>
      <c r="J1671" s="40" t="s">
        <v>909</v>
      </c>
      <c r="K1671" s="40" t="s">
        <v>2939</v>
      </c>
      <c r="L1671" s="121">
        <v>27200</v>
      </c>
      <c r="M1671" s="121">
        <v>14440</v>
      </c>
      <c r="N1671" s="121">
        <v>9.5</v>
      </c>
      <c r="O1671" s="363">
        <v>12760</v>
      </c>
      <c r="P1671" s="363">
        <v>11547.8</v>
      </c>
      <c r="Q1671" s="121">
        <v>2026</v>
      </c>
      <c r="R1671" s="121">
        <v>268</v>
      </c>
      <c r="S1671" s="148">
        <v>46190</v>
      </c>
      <c r="T1671" s="363">
        <f>Таблица18[[#This Row],[Вес нетто]]-Таблица18[[#This Row],[Зачетный вес]]</f>
        <v>1212.2000000000007</v>
      </c>
      <c r="U1671" s="392">
        <f>Таблица18[[#This Row],[Отход]]/Таблица18[[#This Row],[Вес нетто]]</f>
        <v>9.5000000000000057E-2</v>
      </c>
      <c r="V1671" s="121">
        <f>MONTH(Таблица18[[#This Row],[Дата акта]])</f>
        <v>6</v>
      </c>
      <c r="W1671" s="121">
        <f>DAY(Таблица18[[#This Row],[Дата акта]])</f>
        <v>17</v>
      </c>
      <c r="X1671" s="148">
        <f>DATE(1900,Таблица18[[#This Row],[Месяц]],Таблица18[[#This Row],[Число]])</f>
        <v>169</v>
      </c>
      <c r="Y1671" s="121"/>
      <c r="Z1671" s="121" t="str">
        <f>Таблица18[[#This Row],[Хар-ка]]</f>
        <v>Первый</v>
      </c>
      <c r="AA1671"/>
      <c r="AB1671">
        <v>268</v>
      </c>
      <c r="AC1671"/>
      <c r="AD1671" s="460" t="s">
        <v>3095</v>
      </c>
      <c r="AE1671" t="s">
        <v>909</v>
      </c>
      <c r="AF1671" t="s">
        <v>46</v>
      </c>
    </row>
    <row r="1672" spans="1:32" s="465" customFormat="1" ht="33.75" x14ac:dyDescent="0.25">
      <c r="A1672" s="40" t="s">
        <v>3372</v>
      </c>
      <c r="B1672" s="360" t="s">
        <v>3230</v>
      </c>
      <c r="C1672" s="40">
        <v>384</v>
      </c>
      <c r="D1672" s="40">
        <v>256</v>
      </c>
      <c r="E1672" s="40" t="s">
        <v>2964</v>
      </c>
      <c r="F1672" s="40" t="s">
        <v>311</v>
      </c>
      <c r="G1672" s="40" t="s">
        <v>315</v>
      </c>
      <c r="H1672" s="40" t="s">
        <v>3095</v>
      </c>
      <c r="I1672" s="40" t="str">
        <f>VLOOKUP(Таблица18[[#This Row],[Номер акта]],$AB$1:$AF$2504,3,FALSE)</f>
        <v>А-112/1</v>
      </c>
      <c r="J1672" s="40" t="s">
        <v>909</v>
      </c>
      <c r="K1672" s="40" t="s">
        <v>2939</v>
      </c>
      <c r="L1672" s="121">
        <v>27770</v>
      </c>
      <c r="M1672" s="121">
        <v>15170</v>
      </c>
      <c r="N1672" s="121">
        <v>9.5</v>
      </c>
      <c r="O1672" s="363">
        <v>12600</v>
      </c>
      <c r="P1672" s="363">
        <v>11403</v>
      </c>
      <c r="Q1672" s="121">
        <v>2026</v>
      </c>
      <c r="R1672" s="121">
        <v>269</v>
      </c>
      <c r="S1672" s="148">
        <v>46190</v>
      </c>
      <c r="T1672" s="363">
        <f>Таблица18[[#This Row],[Вес нетто]]-Таблица18[[#This Row],[Зачетный вес]]</f>
        <v>1197</v>
      </c>
      <c r="U1672" s="392">
        <f>Таблица18[[#This Row],[Отход]]/Таблица18[[#This Row],[Вес нетто]]</f>
        <v>9.5000000000000001E-2</v>
      </c>
      <c r="V1672" s="121">
        <f>MONTH(Таблица18[[#This Row],[Дата акта]])</f>
        <v>6</v>
      </c>
      <c r="W1672" s="121">
        <f>DAY(Таблица18[[#This Row],[Дата акта]])</f>
        <v>17</v>
      </c>
      <c r="X1672" s="148">
        <f>DATE(1900,Таблица18[[#This Row],[Месяц]],Таблица18[[#This Row],[Число]])</f>
        <v>169</v>
      </c>
      <c r="Y1672" s="121"/>
      <c r="Z1672" s="121" t="str">
        <f>Таблица18[[#This Row],[Хар-ка]]</f>
        <v>Первый</v>
      </c>
      <c r="AA1672"/>
      <c r="AB1672">
        <v>269</v>
      </c>
      <c r="AC1672"/>
      <c r="AD1672" s="460" t="s">
        <v>3095</v>
      </c>
      <c r="AE1672" t="s">
        <v>909</v>
      </c>
      <c r="AF1672" t="s">
        <v>46</v>
      </c>
    </row>
    <row r="1673" spans="1:32" s="465" customFormat="1" ht="22.5" x14ac:dyDescent="0.25">
      <c r="A1673" s="40" t="s">
        <v>3373</v>
      </c>
      <c r="B1673" s="360" t="s">
        <v>3230</v>
      </c>
      <c r="C1673" s="40">
        <v>385</v>
      </c>
      <c r="D1673" s="40">
        <v>257</v>
      </c>
      <c r="E1673" s="40" t="s">
        <v>2964</v>
      </c>
      <c r="F1673" s="40" t="s">
        <v>347</v>
      </c>
      <c r="G1673" s="40" t="s">
        <v>137</v>
      </c>
      <c r="H1673" s="40" t="s">
        <v>3095</v>
      </c>
      <c r="I1673" s="40" t="str">
        <f>VLOOKUP(Таблица18[[#This Row],[Номер акта]],$AB$1:$AF$2504,3,FALSE)</f>
        <v>А-112/1</v>
      </c>
      <c r="J1673" s="40" t="s">
        <v>909</v>
      </c>
      <c r="K1673" s="40" t="s">
        <v>2939</v>
      </c>
      <c r="L1673" s="121">
        <v>27700</v>
      </c>
      <c r="M1673" s="121">
        <v>15080</v>
      </c>
      <c r="N1673" s="121">
        <v>6.5</v>
      </c>
      <c r="O1673" s="363">
        <v>12620</v>
      </c>
      <c r="P1673" s="363">
        <v>11799.7</v>
      </c>
      <c r="Q1673" s="121">
        <v>2026</v>
      </c>
      <c r="R1673" s="121">
        <v>273</v>
      </c>
      <c r="S1673" s="148">
        <v>46190</v>
      </c>
      <c r="T1673" s="363">
        <f>Таблица18[[#This Row],[Вес нетто]]-Таблица18[[#This Row],[Зачетный вес]]</f>
        <v>820.29999999999927</v>
      </c>
      <c r="U1673" s="392">
        <f>Таблица18[[#This Row],[Отход]]/Таблица18[[#This Row],[Вес нетто]]</f>
        <v>6.4999999999999947E-2</v>
      </c>
      <c r="V1673" s="121">
        <f>MONTH(Таблица18[[#This Row],[Дата акта]])</f>
        <v>6</v>
      </c>
      <c r="W1673" s="121">
        <f>DAY(Таблица18[[#This Row],[Дата акта]])</f>
        <v>17</v>
      </c>
      <c r="X1673" s="148">
        <f>DATE(1900,Таблица18[[#This Row],[Месяц]],Таблица18[[#This Row],[Число]])</f>
        <v>169</v>
      </c>
      <c r="Y1673" s="121"/>
      <c r="Z1673" s="121" t="str">
        <f>Таблица18[[#This Row],[Хар-ка]]</f>
        <v>Первый</v>
      </c>
      <c r="AA1673"/>
      <c r="AB1673">
        <v>273</v>
      </c>
      <c r="AC1673"/>
      <c r="AD1673" s="460" t="s">
        <v>3095</v>
      </c>
      <c r="AE1673" t="s">
        <v>909</v>
      </c>
      <c r="AF1673" t="s">
        <v>46</v>
      </c>
    </row>
    <row r="1674" spans="1:32" s="465" customFormat="1" ht="33.75" x14ac:dyDescent="0.25">
      <c r="A1674" s="40" t="s">
        <v>3374</v>
      </c>
      <c r="B1674" s="360" t="s">
        <v>3230</v>
      </c>
      <c r="C1674" s="40">
        <v>387</v>
      </c>
      <c r="D1674" s="40">
        <v>258</v>
      </c>
      <c r="E1674" s="40" t="s">
        <v>2964</v>
      </c>
      <c r="F1674" s="40" t="s">
        <v>121</v>
      </c>
      <c r="G1674" s="40" t="s">
        <v>125</v>
      </c>
      <c r="H1674" s="40" t="s">
        <v>3095</v>
      </c>
      <c r="I1674" s="40" t="str">
        <f>VLOOKUP(Таблица18[[#This Row],[Номер акта]],$AB$1:$AF$2504,3,FALSE)</f>
        <v>А-112/2</v>
      </c>
      <c r="J1674" s="40" t="s">
        <v>909</v>
      </c>
      <c r="K1674" s="40" t="s">
        <v>2939</v>
      </c>
      <c r="L1674" s="121">
        <v>27460</v>
      </c>
      <c r="M1674" s="121">
        <v>14810</v>
      </c>
      <c r="N1674" s="121">
        <v>8.5</v>
      </c>
      <c r="O1674" s="363">
        <v>12650</v>
      </c>
      <c r="P1674" s="363">
        <v>11574.8</v>
      </c>
      <c r="Q1674" s="121">
        <v>2026</v>
      </c>
      <c r="R1674" s="121">
        <v>275</v>
      </c>
      <c r="S1674" s="148">
        <v>46190</v>
      </c>
      <c r="T1674" s="363">
        <f>Таблица18[[#This Row],[Вес нетто]]-Таблица18[[#This Row],[Зачетный вес]]</f>
        <v>1075.2000000000007</v>
      </c>
      <c r="U1674" s="392">
        <f>Таблица18[[#This Row],[Отход]]/Таблица18[[#This Row],[Вес нетто]]</f>
        <v>8.4996047430830099E-2</v>
      </c>
      <c r="V1674" s="121">
        <f>MONTH(Таблица18[[#This Row],[Дата акта]])</f>
        <v>6</v>
      </c>
      <c r="W1674" s="121">
        <f>DAY(Таблица18[[#This Row],[Дата акта]])</f>
        <v>17</v>
      </c>
      <c r="X1674" s="148">
        <f>DATE(1900,Таблица18[[#This Row],[Месяц]],Таблица18[[#This Row],[Число]])</f>
        <v>169</v>
      </c>
      <c r="Y1674" s="121"/>
      <c r="Z1674" s="121" t="str">
        <f>Таблица18[[#This Row],[Хар-ка]]</f>
        <v>Первый</v>
      </c>
      <c r="AA1674"/>
      <c r="AB1674">
        <v>275</v>
      </c>
      <c r="AC1674"/>
      <c r="AD1674" s="460" t="s">
        <v>3109</v>
      </c>
      <c r="AE1674" t="s">
        <v>909</v>
      </c>
      <c r="AF1674" t="s">
        <v>2932</v>
      </c>
    </row>
    <row r="1675" spans="1:32" s="465" customFormat="1" ht="22.5" x14ac:dyDescent="0.25">
      <c r="A1675" s="40" t="s">
        <v>3432</v>
      </c>
      <c r="B1675" s="360" t="s">
        <v>3230</v>
      </c>
      <c r="C1675" s="40">
        <v>388</v>
      </c>
      <c r="D1675" s="40">
        <v>259</v>
      </c>
      <c r="E1675" s="40" t="s">
        <v>2964</v>
      </c>
      <c r="F1675" s="40" t="s">
        <v>894</v>
      </c>
      <c r="G1675" s="40" t="s">
        <v>895</v>
      </c>
      <c r="H1675" s="40" t="s">
        <v>3095</v>
      </c>
      <c r="I1675" s="40" t="str">
        <f>VLOOKUP(Таблица18[[#This Row],[Номер акта]],$AB$1:$AF$2504,3,FALSE)</f>
        <v>А-112/2</v>
      </c>
      <c r="J1675" s="40" t="s">
        <v>909</v>
      </c>
      <c r="K1675" s="40" t="s">
        <v>2939</v>
      </c>
      <c r="L1675" s="121">
        <v>27600</v>
      </c>
      <c r="M1675" s="121">
        <v>14990</v>
      </c>
      <c r="N1675" s="121">
        <v>7.5</v>
      </c>
      <c r="O1675" s="363">
        <v>12610</v>
      </c>
      <c r="P1675" s="363">
        <v>11664.3</v>
      </c>
      <c r="Q1675" s="121">
        <v>2026</v>
      </c>
      <c r="R1675" s="121">
        <v>277</v>
      </c>
      <c r="S1675" s="148">
        <v>46190</v>
      </c>
      <c r="T1675" s="363">
        <f>Таблица18[[#This Row],[Вес нетто]]-Таблица18[[#This Row],[Зачетный вес]]</f>
        <v>945.70000000000073</v>
      </c>
      <c r="U1675" s="392">
        <f>Таблица18[[#This Row],[Отход]]/Таблица18[[#This Row],[Вес нетто]]</f>
        <v>7.4996034892942168E-2</v>
      </c>
      <c r="V1675" s="121">
        <f>MONTH(Таблица18[[#This Row],[Дата акта]])</f>
        <v>6</v>
      </c>
      <c r="W1675" s="121">
        <f>DAY(Таблица18[[#This Row],[Дата акта]])</f>
        <v>17</v>
      </c>
      <c r="X1675" s="148">
        <f>DATE(1900,Таблица18[[#This Row],[Месяц]],Таблица18[[#This Row],[Число]])</f>
        <v>169</v>
      </c>
      <c r="Y1675" s="121"/>
      <c r="Z1675" s="121" t="str">
        <f>Таблица18[[#This Row],[Хар-ка]]</f>
        <v>Первый</v>
      </c>
      <c r="AA1675"/>
      <c r="AB1675">
        <v>277</v>
      </c>
      <c r="AC1675"/>
      <c r="AD1675" s="460" t="s">
        <v>3109</v>
      </c>
      <c r="AE1675" t="s">
        <v>909</v>
      </c>
      <c r="AF1675" t="s">
        <v>2932</v>
      </c>
    </row>
    <row r="1676" spans="1:32" s="465" customFormat="1" ht="22.5" x14ac:dyDescent="0.25">
      <c r="A1676" s="40" t="s">
        <v>3434</v>
      </c>
      <c r="B1676" s="360" t="s">
        <v>3230</v>
      </c>
      <c r="C1676" s="40">
        <v>391</v>
      </c>
      <c r="D1676" s="40">
        <v>260</v>
      </c>
      <c r="E1676" s="40" t="s">
        <v>2964</v>
      </c>
      <c r="F1676" s="40" t="s">
        <v>1792</v>
      </c>
      <c r="G1676" s="40" t="s">
        <v>80</v>
      </c>
      <c r="H1676" s="40" t="s">
        <v>3232</v>
      </c>
      <c r="I1676" s="40" t="str">
        <f>VLOOKUP(Таблица18[[#This Row],[Номер акта]],$AB$1:$AF$2504,3,FALSE)</f>
        <v>А-112/2</v>
      </c>
      <c r="J1676" s="40" t="s">
        <v>909</v>
      </c>
      <c r="K1676" s="40" t="s">
        <v>2939</v>
      </c>
      <c r="L1676" s="121">
        <v>27100</v>
      </c>
      <c r="M1676" s="121">
        <v>14460</v>
      </c>
      <c r="N1676" s="121">
        <v>7.5</v>
      </c>
      <c r="O1676" s="363">
        <v>12640</v>
      </c>
      <c r="P1676" s="363">
        <v>11692</v>
      </c>
      <c r="Q1676" s="121">
        <v>2026</v>
      </c>
      <c r="R1676" s="121">
        <v>283</v>
      </c>
      <c r="S1676" s="148">
        <v>46190</v>
      </c>
      <c r="T1676" s="363">
        <f>Таблица18[[#This Row],[Вес нетто]]-Таблица18[[#This Row],[Зачетный вес]]</f>
        <v>948</v>
      </c>
      <c r="U1676" s="392">
        <f>Таблица18[[#This Row],[Отход]]/Таблица18[[#This Row],[Вес нетто]]</f>
        <v>7.4999999999999997E-2</v>
      </c>
      <c r="V1676" s="121">
        <f>MONTH(Таблица18[[#This Row],[Дата акта]])</f>
        <v>6</v>
      </c>
      <c r="W1676" s="121">
        <f>DAY(Таблица18[[#This Row],[Дата акта]])</f>
        <v>17</v>
      </c>
      <c r="X1676" s="148">
        <f>DATE(1900,Таблица18[[#This Row],[Месяц]],Таблица18[[#This Row],[Число]])</f>
        <v>169</v>
      </c>
      <c r="Y1676" s="121"/>
      <c r="Z1676" s="121" t="str">
        <f>Таблица18[[#This Row],[Хар-ка]]</f>
        <v>Первый</v>
      </c>
      <c r="AA1676"/>
      <c r="AB1676">
        <v>283</v>
      </c>
      <c r="AC1676"/>
      <c r="AD1676" s="460" t="s">
        <v>3109</v>
      </c>
      <c r="AE1676" t="s">
        <v>909</v>
      </c>
      <c r="AF1676" t="s">
        <v>2932</v>
      </c>
    </row>
    <row r="1677" spans="1:32" s="465" customFormat="1" ht="33.75" x14ac:dyDescent="0.25">
      <c r="A1677" s="40" t="s">
        <v>3433</v>
      </c>
      <c r="B1677" s="360" t="s">
        <v>3230</v>
      </c>
      <c r="C1677" s="40">
        <v>393</v>
      </c>
      <c r="D1677" s="40">
        <v>261</v>
      </c>
      <c r="E1677" s="40" t="s">
        <v>2964</v>
      </c>
      <c r="F1677" s="40" t="s">
        <v>762</v>
      </c>
      <c r="G1677" s="40" t="s">
        <v>763</v>
      </c>
      <c r="H1677" s="40" t="s">
        <v>3095</v>
      </c>
      <c r="I1677" s="40" t="str">
        <f>VLOOKUP(Таблица18[[#This Row],[Номер акта]],$AB$1:$AF$2504,3,FALSE)</f>
        <v>А-112/2</v>
      </c>
      <c r="J1677" s="40" t="s">
        <v>909</v>
      </c>
      <c r="K1677" s="40" t="s">
        <v>2939</v>
      </c>
      <c r="L1677" s="121">
        <v>9080</v>
      </c>
      <c r="M1677" s="121">
        <v>4690</v>
      </c>
      <c r="N1677" s="121">
        <v>8.5</v>
      </c>
      <c r="O1677" s="363">
        <v>4390</v>
      </c>
      <c r="P1677" s="363">
        <v>4016.9</v>
      </c>
      <c r="Q1677" s="121">
        <v>2026</v>
      </c>
      <c r="R1677" s="121">
        <v>285</v>
      </c>
      <c r="S1677" s="148">
        <v>46190</v>
      </c>
      <c r="T1677" s="363">
        <f>Таблица18[[#This Row],[Вес нетто]]-Таблица18[[#This Row],[Зачетный вес]]</f>
        <v>373.09999999999991</v>
      </c>
      <c r="U1677" s="392">
        <f>Таблица18[[#This Row],[Отход]]/Таблица18[[#This Row],[Вес нетто]]</f>
        <v>8.4988610478359886E-2</v>
      </c>
      <c r="V1677" s="121">
        <f>MONTH(Таблица18[[#This Row],[Дата акта]])</f>
        <v>6</v>
      </c>
      <c r="W1677" s="121">
        <f>DAY(Таблица18[[#This Row],[Дата акта]])</f>
        <v>17</v>
      </c>
      <c r="X1677" s="148">
        <f>DATE(1900,Таблица18[[#This Row],[Месяц]],Таблица18[[#This Row],[Число]])</f>
        <v>169</v>
      </c>
      <c r="Y1677" s="121"/>
      <c r="Z1677" s="121" t="str">
        <f>Таблица18[[#This Row],[Хар-ка]]</f>
        <v>Первый</v>
      </c>
      <c r="AA1677"/>
      <c r="AB1677">
        <v>285</v>
      </c>
      <c r="AC1677"/>
      <c r="AD1677" s="460" t="s">
        <v>3109</v>
      </c>
      <c r="AE1677" t="s">
        <v>909</v>
      </c>
      <c r="AF1677" t="s">
        <v>2932</v>
      </c>
    </row>
    <row r="1678" spans="1:32" s="465" customFormat="1" ht="33.75" x14ac:dyDescent="0.25">
      <c r="A1678" s="40" t="s">
        <v>3417</v>
      </c>
      <c r="B1678" s="360" t="s">
        <v>2940</v>
      </c>
      <c r="C1678" s="40">
        <v>394</v>
      </c>
      <c r="D1678" s="40">
        <v>262</v>
      </c>
      <c r="E1678" s="40" t="s">
        <v>2964</v>
      </c>
      <c r="F1678" s="40" t="s">
        <v>1312</v>
      </c>
      <c r="G1678" s="40" t="s">
        <v>320</v>
      </c>
      <c r="H1678" s="40" t="s">
        <v>3095</v>
      </c>
      <c r="I1678" s="40" t="str">
        <f>VLOOKUP(Таблица18[[#This Row],[Номер акта]],$AB$1:$AF$2504,3,FALSE)</f>
        <v>А-112/2</v>
      </c>
      <c r="J1678" s="40" t="s">
        <v>909</v>
      </c>
      <c r="K1678" s="40" t="s">
        <v>2939</v>
      </c>
      <c r="L1678" s="121">
        <v>27790</v>
      </c>
      <c r="M1678" s="121">
        <v>14450</v>
      </c>
      <c r="N1678" s="121">
        <v>15.5</v>
      </c>
      <c r="O1678" s="363">
        <v>13340</v>
      </c>
      <c r="P1678" s="363">
        <v>11272.3</v>
      </c>
      <c r="Q1678" s="121">
        <v>2026</v>
      </c>
      <c r="R1678" s="121">
        <v>289</v>
      </c>
      <c r="S1678" s="148">
        <v>46190</v>
      </c>
      <c r="T1678" s="363">
        <f>Таблица18[[#This Row],[Вес нетто]]-Таблица18[[#This Row],[Зачетный вес]]</f>
        <v>2067.7000000000007</v>
      </c>
      <c r="U1678" s="392">
        <f>Таблица18[[#This Row],[Отход]]/Таблица18[[#This Row],[Вес нетто]]</f>
        <v>0.15500000000000005</v>
      </c>
      <c r="V1678" s="121">
        <f>MONTH(Таблица18[[#This Row],[Дата акта]])</f>
        <v>6</v>
      </c>
      <c r="W1678" s="121">
        <f>DAY(Таблица18[[#This Row],[Дата акта]])</f>
        <v>17</v>
      </c>
      <c r="X1678" s="148">
        <f>DATE(1900,Таблица18[[#This Row],[Месяц]],Таблица18[[#This Row],[Число]])</f>
        <v>169</v>
      </c>
      <c r="Y1678" s="121"/>
      <c r="Z1678" s="121" t="str">
        <f>Таблица18[[#This Row],[Хар-ка]]</f>
        <v>Высший</v>
      </c>
      <c r="AA1678"/>
      <c r="AB1678">
        <v>289</v>
      </c>
      <c r="AC1678"/>
      <c r="AD1678" s="460" t="s">
        <v>3109</v>
      </c>
      <c r="AE1678" t="s">
        <v>909</v>
      </c>
      <c r="AF1678" t="s">
        <v>2932</v>
      </c>
    </row>
    <row r="1679" spans="1:32" s="465" customFormat="1" ht="33.75" x14ac:dyDescent="0.25">
      <c r="A1679" s="40" t="s">
        <v>3414</v>
      </c>
      <c r="B1679" s="360" t="s">
        <v>2940</v>
      </c>
      <c r="C1679" s="40">
        <v>397</v>
      </c>
      <c r="D1679" s="40">
        <v>263</v>
      </c>
      <c r="E1679" s="40" t="s">
        <v>2964</v>
      </c>
      <c r="F1679" s="40" t="s">
        <v>121</v>
      </c>
      <c r="G1679" s="40" t="s">
        <v>125</v>
      </c>
      <c r="H1679" s="40" t="s">
        <v>3095</v>
      </c>
      <c r="I1679" s="40" t="str">
        <f>VLOOKUP(Таблица18[[#This Row],[Номер акта]],$AB$1:$AF$2504,3,FALSE)</f>
        <v>А-112/2</v>
      </c>
      <c r="J1679" s="40" t="s">
        <v>909</v>
      </c>
      <c r="K1679" s="40" t="s">
        <v>2939</v>
      </c>
      <c r="L1679" s="121">
        <v>28930</v>
      </c>
      <c r="M1679" s="121">
        <v>14790</v>
      </c>
      <c r="N1679" s="121">
        <v>13.5</v>
      </c>
      <c r="O1679" s="363">
        <v>14140</v>
      </c>
      <c r="P1679" s="363">
        <v>12231.1</v>
      </c>
      <c r="Q1679" s="121">
        <v>2026</v>
      </c>
      <c r="R1679" s="121">
        <v>290</v>
      </c>
      <c r="S1679" s="148">
        <v>46190</v>
      </c>
      <c r="T1679" s="363">
        <f>Таблица18[[#This Row],[Вес нетто]]-Таблица18[[#This Row],[Зачетный вес]]</f>
        <v>1908.8999999999996</v>
      </c>
      <c r="U1679" s="392">
        <f>Таблица18[[#This Row],[Отход]]/Таблица18[[#This Row],[Вес нетто]]</f>
        <v>0.13499999999999998</v>
      </c>
      <c r="V1679" s="121">
        <f>MONTH(Таблица18[[#This Row],[Дата акта]])</f>
        <v>6</v>
      </c>
      <c r="W1679" s="121">
        <f>DAY(Таблица18[[#This Row],[Дата акта]])</f>
        <v>17</v>
      </c>
      <c r="X1679" s="148">
        <f>DATE(1900,Таблица18[[#This Row],[Месяц]],Таблица18[[#This Row],[Число]])</f>
        <v>169</v>
      </c>
      <c r="Y1679" s="121"/>
      <c r="Z1679" s="121" t="str">
        <f>Таблица18[[#This Row],[Хар-ка]]</f>
        <v>Высший</v>
      </c>
      <c r="AA1679"/>
      <c r="AB1679">
        <v>290</v>
      </c>
      <c r="AC1679"/>
      <c r="AD1679" s="460" t="s">
        <v>3109</v>
      </c>
      <c r="AE1679" t="s">
        <v>909</v>
      </c>
      <c r="AF1679" t="s">
        <v>2932</v>
      </c>
    </row>
    <row r="1680" spans="1:32" s="465" customFormat="1" ht="22.5" x14ac:dyDescent="0.25">
      <c r="A1680" s="40" t="s">
        <v>3403</v>
      </c>
      <c r="B1680" s="360" t="s">
        <v>2940</v>
      </c>
      <c r="C1680" s="40">
        <v>398</v>
      </c>
      <c r="D1680" s="40">
        <v>259</v>
      </c>
      <c r="E1680" s="40" t="s">
        <v>2964</v>
      </c>
      <c r="F1680" s="40" t="s">
        <v>894</v>
      </c>
      <c r="G1680" s="40" t="s">
        <v>895</v>
      </c>
      <c r="H1680" s="40" t="s">
        <v>3095</v>
      </c>
      <c r="I1680" s="40" t="str">
        <f>VLOOKUP(Таблица18[[#This Row],[Номер акта]],$AB$1:$AF$2504,3,FALSE)</f>
        <v>А-112/2</v>
      </c>
      <c r="J1680" s="40" t="s">
        <v>909</v>
      </c>
      <c r="K1680" s="40" t="s">
        <v>2939</v>
      </c>
      <c r="L1680" s="121">
        <v>29140</v>
      </c>
      <c r="M1680" s="121">
        <v>14980</v>
      </c>
      <c r="N1680" s="121">
        <v>14.5</v>
      </c>
      <c r="O1680" s="363">
        <v>14160</v>
      </c>
      <c r="P1680" s="363">
        <v>12106.8</v>
      </c>
      <c r="Q1680" s="121">
        <v>2026</v>
      </c>
      <c r="R1680" s="121">
        <v>292</v>
      </c>
      <c r="S1680" s="148">
        <v>46190</v>
      </c>
      <c r="T1680" s="363">
        <f>Таблица18[[#This Row],[Вес нетто]]-Таблица18[[#This Row],[Зачетный вес]]</f>
        <v>2053.2000000000007</v>
      </c>
      <c r="U1680" s="392">
        <f>Таблица18[[#This Row],[Отход]]/Таблица18[[#This Row],[Вес нетто]]</f>
        <v>0.14500000000000005</v>
      </c>
      <c r="V1680" s="121">
        <f>MONTH(Таблица18[[#This Row],[Дата акта]])</f>
        <v>6</v>
      </c>
      <c r="W1680" s="121">
        <f>DAY(Таблица18[[#This Row],[Дата акта]])</f>
        <v>17</v>
      </c>
      <c r="X1680" s="148">
        <f>DATE(1900,Таблица18[[#This Row],[Месяц]],Таблица18[[#This Row],[Число]])</f>
        <v>169</v>
      </c>
      <c r="Y1680" s="121"/>
      <c r="Z1680" s="121" t="str">
        <f>Таблица18[[#This Row],[Хар-ка]]</f>
        <v>Высший</v>
      </c>
      <c r="AA1680"/>
      <c r="AB1680">
        <v>292</v>
      </c>
      <c r="AC1680"/>
      <c r="AD1680" s="460" t="s">
        <v>3109</v>
      </c>
      <c r="AE1680" t="s">
        <v>909</v>
      </c>
      <c r="AF1680" t="s">
        <v>2932</v>
      </c>
    </row>
    <row r="1681" spans="1:32" s="465" customFormat="1" ht="33.75" x14ac:dyDescent="0.25">
      <c r="A1681" s="40" t="s">
        <v>3425</v>
      </c>
      <c r="B1681" s="360" t="s">
        <v>2940</v>
      </c>
      <c r="C1681" s="40">
        <v>399</v>
      </c>
      <c r="D1681" s="40">
        <v>265</v>
      </c>
      <c r="E1681" s="40" t="s">
        <v>2964</v>
      </c>
      <c r="F1681" s="40" t="s">
        <v>762</v>
      </c>
      <c r="G1681" s="40" t="s">
        <v>763</v>
      </c>
      <c r="H1681" s="40" t="s">
        <v>3095</v>
      </c>
      <c r="I1681" s="40" t="str">
        <f>VLOOKUP(Таблица18[[#This Row],[Номер акта]],$AB$1:$AF$2504,3,FALSE)</f>
        <v>А-112/2</v>
      </c>
      <c r="J1681" s="40" t="s">
        <v>909</v>
      </c>
      <c r="K1681" s="40" t="s">
        <v>2939</v>
      </c>
      <c r="L1681" s="121">
        <v>9210</v>
      </c>
      <c r="M1681" s="121">
        <v>4680</v>
      </c>
      <c r="N1681" s="121">
        <v>11.5</v>
      </c>
      <c r="O1681" s="363">
        <v>4530</v>
      </c>
      <c r="P1681" s="363">
        <v>4009.1</v>
      </c>
      <c r="Q1681" s="121">
        <v>2026</v>
      </c>
      <c r="R1681" s="121">
        <v>291</v>
      </c>
      <c r="S1681" s="148">
        <v>46190</v>
      </c>
      <c r="T1681" s="363">
        <f>Таблица18[[#This Row],[Вес нетто]]-Таблица18[[#This Row],[Зачетный вес]]</f>
        <v>520.90000000000009</v>
      </c>
      <c r="U1681" s="392">
        <f>Таблица18[[#This Row],[Отход]]/Таблица18[[#This Row],[Вес нетто]]</f>
        <v>0.1149889624724062</v>
      </c>
      <c r="V1681" s="121">
        <f>MONTH(Таблица18[[#This Row],[Дата акта]])</f>
        <v>6</v>
      </c>
      <c r="W1681" s="121">
        <f>DAY(Таблица18[[#This Row],[Дата акта]])</f>
        <v>17</v>
      </c>
      <c r="X1681" s="148">
        <f>DATE(1900,Таблица18[[#This Row],[Месяц]],Таблица18[[#This Row],[Число]])</f>
        <v>169</v>
      </c>
      <c r="Y1681" s="121"/>
      <c r="Z1681" s="121" t="str">
        <f>Таблица18[[#This Row],[Хар-ка]]</f>
        <v>Высший</v>
      </c>
      <c r="AA1681"/>
      <c r="AB1681">
        <v>291</v>
      </c>
      <c r="AC1681"/>
      <c r="AD1681" s="460" t="s">
        <v>3109</v>
      </c>
      <c r="AE1681" t="s">
        <v>909</v>
      </c>
      <c r="AF1681" t="s">
        <v>2932</v>
      </c>
    </row>
    <row r="1682" spans="1:32" s="465" customFormat="1" ht="22.5" x14ac:dyDescent="0.25">
      <c r="A1682" s="40" t="s">
        <v>3429</v>
      </c>
      <c r="B1682" s="360" t="s">
        <v>2940</v>
      </c>
      <c r="C1682" s="40">
        <v>400</v>
      </c>
      <c r="D1682" s="40">
        <v>266</v>
      </c>
      <c r="E1682" s="40" t="s">
        <v>2964</v>
      </c>
      <c r="F1682" s="40" t="s">
        <v>1792</v>
      </c>
      <c r="G1682" s="40" t="s">
        <v>80</v>
      </c>
      <c r="H1682" s="40" t="s">
        <v>3095</v>
      </c>
      <c r="I1682" s="40" t="str">
        <f>VLOOKUP(Таблица18[[#This Row],[Номер акта]],$AB$1:$AF$2504,3,FALSE)</f>
        <v>А-112/2</v>
      </c>
      <c r="J1682" s="40" t="s">
        <v>909</v>
      </c>
      <c r="K1682" s="40" t="s">
        <v>2939</v>
      </c>
      <c r="L1682" s="121">
        <v>28000</v>
      </c>
      <c r="M1682" s="121">
        <v>14430</v>
      </c>
      <c r="N1682" s="121">
        <v>12.5</v>
      </c>
      <c r="O1682" s="363">
        <v>13570</v>
      </c>
      <c r="P1682" s="363">
        <v>11873.8</v>
      </c>
      <c r="Q1682" s="121">
        <v>2026</v>
      </c>
      <c r="R1682" s="121">
        <v>293</v>
      </c>
      <c r="S1682" s="148">
        <v>46190</v>
      </c>
      <c r="T1682" s="363">
        <f>Таблица18[[#This Row],[Вес нетто]]-Таблица18[[#This Row],[Зачетный вес]]</f>
        <v>1696.2000000000007</v>
      </c>
      <c r="U1682" s="392">
        <f>Таблица18[[#This Row],[Отход]]/Таблица18[[#This Row],[Вес нетто]]</f>
        <v>0.12499631540162127</v>
      </c>
      <c r="V1682" s="121">
        <f>MONTH(Таблица18[[#This Row],[Дата акта]])</f>
        <v>6</v>
      </c>
      <c r="W1682" s="121">
        <f>DAY(Таблица18[[#This Row],[Дата акта]])</f>
        <v>17</v>
      </c>
      <c r="X1682" s="148">
        <f>DATE(1900,Таблица18[[#This Row],[Месяц]],Таблица18[[#This Row],[Число]])</f>
        <v>169</v>
      </c>
      <c r="Y1682" s="121"/>
      <c r="Z1682" s="121" t="str">
        <f>Таблица18[[#This Row],[Хар-ка]]</f>
        <v>Высший</v>
      </c>
      <c r="AA1682"/>
      <c r="AB1682">
        <v>293</v>
      </c>
      <c r="AC1682"/>
      <c r="AD1682" s="460" t="s">
        <v>3109</v>
      </c>
      <c r="AE1682" t="s">
        <v>909</v>
      </c>
      <c r="AF1682" t="s">
        <v>2932</v>
      </c>
    </row>
    <row r="1683" spans="1:32" s="465" customFormat="1" ht="33.75" x14ac:dyDescent="0.25">
      <c r="A1683" s="40" t="s">
        <v>3423</v>
      </c>
      <c r="B1683" s="360" t="s">
        <v>2940</v>
      </c>
      <c r="C1683" s="40">
        <v>401</v>
      </c>
      <c r="D1683" s="40">
        <v>267</v>
      </c>
      <c r="E1683" s="40" t="s">
        <v>2964</v>
      </c>
      <c r="F1683" s="40" t="s">
        <v>1312</v>
      </c>
      <c r="G1683" s="40" t="s">
        <v>320</v>
      </c>
      <c r="H1683" s="40" t="s">
        <v>3095</v>
      </c>
      <c r="I1683" s="40" t="str">
        <f>VLOOKUP(Таблица18[[#This Row],[Номер акта]],$AB$1:$AF$2504,3,FALSE)</f>
        <v>А-112/2</v>
      </c>
      <c r="J1683" s="40" t="s">
        <v>909</v>
      </c>
      <c r="K1683" s="40" t="s">
        <v>2939</v>
      </c>
      <c r="L1683" s="121">
        <v>27860</v>
      </c>
      <c r="M1683" s="121">
        <v>14450</v>
      </c>
      <c r="N1683" s="121">
        <v>14.5</v>
      </c>
      <c r="O1683" s="363">
        <v>13410</v>
      </c>
      <c r="P1683" s="363">
        <v>11465.6</v>
      </c>
      <c r="Q1683" s="121">
        <v>2026</v>
      </c>
      <c r="R1683" s="121">
        <v>294</v>
      </c>
      <c r="S1683" s="148">
        <v>46190</v>
      </c>
      <c r="T1683" s="363">
        <f>Таблица18[[#This Row],[Вес нетто]]-Таблица18[[#This Row],[Зачетный вес]]</f>
        <v>1944.3999999999996</v>
      </c>
      <c r="U1683" s="392">
        <f>Таблица18[[#This Row],[Отход]]/Таблица18[[#This Row],[Вес нетто]]</f>
        <v>0.14499627143922444</v>
      </c>
      <c r="V1683" s="121">
        <f>MONTH(Таблица18[[#This Row],[Дата акта]])</f>
        <v>6</v>
      </c>
      <c r="W1683" s="121">
        <f>DAY(Таблица18[[#This Row],[Дата акта]])</f>
        <v>17</v>
      </c>
      <c r="X1683" s="148">
        <f>DATE(1900,Таблица18[[#This Row],[Месяц]],Таблица18[[#This Row],[Число]])</f>
        <v>169</v>
      </c>
      <c r="Y1683" s="121"/>
      <c r="Z1683" s="121" t="str">
        <f>Таблица18[[#This Row],[Хар-ка]]</f>
        <v>Высший</v>
      </c>
      <c r="AA1683"/>
      <c r="AB1683">
        <v>294</v>
      </c>
      <c r="AC1683"/>
      <c r="AD1683" s="460" t="s">
        <v>3109</v>
      </c>
      <c r="AE1683" t="s">
        <v>909</v>
      </c>
      <c r="AF1683" t="s">
        <v>2932</v>
      </c>
    </row>
    <row r="1684" spans="1:32" s="465" customFormat="1" ht="33.75" x14ac:dyDescent="0.25">
      <c r="A1684" s="40" t="s">
        <v>3399</v>
      </c>
      <c r="B1684" s="360" t="s">
        <v>2940</v>
      </c>
      <c r="C1684" s="40">
        <v>402</v>
      </c>
      <c r="D1684" s="40">
        <v>263</v>
      </c>
      <c r="E1684" s="40" t="s">
        <v>2964</v>
      </c>
      <c r="F1684" s="40" t="s">
        <v>121</v>
      </c>
      <c r="G1684" s="40" t="s">
        <v>125</v>
      </c>
      <c r="H1684" s="40" t="s">
        <v>3095</v>
      </c>
      <c r="I1684" s="40" t="str">
        <f>VLOOKUP(Таблица18[[#This Row],[Номер акта]],$AB$1:$AF$2504,3,FALSE)</f>
        <v>А-112/2</v>
      </c>
      <c r="J1684" s="40" t="s">
        <v>909</v>
      </c>
      <c r="K1684" s="40" t="s">
        <v>2939</v>
      </c>
      <c r="L1684" s="121">
        <v>28190</v>
      </c>
      <c r="M1684" s="121">
        <v>14780</v>
      </c>
      <c r="N1684" s="121">
        <v>10.5</v>
      </c>
      <c r="O1684" s="363">
        <v>13410</v>
      </c>
      <c r="P1684" s="363">
        <v>12002</v>
      </c>
      <c r="Q1684" s="121">
        <v>2026</v>
      </c>
      <c r="R1684" s="121">
        <v>295</v>
      </c>
      <c r="S1684" s="148">
        <v>46190</v>
      </c>
      <c r="T1684" s="363">
        <f>Таблица18[[#This Row],[Вес нетто]]-Таблица18[[#This Row],[Зачетный вес]]</f>
        <v>1408</v>
      </c>
      <c r="U1684" s="392">
        <f>Таблица18[[#This Row],[Отход]]/Таблица18[[#This Row],[Вес нетто]]</f>
        <v>0.10499627143922446</v>
      </c>
      <c r="V1684" s="121">
        <f>MONTH(Таблица18[[#This Row],[Дата акта]])</f>
        <v>6</v>
      </c>
      <c r="W1684" s="121">
        <f>DAY(Таблица18[[#This Row],[Дата акта]])</f>
        <v>17</v>
      </c>
      <c r="X1684" s="148">
        <f>DATE(1900,Таблица18[[#This Row],[Месяц]],Таблица18[[#This Row],[Число]])</f>
        <v>169</v>
      </c>
      <c r="Y1684" s="121"/>
      <c r="Z1684" s="121" t="str">
        <f>Таблица18[[#This Row],[Хар-ка]]</f>
        <v>Высший</v>
      </c>
      <c r="AA1684"/>
      <c r="AB1684">
        <v>295</v>
      </c>
      <c r="AC1684"/>
      <c r="AD1684" s="460" t="s">
        <v>3109</v>
      </c>
      <c r="AE1684" t="s">
        <v>909</v>
      </c>
      <c r="AF1684" t="s">
        <v>2932</v>
      </c>
    </row>
    <row r="1685" spans="1:32" s="465" customFormat="1" ht="33.75" x14ac:dyDescent="0.25">
      <c r="A1685" s="40" t="s">
        <v>3392</v>
      </c>
      <c r="B1685" s="360" t="s">
        <v>2940</v>
      </c>
      <c r="C1685" s="40">
        <v>403</v>
      </c>
      <c r="D1685" s="40">
        <v>269</v>
      </c>
      <c r="E1685" s="40" t="s">
        <v>2964</v>
      </c>
      <c r="F1685" s="40" t="s">
        <v>762</v>
      </c>
      <c r="G1685" s="40" t="s">
        <v>763</v>
      </c>
      <c r="H1685" s="40" t="s">
        <v>3232</v>
      </c>
      <c r="I1685" s="40" t="str">
        <f>VLOOKUP(Таблица18[[#This Row],[Номер акта]],$AB$1:$AF$2504,3,FALSE)</f>
        <v>А-112/2</v>
      </c>
      <c r="J1685" s="40" t="s">
        <v>909</v>
      </c>
      <c r="K1685" s="40" t="s">
        <v>2939</v>
      </c>
      <c r="L1685" s="121">
        <v>9220</v>
      </c>
      <c r="M1685" s="121">
        <v>4680</v>
      </c>
      <c r="N1685" s="121">
        <v>12.5</v>
      </c>
      <c r="O1685" s="363">
        <v>4540</v>
      </c>
      <c r="P1685" s="363">
        <v>3972.5</v>
      </c>
      <c r="Q1685" s="121">
        <v>2026</v>
      </c>
      <c r="R1685" s="121">
        <v>296</v>
      </c>
      <c r="S1685" s="148">
        <v>46190</v>
      </c>
      <c r="T1685" s="363">
        <f>Таблица18[[#This Row],[Вес нетто]]-Таблица18[[#This Row],[Зачетный вес]]</f>
        <v>567.5</v>
      </c>
      <c r="U1685" s="392">
        <f>Таблица18[[#This Row],[Отход]]/Таблица18[[#This Row],[Вес нетто]]</f>
        <v>0.125</v>
      </c>
      <c r="V1685" s="121">
        <f>MONTH(Таблица18[[#This Row],[Дата акта]])</f>
        <v>6</v>
      </c>
      <c r="W1685" s="121">
        <f>DAY(Таблица18[[#This Row],[Дата акта]])</f>
        <v>17</v>
      </c>
      <c r="X1685" s="148">
        <f>DATE(1900,Таблица18[[#This Row],[Месяц]],Таблица18[[#This Row],[Число]])</f>
        <v>169</v>
      </c>
      <c r="Y1685" s="121"/>
      <c r="Z1685" s="121" t="str">
        <f>Таблица18[[#This Row],[Хар-ка]]</f>
        <v>Высший</v>
      </c>
      <c r="AA1685"/>
      <c r="AB1685">
        <v>296</v>
      </c>
      <c r="AC1685"/>
      <c r="AD1685" s="460" t="s">
        <v>3109</v>
      </c>
      <c r="AE1685" t="s">
        <v>909</v>
      </c>
      <c r="AF1685" t="s">
        <v>2932</v>
      </c>
    </row>
    <row r="1686" spans="1:32" s="465" customFormat="1" ht="22.5" x14ac:dyDescent="0.25">
      <c r="A1686" s="40" t="s">
        <v>3388</v>
      </c>
      <c r="B1686" s="360" t="s">
        <v>2940</v>
      </c>
      <c r="C1686" s="40">
        <v>404</v>
      </c>
      <c r="D1686" s="40">
        <v>270</v>
      </c>
      <c r="E1686" s="40" t="s">
        <v>2964</v>
      </c>
      <c r="F1686" s="40" t="s">
        <v>894</v>
      </c>
      <c r="G1686" s="40" t="s">
        <v>895</v>
      </c>
      <c r="H1686" s="40" t="s">
        <v>3097</v>
      </c>
      <c r="I1686" s="40" t="str">
        <f>VLOOKUP(Таблица18[[#This Row],[Номер акта]],$AB$1:$AF$2504,3,FALSE)</f>
        <v>А-115/1</v>
      </c>
      <c r="J1686" s="40" t="s">
        <v>909</v>
      </c>
      <c r="K1686" s="40" t="s">
        <v>2939</v>
      </c>
      <c r="L1686" s="121">
        <v>27980</v>
      </c>
      <c r="M1686" s="121">
        <v>14970</v>
      </c>
      <c r="N1686" s="121">
        <v>12.5</v>
      </c>
      <c r="O1686" s="363">
        <v>13010</v>
      </c>
      <c r="P1686" s="363">
        <v>11383.8</v>
      </c>
      <c r="Q1686" s="121">
        <v>2026</v>
      </c>
      <c r="R1686" s="121">
        <v>297</v>
      </c>
      <c r="S1686" s="148">
        <v>46190</v>
      </c>
      <c r="T1686" s="363">
        <f>Таблица18[[#This Row],[Вес нетто]]-Таблица18[[#This Row],[Зачетный вес]]</f>
        <v>1626.2000000000007</v>
      </c>
      <c r="U1686" s="392">
        <f>Таблица18[[#This Row],[Отход]]/Таблица18[[#This Row],[Вес нетто]]</f>
        <v>0.12499615680245971</v>
      </c>
      <c r="V1686" s="121">
        <f>MONTH(Таблица18[[#This Row],[Дата акта]])</f>
        <v>6</v>
      </c>
      <c r="W1686" s="121">
        <f>DAY(Таблица18[[#This Row],[Дата акта]])</f>
        <v>17</v>
      </c>
      <c r="X1686" s="148">
        <f>DATE(1900,Таблица18[[#This Row],[Месяц]],Таблица18[[#This Row],[Число]])</f>
        <v>169</v>
      </c>
      <c r="Y1686" s="121"/>
      <c r="Z1686" s="121" t="str">
        <f>Таблица18[[#This Row],[Хар-ка]]</f>
        <v>Высший</v>
      </c>
      <c r="AA1686"/>
      <c r="AB1686">
        <v>297</v>
      </c>
      <c r="AC1686"/>
      <c r="AD1686" s="460" t="s">
        <v>3097</v>
      </c>
      <c r="AE1686" t="s">
        <v>909</v>
      </c>
      <c r="AF1686" t="s">
        <v>46</v>
      </c>
    </row>
    <row r="1687" spans="1:32" s="465" customFormat="1" ht="33.75" x14ac:dyDescent="0.25">
      <c r="A1687" s="40" t="s">
        <v>3404</v>
      </c>
      <c r="B1687" s="360" t="s">
        <v>2940</v>
      </c>
      <c r="C1687" s="40">
        <v>405</v>
      </c>
      <c r="D1687" s="40">
        <v>271</v>
      </c>
      <c r="E1687" s="40" t="s">
        <v>2964</v>
      </c>
      <c r="F1687" s="40" t="s">
        <v>1312</v>
      </c>
      <c r="G1687" s="40" t="s">
        <v>320</v>
      </c>
      <c r="H1687" s="40" t="s">
        <v>3097</v>
      </c>
      <c r="I1687" s="40" t="str">
        <f>VLOOKUP(Таблица18[[#This Row],[Номер акта]],$AB$1:$AF$2504,3,FALSE)</f>
        <v>А-115/1</v>
      </c>
      <c r="J1687" s="40" t="s">
        <v>909</v>
      </c>
      <c r="K1687" s="40" t="s">
        <v>2939</v>
      </c>
      <c r="L1687" s="121">
        <v>27610</v>
      </c>
      <c r="M1687" s="121">
        <v>14440</v>
      </c>
      <c r="N1687" s="121">
        <v>11.5</v>
      </c>
      <c r="O1687" s="363">
        <v>13170</v>
      </c>
      <c r="P1687" s="363">
        <v>11655.5</v>
      </c>
      <c r="Q1687" s="121">
        <v>2026</v>
      </c>
      <c r="R1687" s="121">
        <v>298</v>
      </c>
      <c r="S1687" s="148">
        <v>46190</v>
      </c>
      <c r="T1687" s="363">
        <f>Таблица18[[#This Row],[Вес нетто]]-Таблица18[[#This Row],[Зачетный вес]]</f>
        <v>1514.5</v>
      </c>
      <c r="U1687" s="392">
        <f>Таблица18[[#This Row],[Отход]]/Таблица18[[#This Row],[Вес нетто]]</f>
        <v>0.11499620349278664</v>
      </c>
      <c r="V1687" s="121">
        <f>MONTH(Таблица18[[#This Row],[Дата акта]])</f>
        <v>6</v>
      </c>
      <c r="W1687" s="121">
        <f>DAY(Таблица18[[#This Row],[Дата акта]])</f>
        <v>17</v>
      </c>
      <c r="X1687" s="148">
        <f>DATE(1900,Таблица18[[#This Row],[Месяц]],Таблица18[[#This Row],[Число]])</f>
        <v>169</v>
      </c>
      <c r="Y1687" s="121"/>
      <c r="Z1687" s="121" t="str">
        <f>Таблица18[[#This Row],[Хар-ка]]</f>
        <v>Высший</v>
      </c>
      <c r="AA1687"/>
      <c r="AB1687">
        <v>298</v>
      </c>
      <c r="AC1687"/>
      <c r="AD1687" s="460" t="s">
        <v>3097</v>
      </c>
      <c r="AE1687" t="s">
        <v>909</v>
      </c>
      <c r="AF1687" t="s">
        <v>46</v>
      </c>
    </row>
    <row r="1688" spans="1:32" s="465" customFormat="1" ht="33.75" x14ac:dyDescent="0.25">
      <c r="A1688" s="40" t="s">
        <v>3431</v>
      </c>
      <c r="B1688" s="360" t="s">
        <v>2940</v>
      </c>
      <c r="C1688" s="40">
        <v>406</v>
      </c>
      <c r="D1688" s="40">
        <v>272</v>
      </c>
      <c r="E1688" s="40" t="s">
        <v>2964</v>
      </c>
      <c r="F1688" s="40" t="s">
        <v>121</v>
      </c>
      <c r="G1688" s="40" t="s">
        <v>125</v>
      </c>
      <c r="H1688" s="40" t="s">
        <v>3097</v>
      </c>
      <c r="I1688" s="40" t="str">
        <f>VLOOKUP(Таблица18[[#This Row],[Номер акта]],$AB$1:$AF$2504,3,FALSE)</f>
        <v>А-115/1</v>
      </c>
      <c r="J1688" s="40" t="s">
        <v>909</v>
      </c>
      <c r="K1688" s="40" t="s">
        <v>2939</v>
      </c>
      <c r="L1688" s="121">
        <v>28010</v>
      </c>
      <c r="M1688" s="121">
        <v>14760</v>
      </c>
      <c r="N1688" s="121">
        <v>9.5</v>
      </c>
      <c r="O1688" s="363">
        <v>13250</v>
      </c>
      <c r="P1688" s="363">
        <v>11991.3</v>
      </c>
      <c r="Q1688" s="121">
        <v>2026</v>
      </c>
      <c r="R1688" s="121">
        <v>299</v>
      </c>
      <c r="S1688" s="148">
        <v>46190</v>
      </c>
      <c r="T1688" s="363">
        <f>Таблица18[[#This Row],[Вес нетто]]-Таблица18[[#This Row],[Зачетный вес]]</f>
        <v>1258.7000000000007</v>
      </c>
      <c r="U1688" s="392">
        <f>Таблица18[[#This Row],[Отход]]/Таблица18[[#This Row],[Вес нетто]]</f>
        <v>9.4996226415094392E-2</v>
      </c>
      <c r="V1688" s="121">
        <f>MONTH(Таблица18[[#This Row],[Дата акта]])</f>
        <v>6</v>
      </c>
      <c r="W1688" s="121">
        <f>DAY(Таблица18[[#This Row],[Дата акта]])</f>
        <v>17</v>
      </c>
      <c r="X1688" s="148">
        <f>DATE(1900,Таблица18[[#This Row],[Месяц]],Таблица18[[#This Row],[Число]])</f>
        <v>169</v>
      </c>
      <c r="Y1688" s="121"/>
      <c r="Z1688" s="121" t="str">
        <f>Таблица18[[#This Row],[Хар-ка]]</f>
        <v>Высший</v>
      </c>
      <c r="AA1688"/>
      <c r="AB1688">
        <v>299</v>
      </c>
      <c r="AC1688"/>
      <c r="AD1688" s="460" t="s">
        <v>3097</v>
      </c>
      <c r="AE1688" t="s">
        <v>909</v>
      </c>
      <c r="AF1688" t="s">
        <v>46</v>
      </c>
    </row>
    <row r="1689" spans="1:32" s="465" customFormat="1" ht="33.75" x14ac:dyDescent="0.25">
      <c r="A1689" s="40" t="s">
        <v>3411</v>
      </c>
      <c r="B1689" s="360" t="s">
        <v>2940</v>
      </c>
      <c r="C1689" s="40">
        <v>407</v>
      </c>
      <c r="D1689" s="40">
        <v>273</v>
      </c>
      <c r="E1689" s="40" t="s">
        <v>2964</v>
      </c>
      <c r="F1689" s="40" t="s">
        <v>762</v>
      </c>
      <c r="G1689" s="40" t="s">
        <v>763</v>
      </c>
      <c r="H1689" s="40" t="s">
        <v>3097</v>
      </c>
      <c r="I1689" s="40" t="str">
        <f>VLOOKUP(Таблица18[[#This Row],[Номер акта]],$AB$1:$AF$2504,3,FALSE)</f>
        <v>А-115/1</v>
      </c>
      <c r="J1689" s="40" t="s">
        <v>909</v>
      </c>
      <c r="K1689" s="40" t="s">
        <v>2939</v>
      </c>
      <c r="L1689" s="121">
        <v>9080</v>
      </c>
      <c r="M1689" s="121">
        <v>4670</v>
      </c>
      <c r="N1689" s="121">
        <v>12.5</v>
      </c>
      <c r="O1689" s="363">
        <v>4410</v>
      </c>
      <c r="P1689" s="363">
        <v>3858.8</v>
      </c>
      <c r="Q1689" s="121">
        <v>2026</v>
      </c>
      <c r="R1689" s="121">
        <v>300</v>
      </c>
      <c r="S1689" s="148">
        <v>46190</v>
      </c>
      <c r="T1689" s="363">
        <f>Таблица18[[#This Row],[Вес нетто]]-Таблица18[[#This Row],[Зачетный вес]]</f>
        <v>551.19999999999982</v>
      </c>
      <c r="U1689" s="392">
        <f>Таблица18[[#This Row],[Отход]]/Таблица18[[#This Row],[Вес нетто]]</f>
        <v>0.12498866213151923</v>
      </c>
      <c r="V1689" s="121">
        <f>MONTH(Таблица18[[#This Row],[Дата акта]])</f>
        <v>6</v>
      </c>
      <c r="W1689" s="121">
        <f>DAY(Таблица18[[#This Row],[Дата акта]])</f>
        <v>17</v>
      </c>
      <c r="X1689" s="148">
        <f>DATE(1900,Таблица18[[#This Row],[Месяц]],Таблица18[[#This Row],[Число]])</f>
        <v>169</v>
      </c>
      <c r="Y1689" s="121"/>
      <c r="Z1689" s="121" t="str">
        <f>Таблица18[[#This Row],[Хар-ка]]</f>
        <v>Высший</v>
      </c>
      <c r="AA1689"/>
      <c r="AB1689">
        <v>300</v>
      </c>
      <c r="AC1689"/>
      <c r="AD1689" s="460" t="s">
        <v>3097</v>
      </c>
      <c r="AE1689" t="s">
        <v>909</v>
      </c>
      <c r="AF1689" t="s">
        <v>46</v>
      </c>
    </row>
    <row r="1690" spans="1:32" s="465" customFormat="1" ht="22.5" x14ac:dyDescent="0.25">
      <c r="A1690" s="40" t="s">
        <v>3407</v>
      </c>
      <c r="B1690" s="360" t="s">
        <v>2940</v>
      </c>
      <c r="C1690" s="40">
        <v>408</v>
      </c>
      <c r="D1690" s="40">
        <v>274</v>
      </c>
      <c r="E1690" s="40" t="s">
        <v>2964</v>
      </c>
      <c r="F1690" s="40" t="s">
        <v>894</v>
      </c>
      <c r="G1690" s="40" t="s">
        <v>895</v>
      </c>
      <c r="H1690" s="40" t="s">
        <v>3097</v>
      </c>
      <c r="I1690" s="40" t="str">
        <f>VLOOKUP(Таблица18[[#This Row],[Номер акта]],$AB$1:$AF$2504,3,FALSE)</f>
        <v>А-115/1</v>
      </c>
      <c r="J1690" s="40" t="s">
        <v>909</v>
      </c>
      <c r="K1690" s="40" t="s">
        <v>2939</v>
      </c>
      <c r="L1690" s="121">
        <v>28100</v>
      </c>
      <c r="M1690" s="121">
        <v>14970</v>
      </c>
      <c r="N1690" s="121">
        <v>12.5</v>
      </c>
      <c r="O1690" s="363">
        <v>13130</v>
      </c>
      <c r="P1690" s="363">
        <v>11488.8</v>
      </c>
      <c r="Q1690" s="121">
        <v>2026</v>
      </c>
      <c r="R1690" s="121">
        <v>301</v>
      </c>
      <c r="S1690" s="148">
        <v>46191</v>
      </c>
      <c r="T1690" s="363">
        <f>Таблица18[[#This Row],[Вес нетто]]-Таблица18[[#This Row],[Зачетный вес]]</f>
        <v>1641.2000000000007</v>
      </c>
      <c r="U1690" s="392">
        <f>Таблица18[[#This Row],[Отход]]/Таблица18[[#This Row],[Вес нетто]]</f>
        <v>0.12499619192688505</v>
      </c>
      <c r="V1690" s="121">
        <f>MONTH(Таблица18[[#This Row],[Дата акта]])</f>
        <v>6</v>
      </c>
      <c r="W1690" s="121">
        <f>DAY(Таблица18[[#This Row],[Дата акта]])</f>
        <v>18</v>
      </c>
      <c r="X1690" s="148">
        <f>DATE(1900,Таблица18[[#This Row],[Месяц]],Таблица18[[#This Row],[Число]])</f>
        <v>170</v>
      </c>
      <c r="Y1690" s="121"/>
      <c r="Z1690" s="121" t="str">
        <f>Таблица18[[#This Row],[Хар-ка]]</f>
        <v>Высший</v>
      </c>
      <c r="AA1690"/>
      <c r="AB1690">
        <v>301</v>
      </c>
      <c r="AC1690"/>
      <c r="AD1690" s="460" t="s">
        <v>3097</v>
      </c>
      <c r="AE1690" t="s">
        <v>909</v>
      </c>
      <c r="AF1690" t="s">
        <v>46</v>
      </c>
    </row>
    <row r="1691" spans="1:32" s="465" customFormat="1" ht="33.75" x14ac:dyDescent="0.25">
      <c r="A1691" s="40" t="s">
        <v>3397</v>
      </c>
      <c r="B1691" s="360" t="s">
        <v>2940</v>
      </c>
      <c r="C1691" s="40">
        <v>409</v>
      </c>
      <c r="D1691" s="40">
        <v>275</v>
      </c>
      <c r="E1691" s="40" t="s">
        <v>2964</v>
      </c>
      <c r="F1691" s="40" t="s">
        <v>1312</v>
      </c>
      <c r="G1691" s="40" t="s">
        <v>320</v>
      </c>
      <c r="H1691" s="40" t="s">
        <v>3097</v>
      </c>
      <c r="I1691" s="40" t="str">
        <f>VLOOKUP(Таблица18[[#This Row],[Номер акта]],$AB$1:$AF$2504,3,FALSE)</f>
        <v>А-115/1</v>
      </c>
      <c r="J1691" s="40" t="s">
        <v>909</v>
      </c>
      <c r="K1691" s="40" t="s">
        <v>2939</v>
      </c>
      <c r="L1691" s="121">
        <v>27520</v>
      </c>
      <c r="M1691" s="121">
        <v>14440</v>
      </c>
      <c r="N1691" s="121">
        <v>10.5</v>
      </c>
      <c r="O1691" s="363">
        <v>13080</v>
      </c>
      <c r="P1691" s="363">
        <v>11706.6</v>
      </c>
      <c r="Q1691" s="121">
        <v>2026</v>
      </c>
      <c r="R1691" s="121">
        <v>302</v>
      </c>
      <c r="S1691" s="148">
        <v>46191</v>
      </c>
      <c r="T1691" s="363">
        <f>Таблица18[[#This Row],[Вес нетто]]-Таблица18[[#This Row],[Зачетный вес]]</f>
        <v>1373.3999999999996</v>
      </c>
      <c r="U1691" s="392">
        <f>Таблица18[[#This Row],[Отход]]/Таблица18[[#This Row],[Вес нетто]]</f>
        <v>0.10499999999999997</v>
      </c>
      <c r="V1691" s="121">
        <f>MONTH(Таблица18[[#This Row],[Дата акта]])</f>
        <v>6</v>
      </c>
      <c r="W1691" s="121">
        <f>DAY(Таблица18[[#This Row],[Дата акта]])</f>
        <v>18</v>
      </c>
      <c r="X1691" s="148">
        <f>DATE(1900,Таблица18[[#This Row],[Месяц]],Таблица18[[#This Row],[Число]])</f>
        <v>170</v>
      </c>
      <c r="Y1691" s="121"/>
      <c r="Z1691" s="121" t="str">
        <f>Таблица18[[#This Row],[Хар-ка]]</f>
        <v>Высший</v>
      </c>
      <c r="AA1691"/>
      <c r="AB1691">
        <v>302</v>
      </c>
      <c r="AC1691"/>
      <c r="AD1691" s="460" t="s">
        <v>3097</v>
      </c>
      <c r="AE1691" t="s">
        <v>909</v>
      </c>
      <c r="AF1691" t="s">
        <v>46</v>
      </c>
    </row>
    <row r="1692" spans="1:32" s="465" customFormat="1" ht="33.75" x14ac:dyDescent="0.25">
      <c r="A1692" s="40" t="s">
        <v>3424</v>
      </c>
      <c r="B1692" s="360" t="s">
        <v>2940</v>
      </c>
      <c r="C1692" s="40">
        <v>410</v>
      </c>
      <c r="D1692" s="40">
        <v>276</v>
      </c>
      <c r="E1692" s="40" t="s">
        <v>2964</v>
      </c>
      <c r="F1692" s="40" t="s">
        <v>121</v>
      </c>
      <c r="G1692" s="40" t="s">
        <v>125</v>
      </c>
      <c r="H1692" s="40" t="s">
        <v>3097</v>
      </c>
      <c r="I1692" s="40" t="str">
        <f>VLOOKUP(Таблица18[[#This Row],[Номер акта]],$AB$1:$AF$2504,3,FALSE)</f>
        <v>А-115/1</v>
      </c>
      <c r="J1692" s="40" t="s">
        <v>909</v>
      </c>
      <c r="K1692" s="40" t="s">
        <v>2939</v>
      </c>
      <c r="L1692" s="121">
        <v>27700</v>
      </c>
      <c r="M1692" s="121">
        <v>14760</v>
      </c>
      <c r="N1692" s="121">
        <v>10.5</v>
      </c>
      <c r="O1692" s="363">
        <v>12940</v>
      </c>
      <c r="P1692" s="363">
        <v>11581.3</v>
      </c>
      <c r="Q1692" s="121">
        <v>2026</v>
      </c>
      <c r="R1692" s="121">
        <v>303</v>
      </c>
      <c r="S1692" s="148">
        <v>46191</v>
      </c>
      <c r="T1692" s="363">
        <f>Таблица18[[#This Row],[Вес нетто]]-Таблица18[[#This Row],[Зачетный вес]]</f>
        <v>1358.7000000000007</v>
      </c>
      <c r="U1692" s="392">
        <f>Таблица18[[#This Row],[Отход]]/Таблица18[[#This Row],[Вес нетто]]</f>
        <v>0.10500000000000005</v>
      </c>
      <c r="V1692" s="121">
        <f>MONTH(Таблица18[[#This Row],[Дата акта]])</f>
        <v>6</v>
      </c>
      <c r="W1692" s="121">
        <f>DAY(Таблица18[[#This Row],[Дата акта]])</f>
        <v>18</v>
      </c>
      <c r="X1692" s="148">
        <f>DATE(1900,Таблица18[[#This Row],[Месяц]],Таблица18[[#This Row],[Число]])</f>
        <v>170</v>
      </c>
      <c r="Y1692" s="121"/>
      <c r="Z1692" s="121" t="str">
        <f>Таблица18[[#This Row],[Хар-ка]]</f>
        <v>Высший</v>
      </c>
      <c r="AA1692"/>
      <c r="AB1692">
        <v>303</v>
      </c>
      <c r="AC1692"/>
      <c r="AD1692" s="460" t="s">
        <v>3097</v>
      </c>
      <c r="AE1692" t="s">
        <v>909</v>
      </c>
      <c r="AF1692" t="s">
        <v>46</v>
      </c>
    </row>
    <row r="1693" spans="1:32" s="465" customFormat="1" ht="33.75" x14ac:dyDescent="0.25">
      <c r="A1693" s="40" t="s">
        <v>3402</v>
      </c>
      <c r="B1693" s="360" t="s">
        <v>2940</v>
      </c>
      <c r="C1693" s="40">
        <v>411</v>
      </c>
      <c r="D1693" s="40">
        <v>277</v>
      </c>
      <c r="E1693" s="40" t="s">
        <v>2964</v>
      </c>
      <c r="F1693" s="40" t="s">
        <v>762</v>
      </c>
      <c r="G1693" s="40" t="s">
        <v>763</v>
      </c>
      <c r="H1693" s="40" t="s">
        <v>3097</v>
      </c>
      <c r="I1693" s="40" t="str">
        <f>VLOOKUP(Таблица18[[#This Row],[Номер акта]],$AB$1:$AF$2504,3,FALSE)</f>
        <v>А-115/1</v>
      </c>
      <c r="J1693" s="40" t="s">
        <v>909</v>
      </c>
      <c r="K1693" s="40" t="s">
        <v>2939</v>
      </c>
      <c r="L1693" s="121">
        <v>9010</v>
      </c>
      <c r="M1693" s="121">
        <v>4670</v>
      </c>
      <c r="N1693" s="121">
        <v>10.5</v>
      </c>
      <c r="O1693" s="363">
        <v>4340</v>
      </c>
      <c r="P1693" s="363">
        <v>3884.3</v>
      </c>
      <c r="Q1693" s="121">
        <v>2026</v>
      </c>
      <c r="R1693" s="121">
        <v>304</v>
      </c>
      <c r="S1693" s="148">
        <v>46191</v>
      </c>
      <c r="T1693" s="363">
        <f>Таблица18[[#This Row],[Вес нетто]]-Таблица18[[#This Row],[Зачетный вес]]</f>
        <v>455.69999999999982</v>
      </c>
      <c r="U1693" s="392">
        <f>Таблица18[[#This Row],[Отход]]/Таблица18[[#This Row],[Вес нетто]]</f>
        <v>0.10499999999999995</v>
      </c>
      <c r="V1693" s="121">
        <f>MONTH(Таблица18[[#This Row],[Дата акта]])</f>
        <v>6</v>
      </c>
      <c r="W1693" s="121">
        <f>DAY(Таблица18[[#This Row],[Дата акта]])</f>
        <v>18</v>
      </c>
      <c r="X1693" s="148">
        <f>DATE(1900,Таблица18[[#This Row],[Месяц]],Таблица18[[#This Row],[Число]])</f>
        <v>170</v>
      </c>
      <c r="Y1693" s="121"/>
      <c r="Z1693" s="121" t="str">
        <f>Таблица18[[#This Row],[Хар-ка]]</f>
        <v>Высший</v>
      </c>
      <c r="AA1693"/>
      <c r="AB1693">
        <v>304</v>
      </c>
      <c r="AC1693"/>
      <c r="AD1693" s="460" t="s">
        <v>3097</v>
      </c>
      <c r="AE1693" t="s">
        <v>909</v>
      </c>
      <c r="AF1693" t="s">
        <v>46</v>
      </c>
    </row>
    <row r="1694" spans="1:32" s="465" customFormat="1" ht="22.5" x14ac:dyDescent="0.25">
      <c r="A1694" s="40" t="s">
        <v>3427</v>
      </c>
      <c r="B1694" s="360" t="s">
        <v>2940</v>
      </c>
      <c r="C1694" s="40">
        <v>412</v>
      </c>
      <c r="D1694" s="40">
        <v>278</v>
      </c>
      <c r="E1694" s="40" t="s">
        <v>2964</v>
      </c>
      <c r="F1694" s="40" t="s">
        <v>894</v>
      </c>
      <c r="G1694" s="40" t="s">
        <v>895</v>
      </c>
      <c r="H1694" s="40" t="s">
        <v>3097</v>
      </c>
      <c r="I1694" s="40" t="str">
        <f>VLOOKUP(Таблица18[[#This Row],[Номер акта]],$AB$1:$AF$2504,3,FALSE)</f>
        <v>А-115/1</v>
      </c>
      <c r="J1694" s="40" t="s">
        <v>909</v>
      </c>
      <c r="K1694" s="40" t="s">
        <v>2939</v>
      </c>
      <c r="L1694" s="121">
        <v>28090</v>
      </c>
      <c r="M1694" s="121">
        <v>14950</v>
      </c>
      <c r="N1694" s="121">
        <v>9.5</v>
      </c>
      <c r="O1694" s="363">
        <v>13140</v>
      </c>
      <c r="P1694" s="363">
        <v>11891.7</v>
      </c>
      <c r="Q1694" s="121">
        <v>2026</v>
      </c>
      <c r="R1694" s="121">
        <v>308</v>
      </c>
      <c r="S1694" s="148">
        <v>46191</v>
      </c>
      <c r="T1694" s="363">
        <f>Таблица18[[#This Row],[Вес нетто]]-Таблица18[[#This Row],[Зачетный вес]]</f>
        <v>1248.2999999999993</v>
      </c>
      <c r="U1694" s="392">
        <f>Таблица18[[#This Row],[Отход]]/Таблица18[[#This Row],[Вес нетто]]</f>
        <v>9.4999999999999946E-2</v>
      </c>
      <c r="V1694" s="121">
        <f>MONTH(Таблица18[[#This Row],[Дата акта]])</f>
        <v>6</v>
      </c>
      <c r="W1694" s="121">
        <f>DAY(Таблица18[[#This Row],[Дата акта]])</f>
        <v>18</v>
      </c>
      <c r="X1694" s="148">
        <f>DATE(1900,Таблица18[[#This Row],[Месяц]],Таблица18[[#This Row],[Число]])</f>
        <v>170</v>
      </c>
      <c r="Y1694" s="121"/>
      <c r="Z1694" s="121" t="str">
        <f>Таблица18[[#This Row],[Хар-ка]]</f>
        <v>Высший</v>
      </c>
      <c r="AA1694"/>
      <c r="AB1694">
        <v>308</v>
      </c>
      <c r="AC1694"/>
      <c r="AD1694" s="460" t="s">
        <v>3097</v>
      </c>
      <c r="AE1694" t="s">
        <v>909</v>
      </c>
      <c r="AF1694" t="s">
        <v>46</v>
      </c>
    </row>
    <row r="1695" spans="1:32" s="465" customFormat="1" ht="33.75" x14ac:dyDescent="0.25">
      <c r="A1695" s="40" t="s">
        <v>3400</v>
      </c>
      <c r="B1695" s="360" t="s">
        <v>2940</v>
      </c>
      <c r="C1695" s="40">
        <v>413</v>
      </c>
      <c r="D1695" s="40">
        <v>279</v>
      </c>
      <c r="E1695" s="40" t="s">
        <v>2964</v>
      </c>
      <c r="F1695" s="40" t="s">
        <v>1312</v>
      </c>
      <c r="G1695" s="40" t="s">
        <v>320</v>
      </c>
      <c r="H1695" s="40" t="s">
        <v>3097</v>
      </c>
      <c r="I1695" s="40" t="str">
        <f>VLOOKUP(Таблица18[[#This Row],[Номер акта]],$AB$1:$AF$2504,3,FALSE)</f>
        <v>А-115/1</v>
      </c>
      <c r="J1695" s="40" t="s">
        <v>909</v>
      </c>
      <c r="K1695" s="40" t="s">
        <v>2939</v>
      </c>
      <c r="L1695" s="121">
        <v>27410</v>
      </c>
      <c r="M1695" s="121">
        <v>14430</v>
      </c>
      <c r="N1695" s="121">
        <v>8.5</v>
      </c>
      <c r="O1695" s="363">
        <v>12980</v>
      </c>
      <c r="P1695" s="363">
        <v>11876.7</v>
      </c>
      <c r="Q1695" s="121">
        <v>2026</v>
      </c>
      <c r="R1695" s="121">
        <v>309</v>
      </c>
      <c r="S1695" s="148">
        <v>46191</v>
      </c>
      <c r="T1695" s="363">
        <f>Таблица18[[#This Row],[Вес нетто]]-Таблица18[[#This Row],[Зачетный вес]]</f>
        <v>1103.2999999999993</v>
      </c>
      <c r="U1695" s="392">
        <f>Таблица18[[#This Row],[Отход]]/Таблица18[[#This Row],[Вес нетто]]</f>
        <v>8.4999999999999951E-2</v>
      </c>
      <c r="V1695" s="121">
        <f>MONTH(Таблица18[[#This Row],[Дата акта]])</f>
        <v>6</v>
      </c>
      <c r="W1695" s="121">
        <f>DAY(Таблица18[[#This Row],[Дата акта]])</f>
        <v>18</v>
      </c>
      <c r="X1695" s="148">
        <f>DATE(1900,Таблица18[[#This Row],[Месяц]],Таблица18[[#This Row],[Число]])</f>
        <v>170</v>
      </c>
      <c r="Y1695" s="121"/>
      <c r="Z1695" s="121" t="str">
        <f>Таблица18[[#This Row],[Хар-ка]]</f>
        <v>Высший</v>
      </c>
      <c r="AA1695"/>
      <c r="AB1695">
        <v>309</v>
      </c>
      <c r="AC1695"/>
      <c r="AD1695" s="460" t="s">
        <v>3097</v>
      </c>
      <c r="AE1695" t="s">
        <v>909</v>
      </c>
      <c r="AF1695" t="s">
        <v>46</v>
      </c>
    </row>
    <row r="1696" spans="1:32" s="465" customFormat="1" ht="33.75" x14ac:dyDescent="0.25">
      <c r="A1696" s="40" t="s">
        <v>3386</v>
      </c>
      <c r="B1696" s="360" t="s">
        <v>2940</v>
      </c>
      <c r="C1696" s="40">
        <v>414</v>
      </c>
      <c r="D1696" s="40">
        <v>280</v>
      </c>
      <c r="E1696" s="40" t="s">
        <v>2964</v>
      </c>
      <c r="F1696" s="40" t="s">
        <v>121</v>
      </c>
      <c r="G1696" s="40" t="s">
        <v>125</v>
      </c>
      <c r="H1696" s="40" t="s">
        <v>3097</v>
      </c>
      <c r="I1696" s="40" t="str">
        <f>VLOOKUP(Таблица18[[#This Row],[Номер акта]],$AB$1:$AF$2504,3,FALSE)</f>
        <v>А-115/1</v>
      </c>
      <c r="J1696" s="40" t="s">
        <v>909</v>
      </c>
      <c r="K1696" s="40" t="s">
        <v>2939</v>
      </c>
      <c r="L1696" s="121">
        <v>28040</v>
      </c>
      <c r="M1696" s="121">
        <v>14740</v>
      </c>
      <c r="N1696" s="121">
        <v>10.5</v>
      </c>
      <c r="O1696" s="363">
        <v>13300</v>
      </c>
      <c r="P1696" s="363">
        <v>11903.5</v>
      </c>
      <c r="Q1696" s="121">
        <v>2026</v>
      </c>
      <c r="R1696" s="121">
        <v>311</v>
      </c>
      <c r="S1696" s="148">
        <v>46191</v>
      </c>
      <c r="T1696" s="363">
        <f>Таблица18[[#This Row],[Вес нетто]]-Таблица18[[#This Row],[Зачетный вес]]</f>
        <v>1396.5</v>
      </c>
      <c r="U1696" s="392">
        <f>Таблица18[[#This Row],[Отход]]/Таблица18[[#This Row],[Вес нетто]]</f>
        <v>0.105</v>
      </c>
      <c r="V1696" s="121">
        <f>MONTH(Таблица18[[#This Row],[Дата акта]])</f>
        <v>6</v>
      </c>
      <c r="W1696" s="121">
        <f>DAY(Таблица18[[#This Row],[Дата акта]])</f>
        <v>18</v>
      </c>
      <c r="X1696" s="148">
        <f>DATE(1900,Таблица18[[#This Row],[Месяц]],Таблица18[[#This Row],[Число]])</f>
        <v>170</v>
      </c>
      <c r="Y1696" s="121"/>
      <c r="Z1696" s="121" t="str">
        <f>Таблица18[[#This Row],[Хар-ка]]</f>
        <v>Высший</v>
      </c>
      <c r="AA1696"/>
      <c r="AB1696">
        <v>311</v>
      </c>
      <c r="AC1696"/>
      <c r="AD1696" s="460" t="s">
        <v>3097</v>
      </c>
      <c r="AE1696" t="s">
        <v>909</v>
      </c>
      <c r="AF1696" t="s">
        <v>46</v>
      </c>
    </row>
    <row r="1697" spans="1:32" s="465" customFormat="1" ht="33.75" x14ac:dyDescent="0.25">
      <c r="A1697" s="40" t="s">
        <v>3413</v>
      </c>
      <c r="B1697" s="360" t="s">
        <v>2940</v>
      </c>
      <c r="C1697" s="40">
        <v>417</v>
      </c>
      <c r="D1697" s="40">
        <v>281</v>
      </c>
      <c r="E1697" s="40" t="s">
        <v>2964</v>
      </c>
      <c r="F1697" s="40" t="s">
        <v>3195</v>
      </c>
      <c r="G1697" s="40" t="s">
        <v>3196</v>
      </c>
      <c r="H1697" s="40" t="s">
        <v>3097</v>
      </c>
      <c r="I1697" s="40" t="str">
        <f>VLOOKUP(Таблица18[[#This Row],[Номер акта]],$AB$1:$AF$2504,3,FALSE)</f>
        <v>А-115/1</v>
      </c>
      <c r="J1697" s="40" t="s">
        <v>909</v>
      </c>
      <c r="K1697" s="40" t="s">
        <v>2939</v>
      </c>
      <c r="L1697" s="121">
        <v>27460</v>
      </c>
      <c r="M1697" s="121">
        <v>14290</v>
      </c>
      <c r="N1697" s="121">
        <v>21.5</v>
      </c>
      <c r="O1697" s="363">
        <v>13170</v>
      </c>
      <c r="P1697" s="363">
        <v>10338.5</v>
      </c>
      <c r="Q1697" s="121">
        <v>2026</v>
      </c>
      <c r="R1697" s="121">
        <v>312</v>
      </c>
      <c r="S1697" s="148">
        <v>46191</v>
      </c>
      <c r="T1697" s="363">
        <f>Таблица18[[#This Row],[Вес нетто]]-Таблица18[[#This Row],[Зачетный вес]]</f>
        <v>2831.5</v>
      </c>
      <c r="U1697" s="392">
        <f>Таблица18[[#This Row],[Отход]]/Таблица18[[#This Row],[Вес нетто]]</f>
        <v>0.21499620349278664</v>
      </c>
      <c r="V1697" s="121">
        <f>MONTH(Таблица18[[#This Row],[Дата акта]])</f>
        <v>6</v>
      </c>
      <c r="W1697" s="121">
        <f>DAY(Таблица18[[#This Row],[Дата акта]])</f>
        <v>18</v>
      </c>
      <c r="X1697" s="148">
        <f>DATE(1900,Таблица18[[#This Row],[Месяц]],Таблица18[[#This Row],[Число]])</f>
        <v>170</v>
      </c>
      <c r="Y1697" s="121"/>
      <c r="Z1697" s="121" t="str">
        <f>Таблица18[[#This Row],[Хар-ка]]</f>
        <v>Высший</v>
      </c>
      <c r="AA1697"/>
      <c r="AB1697">
        <v>312</v>
      </c>
      <c r="AC1697"/>
      <c r="AD1697" s="460" t="s">
        <v>3097</v>
      </c>
      <c r="AE1697" t="s">
        <v>909</v>
      </c>
      <c r="AF1697" t="s">
        <v>46</v>
      </c>
    </row>
    <row r="1698" spans="1:32" s="465" customFormat="1" ht="33.75" x14ac:dyDescent="0.25">
      <c r="A1698" s="40" t="s">
        <v>3391</v>
      </c>
      <c r="B1698" s="360" t="s">
        <v>2940</v>
      </c>
      <c r="C1698" s="40">
        <v>418</v>
      </c>
      <c r="D1698" s="40">
        <v>282</v>
      </c>
      <c r="E1698" s="40" t="s">
        <v>2964</v>
      </c>
      <c r="F1698" s="40" t="s">
        <v>195</v>
      </c>
      <c r="G1698" s="40" t="s">
        <v>199</v>
      </c>
      <c r="H1698" s="40" t="s">
        <v>3097</v>
      </c>
      <c r="I1698" s="40" t="str">
        <f>VLOOKUP(Таблица18[[#This Row],[Номер акта]],$AB$1:$AF$2504,3,FALSE)</f>
        <v>А-115/1</v>
      </c>
      <c r="J1698" s="40" t="s">
        <v>909</v>
      </c>
      <c r="K1698" s="40" t="s">
        <v>2939</v>
      </c>
      <c r="L1698" s="121">
        <v>27990</v>
      </c>
      <c r="M1698" s="121">
        <v>15250</v>
      </c>
      <c r="N1698" s="121">
        <v>21.5</v>
      </c>
      <c r="O1698" s="363">
        <v>12740</v>
      </c>
      <c r="P1698" s="363">
        <v>10000.9</v>
      </c>
      <c r="Q1698" s="121">
        <v>2026</v>
      </c>
      <c r="R1698" s="121">
        <v>313</v>
      </c>
      <c r="S1698" s="148">
        <v>46191</v>
      </c>
      <c r="T1698" s="363">
        <f>Таблица18[[#This Row],[Вес нетто]]-Таблица18[[#This Row],[Зачетный вес]]</f>
        <v>2739.1000000000004</v>
      </c>
      <c r="U1698" s="392">
        <f>Таблица18[[#This Row],[Отход]]/Таблица18[[#This Row],[Вес нетто]]</f>
        <v>0.21500000000000002</v>
      </c>
      <c r="V1698" s="121">
        <f>MONTH(Таблица18[[#This Row],[Дата акта]])</f>
        <v>6</v>
      </c>
      <c r="W1698" s="121">
        <f>DAY(Таблица18[[#This Row],[Дата акта]])</f>
        <v>18</v>
      </c>
      <c r="X1698" s="148">
        <f>DATE(1900,Таблица18[[#This Row],[Месяц]],Таблица18[[#This Row],[Число]])</f>
        <v>170</v>
      </c>
      <c r="Y1698" s="121"/>
      <c r="Z1698" s="121" t="str">
        <f>Таблица18[[#This Row],[Хар-ка]]</f>
        <v>Высший</v>
      </c>
      <c r="AA1698"/>
      <c r="AB1698">
        <v>313</v>
      </c>
      <c r="AC1698"/>
      <c r="AD1698" s="460" t="s">
        <v>3097</v>
      </c>
      <c r="AE1698" t="s">
        <v>909</v>
      </c>
      <c r="AF1698" t="s">
        <v>46</v>
      </c>
    </row>
    <row r="1699" spans="1:32" s="465" customFormat="1" ht="33.75" x14ac:dyDescent="0.25">
      <c r="A1699" s="40" t="s">
        <v>3401</v>
      </c>
      <c r="B1699" s="360" t="s">
        <v>2940</v>
      </c>
      <c r="C1699" s="40">
        <v>419</v>
      </c>
      <c r="D1699" s="40">
        <v>283</v>
      </c>
      <c r="E1699" s="40" t="s">
        <v>2964</v>
      </c>
      <c r="F1699" s="40" t="s">
        <v>329</v>
      </c>
      <c r="G1699" s="40" t="s">
        <v>333</v>
      </c>
      <c r="H1699" s="40" t="s">
        <v>3097</v>
      </c>
      <c r="I1699" s="40" t="str">
        <f>VLOOKUP(Таблица18[[#This Row],[Номер акта]],$AB$1:$AF$2504,3,FALSE)</f>
        <v>А-115/1</v>
      </c>
      <c r="J1699" s="40" t="s">
        <v>909</v>
      </c>
      <c r="K1699" s="40" t="s">
        <v>2939</v>
      </c>
      <c r="L1699" s="121">
        <v>28210</v>
      </c>
      <c r="M1699" s="121">
        <v>15030</v>
      </c>
      <c r="N1699" s="121">
        <v>29.5</v>
      </c>
      <c r="O1699" s="363">
        <v>13180</v>
      </c>
      <c r="P1699" s="363">
        <v>9291.9</v>
      </c>
      <c r="Q1699" s="121">
        <v>2026</v>
      </c>
      <c r="R1699" s="121">
        <v>316</v>
      </c>
      <c r="S1699" s="148">
        <v>46191</v>
      </c>
      <c r="T1699" s="363">
        <f>Таблица18[[#This Row],[Вес нетто]]-Таблица18[[#This Row],[Зачетный вес]]</f>
        <v>3888.1000000000004</v>
      </c>
      <c r="U1699" s="392">
        <f>Таблица18[[#This Row],[Отход]]/Таблица18[[#This Row],[Вес нетто]]</f>
        <v>0.29500000000000004</v>
      </c>
      <c r="V1699" s="121">
        <f>MONTH(Таблица18[[#This Row],[Дата акта]])</f>
        <v>6</v>
      </c>
      <c r="W1699" s="121">
        <f>DAY(Таблица18[[#This Row],[Дата акта]])</f>
        <v>18</v>
      </c>
      <c r="X1699" s="148">
        <f>DATE(1900,Таблица18[[#This Row],[Месяц]],Таблица18[[#This Row],[Число]])</f>
        <v>170</v>
      </c>
      <c r="Y1699" s="121"/>
      <c r="Z1699" s="121" t="str">
        <f>Таблица18[[#This Row],[Хар-ка]]</f>
        <v>Высший</v>
      </c>
      <c r="AA1699"/>
      <c r="AB1699">
        <v>316</v>
      </c>
      <c r="AC1699"/>
      <c r="AD1699" s="460" t="s">
        <v>3097</v>
      </c>
      <c r="AE1699" t="s">
        <v>909</v>
      </c>
      <c r="AF1699" t="s">
        <v>46</v>
      </c>
    </row>
    <row r="1700" spans="1:32" s="465" customFormat="1" ht="33.75" x14ac:dyDescent="0.25">
      <c r="A1700" s="40" t="s">
        <v>3405</v>
      </c>
      <c r="B1700" s="360" t="s">
        <v>2940</v>
      </c>
      <c r="C1700" s="40">
        <v>420</v>
      </c>
      <c r="D1700" s="40">
        <v>284</v>
      </c>
      <c r="E1700" s="40" t="s">
        <v>2964</v>
      </c>
      <c r="F1700" s="40" t="s">
        <v>737</v>
      </c>
      <c r="G1700" s="40" t="s">
        <v>738</v>
      </c>
      <c r="H1700" s="40" t="s">
        <v>3550</v>
      </c>
      <c r="I1700" s="40" t="str">
        <f>VLOOKUP(Таблица18[[#This Row],[Номер акта]],$AB$1:$AF$2504,3,FALSE)</f>
        <v>А-115/1</v>
      </c>
      <c r="J1700" s="40" t="s">
        <v>909</v>
      </c>
      <c r="K1700" s="40" t="s">
        <v>2939</v>
      </c>
      <c r="L1700" s="121">
        <v>8910</v>
      </c>
      <c r="M1700" s="121">
        <v>4640</v>
      </c>
      <c r="N1700" s="121">
        <v>28</v>
      </c>
      <c r="O1700" s="363">
        <v>4270</v>
      </c>
      <c r="P1700" s="363">
        <v>3074.4</v>
      </c>
      <c r="Q1700" s="121">
        <v>2026</v>
      </c>
      <c r="R1700" s="121">
        <v>317</v>
      </c>
      <c r="S1700" s="148">
        <v>46191</v>
      </c>
      <c r="T1700" s="363">
        <f>Таблица18[[#This Row],[Вес нетто]]-Таблица18[[#This Row],[Зачетный вес]]</f>
        <v>1195.5999999999999</v>
      </c>
      <c r="U1700" s="392">
        <f>Таблица18[[#This Row],[Отход]]/Таблица18[[#This Row],[Вес нетто]]</f>
        <v>0.27999999999999997</v>
      </c>
      <c r="V1700" s="121">
        <f>MONTH(Таблица18[[#This Row],[Дата акта]])</f>
        <v>6</v>
      </c>
      <c r="W1700" s="121">
        <f>DAY(Таблица18[[#This Row],[Дата акта]])</f>
        <v>18</v>
      </c>
      <c r="X1700" s="148">
        <f>DATE(1900,Таблица18[[#This Row],[Месяц]],Таблица18[[#This Row],[Число]])</f>
        <v>170</v>
      </c>
      <c r="Y1700" s="121"/>
      <c r="Z1700" s="121" t="str">
        <f>Таблица18[[#This Row],[Хар-ка]]</f>
        <v>Высший</v>
      </c>
      <c r="AA1700"/>
      <c r="AB1700">
        <v>317</v>
      </c>
      <c r="AC1700"/>
      <c r="AD1700" s="460" t="s">
        <v>3097</v>
      </c>
      <c r="AE1700" t="s">
        <v>909</v>
      </c>
      <c r="AF1700" t="s">
        <v>46</v>
      </c>
    </row>
    <row r="1701" spans="1:32" s="465" customFormat="1" ht="22.5" x14ac:dyDescent="0.25">
      <c r="A1701" s="40" t="s">
        <v>3430</v>
      </c>
      <c r="B1701" s="360" t="s">
        <v>2940</v>
      </c>
      <c r="C1701" s="40">
        <v>422</v>
      </c>
      <c r="D1701" s="40">
        <v>285</v>
      </c>
      <c r="E1701" s="40" t="s">
        <v>2964</v>
      </c>
      <c r="F1701" s="40" t="s">
        <v>127</v>
      </c>
      <c r="G1701" s="40" t="s">
        <v>131</v>
      </c>
      <c r="H1701" s="40" t="s">
        <v>3097</v>
      </c>
      <c r="I1701" s="40" t="str">
        <f>VLOOKUP(Таблица18[[#This Row],[Номер акта]],$AB$1:$AF$2504,3,FALSE)</f>
        <v>А-115/1</v>
      </c>
      <c r="J1701" s="40" t="s">
        <v>909</v>
      </c>
      <c r="K1701" s="40" t="s">
        <v>2939</v>
      </c>
      <c r="L1701" s="121">
        <v>27700</v>
      </c>
      <c r="M1701" s="121">
        <v>14370</v>
      </c>
      <c r="N1701" s="121">
        <v>24.5</v>
      </c>
      <c r="O1701" s="363">
        <v>13330</v>
      </c>
      <c r="P1701" s="363">
        <v>10064.200000000001</v>
      </c>
      <c r="Q1701" s="121">
        <v>2026</v>
      </c>
      <c r="R1701" s="121">
        <v>318</v>
      </c>
      <c r="S1701" s="148">
        <v>46191</v>
      </c>
      <c r="T1701" s="363">
        <f>Таблица18[[#This Row],[Вес нетто]]-Таблица18[[#This Row],[Зачетный вес]]</f>
        <v>3265.7999999999993</v>
      </c>
      <c r="U1701" s="392">
        <f>Таблица18[[#This Row],[Отход]]/Таблица18[[#This Row],[Вес нетто]]</f>
        <v>0.24499624906226553</v>
      </c>
      <c r="V1701" s="121">
        <f>MONTH(Таблица18[[#This Row],[Дата акта]])</f>
        <v>6</v>
      </c>
      <c r="W1701" s="121">
        <f>DAY(Таблица18[[#This Row],[Дата акта]])</f>
        <v>18</v>
      </c>
      <c r="X1701" s="148">
        <f>DATE(1900,Таблица18[[#This Row],[Месяц]],Таблица18[[#This Row],[Число]])</f>
        <v>170</v>
      </c>
      <c r="Y1701" s="121"/>
      <c r="Z1701" s="121" t="str">
        <f>Таблица18[[#This Row],[Хар-ка]]</f>
        <v>Высший</v>
      </c>
      <c r="AA1701"/>
      <c r="AB1701">
        <v>318</v>
      </c>
      <c r="AC1701"/>
      <c r="AD1701" s="460" t="s">
        <v>3097</v>
      </c>
      <c r="AE1701" t="s">
        <v>909</v>
      </c>
      <c r="AF1701" t="s">
        <v>46</v>
      </c>
    </row>
    <row r="1702" spans="1:32" s="465" customFormat="1" ht="33.75" x14ac:dyDescent="0.25">
      <c r="A1702" s="40" t="s">
        <v>3394</v>
      </c>
      <c r="B1702" s="360" t="s">
        <v>2940</v>
      </c>
      <c r="C1702" s="40">
        <v>423</v>
      </c>
      <c r="D1702" s="40">
        <v>286</v>
      </c>
      <c r="E1702" s="40" t="s">
        <v>2964</v>
      </c>
      <c r="F1702" s="40" t="s">
        <v>3195</v>
      </c>
      <c r="G1702" s="40" t="s">
        <v>3196</v>
      </c>
      <c r="H1702" s="40" t="s">
        <v>3097</v>
      </c>
      <c r="I1702" s="40" t="str">
        <f>VLOOKUP(Таблица18[[#This Row],[Номер акта]],$AB$1:$AF$2504,3,FALSE)</f>
        <v>А-115/1</v>
      </c>
      <c r="J1702" s="40" t="s">
        <v>909</v>
      </c>
      <c r="K1702" s="40" t="s">
        <v>2939</v>
      </c>
      <c r="L1702" s="121">
        <v>27730</v>
      </c>
      <c r="M1702" s="121">
        <v>14260</v>
      </c>
      <c r="N1702" s="121">
        <v>17.5</v>
      </c>
      <c r="O1702" s="363">
        <v>13470</v>
      </c>
      <c r="P1702" s="363">
        <v>11112.8</v>
      </c>
      <c r="Q1702" s="121">
        <v>2026</v>
      </c>
      <c r="R1702" s="121">
        <v>319</v>
      </c>
      <c r="S1702" s="148">
        <v>46191</v>
      </c>
      <c r="T1702" s="363">
        <f>Таблица18[[#This Row],[Вес нетто]]-Таблица18[[#This Row],[Зачетный вес]]</f>
        <v>2357.2000000000007</v>
      </c>
      <c r="U1702" s="392">
        <f>Таблица18[[#This Row],[Отход]]/Таблица18[[#This Row],[Вес нетто]]</f>
        <v>0.17499628804751305</v>
      </c>
      <c r="V1702" s="121">
        <f>MONTH(Таблица18[[#This Row],[Дата акта]])</f>
        <v>6</v>
      </c>
      <c r="W1702" s="121">
        <f>DAY(Таблица18[[#This Row],[Дата акта]])</f>
        <v>18</v>
      </c>
      <c r="X1702" s="148">
        <f>DATE(1900,Таблица18[[#This Row],[Месяц]],Таблица18[[#This Row],[Число]])</f>
        <v>170</v>
      </c>
      <c r="Y1702" s="121"/>
      <c r="Z1702" s="121" t="str">
        <f>Таблица18[[#This Row],[Хар-ка]]</f>
        <v>Высший</v>
      </c>
      <c r="AA1702"/>
      <c r="AB1702">
        <v>319</v>
      </c>
      <c r="AC1702"/>
      <c r="AD1702" s="460" t="s">
        <v>3097</v>
      </c>
      <c r="AE1702" t="s">
        <v>909</v>
      </c>
      <c r="AF1702" t="s">
        <v>46</v>
      </c>
    </row>
    <row r="1703" spans="1:32" s="465" customFormat="1" ht="33.75" x14ac:dyDescent="0.25">
      <c r="A1703" s="40" t="s">
        <v>3396</v>
      </c>
      <c r="B1703" s="360" t="s">
        <v>2940</v>
      </c>
      <c r="C1703" s="40">
        <v>425</v>
      </c>
      <c r="D1703" s="40">
        <v>287</v>
      </c>
      <c r="E1703" s="40" t="s">
        <v>2964</v>
      </c>
      <c r="F1703" s="40" t="s">
        <v>195</v>
      </c>
      <c r="G1703" s="40" t="s">
        <v>199</v>
      </c>
      <c r="H1703" s="40" t="s">
        <v>3097</v>
      </c>
      <c r="I1703" s="40" t="str">
        <f>VLOOKUP(Таблица18[[#This Row],[Номер акта]],$AB$1:$AF$2504,3,FALSE)</f>
        <v>А-115/1</v>
      </c>
      <c r="J1703" s="40" t="s">
        <v>909</v>
      </c>
      <c r="K1703" s="40" t="s">
        <v>2939</v>
      </c>
      <c r="L1703" s="121">
        <v>28250</v>
      </c>
      <c r="M1703" s="121">
        <v>15230</v>
      </c>
      <c r="N1703" s="121">
        <v>17.5</v>
      </c>
      <c r="O1703" s="363">
        <v>13020</v>
      </c>
      <c r="P1703" s="363">
        <v>10741.5</v>
      </c>
      <c r="Q1703" s="121">
        <v>2026</v>
      </c>
      <c r="R1703" s="121">
        <v>320</v>
      </c>
      <c r="S1703" s="148">
        <v>46191</v>
      </c>
      <c r="T1703" s="363">
        <f>Таблица18[[#This Row],[Вес нетто]]-Таблица18[[#This Row],[Зачетный вес]]</f>
        <v>2278.5</v>
      </c>
      <c r="U1703" s="392">
        <f>Таблица18[[#This Row],[Отход]]/Таблица18[[#This Row],[Вес нетто]]</f>
        <v>0.17499999999999999</v>
      </c>
      <c r="V1703" s="121">
        <f>MONTH(Таблица18[[#This Row],[Дата акта]])</f>
        <v>6</v>
      </c>
      <c r="W1703" s="121">
        <f>DAY(Таблица18[[#This Row],[Дата акта]])</f>
        <v>18</v>
      </c>
      <c r="X1703" s="148">
        <f>DATE(1900,Таблица18[[#This Row],[Месяц]],Таблица18[[#This Row],[Число]])</f>
        <v>170</v>
      </c>
      <c r="Y1703" s="121"/>
      <c r="Z1703" s="121" t="str">
        <f>Таблица18[[#This Row],[Хар-ка]]</f>
        <v>Высший</v>
      </c>
      <c r="AA1703"/>
      <c r="AB1703">
        <v>320</v>
      </c>
      <c r="AC1703"/>
      <c r="AD1703" s="460" t="s">
        <v>3097</v>
      </c>
      <c r="AE1703" t="s">
        <v>909</v>
      </c>
      <c r="AF1703" t="s">
        <v>46</v>
      </c>
    </row>
    <row r="1704" spans="1:32" s="465" customFormat="1" ht="33.75" x14ac:dyDescent="0.25">
      <c r="A1704" s="40" t="s">
        <v>3421</v>
      </c>
      <c r="B1704" s="360" t="s">
        <v>2940</v>
      </c>
      <c r="C1704" s="40">
        <v>426</v>
      </c>
      <c r="D1704" s="40">
        <v>288</v>
      </c>
      <c r="E1704" s="40" t="s">
        <v>2964</v>
      </c>
      <c r="F1704" s="40" t="s">
        <v>329</v>
      </c>
      <c r="G1704" s="40" t="s">
        <v>333</v>
      </c>
      <c r="H1704" s="40" t="s">
        <v>3097</v>
      </c>
      <c r="I1704" s="40" t="str">
        <f>VLOOKUP(Таблица18[[#This Row],[Номер акта]],$AB$1:$AF$2504,3,FALSE)</f>
        <v>А-115/1</v>
      </c>
      <c r="J1704" s="40" t="s">
        <v>909</v>
      </c>
      <c r="K1704" s="40" t="s">
        <v>2939</v>
      </c>
      <c r="L1704" s="121">
        <v>28670</v>
      </c>
      <c r="M1704" s="121">
        <v>15010</v>
      </c>
      <c r="N1704" s="121">
        <v>14.5</v>
      </c>
      <c r="O1704" s="363">
        <v>13660</v>
      </c>
      <c r="P1704" s="363">
        <v>11679.3</v>
      </c>
      <c r="Q1704" s="121">
        <v>2026</v>
      </c>
      <c r="R1704" s="121">
        <v>321</v>
      </c>
      <c r="S1704" s="148">
        <v>46191</v>
      </c>
      <c r="T1704" s="363">
        <f>Таблица18[[#This Row],[Вес нетто]]-Таблица18[[#This Row],[Зачетный вес]]</f>
        <v>1980.7000000000007</v>
      </c>
      <c r="U1704" s="392">
        <f>Таблица18[[#This Row],[Отход]]/Таблица18[[#This Row],[Вес нетто]]</f>
        <v>0.14500000000000005</v>
      </c>
      <c r="V1704" s="121">
        <f>MONTH(Таблица18[[#This Row],[Дата акта]])</f>
        <v>6</v>
      </c>
      <c r="W1704" s="121">
        <f>DAY(Таблица18[[#This Row],[Дата акта]])</f>
        <v>18</v>
      </c>
      <c r="X1704" s="148">
        <f>DATE(1900,Таблица18[[#This Row],[Месяц]],Таблица18[[#This Row],[Число]])</f>
        <v>170</v>
      </c>
      <c r="Y1704" s="121"/>
      <c r="Z1704" s="121" t="str">
        <f>Таблица18[[#This Row],[Хар-ка]]</f>
        <v>Высший</v>
      </c>
      <c r="AA1704"/>
      <c r="AB1704">
        <v>321</v>
      </c>
      <c r="AC1704"/>
      <c r="AD1704" s="460" t="s">
        <v>3097</v>
      </c>
      <c r="AE1704" t="s">
        <v>909</v>
      </c>
      <c r="AF1704" t="s">
        <v>46</v>
      </c>
    </row>
    <row r="1705" spans="1:32" s="465" customFormat="1" ht="33.75" x14ac:dyDescent="0.25">
      <c r="A1705" s="40" t="s">
        <v>3390</v>
      </c>
      <c r="B1705" s="360" t="s">
        <v>2940</v>
      </c>
      <c r="C1705" s="40">
        <v>427</v>
      </c>
      <c r="D1705" s="40">
        <v>289</v>
      </c>
      <c r="E1705" s="40" t="s">
        <v>2964</v>
      </c>
      <c r="F1705" s="40" t="s">
        <v>737</v>
      </c>
      <c r="G1705" s="40" t="s">
        <v>738</v>
      </c>
      <c r="H1705" s="40" t="s">
        <v>3097</v>
      </c>
      <c r="I1705" s="40" t="str">
        <f>VLOOKUP(Таблица18[[#This Row],[Номер акта]],$AB$1:$AF$2504,3,FALSE)</f>
        <v>А-115/1</v>
      </c>
      <c r="J1705" s="40" t="s">
        <v>909</v>
      </c>
      <c r="K1705" s="40" t="s">
        <v>2939</v>
      </c>
      <c r="L1705" s="121">
        <v>8930</v>
      </c>
      <c r="M1705" s="121">
        <v>4640</v>
      </c>
      <c r="N1705" s="121">
        <v>14</v>
      </c>
      <c r="O1705" s="363">
        <v>4290</v>
      </c>
      <c r="P1705" s="363">
        <v>3689.4</v>
      </c>
      <c r="Q1705" s="121">
        <v>2026</v>
      </c>
      <c r="R1705" s="121">
        <v>322</v>
      </c>
      <c r="S1705" s="148">
        <v>46191</v>
      </c>
      <c r="T1705" s="363">
        <f>Таблица18[[#This Row],[Вес нетто]]-Таблица18[[#This Row],[Зачетный вес]]</f>
        <v>600.59999999999991</v>
      </c>
      <c r="U1705" s="392">
        <f>Таблица18[[#This Row],[Отход]]/Таблица18[[#This Row],[Вес нетто]]</f>
        <v>0.13999999999999999</v>
      </c>
      <c r="V1705" s="121">
        <f>MONTH(Таблица18[[#This Row],[Дата акта]])</f>
        <v>6</v>
      </c>
      <c r="W1705" s="121">
        <f>DAY(Таблица18[[#This Row],[Дата акта]])</f>
        <v>18</v>
      </c>
      <c r="X1705" s="148">
        <f>DATE(1900,Таблица18[[#This Row],[Месяц]],Таблица18[[#This Row],[Число]])</f>
        <v>170</v>
      </c>
      <c r="Y1705" s="121"/>
      <c r="Z1705" s="121" t="str">
        <f>Таблица18[[#This Row],[Хар-ка]]</f>
        <v>Высший</v>
      </c>
      <c r="AA1705"/>
      <c r="AB1705">
        <v>322</v>
      </c>
      <c r="AC1705"/>
      <c r="AD1705" s="460" t="s">
        <v>3097</v>
      </c>
      <c r="AE1705" t="s">
        <v>909</v>
      </c>
      <c r="AF1705" t="s">
        <v>46</v>
      </c>
    </row>
    <row r="1706" spans="1:32" s="465" customFormat="1" ht="22.5" x14ac:dyDescent="0.25">
      <c r="A1706" s="40" t="s">
        <v>3398</v>
      </c>
      <c r="B1706" s="360" t="s">
        <v>2940</v>
      </c>
      <c r="C1706" s="40">
        <v>429</v>
      </c>
      <c r="D1706" s="40">
        <v>290</v>
      </c>
      <c r="E1706" s="40" t="s">
        <v>2964</v>
      </c>
      <c r="F1706" s="40" t="s">
        <v>127</v>
      </c>
      <c r="G1706" s="40" t="s">
        <v>131</v>
      </c>
      <c r="H1706" s="40" t="s">
        <v>3097</v>
      </c>
      <c r="I1706" s="40" t="str">
        <f>VLOOKUP(Таблица18[[#This Row],[Номер акта]],$AB$1:$AF$2504,3,FALSE)</f>
        <v>А-115/1</v>
      </c>
      <c r="J1706" s="40" t="s">
        <v>909</v>
      </c>
      <c r="K1706" s="40" t="s">
        <v>2939</v>
      </c>
      <c r="L1706" s="121">
        <v>27970</v>
      </c>
      <c r="M1706" s="121">
        <v>14440</v>
      </c>
      <c r="N1706" s="121">
        <v>14</v>
      </c>
      <c r="O1706" s="363">
        <v>13530</v>
      </c>
      <c r="P1706" s="363">
        <v>11635.8</v>
      </c>
      <c r="Q1706" s="121">
        <v>2026</v>
      </c>
      <c r="R1706" s="121">
        <v>323</v>
      </c>
      <c r="S1706" s="148">
        <v>46191</v>
      </c>
      <c r="T1706" s="363">
        <f>Таблица18[[#This Row],[Вес нетто]]-Таблица18[[#This Row],[Зачетный вес]]</f>
        <v>1894.2000000000007</v>
      </c>
      <c r="U1706" s="392">
        <f>Таблица18[[#This Row],[Отход]]/Таблица18[[#This Row],[Вес нетто]]</f>
        <v>0.14000000000000004</v>
      </c>
      <c r="V1706" s="121">
        <f>MONTH(Таблица18[[#This Row],[Дата акта]])</f>
        <v>6</v>
      </c>
      <c r="W1706" s="121">
        <f>DAY(Таблица18[[#This Row],[Дата акта]])</f>
        <v>18</v>
      </c>
      <c r="X1706" s="148">
        <f>DATE(1900,Таблица18[[#This Row],[Месяц]],Таблица18[[#This Row],[Число]])</f>
        <v>170</v>
      </c>
      <c r="Y1706" s="121"/>
      <c r="Z1706" s="121" t="str">
        <f>Таблица18[[#This Row],[Хар-ка]]</f>
        <v>Высший</v>
      </c>
      <c r="AA1706"/>
      <c r="AB1706">
        <v>323</v>
      </c>
      <c r="AC1706"/>
      <c r="AD1706" s="460" t="s">
        <v>3097</v>
      </c>
      <c r="AE1706" t="s">
        <v>909</v>
      </c>
      <c r="AF1706" t="s">
        <v>46</v>
      </c>
    </row>
    <row r="1707" spans="1:32" s="465" customFormat="1" ht="33.75" x14ac:dyDescent="0.25">
      <c r="A1707" s="40" t="s">
        <v>3428</v>
      </c>
      <c r="B1707" s="360" t="s">
        <v>2940</v>
      </c>
      <c r="C1707" s="40">
        <v>430</v>
      </c>
      <c r="D1707" s="40">
        <v>292</v>
      </c>
      <c r="E1707" s="40" t="s">
        <v>2964</v>
      </c>
      <c r="F1707" s="40" t="s">
        <v>3195</v>
      </c>
      <c r="G1707" s="40" t="s">
        <v>3196</v>
      </c>
      <c r="H1707" s="40" t="s">
        <v>3096</v>
      </c>
      <c r="I1707" s="40" t="str">
        <f>VLOOKUP(Таблица18[[#This Row],[Номер акта]],$AB$1:$AF$2504,3,FALSE)</f>
        <v>А-114</v>
      </c>
      <c r="J1707" s="40" t="s">
        <v>1755</v>
      </c>
      <c r="K1707" s="40" t="s">
        <v>2939</v>
      </c>
      <c r="L1707" s="121">
        <v>29440</v>
      </c>
      <c r="M1707" s="121">
        <v>22670</v>
      </c>
      <c r="N1707" s="121">
        <v>16.5</v>
      </c>
      <c r="O1707" s="363">
        <v>6770</v>
      </c>
      <c r="P1707" s="363">
        <v>5652.9</v>
      </c>
      <c r="Q1707" s="121">
        <v>2026</v>
      </c>
      <c r="R1707" s="121">
        <v>324</v>
      </c>
      <c r="S1707" s="148">
        <v>46191</v>
      </c>
      <c r="T1707" s="363">
        <f>Таблица18[[#This Row],[Вес нетто]]-Таблица18[[#This Row],[Зачетный вес]]</f>
        <v>1117.1000000000004</v>
      </c>
      <c r="U1707" s="392">
        <f>Таблица18[[#This Row],[Отход]]/Таблица18[[#This Row],[Вес нетто]]</f>
        <v>0.16500738552437227</v>
      </c>
      <c r="V1707" s="121">
        <f>MONTH(Таблица18[[#This Row],[Дата акта]])</f>
        <v>6</v>
      </c>
      <c r="W1707" s="121">
        <f>DAY(Таблица18[[#This Row],[Дата акта]])</f>
        <v>18</v>
      </c>
      <c r="X1707" s="148">
        <f>DATE(1900,Таблица18[[#This Row],[Месяц]],Таблица18[[#This Row],[Число]])</f>
        <v>170</v>
      </c>
      <c r="Y1707" s="121"/>
      <c r="Z1707" s="121" t="str">
        <f>Таблица18[[#This Row],[Хар-ка]]</f>
        <v>Высший</v>
      </c>
      <c r="AA1707"/>
      <c r="AB1707">
        <v>324</v>
      </c>
      <c r="AC1707"/>
      <c r="AD1707" s="460" t="s">
        <v>3096</v>
      </c>
      <c r="AE1707" t="s">
        <v>1755</v>
      </c>
      <c r="AF1707" t="s">
        <v>46</v>
      </c>
    </row>
    <row r="1708" spans="1:32" s="465" customFormat="1" ht="33.75" x14ac:dyDescent="0.25">
      <c r="A1708" s="40" t="s">
        <v>3420</v>
      </c>
      <c r="B1708" s="360" t="s">
        <v>2940</v>
      </c>
      <c r="C1708" s="40">
        <v>431</v>
      </c>
      <c r="D1708" s="40">
        <v>293</v>
      </c>
      <c r="E1708" s="40" t="s">
        <v>2964</v>
      </c>
      <c r="F1708" s="40" t="s">
        <v>195</v>
      </c>
      <c r="G1708" s="40" t="s">
        <v>199</v>
      </c>
      <c r="H1708" s="40" t="s">
        <v>3096</v>
      </c>
      <c r="I1708" s="40" t="str">
        <f>VLOOKUP(Таблица18[[#This Row],[Номер акта]],$AB$1:$AF$2504,3,FALSE)</f>
        <v>А-114</v>
      </c>
      <c r="J1708" s="40" t="s">
        <v>1755</v>
      </c>
      <c r="K1708" s="40" t="s">
        <v>2939</v>
      </c>
      <c r="L1708" s="121">
        <v>31010</v>
      </c>
      <c r="M1708" s="121">
        <v>15220</v>
      </c>
      <c r="N1708" s="121">
        <v>16.5</v>
      </c>
      <c r="O1708" s="363">
        <v>15790</v>
      </c>
      <c r="P1708" s="363">
        <v>13184.7</v>
      </c>
      <c r="Q1708" s="121">
        <v>2026</v>
      </c>
      <c r="R1708" s="121">
        <v>326</v>
      </c>
      <c r="S1708" s="148">
        <v>46191</v>
      </c>
      <c r="T1708" s="363">
        <f>Таблица18[[#This Row],[Вес нетто]]-Таблица18[[#This Row],[Зачетный вес]]</f>
        <v>2605.2999999999993</v>
      </c>
      <c r="U1708" s="392">
        <f>Таблица18[[#This Row],[Отход]]/Таблица18[[#This Row],[Вес нетто]]</f>
        <v>0.16499683343888533</v>
      </c>
      <c r="V1708" s="121">
        <f>MONTH(Таблица18[[#This Row],[Дата акта]])</f>
        <v>6</v>
      </c>
      <c r="W1708" s="121">
        <f>DAY(Таблица18[[#This Row],[Дата акта]])</f>
        <v>18</v>
      </c>
      <c r="X1708" s="148">
        <f>DATE(1900,Таблица18[[#This Row],[Месяц]],Таблица18[[#This Row],[Число]])</f>
        <v>170</v>
      </c>
      <c r="Y1708" s="121"/>
      <c r="Z1708" s="121" t="str">
        <f>Таблица18[[#This Row],[Хар-ка]]</f>
        <v>Высший</v>
      </c>
      <c r="AA1708"/>
      <c r="AB1708">
        <v>326</v>
      </c>
      <c r="AC1708"/>
      <c r="AD1708" s="460" t="s">
        <v>3096</v>
      </c>
      <c r="AE1708" t="s">
        <v>1755</v>
      </c>
      <c r="AF1708" t="s">
        <v>46</v>
      </c>
    </row>
    <row r="1709" spans="1:32" s="465" customFormat="1" ht="33.75" x14ac:dyDescent="0.25">
      <c r="A1709" s="40" t="s">
        <v>3395</v>
      </c>
      <c r="B1709" s="360" t="s">
        <v>2940</v>
      </c>
      <c r="C1709" s="40">
        <v>432</v>
      </c>
      <c r="D1709" s="40">
        <v>291</v>
      </c>
      <c r="E1709" s="40" t="s">
        <v>2964</v>
      </c>
      <c r="F1709" s="40" t="s">
        <v>3195</v>
      </c>
      <c r="G1709" s="40" t="s">
        <v>3196</v>
      </c>
      <c r="H1709" s="40" t="s">
        <v>3097</v>
      </c>
      <c r="I1709" s="40" t="str">
        <f>VLOOKUP(Таблица18[[#This Row],[Номер акта]],$AB$1:$AF$2504,3,FALSE)</f>
        <v>А-115/1</v>
      </c>
      <c r="J1709" s="40" t="s">
        <v>909</v>
      </c>
      <c r="K1709" s="40" t="s">
        <v>2939</v>
      </c>
      <c r="L1709" s="121">
        <v>22670</v>
      </c>
      <c r="M1709" s="121">
        <v>14240</v>
      </c>
      <c r="N1709" s="121">
        <v>13.5</v>
      </c>
      <c r="O1709" s="363">
        <v>8430</v>
      </c>
      <c r="P1709" s="363">
        <v>7292</v>
      </c>
      <c r="Q1709" s="121">
        <v>2026</v>
      </c>
      <c r="R1709" s="121">
        <v>325</v>
      </c>
      <c r="S1709" s="148">
        <v>46191</v>
      </c>
      <c r="T1709" s="363">
        <f>Таблица18[[#This Row],[Вес нетто]]-Таблица18[[#This Row],[Зачетный вес]]</f>
        <v>1138</v>
      </c>
      <c r="U1709" s="392">
        <f>Таблица18[[#This Row],[Отход]]/Таблица18[[#This Row],[Вес нетто]]</f>
        <v>0.13499406880189799</v>
      </c>
      <c r="V1709" s="121">
        <f>MONTH(Таблица18[[#This Row],[Дата акта]])</f>
        <v>6</v>
      </c>
      <c r="W1709" s="121">
        <f>DAY(Таблица18[[#This Row],[Дата акта]])</f>
        <v>18</v>
      </c>
      <c r="X1709" s="148">
        <f>DATE(1900,Таблица18[[#This Row],[Месяц]],Таблица18[[#This Row],[Число]])</f>
        <v>170</v>
      </c>
      <c r="Y1709" s="121"/>
      <c r="Z1709" s="121" t="str">
        <f>Таблица18[[#This Row],[Хар-ка]]</f>
        <v>Высший</v>
      </c>
      <c r="AA1709"/>
      <c r="AB1709">
        <v>325</v>
      </c>
      <c r="AC1709"/>
      <c r="AD1709" s="460" t="s">
        <v>3097</v>
      </c>
      <c r="AE1709" t="s">
        <v>909</v>
      </c>
      <c r="AF1709" t="s">
        <v>46</v>
      </c>
    </row>
    <row r="1710" spans="1:32" s="465" customFormat="1" ht="33.75" x14ac:dyDescent="0.25">
      <c r="A1710" s="40" t="s">
        <v>3408</v>
      </c>
      <c r="B1710" s="360" t="s">
        <v>2940</v>
      </c>
      <c r="C1710" s="40">
        <v>433</v>
      </c>
      <c r="D1710" s="40">
        <v>294</v>
      </c>
      <c r="E1710" s="40" t="s">
        <v>2964</v>
      </c>
      <c r="F1710" s="40" t="s">
        <v>737</v>
      </c>
      <c r="G1710" s="40" t="s">
        <v>738</v>
      </c>
      <c r="H1710" s="40" t="s">
        <v>3300</v>
      </c>
      <c r="I1710" s="40" t="str">
        <f>VLOOKUP(Таблица18[[#This Row],[Номер акта]],$AB$1:$AF$2504,3,FALSE)</f>
        <v>А-105/1</v>
      </c>
      <c r="J1710" s="40" t="s">
        <v>1755</v>
      </c>
      <c r="K1710" s="40" t="s">
        <v>2939</v>
      </c>
      <c r="L1710" s="121">
        <v>10260</v>
      </c>
      <c r="M1710" s="121">
        <v>4630</v>
      </c>
      <c r="N1710" s="121">
        <v>16.5</v>
      </c>
      <c r="O1710" s="363">
        <v>5630</v>
      </c>
      <c r="P1710" s="363">
        <v>4701</v>
      </c>
      <c r="Q1710" s="121">
        <v>2026</v>
      </c>
      <c r="R1710" s="121">
        <v>327</v>
      </c>
      <c r="S1710" s="148">
        <v>46191</v>
      </c>
      <c r="T1710" s="363">
        <f>Таблица18[[#This Row],[Вес нетто]]-Таблица18[[#This Row],[Зачетный вес]]</f>
        <v>929</v>
      </c>
      <c r="U1710" s="392">
        <f>Таблица18[[#This Row],[Отход]]/Таблица18[[#This Row],[Вес нетто]]</f>
        <v>0.1650088809946714</v>
      </c>
      <c r="V1710" s="121">
        <f>MONTH(Таблица18[[#This Row],[Дата акта]])</f>
        <v>6</v>
      </c>
      <c r="W1710" s="121">
        <f>DAY(Таблица18[[#This Row],[Дата акта]])</f>
        <v>18</v>
      </c>
      <c r="X1710" s="148">
        <f>DATE(1900,Таблица18[[#This Row],[Месяц]],Таблица18[[#This Row],[Число]])</f>
        <v>170</v>
      </c>
      <c r="Y1710" s="121"/>
      <c r="Z1710" s="121" t="str">
        <f>Таблица18[[#This Row],[Хар-ка]]</f>
        <v>Высший</v>
      </c>
      <c r="AA1710"/>
      <c r="AB1710">
        <v>327</v>
      </c>
      <c r="AC1710"/>
      <c r="AD1710" s="460" t="s">
        <v>3093</v>
      </c>
      <c r="AE1710" t="s">
        <v>1755</v>
      </c>
      <c r="AF1710" t="s">
        <v>46</v>
      </c>
    </row>
    <row r="1711" spans="1:32" s="465" customFormat="1" ht="33.75" x14ac:dyDescent="0.25">
      <c r="A1711" s="40" t="s">
        <v>3387</v>
      </c>
      <c r="B1711" s="360" t="s">
        <v>2940</v>
      </c>
      <c r="C1711" s="40">
        <v>434</v>
      </c>
      <c r="D1711" s="40">
        <v>295</v>
      </c>
      <c r="E1711" s="40" t="s">
        <v>2964</v>
      </c>
      <c r="F1711" s="40" t="s">
        <v>329</v>
      </c>
      <c r="G1711" s="40" t="s">
        <v>333</v>
      </c>
      <c r="H1711" s="40" t="s">
        <v>3097</v>
      </c>
      <c r="I1711" s="40" t="str">
        <f>VLOOKUP(Таблица18[[#This Row],[Номер акта]],$AB$1:$AF$2504,3,FALSE)</f>
        <v>А-115/1</v>
      </c>
      <c r="J1711" s="40" t="s">
        <v>909</v>
      </c>
      <c r="K1711" s="40" t="s">
        <v>2939</v>
      </c>
      <c r="L1711" s="121">
        <v>28140</v>
      </c>
      <c r="M1711" s="121">
        <v>15090</v>
      </c>
      <c r="N1711" s="121">
        <v>9.5</v>
      </c>
      <c r="O1711" s="363">
        <v>13050</v>
      </c>
      <c r="P1711" s="363">
        <v>11810.3</v>
      </c>
      <c r="Q1711" s="121">
        <v>2026</v>
      </c>
      <c r="R1711" s="121">
        <v>328</v>
      </c>
      <c r="S1711" s="148">
        <v>46191</v>
      </c>
      <c r="T1711" s="363">
        <f>Таблица18[[#This Row],[Вес нетто]]-Таблица18[[#This Row],[Зачетный вес]]</f>
        <v>1239.7000000000007</v>
      </c>
      <c r="U1711" s="392">
        <f>Таблица18[[#This Row],[Отход]]/Таблица18[[#This Row],[Вес нетто]]</f>
        <v>9.4996168582375529E-2</v>
      </c>
      <c r="V1711" s="121">
        <f>MONTH(Таблица18[[#This Row],[Дата акта]])</f>
        <v>6</v>
      </c>
      <c r="W1711" s="121">
        <f>DAY(Таблица18[[#This Row],[Дата акта]])</f>
        <v>18</v>
      </c>
      <c r="X1711" s="148">
        <f>DATE(1900,Таблица18[[#This Row],[Месяц]],Таблица18[[#This Row],[Число]])</f>
        <v>170</v>
      </c>
      <c r="Y1711" s="121"/>
      <c r="Z1711" s="121" t="str">
        <f>Таблица18[[#This Row],[Хар-ка]]</f>
        <v>Высший</v>
      </c>
      <c r="AA1711"/>
      <c r="AB1711">
        <v>328</v>
      </c>
      <c r="AC1711"/>
      <c r="AD1711" s="460" t="s">
        <v>3097</v>
      </c>
      <c r="AE1711" t="s">
        <v>909</v>
      </c>
      <c r="AF1711" t="s">
        <v>46</v>
      </c>
    </row>
    <row r="1712" spans="1:32" s="465" customFormat="1" ht="22.5" x14ac:dyDescent="0.25">
      <c r="A1712" s="40" t="s">
        <v>3422</v>
      </c>
      <c r="B1712" s="360" t="s">
        <v>2940</v>
      </c>
      <c r="C1712" s="40">
        <v>435</v>
      </c>
      <c r="D1712" s="40">
        <v>296</v>
      </c>
      <c r="E1712" s="40" t="s">
        <v>2964</v>
      </c>
      <c r="F1712" s="40" t="s">
        <v>127</v>
      </c>
      <c r="G1712" s="40" t="s">
        <v>131</v>
      </c>
      <c r="H1712" s="40" t="s">
        <v>3550</v>
      </c>
      <c r="I1712" s="40" t="str">
        <f>VLOOKUP(Таблица18[[#This Row],[Номер акта]],$AB$1:$AF$2504,3,FALSE)</f>
        <v>А-115/1</v>
      </c>
      <c r="J1712" s="40" t="s">
        <v>909</v>
      </c>
      <c r="K1712" s="40" t="s">
        <v>2939</v>
      </c>
      <c r="L1712" s="121">
        <v>27350</v>
      </c>
      <c r="M1712" s="121">
        <v>14430</v>
      </c>
      <c r="N1712" s="121">
        <v>10.5</v>
      </c>
      <c r="O1712" s="363">
        <v>12920</v>
      </c>
      <c r="P1712" s="363">
        <v>11563.4</v>
      </c>
      <c r="Q1712" s="121">
        <v>2026</v>
      </c>
      <c r="R1712" s="121">
        <v>329</v>
      </c>
      <c r="S1712" s="148">
        <v>46191</v>
      </c>
      <c r="T1712" s="363">
        <f>Таблица18[[#This Row],[Вес нетто]]-Таблица18[[#This Row],[Зачетный вес]]</f>
        <v>1356.6000000000004</v>
      </c>
      <c r="U1712" s="392">
        <f>Таблица18[[#This Row],[Отход]]/Таблица18[[#This Row],[Вес нетто]]</f>
        <v>0.10500000000000002</v>
      </c>
      <c r="V1712" s="121">
        <f>MONTH(Таблица18[[#This Row],[Дата акта]])</f>
        <v>6</v>
      </c>
      <c r="W1712" s="121">
        <f>DAY(Таблица18[[#This Row],[Дата акта]])</f>
        <v>18</v>
      </c>
      <c r="X1712" s="148">
        <f>DATE(1900,Таблица18[[#This Row],[Месяц]],Таблица18[[#This Row],[Число]])</f>
        <v>170</v>
      </c>
      <c r="Y1712" s="121"/>
      <c r="Z1712" s="121" t="str">
        <f>Таблица18[[#This Row],[Хар-ка]]</f>
        <v>Высший</v>
      </c>
      <c r="AA1712"/>
      <c r="AB1712">
        <v>329</v>
      </c>
      <c r="AC1712"/>
      <c r="AD1712" s="460" t="s">
        <v>3097</v>
      </c>
      <c r="AE1712" t="s">
        <v>909</v>
      </c>
      <c r="AF1712" t="s">
        <v>46</v>
      </c>
    </row>
    <row r="1713" spans="1:32" s="465" customFormat="1" ht="33.75" x14ac:dyDescent="0.25">
      <c r="A1713" s="40" t="s">
        <v>3406</v>
      </c>
      <c r="B1713" s="360" t="s">
        <v>2940</v>
      </c>
      <c r="C1713" s="40">
        <v>436</v>
      </c>
      <c r="D1713" s="40">
        <v>297</v>
      </c>
      <c r="E1713" s="40" t="s">
        <v>2964</v>
      </c>
      <c r="F1713" s="40" t="s">
        <v>3195</v>
      </c>
      <c r="G1713" s="40" t="s">
        <v>3196</v>
      </c>
      <c r="H1713" s="40" t="s">
        <v>3097</v>
      </c>
      <c r="I1713" s="40" t="str">
        <f>VLOOKUP(Таблица18[[#This Row],[Номер акта]],$AB$1:$AF$2504,3,FALSE)</f>
        <v>А-115/1</v>
      </c>
      <c r="J1713" s="40" t="s">
        <v>909</v>
      </c>
      <c r="K1713" s="40" t="s">
        <v>2939</v>
      </c>
      <c r="L1713" s="121">
        <v>27080</v>
      </c>
      <c r="M1713" s="121">
        <v>14230</v>
      </c>
      <c r="N1713" s="121">
        <v>12.5</v>
      </c>
      <c r="O1713" s="363">
        <v>12850</v>
      </c>
      <c r="P1713" s="363">
        <v>11243.8</v>
      </c>
      <c r="Q1713" s="121">
        <v>2026</v>
      </c>
      <c r="R1713" s="121">
        <v>330</v>
      </c>
      <c r="S1713" s="148">
        <v>46191</v>
      </c>
      <c r="T1713" s="363">
        <f>Таблица18[[#This Row],[Вес нетто]]-Таблица18[[#This Row],[Зачетный вес]]</f>
        <v>1606.2000000000007</v>
      </c>
      <c r="U1713" s="392">
        <f>Таблица18[[#This Row],[Отход]]/Таблица18[[#This Row],[Вес нетто]]</f>
        <v>0.1249961089494164</v>
      </c>
      <c r="V1713" s="121">
        <f>MONTH(Таблица18[[#This Row],[Дата акта]])</f>
        <v>6</v>
      </c>
      <c r="W1713" s="121">
        <f>DAY(Таблица18[[#This Row],[Дата акта]])</f>
        <v>18</v>
      </c>
      <c r="X1713" s="148">
        <f>DATE(1900,Таблица18[[#This Row],[Месяц]],Таблица18[[#This Row],[Число]])</f>
        <v>170</v>
      </c>
      <c r="Y1713" s="121"/>
      <c r="Z1713" s="121" t="str">
        <f>Таблица18[[#This Row],[Хар-ка]]</f>
        <v>Высший</v>
      </c>
      <c r="AA1713"/>
      <c r="AB1713">
        <v>330</v>
      </c>
      <c r="AC1713"/>
      <c r="AD1713" s="460" t="s">
        <v>3097</v>
      </c>
      <c r="AE1713" t="s">
        <v>909</v>
      </c>
      <c r="AF1713" t="s">
        <v>46</v>
      </c>
    </row>
    <row r="1714" spans="1:32" s="465" customFormat="1" ht="33.75" x14ac:dyDescent="0.25">
      <c r="A1714" s="40" t="s">
        <v>3389</v>
      </c>
      <c r="B1714" s="360" t="s">
        <v>2940</v>
      </c>
      <c r="C1714" s="40">
        <v>437</v>
      </c>
      <c r="D1714" s="40">
        <v>298</v>
      </c>
      <c r="E1714" s="40" t="s">
        <v>2964</v>
      </c>
      <c r="F1714" s="40" t="s">
        <v>737</v>
      </c>
      <c r="G1714" s="40" t="s">
        <v>738</v>
      </c>
      <c r="H1714" s="40" t="s">
        <v>3097</v>
      </c>
      <c r="I1714" s="40" t="str">
        <f>VLOOKUP(Таблица18[[#This Row],[Номер акта]],$AB$1:$AF$2504,3,FALSE)</f>
        <v>А-115/1</v>
      </c>
      <c r="J1714" s="40" t="s">
        <v>909</v>
      </c>
      <c r="K1714" s="40" t="s">
        <v>2939</v>
      </c>
      <c r="L1714" s="121">
        <v>9080</v>
      </c>
      <c r="M1714" s="121">
        <v>4630</v>
      </c>
      <c r="N1714" s="121">
        <v>16.5</v>
      </c>
      <c r="O1714" s="363">
        <v>4450</v>
      </c>
      <c r="P1714" s="363">
        <v>3715.8</v>
      </c>
      <c r="Q1714" s="121">
        <v>2026</v>
      </c>
      <c r="R1714" s="121">
        <v>331</v>
      </c>
      <c r="S1714" s="148">
        <v>46191</v>
      </c>
      <c r="T1714" s="363">
        <f>Таблица18[[#This Row],[Вес нетто]]-Таблица18[[#This Row],[Зачетный вес]]</f>
        <v>734.19999999999982</v>
      </c>
      <c r="U1714" s="392">
        <f>Таблица18[[#This Row],[Отход]]/Таблица18[[#This Row],[Вес нетто]]</f>
        <v>0.16498876404494378</v>
      </c>
      <c r="V1714" s="121">
        <f>MONTH(Таблица18[[#This Row],[Дата акта]])</f>
        <v>6</v>
      </c>
      <c r="W1714" s="121">
        <f>DAY(Таблица18[[#This Row],[Дата акта]])</f>
        <v>18</v>
      </c>
      <c r="X1714" s="148">
        <f>DATE(1900,Таблица18[[#This Row],[Месяц]],Таблица18[[#This Row],[Число]])</f>
        <v>170</v>
      </c>
      <c r="Y1714" s="121"/>
      <c r="Z1714" s="121" t="str">
        <f>Таблица18[[#This Row],[Хар-ка]]</f>
        <v>Высший</v>
      </c>
      <c r="AA1714"/>
      <c r="AB1714">
        <v>331</v>
      </c>
      <c r="AC1714"/>
      <c r="AD1714" s="460" t="s">
        <v>3097</v>
      </c>
      <c r="AE1714" t="s">
        <v>909</v>
      </c>
      <c r="AF1714" t="s">
        <v>46</v>
      </c>
    </row>
    <row r="1715" spans="1:32" s="465" customFormat="1" ht="33.75" x14ac:dyDescent="0.25">
      <c r="A1715" s="40" t="s">
        <v>3409</v>
      </c>
      <c r="B1715" s="360" t="s">
        <v>2940</v>
      </c>
      <c r="C1715" s="40">
        <v>438</v>
      </c>
      <c r="D1715" s="40">
        <v>299</v>
      </c>
      <c r="E1715" s="40" t="s">
        <v>2964</v>
      </c>
      <c r="F1715" s="40" t="s">
        <v>195</v>
      </c>
      <c r="G1715" s="40" t="s">
        <v>199</v>
      </c>
      <c r="H1715" s="40" t="s">
        <v>3097</v>
      </c>
      <c r="I1715" s="40" t="str">
        <f>VLOOKUP(Таблица18[[#This Row],[Номер акта]],$AB$1:$AF$2504,3,FALSE)</f>
        <v>А-115/1</v>
      </c>
      <c r="J1715" s="40" t="s">
        <v>909</v>
      </c>
      <c r="K1715" s="40" t="s">
        <v>2939</v>
      </c>
      <c r="L1715" s="121">
        <v>28460</v>
      </c>
      <c r="M1715" s="121">
        <v>15290</v>
      </c>
      <c r="N1715" s="121">
        <v>10.5</v>
      </c>
      <c r="O1715" s="363">
        <v>13170</v>
      </c>
      <c r="P1715" s="363">
        <v>11787.2</v>
      </c>
      <c r="Q1715" s="121">
        <v>2026</v>
      </c>
      <c r="R1715" s="121">
        <v>332</v>
      </c>
      <c r="S1715" s="148">
        <v>46192</v>
      </c>
      <c r="T1715" s="363">
        <f>Таблица18[[#This Row],[Вес нетто]]-Таблица18[[#This Row],[Зачетный вес]]</f>
        <v>1382.7999999999993</v>
      </c>
      <c r="U1715" s="392">
        <f>Таблица18[[#This Row],[Отход]]/Таблица18[[#This Row],[Вес нетто]]</f>
        <v>0.10499620349278659</v>
      </c>
      <c r="V1715" s="121">
        <f>MONTH(Таблица18[[#This Row],[Дата акта]])</f>
        <v>6</v>
      </c>
      <c r="W1715" s="121">
        <f>DAY(Таблица18[[#This Row],[Дата акта]])</f>
        <v>19</v>
      </c>
      <c r="X1715" s="148">
        <f>DATE(1900,Таблица18[[#This Row],[Месяц]],Таблица18[[#This Row],[Число]])</f>
        <v>171</v>
      </c>
      <c r="Y1715" s="121"/>
      <c r="Z1715" s="121" t="str">
        <f>Таблица18[[#This Row],[Хар-ка]]</f>
        <v>Высший</v>
      </c>
      <c r="AA1715"/>
      <c r="AB1715">
        <v>332</v>
      </c>
      <c r="AC1715"/>
      <c r="AD1715" s="460" t="s">
        <v>3097</v>
      </c>
      <c r="AE1715" t="s">
        <v>909</v>
      </c>
      <c r="AF1715" t="s">
        <v>46</v>
      </c>
    </row>
    <row r="1716" spans="1:32" s="465" customFormat="1" ht="33.75" x14ac:dyDescent="0.25">
      <c r="A1716" s="40" t="s">
        <v>3418</v>
      </c>
      <c r="B1716" s="360" t="s">
        <v>2940</v>
      </c>
      <c r="C1716" s="40">
        <v>439</v>
      </c>
      <c r="D1716" s="40">
        <v>300</v>
      </c>
      <c r="E1716" s="40" t="s">
        <v>2964</v>
      </c>
      <c r="F1716" s="40" t="s">
        <v>329</v>
      </c>
      <c r="G1716" s="40" t="s">
        <v>333</v>
      </c>
      <c r="H1716" s="40" t="s">
        <v>3550</v>
      </c>
      <c r="I1716" s="40" t="str">
        <f>VLOOKUP(Таблица18[[#This Row],[Номер акта]],$AB$1:$AF$2504,3,FALSE)</f>
        <v>А-115/1</v>
      </c>
      <c r="J1716" s="40" t="s">
        <v>909</v>
      </c>
      <c r="K1716" s="40" t="s">
        <v>2939</v>
      </c>
      <c r="L1716" s="121">
        <v>27860</v>
      </c>
      <c r="M1716" s="121">
        <v>14990</v>
      </c>
      <c r="N1716" s="121">
        <v>12.5</v>
      </c>
      <c r="O1716" s="363">
        <v>12870</v>
      </c>
      <c r="P1716" s="363">
        <v>11261.2</v>
      </c>
      <c r="Q1716" s="121">
        <v>2026</v>
      </c>
      <c r="R1716" s="121">
        <v>333</v>
      </c>
      <c r="S1716" s="148">
        <v>46192</v>
      </c>
      <c r="T1716" s="363">
        <f>Таблица18[[#This Row],[Вес нетто]]-Таблица18[[#This Row],[Зачетный вес]]</f>
        <v>1608.7999999999993</v>
      </c>
      <c r="U1716" s="392">
        <f>Таблица18[[#This Row],[Отход]]/Таблица18[[#This Row],[Вес нетто]]</f>
        <v>0.12500388500388496</v>
      </c>
      <c r="V1716" s="121">
        <f>MONTH(Таблица18[[#This Row],[Дата акта]])</f>
        <v>6</v>
      </c>
      <c r="W1716" s="121">
        <f>DAY(Таблица18[[#This Row],[Дата акта]])</f>
        <v>19</v>
      </c>
      <c r="X1716" s="148">
        <f>DATE(1900,Таблица18[[#This Row],[Месяц]],Таблица18[[#This Row],[Число]])</f>
        <v>171</v>
      </c>
      <c r="Y1716" s="121"/>
      <c r="Z1716" s="121" t="str">
        <f>Таблица18[[#This Row],[Хар-ка]]</f>
        <v>Высший</v>
      </c>
      <c r="AA1716"/>
      <c r="AB1716">
        <v>333</v>
      </c>
      <c r="AC1716"/>
      <c r="AD1716" s="460" t="s">
        <v>3097</v>
      </c>
      <c r="AE1716" t="s">
        <v>909</v>
      </c>
      <c r="AF1716" t="s">
        <v>46</v>
      </c>
    </row>
    <row r="1717" spans="1:32" s="465" customFormat="1" ht="22.5" x14ac:dyDescent="0.25">
      <c r="A1717" s="40" t="s">
        <v>3393</v>
      </c>
      <c r="B1717" s="360" t="s">
        <v>2940</v>
      </c>
      <c r="C1717" s="40">
        <v>440</v>
      </c>
      <c r="D1717" s="40">
        <v>301</v>
      </c>
      <c r="E1717" s="40" t="s">
        <v>2964</v>
      </c>
      <c r="F1717" s="40" t="s">
        <v>127</v>
      </c>
      <c r="G1717" s="40" t="s">
        <v>131</v>
      </c>
      <c r="H1717" s="40" t="s">
        <v>3550</v>
      </c>
      <c r="I1717" s="40" t="str">
        <f>VLOOKUP(Таблица18[[#This Row],[Номер акта]],$AB$1:$AF$2504,3,FALSE)</f>
        <v>А-115/1</v>
      </c>
      <c r="J1717" s="40" t="s">
        <v>909</v>
      </c>
      <c r="K1717" s="40" t="s">
        <v>2939</v>
      </c>
      <c r="L1717" s="121">
        <v>27290</v>
      </c>
      <c r="M1717" s="121">
        <v>14430</v>
      </c>
      <c r="N1717" s="121">
        <v>17.5</v>
      </c>
      <c r="O1717" s="363">
        <v>12860</v>
      </c>
      <c r="P1717" s="363">
        <v>10609.5</v>
      </c>
      <c r="Q1717" s="121">
        <v>2026</v>
      </c>
      <c r="R1717" s="121">
        <v>334</v>
      </c>
      <c r="S1717" s="148">
        <v>46192</v>
      </c>
      <c r="T1717" s="363">
        <f>Таблица18[[#This Row],[Вес нетто]]-Таблица18[[#This Row],[Зачетный вес]]</f>
        <v>2250.5</v>
      </c>
      <c r="U1717" s="392">
        <f>Таблица18[[#This Row],[Отход]]/Таблица18[[#This Row],[Вес нетто]]</f>
        <v>0.17499999999999999</v>
      </c>
      <c r="V1717" s="121">
        <f>MONTH(Таблица18[[#This Row],[Дата акта]])</f>
        <v>6</v>
      </c>
      <c r="W1717" s="121">
        <f>DAY(Таблица18[[#This Row],[Дата акта]])</f>
        <v>19</v>
      </c>
      <c r="X1717" s="148">
        <f>DATE(1900,Таблица18[[#This Row],[Месяц]],Таблица18[[#This Row],[Число]])</f>
        <v>171</v>
      </c>
      <c r="Y1717" s="121"/>
      <c r="Z1717" s="121" t="str">
        <f>Таблица18[[#This Row],[Хар-ка]]</f>
        <v>Высший</v>
      </c>
      <c r="AA1717"/>
      <c r="AB1717">
        <v>334</v>
      </c>
      <c r="AC1717"/>
      <c r="AD1717" s="460" t="s">
        <v>3097</v>
      </c>
      <c r="AE1717" t="s">
        <v>909</v>
      </c>
      <c r="AF1717" t="s">
        <v>46</v>
      </c>
    </row>
    <row r="1718" spans="1:32" s="465" customFormat="1" ht="22.5" x14ac:dyDescent="0.25">
      <c r="A1718" s="40" t="s">
        <v>3410</v>
      </c>
      <c r="B1718" s="360" t="s">
        <v>2940</v>
      </c>
      <c r="C1718" s="40">
        <v>441</v>
      </c>
      <c r="D1718" s="40">
        <v>302</v>
      </c>
      <c r="E1718" s="40" t="s">
        <v>2964</v>
      </c>
      <c r="F1718" s="40" t="s">
        <v>3377</v>
      </c>
      <c r="G1718" s="40" t="s">
        <v>3196</v>
      </c>
      <c r="H1718" s="40" t="s">
        <v>3097</v>
      </c>
      <c r="I1718" s="40" t="str">
        <f>VLOOKUP(Таблица18[[#This Row],[Номер акта]],$AB$1:$AF$2504,3,FALSE)</f>
        <v>А-115/1</v>
      </c>
      <c r="J1718" s="40" t="s">
        <v>909</v>
      </c>
      <c r="K1718" s="40" t="s">
        <v>2939</v>
      </c>
      <c r="L1718" s="121">
        <v>26700</v>
      </c>
      <c r="M1718" s="121">
        <v>14210</v>
      </c>
      <c r="N1718" s="121">
        <v>14.5</v>
      </c>
      <c r="O1718" s="363">
        <v>12490</v>
      </c>
      <c r="P1718" s="363">
        <v>10679</v>
      </c>
      <c r="Q1718" s="121">
        <v>2026</v>
      </c>
      <c r="R1718" s="121">
        <v>336</v>
      </c>
      <c r="S1718" s="148">
        <v>46192</v>
      </c>
      <c r="T1718" s="363">
        <f>Таблица18[[#This Row],[Вес нетто]]-Таблица18[[#This Row],[Зачетный вес]]</f>
        <v>1811</v>
      </c>
      <c r="U1718" s="392">
        <f>Таблица18[[#This Row],[Отход]]/Таблица18[[#This Row],[Вес нетто]]</f>
        <v>0.14499599679743794</v>
      </c>
      <c r="V1718" s="121">
        <f>MONTH(Таблица18[[#This Row],[Дата акта]])</f>
        <v>6</v>
      </c>
      <c r="W1718" s="121">
        <f>DAY(Таблица18[[#This Row],[Дата акта]])</f>
        <v>19</v>
      </c>
      <c r="X1718" s="148">
        <f>DATE(1900,Таблица18[[#This Row],[Месяц]],Таблица18[[#This Row],[Число]])</f>
        <v>171</v>
      </c>
      <c r="Y1718" s="121"/>
      <c r="Z1718" s="121" t="str">
        <f>Таблица18[[#This Row],[Хар-ка]]</f>
        <v>Высший</v>
      </c>
      <c r="AA1718"/>
      <c r="AB1718">
        <v>336</v>
      </c>
      <c r="AC1718"/>
      <c r="AD1718" s="460" t="s">
        <v>3097</v>
      </c>
      <c r="AE1718" t="s">
        <v>909</v>
      </c>
      <c r="AF1718" t="s">
        <v>46</v>
      </c>
    </row>
    <row r="1719" spans="1:32" s="465" customFormat="1" ht="33.75" x14ac:dyDescent="0.25">
      <c r="A1719" s="40" t="s">
        <v>3419</v>
      </c>
      <c r="B1719" s="360" t="s">
        <v>2940</v>
      </c>
      <c r="C1719" s="40">
        <v>442</v>
      </c>
      <c r="D1719" s="40">
        <v>303</v>
      </c>
      <c r="E1719" s="40" t="s">
        <v>2964</v>
      </c>
      <c r="F1719" s="40" t="s">
        <v>737</v>
      </c>
      <c r="G1719" s="40" t="s">
        <v>738</v>
      </c>
      <c r="H1719" s="40" t="s">
        <v>3097</v>
      </c>
      <c r="I1719" s="40" t="str">
        <f>VLOOKUP(Таблица18[[#This Row],[Номер акта]],$AB$1:$AF$2504,3,FALSE)</f>
        <v>А-115/1</v>
      </c>
      <c r="J1719" s="40" t="s">
        <v>909</v>
      </c>
      <c r="K1719" s="40" t="s">
        <v>2939</v>
      </c>
      <c r="L1719" s="121">
        <v>8740</v>
      </c>
      <c r="M1719" s="121">
        <v>4620</v>
      </c>
      <c r="N1719" s="121">
        <v>9.5</v>
      </c>
      <c r="O1719" s="363">
        <v>4120</v>
      </c>
      <c r="P1719" s="363">
        <v>3728.6</v>
      </c>
      <c r="Q1719" s="121">
        <v>2026</v>
      </c>
      <c r="R1719" s="121">
        <v>335</v>
      </c>
      <c r="S1719" s="148">
        <v>46192</v>
      </c>
      <c r="T1719" s="363">
        <f>Таблица18[[#This Row],[Вес нетто]]-Таблица18[[#This Row],[Зачетный вес]]</f>
        <v>391.40000000000009</v>
      </c>
      <c r="U1719" s="392">
        <f>Таблица18[[#This Row],[Отход]]/Таблица18[[#This Row],[Вес нетто]]</f>
        <v>9.5000000000000029E-2</v>
      </c>
      <c r="V1719" s="121">
        <f>MONTH(Таблица18[[#This Row],[Дата акта]])</f>
        <v>6</v>
      </c>
      <c r="W1719" s="121">
        <f>DAY(Таблица18[[#This Row],[Дата акта]])</f>
        <v>19</v>
      </c>
      <c r="X1719" s="148">
        <f>DATE(1900,Таблица18[[#This Row],[Месяц]],Таблица18[[#This Row],[Число]])</f>
        <v>171</v>
      </c>
      <c r="Y1719" s="121"/>
      <c r="Z1719" s="121" t="str">
        <f>Таблица18[[#This Row],[Хар-ка]]</f>
        <v>Высший</v>
      </c>
      <c r="AA1719"/>
      <c r="AB1719">
        <v>335</v>
      </c>
      <c r="AC1719"/>
      <c r="AD1719" s="460" t="s">
        <v>3097</v>
      </c>
      <c r="AE1719" t="s">
        <v>909</v>
      </c>
      <c r="AF1719" t="s">
        <v>46</v>
      </c>
    </row>
    <row r="1720" spans="1:32" s="465" customFormat="1" ht="33.75" x14ac:dyDescent="0.25">
      <c r="A1720" s="40" t="s">
        <v>3412</v>
      </c>
      <c r="B1720" s="360" t="s">
        <v>2940</v>
      </c>
      <c r="C1720" s="40">
        <v>443</v>
      </c>
      <c r="D1720" s="40">
        <v>304</v>
      </c>
      <c r="E1720" s="40" t="s">
        <v>2964</v>
      </c>
      <c r="F1720" s="40" t="s">
        <v>195</v>
      </c>
      <c r="G1720" s="40" t="s">
        <v>199</v>
      </c>
      <c r="H1720" s="40" t="s">
        <v>3097</v>
      </c>
      <c r="I1720" s="40" t="str">
        <f>VLOOKUP(Таблица18[[#This Row],[Номер акта]],$AB$1:$AF$2504,3,FALSE)</f>
        <v>А-115/1</v>
      </c>
      <c r="J1720" s="40" t="s">
        <v>909</v>
      </c>
      <c r="K1720" s="40" t="s">
        <v>2939</v>
      </c>
      <c r="L1720" s="121">
        <v>28110</v>
      </c>
      <c r="M1720" s="121">
        <v>15270</v>
      </c>
      <c r="N1720" s="121">
        <v>14.5</v>
      </c>
      <c r="O1720" s="363">
        <v>12840</v>
      </c>
      <c r="P1720" s="363">
        <v>10978.2</v>
      </c>
      <c r="Q1720" s="121">
        <v>2026</v>
      </c>
      <c r="R1720" s="121">
        <v>337</v>
      </c>
      <c r="S1720" s="148">
        <v>46192</v>
      </c>
      <c r="T1720" s="363">
        <f>Таблица18[[#This Row],[Вес нетто]]-Таблица18[[#This Row],[Зачетный вес]]</f>
        <v>1861.7999999999993</v>
      </c>
      <c r="U1720" s="392">
        <f>Таблица18[[#This Row],[Отход]]/Таблица18[[#This Row],[Вес нетто]]</f>
        <v>0.14499999999999993</v>
      </c>
      <c r="V1720" s="121">
        <f>MONTH(Таблица18[[#This Row],[Дата акта]])</f>
        <v>6</v>
      </c>
      <c r="W1720" s="121">
        <f>DAY(Таблица18[[#This Row],[Дата акта]])</f>
        <v>19</v>
      </c>
      <c r="X1720" s="148">
        <f>DATE(1900,Таблица18[[#This Row],[Месяц]],Таблица18[[#This Row],[Число]])</f>
        <v>171</v>
      </c>
      <c r="Y1720" s="121"/>
      <c r="Z1720" s="121" t="str">
        <f>Таблица18[[#This Row],[Хар-ка]]</f>
        <v>Высший</v>
      </c>
      <c r="AA1720"/>
      <c r="AB1720">
        <v>337</v>
      </c>
      <c r="AC1720"/>
      <c r="AD1720" s="460" t="s">
        <v>3097</v>
      </c>
      <c r="AE1720" t="s">
        <v>909</v>
      </c>
      <c r="AF1720" t="s">
        <v>46</v>
      </c>
    </row>
    <row r="1721" spans="1:32" s="465" customFormat="1" ht="33.75" x14ac:dyDescent="0.25">
      <c r="A1721" s="40" t="s">
        <v>3415</v>
      </c>
      <c r="B1721" s="360" t="s">
        <v>2940</v>
      </c>
      <c r="C1721" s="40">
        <v>444</v>
      </c>
      <c r="D1721" s="40">
        <v>305</v>
      </c>
      <c r="E1721" s="40" t="s">
        <v>2964</v>
      </c>
      <c r="F1721" s="40" t="s">
        <v>329</v>
      </c>
      <c r="G1721" s="40" t="s">
        <v>333</v>
      </c>
      <c r="H1721" s="40" t="s">
        <v>3097</v>
      </c>
      <c r="I1721" s="40" t="str">
        <f>VLOOKUP(Таблица18[[#This Row],[Номер акта]],$AB$1:$AF$2504,3,FALSE)</f>
        <v>А-115/1</v>
      </c>
      <c r="J1721" s="40" t="s">
        <v>909</v>
      </c>
      <c r="K1721" s="40" t="s">
        <v>2939</v>
      </c>
      <c r="L1721" s="121">
        <v>28620</v>
      </c>
      <c r="M1721" s="121">
        <v>14980</v>
      </c>
      <c r="N1721" s="121">
        <v>12.5</v>
      </c>
      <c r="O1721" s="363">
        <v>13640</v>
      </c>
      <c r="P1721" s="363">
        <v>11935</v>
      </c>
      <c r="Q1721" s="121">
        <v>2026</v>
      </c>
      <c r="R1721" s="121">
        <v>338</v>
      </c>
      <c r="S1721" s="148">
        <v>46192</v>
      </c>
      <c r="T1721" s="363">
        <f>Таблица18[[#This Row],[Вес нетто]]-Таблица18[[#This Row],[Зачетный вес]]</f>
        <v>1705</v>
      </c>
      <c r="U1721" s="392">
        <f>Таблица18[[#This Row],[Отход]]/Таблица18[[#This Row],[Вес нетто]]</f>
        <v>0.125</v>
      </c>
      <c r="V1721" s="121">
        <f>MONTH(Таблица18[[#This Row],[Дата акта]])</f>
        <v>6</v>
      </c>
      <c r="W1721" s="121">
        <f>DAY(Таблица18[[#This Row],[Дата акта]])</f>
        <v>19</v>
      </c>
      <c r="X1721" s="148">
        <f>DATE(1900,Таблица18[[#This Row],[Месяц]],Таблица18[[#This Row],[Число]])</f>
        <v>171</v>
      </c>
      <c r="Y1721" s="121"/>
      <c r="Z1721" s="121" t="str">
        <f>Таблица18[[#This Row],[Хар-ка]]</f>
        <v>Высший</v>
      </c>
      <c r="AA1721"/>
      <c r="AB1721">
        <v>338</v>
      </c>
      <c r="AC1721"/>
      <c r="AD1721" s="460" t="s">
        <v>3097</v>
      </c>
      <c r="AE1721" t="s">
        <v>909</v>
      </c>
      <c r="AF1721" t="s">
        <v>46</v>
      </c>
    </row>
    <row r="1722" spans="1:32" s="465" customFormat="1" ht="22.5" x14ac:dyDescent="0.25">
      <c r="A1722" s="40" t="s">
        <v>3426</v>
      </c>
      <c r="B1722" s="360" t="s">
        <v>2940</v>
      </c>
      <c r="C1722" s="40">
        <v>447</v>
      </c>
      <c r="D1722" s="40">
        <v>306</v>
      </c>
      <c r="E1722" s="40" t="s">
        <v>2964</v>
      </c>
      <c r="F1722" s="40" t="s">
        <v>3377</v>
      </c>
      <c r="G1722" s="40" t="s">
        <v>3196</v>
      </c>
      <c r="H1722" s="40" t="s">
        <v>3550</v>
      </c>
      <c r="I1722" s="40" t="str">
        <f>VLOOKUP(Таблица18[[#This Row],[Номер акта]],$AB$1:$AF$2504,3,FALSE)</f>
        <v>А-115/1</v>
      </c>
      <c r="J1722" s="40" t="s">
        <v>909</v>
      </c>
      <c r="K1722" s="40" t="s">
        <v>2939</v>
      </c>
      <c r="L1722" s="121">
        <v>29590</v>
      </c>
      <c r="M1722" s="121">
        <v>14210</v>
      </c>
      <c r="N1722" s="121">
        <v>9.5</v>
      </c>
      <c r="O1722" s="363">
        <v>15380</v>
      </c>
      <c r="P1722" s="363">
        <v>13918.9</v>
      </c>
      <c r="Q1722" s="121">
        <v>2026</v>
      </c>
      <c r="R1722" s="121">
        <v>339</v>
      </c>
      <c r="S1722" s="148">
        <v>46192</v>
      </c>
      <c r="T1722" s="363">
        <f>Таблица18[[#This Row],[Вес нетто]]-Таблица18[[#This Row],[Зачетный вес]]</f>
        <v>1461.1000000000004</v>
      </c>
      <c r="U1722" s="392">
        <f>Таблица18[[#This Row],[Отход]]/Таблица18[[#This Row],[Вес нетто]]</f>
        <v>9.5000000000000029E-2</v>
      </c>
      <c r="V1722" s="121">
        <f>MONTH(Таблица18[[#This Row],[Дата акта]])</f>
        <v>6</v>
      </c>
      <c r="W1722" s="121">
        <f>DAY(Таблица18[[#This Row],[Дата акта]])</f>
        <v>19</v>
      </c>
      <c r="X1722" s="148">
        <f>DATE(1900,Таблица18[[#This Row],[Месяц]],Таблица18[[#This Row],[Число]])</f>
        <v>171</v>
      </c>
      <c r="Y1722" s="121"/>
      <c r="Z1722" s="121" t="str">
        <f>Таблица18[[#This Row],[Хар-ка]]</f>
        <v>Высший</v>
      </c>
      <c r="AA1722"/>
      <c r="AB1722">
        <v>339</v>
      </c>
      <c r="AC1722"/>
      <c r="AD1722" s="460" t="s">
        <v>3097</v>
      </c>
      <c r="AE1722" t="s">
        <v>909</v>
      </c>
      <c r="AF1722" t="s">
        <v>46</v>
      </c>
    </row>
    <row r="1723" spans="1:32" s="465" customFormat="1" ht="33.75" x14ac:dyDescent="0.25">
      <c r="A1723" s="40" t="s">
        <v>3435</v>
      </c>
      <c r="B1723" s="360" t="s">
        <v>2940</v>
      </c>
      <c r="C1723" s="40">
        <v>458</v>
      </c>
      <c r="D1723" s="40">
        <v>307</v>
      </c>
      <c r="E1723" s="40" t="s">
        <v>2964</v>
      </c>
      <c r="F1723" s="40" t="s">
        <v>762</v>
      </c>
      <c r="G1723" s="40" t="s">
        <v>763</v>
      </c>
      <c r="H1723" s="40" t="s">
        <v>3092</v>
      </c>
      <c r="I1723" s="40" t="str">
        <f>VLOOKUP(Таблица18[[#This Row],[Номер акта]],$AB$1:$AF$2504,3,FALSE)</f>
        <v>А-104/1</v>
      </c>
      <c r="J1723" s="40" t="s">
        <v>900</v>
      </c>
      <c r="K1723" s="40" t="s">
        <v>2939</v>
      </c>
      <c r="L1723" s="121">
        <v>9230</v>
      </c>
      <c r="M1723" s="121">
        <v>4680</v>
      </c>
      <c r="N1723" s="121">
        <v>10.5</v>
      </c>
      <c r="O1723" s="363">
        <v>4550</v>
      </c>
      <c r="P1723" s="363">
        <v>4072.3</v>
      </c>
      <c r="Q1723" s="121">
        <v>2026</v>
      </c>
      <c r="R1723" s="121">
        <v>343</v>
      </c>
      <c r="S1723" s="148">
        <v>46192</v>
      </c>
      <c r="T1723" s="363">
        <f>Таблица18[[#This Row],[Вес нетто]]-Таблица18[[#This Row],[Зачетный вес]]</f>
        <v>477.69999999999982</v>
      </c>
      <c r="U1723" s="392">
        <f>Таблица18[[#This Row],[Отход]]/Таблица18[[#This Row],[Вес нетто]]</f>
        <v>0.10498901098901095</v>
      </c>
      <c r="V1723" s="121">
        <f>MONTH(Таблица18[[#This Row],[Дата акта]])</f>
        <v>6</v>
      </c>
      <c r="W1723" s="121">
        <f>DAY(Таблица18[[#This Row],[Дата акта]])</f>
        <v>19</v>
      </c>
      <c r="X1723" s="148">
        <f>DATE(1900,Таблица18[[#This Row],[Месяц]],Таблица18[[#This Row],[Число]])</f>
        <v>171</v>
      </c>
      <c r="Y1723" s="121"/>
      <c r="Z1723" s="121" t="str">
        <f>Таблица18[[#This Row],[Хар-ка]]</f>
        <v>Высший</v>
      </c>
      <c r="AA1723"/>
      <c r="AB1723">
        <v>343</v>
      </c>
      <c r="AC1723"/>
      <c r="AD1723" s="460" t="s">
        <v>3092</v>
      </c>
      <c r="AE1723" t="s">
        <v>900</v>
      </c>
      <c r="AF1723" t="s">
        <v>46</v>
      </c>
    </row>
    <row r="1724" spans="1:32" s="465" customFormat="1" ht="33.75" x14ac:dyDescent="0.25">
      <c r="A1724" s="40" t="s">
        <v>3436</v>
      </c>
      <c r="B1724" s="360" t="s">
        <v>2940</v>
      </c>
      <c r="C1724" s="40">
        <v>459</v>
      </c>
      <c r="D1724" s="40">
        <v>308</v>
      </c>
      <c r="E1724" s="40" t="s">
        <v>2964</v>
      </c>
      <c r="F1724" s="40" t="s">
        <v>311</v>
      </c>
      <c r="G1724" s="40" t="s">
        <v>315</v>
      </c>
      <c r="H1724" s="40" t="s">
        <v>3092</v>
      </c>
      <c r="I1724" s="40" t="str">
        <f>VLOOKUP(Таблица18[[#This Row],[Номер акта]],$AB$1:$AF$2504,3,FALSE)</f>
        <v>А-104/1</v>
      </c>
      <c r="J1724" s="40" t="s">
        <v>900</v>
      </c>
      <c r="K1724" s="40" t="s">
        <v>2939</v>
      </c>
      <c r="L1724" s="121">
        <v>21240</v>
      </c>
      <c r="M1724" s="121">
        <v>15090</v>
      </c>
      <c r="N1724" s="121">
        <v>11.5</v>
      </c>
      <c r="O1724" s="363">
        <v>6150</v>
      </c>
      <c r="P1724" s="363">
        <v>5442.8</v>
      </c>
      <c r="Q1724" s="121">
        <v>2026</v>
      </c>
      <c r="R1724" s="121">
        <v>344</v>
      </c>
      <c r="S1724" s="148">
        <v>46192</v>
      </c>
      <c r="T1724" s="363">
        <f>Таблица18[[#This Row],[Вес нетто]]-Таблица18[[#This Row],[Зачетный вес]]</f>
        <v>707.19999999999982</v>
      </c>
      <c r="U1724" s="392">
        <f>Таблица18[[#This Row],[Отход]]/Таблица18[[#This Row],[Вес нетто]]</f>
        <v>0.11499186991869915</v>
      </c>
      <c r="V1724" s="121">
        <f>MONTH(Таблица18[[#This Row],[Дата акта]])</f>
        <v>6</v>
      </c>
      <c r="W1724" s="121">
        <f>DAY(Таблица18[[#This Row],[Дата акта]])</f>
        <v>19</v>
      </c>
      <c r="X1724" s="148">
        <f>DATE(1900,Таблица18[[#This Row],[Месяц]],Таблица18[[#This Row],[Число]])</f>
        <v>171</v>
      </c>
      <c r="Y1724" s="121"/>
      <c r="Z1724" s="121" t="str">
        <f>Таблица18[[#This Row],[Хар-ка]]</f>
        <v>Высший</v>
      </c>
      <c r="AA1724"/>
      <c r="AB1724">
        <v>344</v>
      </c>
      <c r="AC1724"/>
      <c r="AD1724" s="460" t="s">
        <v>3092</v>
      </c>
      <c r="AE1724" t="s">
        <v>900</v>
      </c>
      <c r="AF1724" t="s">
        <v>46</v>
      </c>
    </row>
    <row r="1725" spans="1:32" s="465" customFormat="1" ht="22.5" hidden="1" x14ac:dyDescent="0.25">
      <c r="A1725" s="40" t="s">
        <v>3491</v>
      </c>
      <c r="B1725" s="360" t="s">
        <v>2940</v>
      </c>
      <c r="C1725" s="40">
        <v>460</v>
      </c>
      <c r="D1725" s="40">
        <v>1</v>
      </c>
      <c r="E1725" s="40" t="s">
        <v>3551</v>
      </c>
      <c r="F1725" s="40" t="s">
        <v>212</v>
      </c>
      <c r="G1725" s="40" t="s">
        <v>2965</v>
      </c>
      <c r="H1725" s="40" t="s">
        <v>3114</v>
      </c>
      <c r="I1725" s="40" t="str">
        <f>VLOOKUP(Таблица18[[#This Row],[Номер акта]],$AB$1:$AF$2504,3,FALSE)</f>
        <v>12 Агролидер</v>
      </c>
      <c r="J1725" s="40" t="s">
        <v>909</v>
      </c>
      <c r="K1725" s="40" t="s">
        <v>3464</v>
      </c>
      <c r="L1725" s="121">
        <v>29490</v>
      </c>
      <c r="M1725" s="121">
        <v>15720</v>
      </c>
      <c r="N1725" s="121">
        <v>17.5</v>
      </c>
      <c r="O1725" s="363">
        <v>13770</v>
      </c>
      <c r="P1725" s="363">
        <v>11360.2</v>
      </c>
      <c r="Q1725" s="121">
        <v>2026</v>
      </c>
      <c r="R1725" s="121">
        <v>345</v>
      </c>
      <c r="S1725" s="148">
        <v>46192</v>
      </c>
      <c r="T1725" s="363">
        <f>Таблица18[[#This Row],[Вес нетто]]-Таблица18[[#This Row],[Зачетный вес]]</f>
        <v>2409.7999999999993</v>
      </c>
      <c r="U1725" s="392">
        <f>Таблица18[[#This Row],[Отход]]/Таблица18[[#This Row],[Вес нетто]]</f>
        <v>0.17500363108206241</v>
      </c>
      <c r="V1725" s="121">
        <f>MONTH(Таблица18[[#This Row],[Дата акта]])</f>
        <v>6</v>
      </c>
      <c r="W1725" s="121">
        <f>DAY(Таблица18[[#This Row],[Дата акта]])</f>
        <v>19</v>
      </c>
      <c r="X1725" s="148">
        <f>DATE(1900,Таблица18[[#This Row],[Месяц]],Таблица18[[#This Row],[Число]])</f>
        <v>171</v>
      </c>
      <c r="Y1725" s="121"/>
      <c r="Z1725" s="121" t="str">
        <f>Таблица18[[#This Row],[Хар-ка]]</f>
        <v>Высший</v>
      </c>
      <c r="AA1725"/>
      <c r="AB1725">
        <v>345</v>
      </c>
      <c r="AC1725"/>
      <c r="AD1725" s="460" t="s">
        <v>3114</v>
      </c>
      <c r="AE1725" t="s">
        <v>909</v>
      </c>
      <c r="AF1725" t="s">
        <v>52</v>
      </c>
    </row>
    <row r="1726" spans="1:32" s="465" customFormat="1" ht="33.75" x14ac:dyDescent="0.25">
      <c r="A1726" s="40" t="s">
        <v>3437</v>
      </c>
      <c r="B1726" s="360" t="s">
        <v>2940</v>
      </c>
      <c r="C1726" s="40">
        <v>461</v>
      </c>
      <c r="D1726" s="40">
        <v>309</v>
      </c>
      <c r="E1726" s="40" t="s">
        <v>2964</v>
      </c>
      <c r="F1726" s="40" t="s">
        <v>762</v>
      </c>
      <c r="G1726" s="40" t="s">
        <v>763</v>
      </c>
      <c r="H1726" s="40" t="s">
        <v>3963</v>
      </c>
      <c r="I1726" s="40" t="str">
        <f>VLOOKUP(Таблица18[[#This Row],[Номер акта]],$AB$1:$AF$2504,3,FALSE)</f>
        <v>А-54</v>
      </c>
      <c r="J1726" s="40" t="s">
        <v>1755</v>
      </c>
      <c r="K1726" s="40" t="s">
        <v>3375</v>
      </c>
      <c r="L1726" s="121">
        <v>9260</v>
      </c>
      <c r="M1726" s="121">
        <v>4670</v>
      </c>
      <c r="N1726" s="121">
        <v>15.5</v>
      </c>
      <c r="O1726" s="363">
        <v>4590</v>
      </c>
      <c r="P1726" s="363">
        <v>3878.5</v>
      </c>
      <c r="Q1726" s="121">
        <v>2026</v>
      </c>
      <c r="R1726" s="121">
        <v>346</v>
      </c>
      <c r="S1726" s="148">
        <v>46192</v>
      </c>
      <c r="T1726" s="363">
        <f>Таблица18[[#This Row],[Вес нетто]]-Таблица18[[#This Row],[Зачетный вес]]</f>
        <v>711.5</v>
      </c>
      <c r="U1726" s="392">
        <f>Таблица18[[#This Row],[Отход]]/Таблица18[[#This Row],[Вес нетто]]</f>
        <v>0.15501089324618736</v>
      </c>
      <c r="V1726" s="121">
        <f>MONTH(Таблица18[[#This Row],[Дата акта]])</f>
        <v>6</v>
      </c>
      <c r="W1726" s="121">
        <f>DAY(Таблица18[[#This Row],[Дата акта]])</f>
        <v>19</v>
      </c>
      <c r="X1726" s="148">
        <f>DATE(1900,Таблица18[[#This Row],[Месяц]],Таблица18[[#This Row],[Число]])</f>
        <v>171</v>
      </c>
      <c r="Y1726" s="121"/>
      <c r="Z1726" s="121" t="str">
        <f>Таблица18[[#This Row],[Хар-ка]]</f>
        <v>Высший</v>
      </c>
      <c r="AA1726"/>
      <c r="AB1726">
        <v>346</v>
      </c>
      <c r="AC1726"/>
      <c r="AD1726" s="460" t="s">
        <v>864</v>
      </c>
      <c r="AE1726" t="s">
        <v>1755</v>
      </c>
      <c r="AF1726" t="s">
        <v>2932</v>
      </c>
    </row>
    <row r="1727" spans="1:32" s="465" customFormat="1" ht="33.75" hidden="1" x14ac:dyDescent="0.25">
      <c r="A1727" s="40" t="s">
        <v>3472</v>
      </c>
      <c r="B1727" s="360" t="s">
        <v>2940</v>
      </c>
      <c r="C1727" s="40">
        <v>462</v>
      </c>
      <c r="D1727" s="40">
        <v>2</v>
      </c>
      <c r="E1727" s="40" t="s">
        <v>3551</v>
      </c>
      <c r="F1727" s="40" t="s">
        <v>121</v>
      </c>
      <c r="G1727" s="40" t="s">
        <v>125</v>
      </c>
      <c r="H1727" s="40" t="s">
        <v>3114</v>
      </c>
      <c r="I1727" s="40" t="str">
        <f>VLOOKUP(Таблица18[[#This Row],[Номер акта]],$AB$1:$AF$2504,3,FALSE)</f>
        <v>12 Агролидер</v>
      </c>
      <c r="J1727" s="40" t="s">
        <v>1755</v>
      </c>
      <c r="K1727" s="40" t="s">
        <v>3464</v>
      </c>
      <c r="L1727" s="121">
        <v>19270</v>
      </c>
      <c r="M1727" s="121">
        <v>14780</v>
      </c>
      <c r="N1727" s="121">
        <v>18.5</v>
      </c>
      <c r="O1727" s="363">
        <v>4490</v>
      </c>
      <c r="P1727" s="363">
        <v>3659.3</v>
      </c>
      <c r="Q1727" s="121">
        <v>2026</v>
      </c>
      <c r="R1727" s="121">
        <v>347</v>
      </c>
      <c r="S1727" s="148">
        <v>46192</v>
      </c>
      <c r="T1727" s="363">
        <f>Таблица18[[#This Row],[Вес нетто]]-Таблица18[[#This Row],[Зачетный вес]]</f>
        <v>830.69999999999982</v>
      </c>
      <c r="U1727" s="392">
        <f>Таблица18[[#This Row],[Отход]]/Таблица18[[#This Row],[Вес нетто]]</f>
        <v>0.18501113585746098</v>
      </c>
      <c r="V1727" s="121">
        <f>MONTH(Таблица18[[#This Row],[Дата акта]])</f>
        <v>6</v>
      </c>
      <c r="W1727" s="121">
        <f>DAY(Таблица18[[#This Row],[Дата акта]])</f>
        <v>19</v>
      </c>
      <c r="X1727" s="148">
        <f>DATE(1900,Таблица18[[#This Row],[Месяц]],Таблица18[[#This Row],[Число]])</f>
        <v>171</v>
      </c>
      <c r="Y1727" s="121"/>
      <c r="Z1727" s="121" t="str">
        <f>Таблица18[[#This Row],[Хар-ка]]</f>
        <v>Высший</v>
      </c>
      <c r="AA1727"/>
      <c r="AB1727">
        <v>347</v>
      </c>
      <c r="AC1727"/>
      <c r="AD1727" s="460" t="s">
        <v>3114</v>
      </c>
      <c r="AE1727" t="s">
        <v>1755</v>
      </c>
      <c r="AF1727" t="s">
        <v>52</v>
      </c>
    </row>
    <row r="1728" spans="1:32" s="465" customFormat="1" ht="33.75" x14ac:dyDescent="0.25">
      <c r="A1728" s="40" t="s">
        <v>3455</v>
      </c>
      <c r="B1728" s="360" t="s">
        <v>2940</v>
      </c>
      <c r="C1728" s="40">
        <v>465</v>
      </c>
      <c r="D1728" s="40">
        <v>310</v>
      </c>
      <c r="E1728" s="40" t="s">
        <v>2964</v>
      </c>
      <c r="F1728" s="40" t="s">
        <v>737</v>
      </c>
      <c r="G1728" s="40" t="s">
        <v>738</v>
      </c>
      <c r="H1728" s="40" t="s">
        <v>3963</v>
      </c>
      <c r="I1728" s="40" t="str">
        <f>VLOOKUP(Таблица18[[#This Row],[Номер акта]],$AB$1:$AF$2504,3,FALSE)</f>
        <v>А-54</v>
      </c>
      <c r="J1728" s="40" t="s">
        <v>1755</v>
      </c>
      <c r="K1728" s="40" t="s">
        <v>3375</v>
      </c>
      <c r="L1728" s="121">
        <v>6990</v>
      </c>
      <c r="M1728" s="121">
        <v>4640</v>
      </c>
      <c r="N1728" s="121">
        <v>28.5</v>
      </c>
      <c r="O1728" s="363">
        <v>2350</v>
      </c>
      <c r="P1728" s="363">
        <v>1680.2</v>
      </c>
      <c r="Q1728" s="121">
        <v>2026</v>
      </c>
      <c r="R1728" s="121">
        <v>348</v>
      </c>
      <c r="S1728" s="148">
        <v>46193</v>
      </c>
      <c r="T1728" s="363">
        <f>Таблица18[[#This Row],[Вес нетто]]-Таблица18[[#This Row],[Зачетный вес]]</f>
        <v>669.8</v>
      </c>
      <c r="U1728" s="392">
        <f>Таблица18[[#This Row],[Отход]]/Таблица18[[#This Row],[Вес нетто]]</f>
        <v>0.28502127659574467</v>
      </c>
      <c r="V1728" s="121">
        <f>MONTH(Таблица18[[#This Row],[Дата акта]])</f>
        <v>6</v>
      </c>
      <c r="W1728" s="121">
        <f>DAY(Таблица18[[#This Row],[Дата акта]])</f>
        <v>20</v>
      </c>
      <c r="X1728" s="148">
        <f>DATE(1900,Таблица18[[#This Row],[Месяц]],Таблица18[[#This Row],[Число]])</f>
        <v>172</v>
      </c>
      <c r="Y1728" s="121"/>
      <c r="Z1728" s="121" t="str">
        <f>Таблица18[[#This Row],[Хар-ка]]</f>
        <v>Высший</v>
      </c>
      <c r="AA1728"/>
      <c r="AB1728">
        <v>348</v>
      </c>
      <c r="AC1728"/>
      <c r="AD1728" s="460" t="s">
        <v>864</v>
      </c>
      <c r="AE1728" t="s">
        <v>1755</v>
      </c>
      <c r="AF1728" t="s">
        <v>2932</v>
      </c>
    </row>
    <row r="1729" spans="1:32" s="465" customFormat="1" ht="22.5" hidden="1" x14ac:dyDescent="0.25">
      <c r="A1729" s="40" t="s">
        <v>3470</v>
      </c>
      <c r="B1729" s="360" t="s">
        <v>2940</v>
      </c>
      <c r="C1729" s="40">
        <v>466</v>
      </c>
      <c r="D1729" s="40">
        <v>3</v>
      </c>
      <c r="E1729" s="40" t="s">
        <v>3551</v>
      </c>
      <c r="F1729" s="40" t="s">
        <v>127</v>
      </c>
      <c r="G1729" s="40" t="s">
        <v>131</v>
      </c>
      <c r="H1729" s="40" t="s">
        <v>3116</v>
      </c>
      <c r="I1729" s="40" t="str">
        <f>VLOOKUP(Таблица18[[#This Row],[Номер акта]],$AB$1:$AF$2504,3,FALSE)</f>
        <v>18 Агролидер</v>
      </c>
      <c r="J1729" s="40" t="s">
        <v>909</v>
      </c>
      <c r="K1729" s="40" t="s">
        <v>3464</v>
      </c>
      <c r="L1729" s="121">
        <v>23240</v>
      </c>
      <c r="M1729" s="121">
        <v>18780</v>
      </c>
      <c r="N1729" s="121">
        <v>12.5</v>
      </c>
      <c r="O1729" s="363">
        <v>4460</v>
      </c>
      <c r="P1729" s="363">
        <v>3902.5</v>
      </c>
      <c r="Q1729" s="121">
        <v>2026</v>
      </c>
      <c r="R1729" s="121">
        <v>349</v>
      </c>
      <c r="S1729" s="148">
        <v>46193</v>
      </c>
      <c r="T1729" s="363">
        <f>Таблица18[[#This Row],[Вес нетто]]-Таблица18[[#This Row],[Зачетный вес]]</f>
        <v>557.5</v>
      </c>
      <c r="U1729" s="392">
        <f>Таблица18[[#This Row],[Отход]]/Таблица18[[#This Row],[Вес нетто]]</f>
        <v>0.125</v>
      </c>
      <c r="V1729" s="121">
        <f>MONTH(Таблица18[[#This Row],[Дата акта]])</f>
        <v>6</v>
      </c>
      <c r="W1729" s="121">
        <f>DAY(Таблица18[[#This Row],[Дата акта]])</f>
        <v>20</v>
      </c>
      <c r="X1729" s="148">
        <f>DATE(1900,Таблица18[[#This Row],[Месяц]],Таблица18[[#This Row],[Число]])</f>
        <v>172</v>
      </c>
      <c r="Y1729" s="121"/>
      <c r="Z1729" s="121" t="str">
        <f>Таблица18[[#This Row],[Хар-ка]]</f>
        <v>Высший</v>
      </c>
      <c r="AA1729"/>
      <c r="AB1729">
        <v>349</v>
      </c>
      <c r="AC1729"/>
      <c r="AD1729" s="460" t="s">
        <v>3116</v>
      </c>
      <c r="AE1729" t="s">
        <v>909</v>
      </c>
      <c r="AF1729" t="s">
        <v>52</v>
      </c>
    </row>
    <row r="1730" spans="1:32" s="465" customFormat="1" ht="22.5" hidden="1" x14ac:dyDescent="0.25">
      <c r="A1730" s="40" t="s">
        <v>3473</v>
      </c>
      <c r="B1730" s="360" t="s">
        <v>2940</v>
      </c>
      <c r="C1730" s="40">
        <v>467</v>
      </c>
      <c r="D1730" s="40">
        <v>3</v>
      </c>
      <c r="E1730" s="40" t="s">
        <v>3551</v>
      </c>
      <c r="F1730" s="40" t="s">
        <v>127</v>
      </c>
      <c r="G1730" s="40" t="s">
        <v>131</v>
      </c>
      <c r="H1730" s="40" t="s">
        <v>3114</v>
      </c>
      <c r="I1730" s="40" t="str">
        <f>VLOOKUP(Таблица18[[#This Row],[Номер акта]],$AB$1:$AF$2504,3,FALSE)</f>
        <v>12 Агролидер</v>
      </c>
      <c r="J1730" s="40" t="s">
        <v>909</v>
      </c>
      <c r="K1730" s="40" t="s">
        <v>3464</v>
      </c>
      <c r="L1730" s="121">
        <v>18780</v>
      </c>
      <c r="M1730" s="121">
        <v>14340</v>
      </c>
      <c r="N1730" s="121">
        <v>14.5</v>
      </c>
      <c r="O1730" s="363">
        <v>4440</v>
      </c>
      <c r="P1730" s="363">
        <v>3796.2</v>
      </c>
      <c r="Q1730" s="121">
        <v>2026</v>
      </c>
      <c r="R1730" s="121">
        <v>354</v>
      </c>
      <c r="S1730" s="148">
        <v>46193</v>
      </c>
      <c r="T1730" s="363">
        <f>Таблица18[[#This Row],[Вес нетто]]-Таблица18[[#This Row],[Зачетный вес]]</f>
        <v>643.80000000000018</v>
      </c>
      <c r="U1730" s="392">
        <f>Таблица18[[#This Row],[Отход]]/Таблица18[[#This Row],[Вес нетто]]</f>
        <v>0.14500000000000005</v>
      </c>
      <c r="V1730" s="121">
        <f>MONTH(Таблица18[[#This Row],[Дата акта]])</f>
        <v>6</v>
      </c>
      <c r="W1730" s="121">
        <f>DAY(Таблица18[[#This Row],[Дата акта]])</f>
        <v>20</v>
      </c>
      <c r="X1730" s="148">
        <f>DATE(1900,Таблица18[[#This Row],[Месяц]],Таблица18[[#This Row],[Число]])</f>
        <v>172</v>
      </c>
      <c r="Y1730" s="121"/>
      <c r="Z1730" s="121" t="str">
        <f>Таблица18[[#This Row],[Хар-ка]]</f>
        <v>Высший</v>
      </c>
      <c r="AA1730"/>
      <c r="AB1730">
        <v>354</v>
      </c>
      <c r="AC1730"/>
      <c r="AD1730" s="460" t="s">
        <v>3114</v>
      </c>
      <c r="AE1730" t="s">
        <v>909</v>
      </c>
      <c r="AF1730" t="s">
        <v>52</v>
      </c>
    </row>
    <row r="1731" spans="1:32" s="465" customFormat="1" ht="22.5" hidden="1" x14ac:dyDescent="0.25">
      <c r="A1731" s="40" t="s">
        <v>3483</v>
      </c>
      <c r="B1731" s="360" t="s">
        <v>2940</v>
      </c>
      <c r="C1731" s="40">
        <v>468</v>
      </c>
      <c r="D1731" s="40">
        <v>4</v>
      </c>
      <c r="E1731" s="40" t="s">
        <v>3551</v>
      </c>
      <c r="F1731" s="40" t="s">
        <v>1806</v>
      </c>
      <c r="G1731" s="40" t="s">
        <v>1807</v>
      </c>
      <c r="H1731" s="40" t="s">
        <v>3114</v>
      </c>
      <c r="I1731" s="40" t="str">
        <f>VLOOKUP(Таблица18[[#This Row],[Номер акта]],$AB$1:$AF$2504,3,FALSE)</f>
        <v>12 Агролидер</v>
      </c>
      <c r="J1731" s="40" t="s">
        <v>909</v>
      </c>
      <c r="K1731" s="40" t="s">
        <v>3464</v>
      </c>
      <c r="L1731" s="121">
        <v>27610</v>
      </c>
      <c r="M1731" s="121">
        <v>14620</v>
      </c>
      <c r="N1731" s="121">
        <v>14.5</v>
      </c>
      <c r="O1731" s="363">
        <v>12990</v>
      </c>
      <c r="P1731" s="363">
        <v>11106.4</v>
      </c>
      <c r="Q1731" s="121">
        <v>2026</v>
      </c>
      <c r="R1731" s="121">
        <v>350</v>
      </c>
      <c r="S1731" s="148">
        <v>46193</v>
      </c>
      <c r="T1731" s="363">
        <f>Таблица18[[#This Row],[Вес нетто]]-Таблица18[[#This Row],[Зачетный вес]]</f>
        <v>1883.6000000000004</v>
      </c>
      <c r="U1731" s="392">
        <f>Таблица18[[#This Row],[Отход]]/Таблица18[[#This Row],[Вес нетто]]</f>
        <v>0.14500384911470365</v>
      </c>
      <c r="V1731" s="121">
        <f>MONTH(Таблица18[[#This Row],[Дата акта]])</f>
        <v>6</v>
      </c>
      <c r="W1731" s="121">
        <f>DAY(Таблица18[[#This Row],[Дата акта]])</f>
        <v>20</v>
      </c>
      <c r="X1731" s="148">
        <f>DATE(1900,Таблица18[[#This Row],[Месяц]],Таблица18[[#This Row],[Число]])</f>
        <v>172</v>
      </c>
      <c r="Y1731" s="121"/>
      <c r="Z1731" s="121" t="str">
        <f>Таблица18[[#This Row],[Хар-ка]]</f>
        <v>Высший</v>
      </c>
      <c r="AA1731"/>
      <c r="AB1731">
        <v>350</v>
      </c>
      <c r="AC1731"/>
      <c r="AD1731" s="460" t="s">
        <v>3114</v>
      </c>
      <c r="AE1731" t="s">
        <v>909</v>
      </c>
      <c r="AF1731" t="s">
        <v>52</v>
      </c>
    </row>
    <row r="1732" spans="1:32" s="465" customFormat="1" ht="33.75" hidden="1" x14ac:dyDescent="0.25">
      <c r="A1732" s="40" t="s">
        <v>3479</v>
      </c>
      <c r="B1732" s="360" t="s">
        <v>2940</v>
      </c>
      <c r="C1732" s="40">
        <v>469</v>
      </c>
      <c r="D1732" s="40">
        <v>5</v>
      </c>
      <c r="E1732" s="40" t="s">
        <v>3551</v>
      </c>
      <c r="F1732" s="40" t="s">
        <v>239</v>
      </c>
      <c r="G1732" s="40" t="s">
        <v>243</v>
      </c>
      <c r="H1732" s="40" t="s">
        <v>3114</v>
      </c>
      <c r="I1732" s="40" t="str">
        <f>VLOOKUP(Таблица18[[#This Row],[Номер акта]],$AB$1:$AF$2504,3,FALSE)</f>
        <v>12 Агролидер</v>
      </c>
      <c r="J1732" s="40" t="s">
        <v>909</v>
      </c>
      <c r="K1732" s="40" t="s">
        <v>3464</v>
      </c>
      <c r="L1732" s="121">
        <v>27330</v>
      </c>
      <c r="M1732" s="121">
        <v>14460</v>
      </c>
      <c r="N1732" s="121">
        <v>11.5</v>
      </c>
      <c r="O1732" s="363">
        <v>12870</v>
      </c>
      <c r="P1732" s="363">
        <v>11389.9</v>
      </c>
      <c r="Q1732" s="121">
        <v>2026</v>
      </c>
      <c r="R1732" s="121">
        <v>351</v>
      </c>
      <c r="S1732" s="148">
        <v>46194</v>
      </c>
      <c r="T1732" s="363">
        <f>Таблица18[[#This Row],[Вес нетто]]-Таблица18[[#This Row],[Зачетный вес]]</f>
        <v>1480.1000000000004</v>
      </c>
      <c r="U1732" s="392">
        <f>Таблица18[[#This Row],[Отход]]/Таблица18[[#This Row],[Вес нетто]]</f>
        <v>0.11500388500388503</v>
      </c>
      <c r="V1732" s="121">
        <f>MONTH(Таблица18[[#This Row],[Дата акта]])</f>
        <v>6</v>
      </c>
      <c r="W1732" s="121">
        <f>DAY(Таблица18[[#This Row],[Дата акта]])</f>
        <v>21</v>
      </c>
      <c r="X1732" s="148">
        <f>DATE(1900,Таблица18[[#This Row],[Месяц]],Таблица18[[#This Row],[Число]])</f>
        <v>173</v>
      </c>
      <c r="Y1732" s="121"/>
      <c r="Z1732" s="121" t="str">
        <f>Таблица18[[#This Row],[Хар-ка]]</f>
        <v>Высший</v>
      </c>
      <c r="AA1732"/>
      <c r="AB1732">
        <v>351</v>
      </c>
      <c r="AC1732"/>
      <c r="AD1732" s="460" t="s">
        <v>3114</v>
      </c>
      <c r="AE1732" t="s">
        <v>909</v>
      </c>
      <c r="AF1732" t="s">
        <v>52</v>
      </c>
    </row>
    <row r="1733" spans="1:32" s="465" customFormat="1" ht="33.75" hidden="1" x14ac:dyDescent="0.25">
      <c r="A1733" s="40" t="s">
        <v>3469</v>
      </c>
      <c r="B1733" s="360" t="s">
        <v>2940</v>
      </c>
      <c r="C1733" s="40">
        <v>470</v>
      </c>
      <c r="D1733" s="40">
        <v>317</v>
      </c>
      <c r="E1733" s="40" t="s">
        <v>3551</v>
      </c>
      <c r="F1733" s="40" t="s">
        <v>737</v>
      </c>
      <c r="G1733" s="40" t="s">
        <v>738</v>
      </c>
      <c r="H1733" s="40" t="s">
        <v>3114</v>
      </c>
      <c r="I1733" s="40" t="str">
        <f>VLOOKUP(Таблица18[[#This Row],[Номер акта]],$AB$1:$AF$2504,3,FALSE)</f>
        <v>12 Агролидер</v>
      </c>
      <c r="J1733" s="40" t="s">
        <v>909</v>
      </c>
      <c r="K1733" s="40" t="s">
        <v>3464</v>
      </c>
      <c r="L1733" s="121">
        <v>8600</v>
      </c>
      <c r="M1733" s="121">
        <v>4620</v>
      </c>
      <c r="N1733" s="121">
        <v>10.5</v>
      </c>
      <c r="O1733" s="363">
        <v>3980</v>
      </c>
      <c r="P1733" s="363">
        <v>3562.1</v>
      </c>
      <c r="Q1733" s="121">
        <v>2026</v>
      </c>
      <c r="R1733" s="121">
        <v>352</v>
      </c>
      <c r="S1733" s="148">
        <v>46194</v>
      </c>
      <c r="T1733" s="363">
        <f>Таблица18[[#This Row],[Вес нетто]]-Таблица18[[#This Row],[Зачетный вес]]</f>
        <v>417.90000000000009</v>
      </c>
      <c r="U1733" s="392">
        <f>Таблица18[[#This Row],[Отход]]/Таблица18[[#This Row],[Вес нетто]]</f>
        <v>0.10500000000000002</v>
      </c>
      <c r="V1733" s="121">
        <f>MONTH(Таблица18[[#This Row],[Дата акта]])</f>
        <v>6</v>
      </c>
      <c r="W1733" s="121">
        <f>DAY(Таблица18[[#This Row],[Дата акта]])</f>
        <v>21</v>
      </c>
      <c r="X1733" s="148">
        <f>DATE(1900,Таблица18[[#This Row],[Месяц]],Таблица18[[#This Row],[Число]])</f>
        <v>173</v>
      </c>
      <c r="Y1733" s="121"/>
      <c r="Z1733" s="121" t="str">
        <f>Таблица18[[#This Row],[Хар-ка]]</f>
        <v>Высший</v>
      </c>
      <c r="AA1733"/>
      <c r="AB1733">
        <v>352</v>
      </c>
      <c r="AC1733"/>
      <c r="AD1733" s="460" t="s">
        <v>3114</v>
      </c>
      <c r="AE1733" t="s">
        <v>909</v>
      </c>
      <c r="AF1733" t="s">
        <v>52</v>
      </c>
    </row>
    <row r="1734" spans="1:32" s="465" customFormat="1" ht="22.5" hidden="1" x14ac:dyDescent="0.25">
      <c r="A1734" s="40" t="s">
        <v>3489</v>
      </c>
      <c r="B1734" s="360" t="s">
        <v>2940</v>
      </c>
      <c r="C1734" s="40">
        <v>471</v>
      </c>
      <c r="D1734" s="40">
        <v>6</v>
      </c>
      <c r="E1734" s="40" t="s">
        <v>3551</v>
      </c>
      <c r="F1734" s="40" t="s">
        <v>894</v>
      </c>
      <c r="G1734" s="40" t="s">
        <v>895</v>
      </c>
      <c r="H1734" s="40" t="s">
        <v>3114</v>
      </c>
      <c r="I1734" s="40" t="str">
        <f>VLOOKUP(Таблица18[[#This Row],[Номер акта]],$AB$1:$AF$2504,3,FALSE)</f>
        <v>12 Агролидер</v>
      </c>
      <c r="J1734" s="40" t="s">
        <v>909</v>
      </c>
      <c r="K1734" s="40" t="s">
        <v>3464</v>
      </c>
      <c r="L1734" s="121">
        <v>27640</v>
      </c>
      <c r="M1734" s="121">
        <v>14920</v>
      </c>
      <c r="N1734" s="121">
        <v>13.5</v>
      </c>
      <c r="O1734" s="363">
        <v>12720</v>
      </c>
      <c r="P1734" s="363">
        <v>11002.8</v>
      </c>
      <c r="Q1734" s="121">
        <v>2026</v>
      </c>
      <c r="R1734" s="121">
        <v>353</v>
      </c>
      <c r="S1734" s="148">
        <v>46194</v>
      </c>
      <c r="T1734" s="363">
        <f>Таблица18[[#This Row],[Вес нетто]]-Таблица18[[#This Row],[Зачетный вес]]</f>
        <v>1717.2000000000007</v>
      </c>
      <c r="U1734" s="392">
        <f>Таблица18[[#This Row],[Отход]]/Таблица18[[#This Row],[Вес нетто]]</f>
        <v>0.13500000000000006</v>
      </c>
      <c r="V1734" s="121">
        <f>MONTH(Таблица18[[#This Row],[Дата акта]])</f>
        <v>6</v>
      </c>
      <c r="W1734" s="121">
        <f>DAY(Таблица18[[#This Row],[Дата акта]])</f>
        <v>21</v>
      </c>
      <c r="X1734" s="148">
        <f>DATE(1900,Таблица18[[#This Row],[Месяц]],Таблица18[[#This Row],[Число]])</f>
        <v>173</v>
      </c>
      <c r="Y1734" s="121"/>
      <c r="Z1734" s="121" t="str">
        <f>Таблица18[[#This Row],[Хар-ка]]</f>
        <v>Высший</v>
      </c>
      <c r="AA1734"/>
      <c r="AB1734">
        <v>353</v>
      </c>
      <c r="AC1734"/>
      <c r="AD1734" s="460" t="s">
        <v>3114</v>
      </c>
      <c r="AE1734" t="s">
        <v>909</v>
      </c>
      <c r="AF1734" t="s">
        <v>52</v>
      </c>
    </row>
    <row r="1735" spans="1:32" s="465" customFormat="1" ht="22.5" hidden="1" x14ac:dyDescent="0.25">
      <c r="A1735" s="40" t="s">
        <v>3488</v>
      </c>
      <c r="B1735" s="360" t="s">
        <v>2940</v>
      </c>
      <c r="C1735" s="40">
        <v>472</v>
      </c>
      <c r="D1735" s="40">
        <v>7</v>
      </c>
      <c r="E1735" s="40" t="s">
        <v>3551</v>
      </c>
      <c r="F1735" s="40" t="s">
        <v>3377</v>
      </c>
      <c r="G1735" s="40" t="s">
        <v>3196</v>
      </c>
      <c r="H1735" s="40" t="s">
        <v>3114</v>
      </c>
      <c r="I1735" s="40" t="str">
        <f>VLOOKUP(Таблица18[[#This Row],[Номер акта]],$AB$1:$AF$2504,3,FALSE)</f>
        <v>18 Агролидер</v>
      </c>
      <c r="J1735" s="40" t="s">
        <v>909</v>
      </c>
      <c r="K1735" s="40" t="s">
        <v>3464</v>
      </c>
      <c r="L1735" s="121">
        <v>27070</v>
      </c>
      <c r="M1735" s="121">
        <v>14420</v>
      </c>
      <c r="N1735" s="121">
        <v>13.5</v>
      </c>
      <c r="O1735" s="363">
        <v>12650</v>
      </c>
      <c r="P1735" s="363">
        <v>10942.2</v>
      </c>
      <c r="Q1735" s="121">
        <v>2026</v>
      </c>
      <c r="R1735" s="121">
        <v>355</v>
      </c>
      <c r="S1735" s="148">
        <v>46194</v>
      </c>
      <c r="T1735" s="363">
        <f>Таблица18[[#This Row],[Вес нетто]]-Таблица18[[#This Row],[Зачетный вес]]</f>
        <v>1707.7999999999993</v>
      </c>
      <c r="U1735" s="392">
        <f>Таблица18[[#This Row],[Отход]]/Таблица18[[#This Row],[Вес нетто]]</f>
        <v>0.13500395256916992</v>
      </c>
      <c r="V1735" s="121">
        <f>MONTH(Таблица18[[#This Row],[Дата акта]])</f>
        <v>6</v>
      </c>
      <c r="W1735" s="121">
        <f>DAY(Таблица18[[#This Row],[Дата акта]])</f>
        <v>21</v>
      </c>
      <c r="X1735" s="148">
        <f>DATE(1900,Таблица18[[#This Row],[Месяц]],Таблица18[[#This Row],[Число]])</f>
        <v>173</v>
      </c>
      <c r="Y1735" s="121"/>
      <c r="Z1735" s="121" t="str">
        <f>Таблица18[[#This Row],[Хар-ка]]</f>
        <v>Высший</v>
      </c>
      <c r="AA1735"/>
      <c r="AB1735">
        <v>355</v>
      </c>
      <c r="AC1735"/>
      <c r="AD1735" s="460" t="s">
        <v>3116</v>
      </c>
      <c r="AE1735" t="s">
        <v>909</v>
      </c>
      <c r="AF1735" t="s">
        <v>52</v>
      </c>
    </row>
    <row r="1736" spans="1:32" s="465" customFormat="1" ht="33.75" hidden="1" x14ac:dyDescent="0.25">
      <c r="A1736" s="40" t="s">
        <v>3486</v>
      </c>
      <c r="B1736" s="360" t="s">
        <v>2940</v>
      </c>
      <c r="C1736" s="40">
        <v>473</v>
      </c>
      <c r="D1736" s="40">
        <v>9</v>
      </c>
      <c r="E1736" s="40" t="s">
        <v>3551</v>
      </c>
      <c r="F1736" s="40" t="s">
        <v>311</v>
      </c>
      <c r="G1736" s="40" t="s">
        <v>315</v>
      </c>
      <c r="H1736" s="40" t="s">
        <v>3114</v>
      </c>
      <c r="I1736" s="40" t="str">
        <f>VLOOKUP(Таблица18[[#This Row],[Номер акта]],$AB$1:$AF$2504,3,FALSE)</f>
        <v>18 Агролидер</v>
      </c>
      <c r="J1736" s="40" t="s">
        <v>909</v>
      </c>
      <c r="K1736" s="40" t="s">
        <v>3464</v>
      </c>
      <c r="L1736" s="121">
        <v>28000</v>
      </c>
      <c r="M1736" s="121">
        <v>15010</v>
      </c>
      <c r="N1736" s="121">
        <v>16</v>
      </c>
      <c r="O1736" s="363">
        <v>12990</v>
      </c>
      <c r="P1736" s="363">
        <v>10911.6</v>
      </c>
      <c r="Q1736" s="121">
        <v>2026</v>
      </c>
      <c r="R1736" s="121">
        <v>356</v>
      </c>
      <c r="S1736" s="148">
        <v>46194</v>
      </c>
      <c r="T1736" s="363">
        <f>Таблица18[[#This Row],[Вес нетто]]-Таблица18[[#This Row],[Зачетный вес]]</f>
        <v>2078.3999999999996</v>
      </c>
      <c r="U1736" s="392">
        <f>Таблица18[[#This Row],[Отход]]/Таблица18[[#This Row],[Вес нетто]]</f>
        <v>0.15999999999999998</v>
      </c>
      <c r="V1736" s="121">
        <f>MONTH(Таблица18[[#This Row],[Дата акта]])</f>
        <v>6</v>
      </c>
      <c r="W1736" s="121">
        <f>DAY(Таблица18[[#This Row],[Дата акта]])</f>
        <v>21</v>
      </c>
      <c r="X1736" s="148">
        <f>DATE(1900,Таблица18[[#This Row],[Месяц]],Таблица18[[#This Row],[Число]])</f>
        <v>173</v>
      </c>
      <c r="Y1736" s="121"/>
      <c r="Z1736" s="121" t="str">
        <f>Таблица18[[#This Row],[Хар-ка]]</f>
        <v>Высший</v>
      </c>
      <c r="AA1736"/>
      <c r="AB1736">
        <v>356</v>
      </c>
      <c r="AC1736"/>
      <c r="AD1736" s="460" t="s">
        <v>3116</v>
      </c>
      <c r="AE1736" t="s">
        <v>909</v>
      </c>
      <c r="AF1736" t="s">
        <v>52</v>
      </c>
    </row>
    <row r="1737" spans="1:32" s="465" customFormat="1" ht="22.5" hidden="1" x14ac:dyDescent="0.25">
      <c r="A1737" s="40" t="s">
        <v>3495</v>
      </c>
      <c r="B1737" s="360" t="s">
        <v>2940</v>
      </c>
      <c r="C1737" s="40">
        <v>474</v>
      </c>
      <c r="D1737" s="40">
        <v>11</v>
      </c>
      <c r="E1737" s="40" t="s">
        <v>3551</v>
      </c>
      <c r="F1737" s="40" t="s">
        <v>212</v>
      </c>
      <c r="G1737" s="40" t="s">
        <v>2965</v>
      </c>
      <c r="H1737" s="40" t="s">
        <v>3114</v>
      </c>
      <c r="I1737" s="40" t="str">
        <f>VLOOKUP(Таблица18[[#This Row],[Номер акта]],$AB$1:$AF$2504,3,FALSE)</f>
        <v>18 Агролидер</v>
      </c>
      <c r="J1737" s="40" t="s">
        <v>909</v>
      </c>
      <c r="K1737" s="40" t="s">
        <v>3464</v>
      </c>
      <c r="L1737" s="121">
        <v>28640</v>
      </c>
      <c r="M1737" s="121">
        <v>15870</v>
      </c>
      <c r="N1737" s="121">
        <v>9</v>
      </c>
      <c r="O1737" s="363">
        <v>12770</v>
      </c>
      <c r="P1737" s="363">
        <v>11620.7</v>
      </c>
      <c r="Q1737" s="121">
        <v>2026</v>
      </c>
      <c r="R1737" s="121">
        <v>357</v>
      </c>
      <c r="S1737" s="148">
        <v>46194</v>
      </c>
      <c r="T1737" s="363">
        <f>Таблица18[[#This Row],[Вес нетто]]-Таблица18[[#This Row],[Зачетный вес]]</f>
        <v>1149.2999999999993</v>
      </c>
      <c r="U1737" s="392">
        <f>Таблица18[[#This Row],[Отход]]/Таблица18[[#This Row],[Вес нетто]]</f>
        <v>8.9999999999999941E-2</v>
      </c>
      <c r="V1737" s="121">
        <f>MONTH(Таблица18[[#This Row],[Дата акта]])</f>
        <v>6</v>
      </c>
      <c r="W1737" s="121">
        <f>DAY(Таблица18[[#This Row],[Дата акта]])</f>
        <v>21</v>
      </c>
      <c r="X1737" s="148">
        <f>DATE(1900,Таблица18[[#This Row],[Месяц]],Таблица18[[#This Row],[Число]])</f>
        <v>173</v>
      </c>
      <c r="Y1737" s="121"/>
      <c r="Z1737" s="121" t="str">
        <f>Таблица18[[#This Row],[Хар-ка]]</f>
        <v>Высший</v>
      </c>
      <c r="AA1737"/>
      <c r="AB1737">
        <v>357</v>
      </c>
      <c r="AC1737"/>
      <c r="AD1737" s="460" t="s">
        <v>3116</v>
      </c>
      <c r="AE1737" t="s">
        <v>909</v>
      </c>
      <c r="AF1737" t="s">
        <v>52</v>
      </c>
    </row>
    <row r="1738" spans="1:32" s="465" customFormat="1" ht="33.75" x14ac:dyDescent="0.25">
      <c r="A1738" s="40" t="s">
        <v>3451</v>
      </c>
      <c r="B1738" s="360" t="s">
        <v>2940</v>
      </c>
      <c r="C1738" s="40">
        <v>475</v>
      </c>
      <c r="D1738" s="40">
        <v>311</v>
      </c>
      <c r="E1738" s="40" t="s">
        <v>2964</v>
      </c>
      <c r="F1738" s="40" t="s">
        <v>762</v>
      </c>
      <c r="G1738" s="40" t="s">
        <v>763</v>
      </c>
      <c r="H1738" s="40" t="s">
        <v>864</v>
      </c>
      <c r="I1738" s="40" t="str">
        <f>VLOOKUP(Таблица18[[#This Row],[Номер акта]],$AB$1:$AF$2504,3,FALSE)</f>
        <v>А-54</v>
      </c>
      <c r="J1738" s="40" t="s">
        <v>1755</v>
      </c>
      <c r="K1738" s="40" t="s">
        <v>3375</v>
      </c>
      <c r="L1738" s="121">
        <v>9000</v>
      </c>
      <c r="M1738" s="121">
        <v>4660</v>
      </c>
      <c r="N1738" s="121">
        <v>14.5</v>
      </c>
      <c r="O1738" s="363">
        <v>4340</v>
      </c>
      <c r="P1738" s="363">
        <v>3710.7</v>
      </c>
      <c r="Q1738" s="121">
        <v>2026</v>
      </c>
      <c r="R1738" s="121">
        <v>358</v>
      </c>
      <c r="S1738" s="148">
        <v>46194</v>
      </c>
      <c r="T1738" s="363">
        <f>Таблица18[[#This Row],[Вес нетто]]-Таблица18[[#This Row],[Зачетный вес]]</f>
        <v>629.30000000000018</v>
      </c>
      <c r="U1738" s="392">
        <f>Таблица18[[#This Row],[Отход]]/Таблица18[[#This Row],[Вес нетто]]</f>
        <v>0.14500000000000005</v>
      </c>
      <c r="V1738" s="121">
        <f>MONTH(Таблица18[[#This Row],[Дата акта]])</f>
        <v>6</v>
      </c>
      <c r="W1738" s="121">
        <f>DAY(Таблица18[[#This Row],[Дата акта]])</f>
        <v>21</v>
      </c>
      <c r="X1738" s="148">
        <f>DATE(1900,Таблица18[[#This Row],[Месяц]],Таблица18[[#This Row],[Число]])</f>
        <v>173</v>
      </c>
      <c r="Y1738" s="121"/>
      <c r="Z1738" s="121" t="str">
        <f>Таблица18[[#This Row],[Хар-ка]]</f>
        <v>Высший</v>
      </c>
      <c r="AA1738"/>
      <c r="AB1738">
        <v>358</v>
      </c>
      <c r="AC1738"/>
      <c r="AD1738" s="460" t="s">
        <v>864</v>
      </c>
      <c r="AE1738" t="s">
        <v>1755</v>
      </c>
      <c r="AF1738" t="s">
        <v>2932</v>
      </c>
    </row>
    <row r="1739" spans="1:32" s="465" customFormat="1" ht="22.5" x14ac:dyDescent="0.25">
      <c r="A1739" s="40" t="s">
        <v>3446</v>
      </c>
      <c r="B1739" s="360" t="s">
        <v>2940</v>
      </c>
      <c r="C1739" s="40">
        <v>476</v>
      </c>
      <c r="D1739" s="40">
        <v>312</v>
      </c>
      <c r="E1739" s="40" t="s">
        <v>2964</v>
      </c>
      <c r="F1739" s="40" t="s">
        <v>127</v>
      </c>
      <c r="G1739" s="40" t="s">
        <v>131</v>
      </c>
      <c r="H1739" s="40" t="s">
        <v>864</v>
      </c>
      <c r="I1739" s="40" t="str">
        <f>VLOOKUP(Таблица18[[#This Row],[Номер акта]],$AB$1:$AF$2504,3,FALSE)</f>
        <v>А-54</v>
      </c>
      <c r="J1739" s="40" t="s">
        <v>1755</v>
      </c>
      <c r="K1739" s="40" t="s">
        <v>3375</v>
      </c>
      <c r="L1739" s="121">
        <v>27650</v>
      </c>
      <c r="M1739" s="121">
        <v>14430</v>
      </c>
      <c r="N1739" s="121">
        <v>14</v>
      </c>
      <c r="O1739" s="363">
        <v>13220</v>
      </c>
      <c r="P1739" s="363">
        <v>11369.2</v>
      </c>
      <c r="Q1739" s="121">
        <v>2026</v>
      </c>
      <c r="R1739" s="121">
        <v>359</v>
      </c>
      <c r="S1739" s="148">
        <v>46194</v>
      </c>
      <c r="T1739" s="363">
        <f>Таблица18[[#This Row],[Вес нетто]]-Таблица18[[#This Row],[Зачетный вес]]</f>
        <v>1850.7999999999993</v>
      </c>
      <c r="U1739" s="392">
        <f>Таблица18[[#This Row],[Отход]]/Таблица18[[#This Row],[Вес нетто]]</f>
        <v>0.13999999999999996</v>
      </c>
      <c r="V1739" s="121">
        <f>MONTH(Таблица18[[#This Row],[Дата акта]])</f>
        <v>6</v>
      </c>
      <c r="W1739" s="121">
        <f>DAY(Таблица18[[#This Row],[Дата акта]])</f>
        <v>21</v>
      </c>
      <c r="X1739" s="148">
        <f>DATE(1900,Таблица18[[#This Row],[Месяц]],Таблица18[[#This Row],[Число]])</f>
        <v>173</v>
      </c>
      <c r="Y1739" s="121"/>
      <c r="Z1739" s="121" t="str">
        <f>Таблица18[[#This Row],[Хар-ка]]</f>
        <v>Высший</v>
      </c>
      <c r="AA1739"/>
      <c r="AB1739">
        <v>359</v>
      </c>
      <c r="AC1739"/>
      <c r="AD1739" s="460" t="s">
        <v>864</v>
      </c>
      <c r="AE1739" t="s">
        <v>1755</v>
      </c>
      <c r="AF1739" t="s">
        <v>2932</v>
      </c>
    </row>
    <row r="1740" spans="1:32" s="465" customFormat="1" ht="33.75" hidden="1" x14ac:dyDescent="0.25">
      <c r="A1740" s="40" t="s">
        <v>3468</v>
      </c>
      <c r="B1740" s="360" t="s">
        <v>2940</v>
      </c>
      <c r="C1740" s="40">
        <v>477</v>
      </c>
      <c r="D1740" s="40">
        <v>10</v>
      </c>
      <c r="E1740" s="40" t="s">
        <v>3551</v>
      </c>
      <c r="F1740" s="40" t="s">
        <v>121</v>
      </c>
      <c r="G1740" s="40" t="s">
        <v>125</v>
      </c>
      <c r="H1740" s="40" t="s">
        <v>3114</v>
      </c>
      <c r="I1740" s="40" t="str">
        <f>VLOOKUP(Таблица18[[#This Row],[Номер акта]],$AB$1:$AF$2504,3,FALSE)</f>
        <v>18 Агролидер</v>
      </c>
      <c r="J1740" s="40" t="s">
        <v>909</v>
      </c>
      <c r="K1740" s="40" t="s">
        <v>3464</v>
      </c>
      <c r="L1740" s="121">
        <v>27550</v>
      </c>
      <c r="M1740" s="121">
        <v>14740</v>
      </c>
      <c r="N1740" s="121">
        <v>9</v>
      </c>
      <c r="O1740" s="363">
        <v>12810</v>
      </c>
      <c r="P1740" s="363">
        <v>11657.1</v>
      </c>
      <c r="Q1740" s="121">
        <v>2026</v>
      </c>
      <c r="R1740" s="121">
        <v>360</v>
      </c>
      <c r="S1740" s="148">
        <v>46194</v>
      </c>
      <c r="T1740" s="363">
        <f>Таблица18[[#This Row],[Вес нетто]]-Таблица18[[#This Row],[Зачетный вес]]</f>
        <v>1152.8999999999996</v>
      </c>
      <c r="U1740" s="392">
        <f>Таблица18[[#This Row],[Отход]]/Таблица18[[#This Row],[Вес нетто]]</f>
        <v>8.9999999999999969E-2</v>
      </c>
      <c r="V1740" s="121">
        <f>MONTH(Таблица18[[#This Row],[Дата акта]])</f>
        <v>6</v>
      </c>
      <c r="W1740" s="121">
        <f>DAY(Таблица18[[#This Row],[Дата акта]])</f>
        <v>21</v>
      </c>
      <c r="X1740" s="148">
        <f>DATE(1900,Таблица18[[#This Row],[Месяц]],Таблица18[[#This Row],[Число]])</f>
        <v>173</v>
      </c>
      <c r="Y1740" s="121"/>
      <c r="Z1740" s="121" t="str">
        <f>Таблица18[[#This Row],[Хар-ка]]</f>
        <v>Высший</v>
      </c>
      <c r="AA1740"/>
      <c r="AB1740">
        <v>360</v>
      </c>
      <c r="AC1740"/>
      <c r="AD1740" s="460" t="s">
        <v>3116</v>
      </c>
      <c r="AE1740" t="s">
        <v>909</v>
      </c>
      <c r="AF1740" t="s">
        <v>52</v>
      </c>
    </row>
    <row r="1741" spans="1:32" s="465" customFormat="1" ht="33.75" x14ac:dyDescent="0.25">
      <c r="A1741" s="40" t="s">
        <v>3447</v>
      </c>
      <c r="B1741" s="360" t="s">
        <v>2940</v>
      </c>
      <c r="C1741" s="40">
        <v>478</v>
      </c>
      <c r="D1741" s="40">
        <v>313</v>
      </c>
      <c r="E1741" s="40" t="s">
        <v>2964</v>
      </c>
      <c r="F1741" s="40" t="s">
        <v>311</v>
      </c>
      <c r="G1741" s="40" t="s">
        <v>315</v>
      </c>
      <c r="H1741" s="40" t="s">
        <v>864</v>
      </c>
      <c r="I1741" s="40" t="str">
        <f>VLOOKUP(Таблица18[[#This Row],[Номер акта]],$AB$1:$AF$2504,3,FALSE)</f>
        <v>А-54</v>
      </c>
      <c r="J1741" s="40" t="s">
        <v>1755</v>
      </c>
      <c r="K1741" s="40" t="s">
        <v>3375</v>
      </c>
      <c r="L1741" s="121">
        <v>28700</v>
      </c>
      <c r="M1741" s="121">
        <v>15050</v>
      </c>
      <c r="N1741" s="121">
        <v>11</v>
      </c>
      <c r="O1741" s="363">
        <v>13650</v>
      </c>
      <c r="P1741" s="363">
        <v>12148.5</v>
      </c>
      <c r="Q1741" s="121">
        <v>2026</v>
      </c>
      <c r="R1741" s="121">
        <v>361</v>
      </c>
      <c r="S1741" s="148">
        <v>46194</v>
      </c>
      <c r="T1741" s="363">
        <f>Таблица18[[#This Row],[Вес нетто]]-Таблица18[[#This Row],[Зачетный вес]]</f>
        <v>1501.5</v>
      </c>
      <c r="U1741" s="392">
        <f>Таблица18[[#This Row],[Отход]]/Таблица18[[#This Row],[Вес нетто]]</f>
        <v>0.11</v>
      </c>
      <c r="V1741" s="121">
        <f>MONTH(Таблица18[[#This Row],[Дата акта]])</f>
        <v>6</v>
      </c>
      <c r="W1741" s="121">
        <f>DAY(Таблица18[[#This Row],[Дата акта]])</f>
        <v>21</v>
      </c>
      <c r="X1741" s="148">
        <f>DATE(1900,Таблица18[[#This Row],[Месяц]],Таблица18[[#This Row],[Число]])</f>
        <v>173</v>
      </c>
      <c r="Y1741" s="121"/>
      <c r="Z1741" s="121" t="str">
        <f>Таблица18[[#This Row],[Хар-ка]]</f>
        <v>Высший</v>
      </c>
      <c r="AA1741"/>
      <c r="AB1741">
        <v>361</v>
      </c>
      <c r="AC1741"/>
      <c r="AD1741" s="460" t="s">
        <v>864</v>
      </c>
      <c r="AE1741" t="s">
        <v>1755</v>
      </c>
      <c r="AF1741" t="s">
        <v>2932</v>
      </c>
    </row>
    <row r="1742" spans="1:32" s="465" customFormat="1" ht="33.75" hidden="1" x14ac:dyDescent="0.25">
      <c r="A1742" s="40" t="s">
        <v>3480</v>
      </c>
      <c r="B1742" s="360" t="s">
        <v>2940</v>
      </c>
      <c r="C1742" s="40">
        <v>479</v>
      </c>
      <c r="D1742" s="40">
        <v>12</v>
      </c>
      <c r="E1742" s="40" t="s">
        <v>3551</v>
      </c>
      <c r="F1742" s="40" t="s">
        <v>239</v>
      </c>
      <c r="G1742" s="40" t="s">
        <v>243</v>
      </c>
      <c r="H1742" s="40" t="s">
        <v>3114</v>
      </c>
      <c r="I1742" s="40" t="str">
        <f>VLOOKUP(Таблица18[[#This Row],[Номер акта]],$AB$1:$AF$2504,3,FALSE)</f>
        <v>18 Агролидер</v>
      </c>
      <c r="J1742" s="40" t="s">
        <v>909</v>
      </c>
      <c r="K1742" s="40" t="s">
        <v>3464</v>
      </c>
      <c r="L1742" s="121">
        <v>27280</v>
      </c>
      <c r="M1742" s="121">
        <v>14410</v>
      </c>
      <c r="N1742" s="121">
        <v>13.5</v>
      </c>
      <c r="O1742" s="363">
        <v>12870</v>
      </c>
      <c r="P1742" s="363">
        <v>11132.6</v>
      </c>
      <c r="Q1742" s="121">
        <v>2026</v>
      </c>
      <c r="R1742" s="121">
        <v>362</v>
      </c>
      <c r="S1742" s="148">
        <v>46194</v>
      </c>
      <c r="T1742" s="363">
        <f>Таблица18[[#This Row],[Вес нетто]]-Таблица18[[#This Row],[Зачетный вес]]</f>
        <v>1737.3999999999996</v>
      </c>
      <c r="U1742" s="392">
        <f>Таблица18[[#This Row],[Отход]]/Таблица18[[#This Row],[Вес нетто]]</f>
        <v>0.13499611499611497</v>
      </c>
      <c r="V1742" s="121">
        <f>MONTH(Таблица18[[#This Row],[Дата акта]])</f>
        <v>6</v>
      </c>
      <c r="W1742" s="121">
        <f>DAY(Таблица18[[#This Row],[Дата акта]])</f>
        <v>21</v>
      </c>
      <c r="X1742" s="148">
        <f>DATE(1900,Таблица18[[#This Row],[Месяц]],Таблица18[[#This Row],[Число]])</f>
        <v>173</v>
      </c>
      <c r="Y1742" s="121"/>
      <c r="Z1742" s="121" t="str">
        <f>Таблица18[[#This Row],[Хар-ка]]</f>
        <v>Высший</v>
      </c>
      <c r="AA1742"/>
      <c r="AB1742">
        <v>362</v>
      </c>
      <c r="AC1742"/>
      <c r="AD1742" s="460" t="s">
        <v>3116</v>
      </c>
      <c r="AE1742" t="s">
        <v>909</v>
      </c>
      <c r="AF1742" t="s">
        <v>52</v>
      </c>
    </row>
    <row r="1743" spans="1:32" s="465" customFormat="1" ht="22.5" x14ac:dyDescent="0.25">
      <c r="A1743" s="40" t="s">
        <v>3458</v>
      </c>
      <c r="B1743" s="360" t="s">
        <v>2940</v>
      </c>
      <c r="C1743" s="40">
        <v>480</v>
      </c>
      <c r="D1743" s="40">
        <v>314</v>
      </c>
      <c r="E1743" s="40" t="s">
        <v>2964</v>
      </c>
      <c r="F1743" s="40" t="s">
        <v>212</v>
      </c>
      <c r="G1743" s="40" t="s">
        <v>2965</v>
      </c>
      <c r="H1743" s="40" t="s">
        <v>864</v>
      </c>
      <c r="I1743" s="40" t="str">
        <f>VLOOKUP(Таблица18[[#This Row],[Номер акта]],$AB$1:$AF$2504,3,FALSE)</f>
        <v>А-54</v>
      </c>
      <c r="J1743" s="40" t="s">
        <v>1755</v>
      </c>
      <c r="K1743" s="40" t="s">
        <v>3375</v>
      </c>
      <c r="L1743" s="121">
        <v>29680</v>
      </c>
      <c r="M1743" s="121">
        <v>15840</v>
      </c>
      <c r="N1743" s="121">
        <v>13</v>
      </c>
      <c r="O1743" s="363">
        <v>13840</v>
      </c>
      <c r="P1743" s="363">
        <v>12040.8</v>
      </c>
      <c r="Q1743" s="121">
        <v>2026</v>
      </c>
      <c r="R1743" s="121">
        <v>363</v>
      </c>
      <c r="S1743" s="148">
        <v>46194</v>
      </c>
      <c r="T1743" s="363">
        <f>Таблица18[[#This Row],[Вес нетто]]-Таблица18[[#This Row],[Зачетный вес]]</f>
        <v>1799.2000000000007</v>
      </c>
      <c r="U1743" s="392">
        <f>Таблица18[[#This Row],[Отход]]/Таблица18[[#This Row],[Вес нетто]]</f>
        <v>0.13000000000000006</v>
      </c>
      <c r="V1743" s="121">
        <f>MONTH(Таблица18[[#This Row],[Дата акта]])</f>
        <v>6</v>
      </c>
      <c r="W1743" s="121">
        <f>DAY(Таблица18[[#This Row],[Дата акта]])</f>
        <v>21</v>
      </c>
      <c r="X1743" s="148">
        <f>DATE(1900,Таблица18[[#This Row],[Месяц]],Таблица18[[#This Row],[Число]])</f>
        <v>173</v>
      </c>
      <c r="Y1743" s="121"/>
      <c r="Z1743" s="121" t="str">
        <f>Таблица18[[#This Row],[Хар-ка]]</f>
        <v>Высший</v>
      </c>
      <c r="AA1743"/>
      <c r="AB1743">
        <v>363</v>
      </c>
      <c r="AC1743"/>
      <c r="AD1743" s="460" t="s">
        <v>864</v>
      </c>
      <c r="AE1743" t="s">
        <v>1755</v>
      </c>
      <c r="AF1743" t="s">
        <v>2932</v>
      </c>
    </row>
    <row r="1744" spans="1:32" s="465" customFormat="1" ht="22.5" hidden="1" x14ac:dyDescent="0.25">
      <c r="A1744" s="40" t="s">
        <v>3492</v>
      </c>
      <c r="B1744" s="360" t="s">
        <v>2940</v>
      </c>
      <c r="C1744" s="40">
        <v>481</v>
      </c>
      <c r="D1744" s="40">
        <v>13</v>
      </c>
      <c r="E1744" s="40" t="s">
        <v>3551</v>
      </c>
      <c r="F1744" s="40" t="s">
        <v>3377</v>
      </c>
      <c r="G1744" s="40" t="s">
        <v>3196</v>
      </c>
      <c r="H1744" s="40" t="s">
        <v>3114</v>
      </c>
      <c r="I1744" s="40" t="str">
        <f>VLOOKUP(Таблица18[[#This Row],[Номер акта]],$AB$1:$AF$2504,3,FALSE)</f>
        <v>18 Агролидер</v>
      </c>
      <c r="J1744" s="40" t="s">
        <v>909</v>
      </c>
      <c r="K1744" s="40" t="s">
        <v>3464</v>
      </c>
      <c r="L1744" s="121">
        <v>27410</v>
      </c>
      <c r="M1744" s="121">
        <v>14360</v>
      </c>
      <c r="N1744" s="121">
        <v>10.5</v>
      </c>
      <c r="O1744" s="363">
        <v>13050</v>
      </c>
      <c r="P1744" s="363">
        <v>11679.8</v>
      </c>
      <c r="Q1744" s="121">
        <v>2026</v>
      </c>
      <c r="R1744" s="121">
        <v>364</v>
      </c>
      <c r="S1744" s="148">
        <v>46194</v>
      </c>
      <c r="T1744" s="363">
        <f>Таблица18[[#This Row],[Вес нетто]]-Таблица18[[#This Row],[Зачетный вес]]</f>
        <v>1370.2000000000007</v>
      </c>
      <c r="U1744" s="392">
        <f>Таблица18[[#This Row],[Отход]]/Таблица18[[#This Row],[Вес нетто]]</f>
        <v>0.10499616858237554</v>
      </c>
      <c r="V1744" s="121">
        <f>MONTH(Таблица18[[#This Row],[Дата акта]])</f>
        <v>6</v>
      </c>
      <c r="W1744" s="121">
        <f>DAY(Таблица18[[#This Row],[Дата акта]])</f>
        <v>21</v>
      </c>
      <c r="X1744" s="148">
        <f>DATE(1900,Таблица18[[#This Row],[Месяц]],Таблица18[[#This Row],[Число]])</f>
        <v>173</v>
      </c>
      <c r="Y1744" s="121"/>
      <c r="Z1744" s="121" t="str">
        <f>Таблица18[[#This Row],[Хар-ка]]</f>
        <v>Высший</v>
      </c>
      <c r="AA1744"/>
      <c r="AB1744">
        <v>364</v>
      </c>
      <c r="AC1744"/>
      <c r="AD1744" s="460" t="s">
        <v>3116</v>
      </c>
      <c r="AE1744" t="s">
        <v>909</v>
      </c>
      <c r="AF1744" t="s">
        <v>52</v>
      </c>
    </row>
    <row r="1745" spans="1:32" s="465" customFormat="1" ht="22.5" x14ac:dyDescent="0.25">
      <c r="A1745" s="40" t="s">
        <v>3457</v>
      </c>
      <c r="B1745" s="360" t="s">
        <v>2940</v>
      </c>
      <c r="C1745" s="40">
        <v>482</v>
      </c>
      <c r="D1745" s="40">
        <v>315</v>
      </c>
      <c r="E1745" s="40" t="s">
        <v>2964</v>
      </c>
      <c r="F1745" s="40" t="s">
        <v>335</v>
      </c>
      <c r="G1745" s="40" t="s">
        <v>339</v>
      </c>
      <c r="H1745" s="40" t="s">
        <v>864</v>
      </c>
      <c r="I1745" s="40" t="str">
        <f>VLOOKUP(Таблица18[[#This Row],[Номер акта]],$AB$1:$AF$2504,3,FALSE)</f>
        <v>А-54</v>
      </c>
      <c r="J1745" s="40" t="s">
        <v>1755</v>
      </c>
      <c r="K1745" s="40" t="s">
        <v>3375</v>
      </c>
      <c r="L1745" s="121">
        <v>28310</v>
      </c>
      <c r="M1745" s="121">
        <v>14760</v>
      </c>
      <c r="N1745" s="121">
        <v>16.5</v>
      </c>
      <c r="O1745" s="363">
        <v>13550</v>
      </c>
      <c r="P1745" s="363">
        <v>11314.3</v>
      </c>
      <c r="Q1745" s="121">
        <v>2026</v>
      </c>
      <c r="R1745" s="121">
        <v>365</v>
      </c>
      <c r="S1745" s="148">
        <v>46194</v>
      </c>
      <c r="T1745" s="363">
        <f>Таблица18[[#This Row],[Вес нетто]]-Таблица18[[#This Row],[Зачетный вес]]</f>
        <v>2235.7000000000007</v>
      </c>
      <c r="U1745" s="392">
        <f>Таблица18[[#This Row],[Отход]]/Таблица18[[#This Row],[Вес нетто]]</f>
        <v>0.16499630996309969</v>
      </c>
      <c r="V1745" s="121">
        <f>MONTH(Таблица18[[#This Row],[Дата акта]])</f>
        <v>6</v>
      </c>
      <c r="W1745" s="121">
        <f>DAY(Таблица18[[#This Row],[Дата акта]])</f>
        <v>21</v>
      </c>
      <c r="X1745" s="148">
        <f>DATE(1900,Таблица18[[#This Row],[Месяц]],Таблица18[[#This Row],[Число]])</f>
        <v>173</v>
      </c>
      <c r="Y1745" s="121"/>
      <c r="Z1745" s="121" t="str">
        <f>Таблица18[[#This Row],[Хар-ка]]</f>
        <v>Высший</v>
      </c>
      <c r="AA1745"/>
      <c r="AB1745">
        <v>365</v>
      </c>
      <c r="AC1745"/>
      <c r="AD1745" s="460" t="s">
        <v>864</v>
      </c>
      <c r="AE1745" t="s">
        <v>1755</v>
      </c>
      <c r="AF1745" t="s">
        <v>2932</v>
      </c>
    </row>
    <row r="1746" spans="1:32" s="465" customFormat="1" ht="33.75" x14ac:dyDescent="0.25">
      <c r="A1746" s="40" t="s">
        <v>3449</v>
      </c>
      <c r="B1746" s="360" t="s">
        <v>2940</v>
      </c>
      <c r="C1746" s="40">
        <v>483</v>
      </c>
      <c r="D1746" s="40">
        <v>316</v>
      </c>
      <c r="E1746" s="40" t="s">
        <v>2964</v>
      </c>
      <c r="F1746" s="40" t="s">
        <v>762</v>
      </c>
      <c r="G1746" s="40" t="s">
        <v>763</v>
      </c>
      <c r="H1746" s="40" t="s">
        <v>864</v>
      </c>
      <c r="I1746" s="40" t="str">
        <f>VLOOKUP(Таблица18[[#This Row],[Номер акта]],$AB$1:$AF$2504,3,FALSE)</f>
        <v>А-54</v>
      </c>
      <c r="J1746" s="40" t="s">
        <v>1755</v>
      </c>
      <c r="K1746" s="40" t="s">
        <v>3375</v>
      </c>
      <c r="L1746" s="121">
        <v>9180</v>
      </c>
      <c r="M1746" s="121">
        <v>4660</v>
      </c>
      <c r="N1746" s="121">
        <v>17</v>
      </c>
      <c r="O1746" s="363">
        <v>4520</v>
      </c>
      <c r="P1746" s="363">
        <v>3751.6</v>
      </c>
      <c r="Q1746" s="121">
        <v>2026</v>
      </c>
      <c r="R1746" s="121">
        <v>366</v>
      </c>
      <c r="S1746" s="148">
        <v>46194</v>
      </c>
      <c r="T1746" s="363">
        <f>Таблица18[[#This Row],[Вес нетто]]-Таблица18[[#This Row],[Зачетный вес]]</f>
        <v>768.40000000000009</v>
      </c>
      <c r="U1746" s="392">
        <f>Таблица18[[#This Row],[Отход]]/Таблица18[[#This Row],[Вес нетто]]</f>
        <v>0.17</v>
      </c>
      <c r="V1746" s="121">
        <f>MONTH(Таблица18[[#This Row],[Дата акта]])</f>
        <v>6</v>
      </c>
      <c r="W1746" s="121">
        <f>DAY(Таблица18[[#This Row],[Дата акта]])</f>
        <v>21</v>
      </c>
      <c r="X1746" s="148">
        <f>DATE(1900,Таблица18[[#This Row],[Месяц]],Таблица18[[#This Row],[Число]])</f>
        <v>173</v>
      </c>
      <c r="Y1746" s="121"/>
      <c r="Z1746" s="121" t="str">
        <f>Таблица18[[#This Row],[Хар-ка]]</f>
        <v>Высший</v>
      </c>
      <c r="AA1746"/>
      <c r="AB1746">
        <v>366</v>
      </c>
      <c r="AC1746"/>
      <c r="AD1746" s="460" t="s">
        <v>864</v>
      </c>
      <c r="AE1746" t="s">
        <v>1755</v>
      </c>
      <c r="AF1746" t="s">
        <v>2932</v>
      </c>
    </row>
    <row r="1747" spans="1:32" s="465" customFormat="1" ht="33.75" hidden="1" x14ac:dyDescent="0.25">
      <c r="A1747" s="40" t="s">
        <v>3507</v>
      </c>
      <c r="B1747" s="360" t="s">
        <v>3230</v>
      </c>
      <c r="C1747" s="40">
        <v>484</v>
      </c>
      <c r="D1747" s="40">
        <v>14</v>
      </c>
      <c r="E1747" s="40" t="s">
        <v>3551</v>
      </c>
      <c r="F1747" s="40" t="s">
        <v>1312</v>
      </c>
      <c r="G1747" s="40" t="s">
        <v>320</v>
      </c>
      <c r="H1747" s="40" t="s">
        <v>3114</v>
      </c>
      <c r="I1747" s="40" t="str">
        <f>VLOOKUP(Таблица18[[#This Row],[Номер акта]],$AB$1:$AF$2504,3,FALSE)</f>
        <v>18 Агролидер</v>
      </c>
      <c r="J1747" s="40" t="s">
        <v>909</v>
      </c>
      <c r="K1747" s="40" t="s">
        <v>3464</v>
      </c>
      <c r="L1747" s="121">
        <v>27610</v>
      </c>
      <c r="M1747" s="121">
        <v>14460</v>
      </c>
      <c r="N1747" s="121">
        <v>9.5</v>
      </c>
      <c r="O1747" s="363">
        <v>13150</v>
      </c>
      <c r="P1747" s="363">
        <v>11900.7</v>
      </c>
      <c r="Q1747" s="121">
        <v>2026</v>
      </c>
      <c r="R1747" s="121">
        <v>367</v>
      </c>
      <c r="S1747" s="148">
        <v>46194</v>
      </c>
      <c r="T1747" s="363">
        <f>Таблица18[[#This Row],[Вес нетто]]-Таблица18[[#This Row],[Зачетный вес]]</f>
        <v>1249.2999999999993</v>
      </c>
      <c r="U1747" s="392">
        <f>Таблица18[[#This Row],[Отход]]/Таблица18[[#This Row],[Вес нетто]]</f>
        <v>9.500380228136876E-2</v>
      </c>
      <c r="V1747" s="121">
        <f>MONTH(Таблица18[[#This Row],[Дата акта]])</f>
        <v>6</v>
      </c>
      <c r="W1747" s="121">
        <f>DAY(Таблица18[[#This Row],[Дата акта]])</f>
        <v>21</v>
      </c>
      <c r="X1747" s="148">
        <f>DATE(1900,Таблица18[[#This Row],[Месяц]],Таблица18[[#This Row],[Число]])</f>
        <v>173</v>
      </c>
      <c r="Y1747" s="121"/>
      <c r="Z1747" s="121" t="str">
        <f>Таблица18[[#This Row],[Хар-ка]]</f>
        <v>Первый</v>
      </c>
      <c r="AA1747"/>
      <c r="AB1747">
        <v>367</v>
      </c>
      <c r="AC1747"/>
      <c r="AD1747" s="460" t="s">
        <v>3116</v>
      </c>
      <c r="AE1747" t="s">
        <v>909</v>
      </c>
      <c r="AF1747" t="s">
        <v>52</v>
      </c>
    </row>
    <row r="1748" spans="1:32" s="465" customFormat="1" ht="22.5" x14ac:dyDescent="0.25">
      <c r="A1748" s="40" t="s">
        <v>3439</v>
      </c>
      <c r="B1748" s="360" t="s">
        <v>2940</v>
      </c>
      <c r="C1748" s="40">
        <v>485</v>
      </c>
      <c r="D1748" s="40">
        <v>317</v>
      </c>
      <c r="E1748" s="40" t="s">
        <v>2964</v>
      </c>
      <c r="F1748" s="40" t="s">
        <v>127</v>
      </c>
      <c r="G1748" s="40" t="s">
        <v>131</v>
      </c>
      <c r="H1748" s="40" t="s">
        <v>864</v>
      </c>
      <c r="I1748" s="40" t="str">
        <f>VLOOKUP(Таблица18[[#This Row],[Номер акта]],$AB$1:$AF$2504,3,FALSE)</f>
        <v>А-54</v>
      </c>
      <c r="J1748" s="40" t="s">
        <v>1755</v>
      </c>
      <c r="K1748" s="40" t="s">
        <v>3375</v>
      </c>
      <c r="L1748" s="121">
        <v>14290</v>
      </c>
      <c r="M1748" s="121">
        <v>9750</v>
      </c>
      <c r="N1748" s="121">
        <v>13.5</v>
      </c>
      <c r="O1748" s="363">
        <v>4540</v>
      </c>
      <c r="P1748" s="363">
        <v>3927.1</v>
      </c>
      <c r="Q1748" s="121">
        <v>2026</v>
      </c>
      <c r="R1748" s="121">
        <v>368</v>
      </c>
      <c r="S1748" s="148">
        <v>46194</v>
      </c>
      <c r="T1748" s="363">
        <f>Таблица18[[#This Row],[Вес нетто]]-Таблица18[[#This Row],[Зачетный вес]]</f>
        <v>612.90000000000009</v>
      </c>
      <c r="U1748" s="392">
        <f>Таблица18[[#This Row],[Отход]]/Таблица18[[#This Row],[Вес нетто]]</f>
        <v>0.13500000000000001</v>
      </c>
      <c r="V1748" s="121">
        <f>MONTH(Таблица18[[#This Row],[Дата акта]])</f>
        <v>6</v>
      </c>
      <c r="W1748" s="121">
        <f>DAY(Таблица18[[#This Row],[Дата акта]])</f>
        <v>21</v>
      </c>
      <c r="X1748" s="148">
        <f>DATE(1900,Таблица18[[#This Row],[Месяц]],Таблица18[[#This Row],[Число]])</f>
        <v>173</v>
      </c>
      <c r="Y1748" s="121"/>
      <c r="Z1748" s="121" t="str">
        <f>Таблица18[[#This Row],[Хар-ка]]</f>
        <v>Высший</v>
      </c>
      <c r="AA1748"/>
      <c r="AB1748">
        <v>368</v>
      </c>
      <c r="AC1748"/>
      <c r="AD1748" s="460" t="s">
        <v>864</v>
      </c>
      <c r="AE1748" t="s">
        <v>1755</v>
      </c>
      <c r="AF1748" t="s">
        <v>2932</v>
      </c>
    </row>
    <row r="1749" spans="1:32" s="465" customFormat="1" ht="22.5" hidden="1" x14ac:dyDescent="0.25">
      <c r="A1749" s="40" t="s">
        <v>3506</v>
      </c>
      <c r="B1749" s="360" t="s">
        <v>3230</v>
      </c>
      <c r="C1749" s="40">
        <v>486</v>
      </c>
      <c r="D1749" s="40">
        <v>15</v>
      </c>
      <c r="E1749" s="40" t="s">
        <v>3551</v>
      </c>
      <c r="F1749" s="40" t="s">
        <v>347</v>
      </c>
      <c r="G1749" s="40" t="s">
        <v>351</v>
      </c>
      <c r="H1749" s="40" t="s">
        <v>3114</v>
      </c>
      <c r="I1749" s="40" t="str">
        <f>VLOOKUP(Таблица18[[#This Row],[Номер акта]],$AB$1:$AF$2504,3,FALSE)</f>
        <v>18 Агролидер</v>
      </c>
      <c r="J1749" s="40" t="s">
        <v>909</v>
      </c>
      <c r="K1749" s="40" t="s">
        <v>3464</v>
      </c>
      <c r="L1749" s="121">
        <v>28990</v>
      </c>
      <c r="M1749" s="121">
        <v>15800</v>
      </c>
      <c r="N1749" s="121">
        <v>10</v>
      </c>
      <c r="O1749" s="363">
        <v>13190</v>
      </c>
      <c r="P1749" s="363">
        <v>11871</v>
      </c>
      <c r="Q1749" s="121">
        <v>2026</v>
      </c>
      <c r="R1749" s="121">
        <v>369</v>
      </c>
      <c r="S1749" s="148">
        <v>46194</v>
      </c>
      <c r="T1749" s="363">
        <f>Таблица18[[#This Row],[Вес нетто]]-Таблица18[[#This Row],[Зачетный вес]]</f>
        <v>1319</v>
      </c>
      <c r="U1749" s="392">
        <f>Таблица18[[#This Row],[Отход]]/Таблица18[[#This Row],[Вес нетто]]</f>
        <v>0.1</v>
      </c>
      <c r="V1749" s="121">
        <f>MONTH(Таблица18[[#This Row],[Дата акта]])</f>
        <v>6</v>
      </c>
      <c r="W1749" s="121">
        <f>DAY(Таблица18[[#This Row],[Дата акта]])</f>
        <v>21</v>
      </c>
      <c r="X1749" s="148">
        <f>DATE(1900,Таблица18[[#This Row],[Месяц]],Таблица18[[#This Row],[Число]])</f>
        <v>173</v>
      </c>
      <c r="Y1749" s="121"/>
      <c r="Z1749" s="121" t="str">
        <f>Таблица18[[#This Row],[Хар-ка]]</f>
        <v>Первый</v>
      </c>
      <c r="AA1749"/>
      <c r="AB1749">
        <v>369</v>
      </c>
      <c r="AC1749"/>
      <c r="AD1749" s="460" t="s">
        <v>3116</v>
      </c>
      <c r="AE1749" t="s">
        <v>909</v>
      </c>
      <c r="AF1749" t="s">
        <v>52</v>
      </c>
    </row>
    <row r="1750" spans="1:32" s="465" customFormat="1" ht="33.75" x14ac:dyDescent="0.25">
      <c r="A1750" s="40" t="s">
        <v>3454</v>
      </c>
      <c r="B1750" s="360" t="s">
        <v>2940</v>
      </c>
      <c r="C1750" s="40">
        <v>487</v>
      </c>
      <c r="D1750" s="40">
        <v>318</v>
      </c>
      <c r="E1750" s="40" t="s">
        <v>2964</v>
      </c>
      <c r="F1750" s="40" t="s">
        <v>762</v>
      </c>
      <c r="G1750" s="40" t="s">
        <v>763</v>
      </c>
      <c r="H1750" s="40" t="s">
        <v>3963</v>
      </c>
      <c r="I1750" s="40" t="str">
        <f>VLOOKUP(Таблица18[[#This Row],[Номер акта]],$AB$1:$AF$2504,3,FALSE)</f>
        <v>А-54</v>
      </c>
      <c r="J1750" s="40" t="s">
        <v>1755</v>
      </c>
      <c r="K1750" s="40" t="s">
        <v>3375</v>
      </c>
      <c r="L1750" s="121">
        <v>9130</v>
      </c>
      <c r="M1750" s="121">
        <v>4660</v>
      </c>
      <c r="N1750" s="121">
        <v>25</v>
      </c>
      <c r="O1750" s="363">
        <v>4470</v>
      </c>
      <c r="P1750" s="363">
        <v>3352.5</v>
      </c>
      <c r="Q1750" s="121">
        <v>2026</v>
      </c>
      <c r="R1750" s="121">
        <v>370</v>
      </c>
      <c r="S1750" s="148">
        <v>46194</v>
      </c>
      <c r="T1750" s="363">
        <f>Таблица18[[#This Row],[Вес нетто]]-Таблица18[[#This Row],[Зачетный вес]]</f>
        <v>1117.5</v>
      </c>
      <c r="U1750" s="392">
        <f>Таблица18[[#This Row],[Отход]]/Таблица18[[#This Row],[Вес нетто]]</f>
        <v>0.25</v>
      </c>
      <c r="V1750" s="121">
        <f>MONTH(Таблица18[[#This Row],[Дата акта]])</f>
        <v>6</v>
      </c>
      <c r="W1750" s="121">
        <f>DAY(Таблица18[[#This Row],[Дата акта]])</f>
        <v>21</v>
      </c>
      <c r="X1750" s="148">
        <f>DATE(1900,Таблица18[[#This Row],[Месяц]],Таблица18[[#This Row],[Число]])</f>
        <v>173</v>
      </c>
      <c r="Y1750" s="121"/>
      <c r="Z1750" s="121" t="str">
        <f>Таблица18[[#This Row],[Хар-ка]]</f>
        <v>Высший</v>
      </c>
      <c r="AA1750"/>
      <c r="AB1750">
        <v>370</v>
      </c>
      <c r="AC1750"/>
      <c r="AD1750" s="460" t="s">
        <v>864</v>
      </c>
      <c r="AE1750" t="s">
        <v>1755</v>
      </c>
      <c r="AF1750" t="s">
        <v>2932</v>
      </c>
    </row>
    <row r="1751" spans="1:32" s="465" customFormat="1" ht="33.75" hidden="1" x14ac:dyDescent="0.25">
      <c r="A1751" s="40" t="s">
        <v>3475</v>
      </c>
      <c r="B1751" s="360" t="s">
        <v>2940</v>
      </c>
      <c r="C1751" s="40">
        <v>488</v>
      </c>
      <c r="D1751" s="40">
        <v>16</v>
      </c>
      <c r="E1751" s="40" t="s">
        <v>3551</v>
      </c>
      <c r="F1751" s="40" t="s">
        <v>121</v>
      </c>
      <c r="G1751" s="40" t="s">
        <v>125</v>
      </c>
      <c r="H1751" s="40" t="s">
        <v>3114</v>
      </c>
      <c r="I1751" s="40" t="str">
        <f>VLOOKUP(Таблица18[[#This Row],[Номер акта]],$AB$1:$AF$2504,3,FALSE)</f>
        <v>18 Агролидер</v>
      </c>
      <c r="J1751" s="40" t="s">
        <v>909</v>
      </c>
      <c r="K1751" s="40" t="s">
        <v>3464</v>
      </c>
      <c r="L1751" s="121">
        <v>23570</v>
      </c>
      <c r="M1751" s="121">
        <v>14740</v>
      </c>
      <c r="N1751" s="121">
        <v>10.5</v>
      </c>
      <c r="O1751" s="363">
        <v>8830</v>
      </c>
      <c r="P1751" s="363">
        <v>7902.9</v>
      </c>
      <c r="Q1751" s="121">
        <v>2026</v>
      </c>
      <c r="R1751" s="121">
        <v>371</v>
      </c>
      <c r="S1751" s="148">
        <v>46194</v>
      </c>
      <c r="T1751" s="363">
        <f>Таблица18[[#This Row],[Вес нетто]]-Таблица18[[#This Row],[Зачетный вес]]</f>
        <v>927.10000000000036</v>
      </c>
      <c r="U1751" s="392">
        <f>Таблица18[[#This Row],[Отход]]/Таблица18[[#This Row],[Вес нетто]]</f>
        <v>0.10499433748584376</v>
      </c>
      <c r="V1751" s="121">
        <f>MONTH(Таблица18[[#This Row],[Дата акта]])</f>
        <v>6</v>
      </c>
      <c r="W1751" s="121">
        <f>DAY(Таблица18[[#This Row],[Дата акта]])</f>
        <v>21</v>
      </c>
      <c r="X1751" s="148">
        <f>DATE(1900,Таблица18[[#This Row],[Месяц]],Таблица18[[#This Row],[Число]])</f>
        <v>173</v>
      </c>
      <c r="Y1751" s="121"/>
      <c r="Z1751" s="121" t="str">
        <f>Таблица18[[#This Row],[Хар-ка]]</f>
        <v>Высший</v>
      </c>
      <c r="AA1751"/>
      <c r="AB1751">
        <v>371</v>
      </c>
      <c r="AC1751"/>
      <c r="AD1751" s="460" t="s">
        <v>3116</v>
      </c>
      <c r="AE1751" t="s">
        <v>909</v>
      </c>
      <c r="AF1751" t="s">
        <v>52</v>
      </c>
    </row>
    <row r="1752" spans="1:32" s="465" customFormat="1" ht="33.75" x14ac:dyDescent="0.25">
      <c r="A1752" s="40" t="s">
        <v>3459</v>
      </c>
      <c r="B1752" s="360" t="s">
        <v>2940</v>
      </c>
      <c r="C1752" s="40">
        <v>489</v>
      </c>
      <c r="D1752" s="40">
        <v>319</v>
      </c>
      <c r="E1752" s="40" t="s">
        <v>2964</v>
      </c>
      <c r="F1752" s="40" t="s">
        <v>305</v>
      </c>
      <c r="G1752" s="40" t="s">
        <v>309</v>
      </c>
      <c r="H1752" s="40" t="s">
        <v>864</v>
      </c>
      <c r="I1752" s="40" t="str">
        <f>VLOOKUP(Таблица18[[#This Row],[Номер акта]],$AB$1:$AF$2504,3,FALSE)</f>
        <v>А-54</v>
      </c>
      <c r="J1752" s="40" t="s">
        <v>1755</v>
      </c>
      <c r="K1752" s="40" t="s">
        <v>3375</v>
      </c>
      <c r="L1752" s="121">
        <v>23290</v>
      </c>
      <c r="M1752" s="121">
        <v>14350</v>
      </c>
      <c r="N1752" s="121">
        <v>9.5</v>
      </c>
      <c r="O1752" s="363">
        <v>8940</v>
      </c>
      <c r="P1752" s="363">
        <v>8090.7</v>
      </c>
      <c r="Q1752" s="121">
        <v>2026</v>
      </c>
      <c r="R1752" s="121">
        <v>372</v>
      </c>
      <c r="S1752" s="148">
        <v>46194</v>
      </c>
      <c r="T1752" s="363">
        <f>Таблица18[[#This Row],[Вес нетто]]-Таблица18[[#This Row],[Зачетный вес]]</f>
        <v>849.30000000000018</v>
      </c>
      <c r="U1752" s="392">
        <f>Таблица18[[#This Row],[Отход]]/Таблица18[[#This Row],[Вес нетто]]</f>
        <v>9.5000000000000015E-2</v>
      </c>
      <c r="V1752" s="121">
        <f>MONTH(Таблица18[[#This Row],[Дата акта]])</f>
        <v>6</v>
      </c>
      <c r="W1752" s="121">
        <f>DAY(Таблица18[[#This Row],[Дата акта]])</f>
        <v>21</v>
      </c>
      <c r="X1752" s="148">
        <f>DATE(1900,Таблица18[[#This Row],[Месяц]],Таблица18[[#This Row],[Число]])</f>
        <v>173</v>
      </c>
      <c r="Y1752" s="121"/>
      <c r="Z1752" s="121" t="str">
        <f>Таблица18[[#This Row],[Хар-ка]]</f>
        <v>Высший</v>
      </c>
      <c r="AA1752"/>
      <c r="AB1752">
        <v>372</v>
      </c>
      <c r="AC1752"/>
      <c r="AD1752" s="460" t="s">
        <v>864</v>
      </c>
      <c r="AE1752" t="s">
        <v>1755</v>
      </c>
      <c r="AF1752" t="s">
        <v>2932</v>
      </c>
    </row>
    <row r="1753" spans="1:32" s="465" customFormat="1" ht="22.5" x14ac:dyDescent="0.25">
      <c r="A1753" s="40" t="s">
        <v>3462</v>
      </c>
      <c r="B1753" s="360" t="s">
        <v>2940</v>
      </c>
      <c r="C1753" s="40">
        <v>490</v>
      </c>
      <c r="D1753" s="40">
        <v>320</v>
      </c>
      <c r="E1753" s="40" t="s">
        <v>2964</v>
      </c>
      <c r="F1753" s="40" t="s">
        <v>127</v>
      </c>
      <c r="G1753" s="40" t="s">
        <v>131</v>
      </c>
      <c r="H1753" s="40" t="s">
        <v>864</v>
      </c>
      <c r="I1753" s="40" t="str">
        <f>VLOOKUP(Таблица18[[#This Row],[Номер акта]],$AB$1:$AF$2504,3,FALSE)</f>
        <v>А-54</v>
      </c>
      <c r="J1753" s="40" t="s">
        <v>1755</v>
      </c>
      <c r="K1753" s="40" t="s">
        <v>3375</v>
      </c>
      <c r="L1753" s="121">
        <v>14150</v>
      </c>
      <c r="M1753" s="121">
        <v>9740</v>
      </c>
      <c r="N1753" s="121">
        <v>16.5</v>
      </c>
      <c r="O1753" s="363">
        <v>4410</v>
      </c>
      <c r="P1753" s="363">
        <v>3682.4</v>
      </c>
      <c r="Q1753" s="121">
        <v>2026</v>
      </c>
      <c r="R1753" s="121">
        <v>373</v>
      </c>
      <c r="S1753" s="148">
        <v>46194</v>
      </c>
      <c r="T1753" s="363">
        <f>Таблица18[[#This Row],[Вес нетто]]-Таблица18[[#This Row],[Зачетный вес]]</f>
        <v>727.59999999999991</v>
      </c>
      <c r="U1753" s="392">
        <f>Таблица18[[#This Row],[Отход]]/Таблица18[[#This Row],[Вес нетто]]</f>
        <v>0.16498866213151925</v>
      </c>
      <c r="V1753" s="121">
        <f>MONTH(Таблица18[[#This Row],[Дата акта]])</f>
        <v>6</v>
      </c>
      <c r="W1753" s="121">
        <f>DAY(Таблица18[[#This Row],[Дата акта]])</f>
        <v>21</v>
      </c>
      <c r="X1753" s="148">
        <f>DATE(1900,Таблица18[[#This Row],[Месяц]],Таблица18[[#This Row],[Число]])</f>
        <v>173</v>
      </c>
      <c r="Y1753" s="121"/>
      <c r="Z1753" s="121" t="str">
        <f>Таблица18[[#This Row],[Хар-ка]]</f>
        <v>Высший</v>
      </c>
      <c r="AA1753"/>
      <c r="AB1753">
        <v>373</v>
      </c>
      <c r="AC1753"/>
      <c r="AD1753" s="460" t="s">
        <v>864</v>
      </c>
      <c r="AE1753" t="s">
        <v>1755</v>
      </c>
      <c r="AF1753" t="s">
        <v>2932</v>
      </c>
    </row>
    <row r="1754" spans="1:32" s="465" customFormat="1" ht="33.75" hidden="1" x14ac:dyDescent="0.25">
      <c r="A1754" s="40" t="s">
        <v>3465</v>
      </c>
      <c r="B1754" s="360" t="s">
        <v>2940</v>
      </c>
      <c r="C1754" s="40">
        <v>491</v>
      </c>
      <c r="D1754" s="40">
        <v>17</v>
      </c>
      <c r="E1754" s="40" t="s">
        <v>3551</v>
      </c>
      <c r="F1754" s="40" t="s">
        <v>311</v>
      </c>
      <c r="G1754" s="40" t="s">
        <v>315</v>
      </c>
      <c r="H1754" s="40" t="s">
        <v>3114</v>
      </c>
      <c r="I1754" s="40" t="str">
        <f>VLOOKUP(Таблица18[[#This Row],[Номер акта]],$AB$1:$AF$2504,3,FALSE)</f>
        <v>18 Агролидер</v>
      </c>
      <c r="J1754" s="40" t="s">
        <v>909</v>
      </c>
      <c r="K1754" s="40" t="s">
        <v>3464</v>
      </c>
      <c r="L1754" s="121">
        <v>28180</v>
      </c>
      <c r="M1754" s="121">
        <v>14990</v>
      </c>
      <c r="N1754" s="121">
        <v>7.5</v>
      </c>
      <c r="O1754" s="363">
        <v>13190</v>
      </c>
      <c r="P1754" s="363">
        <v>12200.8</v>
      </c>
      <c r="Q1754" s="121">
        <v>2026</v>
      </c>
      <c r="R1754" s="121">
        <v>374</v>
      </c>
      <c r="S1754" s="148">
        <v>46195</v>
      </c>
      <c r="T1754" s="363">
        <f>Таблица18[[#This Row],[Вес нетто]]-Таблица18[[#This Row],[Зачетный вес]]</f>
        <v>989.20000000000073</v>
      </c>
      <c r="U1754" s="392">
        <f>Таблица18[[#This Row],[Отход]]/Таблица18[[#This Row],[Вес нетто]]</f>
        <v>7.4996209249431442E-2</v>
      </c>
      <c r="V1754" s="121">
        <f>MONTH(Таблица18[[#This Row],[Дата акта]])</f>
        <v>6</v>
      </c>
      <c r="W1754" s="121">
        <f>DAY(Таблица18[[#This Row],[Дата акта]])</f>
        <v>22</v>
      </c>
      <c r="X1754" s="148">
        <f>DATE(1900,Таблица18[[#This Row],[Месяц]],Таблица18[[#This Row],[Число]])</f>
        <v>174</v>
      </c>
      <c r="Y1754" s="121"/>
      <c r="Z1754" s="121" t="str">
        <f>Таблица18[[#This Row],[Хар-ка]]</f>
        <v>Высший</v>
      </c>
      <c r="AA1754"/>
      <c r="AB1754">
        <v>374</v>
      </c>
      <c r="AC1754"/>
      <c r="AD1754" s="460" t="s">
        <v>3116</v>
      </c>
      <c r="AE1754" t="s">
        <v>909</v>
      </c>
      <c r="AF1754" t="s">
        <v>52</v>
      </c>
    </row>
    <row r="1755" spans="1:32" s="465" customFormat="1" ht="33.75" x14ac:dyDescent="0.25">
      <c r="A1755" s="40" t="s">
        <v>3456</v>
      </c>
      <c r="B1755" s="360" t="s">
        <v>2940</v>
      </c>
      <c r="C1755" s="40">
        <v>492</v>
      </c>
      <c r="D1755" s="40">
        <v>321</v>
      </c>
      <c r="E1755" s="40" t="s">
        <v>2964</v>
      </c>
      <c r="F1755" s="40" t="s">
        <v>762</v>
      </c>
      <c r="G1755" s="40" t="s">
        <v>763</v>
      </c>
      <c r="H1755" s="40" t="s">
        <v>864</v>
      </c>
      <c r="I1755" s="40" t="str">
        <f>VLOOKUP(Таблица18[[#This Row],[Номер акта]],$AB$1:$AF$2504,3,FALSE)</f>
        <v>А-54</v>
      </c>
      <c r="J1755" s="40" t="s">
        <v>1755</v>
      </c>
      <c r="K1755" s="40" t="s">
        <v>3375</v>
      </c>
      <c r="L1755" s="121">
        <v>9130</v>
      </c>
      <c r="M1755" s="121">
        <v>4660</v>
      </c>
      <c r="N1755" s="121">
        <v>14.5</v>
      </c>
      <c r="O1755" s="363">
        <v>4470</v>
      </c>
      <c r="P1755" s="363">
        <v>3821.9</v>
      </c>
      <c r="Q1755" s="121">
        <v>2026</v>
      </c>
      <c r="R1755" s="121">
        <v>375</v>
      </c>
      <c r="S1755" s="148">
        <v>46195</v>
      </c>
      <c r="T1755" s="363">
        <f>Таблица18[[#This Row],[Вес нетто]]-Таблица18[[#This Row],[Зачетный вес]]</f>
        <v>648.09999999999991</v>
      </c>
      <c r="U1755" s="392">
        <f>Таблица18[[#This Row],[Отход]]/Таблица18[[#This Row],[Вес нетто]]</f>
        <v>0.14498881431767335</v>
      </c>
      <c r="V1755" s="121">
        <f>MONTH(Таблица18[[#This Row],[Дата акта]])</f>
        <v>6</v>
      </c>
      <c r="W1755" s="121">
        <f>DAY(Таблица18[[#This Row],[Дата акта]])</f>
        <v>22</v>
      </c>
      <c r="X1755" s="148">
        <f>DATE(1900,Таблица18[[#This Row],[Месяц]],Таблица18[[#This Row],[Число]])</f>
        <v>174</v>
      </c>
      <c r="Y1755" s="121"/>
      <c r="Z1755" s="121" t="str">
        <f>Таблица18[[#This Row],[Хар-ка]]</f>
        <v>Высший</v>
      </c>
      <c r="AA1755"/>
      <c r="AB1755">
        <v>375</v>
      </c>
      <c r="AC1755"/>
      <c r="AD1755" s="460" t="s">
        <v>864</v>
      </c>
      <c r="AE1755" t="s">
        <v>1755</v>
      </c>
      <c r="AF1755" t="s">
        <v>2932</v>
      </c>
    </row>
    <row r="1756" spans="1:32" s="465" customFormat="1" ht="22.5" x14ac:dyDescent="0.25">
      <c r="A1756" s="40" t="s">
        <v>3461</v>
      </c>
      <c r="B1756" s="360" t="s">
        <v>2940</v>
      </c>
      <c r="C1756" s="40">
        <v>493</v>
      </c>
      <c r="D1756" s="40">
        <v>322</v>
      </c>
      <c r="E1756" s="40" t="s">
        <v>2964</v>
      </c>
      <c r="F1756" s="40" t="s">
        <v>127</v>
      </c>
      <c r="G1756" s="40" t="s">
        <v>131</v>
      </c>
      <c r="H1756" s="40" t="s">
        <v>864</v>
      </c>
      <c r="I1756" s="40" t="str">
        <f>VLOOKUP(Таблица18[[#This Row],[Номер акта]],$AB$1:$AF$2504,3,FALSE)</f>
        <v>А-54</v>
      </c>
      <c r="J1756" s="40" t="s">
        <v>1755</v>
      </c>
      <c r="K1756" s="40" t="s">
        <v>3375</v>
      </c>
      <c r="L1756" s="121">
        <v>14170</v>
      </c>
      <c r="M1756" s="121">
        <v>9730</v>
      </c>
      <c r="N1756" s="121">
        <v>19.5</v>
      </c>
      <c r="O1756" s="363">
        <v>4440</v>
      </c>
      <c r="P1756" s="363">
        <v>3574.2</v>
      </c>
      <c r="Q1756" s="121">
        <v>2026</v>
      </c>
      <c r="R1756" s="121">
        <v>376</v>
      </c>
      <c r="S1756" s="148">
        <v>46195</v>
      </c>
      <c r="T1756" s="363">
        <f>Таблица18[[#This Row],[Вес нетто]]-Таблица18[[#This Row],[Зачетный вес]]</f>
        <v>865.80000000000018</v>
      </c>
      <c r="U1756" s="392">
        <f>Таблица18[[#This Row],[Отход]]/Таблица18[[#This Row],[Вес нетто]]</f>
        <v>0.19500000000000003</v>
      </c>
      <c r="V1756" s="121">
        <f>MONTH(Таблица18[[#This Row],[Дата акта]])</f>
        <v>6</v>
      </c>
      <c r="W1756" s="121">
        <f>DAY(Таблица18[[#This Row],[Дата акта]])</f>
        <v>22</v>
      </c>
      <c r="X1756" s="148">
        <f>DATE(1900,Таблица18[[#This Row],[Месяц]],Таблица18[[#This Row],[Число]])</f>
        <v>174</v>
      </c>
      <c r="Y1756" s="121"/>
      <c r="Z1756" s="121" t="str">
        <f>Таблица18[[#This Row],[Хар-ка]]</f>
        <v>Высший</v>
      </c>
      <c r="AA1756"/>
      <c r="AB1756">
        <v>376</v>
      </c>
      <c r="AC1756"/>
      <c r="AD1756" s="460" t="s">
        <v>864</v>
      </c>
      <c r="AE1756" t="s">
        <v>1755</v>
      </c>
      <c r="AF1756" t="s">
        <v>2932</v>
      </c>
    </row>
    <row r="1757" spans="1:32" s="465" customFormat="1" ht="33.75" hidden="1" x14ac:dyDescent="0.25">
      <c r="A1757" s="40" t="s">
        <v>3493</v>
      </c>
      <c r="B1757" s="360" t="s">
        <v>2940</v>
      </c>
      <c r="C1757" s="40">
        <v>494</v>
      </c>
      <c r="D1757" s="40">
        <v>18</v>
      </c>
      <c r="E1757" s="40" t="s">
        <v>3551</v>
      </c>
      <c r="F1757" s="40" t="s">
        <v>239</v>
      </c>
      <c r="G1757" s="40" t="s">
        <v>243</v>
      </c>
      <c r="H1757" s="40" t="s">
        <v>3114</v>
      </c>
      <c r="I1757" s="40" t="str">
        <f>VLOOKUP(Таблица18[[#This Row],[Номер акта]],$AB$1:$AF$2504,3,FALSE)</f>
        <v>18 Агролидер</v>
      </c>
      <c r="J1757" s="40" t="s">
        <v>909</v>
      </c>
      <c r="K1757" s="40" t="s">
        <v>3464</v>
      </c>
      <c r="L1757" s="121">
        <v>27170</v>
      </c>
      <c r="M1757" s="121">
        <v>14360</v>
      </c>
      <c r="N1757" s="121">
        <v>10.5</v>
      </c>
      <c r="O1757" s="363">
        <v>12810</v>
      </c>
      <c r="P1757" s="363">
        <v>11464.9</v>
      </c>
      <c r="Q1757" s="121">
        <v>2026</v>
      </c>
      <c r="R1757" s="121">
        <v>377</v>
      </c>
      <c r="S1757" s="148">
        <v>46195</v>
      </c>
      <c r="T1757" s="363">
        <f>Таблица18[[#This Row],[Вес нетто]]-Таблица18[[#This Row],[Зачетный вес]]</f>
        <v>1345.1000000000004</v>
      </c>
      <c r="U1757" s="392">
        <f>Таблица18[[#This Row],[Отход]]/Таблица18[[#This Row],[Вес нетто]]</f>
        <v>0.10500390320062454</v>
      </c>
      <c r="V1757" s="121">
        <f>MONTH(Таблица18[[#This Row],[Дата акта]])</f>
        <v>6</v>
      </c>
      <c r="W1757" s="121">
        <f>DAY(Таблица18[[#This Row],[Дата акта]])</f>
        <v>22</v>
      </c>
      <c r="X1757" s="148">
        <f>DATE(1900,Таблица18[[#This Row],[Месяц]],Таблица18[[#This Row],[Число]])</f>
        <v>174</v>
      </c>
      <c r="Y1757" s="121"/>
      <c r="Z1757" s="121" t="str">
        <f>Таблица18[[#This Row],[Хар-ка]]</f>
        <v>Высший</v>
      </c>
      <c r="AA1757"/>
      <c r="AB1757">
        <v>377</v>
      </c>
      <c r="AC1757"/>
      <c r="AD1757" s="460" t="s">
        <v>3116</v>
      </c>
      <c r="AE1757" t="s">
        <v>909</v>
      </c>
      <c r="AF1757" t="s">
        <v>52</v>
      </c>
    </row>
    <row r="1758" spans="1:32" s="465" customFormat="1" ht="22.5" hidden="1" x14ac:dyDescent="0.25">
      <c r="A1758" s="40" t="s">
        <v>3467</v>
      </c>
      <c r="B1758" s="360" t="s">
        <v>2940</v>
      </c>
      <c r="C1758" s="40">
        <v>495</v>
      </c>
      <c r="D1758" s="40">
        <v>19</v>
      </c>
      <c r="E1758" s="40" t="s">
        <v>3551</v>
      </c>
      <c r="F1758" s="40" t="s">
        <v>212</v>
      </c>
      <c r="G1758" s="40" t="s">
        <v>2965</v>
      </c>
      <c r="H1758" s="40" t="s">
        <v>3114</v>
      </c>
      <c r="I1758" s="40" t="str">
        <f>VLOOKUP(Таблица18[[#This Row],[Номер акта]],$AB$1:$AF$2504,3,FALSE)</f>
        <v>18 Агролидер</v>
      </c>
      <c r="J1758" s="40" t="s">
        <v>909</v>
      </c>
      <c r="K1758" s="40" t="s">
        <v>3464</v>
      </c>
      <c r="L1758" s="121">
        <v>28540</v>
      </c>
      <c r="M1758" s="121">
        <v>15790</v>
      </c>
      <c r="N1758" s="121">
        <v>13.5</v>
      </c>
      <c r="O1758" s="363">
        <v>12750</v>
      </c>
      <c r="P1758" s="363">
        <v>11028.7</v>
      </c>
      <c r="Q1758" s="121">
        <v>2026</v>
      </c>
      <c r="R1758" s="121">
        <v>378</v>
      </c>
      <c r="S1758" s="148">
        <v>46195</v>
      </c>
      <c r="T1758" s="363">
        <f>Таблица18[[#This Row],[Вес нетто]]-Таблица18[[#This Row],[Зачетный вес]]</f>
        <v>1721.2999999999993</v>
      </c>
      <c r="U1758" s="392">
        <f>Таблица18[[#This Row],[Отход]]/Таблица18[[#This Row],[Вес нетто]]</f>
        <v>0.13500392156862739</v>
      </c>
      <c r="V1758" s="121">
        <f>MONTH(Таблица18[[#This Row],[Дата акта]])</f>
        <v>6</v>
      </c>
      <c r="W1758" s="121">
        <f>DAY(Таблица18[[#This Row],[Дата акта]])</f>
        <v>22</v>
      </c>
      <c r="X1758" s="148">
        <f>DATE(1900,Таблица18[[#This Row],[Месяц]],Таблица18[[#This Row],[Число]])</f>
        <v>174</v>
      </c>
      <c r="Y1758" s="121"/>
      <c r="Z1758" s="121" t="str">
        <f>Таблица18[[#This Row],[Хар-ка]]</f>
        <v>Высший</v>
      </c>
      <c r="AA1758"/>
      <c r="AB1758">
        <v>378</v>
      </c>
      <c r="AC1758"/>
      <c r="AD1758" s="460" t="s">
        <v>3116</v>
      </c>
      <c r="AE1758" t="s">
        <v>909</v>
      </c>
      <c r="AF1758" t="s">
        <v>52</v>
      </c>
    </row>
    <row r="1759" spans="1:32" s="465" customFormat="1" ht="33.75" x14ac:dyDescent="0.25">
      <c r="A1759" s="40" t="s">
        <v>3453</v>
      </c>
      <c r="B1759" s="360" t="s">
        <v>2940</v>
      </c>
      <c r="C1759" s="40">
        <v>496</v>
      </c>
      <c r="D1759" s="40">
        <v>323</v>
      </c>
      <c r="E1759" s="40" t="s">
        <v>2964</v>
      </c>
      <c r="F1759" s="40" t="s">
        <v>762</v>
      </c>
      <c r="G1759" s="40" t="s">
        <v>763</v>
      </c>
      <c r="H1759" s="40" t="s">
        <v>864</v>
      </c>
      <c r="I1759" s="40" t="str">
        <f>VLOOKUP(Таблица18[[#This Row],[Номер акта]],$AB$1:$AF$2504,3,FALSE)</f>
        <v>А-54</v>
      </c>
      <c r="J1759" s="40" t="s">
        <v>1755</v>
      </c>
      <c r="K1759" s="40" t="s">
        <v>3375</v>
      </c>
      <c r="L1759" s="121">
        <v>9140</v>
      </c>
      <c r="M1759" s="121">
        <v>4640</v>
      </c>
      <c r="N1759" s="121">
        <v>10.5</v>
      </c>
      <c r="O1759" s="363">
        <v>4500</v>
      </c>
      <c r="P1759" s="363">
        <v>4027.5</v>
      </c>
      <c r="Q1759" s="121">
        <v>2026</v>
      </c>
      <c r="R1759" s="121">
        <v>379</v>
      </c>
      <c r="S1759" s="148">
        <v>46195</v>
      </c>
      <c r="T1759" s="363">
        <f>Таблица18[[#This Row],[Вес нетто]]-Таблица18[[#This Row],[Зачетный вес]]</f>
        <v>472.5</v>
      </c>
      <c r="U1759" s="392">
        <f>Таблица18[[#This Row],[Отход]]/Таблица18[[#This Row],[Вес нетто]]</f>
        <v>0.105</v>
      </c>
      <c r="V1759" s="121">
        <f>MONTH(Таблица18[[#This Row],[Дата акта]])</f>
        <v>6</v>
      </c>
      <c r="W1759" s="121">
        <f>DAY(Таблица18[[#This Row],[Дата акта]])</f>
        <v>22</v>
      </c>
      <c r="X1759" s="148">
        <f>DATE(1900,Таблица18[[#This Row],[Месяц]],Таблица18[[#This Row],[Число]])</f>
        <v>174</v>
      </c>
      <c r="Y1759" s="121"/>
      <c r="Z1759" s="121" t="str">
        <f>Таблица18[[#This Row],[Хар-ка]]</f>
        <v>Высший</v>
      </c>
      <c r="AA1759"/>
      <c r="AB1759">
        <v>379</v>
      </c>
      <c r="AC1759"/>
      <c r="AD1759" s="460" t="s">
        <v>864</v>
      </c>
      <c r="AE1759" t="s">
        <v>1755</v>
      </c>
      <c r="AF1759" t="s">
        <v>2932</v>
      </c>
    </row>
    <row r="1760" spans="1:32" s="465" customFormat="1" ht="22.5" hidden="1" x14ac:dyDescent="0.25">
      <c r="A1760" s="40" t="s">
        <v>3471</v>
      </c>
      <c r="B1760" s="360" t="s">
        <v>2940</v>
      </c>
      <c r="C1760" s="40">
        <v>497</v>
      </c>
      <c r="D1760" s="40">
        <v>20</v>
      </c>
      <c r="E1760" s="40" t="s">
        <v>3551</v>
      </c>
      <c r="F1760" s="40" t="s">
        <v>335</v>
      </c>
      <c r="G1760" s="40" t="s">
        <v>339</v>
      </c>
      <c r="H1760" s="40" t="s">
        <v>3114</v>
      </c>
      <c r="I1760" s="40" t="str">
        <f>VLOOKUP(Таблица18[[#This Row],[Номер акта]],$AB$1:$AF$2504,3,FALSE)</f>
        <v>18 Агролидер</v>
      </c>
      <c r="J1760" s="40" t="s">
        <v>909</v>
      </c>
      <c r="K1760" s="40" t="s">
        <v>3464</v>
      </c>
      <c r="L1760" s="121">
        <v>27510</v>
      </c>
      <c r="M1760" s="121">
        <v>14720</v>
      </c>
      <c r="N1760" s="121">
        <v>6.5</v>
      </c>
      <c r="O1760" s="363">
        <v>12790</v>
      </c>
      <c r="P1760" s="363">
        <v>11958.7</v>
      </c>
      <c r="Q1760" s="121">
        <v>2026</v>
      </c>
      <c r="R1760" s="121">
        <v>380</v>
      </c>
      <c r="S1760" s="148">
        <v>46195</v>
      </c>
      <c r="T1760" s="363">
        <f>Таблица18[[#This Row],[Вес нетто]]-Таблица18[[#This Row],[Зачетный вес]]</f>
        <v>831.29999999999927</v>
      </c>
      <c r="U1760" s="392">
        <f>Таблица18[[#This Row],[Отход]]/Таблица18[[#This Row],[Вес нетто]]</f>
        <v>6.4996090695856087E-2</v>
      </c>
      <c r="V1760" s="121">
        <f>MONTH(Таблица18[[#This Row],[Дата акта]])</f>
        <v>6</v>
      </c>
      <c r="W1760" s="121">
        <f>DAY(Таблица18[[#This Row],[Дата акта]])</f>
        <v>22</v>
      </c>
      <c r="X1760" s="148">
        <f>DATE(1900,Таблица18[[#This Row],[Месяц]],Таблица18[[#This Row],[Число]])</f>
        <v>174</v>
      </c>
      <c r="Y1760" s="121"/>
      <c r="Z1760" s="121" t="str">
        <f>Таблица18[[#This Row],[Хар-ка]]</f>
        <v>Высший</v>
      </c>
      <c r="AA1760"/>
      <c r="AB1760">
        <v>380</v>
      </c>
      <c r="AC1760"/>
      <c r="AD1760" s="460" t="s">
        <v>3116</v>
      </c>
      <c r="AE1760" t="s">
        <v>909</v>
      </c>
      <c r="AF1760" t="s">
        <v>52</v>
      </c>
    </row>
    <row r="1761" spans="1:32" s="465" customFormat="1" ht="22.5" x14ac:dyDescent="0.25">
      <c r="A1761" s="40" t="s">
        <v>3463</v>
      </c>
      <c r="B1761" s="360" t="s">
        <v>2940</v>
      </c>
      <c r="C1761" s="40">
        <v>499</v>
      </c>
      <c r="D1761" s="40">
        <v>324</v>
      </c>
      <c r="E1761" s="40" t="s">
        <v>2964</v>
      </c>
      <c r="F1761" s="40" t="s">
        <v>127</v>
      </c>
      <c r="G1761" s="40" t="s">
        <v>131</v>
      </c>
      <c r="H1761" s="40" t="s">
        <v>864</v>
      </c>
      <c r="I1761" s="40" t="str">
        <f>VLOOKUP(Таблица18[[#This Row],[Номер акта]],$AB$1:$AF$2504,3,FALSE)</f>
        <v>А-54</v>
      </c>
      <c r="J1761" s="40" t="s">
        <v>1755</v>
      </c>
      <c r="K1761" s="40" t="s">
        <v>3375</v>
      </c>
      <c r="L1761" s="121">
        <v>14050</v>
      </c>
      <c r="M1761" s="121">
        <v>9730</v>
      </c>
      <c r="N1761" s="121">
        <v>12.5</v>
      </c>
      <c r="O1761" s="363">
        <v>4320</v>
      </c>
      <c r="P1761" s="363">
        <v>3780</v>
      </c>
      <c r="Q1761" s="121">
        <v>2026</v>
      </c>
      <c r="R1761" s="121">
        <v>381</v>
      </c>
      <c r="S1761" s="148">
        <v>46195</v>
      </c>
      <c r="T1761" s="363">
        <f>Таблица18[[#This Row],[Вес нетто]]-Таблица18[[#This Row],[Зачетный вес]]</f>
        <v>540</v>
      </c>
      <c r="U1761" s="392">
        <f>Таблица18[[#This Row],[Отход]]/Таблица18[[#This Row],[Вес нетто]]</f>
        <v>0.125</v>
      </c>
      <c r="V1761" s="121">
        <f>MONTH(Таблица18[[#This Row],[Дата акта]])</f>
        <v>6</v>
      </c>
      <c r="W1761" s="121">
        <f>DAY(Таблица18[[#This Row],[Дата акта]])</f>
        <v>22</v>
      </c>
      <c r="X1761" s="148">
        <f>DATE(1900,Таблица18[[#This Row],[Месяц]],Таблица18[[#This Row],[Число]])</f>
        <v>174</v>
      </c>
      <c r="Y1761" s="121"/>
      <c r="Z1761" s="121" t="str">
        <f>Таблица18[[#This Row],[Хар-ка]]</f>
        <v>Высший</v>
      </c>
      <c r="AA1761"/>
      <c r="AB1761">
        <v>381</v>
      </c>
      <c r="AC1761"/>
      <c r="AD1761" s="460" t="s">
        <v>864</v>
      </c>
      <c r="AE1761" t="s">
        <v>1755</v>
      </c>
      <c r="AF1761" t="s">
        <v>2932</v>
      </c>
    </row>
    <row r="1762" spans="1:32" s="465" customFormat="1" ht="22.5" hidden="1" x14ac:dyDescent="0.25">
      <c r="A1762" s="40" t="s">
        <v>3484</v>
      </c>
      <c r="B1762" s="360" t="s">
        <v>2940</v>
      </c>
      <c r="C1762" s="40">
        <v>500</v>
      </c>
      <c r="D1762" s="40">
        <v>21</v>
      </c>
      <c r="E1762" s="40" t="s">
        <v>3551</v>
      </c>
      <c r="F1762" s="40" t="s">
        <v>3377</v>
      </c>
      <c r="G1762" s="40" t="s">
        <v>3196</v>
      </c>
      <c r="H1762" s="40" t="s">
        <v>3114</v>
      </c>
      <c r="I1762" s="40" t="str">
        <f>VLOOKUP(Таблица18[[#This Row],[Номер акта]],$AB$1:$AF$2504,3,FALSE)</f>
        <v>18 Агролидер</v>
      </c>
      <c r="J1762" s="40" t="s">
        <v>909</v>
      </c>
      <c r="K1762" s="40" t="s">
        <v>3464</v>
      </c>
      <c r="L1762" s="121">
        <v>27190</v>
      </c>
      <c r="M1762" s="121">
        <v>14300</v>
      </c>
      <c r="N1762" s="121">
        <v>9.5</v>
      </c>
      <c r="O1762" s="363">
        <v>12890</v>
      </c>
      <c r="P1762" s="363">
        <v>11665.5</v>
      </c>
      <c r="Q1762" s="121">
        <v>2026</v>
      </c>
      <c r="R1762" s="121">
        <v>382</v>
      </c>
      <c r="S1762" s="148">
        <v>46195</v>
      </c>
      <c r="T1762" s="363">
        <f>Таблица18[[#This Row],[Вес нетто]]-Таблица18[[#This Row],[Зачетный вес]]</f>
        <v>1224.5</v>
      </c>
      <c r="U1762" s="392">
        <f>Таблица18[[#This Row],[Отход]]/Таблица18[[#This Row],[Вес нетто]]</f>
        <v>9.4996121024049654E-2</v>
      </c>
      <c r="V1762" s="121">
        <f>MONTH(Таблица18[[#This Row],[Дата акта]])</f>
        <v>6</v>
      </c>
      <c r="W1762" s="121">
        <f>DAY(Таблица18[[#This Row],[Дата акта]])</f>
        <v>22</v>
      </c>
      <c r="X1762" s="148">
        <f>DATE(1900,Таблица18[[#This Row],[Месяц]],Таблица18[[#This Row],[Число]])</f>
        <v>174</v>
      </c>
      <c r="Y1762" s="121"/>
      <c r="Z1762" s="121" t="str">
        <f>Таблица18[[#This Row],[Хар-ка]]</f>
        <v>Высший</v>
      </c>
      <c r="AA1762"/>
      <c r="AB1762">
        <v>382</v>
      </c>
      <c r="AC1762"/>
      <c r="AD1762" s="460" t="s">
        <v>3116</v>
      </c>
      <c r="AE1762" t="s">
        <v>909</v>
      </c>
      <c r="AF1762" t="s">
        <v>52</v>
      </c>
    </row>
    <row r="1763" spans="1:32" s="465" customFormat="1" ht="22.5" hidden="1" x14ac:dyDescent="0.25">
      <c r="A1763" s="40" t="s">
        <v>3496</v>
      </c>
      <c r="B1763" s="360" t="s">
        <v>2940</v>
      </c>
      <c r="C1763" s="40">
        <v>501</v>
      </c>
      <c r="D1763" s="40">
        <v>22</v>
      </c>
      <c r="E1763" s="40" t="s">
        <v>3551</v>
      </c>
      <c r="F1763" s="40" t="s">
        <v>133</v>
      </c>
      <c r="G1763" s="40" t="s">
        <v>137</v>
      </c>
      <c r="H1763" s="40" t="s">
        <v>3114</v>
      </c>
      <c r="I1763" s="40" t="str">
        <f>VLOOKUP(Таблица18[[#This Row],[Номер акта]],$AB$1:$AF$2504,3,FALSE)</f>
        <v>18 Агролидер</v>
      </c>
      <c r="J1763" s="40" t="s">
        <v>909</v>
      </c>
      <c r="K1763" s="40" t="s">
        <v>3464</v>
      </c>
      <c r="L1763" s="121">
        <v>27760</v>
      </c>
      <c r="M1763" s="121">
        <v>15090</v>
      </c>
      <c r="N1763" s="121">
        <v>10.5</v>
      </c>
      <c r="O1763" s="363">
        <v>12670</v>
      </c>
      <c r="P1763" s="363">
        <v>11339.7</v>
      </c>
      <c r="Q1763" s="121">
        <v>2026</v>
      </c>
      <c r="R1763" s="121">
        <v>383</v>
      </c>
      <c r="S1763" s="148">
        <v>46195</v>
      </c>
      <c r="T1763" s="363">
        <f>Таблица18[[#This Row],[Вес нетто]]-Таблица18[[#This Row],[Зачетный вес]]</f>
        <v>1330.2999999999993</v>
      </c>
      <c r="U1763" s="392">
        <f>Таблица18[[#This Row],[Отход]]/Таблица18[[#This Row],[Вес нетто]]</f>
        <v>0.10499605367008676</v>
      </c>
      <c r="V1763" s="121">
        <f>MONTH(Таблица18[[#This Row],[Дата акта]])</f>
        <v>6</v>
      </c>
      <c r="W1763" s="121">
        <f>DAY(Таблица18[[#This Row],[Дата акта]])</f>
        <v>22</v>
      </c>
      <c r="X1763" s="148">
        <f>DATE(1900,Таблица18[[#This Row],[Месяц]],Таблица18[[#This Row],[Число]])</f>
        <v>174</v>
      </c>
      <c r="Y1763" s="121"/>
      <c r="Z1763" s="121" t="str">
        <f>Таблица18[[#This Row],[Хар-ка]]</f>
        <v>Высший</v>
      </c>
      <c r="AA1763"/>
      <c r="AB1763">
        <v>383</v>
      </c>
      <c r="AC1763"/>
      <c r="AD1763" s="460" t="s">
        <v>3116</v>
      </c>
      <c r="AE1763" t="s">
        <v>909</v>
      </c>
      <c r="AF1763" t="s">
        <v>52</v>
      </c>
    </row>
    <row r="1764" spans="1:32" s="465" customFormat="1" ht="33.75" hidden="1" x14ac:dyDescent="0.25">
      <c r="A1764" s="40" t="s">
        <v>3498</v>
      </c>
      <c r="B1764" s="360" t="s">
        <v>2940</v>
      </c>
      <c r="C1764" s="40">
        <v>502</v>
      </c>
      <c r="D1764" s="40">
        <v>23</v>
      </c>
      <c r="E1764" s="40" t="s">
        <v>3551</v>
      </c>
      <c r="F1764" s="40" t="s">
        <v>121</v>
      </c>
      <c r="G1764" s="40" t="s">
        <v>125</v>
      </c>
      <c r="H1764" s="40" t="s">
        <v>3114</v>
      </c>
      <c r="I1764" s="40" t="str">
        <f>VLOOKUP(Таблица18[[#This Row],[Номер акта]],$AB$1:$AF$2504,3,FALSE)</f>
        <v>18 Агролидер</v>
      </c>
      <c r="J1764" s="40" t="s">
        <v>909</v>
      </c>
      <c r="K1764" s="40" t="s">
        <v>3464</v>
      </c>
      <c r="L1764" s="121">
        <v>27540</v>
      </c>
      <c r="M1764" s="121">
        <v>14710</v>
      </c>
      <c r="N1764" s="121">
        <v>8.5</v>
      </c>
      <c r="O1764" s="363">
        <v>12830</v>
      </c>
      <c r="P1764" s="363">
        <v>11739.5</v>
      </c>
      <c r="Q1764" s="121">
        <v>2026</v>
      </c>
      <c r="R1764" s="121">
        <v>384</v>
      </c>
      <c r="S1764" s="148">
        <v>46195</v>
      </c>
      <c r="T1764" s="363">
        <f>Таблица18[[#This Row],[Вес нетто]]-Таблица18[[#This Row],[Зачетный вес]]</f>
        <v>1090.5</v>
      </c>
      <c r="U1764" s="392">
        <f>Таблица18[[#This Row],[Отход]]/Таблица18[[#This Row],[Вес нетто]]</f>
        <v>8.4996102883865943E-2</v>
      </c>
      <c r="V1764" s="121">
        <f>MONTH(Таблица18[[#This Row],[Дата акта]])</f>
        <v>6</v>
      </c>
      <c r="W1764" s="121">
        <f>DAY(Таблица18[[#This Row],[Дата акта]])</f>
        <v>22</v>
      </c>
      <c r="X1764" s="148">
        <f>DATE(1900,Таблица18[[#This Row],[Месяц]],Таблица18[[#This Row],[Число]])</f>
        <v>174</v>
      </c>
      <c r="Y1764" s="121"/>
      <c r="Z1764" s="121" t="str">
        <f>Таблица18[[#This Row],[Хар-ка]]</f>
        <v>Высший</v>
      </c>
      <c r="AA1764"/>
      <c r="AB1764">
        <v>384</v>
      </c>
      <c r="AC1764"/>
      <c r="AD1764" s="460" t="s">
        <v>3116</v>
      </c>
      <c r="AE1764" t="s">
        <v>909</v>
      </c>
      <c r="AF1764" t="s">
        <v>52</v>
      </c>
    </row>
    <row r="1765" spans="1:32" s="465" customFormat="1" ht="33.75" x14ac:dyDescent="0.25">
      <c r="A1765" s="40" t="s">
        <v>3460</v>
      </c>
      <c r="B1765" s="360" t="s">
        <v>2940</v>
      </c>
      <c r="C1765" s="40">
        <v>504</v>
      </c>
      <c r="D1765" s="40">
        <v>325</v>
      </c>
      <c r="E1765" s="40" t="s">
        <v>2964</v>
      </c>
      <c r="F1765" s="40" t="s">
        <v>2967</v>
      </c>
      <c r="G1765" s="40" t="s">
        <v>1810</v>
      </c>
      <c r="H1765" s="40" t="s">
        <v>864</v>
      </c>
      <c r="I1765" s="40" t="str">
        <f>VLOOKUP(Таблица18[[#This Row],[Номер акта]],$AB$1:$AF$2504,3,FALSE)</f>
        <v>А-54</v>
      </c>
      <c r="J1765" s="40" t="s">
        <v>1755</v>
      </c>
      <c r="K1765" s="40" t="s">
        <v>3375</v>
      </c>
      <c r="L1765" s="121">
        <v>23490</v>
      </c>
      <c r="M1765" s="121">
        <v>14320</v>
      </c>
      <c r="N1765" s="121">
        <v>13.5</v>
      </c>
      <c r="O1765" s="363">
        <v>9170</v>
      </c>
      <c r="P1765" s="363">
        <v>7932.1</v>
      </c>
      <c r="Q1765" s="121">
        <v>2026</v>
      </c>
      <c r="R1765" s="121">
        <v>385</v>
      </c>
      <c r="S1765" s="148">
        <v>46195</v>
      </c>
      <c r="T1765" s="363">
        <f>Таблица18[[#This Row],[Вес нетто]]-Таблица18[[#This Row],[Зачетный вес]]</f>
        <v>1237.8999999999996</v>
      </c>
      <c r="U1765" s="392">
        <f>Таблица18[[#This Row],[Отход]]/Таблица18[[#This Row],[Вес нетто]]</f>
        <v>0.1349945474372955</v>
      </c>
      <c r="V1765" s="121">
        <f>MONTH(Таблица18[[#This Row],[Дата акта]])</f>
        <v>6</v>
      </c>
      <c r="W1765" s="121">
        <f>DAY(Таблица18[[#This Row],[Дата акта]])</f>
        <v>22</v>
      </c>
      <c r="X1765" s="148">
        <f>DATE(1900,Таблица18[[#This Row],[Месяц]],Таблица18[[#This Row],[Число]])</f>
        <v>174</v>
      </c>
      <c r="Y1765" s="121"/>
      <c r="Z1765" s="121" t="str">
        <f>Таблица18[[#This Row],[Хар-ка]]</f>
        <v>Высший</v>
      </c>
      <c r="AA1765"/>
      <c r="AB1765">
        <v>385</v>
      </c>
      <c r="AC1765"/>
      <c r="AD1765" s="460" t="s">
        <v>864</v>
      </c>
      <c r="AE1765" t="s">
        <v>1755</v>
      </c>
      <c r="AF1765" t="s">
        <v>2932</v>
      </c>
    </row>
    <row r="1766" spans="1:32" s="465" customFormat="1" ht="33.75" hidden="1" x14ac:dyDescent="0.25">
      <c r="A1766" s="40" t="s">
        <v>3487</v>
      </c>
      <c r="B1766" s="360" t="s">
        <v>2940</v>
      </c>
      <c r="C1766" s="40">
        <v>505</v>
      </c>
      <c r="D1766" s="40">
        <v>24</v>
      </c>
      <c r="E1766" s="40" t="s">
        <v>3551</v>
      </c>
      <c r="F1766" s="40" t="s">
        <v>305</v>
      </c>
      <c r="G1766" s="40" t="s">
        <v>309</v>
      </c>
      <c r="H1766" s="40" t="s">
        <v>3114</v>
      </c>
      <c r="I1766" s="40" t="str">
        <f>VLOOKUP(Таблица18[[#This Row],[Номер акта]],$AB$1:$AF$2504,3,FALSE)</f>
        <v>12 Агролидер</v>
      </c>
      <c r="J1766" s="40" t="s">
        <v>909</v>
      </c>
      <c r="K1766" s="40" t="s">
        <v>3464</v>
      </c>
      <c r="L1766" s="121">
        <v>27250</v>
      </c>
      <c r="M1766" s="121">
        <v>14380</v>
      </c>
      <c r="N1766" s="121">
        <v>9.5</v>
      </c>
      <c r="O1766" s="363">
        <v>12870</v>
      </c>
      <c r="P1766" s="363">
        <v>11647.4</v>
      </c>
      <c r="Q1766" s="121">
        <v>2026</v>
      </c>
      <c r="R1766" s="121">
        <v>386</v>
      </c>
      <c r="S1766" s="148">
        <v>46195</v>
      </c>
      <c r="T1766" s="363">
        <f>Таблица18[[#This Row],[Вес нетто]]-Таблица18[[#This Row],[Зачетный вес]]</f>
        <v>1222.6000000000004</v>
      </c>
      <c r="U1766" s="392">
        <f>Таблица18[[#This Row],[Отход]]/Таблица18[[#This Row],[Вес нетто]]</f>
        <v>9.499611499611503E-2</v>
      </c>
      <c r="V1766" s="121">
        <f>MONTH(Таблица18[[#This Row],[Дата акта]])</f>
        <v>6</v>
      </c>
      <c r="W1766" s="121">
        <f>DAY(Таблица18[[#This Row],[Дата акта]])</f>
        <v>22</v>
      </c>
      <c r="X1766" s="148">
        <f>DATE(1900,Таблица18[[#This Row],[Месяц]],Таблица18[[#This Row],[Число]])</f>
        <v>174</v>
      </c>
      <c r="Y1766" s="121"/>
      <c r="Z1766" s="121" t="str">
        <f>Таблица18[[#This Row],[Хар-ка]]</f>
        <v>Высший</v>
      </c>
      <c r="AA1766"/>
      <c r="AB1766">
        <v>386</v>
      </c>
      <c r="AC1766"/>
      <c r="AD1766" s="460" t="s">
        <v>3114</v>
      </c>
      <c r="AE1766" t="s">
        <v>909</v>
      </c>
      <c r="AF1766" t="s">
        <v>52</v>
      </c>
    </row>
    <row r="1767" spans="1:32" s="465" customFormat="1" ht="33.75" x14ac:dyDescent="0.25">
      <c r="A1767" s="40" t="s">
        <v>3442</v>
      </c>
      <c r="B1767" s="360" t="s">
        <v>2940</v>
      </c>
      <c r="C1767" s="40">
        <v>507</v>
      </c>
      <c r="D1767" s="40">
        <v>326</v>
      </c>
      <c r="E1767" s="40" t="s">
        <v>2964</v>
      </c>
      <c r="F1767" s="40" t="s">
        <v>737</v>
      </c>
      <c r="G1767" s="40" t="s">
        <v>738</v>
      </c>
      <c r="H1767" s="40" t="s">
        <v>864</v>
      </c>
      <c r="I1767" s="40" t="str">
        <f>VLOOKUP(Таблица18[[#This Row],[Номер акта]],$AB$1:$AF$2504,3,FALSE)</f>
        <v>А-54</v>
      </c>
      <c r="J1767" s="40" t="s">
        <v>1755</v>
      </c>
      <c r="K1767" s="40" t="s">
        <v>3375</v>
      </c>
      <c r="L1767" s="121">
        <v>9240</v>
      </c>
      <c r="M1767" s="121">
        <v>4640</v>
      </c>
      <c r="N1767" s="121">
        <v>19</v>
      </c>
      <c r="O1767" s="363">
        <v>4600</v>
      </c>
      <c r="P1767" s="363">
        <v>3726</v>
      </c>
      <c r="Q1767" s="121">
        <v>2026</v>
      </c>
      <c r="R1767" s="121">
        <v>387</v>
      </c>
      <c r="S1767" s="148">
        <v>46195</v>
      </c>
      <c r="T1767" s="363">
        <f>Таблица18[[#This Row],[Вес нетто]]-Таблица18[[#This Row],[Зачетный вес]]</f>
        <v>874</v>
      </c>
      <c r="U1767" s="392">
        <f>Таблица18[[#This Row],[Отход]]/Таблица18[[#This Row],[Вес нетто]]</f>
        <v>0.19</v>
      </c>
      <c r="V1767" s="121">
        <f>MONTH(Таблица18[[#This Row],[Дата акта]])</f>
        <v>6</v>
      </c>
      <c r="W1767" s="121">
        <f>DAY(Таблица18[[#This Row],[Дата акта]])</f>
        <v>22</v>
      </c>
      <c r="X1767" s="148">
        <f>DATE(1900,Таблица18[[#This Row],[Месяц]],Таблица18[[#This Row],[Число]])</f>
        <v>174</v>
      </c>
      <c r="Y1767" s="121"/>
      <c r="Z1767" s="121" t="str">
        <f>Таблица18[[#This Row],[Хар-ка]]</f>
        <v>Высший</v>
      </c>
      <c r="AA1767"/>
      <c r="AB1767">
        <v>387</v>
      </c>
      <c r="AC1767"/>
      <c r="AD1767" s="460" t="s">
        <v>864</v>
      </c>
      <c r="AE1767" t="s">
        <v>1755</v>
      </c>
      <c r="AF1767" t="s">
        <v>2932</v>
      </c>
    </row>
    <row r="1768" spans="1:32" s="465" customFormat="1" ht="33.75" hidden="1" x14ac:dyDescent="0.25">
      <c r="A1768" s="40" t="s">
        <v>3478</v>
      </c>
      <c r="B1768" s="360" t="s">
        <v>2940</v>
      </c>
      <c r="C1768" s="40">
        <v>508</v>
      </c>
      <c r="D1768" s="40">
        <v>25</v>
      </c>
      <c r="E1768" s="40" t="s">
        <v>3551</v>
      </c>
      <c r="F1768" s="40" t="s">
        <v>311</v>
      </c>
      <c r="G1768" s="40" t="s">
        <v>315</v>
      </c>
      <c r="H1768" s="40" t="s">
        <v>3114</v>
      </c>
      <c r="I1768" s="40" t="str">
        <f>VLOOKUP(Таблица18[[#This Row],[Номер акта]],$AB$1:$AF$2504,3,FALSE)</f>
        <v>12 Агролидер</v>
      </c>
      <c r="J1768" s="40" t="s">
        <v>909</v>
      </c>
      <c r="K1768" s="40" t="s">
        <v>3464</v>
      </c>
      <c r="L1768" s="121">
        <v>28160</v>
      </c>
      <c r="M1768" s="121">
        <v>15020</v>
      </c>
      <c r="N1768" s="121">
        <v>7.5</v>
      </c>
      <c r="O1768" s="363">
        <v>13140</v>
      </c>
      <c r="P1768" s="363">
        <v>12154.5</v>
      </c>
      <c r="Q1768" s="121">
        <v>2026</v>
      </c>
      <c r="R1768" s="121">
        <v>388</v>
      </c>
      <c r="S1768" s="148">
        <v>46195</v>
      </c>
      <c r="T1768" s="363">
        <f>Таблица18[[#This Row],[Вес нетто]]-Таблица18[[#This Row],[Зачетный вес]]</f>
        <v>985.5</v>
      </c>
      <c r="U1768" s="392">
        <f>Таблица18[[#This Row],[Отход]]/Таблица18[[#This Row],[Вес нетто]]</f>
        <v>7.4999999999999997E-2</v>
      </c>
      <c r="V1768" s="121">
        <f>MONTH(Таблица18[[#This Row],[Дата акта]])</f>
        <v>6</v>
      </c>
      <c r="W1768" s="121">
        <f>DAY(Таблица18[[#This Row],[Дата акта]])</f>
        <v>22</v>
      </c>
      <c r="X1768" s="148">
        <f>DATE(1900,Таблица18[[#This Row],[Месяц]],Таблица18[[#This Row],[Число]])</f>
        <v>174</v>
      </c>
      <c r="Y1768" s="121"/>
      <c r="Z1768" s="121" t="str">
        <f>Таблица18[[#This Row],[Хар-ка]]</f>
        <v>Высший</v>
      </c>
      <c r="AA1768"/>
      <c r="AB1768">
        <v>388</v>
      </c>
      <c r="AC1768"/>
      <c r="AD1768" s="460" t="s">
        <v>3114</v>
      </c>
      <c r="AE1768" t="s">
        <v>909</v>
      </c>
      <c r="AF1768" t="s">
        <v>52</v>
      </c>
    </row>
    <row r="1769" spans="1:32" s="465" customFormat="1" ht="33.75" hidden="1" x14ac:dyDescent="0.25">
      <c r="A1769" s="40" t="s">
        <v>3501</v>
      </c>
      <c r="B1769" s="360" t="s">
        <v>3230</v>
      </c>
      <c r="C1769" s="40">
        <v>509</v>
      </c>
      <c r="D1769" s="40">
        <v>26</v>
      </c>
      <c r="E1769" s="40" t="s">
        <v>3551</v>
      </c>
      <c r="F1769" s="40" t="s">
        <v>239</v>
      </c>
      <c r="G1769" s="40" t="s">
        <v>243</v>
      </c>
      <c r="H1769" s="40" t="s">
        <v>3114</v>
      </c>
      <c r="I1769" s="40" t="str">
        <f>VLOOKUP(Таблица18[[#This Row],[Номер акта]],$AB$1:$AF$2504,3,FALSE)</f>
        <v>12 Агролидер</v>
      </c>
      <c r="J1769" s="40" t="s">
        <v>909</v>
      </c>
      <c r="K1769" s="40" t="s">
        <v>3464</v>
      </c>
      <c r="L1769" s="121">
        <v>27600</v>
      </c>
      <c r="M1769" s="121">
        <v>14460</v>
      </c>
      <c r="N1769" s="121">
        <v>8.5</v>
      </c>
      <c r="O1769" s="363">
        <v>13140</v>
      </c>
      <c r="P1769" s="363">
        <v>12023.1</v>
      </c>
      <c r="Q1769" s="121">
        <v>2026</v>
      </c>
      <c r="R1769" s="121">
        <v>389</v>
      </c>
      <c r="S1769" s="148">
        <v>46195</v>
      </c>
      <c r="T1769" s="363">
        <f>Таблица18[[#This Row],[Вес нетто]]-Таблица18[[#This Row],[Зачетный вес]]</f>
        <v>1116.8999999999996</v>
      </c>
      <c r="U1769" s="392">
        <f>Таблица18[[#This Row],[Отход]]/Таблица18[[#This Row],[Вес нетто]]</f>
        <v>8.4999999999999978E-2</v>
      </c>
      <c r="V1769" s="121">
        <f>MONTH(Таблица18[[#This Row],[Дата акта]])</f>
        <v>6</v>
      </c>
      <c r="W1769" s="121">
        <f>DAY(Таблица18[[#This Row],[Дата акта]])</f>
        <v>22</v>
      </c>
      <c r="X1769" s="148">
        <f>DATE(1900,Таблица18[[#This Row],[Месяц]],Таблица18[[#This Row],[Число]])</f>
        <v>174</v>
      </c>
      <c r="Y1769" s="121"/>
      <c r="Z1769" s="121" t="str">
        <f>Таблица18[[#This Row],[Хар-ка]]</f>
        <v>Первый</v>
      </c>
      <c r="AA1769"/>
      <c r="AB1769">
        <v>389</v>
      </c>
      <c r="AC1769"/>
      <c r="AD1769" s="460" t="s">
        <v>3114</v>
      </c>
      <c r="AE1769" t="s">
        <v>909</v>
      </c>
      <c r="AF1769" t="s">
        <v>52</v>
      </c>
    </row>
    <row r="1770" spans="1:32" s="465" customFormat="1" ht="22.5" hidden="1" x14ac:dyDescent="0.25">
      <c r="A1770" s="40" t="s">
        <v>3466</v>
      </c>
      <c r="B1770" s="360" t="s">
        <v>2940</v>
      </c>
      <c r="C1770" s="40">
        <v>511</v>
      </c>
      <c r="D1770" s="40">
        <v>27</v>
      </c>
      <c r="E1770" s="40" t="s">
        <v>3551</v>
      </c>
      <c r="F1770" s="40" t="s">
        <v>3552</v>
      </c>
      <c r="G1770" s="40" t="s">
        <v>3553</v>
      </c>
      <c r="H1770" s="40" t="s">
        <v>3114</v>
      </c>
      <c r="I1770" s="40" t="str">
        <f>VLOOKUP(Таблица18[[#This Row],[Номер акта]],$AB$1:$AF$2504,3,FALSE)</f>
        <v>12 Агролидер</v>
      </c>
      <c r="J1770" s="40" t="s">
        <v>909</v>
      </c>
      <c r="K1770" s="40" t="s">
        <v>3464</v>
      </c>
      <c r="L1770" s="121">
        <v>32020</v>
      </c>
      <c r="M1770" s="121">
        <v>16000</v>
      </c>
      <c r="N1770" s="121">
        <v>8.5</v>
      </c>
      <c r="O1770" s="363">
        <v>16020</v>
      </c>
      <c r="P1770" s="363">
        <v>14658.3</v>
      </c>
      <c r="Q1770" s="121">
        <v>2026</v>
      </c>
      <c r="R1770" s="121">
        <v>390</v>
      </c>
      <c r="S1770" s="148">
        <v>46195</v>
      </c>
      <c r="T1770" s="363">
        <f>Таблица18[[#This Row],[Вес нетто]]-Таблица18[[#This Row],[Зачетный вес]]</f>
        <v>1361.7000000000007</v>
      </c>
      <c r="U1770" s="392">
        <f>Таблица18[[#This Row],[Отход]]/Таблица18[[#This Row],[Вес нетто]]</f>
        <v>8.5000000000000048E-2</v>
      </c>
      <c r="V1770" s="121">
        <f>MONTH(Таблица18[[#This Row],[Дата акта]])</f>
        <v>6</v>
      </c>
      <c r="W1770" s="121">
        <f>DAY(Таблица18[[#This Row],[Дата акта]])</f>
        <v>22</v>
      </c>
      <c r="X1770" s="148">
        <f>DATE(1900,Таблица18[[#This Row],[Месяц]],Таблица18[[#This Row],[Число]])</f>
        <v>174</v>
      </c>
      <c r="Y1770" s="121"/>
      <c r="Z1770" s="121" t="str">
        <f>Таблица18[[#This Row],[Хар-ка]]</f>
        <v>Высший</v>
      </c>
      <c r="AA1770"/>
      <c r="AB1770">
        <v>390</v>
      </c>
      <c r="AC1770"/>
      <c r="AD1770" s="460" t="s">
        <v>3114</v>
      </c>
      <c r="AE1770" t="s">
        <v>909</v>
      </c>
      <c r="AF1770" t="s">
        <v>52</v>
      </c>
    </row>
    <row r="1771" spans="1:32" s="465" customFormat="1" ht="33.75" x14ac:dyDescent="0.25">
      <c r="A1771" s="40" t="s">
        <v>3443</v>
      </c>
      <c r="B1771" s="360" t="s">
        <v>2940</v>
      </c>
      <c r="C1771" s="40">
        <v>513</v>
      </c>
      <c r="D1771" s="40">
        <v>327</v>
      </c>
      <c r="E1771" s="40" t="s">
        <v>2964</v>
      </c>
      <c r="F1771" s="40" t="s">
        <v>2967</v>
      </c>
      <c r="G1771" s="40" t="s">
        <v>1810</v>
      </c>
      <c r="H1771" s="40" t="s">
        <v>3963</v>
      </c>
      <c r="I1771" s="40" t="str">
        <f>VLOOKUP(Таблица18[[#This Row],[Номер акта]],$AB$1:$AF$2504,3,FALSE)</f>
        <v>А-54</v>
      </c>
      <c r="J1771" s="40" t="s">
        <v>1755</v>
      </c>
      <c r="K1771" s="40" t="s">
        <v>3375</v>
      </c>
      <c r="L1771" s="121">
        <v>23500</v>
      </c>
      <c r="M1771" s="121">
        <v>14300</v>
      </c>
      <c r="N1771" s="121">
        <v>10.5</v>
      </c>
      <c r="O1771" s="363">
        <v>9200</v>
      </c>
      <c r="P1771" s="363">
        <v>8234</v>
      </c>
      <c r="Q1771" s="121">
        <v>2026</v>
      </c>
      <c r="R1771" s="121">
        <v>391</v>
      </c>
      <c r="S1771" s="148">
        <v>46195</v>
      </c>
      <c r="T1771" s="363">
        <f>Таблица18[[#This Row],[Вес нетто]]-Таблица18[[#This Row],[Зачетный вес]]</f>
        <v>966</v>
      </c>
      <c r="U1771" s="392">
        <f>Таблица18[[#This Row],[Отход]]/Таблица18[[#This Row],[Вес нетто]]</f>
        <v>0.105</v>
      </c>
      <c r="V1771" s="121">
        <f>MONTH(Таблица18[[#This Row],[Дата акта]])</f>
        <v>6</v>
      </c>
      <c r="W1771" s="121">
        <f>DAY(Таблица18[[#This Row],[Дата акта]])</f>
        <v>22</v>
      </c>
      <c r="X1771" s="148">
        <f>DATE(1900,Таблица18[[#This Row],[Месяц]],Таблица18[[#This Row],[Число]])</f>
        <v>174</v>
      </c>
      <c r="Y1771" s="121"/>
      <c r="Z1771" s="121" t="str">
        <f>Таблица18[[#This Row],[Хар-ка]]</f>
        <v>Высший</v>
      </c>
      <c r="AA1771"/>
      <c r="AB1771">
        <v>391</v>
      </c>
      <c r="AC1771"/>
      <c r="AD1771" s="460" t="s">
        <v>864</v>
      </c>
      <c r="AE1771" t="s">
        <v>1755</v>
      </c>
      <c r="AF1771" t="s">
        <v>2932</v>
      </c>
    </row>
    <row r="1772" spans="1:32" s="465" customFormat="1" ht="33.75" x14ac:dyDescent="0.25">
      <c r="A1772" s="40" t="s">
        <v>3452</v>
      </c>
      <c r="B1772" s="360" t="s">
        <v>2940</v>
      </c>
      <c r="C1772" s="40">
        <v>514</v>
      </c>
      <c r="D1772" s="40">
        <v>328</v>
      </c>
      <c r="E1772" s="40" t="s">
        <v>2964</v>
      </c>
      <c r="F1772" s="40" t="s">
        <v>737</v>
      </c>
      <c r="G1772" s="40" t="s">
        <v>738</v>
      </c>
      <c r="H1772" s="40" t="s">
        <v>864</v>
      </c>
      <c r="I1772" s="40" t="str">
        <f>VLOOKUP(Таблица18[[#This Row],[Номер акта]],$AB$1:$AF$2504,3,FALSE)</f>
        <v>А-54</v>
      </c>
      <c r="J1772" s="40" t="s">
        <v>1755</v>
      </c>
      <c r="K1772" s="40" t="s">
        <v>3375</v>
      </c>
      <c r="L1772" s="121">
        <v>9230</v>
      </c>
      <c r="M1772" s="121">
        <v>4630</v>
      </c>
      <c r="N1772" s="121">
        <v>12.5</v>
      </c>
      <c r="O1772" s="363">
        <v>4600</v>
      </c>
      <c r="P1772" s="363">
        <v>4025</v>
      </c>
      <c r="Q1772" s="121">
        <v>2026</v>
      </c>
      <c r="R1772" s="121">
        <v>392</v>
      </c>
      <c r="S1772" s="148">
        <v>46195</v>
      </c>
      <c r="T1772" s="363">
        <f>Таблица18[[#This Row],[Вес нетто]]-Таблица18[[#This Row],[Зачетный вес]]</f>
        <v>575</v>
      </c>
      <c r="U1772" s="392">
        <f>Таблица18[[#This Row],[Отход]]/Таблица18[[#This Row],[Вес нетто]]</f>
        <v>0.125</v>
      </c>
      <c r="V1772" s="121">
        <f>MONTH(Таблица18[[#This Row],[Дата акта]])</f>
        <v>6</v>
      </c>
      <c r="W1772" s="121">
        <f>DAY(Таблица18[[#This Row],[Дата акта]])</f>
        <v>22</v>
      </c>
      <c r="X1772" s="148">
        <f>DATE(1900,Таблица18[[#This Row],[Месяц]],Таблица18[[#This Row],[Число]])</f>
        <v>174</v>
      </c>
      <c r="Y1772" s="121"/>
      <c r="Z1772" s="121" t="str">
        <f>Таблица18[[#This Row],[Хар-ка]]</f>
        <v>Высший</v>
      </c>
      <c r="AA1772"/>
      <c r="AB1772">
        <v>392</v>
      </c>
      <c r="AC1772"/>
      <c r="AD1772" s="460" t="s">
        <v>864</v>
      </c>
      <c r="AE1772" t="s">
        <v>1755</v>
      </c>
      <c r="AF1772" t="s">
        <v>2932</v>
      </c>
    </row>
    <row r="1773" spans="1:32" s="465" customFormat="1" ht="22.5" hidden="1" x14ac:dyDescent="0.25">
      <c r="A1773" s="40" t="s">
        <v>3504</v>
      </c>
      <c r="B1773" s="360" t="s">
        <v>3230</v>
      </c>
      <c r="C1773" s="40">
        <v>515</v>
      </c>
      <c r="D1773" s="40">
        <v>28</v>
      </c>
      <c r="E1773" s="40" t="s">
        <v>3551</v>
      </c>
      <c r="F1773" s="40" t="s">
        <v>335</v>
      </c>
      <c r="G1773" s="40" t="s">
        <v>339</v>
      </c>
      <c r="H1773" s="40" t="s">
        <v>3116</v>
      </c>
      <c r="I1773" s="40" t="str">
        <f>VLOOKUP(Таблица18[[#This Row],[Номер акта]],$AB$1:$AF$2504,3,FALSE)</f>
        <v>18 Агролидер</v>
      </c>
      <c r="J1773" s="40" t="s">
        <v>909</v>
      </c>
      <c r="K1773" s="40" t="s">
        <v>3464</v>
      </c>
      <c r="L1773" s="121">
        <v>27960</v>
      </c>
      <c r="M1773" s="121">
        <v>14700</v>
      </c>
      <c r="N1773" s="121">
        <v>6.5</v>
      </c>
      <c r="O1773" s="363">
        <v>13260</v>
      </c>
      <c r="P1773" s="363">
        <v>12398.1</v>
      </c>
      <c r="Q1773" s="121">
        <v>2026</v>
      </c>
      <c r="R1773" s="121">
        <v>393</v>
      </c>
      <c r="S1773" s="148">
        <v>46195</v>
      </c>
      <c r="T1773" s="363">
        <f>Таблица18[[#This Row],[Вес нетто]]-Таблица18[[#This Row],[Зачетный вес]]</f>
        <v>861.89999999999964</v>
      </c>
      <c r="U1773" s="392">
        <f>Таблица18[[#This Row],[Отход]]/Таблица18[[#This Row],[Вес нетто]]</f>
        <v>6.4999999999999974E-2</v>
      </c>
      <c r="V1773" s="121">
        <f>MONTH(Таблица18[[#This Row],[Дата акта]])</f>
        <v>6</v>
      </c>
      <c r="W1773" s="121">
        <f>DAY(Таблица18[[#This Row],[Дата акта]])</f>
        <v>22</v>
      </c>
      <c r="X1773" s="148">
        <f>DATE(1900,Таблица18[[#This Row],[Месяц]],Таблица18[[#This Row],[Число]])</f>
        <v>174</v>
      </c>
      <c r="Y1773" s="121"/>
      <c r="Z1773" s="121" t="str">
        <f>Таблица18[[#This Row],[Хар-ка]]</f>
        <v>Первый</v>
      </c>
      <c r="AA1773"/>
      <c r="AB1773">
        <v>393</v>
      </c>
      <c r="AC1773"/>
      <c r="AD1773" s="460" t="s">
        <v>3116</v>
      </c>
      <c r="AE1773" t="s">
        <v>909</v>
      </c>
      <c r="AF1773" t="s">
        <v>52</v>
      </c>
    </row>
    <row r="1774" spans="1:32" s="465" customFormat="1" ht="22.5" hidden="1" x14ac:dyDescent="0.25">
      <c r="A1774" s="40" t="s">
        <v>3499</v>
      </c>
      <c r="B1774" s="360" t="s">
        <v>2940</v>
      </c>
      <c r="C1774" s="40">
        <v>516</v>
      </c>
      <c r="D1774" s="40">
        <v>29</v>
      </c>
      <c r="E1774" s="40" t="s">
        <v>3551</v>
      </c>
      <c r="F1774" s="40" t="s">
        <v>1806</v>
      </c>
      <c r="G1774" s="40" t="s">
        <v>1807</v>
      </c>
      <c r="H1774" s="40" t="s">
        <v>3116</v>
      </c>
      <c r="I1774" s="40" t="str">
        <f>VLOOKUP(Таблица18[[#This Row],[Номер акта]],$AB$1:$AF$2504,3,FALSE)</f>
        <v>18 Агролидер</v>
      </c>
      <c r="J1774" s="40" t="s">
        <v>909</v>
      </c>
      <c r="K1774" s="40" t="s">
        <v>3464</v>
      </c>
      <c r="L1774" s="121">
        <v>27910</v>
      </c>
      <c r="M1774" s="121">
        <v>14820</v>
      </c>
      <c r="N1774" s="121">
        <v>8.5</v>
      </c>
      <c r="O1774" s="363">
        <v>13090</v>
      </c>
      <c r="P1774" s="363">
        <v>11977.4</v>
      </c>
      <c r="Q1774" s="121">
        <v>2026</v>
      </c>
      <c r="R1774" s="121">
        <v>394</v>
      </c>
      <c r="S1774" s="148">
        <v>46195</v>
      </c>
      <c r="T1774" s="363">
        <f>Таблица18[[#This Row],[Вес нетто]]-Таблица18[[#This Row],[Зачетный вес]]</f>
        <v>1112.6000000000004</v>
      </c>
      <c r="U1774" s="392">
        <f>Таблица18[[#This Row],[Отход]]/Таблица18[[#This Row],[Вес нетто]]</f>
        <v>8.4996180290297971E-2</v>
      </c>
      <c r="V1774" s="121">
        <f>MONTH(Таблица18[[#This Row],[Дата акта]])</f>
        <v>6</v>
      </c>
      <c r="W1774" s="121">
        <f>DAY(Таблица18[[#This Row],[Дата акта]])</f>
        <v>22</v>
      </c>
      <c r="X1774" s="148">
        <f>DATE(1900,Таблица18[[#This Row],[Месяц]],Таблица18[[#This Row],[Число]])</f>
        <v>174</v>
      </c>
      <c r="Y1774" s="121"/>
      <c r="Z1774" s="121" t="str">
        <f>Таблица18[[#This Row],[Хар-ка]]</f>
        <v>Высший</v>
      </c>
      <c r="AA1774"/>
      <c r="AB1774">
        <v>394</v>
      </c>
      <c r="AC1774"/>
      <c r="AD1774" s="460" t="s">
        <v>3116</v>
      </c>
      <c r="AE1774" t="s">
        <v>909</v>
      </c>
      <c r="AF1774" t="s">
        <v>52</v>
      </c>
    </row>
    <row r="1775" spans="1:32" s="465" customFormat="1" ht="22.5" hidden="1" x14ac:dyDescent="0.25">
      <c r="A1775" s="40" t="s">
        <v>3485</v>
      </c>
      <c r="B1775" s="360" t="s">
        <v>2940</v>
      </c>
      <c r="C1775" s="40">
        <v>517</v>
      </c>
      <c r="D1775" s="40">
        <v>30</v>
      </c>
      <c r="E1775" s="40" t="s">
        <v>3551</v>
      </c>
      <c r="F1775" s="40" t="s">
        <v>166</v>
      </c>
      <c r="G1775" s="40" t="s">
        <v>170</v>
      </c>
      <c r="H1775" s="40" t="s">
        <v>3116</v>
      </c>
      <c r="I1775" s="40" t="str">
        <f>VLOOKUP(Таблица18[[#This Row],[Номер акта]],$AB$1:$AF$2504,3,FALSE)</f>
        <v>18 Агролидер</v>
      </c>
      <c r="J1775" s="40" t="s">
        <v>909</v>
      </c>
      <c r="K1775" s="40" t="s">
        <v>3464</v>
      </c>
      <c r="L1775" s="121">
        <v>28250</v>
      </c>
      <c r="M1775" s="121">
        <v>14810</v>
      </c>
      <c r="N1775" s="121">
        <v>10.5</v>
      </c>
      <c r="O1775" s="363">
        <v>13440</v>
      </c>
      <c r="P1775" s="363">
        <v>12028.8</v>
      </c>
      <c r="Q1775" s="121">
        <v>2026</v>
      </c>
      <c r="R1775" s="121">
        <v>395</v>
      </c>
      <c r="S1775" s="148">
        <v>46195</v>
      </c>
      <c r="T1775" s="363">
        <f>Таблица18[[#This Row],[Вес нетто]]-Таблица18[[#This Row],[Зачетный вес]]</f>
        <v>1411.2000000000007</v>
      </c>
      <c r="U1775" s="392">
        <f>Таблица18[[#This Row],[Отход]]/Таблица18[[#This Row],[Вес нетто]]</f>
        <v>0.10500000000000005</v>
      </c>
      <c r="V1775" s="121">
        <f>MONTH(Таблица18[[#This Row],[Дата акта]])</f>
        <v>6</v>
      </c>
      <c r="W1775" s="121">
        <f>DAY(Таблица18[[#This Row],[Дата акта]])</f>
        <v>22</v>
      </c>
      <c r="X1775" s="148">
        <f>DATE(1900,Таблица18[[#This Row],[Месяц]],Таблица18[[#This Row],[Число]])</f>
        <v>174</v>
      </c>
      <c r="Y1775" s="121"/>
      <c r="Z1775" s="121" t="str">
        <f>Таблица18[[#This Row],[Хар-ка]]</f>
        <v>Высший</v>
      </c>
      <c r="AA1775"/>
      <c r="AB1775">
        <v>395</v>
      </c>
      <c r="AC1775"/>
      <c r="AD1775" s="460" t="s">
        <v>3116</v>
      </c>
      <c r="AE1775" t="s">
        <v>909</v>
      </c>
      <c r="AF1775" t="s">
        <v>52</v>
      </c>
    </row>
    <row r="1776" spans="1:32" s="465" customFormat="1" ht="33.75" x14ac:dyDescent="0.25">
      <c r="A1776" s="40" t="s">
        <v>3450</v>
      </c>
      <c r="B1776" s="360" t="s">
        <v>2940</v>
      </c>
      <c r="C1776" s="40">
        <v>518</v>
      </c>
      <c r="D1776" s="40">
        <v>329</v>
      </c>
      <c r="E1776" s="40" t="s">
        <v>2964</v>
      </c>
      <c r="F1776" s="40" t="s">
        <v>2967</v>
      </c>
      <c r="G1776" s="40" t="s">
        <v>1810</v>
      </c>
      <c r="H1776" s="40" t="s">
        <v>864</v>
      </c>
      <c r="I1776" s="40" t="str">
        <f>VLOOKUP(Таблица18[[#This Row],[Номер акта]],$AB$1:$AF$2504,3,FALSE)</f>
        <v>А-54</v>
      </c>
      <c r="J1776" s="40" t="s">
        <v>1755</v>
      </c>
      <c r="K1776" s="40" t="s">
        <v>3375</v>
      </c>
      <c r="L1776" s="121">
        <v>23470</v>
      </c>
      <c r="M1776" s="121">
        <v>14290</v>
      </c>
      <c r="N1776" s="121">
        <v>13.5</v>
      </c>
      <c r="O1776" s="363">
        <v>9180</v>
      </c>
      <c r="P1776" s="363">
        <v>7940.7</v>
      </c>
      <c r="Q1776" s="121">
        <v>2026</v>
      </c>
      <c r="R1776" s="121">
        <v>396</v>
      </c>
      <c r="S1776" s="148">
        <v>46195</v>
      </c>
      <c r="T1776" s="363">
        <f>Таблица18[[#This Row],[Вес нетто]]-Таблица18[[#This Row],[Зачетный вес]]</f>
        <v>1239.3000000000002</v>
      </c>
      <c r="U1776" s="392">
        <f>Таблица18[[#This Row],[Отход]]/Таблица18[[#This Row],[Вес нетто]]</f>
        <v>0.13500000000000001</v>
      </c>
      <c r="V1776" s="121">
        <f>MONTH(Таблица18[[#This Row],[Дата акта]])</f>
        <v>6</v>
      </c>
      <c r="W1776" s="121">
        <f>DAY(Таблица18[[#This Row],[Дата акта]])</f>
        <v>22</v>
      </c>
      <c r="X1776" s="148">
        <f>DATE(1900,Таблица18[[#This Row],[Месяц]],Таблица18[[#This Row],[Число]])</f>
        <v>174</v>
      </c>
      <c r="Y1776" s="121"/>
      <c r="Z1776" s="121" t="str">
        <f>Таблица18[[#This Row],[Хар-ка]]</f>
        <v>Высший</v>
      </c>
      <c r="AA1776"/>
      <c r="AB1776">
        <v>396</v>
      </c>
      <c r="AC1776"/>
      <c r="AD1776" s="460" t="s">
        <v>864</v>
      </c>
      <c r="AE1776" t="s">
        <v>1755</v>
      </c>
      <c r="AF1776" t="s">
        <v>2932</v>
      </c>
    </row>
    <row r="1777" spans="1:32" s="465" customFormat="1" ht="33.75" x14ac:dyDescent="0.25">
      <c r="A1777" s="40" t="s">
        <v>3445</v>
      </c>
      <c r="B1777" s="360" t="s">
        <v>2940</v>
      </c>
      <c r="C1777" s="40">
        <v>519</v>
      </c>
      <c r="D1777" s="40">
        <v>330</v>
      </c>
      <c r="E1777" s="40" t="s">
        <v>2964</v>
      </c>
      <c r="F1777" s="40" t="s">
        <v>737</v>
      </c>
      <c r="G1777" s="40" t="s">
        <v>738</v>
      </c>
      <c r="H1777" s="40" t="s">
        <v>864</v>
      </c>
      <c r="I1777" s="40" t="str">
        <f>VLOOKUP(Таблица18[[#This Row],[Номер акта]],$AB$1:$AF$2504,3,FALSE)</f>
        <v>А-54</v>
      </c>
      <c r="J1777" s="40" t="s">
        <v>1755</v>
      </c>
      <c r="K1777" s="40" t="s">
        <v>3375</v>
      </c>
      <c r="L1777" s="121">
        <v>9160</v>
      </c>
      <c r="M1777" s="121">
        <v>4630</v>
      </c>
      <c r="N1777" s="121">
        <v>14</v>
      </c>
      <c r="O1777" s="363">
        <v>4530</v>
      </c>
      <c r="P1777" s="363">
        <v>3895.8</v>
      </c>
      <c r="Q1777" s="121">
        <v>2026</v>
      </c>
      <c r="R1777" s="121">
        <v>397</v>
      </c>
      <c r="S1777" s="148">
        <v>46195</v>
      </c>
      <c r="T1777" s="363">
        <f>Таблица18[[#This Row],[Вес нетто]]-Таблица18[[#This Row],[Зачетный вес]]</f>
        <v>634.19999999999982</v>
      </c>
      <c r="U1777" s="392">
        <f>Таблица18[[#This Row],[Отход]]/Таблица18[[#This Row],[Вес нетто]]</f>
        <v>0.13999999999999996</v>
      </c>
      <c r="V1777" s="121">
        <f>MONTH(Таблица18[[#This Row],[Дата акта]])</f>
        <v>6</v>
      </c>
      <c r="W1777" s="121">
        <f>DAY(Таблица18[[#This Row],[Дата акта]])</f>
        <v>22</v>
      </c>
      <c r="X1777" s="148">
        <f>DATE(1900,Таблица18[[#This Row],[Месяц]],Таблица18[[#This Row],[Число]])</f>
        <v>174</v>
      </c>
      <c r="Y1777" s="121"/>
      <c r="Z1777" s="121" t="str">
        <f>Таблица18[[#This Row],[Хар-ка]]</f>
        <v>Высший</v>
      </c>
      <c r="AA1777"/>
      <c r="AB1777">
        <v>397</v>
      </c>
      <c r="AC1777"/>
      <c r="AD1777" s="460" t="s">
        <v>864</v>
      </c>
      <c r="AE1777" t="s">
        <v>1755</v>
      </c>
      <c r="AF1777" t="s">
        <v>2932</v>
      </c>
    </row>
    <row r="1778" spans="1:32" s="465" customFormat="1" ht="22.5" hidden="1" x14ac:dyDescent="0.25">
      <c r="A1778" s="40" t="s">
        <v>3481</v>
      </c>
      <c r="B1778" s="360" t="s">
        <v>2940</v>
      </c>
      <c r="C1778" s="40">
        <v>520</v>
      </c>
      <c r="D1778" s="40">
        <v>31</v>
      </c>
      <c r="E1778" s="40" t="s">
        <v>3551</v>
      </c>
      <c r="F1778" s="40" t="s">
        <v>3377</v>
      </c>
      <c r="G1778" s="40" t="s">
        <v>3196</v>
      </c>
      <c r="H1778" s="40" t="s">
        <v>3116</v>
      </c>
      <c r="I1778" s="40" t="str">
        <f>VLOOKUP(Таблица18[[#This Row],[Номер акта]],$AB$1:$AF$2504,3,FALSE)</f>
        <v>18 Агролидер</v>
      </c>
      <c r="J1778" s="40" t="s">
        <v>909</v>
      </c>
      <c r="K1778" s="40" t="s">
        <v>3464</v>
      </c>
      <c r="L1778" s="121">
        <v>27570</v>
      </c>
      <c r="M1778" s="121">
        <v>14240</v>
      </c>
      <c r="N1778" s="121">
        <v>12</v>
      </c>
      <c r="O1778" s="363">
        <v>13330</v>
      </c>
      <c r="P1778" s="363">
        <v>11730.4</v>
      </c>
      <c r="Q1778" s="121">
        <v>2026</v>
      </c>
      <c r="R1778" s="121">
        <v>398</v>
      </c>
      <c r="S1778" s="148">
        <v>46195</v>
      </c>
      <c r="T1778" s="363">
        <f>Таблица18[[#This Row],[Вес нетто]]-Таблица18[[#This Row],[Зачетный вес]]</f>
        <v>1599.6000000000004</v>
      </c>
      <c r="U1778" s="392">
        <f>Таблица18[[#This Row],[Отход]]/Таблица18[[#This Row],[Вес нетто]]</f>
        <v>0.12000000000000002</v>
      </c>
      <c r="V1778" s="121">
        <f>MONTH(Таблица18[[#This Row],[Дата акта]])</f>
        <v>6</v>
      </c>
      <c r="W1778" s="121">
        <f>DAY(Таблица18[[#This Row],[Дата акта]])</f>
        <v>22</v>
      </c>
      <c r="X1778" s="148">
        <f>DATE(1900,Таблица18[[#This Row],[Месяц]],Таблица18[[#This Row],[Число]])</f>
        <v>174</v>
      </c>
      <c r="Y1778" s="121"/>
      <c r="Z1778" s="121" t="str">
        <f>Таблица18[[#This Row],[Хар-ка]]</f>
        <v>Высший</v>
      </c>
      <c r="AA1778"/>
      <c r="AB1778">
        <v>398</v>
      </c>
      <c r="AC1778"/>
      <c r="AD1778" s="460" t="s">
        <v>3116</v>
      </c>
      <c r="AE1778" t="s">
        <v>909</v>
      </c>
      <c r="AF1778" t="s">
        <v>52</v>
      </c>
    </row>
    <row r="1779" spans="1:32" s="465" customFormat="1" ht="22.5" hidden="1" x14ac:dyDescent="0.25">
      <c r="A1779" s="40" t="s">
        <v>3482</v>
      </c>
      <c r="B1779" s="360" t="s">
        <v>2940</v>
      </c>
      <c r="C1779" s="40">
        <v>521</v>
      </c>
      <c r="D1779" s="40">
        <v>32</v>
      </c>
      <c r="E1779" s="40" t="s">
        <v>3551</v>
      </c>
      <c r="F1779" s="40" t="s">
        <v>212</v>
      </c>
      <c r="G1779" s="40" t="s">
        <v>2965</v>
      </c>
      <c r="H1779" s="40" t="s">
        <v>3116</v>
      </c>
      <c r="I1779" s="40" t="str">
        <f>VLOOKUP(Таблица18[[#This Row],[Номер акта]],$AB$1:$AF$2504,3,FALSE)</f>
        <v>18 Агролидер</v>
      </c>
      <c r="J1779" s="40" t="s">
        <v>909</v>
      </c>
      <c r="K1779" s="40" t="s">
        <v>3464</v>
      </c>
      <c r="L1779" s="121">
        <v>28920</v>
      </c>
      <c r="M1779" s="121">
        <v>15720</v>
      </c>
      <c r="N1779" s="121">
        <v>8.5</v>
      </c>
      <c r="O1779" s="363">
        <v>13200</v>
      </c>
      <c r="P1779" s="363">
        <v>12078</v>
      </c>
      <c r="Q1779" s="121">
        <v>2026</v>
      </c>
      <c r="R1779" s="121">
        <v>399</v>
      </c>
      <c r="S1779" s="148">
        <v>46195</v>
      </c>
      <c r="T1779" s="363">
        <f>Таблица18[[#This Row],[Вес нетто]]-Таблица18[[#This Row],[Зачетный вес]]</f>
        <v>1122</v>
      </c>
      <c r="U1779" s="392">
        <f>Таблица18[[#This Row],[Отход]]/Таблица18[[#This Row],[Вес нетто]]</f>
        <v>8.5000000000000006E-2</v>
      </c>
      <c r="V1779" s="121">
        <f>MONTH(Таблица18[[#This Row],[Дата акта]])</f>
        <v>6</v>
      </c>
      <c r="W1779" s="121">
        <f>DAY(Таблица18[[#This Row],[Дата акта]])</f>
        <v>22</v>
      </c>
      <c r="X1779" s="148">
        <f>DATE(1900,Таблица18[[#This Row],[Месяц]],Таблица18[[#This Row],[Число]])</f>
        <v>174</v>
      </c>
      <c r="Y1779" s="121"/>
      <c r="Z1779" s="121" t="str">
        <f>Таблица18[[#This Row],[Хар-ка]]</f>
        <v>Высший</v>
      </c>
      <c r="AA1779"/>
      <c r="AB1779">
        <v>399</v>
      </c>
      <c r="AC1779"/>
      <c r="AD1779" s="460" t="s">
        <v>3116</v>
      </c>
      <c r="AE1779" t="s">
        <v>909</v>
      </c>
      <c r="AF1779" t="s">
        <v>52</v>
      </c>
    </row>
    <row r="1780" spans="1:32" s="465" customFormat="1" ht="22.5" hidden="1" x14ac:dyDescent="0.25">
      <c r="A1780" s="40" t="s">
        <v>3502</v>
      </c>
      <c r="B1780" s="360" t="s">
        <v>3230</v>
      </c>
      <c r="C1780" s="40">
        <v>522</v>
      </c>
      <c r="D1780" s="40">
        <v>33</v>
      </c>
      <c r="E1780" s="40" t="s">
        <v>3551</v>
      </c>
      <c r="F1780" s="40" t="s">
        <v>133</v>
      </c>
      <c r="G1780" s="40" t="s">
        <v>137</v>
      </c>
      <c r="H1780" s="40" t="s">
        <v>3116</v>
      </c>
      <c r="I1780" s="40" t="str">
        <f>VLOOKUP(Таблица18[[#This Row],[Номер акта]],$AB$1:$AF$2504,3,FALSE)</f>
        <v>18 Агролидер</v>
      </c>
      <c r="J1780" s="40" t="s">
        <v>909</v>
      </c>
      <c r="K1780" s="40" t="s">
        <v>3464</v>
      </c>
      <c r="L1780" s="121">
        <v>28120</v>
      </c>
      <c r="M1780" s="121">
        <v>15030</v>
      </c>
      <c r="N1780" s="121">
        <v>9.5</v>
      </c>
      <c r="O1780" s="363">
        <v>13090</v>
      </c>
      <c r="P1780" s="363">
        <v>11846.5</v>
      </c>
      <c r="Q1780" s="121">
        <v>2026</v>
      </c>
      <c r="R1780" s="121">
        <v>400</v>
      </c>
      <c r="S1780" s="148">
        <v>46196</v>
      </c>
      <c r="T1780" s="363">
        <f>Таблица18[[#This Row],[Вес нетто]]-Таблица18[[#This Row],[Зачетный вес]]</f>
        <v>1243.5</v>
      </c>
      <c r="U1780" s="392">
        <f>Таблица18[[#This Row],[Отход]]/Таблица18[[#This Row],[Вес нетто]]</f>
        <v>9.4996180290297938E-2</v>
      </c>
      <c r="V1780" s="121">
        <f>MONTH(Таблица18[[#This Row],[Дата акта]])</f>
        <v>6</v>
      </c>
      <c r="W1780" s="121">
        <f>DAY(Таблица18[[#This Row],[Дата акта]])</f>
        <v>23</v>
      </c>
      <c r="X1780" s="148">
        <f>DATE(1900,Таблица18[[#This Row],[Месяц]],Таблица18[[#This Row],[Число]])</f>
        <v>175</v>
      </c>
      <c r="Y1780" s="121"/>
      <c r="Z1780" s="121" t="str">
        <f>Таблица18[[#This Row],[Хар-ка]]</f>
        <v>Первый</v>
      </c>
      <c r="AA1780"/>
      <c r="AB1780">
        <v>400</v>
      </c>
      <c r="AC1780"/>
      <c r="AD1780" s="460" t="s">
        <v>3116</v>
      </c>
      <c r="AE1780" t="s">
        <v>909</v>
      </c>
      <c r="AF1780" t="s">
        <v>52</v>
      </c>
    </row>
    <row r="1781" spans="1:32" s="465" customFormat="1" ht="33.75" x14ac:dyDescent="0.25">
      <c r="A1781" s="40" t="s">
        <v>3441</v>
      </c>
      <c r="B1781" s="360" t="s">
        <v>2940</v>
      </c>
      <c r="C1781" s="40">
        <v>523</v>
      </c>
      <c r="D1781" s="40">
        <v>331</v>
      </c>
      <c r="E1781" s="40" t="s">
        <v>2964</v>
      </c>
      <c r="F1781" s="40" t="s">
        <v>2967</v>
      </c>
      <c r="G1781" s="40" t="s">
        <v>1810</v>
      </c>
      <c r="H1781" s="40" t="s">
        <v>3113</v>
      </c>
      <c r="I1781" s="40" t="str">
        <f>VLOOKUP(Таблица18[[#This Row],[Номер акта]],$AB$1:$AF$2504,3,FALSE)</f>
        <v>А-82/1</v>
      </c>
      <c r="J1781" s="40" t="s">
        <v>1755</v>
      </c>
      <c r="K1781" s="40" t="s">
        <v>3375</v>
      </c>
      <c r="L1781" s="121">
        <v>23420</v>
      </c>
      <c r="M1781" s="121">
        <v>14280</v>
      </c>
      <c r="N1781" s="121">
        <v>12.5</v>
      </c>
      <c r="O1781" s="363">
        <v>9140</v>
      </c>
      <c r="P1781" s="363">
        <v>7997.5</v>
      </c>
      <c r="Q1781" s="121">
        <v>2026</v>
      </c>
      <c r="R1781" s="121">
        <v>401</v>
      </c>
      <c r="S1781" s="148">
        <v>46196</v>
      </c>
      <c r="T1781" s="363">
        <f>Таблица18[[#This Row],[Вес нетто]]-Таблица18[[#This Row],[Зачетный вес]]</f>
        <v>1142.5</v>
      </c>
      <c r="U1781" s="392">
        <f>Таблица18[[#This Row],[Отход]]/Таблица18[[#This Row],[Вес нетто]]</f>
        <v>0.125</v>
      </c>
      <c r="V1781" s="121">
        <f>MONTH(Таблица18[[#This Row],[Дата акта]])</f>
        <v>6</v>
      </c>
      <c r="W1781" s="121">
        <f>DAY(Таблица18[[#This Row],[Дата акта]])</f>
        <v>23</v>
      </c>
      <c r="X1781" s="148">
        <f>DATE(1900,Таблица18[[#This Row],[Месяц]],Таблица18[[#This Row],[Число]])</f>
        <v>175</v>
      </c>
      <c r="Y1781" s="121"/>
      <c r="Z1781" s="121" t="str">
        <f>Таблица18[[#This Row],[Хар-ка]]</f>
        <v>Высший</v>
      </c>
      <c r="AA1781"/>
      <c r="AB1781">
        <v>401</v>
      </c>
      <c r="AC1781"/>
      <c r="AD1781" s="460" t="s">
        <v>3113</v>
      </c>
      <c r="AE1781" t="s">
        <v>1755</v>
      </c>
      <c r="AF1781" t="s">
        <v>2932</v>
      </c>
    </row>
    <row r="1782" spans="1:32" s="465" customFormat="1" ht="22.5" hidden="1" x14ac:dyDescent="0.25">
      <c r="A1782" s="40" t="s">
        <v>3505</v>
      </c>
      <c r="B1782" s="360" t="s">
        <v>3230</v>
      </c>
      <c r="C1782" s="40">
        <v>524</v>
      </c>
      <c r="D1782" s="40">
        <v>34</v>
      </c>
      <c r="E1782" s="40" t="s">
        <v>3551</v>
      </c>
      <c r="F1782" s="40" t="s">
        <v>3554</v>
      </c>
      <c r="G1782" s="40" t="s">
        <v>3555</v>
      </c>
      <c r="H1782" s="40" t="s">
        <v>3116</v>
      </c>
      <c r="I1782" s="40" t="str">
        <f>VLOOKUP(Таблица18[[#This Row],[Номер акта]],$AB$1:$AF$2504,3,FALSE)</f>
        <v>18 Агролидер</v>
      </c>
      <c r="J1782" s="40" t="s">
        <v>909</v>
      </c>
      <c r="K1782" s="40" t="s">
        <v>3464</v>
      </c>
      <c r="L1782" s="121">
        <v>27310</v>
      </c>
      <c r="M1782" s="121">
        <v>14440</v>
      </c>
      <c r="N1782" s="121">
        <v>14</v>
      </c>
      <c r="O1782" s="363">
        <v>12870</v>
      </c>
      <c r="P1782" s="363">
        <v>11068.2</v>
      </c>
      <c r="Q1782" s="121">
        <v>2026</v>
      </c>
      <c r="R1782" s="121">
        <v>402</v>
      </c>
      <c r="S1782" s="148">
        <v>46196</v>
      </c>
      <c r="T1782" s="363">
        <f>Таблица18[[#This Row],[Вес нетто]]-Таблица18[[#This Row],[Зачетный вес]]</f>
        <v>1801.7999999999993</v>
      </c>
      <c r="U1782" s="392">
        <f>Таблица18[[#This Row],[Отход]]/Таблица18[[#This Row],[Вес нетто]]</f>
        <v>0.13999999999999993</v>
      </c>
      <c r="V1782" s="121">
        <f>MONTH(Таблица18[[#This Row],[Дата акта]])</f>
        <v>6</v>
      </c>
      <c r="W1782" s="121">
        <f>DAY(Таблица18[[#This Row],[Дата акта]])</f>
        <v>23</v>
      </c>
      <c r="X1782" s="148">
        <f>DATE(1900,Таблица18[[#This Row],[Месяц]],Таблица18[[#This Row],[Число]])</f>
        <v>175</v>
      </c>
      <c r="Y1782" s="121"/>
      <c r="Z1782" s="121" t="str">
        <f>Таблица18[[#This Row],[Хар-ка]]</f>
        <v>Первый</v>
      </c>
      <c r="AA1782"/>
      <c r="AB1782">
        <v>402</v>
      </c>
      <c r="AC1782"/>
      <c r="AD1782" s="460" t="s">
        <v>3116</v>
      </c>
      <c r="AE1782" t="s">
        <v>909</v>
      </c>
      <c r="AF1782" t="s">
        <v>52</v>
      </c>
    </row>
    <row r="1783" spans="1:32" s="465" customFormat="1" ht="33.75" hidden="1" x14ac:dyDescent="0.25">
      <c r="A1783" s="40" t="s">
        <v>3500</v>
      </c>
      <c r="B1783" s="360" t="s">
        <v>3230</v>
      </c>
      <c r="C1783" s="40">
        <v>525</v>
      </c>
      <c r="D1783" s="40">
        <v>35</v>
      </c>
      <c r="E1783" s="40" t="s">
        <v>3551</v>
      </c>
      <c r="F1783" s="40" t="s">
        <v>121</v>
      </c>
      <c r="G1783" s="40" t="s">
        <v>125</v>
      </c>
      <c r="H1783" s="40" t="s">
        <v>3116</v>
      </c>
      <c r="I1783" s="40" t="str">
        <f>VLOOKUP(Таблица18[[#This Row],[Номер акта]],$AB$1:$AF$2504,3,FALSE)</f>
        <v>18 Агролидер</v>
      </c>
      <c r="J1783" s="40" t="s">
        <v>909</v>
      </c>
      <c r="K1783" s="40" t="s">
        <v>3464</v>
      </c>
      <c r="L1783" s="121">
        <v>27520</v>
      </c>
      <c r="M1783" s="121">
        <v>14720</v>
      </c>
      <c r="N1783" s="121">
        <v>12.5</v>
      </c>
      <c r="O1783" s="363">
        <v>12800</v>
      </c>
      <c r="P1783" s="363">
        <v>11200</v>
      </c>
      <c r="Q1783" s="121">
        <v>2026</v>
      </c>
      <c r="R1783" s="121">
        <v>405</v>
      </c>
      <c r="S1783" s="148">
        <v>46196</v>
      </c>
      <c r="T1783" s="363">
        <f>Таблица18[[#This Row],[Вес нетто]]-Таблица18[[#This Row],[Зачетный вес]]</f>
        <v>1600</v>
      </c>
      <c r="U1783" s="392">
        <f>Таблица18[[#This Row],[Отход]]/Таблица18[[#This Row],[Вес нетто]]</f>
        <v>0.125</v>
      </c>
      <c r="V1783" s="121">
        <f>MONTH(Таблица18[[#This Row],[Дата акта]])</f>
        <v>6</v>
      </c>
      <c r="W1783" s="121">
        <f>DAY(Таблица18[[#This Row],[Дата акта]])</f>
        <v>23</v>
      </c>
      <c r="X1783" s="148">
        <f>DATE(1900,Таблица18[[#This Row],[Месяц]],Таблица18[[#This Row],[Число]])</f>
        <v>175</v>
      </c>
      <c r="Y1783" s="121"/>
      <c r="Z1783" s="121" t="str">
        <f>Таблица18[[#This Row],[Хар-ка]]</f>
        <v>Первый</v>
      </c>
      <c r="AA1783"/>
      <c r="AB1783">
        <v>405</v>
      </c>
      <c r="AC1783"/>
      <c r="AD1783" s="460" t="s">
        <v>3116</v>
      </c>
      <c r="AE1783" t="s">
        <v>909</v>
      </c>
      <c r="AF1783" t="s">
        <v>52</v>
      </c>
    </row>
    <row r="1784" spans="1:32" s="465" customFormat="1" ht="33.75" x14ac:dyDescent="0.25">
      <c r="A1784" s="40" t="s">
        <v>3438</v>
      </c>
      <c r="B1784" s="360" t="s">
        <v>2940</v>
      </c>
      <c r="C1784" s="40">
        <v>526</v>
      </c>
      <c r="D1784" s="40">
        <v>332</v>
      </c>
      <c r="E1784" s="40" t="s">
        <v>2964</v>
      </c>
      <c r="F1784" s="40" t="s">
        <v>737</v>
      </c>
      <c r="G1784" s="40" t="s">
        <v>738</v>
      </c>
      <c r="H1784" s="40" t="s">
        <v>3113</v>
      </c>
      <c r="I1784" s="40" t="str">
        <f>VLOOKUP(Таблица18[[#This Row],[Номер акта]],$AB$1:$AF$2504,3,FALSE)</f>
        <v>А-82/1</v>
      </c>
      <c r="J1784" s="40" t="s">
        <v>1755</v>
      </c>
      <c r="K1784" s="40" t="s">
        <v>3375</v>
      </c>
      <c r="L1784" s="121">
        <v>9310</v>
      </c>
      <c r="M1784" s="121">
        <v>4620</v>
      </c>
      <c r="N1784" s="121">
        <v>10.5</v>
      </c>
      <c r="O1784" s="363">
        <v>4690</v>
      </c>
      <c r="P1784" s="363">
        <v>4197.6000000000004</v>
      </c>
      <c r="Q1784" s="121">
        <v>2026</v>
      </c>
      <c r="R1784" s="121">
        <v>403</v>
      </c>
      <c r="S1784" s="148">
        <v>46196</v>
      </c>
      <c r="T1784" s="363">
        <f>Таблица18[[#This Row],[Вес нетто]]-Таблица18[[#This Row],[Зачетный вес]]</f>
        <v>492.39999999999964</v>
      </c>
      <c r="U1784" s="392">
        <f>Таблица18[[#This Row],[Отход]]/Таблица18[[#This Row],[Вес нетто]]</f>
        <v>0.10498933901918969</v>
      </c>
      <c r="V1784" s="121">
        <f>MONTH(Таблица18[[#This Row],[Дата акта]])</f>
        <v>6</v>
      </c>
      <c r="W1784" s="121">
        <f>DAY(Таблица18[[#This Row],[Дата акта]])</f>
        <v>23</v>
      </c>
      <c r="X1784" s="148">
        <f>DATE(1900,Таблица18[[#This Row],[Месяц]],Таблица18[[#This Row],[Число]])</f>
        <v>175</v>
      </c>
      <c r="Y1784" s="121"/>
      <c r="Z1784" s="121" t="str">
        <f>Таблица18[[#This Row],[Хар-ка]]</f>
        <v>Высший</v>
      </c>
      <c r="AA1784"/>
      <c r="AB1784">
        <v>403</v>
      </c>
      <c r="AC1784"/>
      <c r="AD1784" s="460" t="s">
        <v>3113</v>
      </c>
      <c r="AE1784" t="s">
        <v>1755</v>
      </c>
      <c r="AF1784" t="s">
        <v>2932</v>
      </c>
    </row>
    <row r="1785" spans="1:32" s="465" customFormat="1" ht="33.75" hidden="1" x14ac:dyDescent="0.25">
      <c r="A1785" s="40" t="s">
        <v>3503</v>
      </c>
      <c r="B1785" s="360" t="s">
        <v>3230</v>
      </c>
      <c r="C1785" s="40">
        <v>527</v>
      </c>
      <c r="D1785" s="40">
        <v>36</v>
      </c>
      <c r="E1785" s="40" t="s">
        <v>3551</v>
      </c>
      <c r="F1785" s="40" t="s">
        <v>305</v>
      </c>
      <c r="G1785" s="40" t="s">
        <v>309</v>
      </c>
      <c r="H1785" s="40" t="s">
        <v>3116</v>
      </c>
      <c r="I1785" s="40" t="str">
        <f>VLOOKUP(Таблица18[[#This Row],[Номер акта]],$AB$1:$AF$2504,3,FALSE)</f>
        <v>18 Агролидер</v>
      </c>
      <c r="J1785" s="40" t="s">
        <v>909</v>
      </c>
      <c r="K1785" s="40" t="s">
        <v>3464</v>
      </c>
      <c r="L1785" s="121">
        <v>27260</v>
      </c>
      <c r="M1785" s="121">
        <v>14450</v>
      </c>
      <c r="N1785" s="121">
        <v>7.5</v>
      </c>
      <c r="O1785" s="363">
        <v>12810</v>
      </c>
      <c r="P1785" s="363">
        <v>11849.3</v>
      </c>
      <c r="Q1785" s="121">
        <v>2026</v>
      </c>
      <c r="R1785" s="121">
        <v>404</v>
      </c>
      <c r="S1785" s="148">
        <v>46196</v>
      </c>
      <c r="T1785" s="363">
        <f>Таблица18[[#This Row],[Вес нетто]]-Таблица18[[#This Row],[Зачетный вес]]</f>
        <v>960.70000000000073</v>
      </c>
      <c r="U1785" s="392">
        <f>Таблица18[[#This Row],[Отход]]/Таблица18[[#This Row],[Вес нетто]]</f>
        <v>7.499609679937555E-2</v>
      </c>
      <c r="V1785" s="121">
        <f>MONTH(Таблица18[[#This Row],[Дата акта]])</f>
        <v>6</v>
      </c>
      <c r="W1785" s="121">
        <f>DAY(Таблица18[[#This Row],[Дата акта]])</f>
        <v>23</v>
      </c>
      <c r="X1785" s="148">
        <f>DATE(1900,Таблица18[[#This Row],[Месяц]],Таблица18[[#This Row],[Число]])</f>
        <v>175</v>
      </c>
      <c r="Y1785" s="121"/>
      <c r="Z1785" s="121" t="str">
        <f>Таблица18[[#This Row],[Хар-ка]]</f>
        <v>Первый</v>
      </c>
      <c r="AA1785"/>
      <c r="AB1785">
        <v>404</v>
      </c>
      <c r="AC1785"/>
      <c r="AD1785" s="460" t="s">
        <v>3116</v>
      </c>
      <c r="AE1785" t="s">
        <v>909</v>
      </c>
      <c r="AF1785" t="s">
        <v>52</v>
      </c>
    </row>
    <row r="1786" spans="1:32" s="465" customFormat="1" ht="33.75" hidden="1" x14ac:dyDescent="0.25">
      <c r="A1786" s="40" t="s">
        <v>3490</v>
      </c>
      <c r="B1786" s="360" t="s">
        <v>2940</v>
      </c>
      <c r="C1786" s="40">
        <v>528</v>
      </c>
      <c r="D1786" s="40">
        <v>37</v>
      </c>
      <c r="E1786" s="40" t="s">
        <v>3551</v>
      </c>
      <c r="F1786" s="40" t="s">
        <v>1461</v>
      </c>
      <c r="G1786" s="40" t="s">
        <v>149</v>
      </c>
      <c r="H1786" s="40" t="s">
        <v>3116</v>
      </c>
      <c r="I1786" s="40" t="str">
        <f>VLOOKUP(Таблица18[[#This Row],[Номер акта]],$AB$1:$AF$2504,3,FALSE)</f>
        <v>18 Агролидер</v>
      </c>
      <c r="J1786" s="40" t="s">
        <v>909</v>
      </c>
      <c r="K1786" s="40" t="s">
        <v>3464</v>
      </c>
      <c r="L1786" s="121">
        <v>27870</v>
      </c>
      <c r="M1786" s="121">
        <v>15090</v>
      </c>
      <c r="N1786" s="121">
        <v>13.5</v>
      </c>
      <c r="O1786" s="363">
        <v>12780</v>
      </c>
      <c r="P1786" s="363">
        <v>11054.7</v>
      </c>
      <c r="Q1786" s="121">
        <v>2026</v>
      </c>
      <c r="R1786" s="121">
        <v>406</v>
      </c>
      <c r="S1786" s="148">
        <v>46196</v>
      </c>
      <c r="T1786" s="363">
        <f>Таблица18[[#This Row],[Вес нетто]]-Таблица18[[#This Row],[Зачетный вес]]</f>
        <v>1725.2999999999993</v>
      </c>
      <c r="U1786" s="392">
        <f>Таблица18[[#This Row],[Отход]]/Таблица18[[#This Row],[Вес нетто]]</f>
        <v>0.13499999999999995</v>
      </c>
      <c r="V1786" s="121">
        <f>MONTH(Таблица18[[#This Row],[Дата акта]])</f>
        <v>6</v>
      </c>
      <c r="W1786" s="121">
        <f>DAY(Таблица18[[#This Row],[Дата акта]])</f>
        <v>23</v>
      </c>
      <c r="X1786" s="148">
        <f>DATE(1900,Таблица18[[#This Row],[Месяц]],Таблица18[[#This Row],[Число]])</f>
        <v>175</v>
      </c>
      <c r="Y1786" s="121"/>
      <c r="Z1786" s="121" t="str">
        <f>Таблица18[[#This Row],[Хар-ка]]</f>
        <v>Высший</v>
      </c>
      <c r="AA1786"/>
      <c r="AB1786">
        <v>406</v>
      </c>
      <c r="AC1786"/>
      <c r="AD1786" s="460" t="s">
        <v>3116</v>
      </c>
      <c r="AE1786" t="s">
        <v>909</v>
      </c>
      <c r="AF1786" t="s">
        <v>52</v>
      </c>
    </row>
    <row r="1787" spans="1:32" s="465" customFormat="1" ht="33.75" hidden="1" x14ac:dyDescent="0.25">
      <c r="A1787" s="40" t="s">
        <v>3494</v>
      </c>
      <c r="B1787" s="360" t="s">
        <v>2940</v>
      </c>
      <c r="C1787" s="40">
        <v>529</v>
      </c>
      <c r="D1787" s="40">
        <v>38</v>
      </c>
      <c r="E1787" s="40" t="s">
        <v>3551</v>
      </c>
      <c r="F1787" s="40" t="s">
        <v>311</v>
      </c>
      <c r="G1787" s="40" t="s">
        <v>315</v>
      </c>
      <c r="H1787" s="40" t="s">
        <v>3116</v>
      </c>
      <c r="I1787" s="40" t="str">
        <f>VLOOKUP(Таблица18[[#This Row],[Номер акта]],$AB$1:$AF$2504,3,FALSE)</f>
        <v>18 Агролидер</v>
      </c>
      <c r="J1787" s="40" t="s">
        <v>909</v>
      </c>
      <c r="K1787" s="40" t="s">
        <v>3464</v>
      </c>
      <c r="L1787" s="121">
        <v>27940</v>
      </c>
      <c r="M1787" s="121">
        <v>14980</v>
      </c>
      <c r="N1787" s="121">
        <v>10.5</v>
      </c>
      <c r="O1787" s="363">
        <v>12960</v>
      </c>
      <c r="P1787" s="363">
        <v>11599.2</v>
      </c>
      <c r="Q1787" s="121">
        <v>2026</v>
      </c>
      <c r="R1787" s="121">
        <v>407</v>
      </c>
      <c r="S1787" s="148">
        <v>46196</v>
      </c>
      <c r="T1787" s="363">
        <f>Таблица18[[#This Row],[Вес нетто]]-Таблица18[[#This Row],[Зачетный вес]]</f>
        <v>1360.7999999999993</v>
      </c>
      <c r="U1787" s="392">
        <f>Таблица18[[#This Row],[Отход]]/Таблица18[[#This Row],[Вес нетто]]</f>
        <v>0.10499999999999994</v>
      </c>
      <c r="V1787" s="121">
        <f>MONTH(Таблица18[[#This Row],[Дата акта]])</f>
        <v>6</v>
      </c>
      <c r="W1787" s="121">
        <f>DAY(Таблица18[[#This Row],[Дата акта]])</f>
        <v>23</v>
      </c>
      <c r="X1787" s="148">
        <f>DATE(1900,Таблица18[[#This Row],[Месяц]],Таблица18[[#This Row],[Число]])</f>
        <v>175</v>
      </c>
      <c r="Y1787" s="121"/>
      <c r="Z1787" s="121" t="str">
        <f>Таблица18[[#This Row],[Хар-ка]]</f>
        <v>Высший</v>
      </c>
      <c r="AA1787"/>
      <c r="AB1787">
        <v>407</v>
      </c>
      <c r="AC1787"/>
      <c r="AD1787" s="460" t="s">
        <v>3116</v>
      </c>
      <c r="AE1787" t="s">
        <v>909</v>
      </c>
      <c r="AF1787" t="s">
        <v>52</v>
      </c>
    </row>
    <row r="1788" spans="1:32" s="465" customFormat="1" ht="33.75" x14ac:dyDescent="0.25">
      <c r="A1788" s="40" t="s">
        <v>3440</v>
      </c>
      <c r="B1788" s="360" t="s">
        <v>2940</v>
      </c>
      <c r="C1788" s="40">
        <v>530</v>
      </c>
      <c r="D1788" s="40">
        <v>333</v>
      </c>
      <c r="E1788" s="40" t="s">
        <v>2964</v>
      </c>
      <c r="F1788" s="40" t="s">
        <v>2967</v>
      </c>
      <c r="G1788" s="40" t="s">
        <v>1810</v>
      </c>
      <c r="H1788" s="40" t="s">
        <v>864</v>
      </c>
      <c r="I1788" s="40" t="str">
        <f>VLOOKUP(Таблица18[[#This Row],[Номер акта]],$AB$1:$AF$2504,3,FALSE)</f>
        <v>А-54</v>
      </c>
      <c r="J1788" s="40" t="s">
        <v>1755</v>
      </c>
      <c r="K1788" s="40" t="s">
        <v>3375</v>
      </c>
      <c r="L1788" s="121">
        <v>25410</v>
      </c>
      <c r="M1788" s="121">
        <v>14270</v>
      </c>
      <c r="N1788" s="121">
        <v>13.5</v>
      </c>
      <c r="O1788" s="363">
        <v>11140</v>
      </c>
      <c r="P1788" s="363">
        <v>9636.1</v>
      </c>
      <c r="Q1788" s="121">
        <v>2026</v>
      </c>
      <c r="R1788" s="121">
        <v>408</v>
      </c>
      <c r="S1788" s="148">
        <v>46196</v>
      </c>
      <c r="T1788" s="363">
        <f>Таблица18[[#This Row],[Вес нетто]]-Таблица18[[#This Row],[Зачетный вес]]</f>
        <v>1503.8999999999996</v>
      </c>
      <c r="U1788" s="392">
        <f>Таблица18[[#This Row],[Отход]]/Таблица18[[#This Row],[Вес нетто]]</f>
        <v>0.13499999999999998</v>
      </c>
      <c r="V1788" s="121">
        <f>MONTH(Таблица18[[#This Row],[Дата акта]])</f>
        <v>6</v>
      </c>
      <c r="W1788" s="121">
        <f>DAY(Таблица18[[#This Row],[Дата акта]])</f>
        <v>23</v>
      </c>
      <c r="X1788" s="148">
        <f>DATE(1900,Таблица18[[#This Row],[Месяц]],Таблица18[[#This Row],[Число]])</f>
        <v>175</v>
      </c>
      <c r="Y1788" s="121"/>
      <c r="Z1788" s="121" t="str">
        <f>Таблица18[[#This Row],[Хар-ка]]</f>
        <v>Высший</v>
      </c>
      <c r="AA1788"/>
      <c r="AB1788">
        <v>408</v>
      </c>
      <c r="AC1788"/>
      <c r="AD1788" s="460" t="s">
        <v>864</v>
      </c>
      <c r="AE1788" t="s">
        <v>1755</v>
      </c>
      <c r="AF1788" t="s">
        <v>2932</v>
      </c>
    </row>
    <row r="1789" spans="1:32" s="465" customFormat="1" ht="33.75" hidden="1" x14ac:dyDescent="0.25">
      <c r="A1789" s="40" t="s">
        <v>3497</v>
      </c>
      <c r="B1789" s="360" t="s">
        <v>2940</v>
      </c>
      <c r="C1789" s="40">
        <v>531</v>
      </c>
      <c r="D1789" s="40">
        <v>39</v>
      </c>
      <c r="E1789" s="40" t="s">
        <v>3551</v>
      </c>
      <c r="F1789" s="40" t="s">
        <v>239</v>
      </c>
      <c r="G1789" s="40" t="s">
        <v>243</v>
      </c>
      <c r="H1789" s="40" t="s">
        <v>3116</v>
      </c>
      <c r="I1789" s="40" t="str">
        <f>VLOOKUP(Таблица18[[#This Row],[Номер акта]],$AB$1:$AF$2504,3,FALSE)</f>
        <v>18 Агролидер</v>
      </c>
      <c r="J1789" s="40" t="s">
        <v>909</v>
      </c>
      <c r="K1789" s="40" t="s">
        <v>3464</v>
      </c>
      <c r="L1789" s="121">
        <v>27500</v>
      </c>
      <c r="M1789" s="121">
        <v>14430</v>
      </c>
      <c r="N1789" s="121">
        <v>11.5</v>
      </c>
      <c r="O1789" s="363">
        <v>13070</v>
      </c>
      <c r="P1789" s="363">
        <v>11567</v>
      </c>
      <c r="Q1789" s="121">
        <v>2026</v>
      </c>
      <c r="R1789" s="121">
        <v>409</v>
      </c>
      <c r="S1789" s="148">
        <v>46196</v>
      </c>
      <c r="T1789" s="363">
        <f>Таблица18[[#This Row],[Вес нетто]]-Таблица18[[#This Row],[Зачетный вес]]</f>
        <v>1503</v>
      </c>
      <c r="U1789" s="392">
        <f>Таблица18[[#This Row],[Отход]]/Таблица18[[#This Row],[Вес нетто]]</f>
        <v>0.11499617444529457</v>
      </c>
      <c r="V1789" s="121">
        <f>MONTH(Таблица18[[#This Row],[Дата акта]])</f>
        <v>6</v>
      </c>
      <c r="W1789" s="121">
        <f>DAY(Таблица18[[#This Row],[Дата акта]])</f>
        <v>23</v>
      </c>
      <c r="X1789" s="148">
        <f>DATE(1900,Таблица18[[#This Row],[Месяц]],Таблица18[[#This Row],[Число]])</f>
        <v>175</v>
      </c>
      <c r="Y1789" s="121"/>
      <c r="Z1789" s="121" t="str">
        <f>Таблица18[[#This Row],[Хар-ка]]</f>
        <v>Высший</v>
      </c>
      <c r="AA1789"/>
      <c r="AB1789">
        <v>409</v>
      </c>
      <c r="AC1789"/>
      <c r="AD1789" s="460" t="s">
        <v>3116</v>
      </c>
      <c r="AE1789" t="s">
        <v>909</v>
      </c>
      <c r="AF1789" t="s">
        <v>52</v>
      </c>
    </row>
    <row r="1790" spans="1:32" s="465" customFormat="1" ht="22.5" hidden="1" x14ac:dyDescent="0.25">
      <c r="A1790" s="40" t="s">
        <v>3474</v>
      </c>
      <c r="B1790" s="360" t="s">
        <v>2940</v>
      </c>
      <c r="C1790" s="40">
        <v>532</v>
      </c>
      <c r="D1790" s="40">
        <v>40</v>
      </c>
      <c r="E1790" s="40" t="s">
        <v>3551</v>
      </c>
      <c r="F1790" s="40" t="s">
        <v>3552</v>
      </c>
      <c r="G1790" s="40" t="s">
        <v>3553</v>
      </c>
      <c r="H1790" s="40" t="s">
        <v>3116</v>
      </c>
      <c r="I1790" s="40" t="str">
        <f>VLOOKUP(Таблица18[[#This Row],[Номер акта]],$AB$1:$AF$2504,3,FALSE)</f>
        <v>18 Агролидер</v>
      </c>
      <c r="J1790" s="40" t="s">
        <v>909</v>
      </c>
      <c r="K1790" s="40" t="s">
        <v>3464</v>
      </c>
      <c r="L1790" s="121">
        <v>29060</v>
      </c>
      <c r="M1790" s="121">
        <v>15930</v>
      </c>
      <c r="N1790" s="121">
        <v>13.5</v>
      </c>
      <c r="O1790" s="363">
        <v>13130</v>
      </c>
      <c r="P1790" s="363">
        <v>11357.5</v>
      </c>
      <c r="Q1790" s="121">
        <v>2026</v>
      </c>
      <c r="R1790" s="121">
        <v>410</v>
      </c>
      <c r="S1790" s="148">
        <v>46196</v>
      </c>
      <c r="T1790" s="363">
        <f>Таблица18[[#This Row],[Вес нетто]]-Таблица18[[#This Row],[Зачетный вес]]</f>
        <v>1772.5</v>
      </c>
      <c r="U1790" s="392">
        <f>Таблица18[[#This Row],[Отход]]/Таблица18[[#This Row],[Вес нетто]]</f>
        <v>0.134996191926885</v>
      </c>
      <c r="V1790" s="121">
        <f>MONTH(Таблица18[[#This Row],[Дата акта]])</f>
        <v>6</v>
      </c>
      <c r="W1790" s="121">
        <f>DAY(Таблица18[[#This Row],[Дата акта]])</f>
        <v>23</v>
      </c>
      <c r="X1790" s="148">
        <f>DATE(1900,Таблица18[[#This Row],[Месяц]],Таблица18[[#This Row],[Число]])</f>
        <v>175</v>
      </c>
      <c r="Y1790" s="121"/>
      <c r="Z1790" s="121" t="str">
        <f>Таблица18[[#This Row],[Хар-ка]]</f>
        <v>Высший</v>
      </c>
      <c r="AA1790"/>
      <c r="AB1790">
        <v>410</v>
      </c>
      <c r="AC1790"/>
      <c r="AD1790" s="460" t="s">
        <v>3116</v>
      </c>
      <c r="AE1790" t="s">
        <v>909</v>
      </c>
      <c r="AF1790" t="s">
        <v>52</v>
      </c>
    </row>
    <row r="1791" spans="1:32" s="465" customFormat="1" ht="33.75" x14ac:dyDescent="0.25">
      <c r="A1791" s="40" t="s">
        <v>3444</v>
      </c>
      <c r="B1791" s="360" t="s">
        <v>2940</v>
      </c>
      <c r="C1791" s="40">
        <v>534</v>
      </c>
      <c r="D1791" s="40">
        <v>334</v>
      </c>
      <c r="E1791" s="40" t="s">
        <v>2964</v>
      </c>
      <c r="F1791" s="40" t="s">
        <v>762</v>
      </c>
      <c r="G1791" s="40" t="s">
        <v>763</v>
      </c>
      <c r="H1791" s="40" t="s">
        <v>864</v>
      </c>
      <c r="I1791" s="40" t="str">
        <f>VLOOKUP(Таблица18[[#This Row],[Номер акта]],$AB$1:$AF$2504,3,FALSE)</f>
        <v>А-54</v>
      </c>
      <c r="J1791" s="40" t="s">
        <v>1755</v>
      </c>
      <c r="K1791" s="40" t="s">
        <v>3375</v>
      </c>
      <c r="L1791" s="121">
        <v>9230</v>
      </c>
      <c r="M1791" s="121">
        <v>4680</v>
      </c>
      <c r="N1791" s="121">
        <v>11.5</v>
      </c>
      <c r="O1791" s="363">
        <v>4550</v>
      </c>
      <c r="P1791" s="363">
        <v>4026.8</v>
      </c>
      <c r="Q1791" s="121">
        <v>2026</v>
      </c>
      <c r="R1791" s="121">
        <v>411</v>
      </c>
      <c r="S1791" s="148">
        <v>46196</v>
      </c>
      <c r="T1791" s="363">
        <f>Таблица18[[#This Row],[Вес нетто]]-Таблица18[[#This Row],[Зачетный вес]]</f>
        <v>523.19999999999982</v>
      </c>
      <c r="U1791" s="392">
        <f>Таблица18[[#This Row],[Отход]]/Таблица18[[#This Row],[Вес нетто]]</f>
        <v>0.11498901098901095</v>
      </c>
      <c r="V1791" s="121">
        <f>MONTH(Таблица18[[#This Row],[Дата акта]])</f>
        <v>6</v>
      </c>
      <c r="W1791" s="121">
        <f>DAY(Таблица18[[#This Row],[Дата акта]])</f>
        <v>23</v>
      </c>
      <c r="X1791" s="148">
        <f>DATE(1900,Таблица18[[#This Row],[Месяц]],Таблица18[[#This Row],[Число]])</f>
        <v>175</v>
      </c>
      <c r="Y1791" s="121"/>
      <c r="Z1791" s="121" t="str">
        <f>Таблица18[[#This Row],[Хар-ка]]</f>
        <v>Высший</v>
      </c>
      <c r="AA1791"/>
      <c r="AB1791">
        <v>411</v>
      </c>
      <c r="AC1791"/>
      <c r="AD1791" s="460" t="s">
        <v>864</v>
      </c>
      <c r="AE1791" t="s">
        <v>1755</v>
      </c>
      <c r="AF1791" t="s">
        <v>2932</v>
      </c>
    </row>
    <row r="1792" spans="1:32" s="465" customFormat="1" ht="22.5" hidden="1" x14ac:dyDescent="0.25">
      <c r="A1792" s="40" t="s">
        <v>3476</v>
      </c>
      <c r="B1792" s="360" t="s">
        <v>2940</v>
      </c>
      <c r="C1792" s="40">
        <v>535</v>
      </c>
      <c r="D1792" s="40">
        <v>41</v>
      </c>
      <c r="E1792" s="40" t="s">
        <v>3551</v>
      </c>
      <c r="F1792" s="40" t="s">
        <v>894</v>
      </c>
      <c r="G1792" s="40" t="s">
        <v>895</v>
      </c>
      <c r="H1792" s="40" t="s">
        <v>3116</v>
      </c>
      <c r="I1792" s="40" t="str">
        <f>VLOOKUP(Таблица18[[#This Row],[Номер акта]],$AB$1:$AF$2504,3,FALSE)</f>
        <v>18 Агролидер</v>
      </c>
      <c r="J1792" s="40" t="s">
        <v>909</v>
      </c>
      <c r="K1792" s="40" t="s">
        <v>3464</v>
      </c>
      <c r="L1792" s="121">
        <v>28230</v>
      </c>
      <c r="M1792" s="121">
        <v>14940</v>
      </c>
      <c r="N1792" s="121">
        <v>12.5</v>
      </c>
      <c r="O1792" s="363">
        <v>13290</v>
      </c>
      <c r="P1792" s="363">
        <v>11628.8</v>
      </c>
      <c r="Q1792" s="121">
        <v>2026</v>
      </c>
      <c r="R1792" s="121">
        <v>412</v>
      </c>
      <c r="S1792" s="148">
        <v>46196</v>
      </c>
      <c r="T1792" s="363">
        <f>Таблица18[[#This Row],[Вес нетто]]-Таблица18[[#This Row],[Зачетный вес]]</f>
        <v>1661.2000000000007</v>
      </c>
      <c r="U1792" s="392">
        <f>Таблица18[[#This Row],[Отход]]/Таблица18[[#This Row],[Вес нетто]]</f>
        <v>0.12499623777276153</v>
      </c>
      <c r="V1792" s="121">
        <f>MONTH(Таблица18[[#This Row],[Дата акта]])</f>
        <v>6</v>
      </c>
      <c r="W1792" s="121">
        <f>DAY(Таблица18[[#This Row],[Дата акта]])</f>
        <v>23</v>
      </c>
      <c r="X1792" s="148">
        <f>DATE(1900,Таблица18[[#This Row],[Месяц]],Таблица18[[#This Row],[Число]])</f>
        <v>175</v>
      </c>
      <c r="Y1792" s="121"/>
      <c r="Z1792" s="121" t="str">
        <f>Таблица18[[#This Row],[Хар-ка]]</f>
        <v>Высший</v>
      </c>
      <c r="AA1792"/>
      <c r="AB1792">
        <v>412</v>
      </c>
      <c r="AC1792"/>
      <c r="AD1792" s="460" t="s">
        <v>3116</v>
      </c>
      <c r="AE1792" t="s">
        <v>909</v>
      </c>
      <c r="AF1792" t="s">
        <v>52</v>
      </c>
    </row>
    <row r="1793" spans="1:32" s="465" customFormat="1" ht="33.75" hidden="1" x14ac:dyDescent="0.25">
      <c r="A1793" s="40" t="s">
        <v>3477</v>
      </c>
      <c r="B1793" s="360" t="s">
        <v>2940</v>
      </c>
      <c r="C1793" s="40">
        <v>536</v>
      </c>
      <c r="D1793" s="40">
        <v>42</v>
      </c>
      <c r="E1793" s="40" t="s">
        <v>3551</v>
      </c>
      <c r="F1793" s="40" t="s">
        <v>1312</v>
      </c>
      <c r="G1793" s="40" t="s">
        <v>320</v>
      </c>
      <c r="H1793" s="40" t="s">
        <v>3116</v>
      </c>
      <c r="I1793" s="40" t="str">
        <f>VLOOKUP(Таблица18[[#This Row],[Номер акта]],$AB$1:$AF$2504,3,FALSE)</f>
        <v>18 Агролидер</v>
      </c>
      <c r="J1793" s="40" t="s">
        <v>909</v>
      </c>
      <c r="K1793" s="40" t="s">
        <v>3464</v>
      </c>
      <c r="L1793" s="121">
        <v>27710</v>
      </c>
      <c r="M1793" s="121">
        <v>14480</v>
      </c>
      <c r="N1793" s="121">
        <v>11.5</v>
      </c>
      <c r="O1793" s="363">
        <v>13230</v>
      </c>
      <c r="P1793" s="363">
        <v>11708.6</v>
      </c>
      <c r="Q1793" s="121">
        <v>2026</v>
      </c>
      <c r="R1793" s="121">
        <v>413</v>
      </c>
      <c r="S1793" s="148">
        <v>46196</v>
      </c>
      <c r="T1793" s="363">
        <f>Таблица18[[#This Row],[Вес нетто]]-Таблица18[[#This Row],[Зачетный вес]]</f>
        <v>1521.3999999999996</v>
      </c>
      <c r="U1793" s="392">
        <f>Таблица18[[#This Row],[Отход]]/Таблица18[[#This Row],[Вес нетто]]</f>
        <v>0.1149962207105064</v>
      </c>
      <c r="V1793" s="121">
        <f>MONTH(Таблица18[[#This Row],[Дата акта]])</f>
        <v>6</v>
      </c>
      <c r="W1793" s="121">
        <f>DAY(Таблица18[[#This Row],[Дата акта]])</f>
        <v>23</v>
      </c>
      <c r="X1793" s="148">
        <f>DATE(1900,Таблица18[[#This Row],[Месяц]],Таблица18[[#This Row],[Число]])</f>
        <v>175</v>
      </c>
      <c r="Y1793" s="121"/>
      <c r="Z1793" s="121" t="str">
        <f>Таблица18[[#This Row],[Хар-ка]]</f>
        <v>Высший</v>
      </c>
      <c r="AA1793"/>
      <c r="AB1793">
        <v>413</v>
      </c>
      <c r="AC1793"/>
      <c r="AD1793" s="460" t="s">
        <v>3116</v>
      </c>
      <c r="AE1793" t="s">
        <v>909</v>
      </c>
      <c r="AF1793" t="s">
        <v>52</v>
      </c>
    </row>
    <row r="1794" spans="1:32" s="465" customFormat="1" ht="22.5" x14ac:dyDescent="0.25">
      <c r="A1794" s="40" t="s">
        <v>3448</v>
      </c>
      <c r="B1794" s="360" t="s">
        <v>2940</v>
      </c>
      <c r="C1794" s="40">
        <v>537</v>
      </c>
      <c r="D1794" s="40">
        <v>335</v>
      </c>
      <c r="E1794" s="40" t="s">
        <v>2964</v>
      </c>
      <c r="F1794" s="40" t="s">
        <v>127</v>
      </c>
      <c r="G1794" s="40" t="s">
        <v>131</v>
      </c>
      <c r="H1794" s="40" t="s">
        <v>864</v>
      </c>
      <c r="I1794" s="40" t="str">
        <f>VLOOKUP(Таблица18[[#This Row],[Номер акта]],$AB$1:$AF$2504,3,FALSE)</f>
        <v>А-54</v>
      </c>
      <c r="J1794" s="40" t="s">
        <v>1755</v>
      </c>
      <c r="K1794" s="40" t="s">
        <v>3375</v>
      </c>
      <c r="L1794" s="121">
        <v>23520</v>
      </c>
      <c r="M1794" s="121">
        <v>14420</v>
      </c>
      <c r="N1794" s="121">
        <v>16</v>
      </c>
      <c r="O1794" s="363">
        <v>9100</v>
      </c>
      <c r="P1794" s="363">
        <v>7644</v>
      </c>
      <c r="Q1794" s="121">
        <v>2026</v>
      </c>
      <c r="R1794" s="121">
        <v>414</v>
      </c>
      <c r="S1794" s="148">
        <v>46196</v>
      </c>
      <c r="T1794" s="363">
        <f>Таблица18[[#This Row],[Вес нетто]]-Таблица18[[#This Row],[Зачетный вес]]</f>
        <v>1456</v>
      </c>
      <c r="U1794" s="392">
        <f>Таблица18[[#This Row],[Отход]]/Таблица18[[#This Row],[Вес нетто]]</f>
        <v>0.16</v>
      </c>
      <c r="V1794" s="121">
        <f>MONTH(Таблица18[[#This Row],[Дата акта]])</f>
        <v>6</v>
      </c>
      <c r="W1794" s="121">
        <f>DAY(Таблица18[[#This Row],[Дата акта]])</f>
        <v>23</v>
      </c>
      <c r="X1794" s="148">
        <f>DATE(1900,Таблица18[[#This Row],[Месяц]],Таблица18[[#This Row],[Число]])</f>
        <v>175</v>
      </c>
      <c r="Y1794" s="121"/>
      <c r="Z1794" s="121" t="str">
        <f>Таблица18[[#This Row],[Хар-ка]]</f>
        <v>Высший</v>
      </c>
      <c r="AA1794"/>
      <c r="AB1794">
        <v>414</v>
      </c>
      <c r="AC1794"/>
      <c r="AD1794" s="460" t="s">
        <v>864</v>
      </c>
      <c r="AE1794" t="s">
        <v>1755</v>
      </c>
      <c r="AF1794" t="s">
        <v>2932</v>
      </c>
    </row>
    <row r="1795" spans="1:32" s="465" customFormat="1" ht="22.5" hidden="1" x14ac:dyDescent="0.25">
      <c r="A1795" s="40" t="s">
        <v>3556</v>
      </c>
      <c r="B1795" s="360" t="s">
        <v>2940</v>
      </c>
      <c r="C1795" s="40">
        <v>538</v>
      </c>
      <c r="D1795" s="40">
        <v>43</v>
      </c>
      <c r="E1795" s="40" t="s">
        <v>3551</v>
      </c>
      <c r="F1795" s="40" t="s">
        <v>335</v>
      </c>
      <c r="G1795" s="40" t="s">
        <v>339</v>
      </c>
      <c r="H1795" s="40" t="s">
        <v>3116</v>
      </c>
      <c r="I1795" s="40" t="str">
        <f>VLOOKUP(Таблица18[[#This Row],[Номер акта]],$AB$1:$AF$2504,3,FALSE)</f>
        <v>18 Агролидер</v>
      </c>
      <c r="J1795" s="40" t="s">
        <v>909</v>
      </c>
      <c r="K1795" s="40" t="s">
        <v>3464</v>
      </c>
      <c r="L1795" s="121">
        <v>28050</v>
      </c>
      <c r="M1795" s="121">
        <v>14910</v>
      </c>
      <c r="N1795" s="121">
        <v>12.5</v>
      </c>
      <c r="O1795" s="363">
        <v>13140</v>
      </c>
      <c r="P1795" s="363">
        <v>11497.5</v>
      </c>
      <c r="Q1795" s="121">
        <v>2026</v>
      </c>
      <c r="R1795" s="121">
        <v>415</v>
      </c>
      <c r="S1795" s="148">
        <v>46196</v>
      </c>
      <c r="T1795" s="363">
        <f>Таблица18[[#This Row],[Вес нетто]]-Таблица18[[#This Row],[Зачетный вес]]</f>
        <v>1642.5</v>
      </c>
      <c r="U1795" s="392">
        <f>Таблица18[[#This Row],[Отход]]/Таблица18[[#This Row],[Вес нетто]]</f>
        <v>0.125</v>
      </c>
      <c r="V1795" s="121">
        <f>MONTH(Таблица18[[#This Row],[Дата акта]])</f>
        <v>6</v>
      </c>
      <c r="W1795" s="121">
        <f>DAY(Таблица18[[#This Row],[Дата акта]])</f>
        <v>23</v>
      </c>
      <c r="X1795" s="148">
        <f>DATE(1900,Таблица18[[#This Row],[Месяц]],Таблица18[[#This Row],[Число]])</f>
        <v>175</v>
      </c>
      <c r="Y1795" s="121"/>
      <c r="Z1795" s="121" t="str">
        <f>Таблица18[[#This Row],[Хар-ка]]</f>
        <v>Высший</v>
      </c>
      <c r="AA1795"/>
      <c r="AB1795">
        <v>415</v>
      </c>
      <c r="AC1795"/>
      <c r="AD1795" s="460" t="s">
        <v>3116</v>
      </c>
      <c r="AE1795" t="s">
        <v>909</v>
      </c>
      <c r="AF1795" t="s">
        <v>52</v>
      </c>
    </row>
    <row r="1796" spans="1:32" s="465" customFormat="1" ht="22.5" hidden="1" x14ac:dyDescent="0.25">
      <c r="A1796" s="40" t="s">
        <v>3577</v>
      </c>
      <c r="B1796" s="360" t="s">
        <v>2940</v>
      </c>
      <c r="C1796" s="40">
        <v>539</v>
      </c>
      <c r="D1796" s="40">
        <v>44</v>
      </c>
      <c r="E1796" s="40" t="s">
        <v>3551</v>
      </c>
      <c r="F1796" s="40" t="s">
        <v>3554</v>
      </c>
      <c r="G1796" s="40" t="s">
        <v>3555</v>
      </c>
      <c r="H1796" s="40" t="s">
        <v>3116</v>
      </c>
      <c r="I1796" s="40" t="str">
        <f>VLOOKUP(Таблица18[[#This Row],[Номер акта]],$AB$1:$AF$2504,3,FALSE)</f>
        <v>18 Агролидер</v>
      </c>
      <c r="J1796" s="40" t="s">
        <v>909</v>
      </c>
      <c r="K1796" s="40" t="s">
        <v>3464</v>
      </c>
      <c r="L1796" s="121">
        <v>27610</v>
      </c>
      <c r="M1796" s="121">
        <v>14380</v>
      </c>
      <c r="N1796" s="121">
        <v>8.5</v>
      </c>
      <c r="O1796" s="363">
        <v>13230</v>
      </c>
      <c r="P1796" s="363">
        <v>12105.5</v>
      </c>
      <c r="Q1796" s="121">
        <v>2026</v>
      </c>
      <c r="R1796" s="121">
        <v>416</v>
      </c>
      <c r="S1796" s="148">
        <v>46196</v>
      </c>
      <c r="T1796" s="363">
        <f>Таблица18[[#This Row],[Вес нетто]]-Таблица18[[#This Row],[Зачетный вес]]</f>
        <v>1124.5</v>
      </c>
      <c r="U1796" s="392">
        <f>Таблица18[[#This Row],[Отход]]/Таблица18[[#This Row],[Вес нетто]]</f>
        <v>8.4996220710506429E-2</v>
      </c>
      <c r="V1796" s="121">
        <f>MONTH(Таблица18[[#This Row],[Дата акта]])</f>
        <v>6</v>
      </c>
      <c r="W1796" s="121">
        <f>DAY(Таблица18[[#This Row],[Дата акта]])</f>
        <v>23</v>
      </c>
      <c r="X1796" s="148">
        <f>DATE(1900,Таблица18[[#This Row],[Месяц]],Таблица18[[#This Row],[Число]])</f>
        <v>175</v>
      </c>
      <c r="Y1796" s="121"/>
      <c r="Z1796" s="121" t="str">
        <f>Таблица18[[#This Row],[Хар-ка]]</f>
        <v>Высший</v>
      </c>
      <c r="AA1796"/>
      <c r="AB1796">
        <v>416</v>
      </c>
      <c r="AC1796"/>
      <c r="AD1796" s="460" t="s">
        <v>3116</v>
      </c>
      <c r="AE1796" t="s">
        <v>909</v>
      </c>
      <c r="AF1796" t="s">
        <v>52</v>
      </c>
    </row>
    <row r="1797" spans="1:32" s="465" customFormat="1" ht="33.75" x14ac:dyDescent="0.25">
      <c r="A1797" s="40" t="s">
        <v>3578</v>
      </c>
      <c r="B1797" s="360" t="s">
        <v>2940</v>
      </c>
      <c r="C1797" s="40">
        <v>540</v>
      </c>
      <c r="D1797" s="40">
        <v>336</v>
      </c>
      <c r="E1797" s="40" t="s">
        <v>2964</v>
      </c>
      <c r="F1797" s="40" t="s">
        <v>762</v>
      </c>
      <c r="G1797" s="40" t="s">
        <v>763</v>
      </c>
      <c r="H1797" s="40" t="s">
        <v>864</v>
      </c>
      <c r="I1797" s="40" t="str">
        <f>VLOOKUP(Таблица18[[#This Row],[Номер акта]],$AB$1:$AF$2504,3,FALSE)</f>
        <v>А-54</v>
      </c>
      <c r="J1797" s="40" t="s">
        <v>1755</v>
      </c>
      <c r="K1797" s="40" t="s">
        <v>3375</v>
      </c>
      <c r="L1797" s="121">
        <v>9240</v>
      </c>
      <c r="M1797" s="121">
        <v>4670</v>
      </c>
      <c r="N1797" s="121">
        <v>15.5</v>
      </c>
      <c r="O1797" s="363">
        <v>4570</v>
      </c>
      <c r="P1797" s="363">
        <v>3861.7</v>
      </c>
      <c r="Q1797" s="121">
        <v>2026</v>
      </c>
      <c r="R1797" s="121">
        <v>417</v>
      </c>
      <c r="S1797" s="148">
        <v>46196</v>
      </c>
      <c r="T1797" s="363">
        <f>Таблица18[[#This Row],[Вес нетто]]-Таблица18[[#This Row],[Зачетный вес]]</f>
        <v>708.30000000000018</v>
      </c>
      <c r="U1797" s="392">
        <f>Таблица18[[#This Row],[Отход]]/Таблица18[[#This Row],[Вес нетто]]</f>
        <v>0.15498905908096283</v>
      </c>
      <c r="V1797" s="121">
        <f>MONTH(Таблица18[[#This Row],[Дата акта]])</f>
        <v>6</v>
      </c>
      <c r="W1797" s="121">
        <f>DAY(Таблица18[[#This Row],[Дата акта]])</f>
        <v>23</v>
      </c>
      <c r="X1797" s="148">
        <f>DATE(1900,Таблица18[[#This Row],[Месяц]],Таблица18[[#This Row],[Число]])</f>
        <v>175</v>
      </c>
      <c r="Y1797" s="121"/>
      <c r="Z1797" s="121" t="str">
        <f>Таблица18[[#This Row],[Хар-ка]]</f>
        <v>Высший</v>
      </c>
      <c r="AA1797"/>
      <c r="AB1797">
        <v>417</v>
      </c>
      <c r="AC1797"/>
      <c r="AD1797" s="460" t="s">
        <v>864</v>
      </c>
      <c r="AE1797" t="s">
        <v>1755</v>
      </c>
      <c r="AF1797" t="s">
        <v>2932</v>
      </c>
    </row>
    <row r="1798" spans="1:32" s="465" customFormat="1" ht="22.5" hidden="1" x14ac:dyDescent="0.25">
      <c r="A1798" s="40" t="s">
        <v>3579</v>
      </c>
      <c r="B1798" s="360" t="s">
        <v>2940</v>
      </c>
      <c r="C1798" s="40">
        <v>541</v>
      </c>
      <c r="D1798" s="40">
        <v>45</v>
      </c>
      <c r="E1798" s="40" t="s">
        <v>3551</v>
      </c>
      <c r="F1798" s="40" t="s">
        <v>1806</v>
      </c>
      <c r="G1798" s="40" t="s">
        <v>1807</v>
      </c>
      <c r="H1798" s="40" t="s">
        <v>3114</v>
      </c>
      <c r="I1798" s="40" t="str">
        <f>VLOOKUP(Таблица18[[#This Row],[Номер акта]],$AB$1:$AF$2504,3,FALSE)</f>
        <v>12 Агролидер</v>
      </c>
      <c r="J1798" s="40" t="s">
        <v>1755</v>
      </c>
      <c r="K1798" s="40" t="s">
        <v>3464</v>
      </c>
      <c r="L1798" s="121">
        <v>28250</v>
      </c>
      <c r="M1798" s="121">
        <v>14770</v>
      </c>
      <c r="N1798" s="121">
        <v>10.5</v>
      </c>
      <c r="O1798" s="363">
        <v>13480</v>
      </c>
      <c r="P1798" s="363">
        <v>12064.6</v>
      </c>
      <c r="Q1798" s="121">
        <v>2026</v>
      </c>
      <c r="R1798" s="121">
        <v>418</v>
      </c>
      <c r="S1798" s="148">
        <v>46196</v>
      </c>
      <c r="T1798" s="363">
        <f>Таблица18[[#This Row],[Вес нетто]]-Таблица18[[#This Row],[Зачетный вес]]</f>
        <v>1415.3999999999996</v>
      </c>
      <c r="U1798" s="392">
        <f>Таблица18[[#This Row],[Отход]]/Таблица18[[#This Row],[Вес нетто]]</f>
        <v>0.10499999999999997</v>
      </c>
      <c r="V1798" s="121">
        <f>MONTH(Таблица18[[#This Row],[Дата акта]])</f>
        <v>6</v>
      </c>
      <c r="W1798" s="121">
        <f>DAY(Таблица18[[#This Row],[Дата акта]])</f>
        <v>23</v>
      </c>
      <c r="X1798" s="148">
        <f>DATE(1900,Таблица18[[#This Row],[Месяц]],Таблица18[[#This Row],[Число]])</f>
        <v>175</v>
      </c>
      <c r="Y1798" s="121"/>
      <c r="Z1798" s="121" t="str">
        <f>Таблица18[[#This Row],[Хар-ка]]</f>
        <v>Высший</v>
      </c>
      <c r="AA1798"/>
      <c r="AB1798">
        <v>418</v>
      </c>
      <c r="AC1798"/>
      <c r="AD1798" s="460" t="s">
        <v>3114</v>
      </c>
      <c r="AE1798" t="s">
        <v>1755</v>
      </c>
      <c r="AF1798" t="s">
        <v>52</v>
      </c>
    </row>
    <row r="1799" spans="1:32" s="465" customFormat="1" ht="22.5" x14ac:dyDescent="0.25">
      <c r="A1799" s="40" t="s">
        <v>3580</v>
      </c>
      <c r="B1799" s="360" t="s">
        <v>2940</v>
      </c>
      <c r="C1799" s="40">
        <v>543</v>
      </c>
      <c r="D1799" s="40">
        <v>337</v>
      </c>
      <c r="E1799" s="40" t="s">
        <v>2964</v>
      </c>
      <c r="F1799" s="40" t="s">
        <v>127</v>
      </c>
      <c r="G1799" s="40" t="s">
        <v>131</v>
      </c>
      <c r="H1799" s="40" t="s">
        <v>864</v>
      </c>
      <c r="I1799" s="40" t="str">
        <f>VLOOKUP(Таблица18[[#This Row],[Номер акта]],$AB$1:$AF$2504,3,FALSE)</f>
        <v>А-54</v>
      </c>
      <c r="J1799" s="40" t="s">
        <v>1755</v>
      </c>
      <c r="K1799" s="40" t="s">
        <v>3375</v>
      </c>
      <c r="L1799" s="121">
        <v>23470</v>
      </c>
      <c r="M1799" s="121">
        <v>14410</v>
      </c>
      <c r="N1799" s="121">
        <v>10.5</v>
      </c>
      <c r="O1799" s="363">
        <v>9060</v>
      </c>
      <c r="P1799" s="363">
        <v>8108.7</v>
      </c>
      <c r="Q1799" s="121">
        <v>2026</v>
      </c>
      <c r="R1799" s="121">
        <v>419</v>
      </c>
      <c r="S1799" s="148">
        <v>46196</v>
      </c>
      <c r="T1799" s="363">
        <f>Таблица18[[#This Row],[Вес нетто]]-Таблица18[[#This Row],[Зачетный вес]]</f>
        <v>951.30000000000018</v>
      </c>
      <c r="U1799" s="392">
        <f>Таблица18[[#This Row],[Отход]]/Таблица18[[#This Row],[Вес нетто]]</f>
        <v>0.10500000000000002</v>
      </c>
      <c r="V1799" s="121">
        <f>MONTH(Таблица18[[#This Row],[Дата акта]])</f>
        <v>6</v>
      </c>
      <c r="W1799" s="121">
        <f>DAY(Таблица18[[#This Row],[Дата акта]])</f>
        <v>23</v>
      </c>
      <c r="X1799" s="148">
        <f>DATE(1900,Таблица18[[#This Row],[Месяц]],Таблица18[[#This Row],[Число]])</f>
        <v>175</v>
      </c>
      <c r="Y1799" s="121"/>
      <c r="Z1799" s="121" t="str">
        <f>Таблица18[[#This Row],[Хар-ка]]</f>
        <v>Высший</v>
      </c>
      <c r="AA1799"/>
      <c r="AB1799">
        <v>419</v>
      </c>
      <c r="AC1799"/>
      <c r="AD1799" s="460" t="s">
        <v>864</v>
      </c>
      <c r="AE1799" t="s">
        <v>1755</v>
      </c>
      <c r="AF1799" t="s">
        <v>2932</v>
      </c>
    </row>
    <row r="1800" spans="1:32" s="465" customFormat="1" ht="22.5" hidden="1" x14ac:dyDescent="0.25">
      <c r="A1800" s="40" t="s">
        <v>3582</v>
      </c>
      <c r="B1800" s="360" t="s">
        <v>2940</v>
      </c>
      <c r="C1800" s="40">
        <v>544</v>
      </c>
      <c r="D1800" s="40">
        <v>46</v>
      </c>
      <c r="E1800" s="40" t="s">
        <v>3551</v>
      </c>
      <c r="F1800" s="40" t="s">
        <v>3377</v>
      </c>
      <c r="G1800" s="40" t="s">
        <v>3196</v>
      </c>
      <c r="H1800" s="40" t="s">
        <v>3114</v>
      </c>
      <c r="I1800" s="40" t="str">
        <f>VLOOKUP(Таблица18[[#This Row],[Номер акта]],$AB$1:$AF$2504,3,FALSE)</f>
        <v>12 Агролидер</v>
      </c>
      <c r="J1800" s="40" t="s">
        <v>1755</v>
      </c>
      <c r="K1800" s="40" t="s">
        <v>3464</v>
      </c>
      <c r="L1800" s="121">
        <v>27570</v>
      </c>
      <c r="M1800" s="121">
        <v>14180</v>
      </c>
      <c r="N1800" s="121">
        <v>12.5</v>
      </c>
      <c r="O1800" s="363">
        <v>13390</v>
      </c>
      <c r="P1800" s="363">
        <v>11716.2</v>
      </c>
      <c r="Q1800" s="121">
        <v>2026</v>
      </c>
      <c r="R1800" s="121">
        <v>421</v>
      </c>
      <c r="S1800" s="148">
        <v>46196</v>
      </c>
      <c r="T1800" s="363">
        <f>Таблица18[[#This Row],[Вес нетто]]-Таблица18[[#This Row],[Зачетный вес]]</f>
        <v>1673.7999999999993</v>
      </c>
      <c r="U1800" s="392">
        <f>Таблица18[[#This Row],[Отход]]/Таблица18[[#This Row],[Вес нетто]]</f>
        <v>0.12500373412994767</v>
      </c>
      <c r="V1800" s="121">
        <f>MONTH(Таблица18[[#This Row],[Дата акта]])</f>
        <v>6</v>
      </c>
      <c r="W1800" s="121">
        <f>DAY(Таблица18[[#This Row],[Дата акта]])</f>
        <v>23</v>
      </c>
      <c r="X1800" s="148">
        <f>DATE(1900,Таблица18[[#This Row],[Месяц]],Таблица18[[#This Row],[Число]])</f>
        <v>175</v>
      </c>
      <c r="Y1800" s="121"/>
      <c r="Z1800" s="121" t="str">
        <f>Таблица18[[#This Row],[Хар-ка]]</f>
        <v>Высший</v>
      </c>
      <c r="AA1800"/>
      <c r="AB1800">
        <v>421</v>
      </c>
      <c r="AC1800"/>
      <c r="AD1800" s="460" t="s">
        <v>3114</v>
      </c>
      <c r="AE1800" t="s">
        <v>1755</v>
      </c>
      <c r="AF1800" t="s">
        <v>52</v>
      </c>
    </row>
    <row r="1801" spans="1:32" s="465" customFormat="1" ht="33.75" x14ac:dyDescent="0.25">
      <c r="A1801" s="40" t="s">
        <v>3581</v>
      </c>
      <c r="B1801" s="360" t="s">
        <v>2940</v>
      </c>
      <c r="C1801" s="40">
        <v>545</v>
      </c>
      <c r="D1801" s="40">
        <v>338</v>
      </c>
      <c r="E1801" s="40" t="s">
        <v>2964</v>
      </c>
      <c r="F1801" s="40" t="s">
        <v>762</v>
      </c>
      <c r="G1801" s="40" t="s">
        <v>763</v>
      </c>
      <c r="H1801" s="40" t="s">
        <v>864</v>
      </c>
      <c r="I1801" s="40" t="str">
        <f>VLOOKUP(Таблица18[[#This Row],[Номер акта]],$AB$1:$AF$2504,3,FALSE)</f>
        <v>А-54</v>
      </c>
      <c r="J1801" s="40" t="s">
        <v>1755</v>
      </c>
      <c r="K1801" s="40" t="s">
        <v>3375</v>
      </c>
      <c r="L1801" s="121">
        <v>9190</v>
      </c>
      <c r="M1801" s="121">
        <v>4660</v>
      </c>
      <c r="N1801" s="121">
        <v>10.5</v>
      </c>
      <c r="O1801" s="363">
        <v>4530</v>
      </c>
      <c r="P1801" s="363">
        <v>4054.4</v>
      </c>
      <c r="Q1801" s="121">
        <v>2026</v>
      </c>
      <c r="R1801" s="121">
        <v>420</v>
      </c>
      <c r="S1801" s="148">
        <v>46196</v>
      </c>
      <c r="T1801" s="363">
        <f>Таблица18[[#This Row],[Вес нетто]]-Таблица18[[#This Row],[Зачетный вес]]</f>
        <v>475.59999999999991</v>
      </c>
      <c r="U1801" s="392">
        <f>Таблица18[[#This Row],[Отход]]/Таблица18[[#This Row],[Вес нетто]]</f>
        <v>0.10498896247240616</v>
      </c>
      <c r="V1801" s="121">
        <f>MONTH(Таблица18[[#This Row],[Дата акта]])</f>
        <v>6</v>
      </c>
      <c r="W1801" s="121">
        <f>DAY(Таблица18[[#This Row],[Дата акта]])</f>
        <v>23</v>
      </c>
      <c r="X1801" s="148">
        <f>DATE(1900,Таблица18[[#This Row],[Месяц]],Таблица18[[#This Row],[Число]])</f>
        <v>175</v>
      </c>
      <c r="Y1801" s="121"/>
      <c r="Z1801" s="121" t="str">
        <f>Таблица18[[#This Row],[Хар-ка]]</f>
        <v>Высший</v>
      </c>
      <c r="AA1801"/>
      <c r="AB1801">
        <v>420</v>
      </c>
      <c r="AC1801"/>
      <c r="AD1801" s="460" t="s">
        <v>864</v>
      </c>
      <c r="AE1801" t="s">
        <v>1755</v>
      </c>
      <c r="AF1801" t="s">
        <v>2932</v>
      </c>
    </row>
    <row r="1802" spans="1:32" s="465" customFormat="1" ht="22.5" x14ac:dyDescent="0.25">
      <c r="A1802" s="40" t="s">
        <v>3583</v>
      </c>
      <c r="B1802" s="360" t="s">
        <v>2940</v>
      </c>
      <c r="C1802" s="40">
        <v>546</v>
      </c>
      <c r="D1802" s="40">
        <v>339</v>
      </c>
      <c r="E1802" s="40" t="s">
        <v>2964</v>
      </c>
      <c r="F1802" s="40" t="s">
        <v>127</v>
      </c>
      <c r="G1802" s="40" t="s">
        <v>131</v>
      </c>
      <c r="H1802" s="40" t="s">
        <v>864</v>
      </c>
      <c r="I1802" s="40" t="str">
        <f>VLOOKUP(Таблица18[[#This Row],[Номер акта]],$AB$1:$AF$2504,3,FALSE)</f>
        <v>А-54</v>
      </c>
      <c r="J1802" s="40" t="s">
        <v>1755</v>
      </c>
      <c r="K1802" s="40" t="s">
        <v>3375</v>
      </c>
      <c r="L1802" s="121">
        <v>23380</v>
      </c>
      <c r="M1802" s="121">
        <v>14410</v>
      </c>
      <c r="N1802" s="121">
        <v>16.5</v>
      </c>
      <c r="O1802" s="363">
        <v>8970</v>
      </c>
      <c r="P1802" s="363">
        <v>7490</v>
      </c>
      <c r="Q1802" s="121">
        <v>2026</v>
      </c>
      <c r="R1802" s="121">
        <v>422</v>
      </c>
      <c r="S1802" s="148">
        <v>46196</v>
      </c>
      <c r="T1802" s="363">
        <f>Таблица18[[#This Row],[Вес нетто]]-Таблица18[[#This Row],[Зачетный вес]]</f>
        <v>1480</v>
      </c>
      <c r="U1802" s="392">
        <f>Таблица18[[#This Row],[Отход]]/Таблица18[[#This Row],[Вес нетто]]</f>
        <v>0.16499442586399107</v>
      </c>
      <c r="V1802" s="121">
        <f>MONTH(Таблица18[[#This Row],[Дата акта]])</f>
        <v>6</v>
      </c>
      <c r="W1802" s="121">
        <f>DAY(Таблица18[[#This Row],[Дата акта]])</f>
        <v>23</v>
      </c>
      <c r="X1802" s="148">
        <f>DATE(1900,Таблица18[[#This Row],[Месяц]],Таблица18[[#This Row],[Число]])</f>
        <v>175</v>
      </c>
      <c r="Y1802" s="121"/>
      <c r="Z1802" s="121" t="str">
        <f>Таблица18[[#This Row],[Хар-ка]]</f>
        <v>Высший</v>
      </c>
      <c r="AA1802"/>
      <c r="AB1802">
        <v>422</v>
      </c>
      <c r="AC1802"/>
      <c r="AD1802" s="460" t="s">
        <v>864</v>
      </c>
      <c r="AE1802" t="s">
        <v>1755</v>
      </c>
      <c r="AF1802" t="s">
        <v>2932</v>
      </c>
    </row>
    <row r="1803" spans="1:32" s="465" customFormat="1" ht="33.75" hidden="1" x14ac:dyDescent="0.25">
      <c r="A1803" s="40" t="s">
        <v>3584</v>
      </c>
      <c r="B1803" s="360" t="s">
        <v>2940</v>
      </c>
      <c r="C1803" s="40">
        <v>547</v>
      </c>
      <c r="D1803" s="40">
        <v>47</v>
      </c>
      <c r="E1803" s="40" t="s">
        <v>3551</v>
      </c>
      <c r="F1803" s="40" t="s">
        <v>121</v>
      </c>
      <c r="G1803" s="40" t="s">
        <v>125</v>
      </c>
      <c r="H1803" s="40" t="s">
        <v>3114</v>
      </c>
      <c r="I1803" s="40" t="str">
        <f>VLOOKUP(Таблица18[[#This Row],[Номер акта]],$AB$1:$AF$2504,3,FALSE)</f>
        <v>12 Агролидер</v>
      </c>
      <c r="J1803" s="40" t="s">
        <v>1755</v>
      </c>
      <c r="K1803" s="40" t="s">
        <v>3464</v>
      </c>
      <c r="L1803" s="121">
        <v>31260</v>
      </c>
      <c r="M1803" s="121">
        <v>14670</v>
      </c>
      <c r="N1803" s="121">
        <v>11.5</v>
      </c>
      <c r="O1803" s="363">
        <v>16590</v>
      </c>
      <c r="P1803" s="363">
        <v>14682.1</v>
      </c>
      <c r="Q1803" s="121">
        <v>2026</v>
      </c>
      <c r="R1803" s="121">
        <v>423</v>
      </c>
      <c r="S1803" s="148">
        <v>46196</v>
      </c>
      <c r="T1803" s="363">
        <f>Таблица18[[#This Row],[Вес нетто]]-Таблица18[[#This Row],[Зачетный вес]]</f>
        <v>1907.8999999999996</v>
      </c>
      <c r="U1803" s="392">
        <f>Таблица18[[#This Row],[Отход]]/Таблица18[[#This Row],[Вес нетто]]</f>
        <v>0.11500301386377333</v>
      </c>
      <c r="V1803" s="121">
        <f>MONTH(Таблица18[[#This Row],[Дата акта]])</f>
        <v>6</v>
      </c>
      <c r="W1803" s="121">
        <f>DAY(Таблица18[[#This Row],[Дата акта]])</f>
        <v>23</v>
      </c>
      <c r="X1803" s="148">
        <f>DATE(1900,Таблица18[[#This Row],[Месяц]],Таблица18[[#This Row],[Число]])</f>
        <v>175</v>
      </c>
      <c r="Y1803" s="121"/>
      <c r="Z1803" s="121" t="str">
        <f>Таблица18[[#This Row],[Хар-ка]]</f>
        <v>Высший</v>
      </c>
      <c r="AA1803"/>
      <c r="AB1803">
        <v>423</v>
      </c>
      <c r="AC1803"/>
      <c r="AD1803" s="460" t="s">
        <v>3114</v>
      </c>
      <c r="AE1803" t="s">
        <v>1755</v>
      </c>
      <c r="AF1803" t="s">
        <v>52</v>
      </c>
    </row>
    <row r="1804" spans="1:32" s="465" customFormat="1" ht="33.75" x14ac:dyDescent="0.25">
      <c r="A1804" s="40" t="s">
        <v>3585</v>
      </c>
      <c r="B1804" s="360" t="s">
        <v>2940</v>
      </c>
      <c r="C1804" s="40">
        <v>548</v>
      </c>
      <c r="D1804" s="40">
        <v>340</v>
      </c>
      <c r="E1804" s="40" t="s">
        <v>2964</v>
      </c>
      <c r="F1804" s="40" t="s">
        <v>762</v>
      </c>
      <c r="G1804" s="40" t="s">
        <v>763</v>
      </c>
      <c r="H1804" s="40" t="s">
        <v>864</v>
      </c>
      <c r="I1804" s="40" t="str">
        <f>VLOOKUP(Таблица18[[#This Row],[Номер акта]],$AB$1:$AF$2504,3,FALSE)</f>
        <v>А-54</v>
      </c>
      <c r="J1804" s="40" t="s">
        <v>1755</v>
      </c>
      <c r="K1804" s="40" t="s">
        <v>3375</v>
      </c>
      <c r="L1804" s="121">
        <v>9170</v>
      </c>
      <c r="M1804" s="121">
        <v>4660</v>
      </c>
      <c r="N1804" s="121">
        <v>12.5</v>
      </c>
      <c r="O1804" s="363">
        <v>4510</v>
      </c>
      <c r="P1804" s="363">
        <v>3946.2</v>
      </c>
      <c r="Q1804" s="121">
        <v>2026</v>
      </c>
      <c r="R1804" s="121">
        <v>424</v>
      </c>
      <c r="S1804" s="148">
        <v>46197</v>
      </c>
      <c r="T1804" s="363">
        <f>Таблица18[[#This Row],[Вес нетто]]-Таблица18[[#This Row],[Зачетный вес]]</f>
        <v>563.80000000000018</v>
      </c>
      <c r="U1804" s="392">
        <f>Таблица18[[#This Row],[Отход]]/Таблица18[[#This Row],[Вес нетто]]</f>
        <v>0.12501108647450115</v>
      </c>
      <c r="V1804" s="121">
        <f>MONTH(Таблица18[[#This Row],[Дата акта]])</f>
        <v>6</v>
      </c>
      <c r="W1804" s="121">
        <f>DAY(Таблица18[[#This Row],[Дата акта]])</f>
        <v>24</v>
      </c>
      <c r="X1804" s="148">
        <f>DATE(1900,Таблица18[[#This Row],[Месяц]],Таблица18[[#This Row],[Число]])</f>
        <v>176</v>
      </c>
      <c r="Y1804" s="121"/>
      <c r="Z1804" s="121" t="str">
        <f>Таблица18[[#This Row],[Хар-ка]]</f>
        <v>Высший</v>
      </c>
      <c r="AA1804"/>
      <c r="AB1804">
        <v>424</v>
      </c>
      <c r="AC1804"/>
      <c r="AD1804" s="460" t="s">
        <v>864</v>
      </c>
      <c r="AE1804" t="s">
        <v>1755</v>
      </c>
      <c r="AF1804" t="s">
        <v>2932</v>
      </c>
    </row>
    <row r="1805" spans="1:32" s="465" customFormat="1" ht="33.75" hidden="1" x14ac:dyDescent="0.25">
      <c r="A1805" s="40" t="s">
        <v>3587</v>
      </c>
      <c r="B1805" s="360" t="s">
        <v>2940</v>
      </c>
      <c r="C1805" s="40">
        <v>549</v>
      </c>
      <c r="D1805" s="40">
        <v>48</v>
      </c>
      <c r="E1805" s="40" t="s">
        <v>3551</v>
      </c>
      <c r="F1805" s="40" t="s">
        <v>1461</v>
      </c>
      <c r="G1805" s="40" t="s">
        <v>149</v>
      </c>
      <c r="H1805" s="40" t="s">
        <v>3114</v>
      </c>
      <c r="I1805" s="40" t="str">
        <f>VLOOKUP(Таблица18[[#This Row],[Номер акта]],$AB$1:$AF$2504,3,FALSE)</f>
        <v>12 Агролидер</v>
      </c>
      <c r="J1805" s="40" t="s">
        <v>1755</v>
      </c>
      <c r="K1805" s="40" t="s">
        <v>3464</v>
      </c>
      <c r="L1805" s="121">
        <v>28110</v>
      </c>
      <c r="M1805" s="121">
        <v>15030</v>
      </c>
      <c r="N1805" s="121">
        <v>10.5</v>
      </c>
      <c r="O1805" s="363">
        <v>13080</v>
      </c>
      <c r="P1805" s="363">
        <v>11706.6</v>
      </c>
      <c r="Q1805" s="121">
        <v>2026</v>
      </c>
      <c r="R1805" s="121">
        <v>425</v>
      </c>
      <c r="S1805" s="148">
        <v>46197</v>
      </c>
      <c r="T1805" s="363">
        <f>Таблица18[[#This Row],[Вес нетто]]-Таблица18[[#This Row],[Зачетный вес]]</f>
        <v>1373.3999999999996</v>
      </c>
      <c r="U1805" s="392">
        <f>Таблица18[[#This Row],[Отход]]/Таблица18[[#This Row],[Вес нетто]]</f>
        <v>0.10499999999999997</v>
      </c>
      <c r="V1805" s="121">
        <f>MONTH(Таблица18[[#This Row],[Дата акта]])</f>
        <v>6</v>
      </c>
      <c r="W1805" s="121">
        <f>DAY(Таблица18[[#This Row],[Дата акта]])</f>
        <v>24</v>
      </c>
      <c r="X1805" s="148">
        <f>DATE(1900,Таблица18[[#This Row],[Месяц]],Таблица18[[#This Row],[Число]])</f>
        <v>176</v>
      </c>
      <c r="Y1805" s="121"/>
      <c r="Z1805" s="121" t="str">
        <f>Таблица18[[#This Row],[Хар-ка]]</f>
        <v>Высший</v>
      </c>
      <c r="AA1805"/>
      <c r="AB1805">
        <v>425</v>
      </c>
      <c r="AC1805"/>
      <c r="AD1805" s="460" t="s">
        <v>3114</v>
      </c>
      <c r="AE1805" t="s">
        <v>1755</v>
      </c>
      <c r="AF1805" t="s">
        <v>52</v>
      </c>
    </row>
    <row r="1806" spans="1:32" s="465" customFormat="1" ht="33.75" hidden="1" x14ac:dyDescent="0.25">
      <c r="A1806" s="40" t="s">
        <v>3586</v>
      </c>
      <c r="B1806" s="360" t="s">
        <v>2940</v>
      </c>
      <c r="C1806" s="40">
        <v>550</v>
      </c>
      <c r="D1806" s="40">
        <v>49</v>
      </c>
      <c r="E1806" s="40" t="s">
        <v>3551</v>
      </c>
      <c r="F1806" s="40" t="s">
        <v>311</v>
      </c>
      <c r="G1806" s="40" t="s">
        <v>315</v>
      </c>
      <c r="H1806" s="40" t="s">
        <v>3114</v>
      </c>
      <c r="I1806" s="40" t="str">
        <f>VLOOKUP(Таблица18[[#This Row],[Номер акта]],$AB$1:$AF$2504,3,FALSE)</f>
        <v>12 Агролидер</v>
      </c>
      <c r="J1806" s="40" t="s">
        <v>1755</v>
      </c>
      <c r="K1806" s="40" t="s">
        <v>3464</v>
      </c>
      <c r="L1806" s="121">
        <v>28050</v>
      </c>
      <c r="M1806" s="121">
        <v>15000</v>
      </c>
      <c r="N1806" s="121">
        <v>7.5</v>
      </c>
      <c r="O1806" s="363">
        <v>13050</v>
      </c>
      <c r="P1806" s="363">
        <v>12071.2</v>
      </c>
      <c r="Q1806" s="121">
        <v>2026</v>
      </c>
      <c r="R1806" s="121">
        <v>426</v>
      </c>
      <c r="S1806" s="148">
        <v>46197</v>
      </c>
      <c r="T1806" s="363">
        <f>Таблица18[[#This Row],[Вес нетто]]-Таблица18[[#This Row],[Зачетный вес]]</f>
        <v>978.79999999999927</v>
      </c>
      <c r="U1806" s="392">
        <f>Таблица18[[#This Row],[Отход]]/Таблица18[[#This Row],[Вес нетто]]</f>
        <v>7.500383141762447E-2</v>
      </c>
      <c r="V1806" s="121">
        <f>MONTH(Таблица18[[#This Row],[Дата акта]])</f>
        <v>6</v>
      </c>
      <c r="W1806" s="121">
        <f>DAY(Таблица18[[#This Row],[Дата акта]])</f>
        <v>24</v>
      </c>
      <c r="X1806" s="148">
        <f>DATE(1900,Таблица18[[#This Row],[Месяц]],Таблица18[[#This Row],[Число]])</f>
        <v>176</v>
      </c>
      <c r="Y1806" s="121"/>
      <c r="Z1806" s="121" t="str">
        <f>Таблица18[[#This Row],[Хар-ка]]</f>
        <v>Высший</v>
      </c>
      <c r="AA1806"/>
      <c r="AB1806">
        <v>426</v>
      </c>
      <c r="AC1806"/>
      <c r="AD1806" s="460" t="s">
        <v>3114</v>
      </c>
      <c r="AE1806" t="s">
        <v>1755</v>
      </c>
      <c r="AF1806" t="s">
        <v>52</v>
      </c>
    </row>
    <row r="1807" spans="1:32" s="465" customFormat="1" ht="22.5" x14ac:dyDescent="0.25">
      <c r="A1807" s="40" t="s">
        <v>3588</v>
      </c>
      <c r="B1807" s="360" t="s">
        <v>2940</v>
      </c>
      <c r="C1807" s="40">
        <v>551</v>
      </c>
      <c r="D1807" s="40">
        <v>341</v>
      </c>
      <c r="E1807" s="40" t="s">
        <v>2964</v>
      </c>
      <c r="F1807" s="40" t="s">
        <v>127</v>
      </c>
      <c r="G1807" s="40" t="s">
        <v>131</v>
      </c>
      <c r="H1807" s="40" t="s">
        <v>864</v>
      </c>
      <c r="I1807" s="40" t="str">
        <f>VLOOKUP(Таблица18[[#This Row],[Номер акта]],$AB$1:$AF$2504,3,FALSE)</f>
        <v>А-54</v>
      </c>
      <c r="J1807" s="40" t="s">
        <v>1755</v>
      </c>
      <c r="K1807" s="40" t="s">
        <v>3375</v>
      </c>
      <c r="L1807" s="121">
        <v>23600</v>
      </c>
      <c r="M1807" s="121">
        <v>14410</v>
      </c>
      <c r="N1807" s="121">
        <v>11</v>
      </c>
      <c r="O1807" s="363">
        <v>9190</v>
      </c>
      <c r="P1807" s="363">
        <v>8179.1</v>
      </c>
      <c r="Q1807" s="121">
        <v>2026</v>
      </c>
      <c r="R1807" s="121">
        <v>427</v>
      </c>
      <c r="S1807" s="148">
        <v>46197</v>
      </c>
      <c r="T1807" s="363">
        <f>Таблица18[[#This Row],[Вес нетто]]-Таблица18[[#This Row],[Зачетный вес]]</f>
        <v>1010.8999999999996</v>
      </c>
      <c r="U1807" s="392">
        <f>Таблица18[[#This Row],[Отход]]/Таблица18[[#This Row],[Вес нетто]]</f>
        <v>0.10999999999999996</v>
      </c>
      <c r="V1807" s="121">
        <f>MONTH(Таблица18[[#This Row],[Дата акта]])</f>
        <v>6</v>
      </c>
      <c r="W1807" s="121">
        <f>DAY(Таблица18[[#This Row],[Дата акта]])</f>
        <v>24</v>
      </c>
      <c r="X1807" s="148">
        <f>DATE(1900,Таблица18[[#This Row],[Месяц]],Таблица18[[#This Row],[Число]])</f>
        <v>176</v>
      </c>
      <c r="Y1807" s="121"/>
      <c r="Z1807" s="121" t="str">
        <f>Таблица18[[#This Row],[Хар-ка]]</f>
        <v>Высший</v>
      </c>
      <c r="AA1807"/>
      <c r="AB1807">
        <v>427</v>
      </c>
      <c r="AC1807"/>
      <c r="AD1807" s="460" t="s">
        <v>864</v>
      </c>
      <c r="AE1807" t="s">
        <v>1755</v>
      </c>
      <c r="AF1807" t="s">
        <v>2932</v>
      </c>
    </row>
    <row r="1808" spans="1:32" s="465" customFormat="1" ht="33.75" x14ac:dyDescent="0.25">
      <c r="A1808" s="40" t="s">
        <v>3589</v>
      </c>
      <c r="B1808" s="360" t="s">
        <v>2940</v>
      </c>
      <c r="C1808" s="40">
        <v>552</v>
      </c>
      <c r="D1808" s="40">
        <v>342</v>
      </c>
      <c r="E1808" s="40" t="s">
        <v>2964</v>
      </c>
      <c r="F1808" s="40" t="s">
        <v>762</v>
      </c>
      <c r="G1808" s="40" t="s">
        <v>763</v>
      </c>
      <c r="H1808" s="40" t="s">
        <v>864</v>
      </c>
      <c r="I1808" s="40" t="str">
        <f>VLOOKUP(Таблица18[[#This Row],[Номер акта]],$AB$1:$AF$2504,3,FALSE)</f>
        <v>А-54</v>
      </c>
      <c r="J1808" s="40" t="s">
        <v>1755</v>
      </c>
      <c r="K1808" s="40" t="s">
        <v>3375</v>
      </c>
      <c r="L1808" s="121">
        <v>9160</v>
      </c>
      <c r="M1808" s="121">
        <v>4650</v>
      </c>
      <c r="N1808" s="121">
        <v>11</v>
      </c>
      <c r="O1808" s="363">
        <v>4510</v>
      </c>
      <c r="P1808" s="363">
        <v>4013.9</v>
      </c>
      <c r="Q1808" s="121">
        <v>2026</v>
      </c>
      <c r="R1808" s="121">
        <v>428</v>
      </c>
      <c r="S1808" s="148">
        <v>46197</v>
      </c>
      <c r="T1808" s="363">
        <f>Таблица18[[#This Row],[Вес нетто]]-Таблица18[[#This Row],[Зачетный вес]]</f>
        <v>496.09999999999991</v>
      </c>
      <c r="U1808" s="392">
        <f>Таблица18[[#This Row],[Отход]]/Таблица18[[#This Row],[Вес нетто]]</f>
        <v>0.10999999999999999</v>
      </c>
      <c r="V1808" s="121">
        <f>MONTH(Таблица18[[#This Row],[Дата акта]])</f>
        <v>6</v>
      </c>
      <c r="W1808" s="121">
        <f>DAY(Таблица18[[#This Row],[Дата акта]])</f>
        <v>24</v>
      </c>
      <c r="X1808" s="148">
        <f>DATE(1900,Таблица18[[#This Row],[Месяц]],Таблица18[[#This Row],[Число]])</f>
        <v>176</v>
      </c>
      <c r="Y1808" s="121"/>
      <c r="Z1808" s="121" t="str">
        <f>Таблица18[[#This Row],[Хар-ка]]</f>
        <v>Высший</v>
      </c>
      <c r="AA1808"/>
      <c r="AB1808">
        <v>428</v>
      </c>
      <c r="AC1808"/>
      <c r="AD1808" s="460" t="s">
        <v>864</v>
      </c>
      <c r="AE1808" t="s">
        <v>1755</v>
      </c>
      <c r="AF1808" t="s">
        <v>2932</v>
      </c>
    </row>
    <row r="1809" spans="1:32" s="465" customFormat="1" ht="22.5" hidden="1" x14ac:dyDescent="0.25">
      <c r="A1809" s="40" t="s">
        <v>3590</v>
      </c>
      <c r="B1809" s="360" t="s">
        <v>2940</v>
      </c>
      <c r="C1809" s="40">
        <v>553</v>
      </c>
      <c r="D1809" s="40">
        <v>51</v>
      </c>
      <c r="E1809" s="40" t="s">
        <v>3551</v>
      </c>
      <c r="F1809" s="40" t="s">
        <v>212</v>
      </c>
      <c r="G1809" s="40" t="s">
        <v>2965</v>
      </c>
      <c r="H1809" s="40" t="s">
        <v>3114</v>
      </c>
      <c r="I1809" s="40" t="str">
        <f>VLOOKUP(Таблица18[[#This Row],[Номер акта]],$AB$1:$AF$2504,3,FALSE)</f>
        <v>12 Агролидер</v>
      </c>
      <c r="J1809" s="40" t="s">
        <v>1755</v>
      </c>
      <c r="K1809" s="40" t="s">
        <v>3464</v>
      </c>
      <c r="L1809" s="121">
        <v>28700</v>
      </c>
      <c r="M1809" s="121">
        <v>15660</v>
      </c>
      <c r="N1809" s="121">
        <v>14.5</v>
      </c>
      <c r="O1809" s="363">
        <v>13040</v>
      </c>
      <c r="P1809" s="363">
        <v>11149.2</v>
      </c>
      <c r="Q1809" s="121">
        <v>2026</v>
      </c>
      <c r="R1809" s="121">
        <v>429</v>
      </c>
      <c r="S1809" s="148">
        <v>46197</v>
      </c>
      <c r="T1809" s="363">
        <f>Таблица18[[#This Row],[Вес нетто]]-Таблица18[[#This Row],[Зачетный вес]]</f>
        <v>1890.7999999999993</v>
      </c>
      <c r="U1809" s="392">
        <f>Таблица18[[#This Row],[Отход]]/Таблица18[[#This Row],[Вес нетто]]</f>
        <v>0.14499999999999993</v>
      </c>
      <c r="V1809" s="121">
        <f>MONTH(Таблица18[[#This Row],[Дата акта]])</f>
        <v>6</v>
      </c>
      <c r="W1809" s="121">
        <f>DAY(Таблица18[[#This Row],[Дата акта]])</f>
        <v>24</v>
      </c>
      <c r="X1809" s="148">
        <f>DATE(1900,Таблица18[[#This Row],[Месяц]],Таблица18[[#This Row],[Число]])</f>
        <v>176</v>
      </c>
      <c r="Y1809" s="121"/>
      <c r="Z1809" s="121" t="str">
        <f>Таблица18[[#This Row],[Хар-ка]]</f>
        <v>Высший</v>
      </c>
      <c r="AA1809"/>
      <c r="AB1809">
        <v>429</v>
      </c>
      <c r="AC1809"/>
      <c r="AD1809" s="460" t="s">
        <v>3114</v>
      </c>
      <c r="AE1809" t="s">
        <v>1755</v>
      </c>
      <c r="AF1809" t="s">
        <v>52</v>
      </c>
    </row>
    <row r="1810" spans="1:32" s="465" customFormat="1" ht="22.5" hidden="1" x14ac:dyDescent="0.25">
      <c r="A1810" s="40" t="s">
        <v>3591</v>
      </c>
      <c r="B1810" s="360" t="s">
        <v>2940</v>
      </c>
      <c r="C1810" s="40">
        <v>554</v>
      </c>
      <c r="D1810" s="40">
        <v>52</v>
      </c>
      <c r="E1810" s="40" t="s">
        <v>3551</v>
      </c>
      <c r="F1810" s="40" t="s">
        <v>3552</v>
      </c>
      <c r="G1810" s="40" t="s">
        <v>3553</v>
      </c>
      <c r="H1810" s="40" t="s">
        <v>3114</v>
      </c>
      <c r="I1810" s="40" t="str">
        <f>VLOOKUP(Таблица18[[#This Row],[Номер акта]],$AB$1:$AF$2504,3,FALSE)</f>
        <v>12 Агролидер</v>
      </c>
      <c r="J1810" s="40" t="s">
        <v>1755</v>
      </c>
      <c r="K1810" s="40" t="s">
        <v>3464</v>
      </c>
      <c r="L1810" s="121">
        <v>29130</v>
      </c>
      <c r="M1810" s="121">
        <v>16040</v>
      </c>
      <c r="N1810" s="121">
        <v>9.5</v>
      </c>
      <c r="O1810" s="363">
        <v>13090</v>
      </c>
      <c r="P1810" s="363">
        <v>11846.5</v>
      </c>
      <c r="Q1810" s="121">
        <v>2026</v>
      </c>
      <c r="R1810" s="121">
        <v>430</v>
      </c>
      <c r="S1810" s="148">
        <v>46197</v>
      </c>
      <c r="T1810" s="363">
        <f>Таблица18[[#This Row],[Вес нетто]]-Таблица18[[#This Row],[Зачетный вес]]</f>
        <v>1243.5</v>
      </c>
      <c r="U1810" s="392">
        <f>Таблица18[[#This Row],[Отход]]/Таблица18[[#This Row],[Вес нетто]]</f>
        <v>9.4996180290297938E-2</v>
      </c>
      <c r="V1810" s="121">
        <f>MONTH(Таблица18[[#This Row],[Дата акта]])</f>
        <v>6</v>
      </c>
      <c r="W1810" s="121">
        <f>DAY(Таблица18[[#This Row],[Дата акта]])</f>
        <v>24</v>
      </c>
      <c r="X1810" s="148">
        <f>DATE(1900,Таблица18[[#This Row],[Месяц]],Таблица18[[#This Row],[Число]])</f>
        <v>176</v>
      </c>
      <c r="Y1810" s="121"/>
      <c r="Z1810" s="121" t="str">
        <f>Таблица18[[#This Row],[Хар-ка]]</f>
        <v>Высший</v>
      </c>
      <c r="AA1810"/>
      <c r="AB1810">
        <v>430</v>
      </c>
      <c r="AC1810"/>
      <c r="AD1810" s="460" t="s">
        <v>3114</v>
      </c>
      <c r="AE1810" t="s">
        <v>1755</v>
      </c>
      <c r="AF1810" t="s">
        <v>52</v>
      </c>
    </row>
    <row r="1811" spans="1:32" s="465" customFormat="1" ht="22.5" x14ac:dyDescent="0.25">
      <c r="A1811" s="40" t="s">
        <v>3592</v>
      </c>
      <c r="B1811" s="360" t="s">
        <v>3230</v>
      </c>
      <c r="C1811" s="40">
        <v>555</v>
      </c>
      <c r="D1811" s="40">
        <v>443</v>
      </c>
      <c r="E1811" s="40" t="s">
        <v>2964</v>
      </c>
      <c r="F1811" s="40" t="s">
        <v>127</v>
      </c>
      <c r="G1811" s="40" t="s">
        <v>131</v>
      </c>
      <c r="H1811" s="40" t="s">
        <v>864</v>
      </c>
      <c r="I1811" s="40" t="str">
        <f>VLOOKUP(Таблица18[[#This Row],[Номер акта]],$AB$1:$AF$2504,3,FALSE)</f>
        <v>А-54</v>
      </c>
      <c r="J1811" s="40" t="s">
        <v>1755</v>
      </c>
      <c r="K1811" s="40" t="s">
        <v>3375</v>
      </c>
      <c r="L1811" s="121">
        <v>23450</v>
      </c>
      <c r="M1811" s="121">
        <v>14510</v>
      </c>
      <c r="N1811" s="121">
        <v>9.5</v>
      </c>
      <c r="O1811" s="363">
        <v>8940</v>
      </c>
      <c r="P1811" s="363">
        <v>8090.7</v>
      </c>
      <c r="Q1811" s="121">
        <v>2026</v>
      </c>
      <c r="R1811" s="121">
        <v>431</v>
      </c>
      <c r="S1811" s="148">
        <v>46197</v>
      </c>
      <c r="T1811" s="363">
        <f>Таблица18[[#This Row],[Вес нетто]]-Таблица18[[#This Row],[Зачетный вес]]</f>
        <v>849.30000000000018</v>
      </c>
      <c r="U1811" s="392">
        <f>Таблица18[[#This Row],[Отход]]/Таблица18[[#This Row],[Вес нетто]]</f>
        <v>9.5000000000000015E-2</v>
      </c>
      <c r="V1811" s="121">
        <f>MONTH(Таблица18[[#This Row],[Дата акта]])</f>
        <v>6</v>
      </c>
      <c r="W1811" s="121">
        <f>DAY(Таблица18[[#This Row],[Дата акта]])</f>
        <v>24</v>
      </c>
      <c r="X1811" s="148">
        <f>DATE(1900,Таблица18[[#This Row],[Месяц]],Таблица18[[#This Row],[Число]])</f>
        <v>176</v>
      </c>
      <c r="Y1811" s="121"/>
      <c r="Z1811" s="121" t="str">
        <f>Таблица18[[#This Row],[Хар-ка]]</f>
        <v>Первый</v>
      </c>
      <c r="AA1811"/>
      <c r="AB1811">
        <v>431</v>
      </c>
      <c r="AC1811"/>
      <c r="AD1811" s="460" t="s">
        <v>864</v>
      </c>
      <c r="AE1811" t="s">
        <v>1755</v>
      </c>
      <c r="AF1811" t="s">
        <v>2932</v>
      </c>
    </row>
    <row r="1812" spans="1:32" s="465" customFormat="1" ht="33.75" hidden="1" x14ac:dyDescent="0.25">
      <c r="A1812" s="40" t="s">
        <v>3593</v>
      </c>
      <c r="B1812" s="360" t="s">
        <v>3230</v>
      </c>
      <c r="C1812" s="40">
        <v>556</v>
      </c>
      <c r="D1812" s="40">
        <v>53</v>
      </c>
      <c r="E1812" s="40" t="s">
        <v>3551</v>
      </c>
      <c r="F1812" s="40" t="s">
        <v>239</v>
      </c>
      <c r="G1812" s="40" t="s">
        <v>243</v>
      </c>
      <c r="H1812" s="40" t="s">
        <v>3114</v>
      </c>
      <c r="I1812" s="40" t="str">
        <f>VLOOKUP(Таблица18[[#This Row],[Номер акта]],$AB$1:$AF$2504,3,FALSE)</f>
        <v>12 Агролидер</v>
      </c>
      <c r="J1812" s="40" t="s">
        <v>1755</v>
      </c>
      <c r="K1812" s="40" t="s">
        <v>3464</v>
      </c>
      <c r="L1812" s="121">
        <v>27770</v>
      </c>
      <c r="M1812" s="121">
        <v>14390</v>
      </c>
      <c r="N1812" s="121">
        <v>6.5</v>
      </c>
      <c r="O1812" s="363">
        <v>13380</v>
      </c>
      <c r="P1812" s="363">
        <v>12510.3</v>
      </c>
      <c r="Q1812" s="121">
        <v>2026</v>
      </c>
      <c r="R1812" s="121">
        <v>432</v>
      </c>
      <c r="S1812" s="148">
        <v>46197</v>
      </c>
      <c r="T1812" s="363">
        <f>Таблица18[[#This Row],[Вес нетто]]-Таблица18[[#This Row],[Зачетный вес]]</f>
        <v>869.70000000000073</v>
      </c>
      <c r="U1812" s="392">
        <f>Таблица18[[#This Row],[Отход]]/Таблица18[[#This Row],[Вес нетто]]</f>
        <v>6.5000000000000058E-2</v>
      </c>
      <c r="V1812" s="121">
        <f>MONTH(Таблица18[[#This Row],[Дата акта]])</f>
        <v>6</v>
      </c>
      <c r="W1812" s="121">
        <f>DAY(Таблица18[[#This Row],[Дата акта]])</f>
        <v>24</v>
      </c>
      <c r="X1812" s="148">
        <f>DATE(1900,Таблица18[[#This Row],[Месяц]],Таблица18[[#This Row],[Число]])</f>
        <v>176</v>
      </c>
      <c r="Y1812" s="121"/>
      <c r="Z1812" s="121" t="str">
        <f>Таблица18[[#This Row],[Хар-ка]]</f>
        <v>Первый</v>
      </c>
      <c r="AA1812"/>
      <c r="AB1812">
        <v>432</v>
      </c>
      <c r="AC1812"/>
      <c r="AD1812" s="460" t="s">
        <v>3114</v>
      </c>
      <c r="AE1812" t="s">
        <v>1755</v>
      </c>
      <c r="AF1812" t="s">
        <v>52</v>
      </c>
    </row>
    <row r="1813" spans="1:32" s="465" customFormat="1" ht="33.75" x14ac:dyDescent="0.25">
      <c r="A1813" s="40" t="s">
        <v>3597</v>
      </c>
      <c r="B1813" s="360" t="s">
        <v>3230</v>
      </c>
      <c r="C1813" s="40">
        <v>558</v>
      </c>
      <c r="D1813" s="40">
        <v>344</v>
      </c>
      <c r="E1813" s="40" t="s">
        <v>2964</v>
      </c>
      <c r="F1813" s="40" t="s">
        <v>121</v>
      </c>
      <c r="G1813" s="40" t="s">
        <v>125</v>
      </c>
      <c r="H1813" s="40" t="s">
        <v>864</v>
      </c>
      <c r="I1813" s="40" t="str">
        <f>VLOOKUP(Таблица18[[#This Row],[Номер акта]],$AB$1:$AF$2504,3,FALSE)</f>
        <v>А-54</v>
      </c>
      <c r="J1813" s="40" t="s">
        <v>1755</v>
      </c>
      <c r="K1813" s="40" t="s">
        <v>3375</v>
      </c>
      <c r="L1813" s="121">
        <v>17110</v>
      </c>
      <c r="M1813" s="121">
        <v>9780</v>
      </c>
      <c r="N1813" s="121">
        <v>7.5</v>
      </c>
      <c r="O1813" s="363">
        <v>7330</v>
      </c>
      <c r="P1813" s="363">
        <v>6780.3</v>
      </c>
      <c r="Q1813" s="121">
        <v>2026</v>
      </c>
      <c r="R1813" s="121">
        <v>433</v>
      </c>
      <c r="S1813" s="148">
        <v>46197</v>
      </c>
      <c r="T1813" s="363">
        <f>Таблица18[[#This Row],[Вес нетто]]-Таблица18[[#This Row],[Зачетный вес]]</f>
        <v>549.69999999999982</v>
      </c>
      <c r="U1813" s="392">
        <f>Таблица18[[#This Row],[Отход]]/Таблица18[[#This Row],[Вес нетто]]</f>
        <v>7.4993178717598891E-2</v>
      </c>
      <c r="V1813" s="121">
        <f>MONTH(Таблица18[[#This Row],[Дата акта]])</f>
        <v>6</v>
      </c>
      <c r="W1813" s="121">
        <f>DAY(Таблица18[[#This Row],[Дата акта]])</f>
        <v>24</v>
      </c>
      <c r="X1813" s="148">
        <f>DATE(1900,Таблица18[[#This Row],[Месяц]],Таблица18[[#This Row],[Число]])</f>
        <v>176</v>
      </c>
      <c r="Y1813" s="121"/>
      <c r="Z1813" s="121" t="str">
        <f>Таблица18[[#This Row],[Хар-ка]]</f>
        <v>Первый</v>
      </c>
      <c r="AA1813"/>
      <c r="AB1813">
        <v>433</v>
      </c>
      <c r="AC1813"/>
      <c r="AD1813" s="460" t="s">
        <v>864</v>
      </c>
      <c r="AE1813" t="s">
        <v>1755</v>
      </c>
      <c r="AF1813" t="s">
        <v>2932</v>
      </c>
    </row>
    <row r="1814" spans="1:32" s="465" customFormat="1" ht="22.5" hidden="1" x14ac:dyDescent="0.25">
      <c r="A1814" s="40" t="s">
        <v>3599</v>
      </c>
      <c r="B1814" s="360" t="s">
        <v>3230</v>
      </c>
      <c r="C1814" s="40">
        <v>560</v>
      </c>
      <c r="D1814" s="40">
        <v>54</v>
      </c>
      <c r="E1814" s="40" t="s">
        <v>3551</v>
      </c>
      <c r="F1814" s="40" t="s">
        <v>133</v>
      </c>
      <c r="G1814" s="40" t="s">
        <v>137</v>
      </c>
      <c r="H1814" s="40" t="s">
        <v>3114</v>
      </c>
      <c r="I1814" s="40" t="str">
        <f>VLOOKUP(Таблица18[[#This Row],[Номер акта]],$AB$1:$AF$2504,3,FALSE)</f>
        <v>12 Агролидер</v>
      </c>
      <c r="J1814" s="40" t="s">
        <v>1755</v>
      </c>
      <c r="K1814" s="40" t="s">
        <v>3464</v>
      </c>
      <c r="L1814" s="121">
        <v>27960</v>
      </c>
      <c r="M1814" s="121">
        <v>14990</v>
      </c>
      <c r="N1814" s="121">
        <v>6</v>
      </c>
      <c r="O1814" s="363">
        <v>12970</v>
      </c>
      <c r="P1814" s="363">
        <v>12191.8</v>
      </c>
      <c r="Q1814" s="121">
        <v>2026</v>
      </c>
      <c r="R1814" s="121">
        <v>434</v>
      </c>
      <c r="S1814" s="148">
        <v>46197</v>
      </c>
      <c r="T1814" s="363">
        <f>Таблица18[[#This Row],[Вес нетто]]-Таблица18[[#This Row],[Зачетный вес]]</f>
        <v>778.20000000000073</v>
      </c>
      <c r="U1814" s="392">
        <f>Таблица18[[#This Row],[Отход]]/Таблица18[[#This Row],[Вес нетто]]</f>
        <v>6.0000000000000053E-2</v>
      </c>
      <c r="V1814" s="121">
        <f>MONTH(Таблица18[[#This Row],[Дата акта]])</f>
        <v>6</v>
      </c>
      <c r="W1814" s="121">
        <f>DAY(Таблица18[[#This Row],[Дата акта]])</f>
        <v>24</v>
      </c>
      <c r="X1814" s="148">
        <f>DATE(1900,Таблица18[[#This Row],[Месяц]],Таблица18[[#This Row],[Число]])</f>
        <v>176</v>
      </c>
      <c r="Y1814" s="121"/>
      <c r="Z1814" s="121" t="str">
        <f>Таблица18[[#This Row],[Хар-ка]]</f>
        <v>Первый</v>
      </c>
      <c r="AA1814"/>
      <c r="AB1814">
        <v>434</v>
      </c>
      <c r="AC1814"/>
      <c r="AD1814" s="460" t="s">
        <v>3114</v>
      </c>
      <c r="AE1814" t="s">
        <v>1755</v>
      </c>
      <c r="AF1814" t="s">
        <v>52</v>
      </c>
    </row>
    <row r="1815" spans="1:32" s="465" customFormat="1" ht="33.75" x14ac:dyDescent="0.25">
      <c r="A1815" s="40" t="s">
        <v>3595</v>
      </c>
      <c r="B1815" s="360" t="s">
        <v>2940</v>
      </c>
      <c r="C1815" s="40">
        <v>562</v>
      </c>
      <c r="D1815" s="40">
        <v>345</v>
      </c>
      <c r="E1815" s="40" t="s">
        <v>2964</v>
      </c>
      <c r="F1815" s="40" t="s">
        <v>737</v>
      </c>
      <c r="G1815" s="40" t="s">
        <v>738</v>
      </c>
      <c r="H1815" s="40" t="s">
        <v>864</v>
      </c>
      <c r="I1815" s="40" t="str">
        <f>VLOOKUP(Таблица18[[#This Row],[Номер акта]],$AB$1:$AF$2504,3,FALSE)</f>
        <v>А-54/4</v>
      </c>
      <c r="J1815" s="40" t="s">
        <v>909</v>
      </c>
      <c r="K1815" s="40" t="s">
        <v>3375</v>
      </c>
      <c r="L1815" s="121">
        <v>9170</v>
      </c>
      <c r="M1815" s="121">
        <v>4640</v>
      </c>
      <c r="N1815" s="121">
        <v>14.5</v>
      </c>
      <c r="O1815" s="363">
        <v>4530</v>
      </c>
      <c r="P1815" s="363">
        <v>3873.1</v>
      </c>
      <c r="Q1815" s="121">
        <v>2026</v>
      </c>
      <c r="R1815" s="121">
        <v>435</v>
      </c>
      <c r="S1815" s="148">
        <v>46197</v>
      </c>
      <c r="T1815" s="363">
        <f>Таблица18[[#This Row],[Вес нетто]]-Таблица18[[#This Row],[Зачетный вес]]</f>
        <v>656.90000000000009</v>
      </c>
      <c r="U1815" s="392">
        <f>Таблица18[[#This Row],[Отход]]/Таблица18[[#This Row],[Вес нетто]]</f>
        <v>0.14501103752759384</v>
      </c>
      <c r="V1815" s="121">
        <f>MONTH(Таблица18[[#This Row],[Дата акта]])</f>
        <v>6</v>
      </c>
      <c r="W1815" s="121">
        <f>DAY(Таблица18[[#This Row],[Дата акта]])</f>
        <v>24</v>
      </c>
      <c r="X1815" s="148">
        <f>DATE(1900,Таблица18[[#This Row],[Месяц]],Таблица18[[#This Row],[Число]])</f>
        <v>176</v>
      </c>
      <c r="Y1815" s="121"/>
      <c r="Z1815" s="121" t="str">
        <f>Таблица18[[#This Row],[Хар-ка]]</f>
        <v>Высший</v>
      </c>
      <c r="AA1815"/>
      <c r="AB1815">
        <v>435</v>
      </c>
      <c r="AC1815"/>
      <c r="AD1815" s="460" t="s">
        <v>2884</v>
      </c>
      <c r="AE1815" t="s">
        <v>909</v>
      </c>
      <c r="AF1815" t="s">
        <v>2932</v>
      </c>
    </row>
    <row r="1816" spans="1:32" s="465" customFormat="1" ht="33.75" hidden="1" x14ac:dyDescent="0.25">
      <c r="A1816" s="40" t="s">
        <v>3598</v>
      </c>
      <c r="B1816" s="360" t="s">
        <v>3230</v>
      </c>
      <c r="C1816" s="40">
        <v>563</v>
      </c>
      <c r="D1816" s="40">
        <v>56</v>
      </c>
      <c r="E1816" s="40" t="s">
        <v>3551</v>
      </c>
      <c r="F1816" s="40" t="s">
        <v>1312</v>
      </c>
      <c r="G1816" s="40" t="s">
        <v>320</v>
      </c>
      <c r="H1816" s="40" t="s">
        <v>3114</v>
      </c>
      <c r="I1816" s="40" t="str">
        <f>VLOOKUP(Таблица18[[#This Row],[Номер акта]],$AB$1:$AF$2504,3,FALSE)</f>
        <v>12 Агролидер</v>
      </c>
      <c r="J1816" s="40" t="s">
        <v>1755</v>
      </c>
      <c r="K1816" s="40" t="s">
        <v>3464</v>
      </c>
      <c r="L1816" s="121">
        <v>27690</v>
      </c>
      <c r="M1816" s="121">
        <v>14500</v>
      </c>
      <c r="N1816" s="121">
        <v>8</v>
      </c>
      <c r="O1816" s="363">
        <v>13190</v>
      </c>
      <c r="P1816" s="363">
        <v>12134.8</v>
      </c>
      <c r="Q1816" s="121">
        <v>2026</v>
      </c>
      <c r="R1816" s="121">
        <v>436</v>
      </c>
      <c r="S1816" s="148">
        <v>46197</v>
      </c>
      <c r="T1816" s="363">
        <f>Таблица18[[#This Row],[Вес нетто]]-Таблица18[[#This Row],[Зачетный вес]]</f>
        <v>1055.2000000000007</v>
      </c>
      <c r="U1816" s="392">
        <f>Таблица18[[#This Row],[Отход]]/Таблица18[[#This Row],[Вес нетто]]</f>
        <v>8.0000000000000057E-2</v>
      </c>
      <c r="V1816" s="121">
        <f>MONTH(Таблица18[[#This Row],[Дата акта]])</f>
        <v>6</v>
      </c>
      <c r="W1816" s="121">
        <f>DAY(Таблица18[[#This Row],[Дата акта]])</f>
        <v>24</v>
      </c>
      <c r="X1816" s="148">
        <f>DATE(1900,Таблица18[[#This Row],[Месяц]],Таблица18[[#This Row],[Число]])</f>
        <v>176</v>
      </c>
      <c r="Y1816" s="121"/>
      <c r="Z1816" s="121" t="str">
        <f>Таблица18[[#This Row],[Хар-ка]]</f>
        <v>Первый</v>
      </c>
      <c r="AA1816"/>
      <c r="AB1816">
        <v>436</v>
      </c>
      <c r="AC1816"/>
      <c r="AD1816" s="460" t="s">
        <v>3114</v>
      </c>
      <c r="AE1816" t="s">
        <v>1755</v>
      </c>
      <c r="AF1816" t="s">
        <v>52</v>
      </c>
    </row>
    <row r="1817" spans="1:32" s="465" customFormat="1" ht="33.75" x14ac:dyDescent="0.25">
      <c r="A1817" s="40" t="s">
        <v>3596</v>
      </c>
      <c r="B1817" s="360" t="s">
        <v>2940</v>
      </c>
      <c r="C1817" s="40">
        <v>564</v>
      </c>
      <c r="D1817" s="40">
        <v>346</v>
      </c>
      <c r="E1817" s="40" t="s">
        <v>2964</v>
      </c>
      <c r="F1817" s="40" t="s">
        <v>121</v>
      </c>
      <c r="G1817" s="40" t="s">
        <v>125</v>
      </c>
      <c r="H1817" s="40" t="s">
        <v>864</v>
      </c>
      <c r="I1817" s="40" t="str">
        <f>VLOOKUP(Таблица18[[#This Row],[Номер акта]],$AB$1:$AF$2504,3,FALSE)</f>
        <v>А-54/4</v>
      </c>
      <c r="J1817" s="40" t="s">
        <v>909</v>
      </c>
      <c r="K1817" s="40" t="s">
        <v>3375</v>
      </c>
      <c r="L1817" s="121">
        <v>14430</v>
      </c>
      <c r="M1817" s="121">
        <v>9770</v>
      </c>
      <c r="N1817" s="121">
        <v>16</v>
      </c>
      <c r="O1817" s="363">
        <v>4660</v>
      </c>
      <c r="P1817" s="363">
        <v>3914.4</v>
      </c>
      <c r="Q1817" s="121">
        <v>2026</v>
      </c>
      <c r="R1817" s="121">
        <v>437</v>
      </c>
      <c r="S1817" s="148">
        <v>46197</v>
      </c>
      <c r="T1817" s="363">
        <f>Таблица18[[#This Row],[Вес нетто]]-Таблица18[[#This Row],[Зачетный вес]]</f>
        <v>745.59999999999991</v>
      </c>
      <c r="U1817" s="392">
        <f>Таблица18[[#This Row],[Отход]]/Таблица18[[#This Row],[Вес нетто]]</f>
        <v>0.15999999999999998</v>
      </c>
      <c r="V1817" s="121">
        <f>MONTH(Таблица18[[#This Row],[Дата акта]])</f>
        <v>6</v>
      </c>
      <c r="W1817" s="121">
        <f>DAY(Таблица18[[#This Row],[Дата акта]])</f>
        <v>24</v>
      </c>
      <c r="X1817" s="148">
        <f>DATE(1900,Таблица18[[#This Row],[Месяц]],Таблица18[[#This Row],[Число]])</f>
        <v>176</v>
      </c>
      <c r="Y1817" s="121"/>
      <c r="Z1817" s="121" t="str">
        <f>Таблица18[[#This Row],[Хар-ка]]</f>
        <v>Высший</v>
      </c>
      <c r="AA1817"/>
      <c r="AB1817">
        <v>437</v>
      </c>
      <c r="AC1817"/>
      <c r="AD1817" s="460" t="s">
        <v>2884</v>
      </c>
      <c r="AE1817" t="s">
        <v>909</v>
      </c>
      <c r="AF1817" t="s">
        <v>2932</v>
      </c>
    </row>
    <row r="1818" spans="1:32" s="465" customFormat="1" ht="33.75" x14ac:dyDescent="0.25">
      <c r="A1818" s="40" t="s">
        <v>3594</v>
      </c>
      <c r="B1818" s="360" t="s">
        <v>2940</v>
      </c>
      <c r="C1818" s="40">
        <v>567</v>
      </c>
      <c r="D1818" s="40">
        <v>347</v>
      </c>
      <c r="E1818" s="40" t="s">
        <v>2964</v>
      </c>
      <c r="F1818" s="40" t="s">
        <v>737</v>
      </c>
      <c r="G1818" s="40" t="s">
        <v>738</v>
      </c>
      <c r="H1818" s="40" t="s">
        <v>864</v>
      </c>
      <c r="I1818" s="40" t="str">
        <f>VLOOKUP(Таблица18[[#This Row],[Номер акта]],$AB$1:$AF$2504,3,FALSE)</f>
        <v>А-54/4</v>
      </c>
      <c r="J1818" s="40" t="s">
        <v>909</v>
      </c>
      <c r="K1818" s="40" t="s">
        <v>3375</v>
      </c>
      <c r="L1818" s="121">
        <v>9340</v>
      </c>
      <c r="M1818" s="121">
        <v>4630</v>
      </c>
      <c r="N1818" s="121">
        <v>8.5</v>
      </c>
      <c r="O1818" s="363">
        <v>4710</v>
      </c>
      <c r="P1818" s="363">
        <v>4309.6000000000004</v>
      </c>
      <c r="Q1818" s="121">
        <v>2026</v>
      </c>
      <c r="R1818" s="121">
        <v>438</v>
      </c>
      <c r="S1818" s="148">
        <v>46197</v>
      </c>
      <c r="T1818" s="363">
        <f>Таблица18[[#This Row],[Вес нетто]]-Таблица18[[#This Row],[Зачетный вес]]</f>
        <v>400.39999999999964</v>
      </c>
      <c r="U1818" s="392">
        <f>Таблица18[[#This Row],[Отход]]/Таблица18[[#This Row],[Вес нетто]]</f>
        <v>8.5010615711252582E-2</v>
      </c>
      <c r="V1818" s="121">
        <f>MONTH(Таблица18[[#This Row],[Дата акта]])</f>
        <v>6</v>
      </c>
      <c r="W1818" s="121">
        <f>DAY(Таблица18[[#This Row],[Дата акта]])</f>
        <v>24</v>
      </c>
      <c r="X1818" s="148">
        <f>DATE(1900,Таблица18[[#This Row],[Месяц]],Таблица18[[#This Row],[Число]])</f>
        <v>176</v>
      </c>
      <c r="Y1818" s="121"/>
      <c r="Z1818" s="121" t="str">
        <f>Таблица18[[#This Row],[Хар-ка]]</f>
        <v>Высший</v>
      </c>
      <c r="AA1818"/>
      <c r="AB1818">
        <v>438</v>
      </c>
      <c r="AC1818"/>
      <c r="AD1818" s="460" t="s">
        <v>2884</v>
      </c>
      <c r="AE1818" t="s">
        <v>909</v>
      </c>
      <c r="AF1818" t="s">
        <v>2932</v>
      </c>
    </row>
    <row r="1819" spans="1:32" s="465" customFormat="1" ht="33.75" x14ac:dyDescent="0.25">
      <c r="A1819" s="40" t="s">
        <v>3602</v>
      </c>
      <c r="B1819" s="360" t="s">
        <v>3230</v>
      </c>
      <c r="C1819" s="40">
        <v>568</v>
      </c>
      <c r="D1819" s="40">
        <v>348</v>
      </c>
      <c r="E1819" s="40" t="s">
        <v>2964</v>
      </c>
      <c r="F1819" s="40" t="s">
        <v>121</v>
      </c>
      <c r="G1819" s="40" t="s">
        <v>125</v>
      </c>
      <c r="H1819" s="40" t="s">
        <v>864</v>
      </c>
      <c r="I1819" s="40" t="str">
        <f>VLOOKUP(Таблица18[[#This Row],[Номер акта]],$AB$1:$AF$2504,3,FALSE)</f>
        <v>А-54/4</v>
      </c>
      <c r="J1819" s="40" t="s">
        <v>909</v>
      </c>
      <c r="K1819" s="40" t="s">
        <v>3375</v>
      </c>
      <c r="L1819" s="121">
        <v>23990</v>
      </c>
      <c r="M1819" s="121">
        <v>14750</v>
      </c>
      <c r="N1819" s="121">
        <v>10.5</v>
      </c>
      <c r="O1819" s="363">
        <v>9240</v>
      </c>
      <c r="P1819" s="363">
        <v>8269.7999999999993</v>
      </c>
      <c r="Q1819" s="121">
        <v>2026</v>
      </c>
      <c r="R1819" s="121">
        <v>439</v>
      </c>
      <c r="S1819" s="148">
        <v>46197</v>
      </c>
      <c r="T1819" s="363">
        <f>Таблица18[[#This Row],[Вес нетто]]-Таблица18[[#This Row],[Зачетный вес]]</f>
        <v>970.20000000000073</v>
      </c>
      <c r="U1819" s="392">
        <f>Таблица18[[#This Row],[Отход]]/Таблица18[[#This Row],[Вес нетто]]</f>
        <v>0.10500000000000008</v>
      </c>
      <c r="V1819" s="121">
        <f>MONTH(Таблица18[[#This Row],[Дата акта]])</f>
        <v>6</v>
      </c>
      <c r="W1819" s="121">
        <f>DAY(Таблица18[[#This Row],[Дата акта]])</f>
        <v>24</v>
      </c>
      <c r="X1819" s="148">
        <f>DATE(1900,Таблица18[[#This Row],[Месяц]],Таблица18[[#This Row],[Число]])</f>
        <v>176</v>
      </c>
      <c r="Y1819" s="121"/>
      <c r="Z1819" s="121" t="str">
        <f>Таблица18[[#This Row],[Хар-ка]]</f>
        <v>Первый</v>
      </c>
      <c r="AA1819"/>
      <c r="AB1819">
        <v>439</v>
      </c>
      <c r="AC1819"/>
      <c r="AD1819" s="460" t="s">
        <v>2884</v>
      </c>
      <c r="AE1819" t="s">
        <v>909</v>
      </c>
      <c r="AF1819" t="s">
        <v>2932</v>
      </c>
    </row>
    <row r="1820" spans="1:32" s="465" customFormat="1" ht="22.5" hidden="1" x14ac:dyDescent="0.25">
      <c r="A1820" s="40" t="s">
        <v>3603</v>
      </c>
      <c r="B1820" s="360" t="s">
        <v>3230</v>
      </c>
      <c r="C1820" s="40">
        <v>569</v>
      </c>
      <c r="D1820" s="40">
        <v>57</v>
      </c>
      <c r="E1820" s="40" t="s">
        <v>3551</v>
      </c>
      <c r="F1820" s="40" t="s">
        <v>894</v>
      </c>
      <c r="G1820" s="40" t="s">
        <v>895</v>
      </c>
      <c r="H1820" s="40" t="s">
        <v>3114</v>
      </c>
      <c r="I1820" s="40" t="str">
        <f>VLOOKUP(Таблица18[[#This Row],[Номер акта]],$AB$1:$AF$2504,3,FALSE)</f>
        <v>12 Агролидер</v>
      </c>
      <c r="J1820" s="40" t="s">
        <v>1755</v>
      </c>
      <c r="K1820" s="40" t="s">
        <v>3464</v>
      </c>
      <c r="L1820" s="121">
        <v>31060</v>
      </c>
      <c r="M1820" s="121">
        <v>14970</v>
      </c>
      <c r="N1820" s="121">
        <v>4.5</v>
      </c>
      <c r="O1820" s="363">
        <v>16090</v>
      </c>
      <c r="P1820" s="363">
        <v>15365.9</v>
      </c>
      <c r="Q1820" s="121">
        <v>2026</v>
      </c>
      <c r="R1820" s="121">
        <v>440</v>
      </c>
      <c r="S1820" s="148">
        <v>46197</v>
      </c>
      <c r="T1820" s="363">
        <f>Таблица18[[#This Row],[Вес нетто]]-Таблица18[[#This Row],[Зачетный вес]]</f>
        <v>724.10000000000036</v>
      </c>
      <c r="U1820" s="392">
        <f>Таблица18[[#This Row],[Отход]]/Таблица18[[#This Row],[Вес нетто]]</f>
        <v>4.5003107520198905E-2</v>
      </c>
      <c r="V1820" s="121">
        <f>MONTH(Таблица18[[#This Row],[Дата акта]])</f>
        <v>6</v>
      </c>
      <c r="W1820" s="121">
        <f>DAY(Таблица18[[#This Row],[Дата акта]])</f>
        <v>24</v>
      </c>
      <c r="X1820" s="148">
        <f>DATE(1900,Таблица18[[#This Row],[Месяц]],Таблица18[[#This Row],[Число]])</f>
        <v>176</v>
      </c>
      <c r="Y1820" s="121"/>
      <c r="Z1820" s="121" t="str">
        <f>Таблица18[[#This Row],[Хар-ка]]</f>
        <v>Первый</v>
      </c>
      <c r="AA1820"/>
      <c r="AB1820">
        <v>440</v>
      </c>
      <c r="AC1820"/>
      <c r="AD1820" s="460" t="s">
        <v>3114</v>
      </c>
      <c r="AE1820" t="s">
        <v>1755</v>
      </c>
      <c r="AF1820" t="s">
        <v>52</v>
      </c>
    </row>
    <row r="1821" spans="1:32" s="465" customFormat="1" ht="33.75" x14ac:dyDescent="0.25">
      <c r="A1821" s="40" t="s">
        <v>3604</v>
      </c>
      <c r="B1821" s="360" t="s">
        <v>2940</v>
      </c>
      <c r="C1821" s="40">
        <v>570</v>
      </c>
      <c r="D1821" s="40">
        <v>349</v>
      </c>
      <c r="E1821" s="40" t="s">
        <v>2964</v>
      </c>
      <c r="F1821" s="40" t="s">
        <v>1461</v>
      </c>
      <c r="G1821" s="40" t="s">
        <v>149</v>
      </c>
      <c r="H1821" s="40" t="s">
        <v>864</v>
      </c>
      <c r="I1821" s="40" t="str">
        <f>VLOOKUP(Таблица18[[#This Row],[Номер акта]],$AB$1:$AF$2504,3,FALSE)</f>
        <v>А-54/4</v>
      </c>
      <c r="J1821" s="40" t="s">
        <v>909</v>
      </c>
      <c r="K1821" s="40" t="s">
        <v>3375</v>
      </c>
      <c r="L1821" s="121">
        <v>24070</v>
      </c>
      <c r="M1821" s="121">
        <v>15010</v>
      </c>
      <c r="N1821" s="121">
        <v>9.5</v>
      </c>
      <c r="O1821" s="363">
        <v>9060</v>
      </c>
      <c r="P1821" s="363">
        <v>8199.2999999999993</v>
      </c>
      <c r="Q1821" s="121">
        <v>2026</v>
      </c>
      <c r="R1821" s="121">
        <v>441</v>
      </c>
      <c r="S1821" s="148">
        <v>46197</v>
      </c>
      <c r="T1821" s="363">
        <f>Таблица18[[#This Row],[Вес нетто]]-Таблица18[[#This Row],[Зачетный вес]]</f>
        <v>860.70000000000073</v>
      </c>
      <c r="U1821" s="392">
        <f>Таблица18[[#This Row],[Отход]]/Таблица18[[#This Row],[Вес нетто]]</f>
        <v>9.5000000000000084E-2</v>
      </c>
      <c r="V1821" s="121">
        <f>MONTH(Таблица18[[#This Row],[Дата акта]])</f>
        <v>6</v>
      </c>
      <c r="W1821" s="121">
        <f>DAY(Таблица18[[#This Row],[Дата акта]])</f>
        <v>24</v>
      </c>
      <c r="X1821" s="148">
        <f>DATE(1900,Таблица18[[#This Row],[Месяц]],Таблица18[[#This Row],[Число]])</f>
        <v>176</v>
      </c>
      <c r="Y1821" s="121"/>
      <c r="Z1821" s="121" t="str">
        <f>Таблица18[[#This Row],[Хар-ка]]</f>
        <v>Высший</v>
      </c>
      <c r="AA1821"/>
      <c r="AB1821">
        <v>441</v>
      </c>
      <c r="AC1821"/>
      <c r="AD1821" s="460" t="s">
        <v>2884</v>
      </c>
      <c r="AE1821" t="s">
        <v>909</v>
      </c>
      <c r="AF1821" t="s">
        <v>2932</v>
      </c>
    </row>
    <row r="1822" spans="1:32" s="465" customFormat="1" ht="33.75" x14ac:dyDescent="0.25">
      <c r="A1822" s="40" t="s">
        <v>3605</v>
      </c>
      <c r="B1822" s="360" t="s">
        <v>2940</v>
      </c>
      <c r="C1822" s="40">
        <v>571</v>
      </c>
      <c r="D1822" s="40">
        <v>350</v>
      </c>
      <c r="E1822" s="40" t="s">
        <v>2964</v>
      </c>
      <c r="F1822" s="40" t="s">
        <v>737</v>
      </c>
      <c r="G1822" s="40" t="s">
        <v>738</v>
      </c>
      <c r="H1822" s="40" t="s">
        <v>864</v>
      </c>
      <c r="I1822" s="40" t="str">
        <f>VLOOKUP(Таблица18[[#This Row],[Номер акта]],$AB$1:$AF$2504,3,FALSE)</f>
        <v>А-54/4</v>
      </c>
      <c r="J1822" s="40" t="s">
        <v>909</v>
      </c>
      <c r="K1822" s="40" t="s">
        <v>3375</v>
      </c>
      <c r="L1822" s="121">
        <v>9230</v>
      </c>
      <c r="M1822" s="121">
        <v>4630</v>
      </c>
      <c r="N1822" s="121">
        <v>11.5</v>
      </c>
      <c r="O1822" s="363">
        <v>4600</v>
      </c>
      <c r="P1822" s="363">
        <v>4071</v>
      </c>
      <c r="Q1822" s="121">
        <v>2026</v>
      </c>
      <c r="R1822" s="121">
        <v>442</v>
      </c>
      <c r="S1822" s="148">
        <v>46197</v>
      </c>
      <c r="T1822" s="363">
        <f>Таблица18[[#This Row],[Вес нетто]]-Таблица18[[#This Row],[Зачетный вес]]</f>
        <v>529</v>
      </c>
      <c r="U1822" s="392">
        <f>Таблица18[[#This Row],[Отход]]/Таблица18[[#This Row],[Вес нетто]]</f>
        <v>0.115</v>
      </c>
      <c r="V1822" s="121">
        <f>MONTH(Таблица18[[#This Row],[Дата акта]])</f>
        <v>6</v>
      </c>
      <c r="W1822" s="121">
        <f>DAY(Таблица18[[#This Row],[Дата акта]])</f>
        <v>24</v>
      </c>
      <c r="X1822" s="148">
        <f>DATE(1900,Таблица18[[#This Row],[Месяц]],Таблица18[[#This Row],[Число]])</f>
        <v>176</v>
      </c>
      <c r="Y1822" s="121"/>
      <c r="Z1822" s="121" t="str">
        <f>Таблица18[[#This Row],[Хар-ка]]</f>
        <v>Высший</v>
      </c>
      <c r="AA1822"/>
      <c r="AB1822">
        <v>442</v>
      </c>
      <c r="AC1822"/>
      <c r="AD1822" s="460" t="s">
        <v>2884</v>
      </c>
      <c r="AE1822" t="s">
        <v>909</v>
      </c>
      <c r="AF1822" t="s">
        <v>2932</v>
      </c>
    </row>
    <row r="1823" spans="1:32" s="465" customFormat="1" ht="33.75" x14ac:dyDescent="0.25">
      <c r="A1823" s="40" t="s">
        <v>3606</v>
      </c>
      <c r="B1823" s="360" t="s">
        <v>2940</v>
      </c>
      <c r="C1823" s="40">
        <v>572</v>
      </c>
      <c r="D1823" s="40">
        <v>351</v>
      </c>
      <c r="E1823" s="40" t="s">
        <v>2964</v>
      </c>
      <c r="F1823" s="40" t="s">
        <v>121</v>
      </c>
      <c r="G1823" s="40" t="s">
        <v>125</v>
      </c>
      <c r="H1823" s="40" t="s">
        <v>864</v>
      </c>
      <c r="I1823" s="40" t="str">
        <f>VLOOKUP(Таблица18[[#This Row],[Номер акта]],$AB$1:$AF$2504,3,FALSE)</f>
        <v>А-54/4</v>
      </c>
      <c r="J1823" s="40" t="s">
        <v>909</v>
      </c>
      <c r="K1823" s="40" t="s">
        <v>3375</v>
      </c>
      <c r="L1823" s="121">
        <v>23890</v>
      </c>
      <c r="M1823" s="121">
        <v>14720</v>
      </c>
      <c r="N1823" s="121">
        <v>12.5</v>
      </c>
      <c r="O1823" s="363">
        <v>9170</v>
      </c>
      <c r="P1823" s="363">
        <v>8023.8</v>
      </c>
      <c r="Q1823" s="121">
        <v>2026</v>
      </c>
      <c r="R1823" s="121">
        <v>443</v>
      </c>
      <c r="S1823" s="148">
        <v>46197</v>
      </c>
      <c r="T1823" s="363">
        <f>Таблица18[[#This Row],[Вес нетто]]-Таблица18[[#This Row],[Зачетный вес]]</f>
        <v>1146.1999999999998</v>
      </c>
      <c r="U1823" s="392">
        <f>Таблица18[[#This Row],[Отход]]/Таблица18[[#This Row],[Вес нетто]]</f>
        <v>0.1249945474372955</v>
      </c>
      <c r="V1823" s="121">
        <f>MONTH(Таблица18[[#This Row],[Дата акта]])</f>
        <v>6</v>
      </c>
      <c r="W1823" s="121">
        <f>DAY(Таблица18[[#This Row],[Дата акта]])</f>
        <v>24</v>
      </c>
      <c r="X1823" s="148">
        <f>DATE(1900,Таблица18[[#This Row],[Месяц]],Таблица18[[#This Row],[Число]])</f>
        <v>176</v>
      </c>
      <c r="Y1823" s="121"/>
      <c r="Z1823" s="121" t="str">
        <f>Таблица18[[#This Row],[Хар-ка]]</f>
        <v>Высший</v>
      </c>
      <c r="AA1823"/>
      <c r="AB1823">
        <v>443</v>
      </c>
      <c r="AC1823"/>
      <c r="AD1823" s="460" t="s">
        <v>2884</v>
      </c>
      <c r="AE1823" t="s">
        <v>909</v>
      </c>
      <c r="AF1823" t="s">
        <v>2932</v>
      </c>
    </row>
    <row r="1824" spans="1:32" s="465" customFormat="1" ht="22.5" hidden="1" x14ac:dyDescent="0.25">
      <c r="A1824" s="40" t="s">
        <v>3608</v>
      </c>
      <c r="B1824" s="360" t="s">
        <v>2940</v>
      </c>
      <c r="C1824" s="40">
        <v>573</v>
      </c>
      <c r="D1824" s="40">
        <v>58</v>
      </c>
      <c r="E1824" s="40" t="s">
        <v>3551</v>
      </c>
      <c r="F1824" s="40" t="s">
        <v>3554</v>
      </c>
      <c r="G1824" s="40" t="s">
        <v>3555</v>
      </c>
      <c r="H1824" s="40" t="s">
        <v>3115</v>
      </c>
      <c r="I1824" s="40" t="str">
        <f>VLOOKUP(Таблица18[[#This Row],[Номер акта]],$AB$1:$AF$2504,3,FALSE)</f>
        <v>17 Агролидер</v>
      </c>
      <c r="J1824" s="40" t="s">
        <v>909</v>
      </c>
      <c r="K1824" s="40" t="s">
        <v>3464</v>
      </c>
      <c r="L1824" s="121">
        <v>23750</v>
      </c>
      <c r="M1824" s="121">
        <v>14500</v>
      </c>
      <c r="N1824" s="121">
        <v>10.5</v>
      </c>
      <c r="O1824" s="363">
        <v>9250</v>
      </c>
      <c r="P1824" s="363">
        <v>8278.7999999999993</v>
      </c>
      <c r="Q1824" s="121">
        <v>2026</v>
      </c>
      <c r="R1824" s="121">
        <v>444</v>
      </c>
      <c r="S1824" s="148">
        <v>46197</v>
      </c>
      <c r="T1824" s="363">
        <f>Таблица18[[#This Row],[Вес нетто]]-Таблица18[[#This Row],[Зачетный вес]]</f>
        <v>971.20000000000073</v>
      </c>
      <c r="U1824" s="392">
        <f>Таблица18[[#This Row],[Отход]]/Таблица18[[#This Row],[Вес нетто]]</f>
        <v>0.10499459459459468</v>
      </c>
      <c r="V1824" s="121">
        <f>MONTH(Таблица18[[#This Row],[Дата акта]])</f>
        <v>6</v>
      </c>
      <c r="W1824" s="121">
        <f>DAY(Таблица18[[#This Row],[Дата акта]])</f>
        <v>24</v>
      </c>
      <c r="X1824" s="148">
        <f>DATE(1900,Таблица18[[#This Row],[Месяц]],Таблица18[[#This Row],[Число]])</f>
        <v>176</v>
      </c>
      <c r="Y1824" s="121"/>
      <c r="Z1824" s="121" t="str">
        <f>Таблица18[[#This Row],[Хар-ка]]</f>
        <v>Высший</v>
      </c>
      <c r="AA1824"/>
      <c r="AB1824">
        <v>444</v>
      </c>
      <c r="AC1824"/>
      <c r="AD1824" s="460" t="s">
        <v>3115</v>
      </c>
      <c r="AE1824" t="s">
        <v>909</v>
      </c>
      <c r="AF1824" t="s">
        <v>52</v>
      </c>
    </row>
    <row r="1825" spans="1:32" s="465" customFormat="1" ht="33.75" x14ac:dyDescent="0.25">
      <c r="A1825" s="40" t="s">
        <v>3609</v>
      </c>
      <c r="B1825" s="360" t="s">
        <v>2940</v>
      </c>
      <c r="C1825" s="40">
        <v>574</v>
      </c>
      <c r="D1825" s="40">
        <v>352</v>
      </c>
      <c r="E1825" s="40" t="s">
        <v>2964</v>
      </c>
      <c r="F1825" s="40" t="s">
        <v>1461</v>
      </c>
      <c r="G1825" s="40" t="s">
        <v>149</v>
      </c>
      <c r="H1825" s="40" t="s">
        <v>864</v>
      </c>
      <c r="I1825" s="40" t="str">
        <f>VLOOKUP(Таблица18[[#This Row],[Номер акта]],$AB$1:$AF$2504,3,FALSE)</f>
        <v>А-54/4</v>
      </c>
      <c r="J1825" s="40" t="s">
        <v>909</v>
      </c>
      <c r="K1825" s="40" t="s">
        <v>3375</v>
      </c>
      <c r="L1825" s="121">
        <v>28220</v>
      </c>
      <c r="M1825" s="121">
        <v>14990</v>
      </c>
      <c r="N1825" s="121">
        <v>10.5</v>
      </c>
      <c r="O1825" s="363">
        <v>13230</v>
      </c>
      <c r="P1825" s="363">
        <v>11840.9</v>
      </c>
      <c r="Q1825" s="121">
        <v>2026</v>
      </c>
      <c r="R1825" s="121">
        <v>445</v>
      </c>
      <c r="S1825" s="148">
        <v>46197</v>
      </c>
      <c r="T1825" s="363">
        <f>Таблица18[[#This Row],[Вес нетто]]-Таблица18[[#This Row],[Зачетный вес]]</f>
        <v>1389.1000000000004</v>
      </c>
      <c r="U1825" s="392">
        <f>Таблица18[[#This Row],[Отход]]/Таблица18[[#This Row],[Вес нетто]]</f>
        <v>0.10499622071050645</v>
      </c>
      <c r="V1825" s="121">
        <f>MONTH(Таблица18[[#This Row],[Дата акта]])</f>
        <v>6</v>
      </c>
      <c r="W1825" s="121">
        <f>DAY(Таблица18[[#This Row],[Дата акта]])</f>
        <v>24</v>
      </c>
      <c r="X1825" s="148">
        <f>DATE(1900,Таблица18[[#This Row],[Месяц]],Таблица18[[#This Row],[Число]])</f>
        <v>176</v>
      </c>
      <c r="Y1825" s="121"/>
      <c r="Z1825" s="121" t="str">
        <f>Таблица18[[#This Row],[Хар-ка]]</f>
        <v>Высший</v>
      </c>
      <c r="AA1825"/>
      <c r="AB1825">
        <v>445</v>
      </c>
      <c r="AC1825"/>
      <c r="AD1825" s="460" t="s">
        <v>2884</v>
      </c>
      <c r="AE1825" t="s">
        <v>909</v>
      </c>
      <c r="AF1825" t="s">
        <v>2932</v>
      </c>
    </row>
    <row r="1826" spans="1:32" s="465" customFormat="1" ht="33.75" x14ac:dyDescent="0.25">
      <c r="A1826" s="40" t="s">
        <v>3610</v>
      </c>
      <c r="B1826" s="360" t="s">
        <v>2940</v>
      </c>
      <c r="C1826" s="40">
        <v>575</v>
      </c>
      <c r="D1826" s="40">
        <v>353</v>
      </c>
      <c r="E1826" s="40" t="s">
        <v>2964</v>
      </c>
      <c r="F1826" s="40" t="s">
        <v>737</v>
      </c>
      <c r="G1826" s="40" t="s">
        <v>738</v>
      </c>
      <c r="H1826" s="40" t="s">
        <v>864</v>
      </c>
      <c r="I1826" s="40" t="str">
        <f>VLOOKUP(Таблица18[[#This Row],[Номер акта]],$AB$1:$AF$2504,3,FALSE)</f>
        <v>А-54/4</v>
      </c>
      <c r="J1826" s="40" t="s">
        <v>909</v>
      </c>
      <c r="K1826" s="40" t="s">
        <v>3375</v>
      </c>
      <c r="L1826" s="121">
        <v>9210</v>
      </c>
      <c r="M1826" s="121">
        <v>4620</v>
      </c>
      <c r="N1826" s="121">
        <v>10.5</v>
      </c>
      <c r="O1826" s="363">
        <v>4590</v>
      </c>
      <c r="P1826" s="363">
        <v>4108.1000000000004</v>
      </c>
      <c r="Q1826" s="121">
        <v>2026</v>
      </c>
      <c r="R1826" s="121">
        <v>446</v>
      </c>
      <c r="S1826" s="148">
        <v>46197</v>
      </c>
      <c r="T1826" s="363">
        <f>Таблица18[[#This Row],[Вес нетто]]-Таблица18[[#This Row],[Зачетный вес]]</f>
        <v>481.89999999999964</v>
      </c>
      <c r="U1826" s="392">
        <f>Таблица18[[#This Row],[Отход]]/Таблица18[[#This Row],[Вес нетто]]</f>
        <v>0.10498910675381255</v>
      </c>
      <c r="V1826" s="121">
        <f>MONTH(Таблица18[[#This Row],[Дата акта]])</f>
        <v>6</v>
      </c>
      <c r="W1826" s="121">
        <f>DAY(Таблица18[[#This Row],[Дата акта]])</f>
        <v>24</v>
      </c>
      <c r="X1826" s="148">
        <f>DATE(1900,Таблица18[[#This Row],[Месяц]],Таблица18[[#This Row],[Число]])</f>
        <v>176</v>
      </c>
      <c r="Y1826" s="121"/>
      <c r="Z1826" s="121" t="str">
        <f>Таблица18[[#This Row],[Хар-ка]]</f>
        <v>Высший</v>
      </c>
      <c r="AA1826"/>
      <c r="AB1826">
        <v>446</v>
      </c>
      <c r="AC1826"/>
      <c r="AD1826" s="460" t="s">
        <v>2884</v>
      </c>
      <c r="AE1826" t="s">
        <v>909</v>
      </c>
      <c r="AF1826" t="s">
        <v>2932</v>
      </c>
    </row>
    <row r="1827" spans="1:32" s="465" customFormat="1" ht="33.75" x14ac:dyDescent="0.25">
      <c r="A1827" s="40" t="s">
        <v>3607</v>
      </c>
      <c r="B1827" s="360" t="s">
        <v>2940</v>
      </c>
      <c r="C1827" s="40">
        <v>576</v>
      </c>
      <c r="D1827" s="40">
        <v>354</v>
      </c>
      <c r="E1827" s="40" t="s">
        <v>2964</v>
      </c>
      <c r="F1827" s="40" t="s">
        <v>121</v>
      </c>
      <c r="G1827" s="40" t="s">
        <v>125</v>
      </c>
      <c r="H1827" s="40" t="s">
        <v>864</v>
      </c>
      <c r="I1827" s="40" t="str">
        <f>VLOOKUP(Таблица18[[#This Row],[Номер акта]],$AB$1:$AF$2504,3,FALSE)</f>
        <v>А-54/4</v>
      </c>
      <c r="J1827" s="40" t="s">
        <v>909</v>
      </c>
      <c r="K1827" s="40" t="s">
        <v>3375</v>
      </c>
      <c r="L1827" s="121">
        <v>32270</v>
      </c>
      <c r="M1827" s="121">
        <v>14730</v>
      </c>
      <c r="N1827" s="121">
        <v>10.5</v>
      </c>
      <c r="O1827" s="363">
        <v>17540</v>
      </c>
      <c r="P1827" s="363">
        <v>15698.3</v>
      </c>
      <c r="Q1827" s="121">
        <v>2026</v>
      </c>
      <c r="R1827" s="121">
        <v>447</v>
      </c>
      <c r="S1827" s="148">
        <v>46197</v>
      </c>
      <c r="T1827" s="363">
        <f>Таблица18[[#This Row],[Вес нетто]]-Таблица18[[#This Row],[Зачетный вес]]</f>
        <v>1841.7000000000007</v>
      </c>
      <c r="U1827" s="392">
        <f>Таблица18[[#This Row],[Отход]]/Таблица18[[#This Row],[Вес нетто]]</f>
        <v>0.10500000000000004</v>
      </c>
      <c r="V1827" s="121">
        <f>MONTH(Таблица18[[#This Row],[Дата акта]])</f>
        <v>6</v>
      </c>
      <c r="W1827" s="121">
        <f>DAY(Таблица18[[#This Row],[Дата акта]])</f>
        <v>24</v>
      </c>
      <c r="X1827" s="148">
        <f>DATE(1900,Таблица18[[#This Row],[Месяц]],Таблица18[[#This Row],[Число]])</f>
        <v>176</v>
      </c>
      <c r="Y1827" s="121"/>
      <c r="Z1827" s="121" t="str">
        <f>Таблица18[[#This Row],[Хар-ка]]</f>
        <v>Высший</v>
      </c>
      <c r="AA1827"/>
      <c r="AB1827">
        <v>447</v>
      </c>
      <c r="AC1827"/>
      <c r="AD1827" s="460" t="s">
        <v>2884</v>
      </c>
      <c r="AE1827" t="s">
        <v>909</v>
      </c>
      <c r="AF1827" t="s">
        <v>2932</v>
      </c>
    </row>
    <row r="1828" spans="1:32" s="465" customFormat="1" ht="33.75" x14ac:dyDescent="0.25">
      <c r="A1828" s="40" t="s">
        <v>3611</v>
      </c>
      <c r="B1828" s="360" t="s">
        <v>2940</v>
      </c>
      <c r="C1828" s="40">
        <v>577</v>
      </c>
      <c r="D1828" s="40">
        <v>355</v>
      </c>
      <c r="E1828" s="40" t="s">
        <v>2964</v>
      </c>
      <c r="F1828" s="40" t="s">
        <v>1461</v>
      </c>
      <c r="G1828" s="40" t="s">
        <v>149</v>
      </c>
      <c r="H1828" s="40" t="s">
        <v>864</v>
      </c>
      <c r="I1828" s="40" t="str">
        <f>VLOOKUP(Таблица18[[#This Row],[Номер акта]],$AB$1:$AF$2504,3,FALSE)</f>
        <v>А-54/4</v>
      </c>
      <c r="J1828" s="40" t="s">
        <v>909</v>
      </c>
      <c r="K1828" s="40" t="s">
        <v>3375</v>
      </c>
      <c r="L1828" s="121">
        <v>32560</v>
      </c>
      <c r="M1828" s="121">
        <v>14980</v>
      </c>
      <c r="N1828" s="121">
        <v>15.5</v>
      </c>
      <c r="O1828" s="363">
        <v>17580</v>
      </c>
      <c r="P1828" s="363">
        <v>14855.1</v>
      </c>
      <c r="Q1828" s="121">
        <v>2026</v>
      </c>
      <c r="R1828" s="121">
        <v>448</v>
      </c>
      <c r="S1828" s="148">
        <v>46198</v>
      </c>
      <c r="T1828" s="363">
        <f>Таблица18[[#This Row],[Вес нетто]]-Таблица18[[#This Row],[Зачетный вес]]</f>
        <v>2724.8999999999996</v>
      </c>
      <c r="U1828" s="392">
        <f>Таблица18[[#This Row],[Отход]]/Таблица18[[#This Row],[Вес нетто]]</f>
        <v>0.15499999999999997</v>
      </c>
      <c r="V1828" s="121">
        <f>MONTH(Таблица18[[#This Row],[Дата акта]])</f>
        <v>6</v>
      </c>
      <c r="W1828" s="121">
        <f>DAY(Таблица18[[#This Row],[Дата акта]])</f>
        <v>25</v>
      </c>
      <c r="X1828" s="148">
        <f>DATE(1900,Таблица18[[#This Row],[Месяц]],Таблица18[[#This Row],[Число]])</f>
        <v>177</v>
      </c>
      <c r="Y1828" s="121"/>
      <c r="Z1828" s="121" t="str">
        <f>Таблица18[[#This Row],[Хар-ка]]</f>
        <v>Высший</v>
      </c>
      <c r="AA1828"/>
      <c r="AB1828">
        <v>448</v>
      </c>
      <c r="AC1828"/>
      <c r="AD1828" s="460" t="s">
        <v>2884</v>
      </c>
      <c r="AE1828" t="s">
        <v>909</v>
      </c>
      <c r="AF1828" t="s">
        <v>2932</v>
      </c>
    </row>
    <row r="1829" spans="1:32" s="465" customFormat="1" ht="33.75" x14ac:dyDescent="0.25">
      <c r="A1829" s="40" t="s">
        <v>3612</v>
      </c>
      <c r="B1829" s="360" t="s">
        <v>3230</v>
      </c>
      <c r="C1829" s="40">
        <v>578</v>
      </c>
      <c r="D1829" s="40">
        <v>356</v>
      </c>
      <c r="E1829" s="40" t="s">
        <v>2964</v>
      </c>
      <c r="F1829" s="40" t="s">
        <v>737</v>
      </c>
      <c r="G1829" s="40" t="s">
        <v>738</v>
      </c>
      <c r="H1829" s="40" t="s">
        <v>864</v>
      </c>
      <c r="I1829" s="40" t="str">
        <f>VLOOKUP(Таблица18[[#This Row],[Номер акта]],$AB$1:$AF$2504,3,FALSE)</f>
        <v>А-54/4</v>
      </c>
      <c r="J1829" s="40" t="s">
        <v>909</v>
      </c>
      <c r="K1829" s="40" t="s">
        <v>3375</v>
      </c>
      <c r="L1829" s="121">
        <v>9080</v>
      </c>
      <c r="M1829" s="121">
        <v>4620</v>
      </c>
      <c r="N1829" s="121">
        <v>13.5</v>
      </c>
      <c r="O1829" s="363">
        <v>4460</v>
      </c>
      <c r="P1829" s="363">
        <v>3857.9</v>
      </c>
      <c r="Q1829" s="121">
        <v>2026</v>
      </c>
      <c r="R1829" s="121">
        <v>449</v>
      </c>
      <c r="S1829" s="148">
        <v>46198</v>
      </c>
      <c r="T1829" s="363">
        <f>Таблица18[[#This Row],[Вес нетто]]-Таблица18[[#This Row],[Зачетный вес]]</f>
        <v>602.09999999999991</v>
      </c>
      <c r="U1829" s="392">
        <f>Таблица18[[#This Row],[Отход]]/Таблица18[[#This Row],[Вес нетто]]</f>
        <v>0.13499999999999998</v>
      </c>
      <c r="V1829" s="121">
        <f>MONTH(Таблица18[[#This Row],[Дата акта]])</f>
        <v>6</v>
      </c>
      <c r="W1829" s="121">
        <f>DAY(Таблица18[[#This Row],[Дата акта]])</f>
        <v>25</v>
      </c>
      <c r="X1829" s="148">
        <f>DATE(1900,Таблица18[[#This Row],[Месяц]],Таблица18[[#This Row],[Число]])</f>
        <v>177</v>
      </c>
      <c r="Y1829" s="121"/>
      <c r="Z1829" s="121" t="str">
        <f>Таблица18[[#This Row],[Хар-ка]]</f>
        <v>Первый</v>
      </c>
      <c r="AA1829"/>
      <c r="AB1829">
        <v>460</v>
      </c>
      <c r="AC1829"/>
      <c r="AD1829" s="460" t="s">
        <v>3115</v>
      </c>
      <c r="AE1829" t="s">
        <v>909</v>
      </c>
      <c r="AF1829" t="s">
        <v>52</v>
      </c>
    </row>
    <row r="1830" spans="1:32" s="465" customFormat="1" ht="33.75" x14ac:dyDescent="0.25">
      <c r="A1830" s="40" t="s">
        <v>3613</v>
      </c>
      <c r="B1830" s="360" t="s">
        <v>3230</v>
      </c>
      <c r="C1830" s="40">
        <v>579</v>
      </c>
      <c r="D1830" s="40">
        <v>357</v>
      </c>
      <c r="E1830" s="40" t="s">
        <v>2964</v>
      </c>
      <c r="F1830" s="40" t="s">
        <v>121</v>
      </c>
      <c r="G1830" s="40" t="s">
        <v>125</v>
      </c>
      <c r="H1830" s="40" t="s">
        <v>864</v>
      </c>
      <c r="I1830" s="40" t="str">
        <f>VLOOKUP(Таблица18[[#This Row],[Номер акта]],$AB$1:$AF$2504,3,FALSE)</f>
        <v>А-54/4</v>
      </c>
      <c r="J1830" s="40" t="s">
        <v>909</v>
      </c>
      <c r="K1830" s="40" t="s">
        <v>3375</v>
      </c>
      <c r="L1830" s="121">
        <v>32390</v>
      </c>
      <c r="M1830" s="121">
        <v>14710</v>
      </c>
      <c r="N1830" s="121">
        <v>9.5</v>
      </c>
      <c r="O1830" s="363">
        <v>17680</v>
      </c>
      <c r="P1830" s="363">
        <v>16000.4</v>
      </c>
      <c r="Q1830" s="121">
        <v>2026</v>
      </c>
      <c r="R1830" s="121">
        <v>450</v>
      </c>
      <c r="S1830" s="148">
        <v>46198</v>
      </c>
      <c r="T1830" s="363">
        <f>Таблица18[[#This Row],[Вес нетто]]-Таблица18[[#This Row],[Зачетный вес]]</f>
        <v>1679.6000000000004</v>
      </c>
      <c r="U1830" s="392">
        <f>Таблица18[[#This Row],[Отход]]/Таблица18[[#This Row],[Вес нетто]]</f>
        <v>9.5000000000000015E-2</v>
      </c>
      <c r="V1830" s="121">
        <f>MONTH(Таблица18[[#This Row],[Дата акта]])</f>
        <v>6</v>
      </c>
      <c r="W1830" s="121">
        <f>DAY(Таблица18[[#This Row],[Дата акта]])</f>
        <v>25</v>
      </c>
      <c r="X1830" s="148">
        <f>DATE(1900,Таблица18[[#This Row],[Месяц]],Таблица18[[#This Row],[Число]])</f>
        <v>177</v>
      </c>
      <c r="Y1830" s="121"/>
      <c r="Z1830" s="121" t="str">
        <f>Таблица18[[#This Row],[Хар-ка]]</f>
        <v>Первый</v>
      </c>
      <c r="AA1830"/>
      <c r="AB1830">
        <v>462</v>
      </c>
      <c r="AC1830"/>
      <c r="AD1830" s="460" t="s">
        <v>3115</v>
      </c>
      <c r="AE1830" t="s">
        <v>909</v>
      </c>
      <c r="AF1830" t="s">
        <v>52</v>
      </c>
    </row>
    <row r="1831" spans="1:32" s="465" customFormat="1" ht="22.5" hidden="1" x14ac:dyDescent="0.25">
      <c r="A1831" s="40" t="s">
        <v>3617</v>
      </c>
      <c r="B1831" s="360" t="s">
        <v>2940</v>
      </c>
      <c r="C1831" s="40">
        <v>580</v>
      </c>
      <c r="D1831" s="40">
        <v>62</v>
      </c>
      <c r="E1831" s="40" t="s">
        <v>3551</v>
      </c>
      <c r="F1831" s="40" t="s">
        <v>3554</v>
      </c>
      <c r="G1831" s="40" t="s">
        <v>3555</v>
      </c>
      <c r="H1831" s="40" t="s">
        <v>3115</v>
      </c>
      <c r="I1831" s="40" t="str">
        <f>VLOOKUP(Таблица18[[#This Row],[Номер акта]],$AB$1:$AF$2504,3,FALSE)</f>
        <v>17 Агролидер</v>
      </c>
      <c r="J1831" s="40" t="s">
        <v>909</v>
      </c>
      <c r="K1831" s="40" t="s">
        <v>3464</v>
      </c>
      <c r="L1831" s="121">
        <v>23250</v>
      </c>
      <c r="M1831" s="121">
        <v>14450</v>
      </c>
      <c r="N1831" s="121">
        <v>17.5</v>
      </c>
      <c r="O1831" s="363">
        <v>8800</v>
      </c>
      <c r="P1831" s="363">
        <v>7260</v>
      </c>
      <c r="Q1831" s="121">
        <v>2026</v>
      </c>
      <c r="R1831" s="121">
        <v>453</v>
      </c>
      <c r="S1831" s="148">
        <v>46198</v>
      </c>
      <c r="T1831" s="363">
        <f>Таблица18[[#This Row],[Вес нетто]]-Таблица18[[#This Row],[Зачетный вес]]</f>
        <v>1540</v>
      </c>
      <c r="U1831" s="392">
        <f>Таблица18[[#This Row],[Отход]]/Таблица18[[#This Row],[Вес нетто]]</f>
        <v>0.17499999999999999</v>
      </c>
      <c r="V1831" s="121">
        <f>MONTH(Таблица18[[#This Row],[Дата акта]])</f>
        <v>6</v>
      </c>
      <c r="W1831" s="121">
        <f>DAY(Таблица18[[#This Row],[Дата акта]])</f>
        <v>25</v>
      </c>
      <c r="X1831" s="148">
        <f>DATE(1900,Таблица18[[#This Row],[Месяц]],Таблица18[[#This Row],[Число]])</f>
        <v>177</v>
      </c>
      <c r="Y1831" s="121"/>
      <c r="Z1831" s="121" t="str">
        <f>Таблица18[[#This Row],[Хар-ка]]</f>
        <v>Высший</v>
      </c>
      <c r="AA1831"/>
      <c r="AB1831">
        <v>461</v>
      </c>
      <c r="AC1831"/>
      <c r="AD1831" s="460" t="s">
        <v>3112</v>
      </c>
      <c r="AE1831" t="s">
        <v>909</v>
      </c>
      <c r="AF1831" t="s">
        <v>2932</v>
      </c>
    </row>
    <row r="1832" spans="1:32" s="465" customFormat="1" ht="33.75" x14ac:dyDescent="0.25">
      <c r="A1832" s="40" t="s">
        <v>3618</v>
      </c>
      <c r="B1832" s="360" t="s">
        <v>3230</v>
      </c>
      <c r="C1832" s="40">
        <v>581</v>
      </c>
      <c r="D1832" s="40">
        <v>358</v>
      </c>
      <c r="E1832" s="40" t="s">
        <v>2964</v>
      </c>
      <c r="F1832" s="40" t="s">
        <v>1461</v>
      </c>
      <c r="G1832" s="40" t="s">
        <v>149</v>
      </c>
      <c r="H1832" s="40" t="s">
        <v>864</v>
      </c>
      <c r="I1832" s="40" t="str">
        <f>VLOOKUP(Таблица18[[#This Row],[Номер акта]],$AB$1:$AF$2504,3,FALSE)</f>
        <v>А-54</v>
      </c>
      <c r="J1832" s="40" t="s">
        <v>909</v>
      </c>
      <c r="K1832" s="40" t="s">
        <v>3375</v>
      </c>
      <c r="L1832" s="121">
        <v>32810</v>
      </c>
      <c r="M1832" s="121">
        <v>14960</v>
      </c>
      <c r="N1832" s="121">
        <v>13.5</v>
      </c>
      <c r="O1832" s="363">
        <v>17850</v>
      </c>
      <c r="P1832" s="363">
        <v>15440.3</v>
      </c>
      <c r="Q1832" s="121">
        <v>2026</v>
      </c>
      <c r="R1832" s="121">
        <v>454</v>
      </c>
      <c r="S1832" s="148">
        <v>46198</v>
      </c>
      <c r="T1832" s="363">
        <f>Таблица18[[#This Row],[Вес нетто]]-Таблица18[[#This Row],[Зачетный вес]]</f>
        <v>2409.7000000000007</v>
      </c>
      <c r="U1832" s="392">
        <f>Таблица18[[#This Row],[Отход]]/Таблица18[[#This Row],[Вес нетто]]</f>
        <v>0.13499719887955186</v>
      </c>
      <c r="V1832" s="121">
        <f>MONTH(Таблица18[[#This Row],[Дата акта]])</f>
        <v>6</v>
      </c>
      <c r="W1832" s="121">
        <f>DAY(Таблица18[[#This Row],[Дата акта]])</f>
        <v>25</v>
      </c>
      <c r="X1832" s="148">
        <f>DATE(1900,Таблица18[[#This Row],[Месяц]],Таблица18[[#This Row],[Число]])</f>
        <v>177</v>
      </c>
      <c r="Y1832" s="121"/>
      <c r="Z1832" s="121" t="str">
        <f>Таблица18[[#This Row],[Хар-ка]]</f>
        <v>Первый</v>
      </c>
      <c r="AA1832"/>
      <c r="AB1832">
        <v>463</v>
      </c>
      <c r="AC1832"/>
      <c r="AD1832" s="460" t="s">
        <v>3112</v>
      </c>
      <c r="AE1832" t="s">
        <v>909</v>
      </c>
      <c r="AF1832" t="s">
        <v>2932</v>
      </c>
    </row>
    <row r="1833" spans="1:32" s="465" customFormat="1" ht="33.75" x14ac:dyDescent="0.25">
      <c r="A1833" s="40" t="s">
        <v>3614</v>
      </c>
      <c r="B1833" s="360" t="s">
        <v>2940</v>
      </c>
      <c r="C1833" s="40">
        <v>582</v>
      </c>
      <c r="D1833" s="40">
        <v>359</v>
      </c>
      <c r="E1833" s="40" t="s">
        <v>2964</v>
      </c>
      <c r="F1833" s="40" t="s">
        <v>737</v>
      </c>
      <c r="G1833" s="40" t="s">
        <v>738</v>
      </c>
      <c r="H1833" s="40" t="s">
        <v>864</v>
      </c>
      <c r="I1833" s="40" t="str">
        <f>VLOOKUP(Таблица18[[#This Row],[Номер акта]],$AB$1:$AF$2504,3,FALSE)</f>
        <v>А-54/4</v>
      </c>
      <c r="J1833" s="40" t="s">
        <v>909</v>
      </c>
      <c r="K1833" s="40" t="s">
        <v>3375</v>
      </c>
      <c r="L1833" s="121">
        <v>9040</v>
      </c>
      <c r="M1833" s="121">
        <v>4610</v>
      </c>
      <c r="N1833" s="121">
        <v>8.5</v>
      </c>
      <c r="O1833" s="363">
        <v>4430</v>
      </c>
      <c r="P1833" s="363">
        <v>4053.5</v>
      </c>
      <c r="Q1833" s="121">
        <v>2026</v>
      </c>
      <c r="R1833" s="121">
        <v>451</v>
      </c>
      <c r="S1833" s="148">
        <v>46198</v>
      </c>
      <c r="T1833" s="363">
        <f>Таблица18[[#This Row],[Вес нетто]]-Таблица18[[#This Row],[Зачетный вес]]</f>
        <v>376.5</v>
      </c>
      <c r="U1833" s="392">
        <f>Таблица18[[#This Row],[Отход]]/Таблица18[[#This Row],[Вес нетто]]</f>
        <v>8.498871331828442E-2</v>
      </c>
      <c r="V1833" s="121">
        <f>MONTH(Таблица18[[#This Row],[Дата акта]])</f>
        <v>6</v>
      </c>
      <c r="W1833" s="121">
        <f>DAY(Таблица18[[#This Row],[Дата акта]])</f>
        <v>25</v>
      </c>
      <c r="X1833" s="148">
        <f>DATE(1900,Таблица18[[#This Row],[Месяц]],Таблица18[[#This Row],[Число]])</f>
        <v>177</v>
      </c>
      <c r="Y1833" s="121"/>
      <c r="Z1833" s="121" t="str">
        <f>Таблица18[[#This Row],[Хар-ка]]</f>
        <v>Высший</v>
      </c>
      <c r="AA1833"/>
      <c r="AB1833">
        <v>464</v>
      </c>
      <c r="AC1833"/>
      <c r="AD1833" s="460" t="s">
        <v>3115</v>
      </c>
      <c r="AE1833" t="s">
        <v>909</v>
      </c>
      <c r="AF1833" t="s">
        <v>52</v>
      </c>
    </row>
    <row r="1834" spans="1:32" s="465" customFormat="1" ht="33.75" hidden="1" x14ac:dyDescent="0.25">
      <c r="A1834" s="40" t="s">
        <v>3616</v>
      </c>
      <c r="B1834" s="360" t="s">
        <v>2940</v>
      </c>
      <c r="C1834" s="40">
        <v>583</v>
      </c>
      <c r="D1834" s="40">
        <v>63</v>
      </c>
      <c r="E1834" s="40" t="s">
        <v>3551</v>
      </c>
      <c r="F1834" s="40" t="s">
        <v>239</v>
      </c>
      <c r="G1834" s="40" t="s">
        <v>243</v>
      </c>
      <c r="H1834" s="40" t="s">
        <v>3115</v>
      </c>
      <c r="I1834" s="40" t="str">
        <f>VLOOKUP(Таблица18[[#This Row],[Номер акта]],$AB$1:$AF$2504,3,FALSE)</f>
        <v>17 Агролидер</v>
      </c>
      <c r="J1834" s="40" t="s">
        <v>909</v>
      </c>
      <c r="K1834" s="40" t="s">
        <v>3464</v>
      </c>
      <c r="L1834" s="121">
        <v>22970</v>
      </c>
      <c r="M1834" s="121">
        <v>14440</v>
      </c>
      <c r="N1834" s="121">
        <v>15.5</v>
      </c>
      <c r="O1834" s="363">
        <v>8530</v>
      </c>
      <c r="P1834" s="363">
        <v>7207.9</v>
      </c>
      <c r="Q1834" s="121">
        <v>2026</v>
      </c>
      <c r="R1834" s="121">
        <v>452</v>
      </c>
      <c r="S1834" s="148">
        <v>46198</v>
      </c>
      <c r="T1834" s="363">
        <f>Таблица18[[#This Row],[Вес нетто]]-Таблица18[[#This Row],[Зачетный вес]]</f>
        <v>1322.1000000000004</v>
      </c>
      <c r="U1834" s="392">
        <f>Таблица18[[#This Row],[Отход]]/Таблица18[[#This Row],[Вес нетто]]</f>
        <v>0.15499413833528727</v>
      </c>
      <c r="V1834" s="121">
        <f>MONTH(Таблица18[[#This Row],[Дата акта]])</f>
        <v>6</v>
      </c>
      <c r="W1834" s="121">
        <f>DAY(Таблица18[[#This Row],[Дата акта]])</f>
        <v>25</v>
      </c>
      <c r="X1834" s="148">
        <f>DATE(1900,Таблица18[[#This Row],[Месяц]],Таблица18[[#This Row],[Число]])</f>
        <v>177</v>
      </c>
      <c r="Y1834" s="121"/>
      <c r="Z1834" s="121" t="str">
        <f>Таблица18[[#This Row],[Хар-ка]]</f>
        <v>Высший</v>
      </c>
      <c r="AA1834"/>
      <c r="AB1834">
        <v>465</v>
      </c>
      <c r="AC1834"/>
      <c r="AD1834" s="460" t="s">
        <v>3115</v>
      </c>
      <c r="AE1834" t="s">
        <v>909</v>
      </c>
      <c r="AF1834" t="s">
        <v>52</v>
      </c>
    </row>
    <row r="1835" spans="1:32" s="465" customFormat="1" ht="33.75" x14ac:dyDescent="0.25">
      <c r="A1835" s="40" t="s">
        <v>3619</v>
      </c>
      <c r="B1835" s="360" t="s">
        <v>3230</v>
      </c>
      <c r="C1835" s="40">
        <v>584</v>
      </c>
      <c r="D1835" s="40">
        <v>360</v>
      </c>
      <c r="E1835" s="40" t="s">
        <v>2964</v>
      </c>
      <c r="F1835" s="40" t="s">
        <v>121</v>
      </c>
      <c r="G1835" s="40" t="s">
        <v>125</v>
      </c>
      <c r="H1835" s="40" t="s">
        <v>864</v>
      </c>
      <c r="I1835" s="40" t="str">
        <f>VLOOKUP(Таблица18[[#This Row],[Номер акта]],$AB$1:$AF$2504,3,FALSE)</f>
        <v>А-54</v>
      </c>
      <c r="J1835" s="40" t="s">
        <v>909</v>
      </c>
      <c r="K1835" s="40" t="s">
        <v>3375</v>
      </c>
      <c r="L1835" s="121">
        <v>32690</v>
      </c>
      <c r="M1835" s="121">
        <v>14680</v>
      </c>
      <c r="N1835" s="121">
        <v>7.5</v>
      </c>
      <c r="O1835" s="363">
        <v>18010</v>
      </c>
      <c r="P1835" s="363">
        <v>16659.2</v>
      </c>
      <c r="Q1835" s="121">
        <v>2026</v>
      </c>
      <c r="R1835" s="121">
        <v>455</v>
      </c>
      <c r="S1835" s="148">
        <v>46198</v>
      </c>
      <c r="T1835" s="363">
        <f>Таблица18[[#This Row],[Вес нетто]]-Таблица18[[#This Row],[Зачетный вес]]</f>
        <v>1350.7999999999993</v>
      </c>
      <c r="U1835" s="392">
        <f>Таблица18[[#This Row],[Отход]]/Таблица18[[#This Row],[Вес нетто]]</f>
        <v>7.5002776235424728E-2</v>
      </c>
      <c r="V1835" s="121">
        <f>MONTH(Таблица18[[#This Row],[Дата акта]])</f>
        <v>6</v>
      </c>
      <c r="W1835" s="121">
        <f>DAY(Таблица18[[#This Row],[Дата акта]])</f>
        <v>25</v>
      </c>
      <c r="X1835" s="148">
        <f>DATE(1900,Таблица18[[#This Row],[Месяц]],Таблица18[[#This Row],[Число]])</f>
        <v>177</v>
      </c>
      <c r="Y1835" s="121"/>
      <c r="Z1835" s="121" t="str">
        <f>Таблица18[[#This Row],[Хар-ка]]</f>
        <v>Первый</v>
      </c>
      <c r="AA1835"/>
      <c r="AB1835">
        <v>466</v>
      </c>
      <c r="AC1835"/>
      <c r="AD1835" s="460" t="s">
        <v>3112</v>
      </c>
      <c r="AE1835" t="s">
        <v>909</v>
      </c>
      <c r="AF1835" t="s">
        <v>2932</v>
      </c>
    </row>
    <row r="1836" spans="1:32" s="465" customFormat="1" ht="22.5" hidden="1" x14ac:dyDescent="0.25">
      <c r="A1836" s="40" t="s">
        <v>3615</v>
      </c>
      <c r="B1836" s="360" t="s">
        <v>2940</v>
      </c>
      <c r="C1836" s="40">
        <v>585</v>
      </c>
      <c r="D1836" s="40">
        <v>64</v>
      </c>
      <c r="E1836" s="40" t="s">
        <v>3551</v>
      </c>
      <c r="F1836" s="40" t="s">
        <v>335</v>
      </c>
      <c r="G1836" s="40" t="s">
        <v>339</v>
      </c>
      <c r="H1836" s="40" t="s">
        <v>3115</v>
      </c>
      <c r="I1836" s="40" t="str">
        <f>VLOOKUP(Таблица18[[#This Row],[Номер акта]],$AB$1:$AF$2504,3,FALSE)</f>
        <v>17 Агролидер</v>
      </c>
      <c r="J1836" s="40" t="s">
        <v>909</v>
      </c>
      <c r="K1836" s="40" t="s">
        <v>3464</v>
      </c>
      <c r="L1836" s="121">
        <v>23400</v>
      </c>
      <c r="M1836" s="121">
        <v>14880</v>
      </c>
      <c r="N1836" s="121">
        <v>15.5</v>
      </c>
      <c r="O1836" s="363">
        <v>8520</v>
      </c>
      <c r="P1836" s="363">
        <v>7199.4</v>
      </c>
      <c r="Q1836" s="121">
        <v>2026</v>
      </c>
      <c r="R1836" s="121">
        <v>456</v>
      </c>
      <c r="S1836" s="148">
        <v>46198</v>
      </c>
      <c r="T1836" s="363">
        <f>Таблица18[[#This Row],[Вес нетто]]-Таблица18[[#This Row],[Зачетный вес]]</f>
        <v>1320.6000000000004</v>
      </c>
      <c r="U1836" s="392">
        <f>Таблица18[[#This Row],[Отход]]/Таблица18[[#This Row],[Вес нетто]]</f>
        <v>0.15500000000000005</v>
      </c>
      <c r="V1836" s="121">
        <f>MONTH(Таблица18[[#This Row],[Дата акта]])</f>
        <v>6</v>
      </c>
      <c r="W1836" s="121">
        <f>DAY(Таблица18[[#This Row],[Дата акта]])</f>
        <v>25</v>
      </c>
      <c r="X1836" s="148">
        <f>DATE(1900,Таблица18[[#This Row],[Месяц]],Таблица18[[#This Row],[Число]])</f>
        <v>177</v>
      </c>
      <c r="Y1836" s="121"/>
      <c r="Z1836" s="121" t="str">
        <f>Таблица18[[#This Row],[Хар-ка]]</f>
        <v>Высший</v>
      </c>
      <c r="AA1836"/>
      <c r="AB1836">
        <v>467</v>
      </c>
      <c r="AC1836"/>
      <c r="AD1836" s="460" t="s">
        <v>3120</v>
      </c>
      <c r="AE1836" t="s">
        <v>901</v>
      </c>
      <c r="AF1836" t="s">
        <v>53</v>
      </c>
    </row>
    <row r="1837" spans="1:32" s="465" customFormat="1" ht="22.5" x14ac:dyDescent="0.25">
      <c r="A1837" s="40" t="s">
        <v>3634</v>
      </c>
      <c r="B1837" s="360" t="s">
        <v>2940</v>
      </c>
      <c r="C1837" s="40">
        <v>587</v>
      </c>
      <c r="D1837" s="40">
        <v>361</v>
      </c>
      <c r="E1837" s="40" t="s">
        <v>2964</v>
      </c>
      <c r="F1837" s="40" t="s">
        <v>127</v>
      </c>
      <c r="G1837" s="40" t="s">
        <v>131</v>
      </c>
      <c r="H1837" s="40" t="s">
        <v>864</v>
      </c>
      <c r="I1837" s="40" t="str">
        <f>VLOOKUP(Таблица18[[#This Row],[Номер акта]],$AB$1:$AF$2504,3,FALSE)</f>
        <v>А-54/4</v>
      </c>
      <c r="J1837" s="40" t="s">
        <v>909</v>
      </c>
      <c r="K1837" s="40" t="s">
        <v>3375</v>
      </c>
      <c r="L1837" s="121">
        <v>28070</v>
      </c>
      <c r="M1837" s="121">
        <v>14440</v>
      </c>
      <c r="N1837" s="121">
        <v>8.5</v>
      </c>
      <c r="O1837" s="363">
        <v>13630</v>
      </c>
      <c r="P1837" s="363">
        <v>12471.4</v>
      </c>
      <c r="Q1837" s="121">
        <v>2026</v>
      </c>
      <c r="R1837" s="121">
        <v>457</v>
      </c>
      <c r="S1837" s="148">
        <v>46198</v>
      </c>
      <c r="T1837" s="363">
        <f>Таблица18[[#This Row],[Вес нетто]]-Таблица18[[#This Row],[Зачетный вес]]</f>
        <v>1158.6000000000004</v>
      </c>
      <c r="U1837" s="392">
        <f>Таблица18[[#This Row],[Отход]]/Таблица18[[#This Row],[Вес нетто]]</f>
        <v>8.5003668378576702E-2</v>
      </c>
      <c r="V1837" s="121">
        <f>MONTH(Таблица18[[#This Row],[Дата акта]])</f>
        <v>6</v>
      </c>
      <c r="W1837" s="121">
        <f>DAY(Таблица18[[#This Row],[Дата акта]])</f>
        <v>25</v>
      </c>
      <c r="X1837" s="148">
        <f>DATE(1900,Таблица18[[#This Row],[Месяц]],Таблица18[[#This Row],[Число]])</f>
        <v>177</v>
      </c>
      <c r="Y1837" s="121"/>
      <c r="Z1837" s="121" t="str">
        <f>Таблица18[[#This Row],[Хар-ка]]</f>
        <v>Высший</v>
      </c>
      <c r="AA1837"/>
      <c r="AB1837">
        <v>468</v>
      </c>
      <c r="AC1837"/>
      <c r="AD1837" s="460" t="s">
        <v>3112</v>
      </c>
      <c r="AE1837" t="s">
        <v>909</v>
      </c>
      <c r="AF1837" t="s">
        <v>2932</v>
      </c>
    </row>
    <row r="1838" spans="1:32" s="465" customFormat="1" ht="33.75" hidden="1" x14ac:dyDescent="0.25">
      <c r="A1838" s="40" t="s">
        <v>3638</v>
      </c>
      <c r="B1838" s="360" t="s">
        <v>2940</v>
      </c>
      <c r="C1838" s="40">
        <v>588</v>
      </c>
      <c r="D1838" s="40">
        <v>66</v>
      </c>
      <c r="E1838" s="40" t="s">
        <v>3551</v>
      </c>
      <c r="F1838" s="40" t="s">
        <v>195</v>
      </c>
      <c r="G1838" s="40" t="s">
        <v>199</v>
      </c>
      <c r="H1838" s="40" t="s">
        <v>3115</v>
      </c>
      <c r="I1838" s="40" t="str">
        <f>VLOOKUP(Таблица18[[#This Row],[Номер акта]],$AB$1:$AF$2504,3,FALSE)</f>
        <v>17 Агролидер</v>
      </c>
      <c r="J1838" s="40" t="s">
        <v>909</v>
      </c>
      <c r="K1838" s="40" t="s">
        <v>3464</v>
      </c>
      <c r="L1838" s="121">
        <v>23970</v>
      </c>
      <c r="M1838" s="121">
        <v>15260</v>
      </c>
      <c r="N1838" s="121">
        <v>9.5</v>
      </c>
      <c r="O1838" s="363">
        <v>8710</v>
      </c>
      <c r="P1838" s="363">
        <v>7882.5</v>
      </c>
      <c r="Q1838" s="121">
        <v>2026</v>
      </c>
      <c r="R1838" s="121">
        <v>458</v>
      </c>
      <c r="S1838" s="148">
        <v>46198</v>
      </c>
      <c r="T1838" s="363">
        <f>Таблица18[[#This Row],[Вес нетто]]-Таблица18[[#This Row],[Зачетный вес]]</f>
        <v>827.5</v>
      </c>
      <c r="U1838" s="392">
        <f>Таблица18[[#This Row],[Отход]]/Таблица18[[#This Row],[Вес нетто]]</f>
        <v>9.5005740528128588E-2</v>
      </c>
      <c r="V1838" s="121">
        <f>MONTH(Таблица18[[#This Row],[Дата акта]])</f>
        <v>6</v>
      </c>
      <c r="W1838" s="121">
        <f>DAY(Таблица18[[#This Row],[Дата акта]])</f>
        <v>25</v>
      </c>
      <c r="X1838" s="148">
        <f>DATE(1900,Таблица18[[#This Row],[Месяц]],Таблица18[[#This Row],[Число]])</f>
        <v>177</v>
      </c>
      <c r="Y1838" s="121"/>
      <c r="Z1838" s="121" t="str">
        <f>Таблица18[[#This Row],[Хар-ка]]</f>
        <v>Высший</v>
      </c>
      <c r="AA1838"/>
      <c r="AB1838">
        <v>469</v>
      </c>
      <c r="AC1838"/>
      <c r="AD1838" s="460" t="s">
        <v>3120</v>
      </c>
      <c r="AE1838" t="s">
        <v>901</v>
      </c>
      <c r="AF1838" t="s">
        <v>53</v>
      </c>
    </row>
    <row r="1839" spans="1:32" s="465" customFormat="1" ht="33.75" x14ac:dyDescent="0.25">
      <c r="A1839" s="40" t="s">
        <v>3628</v>
      </c>
      <c r="B1839" s="360" t="s">
        <v>3230</v>
      </c>
      <c r="C1839" s="40">
        <v>591</v>
      </c>
      <c r="D1839" s="40">
        <v>362</v>
      </c>
      <c r="E1839" s="40" t="s">
        <v>2964</v>
      </c>
      <c r="F1839" s="40" t="s">
        <v>239</v>
      </c>
      <c r="G1839" s="40" t="s">
        <v>243</v>
      </c>
      <c r="H1839" s="40" t="s">
        <v>3112</v>
      </c>
      <c r="I1839" s="40" t="str">
        <f>VLOOKUP(Таблица18[[#This Row],[Номер акта]],$AB$1:$AF$2504,3,FALSE)</f>
        <v>А-81/1</v>
      </c>
      <c r="J1839" s="40" t="s">
        <v>909</v>
      </c>
      <c r="K1839" s="40" t="s">
        <v>3375</v>
      </c>
      <c r="L1839" s="121">
        <v>35060</v>
      </c>
      <c r="M1839" s="121">
        <v>24550</v>
      </c>
      <c r="N1839" s="121">
        <v>6</v>
      </c>
      <c r="O1839" s="363">
        <v>10510</v>
      </c>
      <c r="P1839" s="363">
        <v>9879.4</v>
      </c>
      <c r="Q1839" s="121">
        <v>2026</v>
      </c>
      <c r="R1839" s="121">
        <v>459</v>
      </c>
      <c r="S1839" s="148">
        <v>46198</v>
      </c>
      <c r="T1839" s="363">
        <f>Таблица18[[#This Row],[Вес нетто]]-Таблица18[[#This Row],[Зачетный вес]]</f>
        <v>630.60000000000036</v>
      </c>
      <c r="U1839" s="392">
        <f>Таблица18[[#This Row],[Отход]]/Таблица18[[#This Row],[Вес нетто]]</f>
        <v>6.0000000000000032E-2</v>
      </c>
      <c r="V1839" s="121">
        <f>MONTH(Таблица18[[#This Row],[Дата акта]])</f>
        <v>6</v>
      </c>
      <c r="W1839" s="121">
        <f>DAY(Таблица18[[#This Row],[Дата акта]])</f>
        <v>25</v>
      </c>
      <c r="X1839" s="148">
        <f>DATE(1900,Таблица18[[#This Row],[Месяц]],Таблица18[[#This Row],[Число]])</f>
        <v>177</v>
      </c>
      <c r="Y1839" s="121"/>
      <c r="Z1839" s="121" t="str">
        <f>Таблица18[[#This Row],[Хар-ка]]</f>
        <v>Первый</v>
      </c>
      <c r="AA1839"/>
      <c r="AB1839">
        <v>470</v>
      </c>
      <c r="AC1839"/>
      <c r="AD1839" s="460" t="s">
        <v>3120</v>
      </c>
      <c r="AE1839" t="s">
        <v>901</v>
      </c>
      <c r="AF1839" t="s">
        <v>53</v>
      </c>
    </row>
    <row r="1840" spans="1:32" s="465" customFormat="1" ht="33.75" x14ac:dyDescent="0.25">
      <c r="A1840" s="40" t="s">
        <v>3811</v>
      </c>
      <c r="B1840" s="360" t="s">
        <v>2940</v>
      </c>
      <c r="C1840" s="40">
        <v>592</v>
      </c>
      <c r="D1840" s="40" t="s">
        <v>3964</v>
      </c>
      <c r="E1840" s="40" t="s">
        <v>2964</v>
      </c>
      <c r="F1840" s="40" t="s">
        <v>305</v>
      </c>
      <c r="G1840" s="40" t="s">
        <v>309</v>
      </c>
      <c r="H1840" s="40" t="s">
        <v>3112</v>
      </c>
      <c r="I1840" s="40" t="e">
        <f>VLOOKUP(Таблица18[[#This Row],[Номер акта]],$AB$1:$AF$2504,3,FALSE)</f>
        <v>#N/A</v>
      </c>
      <c r="J1840" s="40" t="s">
        <v>909</v>
      </c>
      <c r="K1840" s="40" t="s">
        <v>3375</v>
      </c>
      <c r="L1840" s="121">
        <v>28440</v>
      </c>
      <c r="M1840" s="121">
        <v>14360</v>
      </c>
      <c r="N1840" s="121">
        <v>11.1</v>
      </c>
      <c r="O1840" s="363">
        <v>14080</v>
      </c>
      <c r="P1840" s="363">
        <v>12515</v>
      </c>
      <c r="Q1840" s="121">
        <v>2026</v>
      </c>
      <c r="R1840" s="121">
        <v>579</v>
      </c>
      <c r="S1840" s="148">
        <v>46198</v>
      </c>
      <c r="T1840" s="363">
        <f>Таблица18[[#This Row],[Вес нетто]]-Таблица18[[#This Row],[Зачетный вес]]</f>
        <v>1565</v>
      </c>
      <c r="U1840" s="392">
        <f>Таблица18[[#This Row],[Отход]]/Таблица18[[#This Row],[Вес нетто]]</f>
        <v>0.11115056818181818</v>
      </c>
      <c r="V1840" s="121">
        <f>MONTH(Таблица18[[#This Row],[Дата акта]])</f>
        <v>6</v>
      </c>
      <c r="W1840" s="121">
        <f>DAY(Таблица18[[#This Row],[Дата акта]])</f>
        <v>25</v>
      </c>
      <c r="X1840" s="148">
        <f>DATE(1900,Таблица18[[#This Row],[Месяц]],Таблица18[[#This Row],[Число]])</f>
        <v>177</v>
      </c>
      <c r="Y1840" s="121"/>
      <c r="Z1840" s="121" t="str">
        <f>Таблица18[[#This Row],[Хар-ка]]</f>
        <v>Высший</v>
      </c>
      <c r="AA1840"/>
      <c r="AB1840">
        <v>471</v>
      </c>
      <c r="AC1840"/>
      <c r="AD1840" s="460" t="s">
        <v>3112</v>
      </c>
      <c r="AE1840" t="s">
        <v>909</v>
      </c>
      <c r="AF1840" t="s">
        <v>2932</v>
      </c>
    </row>
    <row r="1841" spans="1:32" s="465" customFormat="1" ht="33.75" hidden="1" x14ac:dyDescent="0.25">
      <c r="A1841" s="40" t="s">
        <v>3637</v>
      </c>
      <c r="B1841" s="360" t="s">
        <v>2940</v>
      </c>
      <c r="C1841" s="40">
        <v>594</v>
      </c>
      <c r="D1841" s="40">
        <v>65</v>
      </c>
      <c r="E1841" s="40" t="s">
        <v>3551</v>
      </c>
      <c r="F1841" s="40" t="s">
        <v>311</v>
      </c>
      <c r="G1841" s="40" t="s">
        <v>315</v>
      </c>
      <c r="H1841" s="40" t="s">
        <v>3115</v>
      </c>
      <c r="I1841" s="40" t="str">
        <f>VLOOKUP(Таблица18[[#This Row],[Номер акта]],$AB$1:$AF$2504,3,FALSE)</f>
        <v>17 Агролидер</v>
      </c>
      <c r="J1841" s="40" t="s">
        <v>909</v>
      </c>
      <c r="K1841" s="40" t="s">
        <v>3464</v>
      </c>
      <c r="L1841" s="121">
        <v>23730</v>
      </c>
      <c r="M1841" s="121">
        <v>14940</v>
      </c>
      <c r="N1841" s="121">
        <v>4.5</v>
      </c>
      <c r="O1841" s="363">
        <v>8790</v>
      </c>
      <c r="P1841" s="363">
        <v>8394.4</v>
      </c>
      <c r="Q1841" s="121">
        <v>2026</v>
      </c>
      <c r="R1841" s="121">
        <v>460</v>
      </c>
      <c r="S1841" s="148">
        <v>46198</v>
      </c>
      <c r="T1841" s="363">
        <f>Таблица18[[#This Row],[Вес нетто]]-Таблица18[[#This Row],[Зачетный вес]]</f>
        <v>395.60000000000036</v>
      </c>
      <c r="U1841" s="392">
        <f>Таблица18[[#This Row],[Отход]]/Таблица18[[#This Row],[Вес нетто]]</f>
        <v>4.5005688282138835E-2</v>
      </c>
      <c r="V1841" s="121">
        <f>MONTH(Таблица18[[#This Row],[Дата акта]])</f>
        <v>6</v>
      </c>
      <c r="W1841" s="121">
        <f>DAY(Таблица18[[#This Row],[Дата акта]])</f>
        <v>25</v>
      </c>
      <c r="X1841" s="148">
        <f>DATE(1900,Таблица18[[#This Row],[Месяц]],Таблица18[[#This Row],[Число]])</f>
        <v>177</v>
      </c>
      <c r="Y1841" s="121"/>
      <c r="Z1841" s="121" t="str">
        <f>Таблица18[[#This Row],[Хар-ка]]</f>
        <v>Высший</v>
      </c>
      <c r="AA1841"/>
      <c r="AB1841">
        <v>472</v>
      </c>
      <c r="AC1841"/>
      <c r="AD1841" s="460" t="s">
        <v>3115</v>
      </c>
      <c r="AE1841" t="s">
        <v>909</v>
      </c>
      <c r="AF1841" t="s">
        <v>52</v>
      </c>
    </row>
    <row r="1842" spans="1:32" s="465" customFormat="1" ht="22.5" x14ac:dyDescent="0.25">
      <c r="A1842" s="40" t="s">
        <v>3851</v>
      </c>
      <c r="B1842" s="360" t="s">
        <v>2940</v>
      </c>
      <c r="C1842" s="40">
        <v>595</v>
      </c>
      <c r="D1842" s="40" t="s">
        <v>3965</v>
      </c>
      <c r="E1842" s="40" t="s">
        <v>2964</v>
      </c>
      <c r="F1842" s="40" t="s">
        <v>166</v>
      </c>
      <c r="G1842" s="40" t="s">
        <v>170</v>
      </c>
      <c r="H1842" s="40" t="s">
        <v>3112</v>
      </c>
      <c r="I1842" s="40" t="e">
        <f>VLOOKUP(Таблица18[[#This Row],[Номер акта]],$AB$1:$AF$2504,3,FALSE)</f>
        <v>#N/A</v>
      </c>
      <c r="J1842" s="40" t="s">
        <v>909</v>
      </c>
      <c r="K1842" s="40" t="s">
        <v>3375</v>
      </c>
      <c r="L1842" s="121">
        <v>28590</v>
      </c>
      <c r="M1842" s="121">
        <v>15080</v>
      </c>
      <c r="N1842" s="121">
        <v>4.5999999999999996</v>
      </c>
      <c r="O1842" s="363">
        <v>13510</v>
      </c>
      <c r="P1842" s="363">
        <v>12510</v>
      </c>
      <c r="Q1842" s="121">
        <v>2026</v>
      </c>
      <c r="R1842" s="121">
        <v>592</v>
      </c>
      <c r="S1842" s="148">
        <v>46198</v>
      </c>
      <c r="T1842" s="363">
        <f>Таблица18[[#This Row],[Вес нетто]]-Таблица18[[#This Row],[Зачетный вес]]</f>
        <v>1000</v>
      </c>
      <c r="U1842" s="392">
        <f>Таблица18[[#This Row],[Отход]]/Таблица18[[#This Row],[Вес нетто]]</f>
        <v>7.4019245003700967E-2</v>
      </c>
      <c r="V1842" s="121">
        <f>MONTH(Таблица18[[#This Row],[Дата акта]])</f>
        <v>6</v>
      </c>
      <c r="W1842" s="121">
        <f>DAY(Таблица18[[#This Row],[Дата акта]])</f>
        <v>25</v>
      </c>
      <c r="X1842" s="148">
        <f>DATE(1900,Таблица18[[#This Row],[Месяц]],Таблица18[[#This Row],[Число]])</f>
        <v>177</v>
      </c>
      <c r="Y1842" s="121"/>
      <c r="Z1842" s="121" t="str">
        <f>Таблица18[[#This Row],[Хар-ка]]</f>
        <v>Высший</v>
      </c>
      <c r="AA1842"/>
      <c r="AB1842">
        <v>473</v>
      </c>
      <c r="AC1842"/>
      <c r="AD1842" s="460" t="s">
        <v>3112</v>
      </c>
      <c r="AE1842" t="s">
        <v>909</v>
      </c>
      <c r="AF1842" t="s">
        <v>2932</v>
      </c>
    </row>
    <row r="1843" spans="1:32" s="465" customFormat="1" ht="22.5" hidden="1" x14ac:dyDescent="0.25">
      <c r="A1843" s="40" t="s">
        <v>3644</v>
      </c>
      <c r="B1843" s="360" t="s">
        <v>2940</v>
      </c>
      <c r="C1843" s="40">
        <v>596</v>
      </c>
      <c r="D1843" s="40">
        <v>67</v>
      </c>
      <c r="E1843" s="40" t="s">
        <v>3551</v>
      </c>
      <c r="F1843" s="40" t="s">
        <v>3554</v>
      </c>
      <c r="G1843" s="40" t="s">
        <v>3555</v>
      </c>
      <c r="H1843" s="40" t="s">
        <v>3115</v>
      </c>
      <c r="I1843" s="40" t="str">
        <f>VLOOKUP(Таблица18[[#This Row],[Номер акта]],$AB$1:$AF$2504,3,FALSE)</f>
        <v>17 Агролидер</v>
      </c>
      <c r="J1843" s="40" t="s">
        <v>909</v>
      </c>
      <c r="K1843" s="40" t="s">
        <v>3464</v>
      </c>
      <c r="L1843" s="121">
        <v>23290</v>
      </c>
      <c r="M1843" s="121">
        <v>14480</v>
      </c>
      <c r="N1843" s="121">
        <v>10.5</v>
      </c>
      <c r="O1843" s="363">
        <v>8810</v>
      </c>
      <c r="P1843" s="363">
        <v>7885</v>
      </c>
      <c r="Q1843" s="121">
        <v>2026</v>
      </c>
      <c r="R1843" s="121">
        <v>462</v>
      </c>
      <c r="S1843" s="148">
        <v>46198</v>
      </c>
      <c r="T1843" s="363">
        <f>Таблица18[[#This Row],[Вес нетто]]-Таблица18[[#This Row],[Зачетный вес]]</f>
        <v>925</v>
      </c>
      <c r="U1843" s="392">
        <f>Таблица18[[#This Row],[Отход]]/Таблица18[[#This Row],[Вес нетто]]</f>
        <v>0.10499432463110102</v>
      </c>
      <c r="V1843" s="121">
        <f>MONTH(Таблица18[[#This Row],[Дата акта]])</f>
        <v>6</v>
      </c>
      <c r="W1843" s="121">
        <f>DAY(Таблица18[[#This Row],[Дата акта]])</f>
        <v>25</v>
      </c>
      <c r="X1843" s="148">
        <f>DATE(1900,Таблица18[[#This Row],[Месяц]],Таблица18[[#This Row],[Число]])</f>
        <v>177</v>
      </c>
      <c r="Y1843" s="121"/>
      <c r="Z1843" s="121" t="str">
        <f>Таблица18[[#This Row],[Хар-ка]]</f>
        <v>Высший</v>
      </c>
      <c r="AA1843"/>
      <c r="AB1843">
        <v>487</v>
      </c>
      <c r="AC1843"/>
      <c r="AD1843" s="460" t="s">
        <v>3092</v>
      </c>
      <c r="AE1843" t="s">
        <v>900</v>
      </c>
      <c r="AF1843" t="s">
        <v>46</v>
      </c>
    </row>
    <row r="1844" spans="1:32" s="465" customFormat="1" ht="33.75" x14ac:dyDescent="0.25">
      <c r="A1844" s="40" t="s">
        <v>3626</v>
      </c>
      <c r="B1844" s="360" t="s">
        <v>3230</v>
      </c>
      <c r="C1844" s="40">
        <v>597</v>
      </c>
      <c r="D1844" s="40">
        <v>363</v>
      </c>
      <c r="E1844" s="40" t="s">
        <v>2964</v>
      </c>
      <c r="F1844" s="40" t="s">
        <v>239</v>
      </c>
      <c r="G1844" s="40" t="s">
        <v>243</v>
      </c>
      <c r="H1844" s="40" t="s">
        <v>2884</v>
      </c>
      <c r="I1844" s="40" t="str">
        <f>VLOOKUP(Таблица18[[#This Row],[Номер акта]],$AB$1:$AF$2504,3,FALSE)</f>
        <v>А-81/1</v>
      </c>
      <c r="J1844" s="40" t="s">
        <v>909</v>
      </c>
      <c r="K1844" s="40" t="s">
        <v>3375</v>
      </c>
      <c r="L1844" s="121">
        <v>24550</v>
      </c>
      <c r="M1844" s="121">
        <v>14440</v>
      </c>
      <c r="N1844" s="121">
        <v>8</v>
      </c>
      <c r="O1844" s="363">
        <v>10110</v>
      </c>
      <c r="P1844" s="363">
        <v>9301.2000000000007</v>
      </c>
      <c r="Q1844" s="121">
        <v>2026</v>
      </c>
      <c r="R1844" s="121">
        <v>461</v>
      </c>
      <c r="S1844" s="148">
        <v>46198</v>
      </c>
      <c r="T1844" s="363">
        <f>Таблица18[[#This Row],[Вес нетто]]-Таблица18[[#This Row],[Зачетный вес]]</f>
        <v>808.79999999999927</v>
      </c>
      <c r="U1844" s="392">
        <f>Таблица18[[#This Row],[Отход]]/Таблица18[[#This Row],[Вес нетто]]</f>
        <v>7.9999999999999932E-2</v>
      </c>
      <c r="V1844" s="121">
        <f>MONTH(Таблица18[[#This Row],[Дата акта]])</f>
        <v>6</v>
      </c>
      <c r="W1844" s="121">
        <f>DAY(Таблица18[[#This Row],[Дата акта]])</f>
        <v>25</v>
      </c>
      <c r="X1844" s="148">
        <f>DATE(1900,Таблица18[[#This Row],[Месяц]],Таблица18[[#This Row],[Число]])</f>
        <v>177</v>
      </c>
      <c r="Y1844" s="121"/>
      <c r="Z1844" s="121" t="str">
        <f>Таблица18[[#This Row],[Хар-ка]]</f>
        <v>Первый</v>
      </c>
      <c r="AA1844"/>
      <c r="AB1844">
        <v>488</v>
      </c>
      <c r="AC1844"/>
      <c r="AD1844" s="460" t="s">
        <v>3116</v>
      </c>
      <c r="AE1844" t="s">
        <v>909</v>
      </c>
      <c r="AF1844" t="s">
        <v>52</v>
      </c>
    </row>
    <row r="1845" spans="1:32" s="465" customFormat="1" ht="22.5" x14ac:dyDescent="0.25">
      <c r="A1845" s="40" t="s">
        <v>3629</v>
      </c>
      <c r="B1845" s="360" t="s">
        <v>3230</v>
      </c>
      <c r="C1845" s="40">
        <v>598</v>
      </c>
      <c r="D1845" s="40">
        <v>364</v>
      </c>
      <c r="E1845" s="40" t="s">
        <v>2964</v>
      </c>
      <c r="F1845" s="40" t="s">
        <v>335</v>
      </c>
      <c r="G1845" s="40" t="s">
        <v>339</v>
      </c>
      <c r="H1845" s="40" t="s">
        <v>3112</v>
      </c>
      <c r="I1845" s="40" t="str">
        <f>VLOOKUP(Таблица18[[#This Row],[Номер акта]],$AB$1:$AF$2504,3,FALSE)</f>
        <v>А-81/1</v>
      </c>
      <c r="J1845" s="40" t="s">
        <v>909</v>
      </c>
      <c r="K1845" s="40" t="s">
        <v>3375</v>
      </c>
      <c r="L1845" s="121">
        <v>28760</v>
      </c>
      <c r="M1845" s="121">
        <v>14870</v>
      </c>
      <c r="N1845" s="121">
        <v>10.5</v>
      </c>
      <c r="O1845" s="363">
        <v>13890</v>
      </c>
      <c r="P1845" s="363">
        <v>12431.5</v>
      </c>
      <c r="Q1845" s="121">
        <v>2026</v>
      </c>
      <c r="R1845" s="121">
        <v>463</v>
      </c>
      <c r="S1845" s="148">
        <v>46198</v>
      </c>
      <c r="T1845" s="363">
        <f>Таблица18[[#This Row],[Вес нетто]]-Таблица18[[#This Row],[Зачетный вес]]</f>
        <v>1458.5</v>
      </c>
      <c r="U1845" s="392">
        <f>Таблица18[[#This Row],[Отход]]/Таблица18[[#This Row],[Вес нетто]]</f>
        <v>0.10500359971202304</v>
      </c>
      <c r="V1845" s="121">
        <f>MONTH(Таблица18[[#This Row],[Дата акта]])</f>
        <v>6</v>
      </c>
      <c r="W1845" s="121">
        <f>DAY(Таблица18[[#This Row],[Дата акта]])</f>
        <v>25</v>
      </c>
      <c r="X1845" s="148">
        <f>DATE(1900,Таблица18[[#This Row],[Месяц]],Таблица18[[#This Row],[Число]])</f>
        <v>177</v>
      </c>
      <c r="Y1845" s="121"/>
      <c r="Z1845" s="121" t="str">
        <f>Таблица18[[#This Row],[Хар-ка]]</f>
        <v>Первый</v>
      </c>
      <c r="AA1845"/>
      <c r="AB1845">
        <v>489</v>
      </c>
      <c r="AC1845"/>
      <c r="AD1845" s="460" t="s">
        <v>3116</v>
      </c>
      <c r="AE1845" t="s">
        <v>909</v>
      </c>
      <c r="AF1845" t="s">
        <v>52</v>
      </c>
    </row>
    <row r="1846" spans="1:32" s="465" customFormat="1" ht="22.5" hidden="1" x14ac:dyDescent="0.25">
      <c r="A1846" s="40" t="s">
        <v>3640</v>
      </c>
      <c r="B1846" s="360" t="s">
        <v>2940</v>
      </c>
      <c r="C1846" s="40">
        <v>599</v>
      </c>
      <c r="D1846" s="40">
        <v>68</v>
      </c>
      <c r="E1846" s="40" t="s">
        <v>3551</v>
      </c>
      <c r="F1846" s="40" t="s">
        <v>133</v>
      </c>
      <c r="G1846" s="40" t="s">
        <v>137</v>
      </c>
      <c r="H1846" s="40" t="s">
        <v>3115</v>
      </c>
      <c r="I1846" s="40" t="str">
        <f>VLOOKUP(Таблица18[[#This Row],[Номер акта]],$AB$1:$AF$2504,3,FALSE)</f>
        <v>17 Агролидер</v>
      </c>
      <c r="J1846" s="40" t="s">
        <v>909</v>
      </c>
      <c r="K1846" s="40" t="s">
        <v>3464</v>
      </c>
      <c r="L1846" s="121">
        <v>23760</v>
      </c>
      <c r="M1846" s="121">
        <v>14950</v>
      </c>
      <c r="N1846" s="121">
        <v>13.5</v>
      </c>
      <c r="O1846" s="363">
        <v>8810</v>
      </c>
      <c r="P1846" s="363">
        <v>7620.6</v>
      </c>
      <c r="Q1846" s="121">
        <v>2026</v>
      </c>
      <c r="R1846" s="121">
        <v>464</v>
      </c>
      <c r="S1846" s="148">
        <v>46198</v>
      </c>
      <c r="T1846" s="363">
        <f>Таблица18[[#This Row],[Вес нетто]]-Таблица18[[#This Row],[Зачетный вес]]</f>
        <v>1189.3999999999996</v>
      </c>
      <c r="U1846" s="392">
        <f>Таблица18[[#This Row],[Отход]]/Таблица18[[#This Row],[Вес нетто]]</f>
        <v>0.13500567536889893</v>
      </c>
      <c r="V1846" s="121">
        <f>MONTH(Таблица18[[#This Row],[Дата акта]])</f>
        <v>6</v>
      </c>
      <c r="W1846" s="121">
        <f>DAY(Таблица18[[#This Row],[Дата акта]])</f>
        <v>25</v>
      </c>
      <c r="X1846" s="148">
        <f>DATE(1900,Таблица18[[#This Row],[Месяц]],Таблица18[[#This Row],[Число]])</f>
        <v>177</v>
      </c>
      <c r="Y1846" s="121"/>
      <c r="Z1846" s="121" t="str">
        <f>Таблица18[[#This Row],[Хар-ка]]</f>
        <v>Высший</v>
      </c>
      <c r="AA1846"/>
      <c r="AB1846">
        <v>490</v>
      </c>
      <c r="AC1846"/>
      <c r="AD1846" s="460" t="s">
        <v>3116</v>
      </c>
      <c r="AE1846" t="s">
        <v>909</v>
      </c>
      <c r="AF1846" t="s">
        <v>52</v>
      </c>
    </row>
    <row r="1847" spans="1:32" s="465" customFormat="1" ht="22.5" hidden="1" x14ac:dyDescent="0.25">
      <c r="A1847" s="40" t="s">
        <v>3643</v>
      </c>
      <c r="B1847" s="360" t="s">
        <v>2940</v>
      </c>
      <c r="C1847" s="40">
        <v>600</v>
      </c>
      <c r="D1847" s="40">
        <v>69</v>
      </c>
      <c r="E1847" s="40" t="s">
        <v>3551</v>
      </c>
      <c r="F1847" s="40" t="s">
        <v>3377</v>
      </c>
      <c r="G1847" s="40" t="s">
        <v>3196</v>
      </c>
      <c r="H1847" s="40" t="s">
        <v>3115</v>
      </c>
      <c r="I1847" s="40" t="str">
        <f>VLOOKUP(Таблица18[[#This Row],[Номер акта]],$AB$1:$AF$2504,3,FALSE)</f>
        <v>17 Агролидер</v>
      </c>
      <c r="J1847" s="40" t="s">
        <v>909</v>
      </c>
      <c r="K1847" s="40" t="s">
        <v>3464</v>
      </c>
      <c r="L1847" s="121">
        <v>23250</v>
      </c>
      <c r="M1847" s="121">
        <v>14500</v>
      </c>
      <c r="N1847" s="121">
        <v>10.5</v>
      </c>
      <c r="O1847" s="363">
        <v>8750</v>
      </c>
      <c r="P1847" s="363">
        <v>7831.3</v>
      </c>
      <c r="Q1847" s="121">
        <v>2026</v>
      </c>
      <c r="R1847" s="121">
        <v>465</v>
      </c>
      <c r="S1847" s="148">
        <v>46198</v>
      </c>
      <c r="T1847" s="363">
        <f>Таблица18[[#This Row],[Вес нетто]]-Таблица18[[#This Row],[Зачетный вес]]</f>
        <v>918.69999999999982</v>
      </c>
      <c r="U1847" s="392">
        <f>Таблица18[[#This Row],[Отход]]/Таблица18[[#This Row],[Вес нетто]]</f>
        <v>0.10499428571428569</v>
      </c>
      <c r="V1847" s="121">
        <f>MONTH(Таблица18[[#This Row],[Дата акта]])</f>
        <v>6</v>
      </c>
      <c r="W1847" s="121">
        <f>DAY(Таблица18[[#This Row],[Дата акта]])</f>
        <v>25</v>
      </c>
      <c r="X1847" s="148">
        <f>DATE(1900,Таблица18[[#This Row],[Месяц]],Таблица18[[#This Row],[Число]])</f>
        <v>177</v>
      </c>
      <c r="Y1847" s="121"/>
      <c r="Z1847" s="121" t="str">
        <f>Таблица18[[#This Row],[Хар-ка]]</f>
        <v>Высший</v>
      </c>
      <c r="AA1847"/>
      <c r="AB1847">
        <v>526</v>
      </c>
      <c r="AC1847"/>
      <c r="AD1847" s="460" t="s">
        <v>3120</v>
      </c>
      <c r="AE1847" t="s">
        <v>901</v>
      </c>
      <c r="AF1847" t="s">
        <v>53</v>
      </c>
    </row>
    <row r="1848" spans="1:32" s="465" customFormat="1" ht="33.75" x14ac:dyDescent="0.25">
      <c r="A1848" s="40" t="s">
        <v>3630</v>
      </c>
      <c r="B1848" s="360" t="s">
        <v>3230</v>
      </c>
      <c r="C1848" s="40">
        <v>601</v>
      </c>
      <c r="D1848" s="40">
        <v>365</v>
      </c>
      <c r="E1848" s="40" t="s">
        <v>2964</v>
      </c>
      <c r="F1848" s="40" t="s">
        <v>239</v>
      </c>
      <c r="G1848" s="40" t="s">
        <v>243</v>
      </c>
      <c r="H1848" s="40" t="s">
        <v>3112</v>
      </c>
      <c r="I1848" s="40" t="str">
        <f>VLOOKUP(Таблица18[[#This Row],[Номер акта]],$AB$1:$AF$2504,3,FALSE)</f>
        <v>А-81/1</v>
      </c>
      <c r="J1848" s="40" t="s">
        <v>909</v>
      </c>
      <c r="K1848" s="40" t="s">
        <v>3375</v>
      </c>
      <c r="L1848" s="121">
        <v>23190</v>
      </c>
      <c r="M1848" s="121">
        <v>14480</v>
      </c>
      <c r="N1848" s="121">
        <v>8.5</v>
      </c>
      <c r="O1848" s="363">
        <v>8710</v>
      </c>
      <c r="P1848" s="363">
        <v>7969.7</v>
      </c>
      <c r="Q1848" s="121">
        <v>2026</v>
      </c>
      <c r="R1848" s="121">
        <v>466</v>
      </c>
      <c r="S1848" s="148">
        <v>46198</v>
      </c>
      <c r="T1848" s="363">
        <f>Таблица18[[#This Row],[Вес нетто]]-Таблица18[[#This Row],[Зачетный вес]]</f>
        <v>740.30000000000018</v>
      </c>
      <c r="U1848" s="392">
        <f>Таблица18[[#This Row],[Отход]]/Таблица18[[#This Row],[Вес нетто]]</f>
        <v>8.4994259471871433E-2</v>
      </c>
      <c r="V1848" s="121">
        <f>MONTH(Таблица18[[#This Row],[Дата акта]])</f>
        <v>6</v>
      </c>
      <c r="W1848" s="121">
        <f>DAY(Таблица18[[#This Row],[Дата акта]])</f>
        <v>25</v>
      </c>
      <c r="X1848" s="148">
        <f>DATE(1900,Таблица18[[#This Row],[Месяц]],Таблица18[[#This Row],[Число]])</f>
        <v>177</v>
      </c>
      <c r="Y1848" s="121"/>
      <c r="Z1848" s="121" t="str">
        <f>Таблица18[[#This Row],[Хар-ка]]</f>
        <v>Первый</v>
      </c>
      <c r="AA1848"/>
      <c r="AB1848">
        <v>491</v>
      </c>
      <c r="AC1848"/>
      <c r="AD1848" s="460" t="s">
        <v>3116</v>
      </c>
      <c r="AE1848" t="s">
        <v>909</v>
      </c>
      <c r="AF1848" t="s">
        <v>52</v>
      </c>
    </row>
    <row r="1849" spans="1:32" s="465" customFormat="1" ht="22.5" x14ac:dyDescent="0.25">
      <c r="A1849" s="40" t="s">
        <v>3647</v>
      </c>
      <c r="B1849" s="360" t="s">
        <v>2940</v>
      </c>
      <c r="C1849" s="40">
        <v>602</v>
      </c>
      <c r="D1849" s="40">
        <v>1</v>
      </c>
      <c r="E1849" s="40" t="s">
        <v>3625</v>
      </c>
      <c r="F1849" s="40" t="s">
        <v>347</v>
      </c>
      <c r="G1849" s="40" t="s">
        <v>351</v>
      </c>
      <c r="H1849" s="40" t="s">
        <v>3120</v>
      </c>
      <c r="I1849" s="40" t="str">
        <f>VLOOKUP(Таблица18[[#This Row],[Номер акта]],$AB$1:$AF$2504,3,FALSE)</f>
        <v>2.2 Колос</v>
      </c>
      <c r="J1849" s="40" t="s">
        <v>901</v>
      </c>
      <c r="K1849" s="40" t="s">
        <v>3645</v>
      </c>
      <c r="L1849" s="121">
        <v>32420</v>
      </c>
      <c r="M1849" s="121">
        <v>18650</v>
      </c>
      <c r="N1849" s="121">
        <v>6.5</v>
      </c>
      <c r="O1849" s="363">
        <v>13770</v>
      </c>
      <c r="P1849" s="363">
        <v>12875</v>
      </c>
      <c r="Q1849" s="121">
        <v>2026</v>
      </c>
      <c r="R1849" s="121">
        <v>467</v>
      </c>
      <c r="S1849" s="148">
        <v>46198</v>
      </c>
      <c r="T1849" s="363">
        <f>Таблица18[[#This Row],[Вес нетто]]-Таблица18[[#This Row],[Зачетный вес]]</f>
        <v>895</v>
      </c>
      <c r="U1849" s="392">
        <f>Таблица18[[#This Row],[Отход]]/Таблица18[[#This Row],[Вес нетто]]</f>
        <v>6.4996368917937544E-2</v>
      </c>
      <c r="V1849" s="121">
        <f>MONTH(Таблица18[[#This Row],[Дата акта]])</f>
        <v>6</v>
      </c>
      <c r="W1849" s="121">
        <f>DAY(Таблица18[[#This Row],[Дата акта]])</f>
        <v>25</v>
      </c>
      <c r="X1849" s="148">
        <f>DATE(1900,Таблица18[[#This Row],[Месяц]],Таблица18[[#This Row],[Число]])</f>
        <v>177</v>
      </c>
      <c r="Y1849" s="121"/>
      <c r="Z1849" s="121" t="str">
        <f>Таблица18[[#This Row],[Хар-ка]]</f>
        <v>Высший</v>
      </c>
      <c r="AA1849"/>
      <c r="AB1849">
        <v>492</v>
      </c>
      <c r="AC1849"/>
      <c r="AD1849" s="460" t="s">
        <v>3116</v>
      </c>
      <c r="AE1849" t="s">
        <v>909</v>
      </c>
      <c r="AF1849" t="s">
        <v>52</v>
      </c>
    </row>
    <row r="1850" spans="1:32" s="465" customFormat="1" ht="22.5" x14ac:dyDescent="0.25">
      <c r="A1850" s="40" t="s">
        <v>3631</v>
      </c>
      <c r="B1850" s="360" t="s">
        <v>3230</v>
      </c>
      <c r="C1850" s="40">
        <v>603</v>
      </c>
      <c r="D1850" s="40">
        <v>366</v>
      </c>
      <c r="E1850" s="40" t="s">
        <v>2964</v>
      </c>
      <c r="F1850" s="40" t="s">
        <v>127</v>
      </c>
      <c r="G1850" s="40" t="s">
        <v>131</v>
      </c>
      <c r="H1850" s="40" t="s">
        <v>3112</v>
      </c>
      <c r="I1850" s="40" t="str">
        <f>VLOOKUP(Таблица18[[#This Row],[Номер акта]],$AB$1:$AF$2504,3,FALSE)</f>
        <v>А-81/1</v>
      </c>
      <c r="J1850" s="40" t="s">
        <v>909</v>
      </c>
      <c r="K1850" s="40" t="s">
        <v>3375</v>
      </c>
      <c r="L1850" s="121">
        <v>16440</v>
      </c>
      <c r="M1850" s="121">
        <v>9810</v>
      </c>
      <c r="N1850" s="121">
        <v>5.5</v>
      </c>
      <c r="O1850" s="363">
        <v>6630</v>
      </c>
      <c r="P1850" s="363">
        <v>6265.4</v>
      </c>
      <c r="Q1850" s="121">
        <v>2026</v>
      </c>
      <c r="R1850" s="121">
        <v>468</v>
      </c>
      <c r="S1850" s="148">
        <v>46198</v>
      </c>
      <c r="T1850" s="363">
        <f>Таблица18[[#This Row],[Вес нетто]]-Таблица18[[#This Row],[Зачетный вес]]</f>
        <v>364.60000000000036</v>
      </c>
      <c r="U1850" s="392">
        <f>Таблица18[[#This Row],[Отход]]/Таблица18[[#This Row],[Вес нетто]]</f>
        <v>5.499245852187034E-2</v>
      </c>
      <c r="V1850" s="121">
        <f>MONTH(Таблица18[[#This Row],[Дата акта]])</f>
        <v>6</v>
      </c>
      <c r="W1850" s="121">
        <f>DAY(Таблица18[[#This Row],[Дата акта]])</f>
        <v>25</v>
      </c>
      <c r="X1850" s="148">
        <f>DATE(1900,Таблица18[[#This Row],[Месяц]],Таблица18[[#This Row],[Число]])</f>
        <v>177</v>
      </c>
      <c r="Y1850" s="121"/>
      <c r="Z1850" s="121" t="str">
        <f>Таблица18[[#This Row],[Хар-ка]]</f>
        <v>Первый</v>
      </c>
      <c r="AA1850"/>
      <c r="AB1850">
        <v>494</v>
      </c>
      <c r="AC1850"/>
      <c r="AD1850" s="460" t="s">
        <v>3120</v>
      </c>
      <c r="AE1850" t="s">
        <v>901</v>
      </c>
      <c r="AF1850" t="s">
        <v>53</v>
      </c>
    </row>
    <row r="1851" spans="1:32" s="465" customFormat="1" ht="22.5" x14ac:dyDescent="0.25">
      <c r="A1851" s="40" t="s">
        <v>3646</v>
      </c>
      <c r="B1851" s="360" t="s">
        <v>2940</v>
      </c>
      <c r="C1851" s="40">
        <v>604</v>
      </c>
      <c r="D1851" s="40">
        <v>2</v>
      </c>
      <c r="E1851" s="40" t="s">
        <v>3625</v>
      </c>
      <c r="F1851" s="40" t="s">
        <v>1151</v>
      </c>
      <c r="G1851" s="40" t="s">
        <v>145</v>
      </c>
      <c r="H1851" s="40" t="s">
        <v>3120</v>
      </c>
      <c r="I1851" s="40" t="str">
        <f>VLOOKUP(Таблица18[[#This Row],[Номер акта]],$AB$1:$AF$2504,3,FALSE)</f>
        <v>2.2 Колос</v>
      </c>
      <c r="J1851" s="40" t="s">
        <v>901</v>
      </c>
      <c r="K1851" s="40" t="s">
        <v>3645</v>
      </c>
      <c r="L1851" s="121">
        <v>29260</v>
      </c>
      <c r="M1851" s="121">
        <v>15850</v>
      </c>
      <c r="N1851" s="121">
        <v>7.5</v>
      </c>
      <c r="O1851" s="363">
        <v>13410</v>
      </c>
      <c r="P1851" s="363">
        <v>12404.3</v>
      </c>
      <c r="Q1851" s="121">
        <v>2026</v>
      </c>
      <c r="R1851" s="121">
        <v>469</v>
      </c>
      <c r="S1851" s="148">
        <v>46198</v>
      </c>
      <c r="T1851" s="363">
        <f>Таблица18[[#This Row],[Вес нетто]]-Таблица18[[#This Row],[Зачетный вес]]</f>
        <v>1005.7000000000007</v>
      </c>
      <c r="U1851" s="392">
        <f>Таблица18[[#This Row],[Отход]]/Таблица18[[#This Row],[Вес нетто]]</f>
        <v>7.4996271439224507E-2</v>
      </c>
      <c r="V1851" s="121">
        <f>MONTH(Таблица18[[#This Row],[Дата акта]])</f>
        <v>6</v>
      </c>
      <c r="W1851" s="121">
        <f>DAY(Таблица18[[#This Row],[Дата акта]])</f>
        <v>25</v>
      </c>
      <c r="X1851" s="148">
        <f>DATE(1900,Таблица18[[#This Row],[Месяц]],Таблица18[[#This Row],[Число]])</f>
        <v>177</v>
      </c>
      <c r="Y1851" s="121"/>
      <c r="Z1851" s="121" t="str">
        <f>Таблица18[[#This Row],[Хар-ка]]</f>
        <v>Высший</v>
      </c>
      <c r="AA1851"/>
      <c r="AB1851">
        <v>495</v>
      </c>
      <c r="AC1851"/>
      <c r="AD1851" s="460" t="s">
        <v>3120</v>
      </c>
      <c r="AE1851" t="s">
        <v>901</v>
      </c>
      <c r="AF1851" t="s">
        <v>53</v>
      </c>
    </row>
    <row r="1852" spans="1:32" s="465" customFormat="1" ht="33.75" x14ac:dyDescent="0.25">
      <c r="A1852" s="40" t="s">
        <v>3648</v>
      </c>
      <c r="B1852" s="360" t="s">
        <v>2940</v>
      </c>
      <c r="C1852" s="40">
        <v>605</v>
      </c>
      <c r="D1852" s="40">
        <v>3</v>
      </c>
      <c r="E1852" s="40" t="s">
        <v>3625</v>
      </c>
      <c r="F1852" s="40" t="s">
        <v>1461</v>
      </c>
      <c r="G1852" s="40" t="s">
        <v>149</v>
      </c>
      <c r="H1852" s="40" t="s">
        <v>3120</v>
      </c>
      <c r="I1852" s="40" t="str">
        <f>VLOOKUP(Таблица18[[#This Row],[Номер акта]],$AB$1:$AF$2504,3,FALSE)</f>
        <v>2.2 Колос</v>
      </c>
      <c r="J1852" s="40" t="s">
        <v>901</v>
      </c>
      <c r="K1852" s="40" t="s">
        <v>3645</v>
      </c>
      <c r="L1852" s="121">
        <v>28510</v>
      </c>
      <c r="M1852" s="121">
        <v>15140</v>
      </c>
      <c r="N1852" s="121">
        <v>11.5</v>
      </c>
      <c r="O1852" s="363">
        <v>13370</v>
      </c>
      <c r="P1852" s="363">
        <v>11832.4</v>
      </c>
      <c r="Q1852" s="121">
        <v>2026</v>
      </c>
      <c r="R1852" s="121">
        <v>470</v>
      </c>
      <c r="S1852" s="148">
        <v>46199</v>
      </c>
      <c r="T1852" s="363">
        <f>Таблица18[[#This Row],[Вес нетто]]-Таблица18[[#This Row],[Зачетный вес]]</f>
        <v>1537.6000000000004</v>
      </c>
      <c r="U1852" s="392">
        <f>Таблица18[[#This Row],[Отход]]/Таблица18[[#This Row],[Вес нетто]]</f>
        <v>0.11500373971578162</v>
      </c>
      <c r="V1852" s="121">
        <f>MONTH(Таблица18[[#This Row],[Дата акта]])</f>
        <v>6</v>
      </c>
      <c r="W1852" s="121">
        <f>DAY(Таблица18[[#This Row],[Дата акта]])</f>
        <v>26</v>
      </c>
      <c r="X1852" s="148">
        <f>DATE(1900,Таблица18[[#This Row],[Месяц]],Таблица18[[#This Row],[Число]])</f>
        <v>178</v>
      </c>
      <c r="Y1852" s="121"/>
      <c r="Z1852" s="121" t="str">
        <f>Таблица18[[#This Row],[Хар-ка]]</f>
        <v>Высший</v>
      </c>
      <c r="AA1852"/>
      <c r="AB1852">
        <v>496</v>
      </c>
      <c r="AC1852"/>
      <c r="AD1852" s="460" t="s">
        <v>3120</v>
      </c>
      <c r="AE1852" t="s">
        <v>901</v>
      </c>
      <c r="AF1852" t="s">
        <v>53</v>
      </c>
    </row>
    <row r="1853" spans="1:32" s="465" customFormat="1" ht="33.75" x14ac:dyDescent="0.25">
      <c r="A1853" s="40" t="s">
        <v>3627</v>
      </c>
      <c r="B1853" s="360" t="s">
        <v>3230</v>
      </c>
      <c r="C1853" s="40">
        <v>606</v>
      </c>
      <c r="D1853" s="40">
        <v>367</v>
      </c>
      <c r="E1853" s="40" t="s">
        <v>2964</v>
      </c>
      <c r="F1853" s="40" t="s">
        <v>239</v>
      </c>
      <c r="G1853" s="40" t="s">
        <v>243</v>
      </c>
      <c r="H1853" s="40" t="s">
        <v>3112</v>
      </c>
      <c r="I1853" s="40" t="str">
        <f>VLOOKUP(Таблица18[[#This Row],[Номер акта]],$AB$1:$AF$2504,3,FALSE)</f>
        <v>А-81/1</v>
      </c>
      <c r="J1853" s="40" t="s">
        <v>909</v>
      </c>
      <c r="K1853" s="40" t="s">
        <v>3375</v>
      </c>
      <c r="L1853" s="121">
        <v>23390</v>
      </c>
      <c r="M1853" s="121">
        <v>14660</v>
      </c>
      <c r="N1853" s="121">
        <v>6.5</v>
      </c>
      <c r="O1853" s="363">
        <v>8730</v>
      </c>
      <c r="P1853" s="363">
        <v>8162.6</v>
      </c>
      <c r="Q1853" s="121">
        <v>2026</v>
      </c>
      <c r="R1853" s="121">
        <v>471</v>
      </c>
      <c r="S1853" s="148">
        <v>46199</v>
      </c>
      <c r="T1853" s="363">
        <f>Таблица18[[#This Row],[Вес нетто]]-Таблица18[[#This Row],[Зачетный вес]]</f>
        <v>567.39999999999964</v>
      </c>
      <c r="U1853" s="392">
        <f>Таблица18[[#This Row],[Отход]]/Таблица18[[#This Row],[Вес нетто]]</f>
        <v>6.499427262313856E-2</v>
      </c>
      <c r="V1853" s="121">
        <f>MONTH(Таблица18[[#This Row],[Дата акта]])</f>
        <v>6</v>
      </c>
      <c r="W1853" s="121">
        <f>DAY(Таблица18[[#This Row],[Дата акта]])</f>
        <v>26</v>
      </c>
      <c r="X1853" s="148">
        <f>DATE(1900,Таблица18[[#This Row],[Месяц]],Таблица18[[#This Row],[Число]])</f>
        <v>178</v>
      </c>
      <c r="Y1853" s="121"/>
      <c r="Z1853" s="121" t="str">
        <f>Таблица18[[#This Row],[Хар-ка]]</f>
        <v>Первый</v>
      </c>
      <c r="AA1853"/>
      <c r="AB1853">
        <v>497</v>
      </c>
      <c r="AC1853"/>
      <c r="AD1853" s="460" t="s">
        <v>3120</v>
      </c>
      <c r="AE1853" t="s">
        <v>901</v>
      </c>
      <c r="AF1853" t="s">
        <v>53</v>
      </c>
    </row>
    <row r="1854" spans="1:32" s="465" customFormat="1" ht="22.5" hidden="1" x14ac:dyDescent="0.25">
      <c r="A1854" s="40" t="s">
        <v>3641</v>
      </c>
      <c r="B1854" s="360" t="s">
        <v>2940</v>
      </c>
      <c r="C1854" s="40">
        <v>607</v>
      </c>
      <c r="D1854" s="40">
        <v>70</v>
      </c>
      <c r="E1854" s="40" t="s">
        <v>3551</v>
      </c>
      <c r="F1854" s="40" t="s">
        <v>212</v>
      </c>
      <c r="G1854" s="40" t="s">
        <v>2965</v>
      </c>
      <c r="H1854" s="40" t="s">
        <v>3115</v>
      </c>
      <c r="I1854" s="40" t="str">
        <f>VLOOKUP(Таблица18[[#This Row],[Номер акта]],$AB$1:$AF$2504,3,FALSE)</f>
        <v>17 Агролидер</v>
      </c>
      <c r="J1854" s="40" t="s">
        <v>909</v>
      </c>
      <c r="K1854" s="40" t="s">
        <v>3464</v>
      </c>
      <c r="L1854" s="121">
        <v>29230</v>
      </c>
      <c r="M1854" s="121">
        <v>16040</v>
      </c>
      <c r="N1854" s="121">
        <v>10.5</v>
      </c>
      <c r="O1854" s="363">
        <v>13190</v>
      </c>
      <c r="P1854" s="363">
        <v>11805.1</v>
      </c>
      <c r="Q1854" s="121">
        <v>2026</v>
      </c>
      <c r="R1854" s="121">
        <v>472</v>
      </c>
      <c r="S1854" s="148">
        <v>46199</v>
      </c>
      <c r="T1854" s="363">
        <f>Таблица18[[#This Row],[Вес нетто]]-Таблица18[[#This Row],[Зачетный вес]]</f>
        <v>1384.8999999999996</v>
      </c>
      <c r="U1854" s="392">
        <f>Таблица18[[#This Row],[Отход]]/Таблица18[[#This Row],[Вес нетто]]</f>
        <v>0.10499620924943136</v>
      </c>
      <c r="V1854" s="121">
        <f>MONTH(Таблица18[[#This Row],[Дата акта]])</f>
        <v>6</v>
      </c>
      <c r="W1854" s="121">
        <f>DAY(Таблица18[[#This Row],[Дата акта]])</f>
        <v>26</v>
      </c>
      <c r="X1854" s="148">
        <f>DATE(1900,Таблица18[[#This Row],[Месяц]],Таблица18[[#This Row],[Число]])</f>
        <v>178</v>
      </c>
      <c r="Y1854" s="121"/>
      <c r="Z1854" s="121" t="str">
        <f>Таблица18[[#This Row],[Хар-ка]]</f>
        <v>Высший</v>
      </c>
      <c r="AA1854"/>
      <c r="AB1854">
        <v>498</v>
      </c>
      <c r="AC1854"/>
      <c r="AD1854" s="460" t="s">
        <v>3120</v>
      </c>
      <c r="AE1854" t="s">
        <v>901</v>
      </c>
      <c r="AF1854" t="s">
        <v>53</v>
      </c>
    </row>
    <row r="1855" spans="1:32" s="465" customFormat="1" ht="22.5" x14ac:dyDescent="0.25">
      <c r="A1855" s="40" t="s">
        <v>3635</v>
      </c>
      <c r="B1855" s="360" t="s">
        <v>3273</v>
      </c>
      <c r="C1855" s="40">
        <v>608</v>
      </c>
      <c r="D1855" s="40">
        <v>368</v>
      </c>
      <c r="E1855" s="40" t="s">
        <v>2964</v>
      </c>
      <c r="F1855" s="40" t="s">
        <v>127</v>
      </c>
      <c r="G1855" s="40" t="s">
        <v>131</v>
      </c>
      <c r="H1855" s="40" t="s">
        <v>3112</v>
      </c>
      <c r="I1855" s="40" t="str">
        <f>VLOOKUP(Таблица18[[#This Row],[Номер акта]],$AB$1:$AF$2504,3,FALSE)</f>
        <v>А-81/1</v>
      </c>
      <c r="J1855" s="40" t="s">
        <v>909</v>
      </c>
      <c r="K1855" s="40" t="s">
        <v>3375</v>
      </c>
      <c r="L1855" s="121">
        <v>12100</v>
      </c>
      <c r="M1855" s="121">
        <v>9880</v>
      </c>
      <c r="N1855" s="121">
        <v>6.5</v>
      </c>
      <c r="O1855" s="363">
        <v>2220</v>
      </c>
      <c r="P1855" s="363">
        <v>2075.6999999999998</v>
      </c>
      <c r="Q1855" s="121">
        <v>2026</v>
      </c>
      <c r="R1855" s="121">
        <v>473</v>
      </c>
      <c r="S1855" s="148">
        <v>46199</v>
      </c>
      <c r="T1855" s="363">
        <f>Таблица18[[#This Row],[Вес нетто]]-Таблица18[[#This Row],[Зачетный вес]]</f>
        <v>144.30000000000018</v>
      </c>
      <c r="U1855" s="392">
        <f>Таблица18[[#This Row],[Отход]]/Таблица18[[#This Row],[Вес нетто]]</f>
        <v>6.5000000000000085E-2</v>
      </c>
      <c r="V1855" s="121">
        <f>MONTH(Таблица18[[#This Row],[Дата акта]])</f>
        <v>6</v>
      </c>
      <c r="W1855" s="121">
        <f>DAY(Таблица18[[#This Row],[Дата акта]])</f>
        <v>26</v>
      </c>
      <c r="X1855" s="148">
        <f>DATE(1900,Таблица18[[#This Row],[Месяц]],Таблица18[[#This Row],[Число]])</f>
        <v>178</v>
      </c>
      <c r="Y1855" s="121"/>
      <c r="Z1855" s="121" t="str">
        <f>Таблица18[[#This Row],[Хар-ка]]</f>
        <v>Второй</v>
      </c>
      <c r="AA1855"/>
      <c r="AB1855">
        <v>515</v>
      </c>
      <c r="AC1855"/>
      <c r="AD1855" s="460" t="s">
        <v>3122</v>
      </c>
      <c r="AE1855" t="s">
        <v>897</v>
      </c>
      <c r="AF1855" t="s">
        <v>53</v>
      </c>
    </row>
    <row r="1856" spans="1:32" s="465" customFormat="1" ht="22.5" hidden="1" x14ac:dyDescent="0.25">
      <c r="A1856" s="40" t="s">
        <v>3636</v>
      </c>
      <c r="B1856" s="360" t="s">
        <v>2940</v>
      </c>
      <c r="C1856" s="40">
        <v>609</v>
      </c>
      <c r="D1856" s="40">
        <v>71</v>
      </c>
      <c r="E1856" s="40" t="s">
        <v>3551</v>
      </c>
      <c r="F1856" s="40" t="s">
        <v>3623</v>
      </c>
      <c r="G1856" s="40" t="s">
        <v>3679</v>
      </c>
      <c r="H1856" s="40" t="s">
        <v>3115</v>
      </c>
      <c r="I1856" s="40" t="str">
        <f>VLOOKUP(Таблица18[[#This Row],[Номер акта]],$AB$1:$AF$2504,3,FALSE)</f>
        <v>17 Агролидер</v>
      </c>
      <c r="J1856" s="40" t="s">
        <v>909</v>
      </c>
      <c r="K1856" s="40" t="s">
        <v>3464</v>
      </c>
      <c r="L1856" s="121">
        <v>27600</v>
      </c>
      <c r="M1856" s="121">
        <v>14670</v>
      </c>
      <c r="N1856" s="121">
        <v>10.5</v>
      </c>
      <c r="O1856" s="363">
        <v>12930</v>
      </c>
      <c r="P1856" s="363">
        <v>11572.4</v>
      </c>
      <c r="Q1856" s="121">
        <v>2026</v>
      </c>
      <c r="R1856" s="121">
        <v>474</v>
      </c>
      <c r="S1856" s="148">
        <v>46199</v>
      </c>
      <c r="T1856" s="363">
        <f>Таблица18[[#This Row],[Вес нетто]]-Таблица18[[#This Row],[Зачетный вес]]</f>
        <v>1357.6000000000004</v>
      </c>
      <c r="U1856" s="392">
        <f>Таблица18[[#This Row],[Отход]]/Таблица18[[#This Row],[Вес нетто]]</f>
        <v>0.10499613302397529</v>
      </c>
      <c r="V1856" s="121">
        <f>MONTH(Таблица18[[#This Row],[Дата акта]])</f>
        <v>6</v>
      </c>
      <c r="W1856" s="121">
        <f>DAY(Таблица18[[#This Row],[Дата акта]])</f>
        <v>26</v>
      </c>
      <c r="X1856" s="148">
        <f>DATE(1900,Таблица18[[#This Row],[Месяц]],Таблица18[[#This Row],[Число]])</f>
        <v>178</v>
      </c>
      <c r="Y1856" s="121"/>
      <c r="Z1856" s="121" t="str">
        <f>Таблица18[[#This Row],[Хар-ка]]</f>
        <v>Высший</v>
      </c>
      <c r="AA1856"/>
      <c r="AB1856">
        <v>516</v>
      </c>
      <c r="AC1856"/>
      <c r="AD1856" s="460" t="s">
        <v>3122</v>
      </c>
      <c r="AE1856" t="s">
        <v>897</v>
      </c>
      <c r="AF1856" t="s">
        <v>53</v>
      </c>
    </row>
    <row r="1857" spans="1:32" s="465" customFormat="1" ht="22.5" x14ac:dyDescent="0.25">
      <c r="A1857" s="40" t="s">
        <v>3650</v>
      </c>
      <c r="B1857" s="360" t="s">
        <v>2940</v>
      </c>
      <c r="C1857" s="40">
        <v>610</v>
      </c>
      <c r="D1857" s="40">
        <v>5</v>
      </c>
      <c r="E1857" s="40" t="s">
        <v>3625</v>
      </c>
      <c r="F1857" s="40" t="s">
        <v>894</v>
      </c>
      <c r="G1857" s="40" t="s">
        <v>895</v>
      </c>
      <c r="H1857" s="40" t="s">
        <v>3120</v>
      </c>
      <c r="I1857" s="40" t="str">
        <f>VLOOKUP(Таблица18[[#This Row],[Номер акта]],$AB$1:$AF$2504,3,FALSE)</f>
        <v>2.2 Колос</v>
      </c>
      <c r="J1857" s="40" t="s">
        <v>901</v>
      </c>
      <c r="K1857" s="40" t="s">
        <v>3645</v>
      </c>
      <c r="L1857" s="121">
        <v>28280</v>
      </c>
      <c r="M1857" s="121">
        <v>14990</v>
      </c>
      <c r="N1857" s="121">
        <v>12.5</v>
      </c>
      <c r="O1857" s="363">
        <v>13290</v>
      </c>
      <c r="P1857" s="363">
        <v>11628.8</v>
      </c>
      <c r="Q1857" s="121">
        <v>2026</v>
      </c>
      <c r="R1857" s="121">
        <v>475</v>
      </c>
      <c r="S1857" s="148">
        <v>46199</v>
      </c>
      <c r="T1857" s="363">
        <f>Таблица18[[#This Row],[Вес нетто]]-Таблица18[[#This Row],[Зачетный вес]]</f>
        <v>1661.2000000000007</v>
      </c>
      <c r="U1857" s="392">
        <f>Таблица18[[#This Row],[Отход]]/Таблица18[[#This Row],[Вес нетто]]</f>
        <v>0.12499623777276153</v>
      </c>
      <c r="V1857" s="121">
        <f>MONTH(Таблица18[[#This Row],[Дата акта]])</f>
        <v>6</v>
      </c>
      <c r="W1857" s="121">
        <f>DAY(Таблица18[[#This Row],[Дата акта]])</f>
        <v>26</v>
      </c>
      <c r="X1857" s="148">
        <f>DATE(1900,Таблица18[[#This Row],[Месяц]],Таблица18[[#This Row],[Число]])</f>
        <v>178</v>
      </c>
      <c r="Y1857" s="121"/>
      <c r="Z1857" s="121" t="str">
        <f>Таблица18[[#This Row],[Хар-ка]]</f>
        <v>Высший</v>
      </c>
      <c r="AA1857"/>
      <c r="AB1857">
        <v>517</v>
      </c>
      <c r="AC1857"/>
      <c r="AD1857" s="460" t="s">
        <v>3122</v>
      </c>
      <c r="AE1857" t="s">
        <v>897</v>
      </c>
      <c r="AF1857" t="s">
        <v>53</v>
      </c>
    </row>
    <row r="1858" spans="1:32" s="465" customFormat="1" ht="33.75" hidden="1" x14ac:dyDescent="0.25">
      <c r="A1858" s="40" t="s">
        <v>3642</v>
      </c>
      <c r="B1858" s="360" t="s">
        <v>2940</v>
      </c>
      <c r="C1858" s="40">
        <v>611</v>
      </c>
      <c r="D1858" s="40">
        <v>72</v>
      </c>
      <c r="E1858" s="40" t="s">
        <v>3551</v>
      </c>
      <c r="F1858" s="40" t="s">
        <v>311</v>
      </c>
      <c r="G1858" s="40" t="s">
        <v>315</v>
      </c>
      <c r="H1858" s="40" t="s">
        <v>3115</v>
      </c>
      <c r="I1858" s="40" t="str">
        <f>VLOOKUP(Таблица18[[#This Row],[Номер акта]],$AB$1:$AF$2504,3,FALSE)</f>
        <v>17 Агролидер</v>
      </c>
      <c r="J1858" s="40" t="s">
        <v>909</v>
      </c>
      <c r="K1858" s="40" t="s">
        <v>3464</v>
      </c>
      <c r="L1858" s="121">
        <v>28100</v>
      </c>
      <c r="M1858" s="121">
        <v>15260</v>
      </c>
      <c r="N1858" s="121">
        <v>11.5</v>
      </c>
      <c r="O1858" s="363">
        <v>12840</v>
      </c>
      <c r="P1858" s="363">
        <v>11363.4</v>
      </c>
      <c r="Q1858" s="121">
        <v>2026</v>
      </c>
      <c r="R1858" s="121">
        <v>476</v>
      </c>
      <c r="S1858" s="148">
        <v>46199</v>
      </c>
      <c r="T1858" s="363">
        <f>Таблица18[[#This Row],[Вес нетто]]-Таблица18[[#This Row],[Зачетный вес]]</f>
        <v>1476.6000000000004</v>
      </c>
      <c r="U1858" s="392">
        <f>Таблица18[[#This Row],[Отход]]/Таблица18[[#This Row],[Вес нетто]]</f>
        <v>0.11500000000000003</v>
      </c>
      <c r="V1858" s="121">
        <f>MONTH(Таблица18[[#This Row],[Дата акта]])</f>
        <v>6</v>
      </c>
      <c r="W1858" s="121">
        <f>DAY(Таблица18[[#This Row],[Дата акта]])</f>
        <v>26</v>
      </c>
      <c r="X1858" s="148">
        <f>DATE(1900,Таблица18[[#This Row],[Месяц]],Таблица18[[#This Row],[Число]])</f>
        <v>178</v>
      </c>
      <c r="Y1858" s="121"/>
      <c r="Z1858" s="121" t="str">
        <f>Таблица18[[#This Row],[Хар-ка]]</f>
        <v>Высший</v>
      </c>
      <c r="AA1858"/>
      <c r="AB1858">
        <v>518</v>
      </c>
      <c r="AC1858"/>
      <c r="AD1858" s="460" t="s">
        <v>3122</v>
      </c>
      <c r="AE1858" t="s">
        <v>901</v>
      </c>
      <c r="AF1858" t="s">
        <v>53</v>
      </c>
    </row>
    <row r="1859" spans="1:32" s="465" customFormat="1" ht="33.75" x14ac:dyDescent="0.25">
      <c r="A1859" s="40" t="s">
        <v>3632</v>
      </c>
      <c r="B1859" s="360" t="s">
        <v>3230</v>
      </c>
      <c r="C1859" s="40">
        <v>612</v>
      </c>
      <c r="D1859" s="40">
        <v>369</v>
      </c>
      <c r="E1859" s="40" t="s">
        <v>2964</v>
      </c>
      <c r="F1859" s="40" t="s">
        <v>239</v>
      </c>
      <c r="G1859" s="40" t="s">
        <v>243</v>
      </c>
      <c r="H1859" s="40" t="s">
        <v>3112</v>
      </c>
      <c r="I1859" s="40" t="str">
        <f>VLOOKUP(Таблица18[[#This Row],[Номер акта]],$AB$1:$AF$2504,3,FALSE)</f>
        <v>А-81/1</v>
      </c>
      <c r="J1859" s="40" t="s">
        <v>909</v>
      </c>
      <c r="K1859" s="40" t="s">
        <v>3375</v>
      </c>
      <c r="L1859" s="121">
        <v>26930</v>
      </c>
      <c r="M1859" s="121">
        <v>14650</v>
      </c>
      <c r="N1859" s="121">
        <v>7</v>
      </c>
      <c r="O1859" s="363">
        <v>12280</v>
      </c>
      <c r="P1859" s="363">
        <v>11420.4</v>
      </c>
      <c r="Q1859" s="121">
        <v>2026</v>
      </c>
      <c r="R1859" s="121">
        <v>477</v>
      </c>
      <c r="S1859" s="148">
        <v>46199</v>
      </c>
      <c r="T1859" s="363">
        <f>Таблица18[[#This Row],[Вес нетто]]-Таблица18[[#This Row],[Зачетный вес]]</f>
        <v>859.60000000000036</v>
      </c>
      <c r="U1859" s="392">
        <f>Таблица18[[#This Row],[Отход]]/Таблица18[[#This Row],[Вес нетто]]</f>
        <v>7.0000000000000034E-2</v>
      </c>
      <c r="V1859" s="121">
        <f>MONTH(Таблица18[[#This Row],[Дата акта]])</f>
        <v>6</v>
      </c>
      <c r="W1859" s="121">
        <f>DAY(Таблица18[[#This Row],[Дата акта]])</f>
        <v>26</v>
      </c>
      <c r="X1859" s="148">
        <f>DATE(1900,Таблица18[[#This Row],[Месяц]],Таблица18[[#This Row],[Число]])</f>
        <v>178</v>
      </c>
      <c r="Y1859" s="121"/>
      <c r="Z1859" s="121" t="str">
        <f>Таблица18[[#This Row],[Хар-ка]]</f>
        <v>Первый</v>
      </c>
      <c r="AA1859"/>
      <c r="AB1859">
        <v>519</v>
      </c>
      <c r="AC1859"/>
      <c r="AD1859" s="460" t="s">
        <v>3122</v>
      </c>
      <c r="AE1859" t="s">
        <v>901</v>
      </c>
      <c r="AF1859" t="s">
        <v>53</v>
      </c>
    </row>
    <row r="1860" spans="1:32" s="465" customFormat="1" ht="22.5" hidden="1" x14ac:dyDescent="0.25">
      <c r="A1860" s="40" t="s">
        <v>3639</v>
      </c>
      <c r="B1860" s="360" t="s">
        <v>2940</v>
      </c>
      <c r="C1860" s="40">
        <v>613</v>
      </c>
      <c r="D1860" s="40">
        <v>73</v>
      </c>
      <c r="E1860" s="40" t="s">
        <v>3551</v>
      </c>
      <c r="F1860" s="40" t="s">
        <v>335</v>
      </c>
      <c r="G1860" s="40" t="s">
        <v>339</v>
      </c>
      <c r="H1860" s="40" t="s">
        <v>3115</v>
      </c>
      <c r="I1860" s="40" t="str">
        <f>VLOOKUP(Таблица18[[#This Row],[Номер акта]],$AB$1:$AF$2504,3,FALSE)</f>
        <v>17 Агролидер</v>
      </c>
      <c r="J1860" s="40" t="s">
        <v>909</v>
      </c>
      <c r="K1860" s="40" t="s">
        <v>3464</v>
      </c>
      <c r="L1860" s="121">
        <v>27740</v>
      </c>
      <c r="M1860" s="121">
        <v>14970</v>
      </c>
      <c r="N1860" s="121">
        <v>9.5</v>
      </c>
      <c r="O1860" s="363">
        <v>12770</v>
      </c>
      <c r="P1860" s="363">
        <v>11556.9</v>
      </c>
      <c r="Q1860" s="121">
        <v>2026</v>
      </c>
      <c r="R1860" s="121">
        <v>478</v>
      </c>
      <c r="S1860" s="148">
        <v>46199</v>
      </c>
      <c r="T1860" s="363">
        <f>Таблица18[[#This Row],[Вес нетто]]-Таблица18[[#This Row],[Зачетный вес]]</f>
        <v>1213.1000000000004</v>
      </c>
      <c r="U1860" s="392">
        <f>Таблица18[[#This Row],[Отход]]/Таблица18[[#This Row],[Вес нетто]]</f>
        <v>9.4996084573218509E-2</v>
      </c>
      <c r="V1860" s="121">
        <f>MONTH(Таблица18[[#This Row],[Дата акта]])</f>
        <v>6</v>
      </c>
      <c r="W1860" s="121">
        <f>DAY(Таблица18[[#This Row],[Дата акта]])</f>
        <v>26</v>
      </c>
      <c r="X1860" s="148">
        <f>DATE(1900,Таблица18[[#This Row],[Месяц]],Таблица18[[#This Row],[Число]])</f>
        <v>178</v>
      </c>
      <c r="Y1860" s="121"/>
      <c r="Z1860" s="121" t="str">
        <f>Таблица18[[#This Row],[Хар-ка]]</f>
        <v>Высший</v>
      </c>
      <c r="AA1860"/>
      <c r="AB1860">
        <v>521</v>
      </c>
      <c r="AC1860"/>
      <c r="AD1860" s="460" t="s">
        <v>3122</v>
      </c>
      <c r="AE1860" t="s">
        <v>901</v>
      </c>
      <c r="AF1860" t="s">
        <v>53</v>
      </c>
    </row>
    <row r="1861" spans="1:32" s="465" customFormat="1" ht="33.75" x14ac:dyDescent="0.25">
      <c r="A1861" s="40" t="s">
        <v>3649</v>
      </c>
      <c r="B1861" s="360" t="s">
        <v>2940</v>
      </c>
      <c r="C1861" s="40">
        <v>614</v>
      </c>
      <c r="D1861" s="40">
        <v>6</v>
      </c>
      <c r="E1861" s="40" t="s">
        <v>3625</v>
      </c>
      <c r="F1861" s="40" t="s">
        <v>1312</v>
      </c>
      <c r="G1861" s="40" t="s">
        <v>320</v>
      </c>
      <c r="H1861" s="40" t="s">
        <v>3120</v>
      </c>
      <c r="I1861" s="40" t="str">
        <f>VLOOKUP(Таблица18[[#This Row],[Номер акта]],$AB$1:$AF$2504,3,FALSE)</f>
        <v>2.2 Колос</v>
      </c>
      <c r="J1861" s="40" t="s">
        <v>901</v>
      </c>
      <c r="K1861" s="40" t="s">
        <v>3645</v>
      </c>
      <c r="L1861" s="121">
        <v>27700</v>
      </c>
      <c r="M1861" s="121">
        <v>14500</v>
      </c>
      <c r="N1861" s="121">
        <v>13.5</v>
      </c>
      <c r="O1861" s="363">
        <v>13200</v>
      </c>
      <c r="P1861" s="363">
        <v>11418</v>
      </c>
      <c r="Q1861" s="121">
        <v>2026</v>
      </c>
      <c r="R1861" s="121">
        <v>479</v>
      </c>
      <c r="S1861" s="148">
        <v>46199</v>
      </c>
      <c r="T1861" s="363">
        <f>Таблица18[[#This Row],[Вес нетто]]-Таблица18[[#This Row],[Зачетный вес]]</f>
        <v>1782</v>
      </c>
      <c r="U1861" s="392">
        <f>Таблица18[[#This Row],[Отход]]/Таблица18[[#This Row],[Вес нетто]]</f>
        <v>0.13500000000000001</v>
      </c>
      <c r="V1861" s="121">
        <f>MONTH(Таблица18[[#This Row],[Дата акта]])</f>
        <v>6</v>
      </c>
      <c r="W1861" s="121">
        <f>DAY(Таблица18[[#This Row],[Дата акта]])</f>
        <v>26</v>
      </c>
      <c r="X1861" s="148">
        <f>DATE(1900,Таблица18[[#This Row],[Месяц]],Таблица18[[#This Row],[Число]])</f>
        <v>178</v>
      </c>
      <c r="Y1861" s="121"/>
      <c r="Z1861" s="121" t="str">
        <f>Таблица18[[#This Row],[Хар-ка]]</f>
        <v>Высший</v>
      </c>
      <c r="AA1861"/>
      <c r="AB1861">
        <v>520</v>
      </c>
      <c r="AC1861"/>
      <c r="AD1861" s="460" t="s">
        <v>3122</v>
      </c>
      <c r="AE1861" t="s">
        <v>901</v>
      </c>
      <c r="AF1861" t="s">
        <v>53</v>
      </c>
    </row>
    <row r="1862" spans="1:32" s="465" customFormat="1" ht="22.5" x14ac:dyDescent="0.25">
      <c r="A1862" s="40" t="s">
        <v>3633</v>
      </c>
      <c r="B1862" s="360" t="s">
        <v>3230</v>
      </c>
      <c r="C1862" s="40">
        <v>617</v>
      </c>
      <c r="D1862" s="40">
        <v>370</v>
      </c>
      <c r="E1862" s="40" t="s">
        <v>2964</v>
      </c>
      <c r="F1862" s="40" t="s">
        <v>894</v>
      </c>
      <c r="G1862" s="40" t="s">
        <v>895</v>
      </c>
      <c r="H1862" s="40" t="s">
        <v>3092</v>
      </c>
      <c r="I1862" s="40" t="str">
        <f>VLOOKUP(Таблица18[[#This Row],[Номер акта]],$AB$1:$AF$2504,3,FALSE)</f>
        <v>А-104/1</v>
      </c>
      <c r="J1862" s="40" t="s">
        <v>900</v>
      </c>
      <c r="K1862" s="40" t="s">
        <v>3375</v>
      </c>
      <c r="L1862" s="121">
        <v>19150</v>
      </c>
      <c r="M1862" s="121">
        <v>15000</v>
      </c>
      <c r="N1862" s="121">
        <v>14</v>
      </c>
      <c r="O1862" s="363">
        <v>4150</v>
      </c>
      <c r="P1862" s="363">
        <v>3569</v>
      </c>
      <c r="Q1862" s="121">
        <v>2026</v>
      </c>
      <c r="R1862" s="121">
        <v>480</v>
      </c>
      <c r="S1862" s="148">
        <v>46199</v>
      </c>
      <c r="T1862" s="363">
        <f>Таблица18[[#This Row],[Вес нетто]]-Таблица18[[#This Row],[Зачетный вес]]</f>
        <v>581</v>
      </c>
      <c r="U1862" s="392">
        <f>Таблица18[[#This Row],[Отход]]/Таблица18[[#This Row],[Вес нетто]]</f>
        <v>0.14000000000000001</v>
      </c>
      <c r="V1862" s="121">
        <f>MONTH(Таблица18[[#This Row],[Дата акта]])</f>
        <v>6</v>
      </c>
      <c r="W1862" s="121">
        <f>DAY(Таблица18[[#This Row],[Дата акта]])</f>
        <v>26</v>
      </c>
      <c r="X1862" s="148">
        <f>DATE(1900,Таблица18[[#This Row],[Месяц]],Таблица18[[#This Row],[Число]])</f>
        <v>178</v>
      </c>
      <c r="Y1862" s="121"/>
      <c r="Z1862" s="121" t="str">
        <f>Таблица18[[#This Row],[Хар-ка]]</f>
        <v>Первый</v>
      </c>
      <c r="AA1862"/>
      <c r="AB1862">
        <v>522</v>
      </c>
      <c r="AC1862"/>
      <c r="AD1862" s="460" t="s">
        <v>3122</v>
      </c>
      <c r="AE1862" t="s">
        <v>901</v>
      </c>
      <c r="AF1862" t="s">
        <v>53</v>
      </c>
    </row>
    <row r="1863" spans="1:32" s="465" customFormat="1" ht="33.75" x14ac:dyDescent="0.25">
      <c r="A1863" s="40" t="s">
        <v>3702</v>
      </c>
      <c r="B1863" s="360" t="s">
        <v>2940</v>
      </c>
      <c r="C1863" s="40">
        <v>618</v>
      </c>
      <c r="D1863" s="40">
        <v>371</v>
      </c>
      <c r="E1863" s="40" t="s">
        <v>2964</v>
      </c>
      <c r="F1863" s="40" t="s">
        <v>737</v>
      </c>
      <c r="G1863" s="40" t="s">
        <v>738</v>
      </c>
      <c r="H1863" s="40" t="s">
        <v>3092</v>
      </c>
      <c r="I1863" s="40" t="str">
        <f>VLOOKUP(Таблица18[[#This Row],[Номер акта]],$AB$1:$AF$2504,3,FALSE)</f>
        <v>А-104/1</v>
      </c>
      <c r="J1863" s="40" t="s">
        <v>900</v>
      </c>
      <c r="K1863" s="40" t="s">
        <v>3375</v>
      </c>
      <c r="L1863" s="121">
        <v>8930</v>
      </c>
      <c r="M1863" s="121">
        <v>4650</v>
      </c>
      <c r="N1863" s="121">
        <v>9</v>
      </c>
      <c r="O1863" s="363">
        <v>4280</v>
      </c>
      <c r="P1863" s="363">
        <v>3894.8</v>
      </c>
      <c r="Q1863" s="121">
        <v>2026</v>
      </c>
      <c r="R1863" s="121">
        <v>481</v>
      </c>
      <c r="S1863" s="148">
        <v>46199</v>
      </c>
      <c r="T1863" s="363">
        <f>Таблица18[[#This Row],[Вес нетто]]-Таблица18[[#This Row],[Зачетный вес]]</f>
        <v>385.19999999999982</v>
      </c>
      <c r="U1863" s="392">
        <f>Таблица18[[#This Row],[Отход]]/Таблица18[[#This Row],[Вес нетто]]</f>
        <v>8.9999999999999955E-2</v>
      </c>
      <c r="V1863" s="121">
        <f>MONTH(Таблица18[[#This Row],[Дата акта]])</f>
        <v>6</v>
      </c>
      <c r="W1863" s="121">
        <f>DAY(Таблица18[[#This Row],[Дата акта]])</f>
        <v>26</v>
      </c>
      <c r="X1863" s="148">
        <f>DATE(1900,Таблица18[[#This Row],[Месяц]],Таблица18[[#This Row],[Число]])</f>
        <v>178</v>
      </c>
      <c r="Y1863" s="121"/>
      <c r="Z1863" s="121" t="str">
        <f>Таблица18[[#This Row],[Хар-ка]]</f>
        <v>Высший</v>
      </c>
      <c r="AA1863"/>
      <c r="AB1863">
        <v>523</v>
      </c>
      <c r="AC1863"/>
      <c r="AD1863" s="460" t="s">
        <v>3122</v>
      </c>
      <c r="AE1863" t="s">
        <v>901</v>
      </c>
      <c r="AF1863" t="s">
        <v>53</v>
      </c>
    </row>
    <row r="1864" spans="1:32" s="465" customFormat="1" ht="22.5" hidden="1" x14ac:dyDescent="0.25">
      <c r="A1864" s="40" t="s">
        <v>3703</v>
      </c>
      <c r="B1864" s="360" t="s">
        <v>3230</v>
      </c>
      <c r="C1864" s="40">
        <v>619</v>
      </c>
      <c r="D1864" s="40">
        <v>74</v>
      </c>
      <c r="E1864" s="40" t="s">
        <v>3551</v>
      </c>
      <c r="F1864" s="40" t="s">
        <v>3377</v>
      </c>
      <c r="G1864" s="40" t="s">
        <v>3196</v>
      </c>
      <c r="H1864" s="40" t="s">
        <v>3115</v>
      </c>
      <c r="I1864" s="40" t="str">
        <f>VLOOKUP(Таблица18[[#This Row],[Номер акта]],$AB$1:$AF$2504,3,FALSE)</f>
        <v>18 Агролидер</v>
      </c>
      <c r="J1864" s="40" t="s">
        <v>909</v>
      </c>
      <c r="K1864" s="40" t="s">
        <v>3464</v>
      </c>
      <c r="L1864" s="121">
        <v>27720</v>
      </c>
      <c r="M1864" s="121">
        <v>14470</v>
      </c>
      <c r="N1864" s="121">
        <v>13.5</v>
      </c>
      <c r="O1864" s="363">
        <v>13250</v>
      </c>
      <c r="P1864" s="363">
        <v>11461.3</v>
      </c>
      <c r="Q1864" s="121">
        <v>2026</v>
      </c>
      <c r="R1864" s="121">
        <v>482</v>
      </c>
      <c r="S1864" s="148">
        <v>46199</v>
      </c>
      <c r="T1864" s="363">
        <f>Таблица18[[#This Row],[Вес нетто]]-Таблица18[[#This Row],[Зачетный вес]]</f>
        <v>1788.7000000000007</v>
      </c>
      <c r="U1864" s="392">
        <f>Таблица18[[#This Row],[Отход]]/Таблица18[[#This Row],[Вес нетто]]</f>
        <v>0.1349962264150944</v>
      </c>
      <c r="V1864" s="121">
        <f>MONTH(Таблица18[[#This Row],[Дата акта]])</f>
        <v>6</v>
      </c>
      <c r="W1864" s="121">
        <f>DAY(Таблица18[[#This Row],[Дата акта]])</f>
        <v>26</v>
      </c>
      <c r="X1864" s="148">
        <f>DATE(1900,Таблица18[[#This Row],[Месяц]],Таблица18[[#This Row],[Число]])</f>
        <v>178</v>
      </c>
      <c r="Y1864" s="121"/>
      <c r="Z1864" s="121" t="str">
        <f>Таблица18[[#This Row],[Хар-ка]]</f>
        <v>Первый</v>
      </c>
      <c r="AA1864"/>
      <c r="AB1864">
        <v>524</v>
      </c>
      <c r="AC1864"/>
      <c r="AD1864" s="460" t="s">
        <v>3122</v>
      </c>
      <c r="AE1864" t="s">
        <v>901</v>
      </c>
      <c r="AF1864" t="s">
        <v>53</v>
      </c>
    </row>
    <row r="1865" spans="1:32" s="465" customFormat="1" ht="33.75" x14ac:dyDescent="0.25">
      <c r="A1865" s="40" t="s">
        <v>3704</v>
      </c>
      <c r="B1865" s="360" t="s">
        <v>3230</v>
      </c>
      <c r="C1865" s="40">
        <v>621</v>
      </c>
      <c r="D1865" s="40">
        <v>372</v>
      </c>
      <c r="E1865" s="40" t="s">
        <v>2964</v>
      </c>
      <c r="F1865" s="40" t="s">
        <v>762</v>
      </c>
      <c r="G1865" s="40" t="s">
        <v>763</v>
      </c>
      <c r="H1865" s="40" t="s">
        <v>3092</v>
      </c>
      <c r="I1865" s="40" t="str">
        <f>VLOOKUP(Таблица18[[#This Row],[Номер акта]],$AB$1:$AF$2504,3,FALSE)</f>
        <v>А-104/1</v>
      </c>
      <c r="J1865" s="40" t="s">
        <v>900</v>
      </c>
      <c r="K1865" s="40" t="s">
        <v>3375</v>
      </c>
      <c r="L1865" s="121">
        <v>8650</v>
      </c>
      <c r="M1865" s="121">
        <v>4680</v>
      </c>
      <c r="N1865" s="121">
        <v>8.5</v>
      </c>
      <c r="O1865" s="363">
        <v>3970</v>
      </c>
      <c r="P1865" s="363">
        <v>3632.6</v>
      </c>
      <c r="Q1865" s="121">
        <v>2026</v>
      </c>
      <c r="R1865" s="121">
        <v>483</v>
      </c>
      <c r="S1865" s="148">
        <v>46199</v>
      </c>
      <c r="T1865" s="363">
        <f>Таблица18[[#This Row],[Вес нетто]]-Таблица18[[#This Row],[Зачетный вес]]</f>
        <v>337.40000000000009</v>
      </c>
      <c r="U1865" s="392">
        <f>Таблица18[[#This Row],[Отход]]/Таблица18[[#This Row],[Вес нетто]]</f>
        <v>8.4987405541561742E-2</v>
      </c>
      <c r="V1865" s="121">
        <f>MONTH(Таблица18[[#This Row],[Дата акта]])</f>
        <v>6</v>
      </c>
      <c r="W1865" s="121">
        <f>DAY(Таблица18[[#This Row],[Дата акта]])</f>
        <v>26</v>
      </c>
      <c r="X1865" s="148">
        <f>DATE(1900,Таблица18[[#This Row],[Месяц]],Таблица18[[#This Row],[Число]])</f>
        <v>178</v>
      </c>
      <c r="Y1865" s="121"/>
      <c r="Z1865" s="121" t="str">
        <f>Таблица18[[#This Row],[Хар-ка]]</f>
        <v>Первый</v>
      </c>
      <c r="AA1865"/>
      <c r="AB1865">
        <v>525</v>
      </c>
      <c r="AC1865"/>
      <c r="AD1865" s="460" t="s">
        <v>3122</v>
      </c>
      <c r="AE1865" t="s">
        <v>901</v>
      </c>
      <c r="AF1865" t="s">
        <v>53</v>
      </c>
    </row>
    <row r="1866" spans="1:32" s="465" customFormat="1" ht="22.5" hidden="1" x14ac:dyDescent="0.25">
      <c r="A1866" s="40" t="s">
        <v>3705</v>
      </c>
      <c r="B1866" s="360" t="s">
        <v>3230</v>
      </c>
      <c r="C1866" s="40">
        <v>622</v>
      </c>
      <c r="D1866" s="40">
        <v>77</v>
      </c>
      <c r="E1866" s="40" t="s">
        <v>3551</v>
      </c>
      <c r="F1866" s="40" t="s">
        <v>133</v>
      </c>
      <c r="G1866" s="40" t="s">
        <v>137</v>
      </c>
      <c r="H1866" s="40" t="s">
        <v>3115</v>
      </c>
      <c r="I1866" s="40" t="str">
        <f>VLOOKUP(Таблица18[[#This Row],[Номер акта]],$AB$1:$AF$2504,3,FALSE)</f>
        <v>17 Агролидер</v>
      </c>
      <c r="J1866" s="40" t="s">
        <v>909</v>
      </c>
      <c r="K1866" s="40" t="s">
        <v>3464</v>
      </c>
      <c r="L1866" s="121">
        <v>28280</v>
      </c>
      <c r="M1866" s="121">
        <v>15100</v>
      </c>
      <c r="N1866" s="121">
        <v>7.5</v>
      </c>
      <c r="O1866" s="363">
        <v>13180</v>
      </c>
      <c r="P1866" s="363">
        <v>12191.5</v>
      </c>
      <c r="Q1866" s="121">
        <v>2026</v>
      </c>
      <c r="R1866" s="121">
        <v>484</v>
      </c>
      <c r="S1866" s="148">
        <v>46199</v>
      </c>
      <c r="T1866" s="363">
        <f>Таблица18[[#This Row],[Вес нетто]]-Таблица18[[#This Row],[Зачетный вес]]</f>
        <v>988.5</v>
      </c>
      <c r="U1866" s="392">
        <f>Таблица18[[#This Row],[Отход]]/Таблица18[[#This Row],[Вес нетто]]</f>
        <v>7.4999999999999997E-2</v>
      </c>
      <c r="V1866" s="121">
        <f>MONTH(Таблица18[[#This Row],[Дата акта]])</f>
        <v>6</v>
      </c>
      <c r="W1866" s="121">
        <f>DAY(Таблица18[[#This Row],[Дата акта]])</f>
        <v>26</v>
      </c>
      <c r="X1866" s="148">
        <f>DATE(1900,Таблица18[[#This Row],[Месяц]],Таблица18[[#This Row],[Число]])</f>
        <v>178</v>
      </c>
      <c r="Y1866" s="121"/>
      <c r="Z1866" s="121" t="str">
        <f>Таблица18[[#This Row],[Хар-ка]]</f>
        <v>Первый</v>
      </c>
      <c r="AA1866"/>
      <c r="AB1866">
        <v>527</v>
      </c>
      <c r="AC1866"/>
      <c r="AD1866" s="460" t="s">
        <v>3122</v>
      </c>
      <c r="AE1866" t="s">
        <v>901</v>
      </c>
      <c r="AF1866" t="s">
        <v>53</v>
      </c>
    </row>
    <row r="1867" spans="1:32" s="465" customFormat="1" ht="22.5" hidden="1" x14ac:dyDescent="0.25">
      <c r="A1867" s="40" t="s">
        <v>3706</v>
      </c>
      <c r="B1867" s="360" t="s">
        <v>3230</v>
      </c>
      <c r="C1867" s="40">
        <v>624</v>
      </c>
      <c r="D1867" s="40">
        <v>78</v>
      </c>
      <c r="E1867" s="40" t="s">
        <v>3551</v>
      </c>
      <c r="F1867" s="40" t="s">
        <v>212</v>
      </c>
      <c r="G1867" s="40" t="s">
        <v>2965</v>
      </c>
      <c r="H1867" s="40" t="s">
        <v>3115</v>
      </c>
      <c r="I1867" s="40" t="str">
        <f>VLOOKUP(Таблица18[[#This Row],[Номер акта]],$AB$1:$AF$2504,3,FALSE)</f>
        <v>18 Агролидер</v>
      </c>
      <c r="J1867" s="40" t="s">
        <v>909</v>
      </c>
      <c r="K1867" s="40" t="s">
        <v>3464</v>
      </c>
      <c r="L1867" s="121">
        <v>28930</v>
      </c>
      <c r="M1867" s="121">
        <v>15900</v>
      </c>
      <c r="N1867" s="121">
        <v>5.5</v>
      </c>
      <c r="O1867" s="363">
        <v>13030</v>
      </c>
      <c r="P1867" s="363">
        <v>12313.4</v>
      </c>
      <c r="Q1867" s="121">
        <v>2026</v>
      </c>
      <c r="R1867" s="121">
        <v>485</v>
      </c>
      <c r="S1867" s="148">
        <v>46199</v>
      </c>
      <c r="T1867" s="363">
        <f>Таблица18[[#This Row],[Вес нетто]]-Таблица18[[#This Row],[Зачетный вес]]</f>
        <v>716.60000000000036</v>
      </c>
      <c r="U1867" s="392">
        <f>Таблица18[[#This Row],[Отход]]/Таблица18[[#This Row],[Вес нетто]]</f>
        <v>5.4996162701458198E-2</v>
      </c>
      <c r="V1867" s="121">
        <f>MONTH(Таблица18[[#This Row],[Дата акта]])</f>
        <v>6</v>
      </c>
      <c r="W1867" s="121">
        <f>DAY(Таблица18[[#This Row],[Дата акта]])</f>
        <v>26</v>
      </c>
      <c r="X1867" s="148">
        <f>DATE(1900,Таблица18[[#This Row],[Месяц]],Таблица18[[#This Row],[Число]])</f>
        <v>178</v>
      </c>
      <c r="Y1867" s="121"/>
      <c r="Z1867" s="121" t="str">
        <f>Таблица18[[#This Row],[Хар-ка]]</f>
        <v>Первый</v>
      </c>
      <c r="AA1867"/>
      <c r="AB1867">
        <v>528</v>
      </c>
      <c r="AC1867"/>
      <c r="AD1867" s="460" t="s">
        <v>3122</v>
      </c>
      <c r="AE1867" t="s">
        <v>901</v>
      </c>
      <c r="AF1867" t="s">
        <v>53</v>
      </c>
    </row>
    <row r="1868" spans="1:32" s="465" customFormat="1" ht="33.75" x14ac:dyDescent="0.25">
      <c r="A1868" s="40" t="s">
        <v>3707</v>
      </c>
      <c r="B1868" s="360" t="s">
        <v>3230</v>
      </c>
      <c r="C1868" s="40">
        <v>625</v>
      </c>
      <c r="D1868" s="40">
        <v>373</v>
      </c>
      <c r="E1868" s="40" t="s">
        <v>2964</v>
      </c>
      <c r="F1868" s="40" t="s">
        <v>737</v>
      </c>
      <c r="G1868" s="40" t="s">
        <v>738</v>
      </c>
      <c r="H1868" s="40" t="s">
        <v>3092</v>
      </c>
      <c r="I1868" s="40" t="str">
        <f>VLOOKUP(Таблица18[[#This Row],[Номер акта]],$AB$1:$AF$2504,3,FALSE)</f>
        <v>А-104/1</v>
      </c>
      <c r="J1868" s="40" t="s">
        <v>900</v>
      </c>
      <c r="K1868" s="40" t="s">
        <v>3375</v>
      </c>
      <c r="L1868" s="121">
        <v>9000</v>
      </c>
      <c r="M1868" s="121">
        <v>4640</v>
      </c>
      <c r="N1868" s="121">
        <v>6.5</v>
      </c>
      <c r="O1868" s="363">
        <v>4360</v>
      </c>
      <c r="P1868" s="363">
        <v>4076.6</v>
      </c>
      <c r="Q1868" s="121">
        <v>2026</v>
      </c>
      <c r="R1868" s="121">
        <v>486</v>
      </c>
      <c r="S1868" s="148">
        <v>46199</v>
      </c>
      <c r="T1868" s="363">
        <f>Таблица18[[#This Row],[Вес нетто]]-Таблица18[[#This Row],[Зачетный вес]]</f>
        <v>283.40000000000009</v>
      </c>
      <c r="U1868" s="392">
        <f>Таблица18[[#This Row],[Отход]]/Таблица18[[#This Row],[Вес нетто]]</f>
        <v>6.5000000000000016E-2</v>
      </c>
      <c r="V1868" s="121">
        <f>MONTH(Таблица18[[#This Row],[Дата акта]])</f>
        <v>6</v>
      </c>
      <c r="W1868" s="121">
        <f>DAY(Таблица18[[#This Row],[Дата акта]])</f>
        <v>26</v>
      </c>
      <c r="X1868" s="148">
        <f>DATE(1900,Таблица18[[#This Row],[Месяц]],Таблица18[[#This Row],[Число]])</f>
        <v>178</v>
      </c>
      <c r="Y1868" s="121"/>
      <c r="Z1868" s="121" t="str">
        <f>Таблица18[[#This Row],[Хар-ка]]</f>
        <v>Первый</v>
      </c>
      <c r="AA1868"/>
      <c r="AB1868">
        <v>529</v>
      </c>
      <c r="AC1868"/>
      <c r="AD1868" s="460" t="s">
        <v>3122</v>
      </c>
      <c r="AE1868" t="s">
        <v>901</v>
      </c>
      <c r="AF1868" t="s">
        <v>53</v>
      </c>
    </row>
    <row r="1869" spans="1:32" s="465" customFormat="1" ht="33.75" x14ac:dyDescent="0.25">
      <c r="A1869" s="40" t="s">
        <v>3669</v>
      </c>
      <c r="B1869" s="360" t="s">
        <v>3230</v>
      </c>
      <c r="C1869" s="40">
        <v>626</v>
      </c>
      <c r="D1869" s="40">
        <v>374</v>
      </c>
      <c r="E1869" s="40" t="s">
        <v>2964</v>
      </c>
      <c r="F1869" s="40" t="s">
        <v>762</v>
      </c>
      <c r="G1869" s="40" t="s">
        <v>763</v>
      </c>
      <c r="H1869" s="40" t="s">
        <v>3092</v>
      </c>
      <c r="I1869" s="40" t="str">
        <f>VLOOKUP(Таблица18[[#This Row],[Номер акта]],$AB$1:$AF$2504,3,FALSE)</f>
        <v>А-104/1</v>
      </c>
      <c r="J1869" s="40" t="s">
        <v>900</v>
      </c>
      <c r="K1869" s="40" t="s">
        <v>3375</v>
      </c>
      <c r="L1869" s="121">
        <v>9160</v>
      </c>
      <c r="M1869" s="121">
        <v>4680</v>
      </c>
      <c r="N1869" s="121">
        <v>10</v>
      </c>
      <c r="O1869" s="363">
        <v>4480</v>
      </c>
      <c r="P1869" s="363">
        <v>4032</v>
      </c>
      <c r="Q1869" s="121">
        <v>2026</v>
      </c>
      <c r="R1869" s="121">
        <v>487</v>
      </c>
      <c r="S1869" s="148">
        <v>46199</v>
      </c>
      <c r="T1869" s="363">
        <f>Таблица18[[#This Row],[Вес нетто]]-Таблица18[[#This Row],[Зачетный вес]]</f>
        <v>448</v>
      </c>
      <c r="U1869" s="392">
        <f>Таблица18[[#This Row],[Отход]]/Таблица18[[#This Row],[Вес нетто]]</f>
        <v>0.1</v>
      </c>
      <c r="V1869" s="121">
        <f>MONTH(Таблица18[[#This Row],[Дата акта]])</f>
        <v>6</v>
      </c>
      <c r="W1869" s="121">
        <f>DAY(Таблица18[[#This Row],[Дата акта]])</f>
        <v>26</v>
      </c>
      <c r="X1869" s="148">
        <f>DATE(1900,Таблица18[[#This Row],[Месяц]],Таблица18[[#This Row],[Число]])</f>
        <v>178</v>
      </c>
      <c r="Y1869" s="121"/>
      <c r="Z1869" s="121" t="str">
        <f>Таблица18[[#This Row],[Хар-ка]]</f>
        <v>Первый</v>
      </c>
      <c r="AA1869"/>
      <c r="AB1869">
        <v>545</v>
      </c>
      <c r="AC1869"/>
      <c r="AD1869" s="460" t="s">
        <v>3122</v>
      </c>
      <c r="AE1869" t="s">
        <v>901</v>
      </c>
      <c r="AF1869" t="s">
        <v>53</v>
      </c>
    </row>
    <row r="1870" spans="1:32" s="465" customFormat="1" ht="33.75" hidden="1" x14ac:dyDescent="0.25">
      <c r="A1870" s="40" t="s">
        <v>3671</v>
      </c>
      <c r="B1870" s="360" t="s">
        <v>3230</v>
      </c>
      <c r="C1870" s="40">
        <v>629</v>
      </c>
      <c r="D1870" s="40">
        <v>79</v>
      </c>
      <c r="E1870" s="40" t="s">
        <v>3551</v>
      </c>
      <c r="F1870" s="40" t="s">
        <v>1461</v>
      </c>
      <c r="G1870" s="40" t="s">
        <v>149</v>
      </c>
      <c r="H1870" s="40" t="s">
        <v>3115</v>
      </c>
      <c r="I1870" s="40" t="str">
        <f>VLOOKUP(Таблица18[[#This Row],[Номер акта]],$AB$1:$AF$2504,3,FALSE)</f>
        <v>18 Агролидер</v>
      </c>
      <c r="J1870" s="40" t="s">
        <v>909</v>
      </c>
      <c r="K1870" s="40" t="s">
        <v>3464</v>
      </c>
      <c r="L1870" s="121">
        <v>28200</v>
      </c>
      <c r="M1870" s="121">
        <v>15020</v>
      </c>
      <c r="N1870" s="121">
        <v>5.5</v>
      </c>
      <c r="O1870" s="363">
        <v>13180</v>
      </c>
      <c r="P1870" s="363">
        <v>12455.1</v>
      </c>
      <c r="Q1870" s="121">
        <v>2026</v>
      </c>
      <c r="R1870" s="121">
        <v>488</v>
      </c>
      <c r="S1870" s="148">
        <v>46199</v>
      </c>
      <c r="T1870" s="363">
        <f>Таблица18[[#This Row],[Вес нетто]]-Таблица18[[#This Row],[Зачетный вес]]</f>
        <v>724.89999999999964</v>
      </c>
      <c r="U1870" s="392">
        <f>Таблица18[[#This Row],[Отход]]/Таблица18[[#This Row],[Вес нетто]]</f>
        <v>5.4999999999999973E-2</v>
      </c>
      <c r="V1870" s="121">
        <f>MONTH(Таблица18[[#This Row],[Дата акта]])</f>
        <v>6</v>
      </c>
      <c r="W1870" s="121">
        <f>DAY(Таблица18[[#This Row],[Дата акта]])</f>
        <v>26</v>
      </c>
      <c r="X1870" s="148">
        <f>DATE(1900,Таблица18[[#This Row],[Месяц]],Таблица18[[#This Row],[Число]])</f>
        <v>178</v>
      </c>
      <c r="Y1870" s="121"/>
      <c r="Z1870" s="121" t="str">
        <f>Таблица18[[#This Row],[Хар-ка]]</f>
        <v>Первый</v>
      </c>
      <c r="AA1870"/>
      <c r="AB1870">
        <v>547</v>
      </c>
      <c r="AC1870"/>
      <c r="AD1870" s="460" t="s">
        <v>3122</v>
      </c>
      <c r="AE1870" t="s">
        <v>901</v>
      </c>
      <c r="AF1870" t="s">
        <v>53</v>
      </c>
    </row>
    <row r="1871" spans="1:32" s="465" customFormat="1" ht="33.75" hidden="1" x14ac:dyDescent="0.25">
      <c r="A1871" s="40" t="s">
        <v>3672</v>
      </c>
      <c r="B1871" s="360" t="s">
        <v>3230</v>
      </c>
      <c r="C1871" s="40">
        <v>631</v>
      </c>
      <c r="D1871" s="40">
        <v>81</v>
      </c>
      <c r="E1871" s="40" t="s">
        <v>3551</v>
      </c>
      <c r="F1871" s="40" t="s">
        <v>121</v>
      </c>
      <c r="G1871" s="40" t="s">
        <v>125</v>
      </c>
      <c r="H1871" s="40" t="s">
        <v>3115</v>
      </c>
      <c r="I1871" s="40" t="str">
        <f>VLOOKUP(Таблица18[[#This Row],[Номер акта]],$AB$1:$AF$2504,3,FALSE)</f>
        <v>18 Агролидер</v>
      </c>
      <c r="J1871" s="40" t="s">
        <v>909</v>
      </c>
      <c r="K1871" s="40" t="s">
        <v>3464</v>
      </c>
      <c r="L1871" s="121">
        <v>27860</v>
      </c>
      <c r="M1871" s="121">
        <v>14840</v>
      </c>
      <c r="N1871" s="121">
        <v>11</v>
      </c>
      <c r="O1871" s="363">
        <v>13020</v>
      </c>
      <c r="P1871" s="363">
        <v>11587.8</v>
      </c>
      <c r="Q1871" s="121">
        <v>2026</v>
      </c>
      <c r="R1871" s="121">
        <v>489</v>
      </c>
      <c r="S1871" s="148">
        <v>46199</v>
      </c>
      <c r="T1871" s="363">
        <f>Таблица18[[#This Row],[Вес нетто]]-Таблица18[[#This Row],[Зачетный вес]]</f>
        <v>1432.2000000000007</v>
      </c>
      <c r="U1871" s="392">
        <f>Таблица18[[#This Row],[Отход]]/Таблица18[[#This Row],[Вес нетто]]</f>
        <v>0.11000000000000006</v>
      </c>
      <c r="V1871" s="121">
        <f>MONTH(Таблица18[[#This Row],[Дата акта]])</f>
        <v>6</v>
      </c>
      <c r="W1871" s="121">
        <f>DAY(Таблица18[[#This Row],[Дата акта]])</f>
        <v>26</v>
      </c>
      <c r="X1871" s="148">
        <f>DATE(1900,Таблица18[[#This Row],[Месяц]],Таблица18[[#This Row],[Число]])</f>
        <v>178</v>
      </c>
      <c r="Y1871" s="121"/>
      <c r="Z1871" s="121" t="str">
        <f>Таблица18[[#This Row],[Хар-ка]]</f>
        <v>Первый</v>
      </c>
      <c r="AA1871"/>
      <c r="AB1871">
        <v>549</v>
      </c>
      <c r="AC1871"/>
      <c r="AD1871" s="460" t="s">
        <v>3122</v>
      </c>
      <c r="AE1871" t="s">
        <v>901</v>
      </c>
      <c r="AF1871" t="s">
        <v>53</v>
      </c>
    </row>
    <row r="1872" spans="1:32" s="465" customFormat="1" ht="22.5" hidden="1" x14ac:dyDescent="0.25">
      <c r="A1872" s="40" t="s">
        <v>3673</v>
      </c>
      <c r="B1872" s="360" t="s">
        <v>3230</v>
      </c>
      <c r="C1872" s="40">
        <v>632</v>
      </c>
      <c r="D1872" s="40">
        <v>80</v>
      </c>
      <c r="E1872" s="40" t="s">
        <v>3551</v>
      </c>
      <c r="F1872" s="40" t="s">
        <v>335</v>
      </c>
      <c r="G1872" s="40" t="s">
        <v>339</v>
      </c>
      <c r="H1872" s="40" t="s">
        <v>3115</v>
      </c>
      <c r="I1872" s="40" t="str">
        <f>VLOOKUP(Таблица18[[#This Row],[Номер акта]],$AB$1:$AF$2504,3,FALSE)</f>
        <v>18 Агролидер</v>
      </c>
      <c r="J1872" s="40" t="s">
        <v>909</v>
      </c>
      <c r="K1872" s="40" t="s">
        <v>3464</v>
      </c>
      <c r="L1872" s="121">
        <v>28170</v>
      </c>
      <c r="M1872" s="121">
        <v>14800</v>
      </c>
      <c r="N1872" s="121">
        <v>4.5</v>
      </c>
      <c r="O1872" s="363">
        <v>13370</v>
      </c>
      <c r="P1872" s="363">
        <v>12768.3</v>
      </c>
      <c r="Q1872" s="121">
        <v>2026</v>
      </c>
      <c r="R1872" s="121">
        <v>490</v>
      </c>
      <c r="S1872" s="148">
        <v>46199</v>
      </c>
      <c r="T1872" s="363">
        <f>Таблица18[[#This Row],[Вес нетто]]-Таблица18[[#This Row],[Зачетный вес]]</f>
        <v>601.70000000000073</v>
      </c>
      <c r="U1872" s="392">
        <f>Таблица18[[#This Row],[Отход]]/Таблица18[[#This Row],[Вес нетто]]</f>
        <v>4.5003739715781657E-2</v>
      </c>
      <c r="V1872" s="121">
        <f>MONTH(Таблица18[[#This Row],[Дата акта]])</f>
        <v>6</v>
      </c>
      <c r="W1872" s="121">
        <f>DAY(Таблица18[[#This Row],[Дата акта]])</f>
        <v>26</v>
      </c>
      <c r="X1872" s="148">
        <f>DATE(1900,Таблица18[[#This Row],[Месяц]],Таблица18[[#This Row],[Число]])</f>
        <v>178</v>
      </c>
      <c r="Y1872" s="121"/>
      <c r="Z1872" s="121" t="str">
        <f>Таблица18[[#This Row],[Хар-ка]]</f>
        <v>Первый</v>
      </c>
      <c r="AA1872"/>
      <c r="AB1872">
        <v>551</v>
      </c>
      <c r="AC1872"/>
      <c r="AD1872" s="460" t="s">
        <v>3122</v>
      </c>
      <c r="AE1872" t="s">
        <v>901</v>
      </c>
      <c r="AF1872" t="s">
        <v>53</v>
      </c>
    </row>
    <row r="1873" spans="1:32" s="465" customFormat="1" ht="22.5" x14ac:dyDescent="0.25">
      <c r="A1873" s="40" t="s">
        <v>3674</v>
      </c>
      <c r="B1873" s="360" t="s">
        <v>2940</v>
      </c>
      <c r="C1873" s="40">
        <v>633</v>
      </c>
      <c r="D1873" s="40">
        <v>7</v>
      </c>
      <c r="E1873" s="40" t="s">
        <v>3625</v>
      </c>
      <c r="F1873" s="40" t="s">
        <v>1151</v>
      </c>
      <c r="G1873" s="40" t="s">
        <v>145</v>
      </c>
      <c r="H1873" s="40" t="s">
        <v>3120</v>
      </c>
      <c r="I1873" s="40" t="str">
        <f>VLOOKUP(Таблица18[[#This Row],[Номер акта]],$AB$1:$AF$2504,3,FALSE)</f>
        <v>2.2 Колос</v>
      </c>
      <c r="J1873" s="40" t="s">
        <v>901</v>
      </c>
      <c r="K1873" s="40" t="s">
        <v>3645</v>
      </c>
      <c r="L1873" s="121">
        <v>28310</v>
      </c>
      <c r="M1873" s="121">
        <v>15870</v>
      </c>
      <c r="N1873" s="121">
        <v>5.5</v>
      </c>
      <c r="O1873" s="363">
        <v>12440</v>
      </c>
      <c r="P1873" s="363">
        <v>11755.8</v>
      </c>
      <c r="Q1873" s="121">
        <v>2026</v>
      </c>
      <c r="R1873" s="121">
        <v>526</v>
      </c>
      <c r="S1873" s="148">
        <v>46199</v>
      </c>
      <c r="T1873" s="363">
        <f>Таблица18[[#This Row],[Вес нетто]]-Таблица18[[#This Row],[Зачетный вес]]</f>
        <v>684.20000000000073</v>
      </c>
      <c r="U1873" s="392">
        <f>Таблица18[[#This Row],[Отход]]/Таблица18[[#This Row],[Вес нетто]]</f>
        <v>5.5000000000000056E-2</v>
      </c>
      <c r="V1873" s="121">
        <f>MONTH(Таблица18[[#This Row],[Дата акта]])</f>
        <v>6</v>
      </c>
      <c r="W1873" s="121">
        <f>DAY(Таблица18[[#This Row],[Дата акта]])</f>
        <v>26</v>
      </c>
      <c r="X1873" s="148">
        <f>DATE(1900,Таблица18[[#This Row],[Месяц]],Таблица18[[#This Row],[Число]])</f>
        <v>178</v>
      </c>
      <c r="Y1873" s="121"/>
      <c r="Z1873" s="121" t="str">
        <f>Таблица18[[#This Row],[Хар-ка]]</f>
        <v>Высший</v>
      </c>
      <c r="AA1873"/>
      <c r="AB1873">
        <v>449</v>
      </c>
      <c r="AC1873"/>
      <c r="AD1873" s="460" t="s">
        <v>2884</v>
      </c>
      <c r="AE1873" t="s">
        <v>909</v>
      </c>
      <c r="AF1873" t="s">
        <v>2932</v>
      </c>
    </row>
    <row r="1874" spans="1:32" s="465" customFormat="1" ht="22.5" hidden="1" x14ac:dyDescent="0.25">
      <c r="A1874" s="40" t="s">
        <v>3675</v>
      </c>
      <c r="B1874" s="360" t="s">
        <v>3273</v>
      </c>
      <c r="C1874" s="40">
        <v>634</v>
      </c>
      <c r="D1874" s="40">
        <v>82</v>
      </c>
      <c r="E1874" s="40" t="s">
        <v>3551</v>
      </c>
      <c r="F1874" s="40" t="s">
        <v>347</v>
      </c>
      <c r="G1874" s="40" t="s">
        <v>351</v>
      </c>
      <c r="H1874" s="40" t="s">
        <v>3115</v>
      </c>
      <c r="I1874" s="40" t="str">
        <f>VLOOKUP(Таблица18[[#This Row],[Номер акта]],$AB$1:$AF$2504,3,FALSE)</f>
        <v>18 Агролидер</v>
      </c>
      <c r="J1874" s="40" t="s">
        <v>909</v>
      </c>
      <c r="K1874" s="40" t="s">
        <v>3464</v>
      </c>
      <c r="L1874" s="121">
        <v>31930</v>
      </c>
      <c r="M1874" s="121">
        <v>18690</v>
      </c>
      <c r="N1874" s="121">
        <v>4.5</v>
      </c>
      <c r="O1874" s="363">
        <v>13240</v>
      </c>
      <c r="P1874" s="363">
        <v>12644.2</v>
      </c>
      <c r="Q1874" s="121">
        <v>2026</v>
      </c>
      <c r="R1874" s="121">
        <v>491</v>
      </c>
      <c r="S1874" s="148">
        <v>46199</v>
      </c>
      <c r="T1874" s="363">
        <f>Таблица18[[#This Row],[Вес нетто]]-Таблица18[[#This Row],[Зачетный вес]]</f>
        <v>595.79999999999927</v>
      </c>
      <c r="U1874" s="392">
        <f>Таблица18[[#This Row],[Отход]]/Таблица18[[#This Row],[Вес нетто]]</f>
        <v>4.4999999999999943E-2</v>
      </c>
      <c r="V1874" s="121">
        <f>MONTH(Таблица18[[#This Row],[Дата акта]])</f>
        <v>6</v>
      </c>
      <c r="W1874" s="121">
        <f>DAY(Таблица18[[#This Row],[Дата акта]])</f>
        <v>26</v>
      </c>
      <c r="X1874" s="148">
        <f>DATE(1900,Таблица18[[#This Row],[Месяц]],Таблица18[[#This Row],[Число]])</f>
        <v>178</v>
      </c>
      <c r="Y1874" s="121"/>
      <c r="Z1874" s="121" t="str">
        <f>Таблица18[[#This Row],[Хар-ка]]</f>
        <v>Второй</v>
      </c>
      <c r="AA1874"/>
      <c r="AB1874">
        <v>450</v>
      </c>
      <c r="AC1874"/>
      <c r="AD1874" s="460" t="s">
        <v>2884</v>
      </c>
      <c r="AE1874" t="s">
        <v>909</v>
      </c>
      <c r="AF1874" t="s">
        <v>2932</v>
      </c>
    </row>
    <row r="1875" spans="1:32" s="465" customFormat="1" ht="33.75" hidden="1" x14ac:dyDescent="0.25">
      <c r="A1875" s="40" t="s">
        <v>3676</v>
      </c>
      <c r="B1875" s="360" t="s">
        <v>3273</v>
      </c>
      <c r="C1875" s="40">
        <v>635</v>
      </c>
      <c r="D1875" s="40">
        <v>84</v>
      </c>
      <c r="E1875" s="40" t="s">
        <v>3551</v>
      </c>
      <c r="F1875" s="40" t="s">
        <v>311</v>
      </c>
      <c r="G1875" s="40" t="s">
        <v>315</v>
      </c>
      <c r="H1875" s="40" t="s">
        <v>3115</v>
      </c>
      <c r="I1875" s="40" t="str">
        <f>VLOOKUP(Таблица18[[#This Row],[Номер акта]],$AB$1:$AF$2504,3,FALSE)</f>
        <v>18 Агролидер</v>
      </c>
      <c r="J1875" s="40" t="s">
        <v>909</v>
      </c>
      <c r="K1875" s="40" t="s">
        <v>3464</v>
      </c>
      <c r="L1875" s="121">
        <v>28260</v>
      </c>
      <c r="M1875" s="121">
        <v>15270</v>
      </c>
      <c r="N1875" s="121">
        <v>7</v>
      </c>
      <c r="O1875" s="363">
        <v>12990</v>
      </c>
      <c r="P1875" s="363">
        <v>12080.7</v>
      </c>
      <c r="Q1875" s="121">
        <v>2026</v>
      </c>
      <c r="R1875" s="121">
        <v>492</v>
      </c>
      <c r="S1875" s="148">
        <v>46199</v>
      </c>
      <c r="T1875" s="363">
        <f>Таблица18[[#This Row],[Вес нетто]]-Таблица18[[#This Row],[Зачетный вес]]</f>
        <v>909.29999999999927</v>
      </c>
      <c r="U1875" s="392">
        <f>Таблица18[[#This Row],[Отход]]/Таблица18[[#This Row],[Вес нетто]]</f>
        <v>6.9999999999999937E-2</v>
      </c>
      <c r="V1875" s="121">
        <f>MONTH(Таблица18[[#This Row],[Дата акта]])</f>
        <v>6</v>
      </c>
      <c r="W1875" s="121">
        <f>DAY(Таблица18[[#This Row],[Дата акта]])</f>
        <v>26</v>
      </c>
      <c r="X1875" s="148">
        <f>DATE(1900,Таблица18[[#This Row],[Месяц]],Таблица18[[#This Row],[Число]])</f>
        <v>178</v>
      </c>
      <c r="Y1875" s="121"/>
      <c r="Z1875" s="121" t="str">
        <f>Таблица18[[#This Row],[Хар-ка]]</f>
        <v>Второй</v>
      </c>
      <c r="AA1875"/>
      <c r="AB1875">
        <v>453</v>
      </c>
      <c r="AC1875"/>
      <c r="AD1875" s="460" t="s">
        <v>3115</v>
      </c>
      <c r="AE1875" t="s">
        <v>909</v>
      </c>
      <c r="AF1875" t="s">
        <v>52</v>
      </c>
    </row>
    <row r="1876" spans="1:32" s="465" customFormat="1" ht="22.5" x14ac:dyDescent="0.25">
      <c r="A1876" s="40" t="s">
        <v>3677</v>
      </c>
      <c r="B1876" s="360" t="s">
        <v>2940</v>
      </c>
      <c r="C1876" s="40">
        <v>636</v>
      </c>
      <c r="D1876" s="40">
        <v>11</v>
      </c>
      <c r="E1876" s="40" t="s">
        <v>3625</v>
      </c>
      <c r="F1876" s="40" t="s">
        <v>3552</v>
      </c>
      <c r="G1876" s="40" t="s">
        <v>3553</v>
      </c>
      <c r="H1876" s="40" t="s">
        <v>3120</v>
      </c>
      <c r="I1876" s="40" t="str">
        <f>VLOOKUP(Таблица18[[#This Row],[Номер акта]],$AB$1:$AF$2504,3,FALSE)</f>
        <v>2.2 Колос</v>
      </c>
      <c r="J1876" s="40" t="s">
        <v>901</v>
      </c>
      <c r="K1876" s="40" t="s">
        <v>3645</v>
      </c>
      <c r="L1876" s="121">
        <v>30540</v>
      </c>
      <c r="M1876" s="121">
        <v>15950</v>
      </c>
      <c r="N1876" s="121">
        <v>13.5</v>
      </c>
      <c r="O1876" s="363">
        <v>14590</v>
      </c>
      <c r="P1876" s="363">
        <v>12620.4</v>
      </c>
      <c r="Q1876" s="121">
        <v>2026</v>
      </c>
      <c r="R1876" s="121">
        <v>494</v>
      </c>
      <c r="S1876" s="148">
        <v>46200</v>
      </c>
      <c r="T1876" s="363">
        <f>Таблица18[[#This Row],[Вес нетто]]-Таблица18[[#This Row],[Зачетный вес]]</f>
        <v>1969.6000000000004</v>
      </c>
      <c r="U1876" s="392">
        <f>Таблица18[[#This Row],[Отход]]/Таблица18[[#This Row],[Вес нетто]]</f>
        <v>0.13499657299520221</v>
      </c>
      <c r="V1876" s="121">
        <f>MONTH(Таблица18[[#This Row],[Дата акта]])</f>
        <v>6</v>
      </c>
      <c r="W1876" s="121">
        <f>DAY(Таблица18[[#This Row],[Дата акта]])</f>
        <v>27</v>
      </c>
      <c r="X1876" s="148">
        <f>DATE(1900,Таблица18[[#This Row],[Месяц]],Таблица18[[#This Row],[Число]])</f>
        <v>179</v>
      </c>
      <c r="Y1876" s="121"/>
      <c r="Z1876" s="121" t="str">
        <f>Таблица18[[#This Row],[Хар-ка]]</f>
        <v>Высший</v>
      </c>
      <c r="AA1876"/>
      <c r="AB1876">
        <v>454</v>
      </c>
      <c r="AC1876"/>
      <c r="AD1876" s="460" t="s">
        <v>864</v>
      </c>
      <c r="AE1876" t="s">
        <v>909</v>
      </c>
      <c r="AF1876" t="s">
        <v>2932</v>
      </c>
    </row>
    <row r="1877" spans="1:32" s="465" customFormat="1" ht="22.5" x14ac:dyDescent="0.25">
      <c r="A1877" s="40" t="s">
        <v>3678</v>
      </c>
      <c r="B1877" s="360" t="s">
        <v>2940</v>
      </c>
      <c r="C1877" s="40">
        <v>637</v>
      </c>
      <c r="D1877" s="40">
        <v>12</v>
      </c>
      <c r="E1877" s="40" t="s">
        <v>3625</v>
      </c>
      <c r="F1877" s="40" t="s">
        <v>3623</v>
      </c>
      <c r="G1877" s="40" t="s">
        <v>3679</v>
      </c>
      <c r="H1877" s="40" t="s">
        <v>3120</v>
      </c>
      <c r="I1877" s="40" t="str">
        <f>VLOOKUP(Таблица18[[#This Row],[Номер акта]],$AB$1:$AF$2504,3,FALSE)</f>
        <v>2.2 Колос</v>
      </c>
      <c r="J1877" s="40" t="s">
        <v>901</v>
      </c>
      <c r="K1877" s="40" t="s">
        <v>3645</v>
      </c>
      <c r="L1877" s="121">
        <v>27430</v>
      </c>
      <c r="M1877" s="121">
        <v>14410</v>
      </c>
      <c r="N1877" s="121">
        <v>12.5</v>
      </c>
      <c r="O1877" s="363">
        <v>13020</v>
      </c>
      <c r="P1877" s="363">
        <v>11392.5</v>
      </c>
      <c r="Q1877" s="121">
        <v>2026</v>
      </c>
      <c r="R1877" s="121">
        <v>495</v>
      </c>
      <c r="S1877" s="148">
        <v>46200</v>
      </c>
      <c r="T1877" s="363">
        <f>Таблица18[[#This Row],[Вес нетто]]-Таблица18[[#This Row],[Зачетный вес]]</f>
        <v>1627.5</v>
      </c>
      <c r="U1877" s="392">
        <f>Таблица18[[#This Row],[Отход]]/Таблица18[[#This Row],[Вес нетто]]</f>
        <v>0.125</v>
      </c>
      <c r="V1877" s="121">
        <f>MONTH(Таблица18[[#This Row],[Дата акта]])</f>
        <v>6</v>
      </c>
      <c r="W1877" s="121">
        <f>DAY(Таблица18[[#This Row],[Дата акта]])</f>
        <v>27</v>
      </c>
      <c r="X1877" s="148">
        <f>DATE(1900,Таблица18[[#This Row],[Месяц]],Таблица18[[#This Row],[Число]])</f>
        <v>179</v>
      </c>
      <c r="Y1877" s="121"/>
      <c r="Z1877" s="121" t="str">
        <f>Таблица18[[#This Row],[Хар-ка]]</f>
        <v>Высший</v>
      </c>
      <c r="AA1877"/>
      <c r="AB1877">
        <v>451</v>
      </c>
      <c r="AC1877"/>
      <c r="AD1877" s="460" t="s">
        <v>2884</v>
      </c>
      <c r="AE1877" t="s">
        <v>909</v>
      </c>
      <c r="AF1877" t="s">
        <v>2932</v>
      </c>
    </row>
    <row r="1878" spans="1:32" s="465" customFormat="1" ht="33.75" x14ac:dyDescent="0.25">
      <c r="A1878" s="40" t="s">
        <v>3680</v>
      </c>
      <c r="B1878" s="360" t="s">
        <v>3230</v>
      </c>
      <c r="C1878" s="40">
        <v>638</v>
      </c>
      <c r="D1878" s="40">
        <v>13</v>
      </c>
      <c r="E1878" s="40" t="s">
        <v>3625</v>
      </c>
      <c r="F1878" s="40" t="s">
        <v>1461</v>
      </c>
      <c r="G1878" s="40" t="s">
        <v>149</v>
      </c>
      <c r="H1878" s="40" t="s">
        <v>3120</v>
      </c>
      <c r="I1878" s="40" t="str">
        <f>VLOOKUP(Таблица18[[#This Row],[Номер акта]],$AB$1:$AF$2504,3,FALSE)</f>
        <v>2.2 Колос</v>
      </c>
      <c r="J1878" s="40" t="s">
        <v>901</v>
      </c>
      <c r="K1878" s="40" t="s">
        <v>3645</v>
      </c>
      <c r="L1878" s="121">
        <v>27590</v>
      </c>
      <c r="M1878" s="121">
        <v>14930</v>
      </c>
      <c r="N1878" s="121">
        <v>13.5</v>
      </c>
      <c r="O1878" s="363">
        <v>12660</v>
      </c>
      <c r="P1878" s="363">
        <v>10950.9</v>
      </c>
      <c r="Q1878" s="121">
        <v>2026</v>
      </c>
      <c r="R1878" s="121">
        <v>496</v>
      </c>
      <c r="S1878" s="148">
        <v>46200</v>
      </c>
      <c r="T1878" s="363">
        <f>Таблица18[[#This Row],[Вес нетто]]-Таблица18[[#This Row],[Зачетный вес]]</f>
        <v>1709.1000000000004</v>
      </c>
      <c r="U1878" s="392">
        <f>Таблица18[[#This Row],[Отход]]/Таблица18[[#This Row],[Вес нетто]]</f>
        <v>0.13500000000000004</v>
      </c>
      <c r="V1878" s="121">
        <f>MONTH(Таблица18[[#This Row],[Дата акта]])</f>
        <v>6</v>
      </c>
      <c r="W1878" s="121">
        <f>DAY(Таблица18[[#This Row],[Дата акта]])</f>
        <v>27</v>
      </c>
      <c r="X1878" s="148">
        <f>DATE(1900,Таблица18[[#This Row],[Месяц]],Таблица18[[#This Row],[Число]])</f>
        <v>179</v>
      </c>
      <c r="Y1878" s="121"/>
      <c r="Z1878" s="121" t="str">
        <f>Таблица18[[#This Row],[Хар-ка]]</f>
        <v>Первый</v>
      </c>
      <c r="AA1878"/>
      <c r="AB1878">
        <v>452</v>
      </c>
      <c r="AC1878"/>
      <c r="AD1878" s="460" t="s">
        <v>3115</v>
      </c>
      <c r="AE1878" t="s">
        <v>909</v>
      </c>
      <c r="AF1878" t="s">
        <v>52</v>
      </c>
    </row>
    <row r="1879" spans="1:32" s="465" customFormat="1" ht="33.75" x14ac:dyDescent="0.25">
      <c r="A1879" s="40" t="s">
        <v>3681</v>
      </c>
      <c r="B1879" s="360" t="s">
        <v>3230</v>
      </c>
      <c r="C1879" s="40">
        <v>639</v>
      </c>
      <c r="D1879" s="40">
        <v>16</v>
      </c>
      <c r="E1879" s="40" t="s">
        <v>3625</v>
      </c>
      <c r="F1879" s="40" t="s">
        <v>2967</v>
      </c>
      <c r="G1879" s="40" t="s">
        <v>1810</v>
      </c>
      <c r="H1879" s="40" t="s">
        <v>3120</v>
      </c>
      <c r="I1879" s="40" t="str">
        <f>VLOOKUP(Таблица18[[#This Row],[Номер акта]],$AB$1:$AF$2504,3,FALSE)</f>
        <v>2.2 Колос</v>
      </c>
      <c r="J1879" s="40" t="s">
        <v>901</v>
      </c>
      <c r="K1879" s="40" t="s">
        <v>3645</v>
      </c>
      <c r="L1879" s="121">
        <v>22980</v>
      </c>
      <c r="M1879" s="121">
        <v>14170</v>
      </c>
      <c r="N1879" s="121">
        <v>14.5</v>
      </c>
      <c r="O1879" s="363">
        <v>8810</v>
      </c>
      <c r="P1879" s="363">
        <v>7532.5</v>
      </c>
      <c r="Q1879" s="121">
        <v>2026</v>
      </c>
      <c r="R1879" s="121">
        <v>497</v>
      </c>
      <c r="S1879" s="148">
        <v>46200</v>
      </c>
      <c r="T1879" s="363">
        <f>Таблица18[[#This Row],[Вес нетто]]-Таблица18[[#This Row],[Зачетный вес]]</f>
        <v>1277.5</v>
      </c>
      <c r="U1879" s="392">
        <f>Таблица18[[#This Row],[Отход]]/Таблица18[[#This Row],[Вес нетто]]</f>
        <v>0.14500567536889897</v>
      </c>
      <c r="V1879" s="121">
        <f>MONTH(Таблица18[[#This Row],[Дата акта]])</f>
        <v>6</v>
      </c>
      <c r="W1879" s="121">
        <f>DAY(Таблица18[[#This Row],[Дата акта]])</f>
        <v>27</v>
      </c>
      <c r="X1879" s="148">
        <f>DATE(1900,Таблица18[[#This Row],[Месяц]],Таблица18[[#This Row],[Число]])</f>
        <v>179</v>
      </c>
      <c r="Y1879" s="121"/>
      <c r="Z1879" s="121" t="str">
        <f>Таблица18[[#This Row],[Хар-ка]]</f>
        <v>Первый</v>
      </c>
      <c r="AA1879"/>
      <c r="AB1879">
        <v>455</v>
      </c>
      <c r="AC1879"/>
      <c r="AD1879" s="460" t="s">
        <v>864</v>
      </c>
      <c r="AE1879" t="s">
        <v>909</v>
      </c>
      <c r="AF1879" t="s">
        <v>2932</v>
      </c>
    </row>
    <row r="1880" spans="1:32" s="465" customFormat="1" ht="33.75" x14ac:dyDescent="0.25">
      <c r="A1880" s="40" t="s">
        <v>3682</v>
      </c>
      <c r="B1880" s="360" t="s">
        <v>2940</v>
      </c>
      <c r="C1880" s="40">
        <v>640</v>
      </c>
      <c r="D1880" s="40">
        <v>14</v>
      </c>
      <c r="E1880" s="40" t="s">
        <v>3625</v>
      </c>
      <c r="F1880" s="40" t="s">
        <v>121</v>
      </c>
      <c r="G1880" s="40" t="s">
        <v>125</v>
      </c>
      <c r="H1880" s="40" t="s">
        <v>3120</v>
      </c>
      <c r="I1880" s="40" t="str">
        <f>VLOOKUP(Таблица18[[#This Row],[Номер акта]],$AB$1:$AF$2504,3,FALSE)</f>
        <v>2.2 Колос</v>
      </c>
      <c r="J1880" s="40" t="s">
        <v>901</v>
      </c>
      <c r="K1880" s="40" t="s">
        <v>3645</v>
      </c>
      <c r="L1880" s="121">
        <v>27970</v>
      </c>
      <c r="M1880" s="121">
        <v>14730</v>
      </c>
      <c r="N1880" s="121">
        <v>11.5</v>
      </c>
      <c r="O1880" s="363">
        <v>13240</v>
      </c>
      <c r="P1880" s="363">
        <v>11717.4</v>
      </c>
      <c r="Q1880" s="121">
        <v>2026</v>
      </c>
      <c r="R1880" s="121">
        <v>498</v>
      </c>
      <c r="S1880" s="148">
        <v>46200</v>
      </c>
      <c r="T1880" s="363">
        <f>Таблица18[[#This Row],[Вес нетто]]-Таблица18[[#This Row],[Зачетный вес]]</f>
        <v>1522.6000000000004</v>
      </c>
      <c r="U1880" s="392">
        <f>Таблица18[[#This Row],[Отход]]/Таблица18[[#This Row],[Вес нетто]]</f>
        <v>0.11500000000000003</v>
      </c>
      <c r="V1880" s="121">
        <f>MONTH(Таблица18[[#This Row],[Дата акта]])</f>
        <v>6</v>
      </c>
      <c r="W1880" s="121">
        <f>DAY(Таблица18[[#This Row],[Дата акта]])</f>
        <v>27</v>
      </c>
      <c r="X1880" s="148">
        <f>DATE(1900,Таблица18[[#This Row],[Месяц]],Таблица18[[#This Row],[Число]])</f>
        <v>179</v>
      </c>
      <c r="Y1880" s="121"/>
      <c r="Z1880" s="121" t="str">
        <f>Таблица18[[#This Row],[Хар-ка]]</f>
        <v>Высший</v>
      </c>
      <c r="AA1880"/>
      <c r="AB1880">
        <v>456</v>
      </c>
      <c r="AC1880"/>
      <c r="AD1880" s="460" t="s">
        <v>3115</v>
      </c>
      <c r="AE1880" t="s">
        <v>909</v>
      </c>
      <c r="AF1880" t="s">
        <v>52</v>
      </c>
    </row>
    <row r="1881" spans="1:32" s="465" customFormat="1" ht="22.5" x14ac:dyDescent="0.25">
      <c r="A1881" s="40" t="s">
        <v>3708</v>
      </c>
      <c r="B1881" s="360" t="s">
        <v>2940</v>
      </c>
      <c r="C1881" s="40">
        <v>642</v>
      </c>
      <c r="D1881" s="40">
        <v>15</v>
      </c>
      <c r="E1881" s="40" t="s">
        <v>3625</v>
      </c>
      <c r="F1881" s="40" t="s">
        <v>3377</v>
      </c>
      <c r="G1881" s="40" t="s">
        <v>3196</v>
      </c>
      <c r="H1881" s="40" t="s">
        <v>3120</v>
      </c>
      <c r="I1881" s="40" t="str">
        <f>VLOOKUP(Таблица18[[#This Row],[Номер акта]],$AB$1:$AF$2504,3,FALSE)</f>
        <v>2.2 Колос</v>
      </c>
      <c r="J1881" s="40" t="s">
        <v>901</v>
      </c>
      <c r="K1881" s="40" t="s">
        <v>3645</v>
      </c>
      <c r="L1881" s="121">
        <v>27690</v>
      </c>
      <c r="M1881" s="121">
        <v>14330</v>
      </c>
      <c r="N1881" s="121">
        <v>15.5</v>
      </c>
      <c r="O1881" s="363">
        <v>13360</v>
      </c>
      <c r="P1881" s="363">
        <v>11289.2</v>
      </c>
      <c r="Q1881" s="121">
        <v>2026</v>
      </c>
      <c r="R1881" s="121">
        <v>499</v>
      </c>
      <c r="S1881" s="148">
        <v>46200</v>
      </c>
      <c r="T1881" s="363">
        <f>Таблица18[[#This Row],[Вес нетто]]-Таблица18[[#This Row],[Зачетный вес]]</f>
        <v>2070.7999999999993</v>
      </c>
      <c r="U1881" s="392">
        <f>Таблица18[[#This Row],[Отход]]/Таблица18[[#This Row],[Вес нетто]]</f>
        <v>0.15499999999999994</v>
      </c>
      <c r="V1881" s="121">
        <f>MONTH(Таблица18[[#This Row],[Дата акта]])</f>
        <v>6</v>
      </c>
      <c r="W1881" s="121">
        <f>DAY(Таблица18[[#This Row],[Дата акта]])</f>
        <v>27</v>
      </c>
      <c r="X1881" s="148">
        <f>DATE(1900,Таблица18[[#This Row],[Месяц]],Таблица18[[#This Row],[Число]])</f>
        <v>179</v>
      </c>
      <c r="Y1881" s="121"/>
      <c r="Z1881" s="121" t="str">
        <f>Таблица18[[#This Row],[Хар-ка]]</f>
        <v>Высший</v>
      </c>
      <c r="AA1881"/>
      <c r="AB1881">
        <v>457</v>
      </c>
      <c r="AC1881"/>
      <c r="AD1881" s="460" t="s">
        <v>2884</v>
      </c>
      <c r="AE1881" t="s">
        <v>909</v>
      </c>
      <c r="AF1881" t="s">
        <v>2932</v>
      </c>
    </row>
    <row r="1882" spans="1:32" s="465" customFormat="1" ht="22.5" x14ac:dyDescent="0.25">
      <c r="A1882" s="40" t="s">
        <v>3709</v>
      </c>
      <c r="B1882" s="360" t="s">
        <v>3273</v>
      </c>
      <c r="C1882" s="40">
        <v>643</v>
      </c>
      <c r="D1882" s="40">
        <v>17</v>
      </c>
      <c r="E1882" s="40" t="s">
        <v>3625</v>
      </c>
      <c r="F1882" s="40" t="s">
        <v>133</v>
      </c>
      <c r="G1882" s="40" t="s">
        <v>137</v>
      </c>
      <c r="H1882" s="40" t="s">
        <v>3120</v>
      </c>
      <c r="I1882" s="40" t="str">
        <f>VLOOKUP(Таблица18[[#This Row],[Номер акта]],$AB$1:$AF$2504,3,FALSE)</f>
        <v>2.2 Колос</v>
      </c>
      <c r="J1882" s="40" t="s">
        <v>901</v>
      </c>
      <c r="K1882" s="40" t="s">
        <v>3645</v>
      </c>
      <c r="L1882" s="121">
        <v>29600</v>
      </c>
      <c r="M1882" s="121">
        <v>15000</v>
      </c>
      <c r="N1882" s="121">
        <v>11.5</v>
      </c>
      <c r="O1882" s="363">
        <v>14600</v>
      </c>
      <c r="P1882" s="363">
        <v>12921</v>
      </c>
      <c r="Q1882" s="121">
        <v>2026</v>
      </c>
      <c r="R1882" s="121">
        <v>500</v>
      </c>
      <c r="S1882" s="148">
        <v>46200</v>
      </c>
      <c r="T1882" s="363">
        <f>Таблица18[[#This Row],[Вес нетто]]-Таблица18[[#This Row],[Зачетный вес]]</f>
        <v>1679</v>
      </c>
      <c r="U1882" s="392">
        <f>Таблица18[[#This Row],[Отход]]/Таблица18[[#This Row],[Вес нетто]]</f>
        <v>0.115</v>
      </c>
      <c r="V1882" s="121">
        <f>MONTH(Таблица18[[#This Row],[Дата акта]])</f>
        <v>6</v>
      </c>
      <c r="W1882" s="121">
        <f>DAY(Таблица18[[#This Row],[Дата акта]])</f>
        <v>27</v>
      </c>
      <c r="X1882" s="148">
        <f>DATE(1900,Таблица18[[#This Row],[Месяц]],Таблица18[[#This Row],[Число]])</f>
        <v>179</v>
      </c>
      <c r="Y1882" s="121"/>
      <c r="Z1882" s="121" t="str">
        <f>Таблица18[[#This Row],[Хар-ка]]</f>
        <v>Второй</v>
      </c>
      <c r="AA1882"/>
      <c r="AB1882">
        <v>458</v>
      </c>
      <c r="AC1882"/>
      <c r="AD1882" s="460" t="s">
        <v>3115</v>
      </c>
      <c r="AE1882" t="s">
        <v>909</v>
      </c>
      <c r="AF1882" t="s">
        <v>52</v>
      </c>
    </row>
    <row r="1883" spans="1:32" s="465" customFormat="1" ht="33.75" hidden="1" x14ac:dyDescent="0.25">
      <c r="A1883" s="40" t="s">
        <v>3710</v>
      </c>
      <c r="B1883" s="360" t="s">
        <v>3273</v>
      </c>
      <c r="C1883" s="40">
        <v>644</v>
      </c>
      <c r="D1883" s="40">
        <v>103</v>
      </c>
      <c r="E1883" s="40" t="s">
        <v>3551</v>
      </c>
      <c r="F1883" s="40" t="s">
        <v>239</v>
      </c>
      <c r="G1883" s="40" t="s">
        <v>243</v>
      </c>
      <c r="H1883" s="40" t="s">
        <v>3115</v>
      </c>
      <c r="I1883" s="40" t="str">
        <f>VLOOKUP(Таблица18[[#This Row],[Номер акта]],$AB$1:$AF$2504,3,FALSE)</f>
        <v>18 Агролидер</v>
      </c>
      <c r="J1883" s="40" t="s">
        <v>909</v>
      </c>
      <c r="K1883" s="40" t="s">
        <v>3464</v>
      </c>
      <c r="L1883" s="121">
        <v>29830</v>
      </c>
      <c r="M1883" s="121">
        <v>14550</v>
      </c>
      <c r="N1883" s="121">
        <v>5.5</v>
      </c>
      <c r="O1883" s="363">
        <v>15280</v>
      </c>
      <c r="P1883" s="363">
        <v>14439.6</v>
      </c>
      <c r="Q1883" s="121">
        <v>2026</v>
      </c>
      <c r="R1883" s="121">
        <v>501</v>
      </c>
      <c r="S1883" s="148">
        <v>46200</v>
      </c>
      <c r="T1883" s="363">
        <f>Таблица18[[#This Row],[Вес нетто]]-Таблица18[[#This Row],[Зачетный вес]]</f>
        <v>840.39999999999964</v>
      </c>
      <c r="U1883" s="392">
        <f>Таблица18[[#This Row],[Отход]]/Таблица18[[#This Row],[Вес нетто]]</f>
        <v>5.4999999999999979E-2</v>
      </c>
      <c r="V1883" s="121">
        <f>MONTH(Таблица18[[#This Row],[Дата акта]])</f>
        <v>6</v>
      </c>
      <c r="W1883" s="121">
        <f>DAY(Таблица18[[#This Row],[Дата акта]])</f>
        <v>27</v>
      </c>
      <c r="X1883" s="148">
        <f>DATE(1900,Таблица18[[#This Row],[Месяц]],Таблица18[[#This Row],[Число]])</f>
        <v>179</v>
      </c>
      <c r="Y1883" s="121"/>
      <c r="Z1883" s="121" t="str">
        <f>Таблица18[[#This Row],[Хар-ка]]</f>
        <v>Второй</v>
      </c>
      <c r="AA1883"/>
      <c r="AB1883">
        <v>459</v>
      </c>
      <c r="AC1883"/>
      <c r="AD1883" s="460" t="s">
        <v>3112</v>
      </c>
      <c r="AE1883" t="s">
        <v>909</v>
      </c>
      <c r="AF1883" t="s">
        <v>2932</v>
      </c>
    </row>
    <row r="1884" spans="1:32" s="465" customFormat="1" ht="22.5" x14ac:dyDescent="0.25">
      <c r="A1884" s="40" t="s">
        <v>3711</v>
      </c>
      <c r="B1884" s="360" t="s">
        <v>3230</v>
      </c>
      <c r="C1884" s="40">
        <v>645</v>
      </c>
      <c r="D1884" s="40">
        <v>18</v>
      </c>
      <c r="E1884" s="40" t="s">
        <v>3625</v>
      </c>
      <c r="F1884" s="40" t="s">
        <v>335</v>
      </c>
      <c r="G1884" s="40" t="s">
        <v>339</v>
      </c>
      <c r="H1884" s="40" t="s">
        <v>3122</v>
      </c>
      <c r="I1884" s="40" t="str">
        <f>VLOOKUP(Таблица18[[#This Row],[Номер акта]],$AB$1:$AF$2504,3,FALSE)</f>
        <v>3.3 Колос</v>
      </c>
      <c r="J1884" s="40" t="s">
        <v>901</v>
      </c>
      <c r="K1884" s="40" t="s">
        <v>3645</v>
      </c>
      <c r="L1884" s="121">
        <v>29240</v>
      </c>
      <c r="M1884" s="121">
        <v>14850</v>
      </c>
      <c r="N1884" s="121">
        <v>8.5</v>
      </c>
      <c r="O1884" s="363">
        <v>14390</v>
      </c>
      <c r="P1884" s="363">
        <v>13166.9</v>
      </c>
      <c r="Q1884" s="121">
        <v>2026</v>
      </c>
      <c r="R1884" s="121">
        <v>502</v>
      </c>
      <c r="S1884" s="148">
        <v>46201</v>
      </c>
      <c r="T1884" s="363">
        <f>Таблица18[[#This Row],[Вес нетто]]-Таблица18[[#This Row],[Зачетный вес]]</f>
        <v>1223.1000000000004</v>
      </c>
      <c r="U1884" s="392">
        <f>Таблица18[[#This Row],[Отход]]/Таблица18[[#This Row],[Вес нетто]]</f>
        <v>8.499652536483672E-2</v>
      </c>
      <c r="V1884" s="121">
        <f>MONTH(Таблица18[[#This Row],[Дата акта]])</f>
        <v>6</v>
      </c>
      <c r="W1884" s="121">
        <f>DAY(Таблица18[[#This Row],[Дата акта]])</f>
        <v>28</v>
      </c>
      <c r="X1884" s="148">
        <f>DATE(1900,Таблица18[[#This Row],[Месяц]],Таблица18[[#This Row],[Число]])</f>
        <v>180</v>
      </c>
      <c r="Y1884" s="121"/>
      <c r="Z1884" s="121" t="str">
        <f>Таблица18[[#This Row],[Хар-ка]]</f>
        <v>Первый</v>
      </c>
      <c r="AA1884"/>
      <c r="AB1884">
        <v>474</v>
      </c>
      <c r="AC1884"/>
      <c r="AD1884" s="460" t="s">
        <v>3115</v>
      </c>
      <c r="AE1884" t="s">
        <v>909</v>
      </c>
      <c r="AF1884" t="s">
        <v>52</v>
      </c>
    </row>
    <row r="1885" spans="1:32" s="465" customFormat="1" ht="22.5" x14ac:dyDescent="0.25">
      <c r="A1885" s="40" t="s">
        <v>3712</v>
      </c>
      <c r="B1885" s="360" t="s">
        <v>2940</v>
      </c>
      <c r="C1885" s="40">
        <v>646</v>
      </c>
      <c r="D1885" s="40">
        <v>19</v>
      </c>
      <c r="E1885" s="40" t="s">
        <v>3625</v>
      </c>
      <c r="F1885" s="40" t="s">
        <v>1151</v>
      </c>
      <c r="G1885" s="40" t="s">
        <v>145</v>
      </c>
      <c r="H1885" s="40" t="s">
        <v>3122</v>
      </c>
      <c r="I1885" s="40" t="str">
        <f>VLOOKUP(Таблица18[[#This Row],[Номер акта]],$AB$1:$AF$2504,3,FALSE)</f>
        <v>3.3 Колос</v>
      </c>
      <c r="J1885" s="40" t="s">
        <v>901</v>
      </c>
      <c r="K1885" s="40" t="s">
        <v>3645</v>
      </c>
      <c r="L1885" s="121">
        <v>26960</v>
      </c>
      <c r="M1885" s="121">
        <v>15740</v>
      </c>
      <c r="N1885" s="121">
        <v>12.5</v>
      </c>
      <c r="O1885" s="363">
        <v>11220</v>
      </c>
      <c r="P1885" s="363">
        <v>9817.5</v>
      </c>
      <c r="Q1885" s="121">
        <v>2026</v>
      </c>
      <c r="R1885" s="121">
        <v>503</v>
      </c>
      <c r="S1885" s="148">
        <v>46201</v>
      </c>
      <c r="T1885" s="363">
        <f>Таблица18[[#This Row],[Вес нетто]]-Таблица18[[#This Row],[Зачетный вес]]</f>
        <v>1402.5</v>
      </c>
      <c r="U1885" s="392">
        <f>Таблица18[[#This Row],[Отход]]/Таблица18[[#This Row],[Вес нетто]]</f>
        <v>0.125</v>
      </c>
      <c r="V1885" s="121">
        <f>MONTH(Таблица18[[#This Row],[Дата акта]])</f>
        <v>6</v>
      </c>
      <c r="W1885" s="121">
        <f>DAY(Таблица18[[#This Row],[Дата акта]])</f>
        <v>28</v>
      </c>
      <c r="X1885" s="148">
        <f>DATE(1900,Таблица18[[#This Row],[Месяц]],Таблица18[[#This Row],[Число]])</f>
        <v>180</v>
      </c>
      <c r="Y1885" s="121"/>
      <c r="Z1885" s="121" t="str">
        <f>Таблица18[[#This Row],[Хар-ка]]</f>
        <v>Высший</v>
      </c>
      <c r="AA1885"/>
      <c r="AB1885">
        <v>475</v>
      </c>
      <c r="AC1885"/>
      <c r="AD1885" s="460" t="s">
        <v>3120</v>
      </c>
      <c r="AE1885" t="s">
        <v>901</v>
      </c>
      <c r="AF1885" t="s">
        <v>53</v>
      </c>
    </row>
    <row r="1886" spans="1:32" s="465" customFormat="1" ht="22.5" hidden="1" x14ac:dyDescent="0.25">
      <c r="A1886" s="40" t="s">
        <v>3713</v>
      </c>
      <c r="B1886" s="360" t="s">
        <v>3273</v>
      </c>
      <c r="C1886" s="40">
        <v>647</v>
      </c>
      <c r="D1886" s="40">
        <v>105</v>
      </c>
      <c r="E1886" s="40" t="s">
        <v>3551</v>
      </c>
      <c r="F1886" s="40" t="s">
        <v>347</v>
      </c>
      <c r="G1886" s="40" t="s">
        <v>351</v>
      </c>
      <c r="H1886" s="40" t="s">
        <v>3115</v>
      </c>
      <c r="I1886" s="40" t="str">
        <f>VLOOKUP(Таблица18[[#This Row],[Номер акта]],$AB$1:$AF$2504,3,FALSE)</f>
        <v>18 Агролидер</v>
      </c>
      <c r="J1886" s="40" t="s">
        <v>909</v>
      </c>
      <c r="K1886" s="40" t="s">
        <v>3464</v>
      </c>
      <c r="L1886" s="121">
        <v>33970</v>
      </c>
      <c r="M1886" s="121">
        <v>18660</v>
      </c>
      <c r="N1886" s="121">
        <v>5</v>
      </c>
      <c r="O1886" s="363">
        <v>15310</v>
      </c>
      <c r="P1886" s="363">
        <v>14544.5</v>
      </c>
      <c r="Q1886" s="121">
        <v>2026</v>
      </c>
      <c r="R1886" s="121">
        <v>504</v>
      </c>
      <c r="S1886" s="148">
        <v>46201</v>
      </c>
      <c r="T1886" s="363">
        <f>Таблица18[[#This Row],[Вес нетто]]-Таблица18[[#This Row],[Зачетный вес]]</f>
        <v>765.5</v>
      </c>
      <c r="U1886" s="392">
        <f>Таблица18[[#This Row],[Отход]]/Таблица18[[#This Row],[Вес нетто]]</f>
        <v>0.05</v>
      </c>
      <c r="V1886" s="121">
        <f>MONTH(Таблица18[[#This Row],[Дата акта]])</f>
        <v>6</v>
      </c>
      <c r="W1886" s="121">
        <f>DAY(Таблица18[[#This Row],[Дата акта]])</f>
        <v>28</v>
      </c>
      <c r="X1886" s="148">
        <f>DATE(1900,Таблица18[[#This Row],[Месяц]],Таблица18[[#This Row],[Число]])</f>
        <v>180</v>
      </c>
      <c r="Y1886" s="121"/>
      <c r="Z1886" s="121" t="str">
        <f>Таблица18[[#This Row],[Хар-ка]]</f>
        <v>Второй</v>
      </c>
      <c r="AA1886"/>
      <c r="AB1886">
        <v>476</v>
      </c>
      <c r="AC1886"/>
      <c r="AD1886" s="460" t="s">
        <v>3115</v>
      </c>
      <c r="AE1886" t="s">
        <v>909</v>
      </c>
      <c r="AF1886" t="s">
        <v>52</v>
      </c>
    </row>
    <row r="1887" spans="1:32" s="465" customFormat="1" ht="22.5" hidden="1" x14ac:dyDescent="0.25">
      <c r="A1887" s="40" t="s">
        <v>3714</v>
      </c>
      <c r="B1887" s="360" t="s">
        <v>3273</v>
      </c>
      <c r="C1887" s="40">
        <v>648</v>
      </c>
      <c r="D1887" s="40">
        <v>107</v>
      </c>
      <c r="E1887" s="40" t="s">
        <v>3551</v>
      </c>
      <c r="F1887" s="40" t="s">
        <v>212</v>
      </c>
      <c r="G1887" s="40" t="s">
        <v>2965</v>
      </c>
      <c r="H1887" s="40" t="s">
        <v>3115</v>
      </c>
      <c r="I1887" s="40" t="str">
        <f>VLOOKUP(Таблица18[[#This Row],[Номер акта]],$AB$1:$AF$2504,3,FALSE)</f>
        <v>18 Агролидер</v>
      </c>
      <c r="J1887" s="40" t="s">
        <v>909</v>
      </c>
      <c r="K1887" s="40" t="s">
        <v>3464</v>
      </c>
      <c r="L1887" s="121">
        <v>30840</v>
      </c>
      <c r="M1887" s="121">
        <v>15730</v>
      </c>
      <c r="N1887" s="121">
        <v>4.5</v>
      </c>
      <c r="O1887" s="363">
        <v>15110</v>
      </c>
      <c r="P1887" s="363">
        <v>14430.1</v>
      </c>
      <c r="Q1887" s="121">
        <v>2026</v>
      </c>
      <c r="R1887" s="121">
        <v>505</v>
      </c>
      <c r="S1887" s="148">
        <v>46201</v>
      </c>
      <c r="T1887" s="363">
        <f>Таблица18[[#This Row],[Вес нетто]]-Таблица18[[#This Row],[Зачетный вес]]</f>
        <v>679.89999999999964</v>
      </c>
      <c r="U1887" s="392">
        <f>Таблица18[[#This Row],[Отход]]/Таблица18[[#This Row],[Вес нетто]]</f>
        <v>4.4996690933156828E-2</v>
      </c>
      <c r="V1887" s="121">
        <f>MONTH(Таблица18[[#This Row],[Дата акта]])</f>
        <v>6</v>
      </c>
      <c r="W1887" s="121">
        <f>DAY(Таблица18[[#This Row],[Дата акта]])</f>
        <v>28</v>
      </c>
      <c r="X1887" s="148">
        <f>DATE(1900,Таблица18[[#This Row],[Месяц]],Таблица18[[#This Row],[Число]])</f>
        <v>180</v>
      </c>
      <c r="Y1887" s="121"/>
      <c r="Z1887" s="121" t="str">
        <f>Таблица18[[#This Row],[Хар-ка]]</f>
        <v>Второй</v>
      </c>
      <c r="AA1887"/>
      <c r="AB1887">
        <v>477</v>
      </c>
      <c r="AC1887"/>
      <c r="AD1887" s="460" t="s">
        <v>3112</v>
      </c>
      <c r="AE1887" t="s">
        <v>909</v>
      </c>
      <c r="AF1887" t="s">
        <v>2932</v>
      </c>
    </row>
    <row r="1888" spans="1:32" s="465" customFormat="1" ht="33.75" hidden="1" x14ac:dyDescent="0.25">
      <c r="A1888" s="40" t="s">
        <v>3715</v>
      </c>
      <c r="B1888" s="360" t="s">
        <v>3273</v>
      </c>
      <c r="C1888" s="40">
        <v>649</v>
      </c>
      <c r="D1888" s="40">
        <v>108</v>
      </c>
      <c r="E1888" s="40" t="s">
        <v>3551</v>
      </c>
      <c r="F1888" s="40" t="s">
        <v>1312</v>
      </c>
      <c r="G1888" s="40" t="s">
        <v>320</v>
      </c>
      <c r="H1888" s="40" t="s">
        <v>3115</v>
      </c>
      <c r="I1888" s="40" t="str">
        <f>VLOOKUP(Таблица18[[#This Row],[Номер акта]],$AB$1:$AF$2504,3,FALSE)</f>
        <v>18 Агролидер</v>
      </c>
      <c r="J1888" s="40" t="s">
        <v>909</v>
      </c>
      <c r="K1888" s="40" t="s">
        <v>3464</v>
      </c>
      <c r="L1888" s="121">
        <v>29620</v>
      </c>
      <c r="M1888" s="121">
        <v>14480</v>
      </c>
      <c r="N1888" s="121">
        <v>3.5</v>
      </c>
      <c r="O1888" s="363">
        <v>15140</v>
      </c>
      <c r="P1888" s="363">
        <v>14610.1</v>
      </c>
      <c r="Q1888" s="121">
        <v>2026</v>
      </c>
      <c r="R1888" s="121">
        <v>506</v>
      </c>
      <c r="S1888" s="148">
        <v>46201</v>
      </c>
      <c r="T1888" s="363">
        <f>Таблица18[[#This Row],[Вес нетто]]-Таблица18[[#This Row],[Зачетный вес]]</f>
        <v>529.89999999999964</v>
      </c>
      <c r="U1888" s="392">
        <f>Таблица18[[#This Row],[Отход]]/Таблица18[[#This Row],[Вес нетто]]</f>
        <v>3.4999999999999976E-2</v>
      </c>
      <c r="V1888" s="121">
        <f>MONTH(Таблица18[[#This Row],[Дата акта]])</f>
        <v>6</v>
      </c>
      <c r="W1888" s="121">
        <f>DAY(Таблица18[[#This Row],[Дата акта]])</f>
        <v>28</v>
      </c>
      <c r="X1888" s="148">
        <f>DATE(1900,Таблица18[[#This Row],[Месяц]],Таблица18[[#This Row],[Число]])</f>
        <v>180</v>
      </c>
      <c r="Y1888" s="121"/>
      <c r="Z1888" s="121" t="str">
        <f>Таблица18[[#This Row],[Хар-ка]]</f>
        <v>Второй</v>
      </c>
      <c r="AA1888"/>
      <c r="AB1888">
        <v>478</v>
      </c>
      <c r="AC1888"/>
      <c r="AD1888" s="460" t="s">
        <v>3115</v>
      </c>
      <c r="AE1888" t="s">
        <v>909</v>
      </c>
      <c r="AF1888" t="s">
        <v>52</v>
      </c>
    </row>
    <row r="1889" spans="1:32" s="465" customFormat="1" ht="22.5" x14ac:dyDescent="0.25">
      <c r="A1889" s="40" t="s">
        <v>3716</v>
      </c>
      <c r="B1889" s="360" t="s">
        <v>2940</v>
      </c>
      <c r="C1889" s="40">
        <v>652</v>
      </c>
      <c r="D1889" s="40">
        <v>20</v>
      </c>
      <c r="E1889" s="40" t="s">
        <v>3625</v>
      </c>
      <c r="F1889" s="40" t="s">
        <v>3623</v>
      </c>
      <c r="G1889" s="40" t="s">
        <v>3679</v>
      </c>
      <c r="H1889" s="40" t="s">
        <v>3122</v>
      </c>
      <c r="I1889" s="40" t="str">
        <f>VLOOKUP(Таблица18[[#This Row],[Номер акта]],$AB$1:$AF$2504,3,FALSE)</f>
        <v>3.3 Колос</v>
      </c>
      <c r="J1889" s="40" t="s">
        <v>901</v>
      </c>
      <c r="K1889" s="40" t="s">
        <v>3645</v>
      </c>
      <c r="L1889" s="121">
        <v>28950</v>
      </c>
      <c r="M1889" s="121">
        <v>14410</v>
      </c>
      <c r="N1889" s="121">
        <v>8.5</v>
      </c>
      <c r="O1889" s="363">
        <v>14540</v>
      </c>
      <c r="P1889" s="363">
        <v>13304.1</v>
      </c>
      <c r="Q1889" s="121">
        <v>2026</v>
      </c>
      <c r="R1889" s="121">
        <v>507</v>
      </c>
      <c r="S1889" s="148">
        <v>46201</v>
      </c>
      <c r="T1889" s="363">
        <f>Таблица18[[#This Row],[Вес нетто]]-Таблица18[[#This Row],[Зачетный вес]]</f>
        <v>1235.8999999999996</v>
      </c>
      <c r="U1889" s="392">
        <f>Таблица18[[#This Row],[Отход]]/Таблица18[[#This Row],[Вес нетто]]</f>
        <v>8.4999999999999978E-2</v>
      </c>
      <c r="V1889" s="121">
        <f>MONTH(Таблица18[[#This Row],[Дата акта]])</f>
        <v>6</v>
      </c>
      <c r="W1889" s="121">
        <f>DAY(Таблица18[[#This Row],[Дата акта]])</f>
        <v>28</v>
      </c>
      <c r="X1889" s="148">
        <f>DATE(1900,Таблица18[[#This Row],[Месяц]],Таблица18[[#This Row],[Число]])</f>
        <v>180</v>
      </c>
      <c r="Y1889" s="121"/>
      <c r="Z1889" s="121" t="str">
        <f>Таблица18[[#This Row],[Хар-ка]]</f>
        <v>Высший</v>
      </c>
      <c r="AA1889"/>
      <c r="AB1889">
        <v>479</v>
      </c>
      <c r="AC1889"/>
      <c r="AD1889" s="460" t="s">
        <v>3120</v>
      </c>
      <c r="AE1889" t="s">
        <v>901</v>
      </c>
      <c r="AF1889" t="s">
        <v>53</v>
      </c>
    </row>
    <row r="1890" spans="1:32" s="465" customFormat="1" ht="33.75" x14ac:dyDescent="0.25">
      <c r="A1890" s="40" t="s">
        <v>3717</v>
      </c>
      <c r="B1890" s="360" t="s">
        <v>2940</v>
      </c>
      <c r="C1890" s="40">
        <v>653</v>
      </c>
      <c r="D1890" s="40">
        <v>21</v>
      </c>
      <c r="E1890" s="40" t="s">
        <v>3625</v>
      </c>
      <c r="F1890" s="40" t="s">
        <v>1461</v>
      </c>
      <c r="G1890" s="40" t="s">
        <v>149</v>
      </c>
      <c r="H1890" s="40" t="s">
        <v>3122</v>
      </c>
      <c r="I1890" s="40" t="str">
        <f>VLOOKUP(Таблица18[[#This Row],[Номер акта]],$AB$1:$AF$2504,3,FALSE)</f>
        <v>3.3 Колос</v>
      </c>
      <c r="J1890" s="40" t="s">
        <v>909</v>
      </c>
      <c r="K1890" s="40" t="s">
        <v>3645</v>
      </c>
      <c r="L1890" s="121">
        <v>28670</v>
      </c>
      <c r="M1890" s="121">
        <v>14910</v>
      </c>
      <c r="N1890" s="121">
        <v>12.5</v>
      </c>
      <c r="O1890" s="363">
        <v>13760</v>
      </c>
      <c r="P1890" s="363">
        <v>12040</v>
      </c>
      <c r="Q1890" s="121">
        <v>2026</v>
      </c>
      <c r="R1890" s="121">
        <v>508</v>
      </c>
      <c r="S1890" s="148">
        <v>46201</v>
      </c>
      <c r="T1890" s="363">
        <f>Таблица18[[#This Row],[Вес нетто]]-Таблица18[[#This Row],[Зачетный вес]]</f>
        <v>1720</v>
      </c>
      <c r="U1890" s="392">
        <f>Таблица18[[#This Row],[Отход]]/Таблица18[[#This Row],[Вес нетто]]</f>
        <v>0.125</v>
      </c>
      <c r="V1890" s="121">
        <f>MONTH(Таблица18[[#This Row],[Дата акта]])</f>
        <v>6</v>
      </c>
      <c r="W1890" s="121">
        <f>DAY(Таблица18[[#This Row],[Дата акта]])</f>
        <v>28</v>
      </c>
      <c r="X1890" s="148">
        <f>DATE(1900,Таблица18[[#This Row],[Месяц]],Таблица18[[#This Row],[Число]])</f>
        <v>180</v>
      </c>
      <c r="Y1890" s="121"/>
      <c r="Z1890" s="121" t="str">
        <f>Таблица18[[#This Row],[Хар-ка]]</f>
        <v>Высший</v>
      </c>
      <c r="AA1890"/>
      <c r="AB1890">
        <v>480</v>
      </c>
      <c r="AC1890"/>
      <c r="AD1890" s="460" t="s">
        <v>3092</v>
      </c>
      <c r="AE1890" t="s">
        <v>900</v>
      </c>
      <c r="AF1890" t="s">
        <v>46</v>
      </c>
    </row>
    <row r="1891" spans="1:32" s="465" customFormat="1" ht="22.5" x14ac:dyDescent="0.25">
      <c r="A1891" s="40" t="s">
        <v>3718</v>
      </c>
      <c r="B1891" s="360" t="s">
        <v>2940</v>
      </c>
      <c r="C1891" s="40">
        <v>654</v>
      </c>
      <c r="D1891" s="40">
        <v>22</v>
      </c>
      <c r="E1891" s="40" t="s">
        <v>3625</v>
      </c>
      <c r="F1891" s="40" t="s">
        <v>1151</v>
      </c>
      <c r="G1891" s="40" t="s">
        <v>145</v>
      </c>
      <c r="H1891" s="40" t="s">
        <v>3122</v>
      </c>
      <c r="I1891" s="40" t="str">
        <f>VLOOKUP(Таблица18[[#This Row],[Номер акта]],$AB$1:$AF$2504,3,FALSE)</f>
        <v>3.3 Колос</v>
      </c>
      <c r="J1891" s="40" t="s">
        <v>909</v>
      </c>
      <c r="K1891" s="40" t="s">
        <v>3645</v>
      </c>
      <c r="L1891" s="121">
        <v>29160</v>
      </c>
      <c r="M1891" s="121">
        <v>15630</v>
      </c>
      <c r="N1891" s="121">
        <v>14.5</v>
      </c>
      <c r="O1891" s="363">
        <v>13530</v>
      </c>
      <c r="P1891" s="363">
        <v>11568.1</v>
      </c>
      <c r="Q1891" s="121">
        <v>2026</v>
      </c>
      <c r="R1891" s="121">
        <v>509</v>
      </c>
      <c r="S1891" s="148">
        <v>46201</v>
      </c>
      <c r="T1891" s="363">
        <f>Таблица18[[#This Row],[Вес нетто]]-Таблица18[[#This Row],[Зачетный вес]]</f>
        <v>1961.8999999999996</v>
      </c>
      <c r="U1891" s="392">
        <f>Таблица18[[#This Row],[Отход]]/Таблица18[[#This Row],[Вес нетто]]</f>
        <v>0.14500369549150036</v>
      </c>
      <c r="V1891" s="121">
        <f>MONTH(Таблица18[[#This Row],[Дата акта]])</f>
        <v>6</v>
      </c>
      <c r="W1891" s="121">
        <f>DAY(Таблица18[[#This Row],[Дата акта]])</f>
        <v>28</v>
      </c>
      <c r="X1891" s="148">
        <f>DATE(1900,Таблица18[[#This Row],[Месяц]],Таблица18[[#This Row],[Число]])</f>
        <v>180</v>
      </c>
      <c r="Y1891" s="121"/>
      <c r="Z1891" s="121" t="str">
        <f>Таблица18[[#This Row],[Хар-ка]]</f>
        <v>Высший</v>
      </c>
      <c r="AA1891"/>
      <c r="AB1891">
        <v>481</v>
      </c>
      <c r="AC1891"/>
      <c r="AD1891" s="460" t="s">
        <v>3092</v>
      </c>
      <c r="AE1891" t="s">
        <v>900</v>
      </c>
      <c r="AF1891" t="s">
        <v>46</v>
      </c>
    </row>
    <row r="1892" spans="1:32" s="465" customFormat="1" ht="33.75" x14ac:dyDescent="0.25">
      <c r="A1892" s="40" t="s">
        <v>3719</v>
      </c>
      <c r="B1892" s="360" t="s">
        <v>2940</v>
      </c>
      <c r="C1892" s="40">
        <v>655</v>
      </c>
      <c r="D1892" s="40">
        <v>23</v>
      </c>
      <c r="E1892" s="40" t="s">
        <v>3625</v>
      </c>
      <c r="F1892" s="40" t="s">
        <v>121</v>
      </c>
      <c r="G1892" s="40" t="s">
        <v>125</v>
      </c>
      <c r="H1892" s="40" t="s">
        <v>3122</v>
      </c>
      <c r="I1892" s="40" t="str">
        <f>VLOOKUP(Таблица18[[#This Row],[Номер акта]],$AB$1:$AF$2504,3,FALSE)</f>
        <v>3.3 Колос</v>
      </c>
      <c r="J1892" s="40" t="s">
        <v>909</v>
      </c>
      <c r="K1892" s="40" t="s">
        <v>3645</v>
      </c>
      <c r="L1892" s="121">
        <v>28370</v>
      </c>
      <c r="M1892" s="121">
        <v>14820</v>
      </c>
      <c r="N1892" s="121">
        <v>14.5</v>
      </c>
      <c r="O1892" s="363">
        <v>13550</v>
      </c>
      <c r="P1892" s="363">
        <v>11585.2</v>
      </c>
      <c r="Q1892" s="121">
        <v>2026</v>
      </c>
      <c r="R1892" s="121">
        <v>510</v>
      </c>
      <c r="S1892" s="148">
        <v>46201</v>
      </c>
      <c r="T1892" s="363">
        <f>Таблица18[[#This Row],[Вес нетто]]-Таблица18[[#This Row],[Зачетный вес]]</f>
        <v>1964.7999999999993</v>
      </c>
      <c r="U1892" s="392">
        <f>Таблица18[[#This Row],[Отход]]/Таблица18[[#This Row],[Вес нетто]]</f>
        <v>0.14500369003690031</v>
      </c>
      <c r="V1892" s="121">
        <f>MONTH(Таблица18[[#This Row],[Дата акта]])</f>
        <v>6</v>
      </c>
      <c r="W1892" s="121">
        <f>DAY(Таблица18[[#This Row],[Дата акта]])</f>
        <v>28</v>
      </c>
      <c r="X1892" s="148">
        <f>DATE(1900,Таблица18[[#This Row],[Месяц]],Таблица18[[#This Row],[Число]])</f>
        <v>180</v>
      </c>
      <c r="Y1892" s="121"/>
      <c r="Z1892" s="121" t="str">
        <f>Таблица18[[#This Row],[Хар-ка]]</f>
        <v>Высший</v>
      </c>
      <c r="AA1892"/>
      <c r="AB1892">
        <v>482</v>
      </c>
      <c r="AC1892"/>
      <c r="AD1892" s="460" t="s">
        <v>3116</v>
      </c>
      <c r="AE1892" t="s">
        <v>909</v>
      </c>
      <c r="AF1892" t="s">
        <v>52</v>
      </c>
    </row>
    <row r="1893" spans="1:32" s="465" customFormat="1" ht="22.5" x14ac:dyDescent="0.25">
      <c r="A1893" s="40" t="s">
        <v>3720</v>
      </c>
      <c r="B1893" s="360" t="s">
        <v>2940</v>
      </c>
      <c r="C1893" s="40">
        <v>656</v>
      </c>
      <c r="D1893" s="40">
        <v>24</v>
      </c>
      <c r="E1893" s="40" t="s">
        <v>3625</v>
      </c>
      <c r="F1893" s="40" t="s">
        <v>212</v>
      </c>
      <c r="G1893" s="40" t="s">
        <v>2965</v>
      </c>
      <c r="H1893" s="40" t="s">
        <v>3122</v>
      </c>
      <c r="I1893" s="40" t="str">
        <f>VLOOKUP(Таблица18[[#This Row],[Номер акта]],$AB$1:$AF$2504,3,FALSE)</f>
        <v>3.3 Колос</v>
      </c>
      <c r="J1893" s="40" t="s">
        <v>909</v>
      </c>
      <c r="K1893" s="40" t="s">
        <v>3645</v>
      </c>
      <c r="L1893" s="121">
        <v>29040</v>
      </c>
      <c r="M1893" s="121">
        <v>15760</v>
      </c>
      <c r="N1893" s="121">
        <v>12</v>
      </c>
      <c r="O1893" s="363">
        <v>13280</v>
      </c>
      <c r="P1893" s="363">
        <v>11686.4</v>
      </c>
      <c r="Q1893" s="121">
        <v>2026</v>
      </c>
      <c r="R1893" s="121">
        <v>511</v>
      </c>
      <c r="S1893" s="148">
        <v>46201</v>
      </c>
      <c r="T1893" s="363">
        <f>Таблица18[[#This Row],[Вес нетто]]-Таблица18[[#This Row],[Зачетный вес]]</f>
        <v>1593.6000000000004</v>
      </c>
      <c r="U1893" s="392">
        <f>Таблица18[[#This Row],[Отход]]/Таблица18[[#This Row],[Вес нетто]]</f>
        <v>0.12000000000000002</v>
      </c>
      <c r="V1893" s="121">
        <f>MONTH(Таблица18[[#This Row],[Дата акта]])</f>
        <v>6</v>
      </c>
      <c r="W1893" s="121">
        <f>DAY(Таблица18[[#This Row],[Дата акта]])</f>
        <v>28</v>
      </c>
      <c r="X1893" s="148">
        <f>DATE(1900,Таблица18[[#This Row],[Месяц]],Таблица18[[#This Row],[Число]])</f>
        <v>180</v>
      </c>
      <c r="Y1893" s="121"/>
      <c r="Z1893" s="121" t="str">
        <f>Таблица18[[#This Row],[Хар-ка]]</f>
        <v>Высший</v>
      </c>
      <c r="AA1893"/>
      <c r="AB1893">
        <v>483</v>
      </c>
      <c r="AC1893"/>
      <c r="AD1893" s="460" t="s">
        <v>3092</v>
      </c>
      <c r="AE1893" t="s">
        <v>900</v>
      </c>
      <c r="AF1893" t="s">
        <v>46</v>
      </c>
    </row>
    <row r="1894" spans="1:32" s="465" customFormat="1" ht="33.75" x14ac:dyDescent="0.25">
      <c r="A1894" s="40" t="s">
        <v>3721</v>
      </c>
      <c r="B1894" s="360" t="s">
        <v>2940</v>
      </c>
      <c r="C1894" s="40">
        <v>657</v>
      </c>
      <c r="D1894" s="40">
        <v>25</v>
      </c>
      <c r="E1894" s="40" t="s">
        <v>3625</v>
      </c>
      <c r="F1894" s="40" t="s">
        <v>2967</v>
      </c>
      <c r="G1894" s="40" t="s">
        <v>1810</v>
      </c>
      <c r="H1894" s="40" t="s">
        <v>3122</v>
      </c>
      <c r="I1894" s="40" t="str">
        <f>VLOOKUP(Таблица18[[#This Row],[Номер акта]],$AB$1:$AF$2504,3,FALSE)</f>
        <v>3.3 Колос</v>
      </c>
      <c r="J1894" s="40" t="s">
        <v>909</v>
      </c>
      <c r="K1894" s="40" t="s">
        <v>3645</v>
      </c>
      <c r="L1894" s="121">
        <v>27430</v>
      </c>
      <c r="M1894" s="121">
        <v>14140</v>
      </c>
      <c r="N1894" s="121">
        <v>12</v>
      </c>
      <c r="O1894" s="363">
        <v>13290</v>
      </c>
      <c r="P1894" s="363">
        <v>11695.2</v>
      </c>
      <c r="Q1894" s="121">
        <v>2026</v>
      </c>
      <c r="R1894" s="121">
        <v>512</v>
      </c>
      <c r="S1894" s="148">
        <v>46201</v>
      </c>
      <c r="T1894" s="363">
        <f>Таблица18[[#This Row],[Вес нетто]]-Таблица18[[#This Row],[Зачетный вес]]</f>
        <v>1594.7999999999993</v>
      </c>
      <c r="U1894" s="392">
        <f>Таблица18[[#This Row],[Отход]]/Таблица18[[#This Row],[Вес нетто]]</f>
        <v>0.11999999999999994</v>
      </c>
      <c r="V1894" s="121">
        <f>MONTH(Таблица18[[#This Row],[Дата акта]])</f>
        <v>6</v>
      </c>
      <c r="W1894" s="121">
        <f>DAY(Таблица18[[#This Row],[Дата акта]])</f>
        <v>28</v>
      </c>
      <c r="X1894" s="148">
        <f>DATE(1900,Таблица18[[#This Row],[Месяц]],Таблица18[[#This Row],[Число]])</f>
        <v>180</v>
      </c>
      <c r="Y1894" s="121"/>
      <c r="Z1894" s="121" t="str">
        <f>Таблица18[[#This Row],[Хар-ка]]</f>
        <v>Высший</v>
      </c>
      <c r="AA1894"/>
      <c r="AB1894">
        <v>484</v>
      </c>
      <c r="AC1894"/>
      <c r="AD1894" s="460" t="s">
        <v>3115</v>
      </c>
      <c r="AE1894" t="s">
        <v>909</v>
      </c>
      <c r="AF1894" t="s">
        <v>52</v>
      </c>
    </row>
    <row r="1895" spans="1:32" s="465" customFormat="1" ht="22.5" x14ac:dyDescent="0.25">
      <c r="A1895" s="40" t="s">
        <v>3722</v>
      </c>
      <c r="B1895" s="360" t="s">
        <v>2940</v>
      </c>
      <c r="C1895" s="40">
        <v>658</v>
      </c>
      <c r="D1895" s="40">
        <v>26</v>
      </c>
      <c r="E1895" s="40" t="s">
        <v>3625</v>
      </c>
      <c r="F1895" s="40" t="s">
        <v>234</v>
      </c>
      <c r="G1895" s="40" t="s">
        <v>238</v>
      </c>
      <c r="H1895" s="40" t="s">
        <v>3122</v>
      </c>
      <c r="I1895" s="40" t="str">
        <f>VLOOKUP(Таблица18[[#This Row],[Номер акта]],$AB$1:$AF$2504,3,FALSE)</f>
        <v>3.3 Колос</v>
      </c>
      <c r="J1895" s="40" t="s">
        <v>909</v>
      </c>
      <c r="K1895" s="40" t="s">
        <v>3645</v>
      </c>
      <c r="L1895" s="121">
        <v>29150</v>
      </c>
      <c r="M1895" s="121">
        <v>15580</v>
      </c>
      <c r="N1895" s="121">
        <v>14</v>
      </c>
      <c r="O1895" s="363">
        <v>13570</v>
      </c>
      <c r="P1895" s="363">
        <v>11670.2</v>
      </c>
      <c r="Q1895" s="121">
        <v>2026</v>
      </c>
      <c r="R1895" s="121">
        <v>513</v>
      </c>
      <c r="S1895" s="148">
        <v>46201</v>
      </c>
      <c r="T1895" s="363">
        <f>Таблица18[[#This Row],[Вес нетто]]-Таблица18[[#This Row],[Зачетный вес]]</f>
        <v>1899.7999999999993</v>
      </c>
      <c r="U1895" s="392">
        <f>Таблица18[[#This Row],[Отход]]/Таблица18[[#This Row],[Вес нетто]]</f>
        <v>0.13999999999999996</v>
      </c>
      <c r="V1895" s="121">
        <f>MONTH(Таблица18[[#This Row],[Дата акта]])</f>
        <v>6</v>
      </c>
      <c r="W1895" s="121">
        <f>DAY(Таблица18[[#This Row],[Дата акта]])</f>
        <v>28</v>
      </c>
      <c r="X1895" s="148">
        <f>DATE(1900,Таблица18[[#This Row],[Месяц]],Таблица18[[#This Row],[Число]])</f>
        <v>180</v>
      </c>
      <c r="Y1895" s="121"/>
      <c r="Z1895" s="121" t="str">
        <f>Таблица18[[#This Row],[Хар-ка]]</f>
        <v>Высший</v>
      </c>
      <c r="AA1895"/>
      <c r="AB1895">
        <v>485</v>
      </c>
      <c r="AC1895"/>
      <c r="AD1895" s="460" t="s">
        <v>3116</v>
      </c>
      <c r="AE1895" t="s">
        <v>909</v>
      </c>
      <c r="AF1895" t="s">
        <v>52</v>
      </c>
    </row>
    <row r="1896" spans="1:32" s="465" customFormat="1" ht="22.5" x14ac:dyDescent="0.25">
      <c r="A1896" s="40" t="s">
        <v>3723</v>
      </c>
      <c r="B1896" s="360" t="s">
        <v>2940</v>
      </c>
      <c r="C1896" s="40">
        <v>659</v>
      </c>
      <c r="D1896" s="40">
        <v>27</v>
      </c>
      <c r="E1896" s="40" t="s">
        <v>3625</v>
      </c>
      <c r="F1896" s="40" t="s">
        <v>335</v>
      </c>
      <c r="G1896" s="40" t="s">
        <v>339</v>
      </c>
      <c r="H1896" s="40" t="s">
        <v>3122</v>
      </c>
      <c r="I1896" s="40" t="str">
        <f>VLOOKUP(Таблица18[[#This Row],[Номер акта]],$AB$1:$AF$2504,3,FALSE)</f>
        <v>3.3 Колос</v>
      </c>
      <c r="J1896" s="40" t="s">
        <v>909</v>
      </c>
      <c r="K1896" s="40" t="s">
        <v>3645</v>
      </c>
      <c r="L1896" s="121">
        <v>28070</v>
      </c>
      <c r="M1896" s="121">
        <v>15050</v>
      </c>
      <c r="N1896" s="121">
        <v>14</v>
      </c>
      <c r="O1896" s="363">
        <v>13020</v>
      </c>
      <c r="P1896" s="363">
        <v>11197.2</v>
      </c>
      <c r="Q1896" s="121">
        <v>2026</v>
      </c>
      <c r="R1896" s="121">
        <v>514</v>
      </c>
      <c r="S1896" s="148">
        <v>46201</v>
      </c>
      <c r="T1896" s="363">
        <f>Таблица18[[#This Row],[Вес нетто]]-Таблица18[[#This Row],[Зачетный вес]]</f>
        <v>1822.7999999999993</v>
      </c>
      <c r="U1896" s="392">
        <f>Таблица18[[#This Row],[Отход]]/Таблица18[[#This Row],[Вес нетто]]</f>
        <v>0.13999999999999996</v>
      </c>
      <c r="V1896" s="121">
        <f>MONTH(Таблица18[[#This Row],[Дата акта]])</f>
        <v>6</v>
      </c>
      <c r="W1896" s="121">
        <f>DAY(Таблица18[[#This Row],[Дата акта]])</f>
        <v>28</v>
      </c>
      <c r="X1896" s="148">
        <f>DATE(1900,Таблица18[[#This Row],[Месяц]],Таблица18[[#This Row],[Число]])</f>
        <v>180</v>
      </c>
      <c r="Y1896" s="121"/>
      <c r="Z1896" s="121" t="str">
        <f>Таблица18[[#This Row],[Хар-ка]]</f>
        <v>Высший</v>
      </c>
      <c r="AA1896"/>
      <c r="AB1896">
        <v>486</v>
      </c>
      <c r="AC1896"/>
      <c r="AD1896" s="460" t="s">
        <v>3092</v>
      </c>
      <c r="AE1896" t="s">
        <v>900</v>
      </c>
      <c r="AF1896" t="s">
        <v>46</v>
      </c>
    </row>
    <row r="1897" spans="1:32" s="465" customFormat="1" ht="22.5" x14ac:dyDescent="0.25">
      <c r="A1897" s="40" t="s">
        <v>3683</v>
      </c>
      <c r="B1897" s="360" t="s">
        <v>2940</v>
      </c>
      <c r="C1897" s="40">
        <v>660</v>
      </c>
      <c r="D1897" s="40">
        <v>28</v>
      </c>
      <c r="E1897" s="40" t="s">
        <v>3625</v>
      </c>
      <c r="F1897" s="40" t="s">
        <v>3554</v>
      </c>
      <c r="G1897" s="40" t="s">
        <v>3555</v>
      </c>
      <c r="H1897" s="40" t="s">
        <v>3122</v>
      </c>
      <c r="I1897" s="40" t="str">
        <f>VLOOKUP(Таблица18[[#This Row],[Номер акта]],$AB$1:$AF$2504,3,FALSE)</f>
        <v>3.3 Колос</v>
      </c>
      <c r="J1897" s="40" t="s">
        <v>909</v>
      </c>
      <c r="K1897" s="40" t="s">
        <v>3645</v>
      </c>
      <c r="L1897" s="121">
        <v>27690</v>
      </c>
      <c r="M1897" s="121">
        <v>14740</v>
      </c>
      <c r="N1897" s="121">
        <v>14</v>
      </c>
      <c r="O1897" s="363">
        <v>12950</v>
      </c>
      <c r="P1897" s="363">
        <v>11137</v>
      </c>
      <c r="Q1897" s="121">
        <v>2026</v>
      </c>
      <c r="R1897" s="121">
        <v>515</v>
      </c>
      <c r="S1897" s="148">
        <v>46202</v>
      </c>
      <c r="T1897" s="363">
        <f>Таблица18[[#This Row],[Вес нетто]]-Таблица18[[#This Row],[Зачетный вес]]</f>
        <v>1813</v>
      </c>
      <c r="U1897" s="392">
        <f>Таблица18[[#This Row],[Отход]]/Таблица18[[#This Row],[Вес нетто]]</f>
        <v>0.14000000000000001</v>
      </c>
      <c r="V1897" s="121">
        <f>MONTH(Таблица18[[#This Row],[Дата акта]])</f>
        <v>6</v>
      </c>
      <c r="W1897" s="121">
        <f>DAY(Таблица18[[#This Row],[Дата акта]])</f>
        <v>29</v>
      </c>
      <c r="X1897" s="148">
        <f>DATE(1900,Таблица18[[#This Row],[Месяц]],Таблица18[[#This Row],[Число]])</f>
        <v>181</v>
      </c>
      <c r="Y1897" s="121"/>
      <c r="Z1897" s="121" t="str">
        <f>Таблица18[[#This Row],[Хар-ка]]</f>
        <v>Высший</v>
      </c>
      <c r="AA1897"/>
      <c r="AB1897">
        <v>499</v>
      </c>
      <c r="AC1897"/>
      <c r="AD1897" s="460" t="s">
        <v>3120</v>
      </c>
      <c r="AE1897" t="s">
        <v>901</v>
      </c>
      <c r="AF1897" t="s">
        <v>53</v>
      </c>
    </row>
    <row r="1898" spans="1:32" s="465" customFormat="1" ht="22.5" x14ac:dyDescent="0.25">
      <c r="A1898" s="40" t="s">
        <v>3684</v>
      </c>
      <c r="B1898" s="360" t="s">
        <v>2940</v>
      </c>
      <c r="C1898" s="40">
        <v>661</v>
      </c>
      <c r="D1898" s="40">
        <v>29</v>
      </c>
      <c r="E1898" s="40" t="s">
        <v>3625</v>
      </c>
      <c r="F1898" s="40" t="s">
        <v>3377</v>
      </c>
      <c r="G1898" s="40" t="s">
        <v>3196</v>
      </c>
      <c r="H1898" s="40" t="s">
        <v>3122</v>
      </c>
      <c r="I1898" s="40" t="str">
        <f>VLOOKUP(Таблица18[[#This Row],[Номер акта]],$AB$1:$AF$2504,3,FALSE)</f>
        <v>3.3 Колос</v>
      </c>
      <c r="J1898" s="40" t="s">
        <v>909</v>
      </c>
      <c r="K1898" s="40" t="s">
        <v>3645</v>
      </c>
      <c r="L1898" s="121">
        <v>27280</v>
      </c>
      <c r="M1898" s="121">
        <v>14570</v>
      </c>
      <c r="N1898" s="121">
        <v>15</v>
      </c>
      <c r="O1898" s="363">
        <v>12710</v>
      </c>
      <c r="P1898" s="363">
        <v>10803.5</v>
      </c>
      <c r="Q1898" s="121">
        <v>2026</v>
      </c>
      <c r="R1898" s="121">
        <v>516</v>
      </c>
      <c r="S1898" s="148">
        <v>46202</v>
      </c>
      <c r="T1898" s="363">
        <f>Таблица18[[#This Row],[Вес нетто]]-Таблица18[[#This Row],[Зачетный вес]]</f>
        <v>1906.5</v>
      </c>
      <c r="U1898" s="392">
        <f>Таблица18[[#This Row],[Отход]]/Таблица18[[#This Row],[Вес нетто]]</f>
        <v>0.15</v>
      </c>
      <c r="V1898" s="121">
        <f>MONTH(Таблица18[[#This Row],[Дата акта]])</f>
        <v>6</v>
      </c>
      <c r="W1898" s="121">
        <f>DAY(Таблица18[[#This Row],[Дата акта]])</f>
        <v>29</v>
      </c>
      <c r="X1898" s="148">
        <f>DATE(1900,Таблица18[[#This Row],[Месяц]],Таблица18[[#This Row],[Число]])</f>
        <v>181</v>
      </c>
      <c r="Y1898" s="121"/>
      <c r="Z1898" s="121" t="str">
        <f>Таблица18[[#This Row],[Хар-ка]]</f>
        <v>Высший</v>
      </c>
      <c r="AA1898"/>
      <c r="AB1898">
        <v>500</v>
      </c>
      <c r="AC1898"/>
      <c r="AD1898" s="460" t="s">
        <v>3120</v>
      </c>
      <c r="AE1898" t="s">
        <v>901</v>
      </c>
      <c r="AF1898" t="s">
        <v>53</v>
      </c>
    </row>
    <row r="1899" spans="1:32" s="465" customFormat="1" ht="33.75" x14ac:dyDescent="0.25">
      <c r="A1899" s="40" t="s">
        <v>3685</v>
      </c>
      <c r="B1899" s="360" t="s">
        <v>2940</v>
      </c>
      <c r="C1899" s="40">
        <v>662</v>
      </c>
      <c r="D1899" s="40">
        <v>30</v>
      </c>
      <c r="E1899" s="40" t="s">
        <v>3625</v>
      </c>
      <c r="F1899" s="40" t="s">
        <v>311</v>
      </c>
      <c r="G1899" s="40" t="s">
        <v>315</v>
      </c>
      <c r="H1899" s="40" t="s">
        <v>3122</v>
      </c>
      <c r="I1899" s="40" t="str">
        <f>VLOOKUP(Таблица18[[#This Row],[Номер акта]],$AB$1:$AF$2504,3,FALSE)</f>
        <v>3.3 Колос</v>
      </c>
      <c r="J1899" s="40" t="s">
        <v>909</v>
      </c>
      <c r="K1899" s="40" t="s">
        <v>3645</v>
      </c>
      <c r="L1899" s="121">
        <v>28420</v>
      </c>
      <c r="M1899" s="121">
        <v>15510</v>
      </c>
      <c r="N1899" s="121">
        <v>16</v>
      </c>
      <c r="O1899" s="363">
        <v>12910</v>
      </c>
      <c r="P1899" s="363">
        <v>10844.4</v>
      </c>
      <c r="Q1899" s="121">
        <v>2026</v>
      </c>
      <c r="R1899" s="121">
        <v>517</v>
      </c>
      <c r="S1899" s="148">
        <v>46202</v>
      </c>
      <c r="T1899" s="363">
        <f>Таблица18[[#This Row],[Вес нетто]]-Таблица18[[#This Row],[Зачетный вес]]</f>
        <v>2065.6000000000004</v>
      </c>
      <c r="U1899" s="392">
        <f>Таблица18[[#This Row],[Отход]]/Таблица18[[#This Row],[Вес нетто]]</f>
        <v>0.16000000000000003</v>
      </c>
      <c r="V1899" s="121">
        <f>MONTH(Таблица18[[#This Row],[Дата акта]])</f>
        <v>6</v>
      </c>
      <c r="W1899" s="121">
        <f>DAY(Таблица18[[#This Row],[Дата акта]])</f>
        <v>29</v>
      </c>
      <c r="X1899" s="148">
        <f>DATE(1900,Таблица18[[#This Row],[Месяц]],Таблица18[[#This Row],[Число]])</f>
        <v>181</v>
      </c>
      <c r="Y1899" s="121"/>
      <c r="Z1899" s="121" t="str">
        <f>Таблица18[[#This Row],[Хар-ка]]</f>
        <v>Высший</v>
      </c>
      <c r="AA1899"/>
      <c r="AB1899">
        <v>501</v>
      </c>
      <c r="AC1899"/>
      <c r="AD1899" s="460" t="s">
        <v>3116</v>
      </c>
      <c r="AE1899" t="s">
        <v>909</v>
      </c>
      <c r="AF1899" t="s">
        <v>52</v>
      </c>
    </row>
    <row r="1900" spans="1:32" s="465" customFormat="1" ht="22.5" x14ac:dyDescent="0.25">
      <c r="A1900" s="40" t="s">
        <v>3686</v>
      </c>
      <c r="B1900" s="360" t="s">
        <v>2940</v>
      </c>
      <c r="C1900" s="40">
        <v>663</v>
      </c>
      <c r="D1900" s="40">
        <v>31</v>
      </c>
      <c r="E1900" s="40" t="s">
        <v>3625</v>
      </c>
      <c r="F1900" s="40" t="s">
        <v>133</v>
      </c>
      <c r="G1900" s="40" t="s">
        <v>137</v>
      </c>
      <c r="H1900" s="40" t="s">
        <v>3122</v>
      </c>
      <c r="I1900" s="40" t="str">
        <f>VLOOKUP(Таблица18[[#This Row],[Номер акта]],$AB$1:$AF$2504,3,FALSE)</f>
        <v>3.3 Колос</v>
      </c>
      <c r="J1900" s="40" t="s">
        <v>909</v>
      </c>
      <c r="K1900" s="40" t="s">
        <v>3645</v>
      </c>
      <c r="L1900" s="121">
        <v>31410</v>
      </c>
      <c r="M1900" s="121">
        <v>18640</v>
      </c>
      <c r="N1900" s="121">
        <v>9.5</v>
      </c>
      <c r="O1900" s="363">
        <v>12770</v>
      </c>
      <c r="P1900" s="363">
        <v>11556.9</v>
      </c>
      <c r="Q1900" s="121">
        <v>2026</v>
      </c>
      <c r="R1900" s="121">
        <v>518</v>
      </c>
      <c r="S1900" s="148">
        <v>46202</v>
      </c>
      <c r="T1900" s="363">
        <f>Таблица18[[#This Row],[Вес нетто]]-Таблица18[[#This Row],[Зачетный вес]]</f>
        <v>1213.1000000000004</v>
      </c>
      <c r="U1900" s="392">
        <f>Таблица18[[#This Row],[Отход]]/Таблица18[[#This Row],[Вес нетто]]</f>
        <v>9.4996084573218509E-2</v>
      </c>
      <c r="V1900" s="121">
        <f>MONTH(Таблица18[[#This Row],[Дата акта]])</f>
        <v>6</v>
      </c>
      <c r="W1900" s="121">
        <f>DAY(Таблица18[[#This Row],[Дата акта]])</f>
        <v>29</v>
      </c>
      <c r="X1900" s="148">
        <f>DATE(1900,Таблица18[[#This Row],[Месяц]],Таблица18[[#This Row],[Число]])</f>
        <v>181</v>
      </c>
      <c r="Y1900" s="121"/>
      <c r="Z1900" s="121" t="str">
        <f>Таблица18[[#This Row],[Хар-ка]]</f>
        <v>Высший</v>
      </c>
      <c r="AA1900"/>
      <c r="AB1900">
        <v>502</v>
      </c>
      <c r="AC1900"/>
      <c r="AD1900" s="460" t="s">
        <v>3122</v>
      </c>
      <c r="AE1900" t="s">
        <v>901</v>
      </c>
      <c r="AF1900" t="s">
        <v>53</v>
      </c>
    </row>
    <row r="1901" spans="1:32" s="465" customFormat="1" ht="33.75" x14ac:dyDescent="0.25">
      <c r="A1901" s="40" t="s">
        <v>3687</v>
      </c>
      <c r="B1901" s="360" t="s">
        <v>2940</v>
      </c>
      <c r="C1901" s="40">
        <v>664</v>
      </c>
      <c r="D1901" s="40">
        <v>32</v>
      </c>
      <c r="E1901" s="40" t="s">
        <v>3625</v>
      </c>
      <c r="F1901" s="40" t="s">
        <v>1312</v>
      </c>
      <c r="G1901" s="40" t="s">
        <v>320</v>
      </c>
      <c r="H1901" s="40" t="s">
        <v>3122</v>
      </c>
      <c r="I1901" s="40" t="str">
        <f>VLOOKUP(Таблица18[[#This Row],[Номер акта]],$AB$1:$AF$2504,3,FALSE)</f>
        <v>3.3 Колос</v>
      </c>
      <c r="J1901" s="40" t="s">
        <v>909</v>
      </c>
      <c r="K1901" s="40" t="s">
        <v>3645</v>
      </c>
      <c r="L1901" s="121">
        <v>27620</v>
      </c>
      <c r="M1901" s="121">
        <v>14910</v>
      </c>
      <c r="N1901" s="121">
        <v>10.5</v>
      </c>
      <c r="O1901" s="363">
        <v>12710</v>
      </c>
      <c r="P1901" s="363">
        <v>11375.5</v>
      </c>
      <c r="Q1901" s="121">
        <v>2026</v>
      </c>
      <c r="R1901" s="121">
        <v>519</v>
      </c>
      <c r="S1901" s="148">
        <v>46202</v>
      </c>
      <c r="T1901" s="363">
        <f>Таблица18[[#This Row],[Вес нетто]]-Таблица18[[#This Row],[Зачетный вес]]</f>
        <v>1334.5</v>
      </c>
      <c r="U1901" s="392">
        <f>Таблица18[[#This Row],[Отход]]/Таблица18[[#This Row],[Вес нетто]]</f>
        <v>0.10499606608969315</v>
      </c>
      <c r="V1901" s="121">
        <f>MONTH(Таблица18[[#This Row],[Дата акта]])</f>
        <v>6</v>
      </c>
      <c r="W1901" s="121">
        <f>DAY(Таблица18[[#This Row],[Дата акта]])</f>
        <v>29</v>
      </c>
      <c r="X1901" s="148">
        <f>DATE(1900,Таблица18[[#This Row],[Месяц]],Таблица18[[#This Row],[Число]])</f>
        <v>181</v>
      </c>
      <c r="Y1901" s="121"/>
      <c r="Z1901" s="121" t="str">
        <f>Таблица18[[#This Row],[Хар-ка]]</f>
        <v>Высший</v>
      </c>
      <c r="AA1901"/>
      <c r="AB1901">
        <v>503</v>
      </c>
      <c r="AC1901"/>
      <c r="AD1901" s="460" t="s">
        <v>3122</v>
      </c>
      <c r="AE1901" t="s">
        <v>901</v>
      </c>
      <c r="AF1901" t="s">
        <v>53</v>
      </c>
    </row>
    <row r="1902" spans="1:32" s="465" customFormat="1" ht="22.5" x14ac:dyDescent="0.25">
      <c r="A1902" s="40" t="s">
        <v>3688</v>
      </c>
      <c r="B1902" s="360" t="s">
        <v>2940</v>
      </c>
      <c r="C1902" s="40">
        <v>665</v>
      </c>
      <c r="D1902" s="40">
        <v>33</v>
      </c>
      <c r="E1902" s="40" t="s">
        <v>3625</v>
      </c>
      <c r="F1902" s="40" t="s">
        <v>894</v>
      </c>
      <c r="G1902" s="40" t="s">
        <v>895</v>
      </c>
      <c r="H1902" s="40" t="s">
        <v>3122</v>
      </c>
      <c r="I1902" s="40" t="str">
        <f>VLOOKUP(Таблица18[[#This Row],[Номер акта]],$AB$1:$AF$2504,3,FALSE)</f>
        <v>3.3 Колос</v>
      </c>
      <c r="J1902" s="40" t="s">
        <v>909</v>
      </c>
      <c r="K1902" s="40" t="s">
        <v>3645</v>
      </c>
      <c r="L1902" s="121">
        <v>28100</v>
      </c>
      <c r="M1902" s="121">
        <v>15230</v>
      </c>
      <c r="N1902" s="121">
        <v>12.5</v>
      </c>
      <c r="O1902" s="363">
        <v>12870</v>
      </c>
      <c r="P1902" s="363">
        <v>11261.3</v>
      </c>
      <c r="Q1902" s="121">
        <v>2026</v>
      </c>
      <c r="R1902" s="121">
        <v>521</v>
      </c>
      <c r="S1902" s="148">
        <v>46202</v>
      </c>
      <c r="T1902" s="363">
        <f>Таблица18[[#This Row],[Вес нетто]]-Таблица18[[#This Row],[Зачетный вес]]</f>
        <v>1608.7000000000007</v>
      </c>
      <c r="U1902" s="392">
        <f>Таблица18[[#This Row],[Отход]]/Таблица18[[#This Row],[Вес нетто]]</f>
        <v>0.12499611499611506</v>
      </c>
      <c r="V1902" s="121">
        <f>MONTH(Таблица18[[#This Row],[Дата акта]])</f>
        <v>6</v>
      </c>
      <c r="W1902" s="121">
        <f>DAY(Таблица18[[#This Row],[Дата акта]])</f>
        <v>29</v>
      </c>
      <c r="X1902" s="148">
        <f>DATE(1900,Таблица18[[#This Row],[Месяц]],Таблица18[[#This Row],[Число]])</f>
        <v>181</v>
      </c>
      <c r="Y1902" s="121"/>
      <c r="Z1902" s="121" t="str">
        <f>Таблица18[[#This Row],[Хар-ка]]</f>
        <v>Высший</v>
      </c>
      <c r="AA1902"/>
      <c r="AB1902">
        <v>504</v>
      </c>
      <c r="AC1902"/>
      <c r="AD1902" s="460" t="s">
        <v>3116</v>
      </c>
      <c r="AE1902" t="s">
        <v>909</v>
      </c>
      <c r="AF1902" t="s">
        <v>52</v>
      </c>
    </row>
    <row r="1903" spans="1:32" s="465" customFormat="1" ht="33.75" x14ac:dyDescent="0.25">
      <c r="A1903" s="40" t="s">
        <v>3689</v>
      </c>
      <c r="B1903" s="360" t="s">
        <v>2940</v>
      </c>
      <c r="C1903" s="40">
        <v>666</v>
      </c>
      <c r="D1903" s="40">
        <v>34</v>
      </c>
      <c r="E1903" s="40" t="s">
        <v>3625</v>
      </c>
      <c r="F1903" s="40" t="s">
        <v>1461</v>
      </c>
      <c r="G1903" s="40" t="s">
        <v>149</v>
      </c>
      <c r="H1903" s="40" t="s">
        <v>3122</v>
      </c>
      <c r="I1903" s="40" t="str">
        <f>VLOOKUP(Таблица18[[#This Row],[Номер акта]],$AB$1:$AF$2504,3,FALSE)</f>
        <v>3.3 Колос</v>
      </c>
      <c r="J1903" s="40" t="s">
        <v>909</v>
      </c>
      <c r="K1903" s="40" t="s">
        <v>3645</v>
      </c>
      <c r="L1903" s="121">
        <v>28100</v>
      </c>
      <c r="M1903" s="121">
        <v>15410</v>
      </c>
      <c r="N1903" s="121">
        <v>11</v>
      </c>
      <c r="O1903" s="363">
        <v>12690</v>
      </c>
      <c r="P1903" s="363">
        <v>11294.1</v>
      </c>
      <c r="Q1903" s="121">
        <v>2026</v>
      </c>
      <c r="R1903" s="121">
        <v>520</v>
      </c>
      <c r="S1903" s="148">
        <v>46202</v>
      </c>
      <c r="T1903" s="363">
        <f>Таблица18[[#This Row],[Вес нетто]]-Таблица18[[#This Row],[Зачетный вес]]</f>
        <v>1395.8999999999996</v>
      </c>
      <c r="U1903" s="392">
        <f>Таблица18[[#This Row],[Отход]]/Таблица18[[#This Row],[Вес нетто]]</f>
        <v>0.10999999999999997</v>
      </c>
      <c r="V1903" s="121">
        <f>MONTH(Таблица18[[#This Row],[Дата акта]])</f>
        <v>6</v>
      </c>
      <c r="W1903" s="121">
        <f>DAY(Таблица18[[#This Row],[Дата акта]])</f>
        <v>29</v>
      </c>
      <c r="X1903" s="148">
        <f>DATE(1900,Таблица18[[#This Row],[Месяц]],Таблица18[[#This Row],[Число]])</f>
        <v>181</v>
      </c>
      <c r="Y1903" s="121"/>
      <c r="Z1903" s="121" t="str">
        <f>Таблица18[[#This Row],[Хар-ка]]</f>
        <v>Высший</v>
      </c>
      <c r="AA1903"/>
      <c r="AB1903">
        <v>505</v>
      </c>
      <c r="AC1903"/>
      <c r="AD1903" s="460" t="s">
        <v>3116</v>
      </c>
      <c r="AE1903" t="s">
        <v>909</v>
      </c>
      <c r="AF1903" t="s">
        <v>52</v>
      </c>
    </row>
    <row r="1904" spans="1:32" s="465" customFormat="1" ht="33.75" x14ac:dyDescent="0.25">
      <c r="A1904" s="40" t="s">
        <v>3690</v>
      </c>
      <c r="B1904" s="360" t="s">
        <v>2940</v>
      </c>
      <c r="C1904" s="40">
        <v>667</v>
      </c>
      <c r="D1904" s="40">
        <v>35</v>
      </c>
      <c r="E1904" s="40" t="s">
        <v>3625</v>
      </c>
      <c r="F1904" s="40" t="s">
        <v>195</v>
      </c>
      <c r="G1904" s="40" t="s">
        <v>199</v>
      </c>
      <c r="H1904" s="40" t="s">
        <v>3122</v>
      </c>
      <c r="I1904" s="40" t="str">
        <f>VLOOKUP(Таблица18[[#This Row],[Номер акта]],$AB$1:$AF$2504,3,FALSE)</f>
        <v>3.3 Колос</v>
      </c>
      <c r="J1904" s="40" t="s">
        <v>909</v>
      </c>
      <c r="K1904" s="40" t="s">
        <v>3645</v>
      </c>
      <c r="L1904" s="121">
        <v>28550</v>
      </c>
      <c r="M1904" s="121">
        <v>15790</v>
      </c>
      <c r="N1904" s="121">
        <v>11</v>
      </c>
      <c r="O1904" s="363">
        <v>12760</v>
      </c>
      <c r="P1904" s="363">
        <v>11356.4</v>
      </c>
      <c r="Q1904" s="121">
        <v>2026</v>
      </c>
      <c r="R1904" s="121">
        <v>522</v>
      </c>
      <c r="S1904" s="148">
        <v>46202</v>
      </c>
      <c r="T1904" s="363">
        <f>Таблица18[[#This Row],[Вес нетто]]-Таблица18[[#This Row],[Зачетный вес]]</f>
        <v>1403.6000000000004</v>
      </c>
      <c r="U1904" s="392">
        <f>Таблица18[[#This Row],[Отход]]/Таблица18[[#This Row],[Вес нетто]]</f>
        <v>0.11000000000000003</v>
      </c>
      <c r="V1904" s="121">
        <f>MONTH(Таблица18[[#This Row],[Дата акта]])</f>
        <v>6</v>
      </c>
      <c r="W1904" s="121">
        <f>DAY(Таблица18[[#This Row],[Дата акта]])</f>
        <v>29</v>
      </c>
      <c r="X1904" s="148">
        <f>DATE(1900,Таблица18[[#This Row],[Месяц]],Таблица18[[#This Row],[Число]])</f>
        <v>181</v>
      </c>
      <c r="Y1904" s="121"/>
      <c r="Z1904" s="121" t="str">
        <f>Таблица18[[#This Row],[Хар-ка]]</f>
        <v>Высший</v>
      </c>
      <c r="AA1904"/>
      <c r="AB1904">
        <v>506</v>
      </c>
      <c r="AC1904"/>
      <c r="AD1904" s="460" t="s">
        <v>3116</v>
      </c>
      <c r="AE1904" t="s">
        <v>909</v>
      </c>
      <c r="AF1904" t="s">
        <v>52</v>
      </c>
    </row>
    <row r="1905" spans="1:32" s="465" customFormat="1" ht="33.75" x14ac:dyDescent="0.25">
      <c r="A1905" s="40" t="s">
        <v>3691</v>
      </c>
      <c r="B1905" s="360" t="s">
        <v>2940</v>
      </c>
      <c r="C1905" s="40">
        <v>669</v>
      </c>
      <c r="D1905" s="40">
        <v>36</v>
      </c>
      <c r="E1905" s="40" t="s">
        <v>3625</v>
      </c>
      <c r="F1905" s="40" t="s">
        <v>239</v>
      </c>
      <c r="G1905" s="40" t="s">
        <v>243</v>
      </c>
      <c r="H1905" s="40" t="s">
        <v>3122</v>
      </c>
      <c r="I1905" s="40" t="str">
        <f>VLOOKUP(Таблица18[[#This Row],[Номер акта]],$AB$1:$AF$2504,3,FALSE)</f>
        <v>3.3 Колос</v>
      </c>
      <c r="J1905" s="40" t="s">
        <v>909</v>
      </c>
      <c r="K1905" s="40" t="s">
        <v>3645</v>
      </c>
      <c r="L1905" s="121">
        <v>27560</v>
      </c>
      <c r="M1905" s="121">
        <v>14340</v>
      </c>
      <c r="N1905" s="121">
        <v>9.5</v>
      </c>
      <c r="O1905" s="363">
        <v>13220</v>
      </c>
      <c r="P1905" s="363">
        <v>11964.1</v>
      </c>
      <c r="Q1905" s="121">
        <v>2026</v>
      </c>
      <c r="R1905" s="121">
        <v>523</v>
      </c>
      <c r="S1905" s="148">
        <v>46202</v>
      </c>
      <c r="T1905" s="363">
        <f>Таблица18[[#This Row],[Вес нетто]]-Таблица18[[#This Row],[Зачетный вес]]</f>
        <v>1255.8999999999996</v>
      </c>
      <c r="U1905" s="392">
        <f>Таблица18[[#This Row],[Отход]]/Таблица18[[#This Row],[Вес нетто]]</f>
        <v>9.4999999999999973E-2</v>
      </c>
      <c r="V1905" s="121">
        <f>MONTH(Таблица18[[#This Row],[Дата акта]])</f>
        <v>6</v>
      </c>
      <c r="W1905" s="121">
        <f>DAY(Таблица18[[#This Row],[Дата акта]])</f>
        <v>29</v>
      </c>
      <c r="X1905" s="148">
        <f>DATE(1900,Таблица18[[#This Row],[Месяц]],Таблица18[[#This Row],[Число]])</f>
        <v>181</v>
      </c>
      <c r="Y1905" s="121"/>
      <c r="Z1905" s="121" t="str">
        <f>Таблица18[[#This Row],[Хар-ка]]</f>
        <v>Высший</v>
      </c>
      <c r="AA1905"/>
      <c r="AB1905">
        <v>507</v>
      </c>
      <c r="AC1905"/>
      <c r="AD1905" s="460" t="s">
        <v>3122</v>
      </c>
      <c r="AE1905" t="s">
        <v>901</v>
      </c>
      <c r="AF1905" t="s">
        <v>53</v>
      </c>
    </row>
    <row r="1906" spans="1:32" s="465" customFormat="1" ht="22.5" x14ac:dyDescent="0.25">
      <c r="A1906" s="40" t="s">
        <v>3692</v>
      </c>
      <c r="B1906" s="360" t="s">
        <v>2940</v>
      </c>
      <c r="C1906" s="40">
        <v>670</v>
      </c>
      <c r="D1906" s="40">
        <v>37</v>
      </c>
      <c r="E1906" s="40" t="s">
        <v>3625</v>
      </c>
      <c r="F1906" s="40" t="s">
        <v>1151</v>
      </c>
      <c r="G1906" s="40" t="s">
        <v>145</v>
      </c>
      <c r="H1906" s="40" t="s">
        <v>3122</v>
      </c>
      <c r="I1906" s="40" t="str">
        <f>VLOOKUP(Таблица18[[#This Row],[Номер акта]],$AB$1:$AF$2504,3,FALSE)</f>
        <v>3.3 Колос</v>
      </c>
      <c r="J1906" s="40" t="s">
        <v>909</v>
      </c>
      <c r="K1906" s="40" t="s">
        <v>3645</v>
      </c>
      <c r="L1906" s="121">
        <v>28620</v>
      </c>
      <c r="M1906" s="121">
        <v>15910</v>
      </c>
      <c r="N1906" s="121">
        <v>6.5</v>
      </c>
      <c r="O1906" s="363">
        <v>12710</v>
      </c>
      <c r="P1906" s="363">
        <v>11883.9</v>
      </c>
      <c r="Q1906" s="121">
        <v>2026</v>
      </c>
      <c r="R1906" s="121">
        <v>524</v>
      </c>
      <c r="S1906" s="148">
        <v>46202</v>
      </c>
      <c r="T1906" s="363">
        <f>Таблица18[[#This Row],[Вес нетто]]-Таблица18[[#This Row],[Зачетный вес]]</f>
        <v>826.10000000000036</v>
      </c>
      <c r="U1906" s="392">
        <f>Таблица18[[#This Row],[Отход]]/Таблица18[[#This Row],[Вес нетто]]</f>
        <v>6.4996066089693189E-2</v>
      </c>
      <c r="V1906" s="121">
        <f>MONTH(Таблица18[[#This Row],[Дата акта]])</f>
        <v>6</v>
      </c>
      <c r="W1906" s="121">
        <f>DAY(Таблица18[[#This Row],[Дата акта]])</f>
        <v>29</v>
      </c>
      <c r="X1906" s="148">
        <f>DATE(1900,Таблица18[[#This Row],[Месяц]],Таблица18[[#This Row],[Число]])</f>
        <v>181</v>
      </c>
      <c r="Y1906" s="121"/>
      <c r="Z1906" s="121" t="str">
        <f>Таблица18[[#This Row],[Хар-ка]]</f>
        <v>Высший</v>
      </c>
      <c r="AA1906"/>
      <c r="AB1906">
        <v>508</v>
      </c>
      <c r="AC1906"/>
      <c r="AD1906" s="460" t="s">
        <v>3122</v>
      </c>
      <c r="AE1906" t="s">
        <v>897</v>
      </c>
      <c r="AF1906" t="s">
        <v>53</v>
      </c>
    </row>
    <row r="1907" spans="1:32" s="465" customFormat="1" ht="33.75" x14ac:dyDescent="0.25">
      <c r="A1907" s="40" t="s">
        <v>3693</v>
      </c>
      <c r="B1907" s="360" t="s">
        <v>2940</v>
      </c>
      <c r="C1907" s="40">
        <v>672</v>
      </c>
      <c r="D1907" s="40">
        <v>38</v>
      </c>
      <c r="E1907" s="40" t="s">
        <v>3625</v>
      </c>
      <c r="F1907" s="40" t="s">
        <v>121</v>
      </c>
      <c r="G1907" s="40" t="s">
        <v>125</v>
      </c>
      <c r="H1907" s="40" t="s">
        <v>3122</v>
      </c>
      <c r="I1907" s="40" t="str">
        <f>VLOOKUP(Таблица18[[#This Row],[Номер акта]],$AB$1:$AF$2504,3,FALSE)</f>
        <v>3.3 Колос</v>
      </c>
      <c r="J1907" s="40" t="s">
        <v>909</v>
      </c>
      <c r="K1907" s="40" t="s">
        <v>3645</v>
      </c>
      <c r="L1907" s="121">
        <v>27510</v>
      </c>
      <c r="M1907" s="121">
        <v>14750</v>
      </c>
      <c r="N1907" s="121">
        <v>9.5</v>
      </c>
      <c r="O1907" s="363">
        <v>12760</v>
      </c>
      <c r="P1907" s="363">
        <v>11547.8</v>
      </c>
      <c r="Q1907" s="121">
        <v>2026</v>
      </c>
      <c r="R1907" s="121">
        <v>525</v>
      </c>
      <c r="S1907" s="148">
        <v>46202</v>
      </c>
      <c r="T1907" s="363">
        <f>Таблица18[[#This Row],[Вес нетто]]-Таблица18[[#This Row],[Зачетный вес]]</f>
        <v>1212.2000000000007</v>
      </c>
      <c r="U1907" s="392">
        <f>Таблица18[[#This Row],[Отход]]/Таблица18[[#This Row],[Вес нетто]]</f>
        <v>9.5000000000000057E-2</v>
      </c>
      <c r="V1907" s="121">
        <f>MONTH(Таблица18[[#This Row],[Дата акта]])</f>
        <v>6</v>
      </c>
      <c r="W1907" s="121">
        <f>DAY(Таблица18[[#This Row],[Дата акта]])</f>
        <v>29</v>
      </c>
      <c r="X1907" s="148">
        <f>DATE(1900,Таблица18[[#This Row],[Месяц]],Таблица18[[#This Row],[Число]])</f>
        <v>181</v>
      </c>
      <c r="Y1907" s="121"/>
      <c r="Z1907" s="121" t="str">
        <f>Таблица18[[#This Row],[Хар-ка]]</f>
        <v>Высший</v>
      </c>
      <c r="AA1907"/>
      <c r="AB1907">
        <v>509</v>
      </c>
      <c r="AC1907"/>
      <c r="AD1907" s="460" t="s">
        <v>3122</v>
      </c>
      <c r="AE1907" t="s">
        <v>897</v>
      </c>
      <c r="AF1907" t="s">
        <v>53</v>
      </c>
    </row>
    <row r="1908" spans="1:32" s="465" customFormat="1" ht="22.5" x14ac:dyDescent="0.25">
      <c r="A1908" s="40" t="s">
        <v>3694</v>
      </c>
      <c r="B1908" s="360" t="s">
        <v>2940</v>
      </c>
      <c r="C1908" s="40">
        <v>673</v>
      </c>
      <c r="D1908" s="40">
        <v>40</v>
      </c>
      <c r="E1908" s="40" t="s">
        <v>3625</v>
      </c>
      <c r="F1908" s="40" t="s">
        <v>335</v>
      </c>
      <c r="G1908" s="40" t="s">
        <v>339</v>
      </c>
      <c r="H1908" s="40" t="s">
        <v>3122</v>
      </c>
      <c r="I1908" s="40" t="str">
        <f>VLOOKUP(Таблица18[[#This Row],[Номер акта]],$AB$1:$AF$2504,3,FALSE)</f>
        <v>3.3 Колос</v>
      </c>
      <c r="J1908" s="40" t="s">
        <v>909</v>
      </c>
      <c r="K1908" s="40" t="s">
        <v>3645</v>
      </c>
      <c r="L1908" s="121">
        <v>27880</v>
      </c>
      <c r="M1908" s="121">
        <v>14970</v>
      </c>
      <c r="N1908" s="121">
        <v>8.5</v>
      </c>
      <c r="O1908" s="363">
        <v>12910</v>
      </c>
      <c r="P1908" s="363">
        <v>11812.7</v>
      </c>
      <c r="Q1908" s="121">
        <v>2026</v>
      </c>
      <c r="R1908" s="121">
        <v>527</v>
      </c>
      <c r="S1908" s="148">
        <v>46202</v>
      </c>
      <c r="T1908" s="363">
        <f>Таблица18[[#This Row],[Вес нетто]]-Таблица18[[#This Row],[Зачетный вес]]</f>
        <v>1097.2999999999993</v>
      </c>
      <c r="U1908" s="392">
        <f>Таблица18[[#This Row],[Отход]]/Таблица18[[#This Row],[Вес нетто]]</f>
        <v>8.4996127033307459E-2</v>
      </c>
      <c r="V1908" s="121">
        <f>MONTH(Таблица18[[#This Row],[Дата акта]])</f>
        <v>6</v>
      </c>
      <c r="W1908" s="121">
        <f>DAY(Таблица18[[#This Row],[Дата акта]])</f>
        <v>29</v>
      </c>
      <c r="X1908" s="148">
        <f>DATE(1900,Таблица18[[#This Row],[Месяц]],Таблица18[[#This Row],[Число]])</f>
        <v>181</v>
      </c>
      <c r="Y1908" s="121"/>
      <c r="Z1908" s="121" t="str">
        <f>Таблица18[[#This Row],[Хар-ка]]</f>
        <v>Высший</v>
      </c>
      <c r="AA1908"/>
      <c r="AB1908">
        <v>510</v>
      </c>
      <c r="AC1908"/>
      <c r="AD1908" s="460" t="s">
        <v>3122</v>
      </c>
      <c r="AE1908" t="s">
        <v>897</v>
      </c>
      <c r="AF1908" t="s">
        <v>53</v>
      </c>
    </row>
    <row r="1909" spans="1:32" s="465" customFormat="1" ht="22.5" x14ac:dyDescent="0.25">
      <c r="A1909" s="40" t="s">
        <v>3695</v>
      </c>
      <c r="B1909" s="360" t="s">
        <v>2940</v>
      </c>
      <c r="C1909" s="40">
        <v>674</v>
      </c>
      <c r="D1909" s="40">
        <v>39</v>
      </c>
      <c r="E1909" s="40" t="s">
        <v>3625</v>
      </c>
      <c r="F1909" s="40" t="s">
        <v>234</v>
      </c>
      <c r="G1909" s="40" t="s">
        <v>238</v>
      </c>
      <c r="H1909" s="40" t="s">
        <v>3122</v>
      </c>
      <c r="I1909" s="40" t="str">
        <f>VLOOKUP(Таблица18[[#This Row],[Номер акта]],$AB$1:$AF$2504,3,FALSE)</f>
        <v>3.3 Колос</v>
      </c>
      <c r="J1909" s="40" t="s">
        <v>909</v>
      </c>
      <c r="K1909" s="40" t="s">
        <v>3645</v>
      </c>
      <c r="L1909" s="121">
        <v>29100</v>
      </c>
      <c r="M1909" s="121">
        <v>15750</v>
      </c>
      <c r="N1909" s="121">
        <v>9.5</v>
      </c>
      <c r="O1909" s="363">
        <v>13350</v>
      </c>
      <c r="P1909" s="363">
        <v>12081.8</v>
      </c>
      <c r="Q1909" s="121">
        <v>2026</v>
      </c>
      <c r="R1909" s="121">
        <v>528</v>
      </c>
      <c r="S1909" s="148">
        <v>46202</v>
      </c>
      <c r="T1909" s="363">
        <f>Таблица18[[#This Row],[Вес нетто]]-Таблица18[[#This Row],[Зачетный вес]]</f>
        <v>1268.2000000000007</v>
      </c>
      <c r="U1909" s="392">
        <f>Таблица18[[#This Row],[Отход]]/Таблица18[[#This Row],[Вес нетто]]</f>
        <v>9.499625468164799E-2</v>
      </c>
      <c r="V1909" s="121">
        <f>MONTH(Таблица18[[#This Row],[Дата акта]])</f>
        <v>6</v>
      </c>
      <c r="W1909" s="121">
        <f>DAY(Таблица18[[#This Row],[Дата акта]])</f>
        <v>29</v>
      </c>
      <c r="X1909" s="148">
        <f>DATE(1900,Таблица18[[#This Row],[Месяц]],Таблица18[[#This Row],[Число]])</f>
        <v>181</v>
      </c>
      <c r="Y1909" s="121"/>
      <c r="Z1909" s="121" t="str">
        <f>Таблица18[[#This Row],[Хар-ка]]</f>
        <v>Высший</v>
      </c>
      <c r="AA1909"/>
      <c r="AB1909">
        <v>511</v>
      </c>
      <c r="AC1909"/>
      <c r="AD1909" s="460" t="s">
        <v>3122</v>
      </c>
      <c r="AE1909" t="s">
        <v>897</v>
      </c>
      <c r="AF1909" t="s">
        <v>53</v>
      </c>
    </row>
    <row r="1910" spans="1:32" s="465" customFormat="1" ht="22.5" x14ac:dyDescent="0.25">
      <c r="A1910" s="40" t="s">
        <v>3696</v>
      </c>
      <c r="B1910" s="360" t="s">
        <v>2940</v>
      </c>
      <c r="C1910" s="40">
        <v>675</v>
      </c>
      <c r="D1910" s="40">
        <v>41</v>
      </c>
      <c r="E1910" s="40" t="s">
        <v>3625</v>
      </c>
      <c r="F1910" s="40" t="s">
        <v>3377</v>
      </c>
      <c r="G1910" s="40" t="s">
        <v>3196</v>
      </c>
      <c r="H1910" s="40" t="s">
        <v>3122</v>
      </c>
      <c r="I1910" s="40" t="str">
        <f>VLOOKUP(Таблица18[[#This Row],[Номер акта]],$AB$1:$AF$2504,3,FALSE)</f>
        <v>3.3 Колос</v>
      </c>
      <c r="J1910" s="40" t="s">
        <v>909</v>
      </c>
      <c r="K1910" s="40" t="s">
        <v>3645</v>
      </c>
      <c r="L1910" s="121">
        <v>27420</v>
      </c>
      <c r="M1910" s="121">
        <v>14540</v>
      </c>
      <c r="N1910" s="121">
        <v>12.5</v>
      </c>
      <c r="O1910" s="363">
        <v>12880</v>
      </c>
      <c r="P1910" s="363">
        <v>11270</v>
      </c>
      <c r="Q1910" s="121">
        <v>2026</v>
      </c>
      <c r="R1910" s="121">
        <v>529</v>
      </c>
      <c r="S1910" s="148">
        <v>46202</v>
      </c>
      <c r="T1910" s="363">
        <f>Таблица18[[#This Row],[Вес нетто]]-Таблица18[[#This Row],[Зачетный вес]]</f>
        <v>1610</v>
      </c>
      <c r="U1910" s="392">
        <f>Таблица18[[#This Row],[Отход]]/Таблица18[[#This Row],[Вес нетто]]</f>
        <v>0.125</v>
      </c>
      <c r="V1910" s="121">
        <f>MONTH(Таблица18[[#This Row],[Дата акта]])</f>
        <v>6</v>
      </c>
      <c r="W1910" s="121">
        <f>DAY(Таблица18[[#This Row],[Дата акта]])</f>
        <v>29</v>
      </c>
      <c r="X1910" s="148">
        <f>DATE(1900,Таблица18[[#This Row],[Месяц]],Таблица18[[#This Row],[Число]])</f>
        <v>181</v>
      </c>
      <c r="Y1910" s="121"/>
      <c r="Z1910" s="121" t="str">
        <f>Таблица18[[#This Row],[Хар-ка]]</f>
        <v>Высший</v>
      </c>
      <c r="AA1910"/>
      <c r="AB1910">
        <v>512</v>
      </c>
      <c r="AC1910"/>
      <c r="AD1910" s="460" t="s">
        <v>3122</v>
      </c>
      <c r="AE1910" t="s">
        <v>897</v>
      </c>
      <c r="AF1910" t="s">
        <v>53</v>
      </c>
    </row>
    <row r="1911" spans="1:32" s="465" customFormat="1" ht="22.5" x14ac:dyDescent="0.25">
      <c r="A1911" s="40" t="s">
        <v>3724</v>
      </c>
      <c r="B1911" s="360" t="s">
        <v>2940</v>
      </c>
      <c r="C1911" s="40">
        <v>676</v>
      </c>
      <c r="D1911" s="40">
        <v>42</v>
      </c>
      <c r="E1911" s="40" t="s">
        <v>3625</v>
      </c>
      <c r="F1911" s="40" t="s">
        <v>3623</v>
      </c>
      <c r="G1911" s="40" t="s">
        <v>3679</v>
      </c>
      <c r="H1911" s="40" t="s">
        <v>3122</v>
      </c>
      <c r="I1911" s="40" t="str">
        <f>VLOOKUP(Таблица18[[#This Row],[Номер акта]],$AB$1:$AF$2504,3,FALSE)</f>
        <v>3.3 Колос</v>
      </c>
      <c r="J1911" s="40" t="s">
        <v>909</v>
      </c>
      <c r="K1911" s="40" t="s">
        <v>3645</v>
      </c>
      <c r="L1911" s="121">
        <v>27570</v>
      </c>
      <c r="M1911" s="121">
        <v>14560</v>
      </c>
      <c r="N1911" s="121">
        <v>10.5</v>
      </c>
      <c r="O1911" s="363">
        <v>13010</v>
      </c>
      <c r="P1911" s="363">
        <v>11644</v>
      </c>
      <c r="Q1911" s="121">
        <v>2026</v>
      </c>
      <c r="R1911" s="121">
        <v>530</v>
      </c>
      <c r="S1911" s="148">
        <v>46202</v>
      </c>
      <c r="T1911" s="363">
        <f>Таблица18[[#This Row],[Вес нетто]]-Таблица18[[#This Row],[Зачетный вес]]</f>
        <v>1366</v>
      </c>
      <c r="U1911" s="392">
        <f>Таблица18[[#This Row],[Отход]]/Таблица18[[#This Row],[Вес нетто]]</f>
        <v>0.10499615680245965</v>
      </c>
      <c r="V1911" s="121">
        <f>MONTH(Таблица18[[#This Row],[Дата акта]])</f>
        <v>6</v>
      </c>
      <c r="W1911" s="121">
        <f>DAY(Таблица18[[#This Row],[Дата акта]])</f>
        <v>29</v>
      </c>
      <c r="X1911" s="148">
        <f>DATE(1900,Таблица18[[#This Row],[Месяц]],Таблица18[[#This Row],[Число]])</f>
        <v>181</v>
      </c>
      <c r="Y1911" s="121"/>
      <c r="Z1911" s="121" t="str">
        <f>Таблица18[[#This Row],[Хар-ка]]</f>
        <v>Высший</v>
      </c>
      <c r="AA1911"/>
      <c r="AB1911">
        <v>513</v>
      </c>
      <c r="AC1911"/>
      <c r="AD1911" s="460" t="s">
        <v>3122</v>
      </c>
      <c r="AE1911" t="s">
        <v>897</v>
      </c>
      <c r="AF1911" t="s">
        <v>53</v>
      </c>
    </row>
    <row r="1912" spans="1:32" s="465" customFormat="1" ht="22.5" x14ac:dyDescent="0.25">
      <c r="A1912" s="40" t="s">
        <v>3725</v>
      </c>
      <c r="B1912" s="360" t="s">
        <v>2940</v>
      </c>
      <c r="C1912" s="40">
        <v>677</v>
      </c>
      <c r="D1912" s="40">
        <v>43</v>
      </c>
      <c r="E1912" s="40" t="s">
        <v>3625</v>
      </c>
      <c r="F1912" s="40" t="s">
        <v>347</v>
      </c>
      <c r="G1912" s="40" t="s">
        <v>351</v>
      </c>
      <c r="H1912" s="40" t="s">
        <v>3122</v>
      </c>
      <c r="I1912" s="40" t="str">
        <f>VLOOKUP(Таблица18[[#This Row],[Номер акта]],$AB$1:$AF$2504,3,FALSE)</f>
        <v>3.3 Колос</v>
      </c>
      <c r="J1912" s="40" t="s">
        <v>909</v>
      </c>
      <c r="K1912" s="40" t="s">
        <v>3645</v>
      </c>
      <c r="L1912" s="121">
        <v>29380</v>
      </c>
      <c r="M1912" s="121">
        <v>15850</v>
      </c>
      <c r="N1912" s="121">
        <v>8</v>
      </c>
      <c r="O1912" s="363">
        <v>13530</v>
      </c>
      <c r="P1912" s="363">
        <v>12447.6</v>
      </c>
      <c r="Q1912" s="121">
        <v>2026</v>
      </c>
      <c r="R1912" s="121">
        <v>532</v>
      </c>
      <c r="S1912" s="148">
        <v>46202</v>
      </c>
      <c r="T1912" s="363">
        <f>Таблица18[[#This Row],[Вес нетто]]-Таблица18[[#This Row],[Зачетный вес]]</f>
        <v>1082.3999999999996</v>
      </c>
      <c r="U1912" s="392">
        <f>Таблица18[[#This Row],[Отход]]/Таблица18[[#This Row],[Вес нетто]]</f>
        <v>7.9999999999999974E-2</v>
      </c>
      <c r="V1912" s="121">
        <f>MONTH(Таблица18[[#This Row],[Дата акта]])</f>
        <v>6</v>
      </c>
      <c r="W1912" s="121">
        <f>DAY(Таблица18[[#This Row],[Дата акта]])</f>
        <v>29</v>
      </c>
      <c r="X1912" s="148">
        <f>DATE(1900,Таблица18[[#This Row],[Месяц]],Таблица18[[#This Row],[Число]])</f>
        <v>181</v>
      </c>
      <c r="Y1912" s="121"/>
      <c r="Z1912" s="121" t="str">
        <f>Таблица18[[#This Row],[Хар-ка]]</f>
        <v>Высший</v>
      </c>
      <c r="AA1912"/>
      <c r="AB1912">
        <v>514</v>
      </c>
      <c r="AC1912"/>
      <c r="AD1912" s="460" t="s">
        <v>3122</v>
      </c>
      <c r="AE1912" t="s">
        <v>897</v>
      </c>
      <c r="AF1912" t="s">
        <v>53</v>
      </c>
    </row>
    <row r="1913" spans="1:32" s="465" customFormat="1" ht="33.75" x14ac:dyDescent="0.25">
      <c r="A1913" s="40" t="s">
        <v>3726</v>
      </c>
      <c r="B1913" s="360" t="s">
        <v>2940</v>
      </c>
      <c r="C1913" s="40">
        <v>678</v>
      </c>
      <c r="D1913" s="40">
        <v>44</v>
      </c>
      <c r="E1913" s="40" t="s">
        <v>3625</v>
      </c>
      <c r="F1913" s="40" t="s">
        <v>2967</v>
      </c>
      <c r="G1913" s="40" t="s">
        <v>1810</v>
      </c>
      <c r="H1913" s="40" t="s">
        <v>3122</v>
      </c>
      <c r="I1913" s="40" t="str">
        <f>VLOOKUP(Таблица18[[#This Row],[Номер акта]],$AB$1:$AF$2504,3,FALSE)</f>
        <v>3.3 Колос</v>
      </c>
      <c r="J1913" s="40" t="s">
        <v>909</v>
      </c>
      <c r="K1913" s="40" t="s">
        <v>3645</v>
      </c>
      <c r="L1913" s="121">
        <v>27080</v>
      </c>
      <c r="M1913" s="121">
        <v>14140</v>
      </c>
      <c r="N1913" s="121">
        <v>7.5</v>
      </c>
      <c r="O1913" s="363">
        <v>12940</v>
      </c>
      <c r="P1913" s="363">
        <v>11969.5</v>
      </c>
      <c r="Q1913" s="121">
        <v>2026</v>
      </c>
      <c r="R1913" s="121">
        <v>531</v>
      </c>
      <c r="S1913" s="148">
        <v>46202</v>
      </c>
      <c r="T1913" s="363">
        <f>Таблица18[[#This Row],[Вес нетто]]-Таблица18[[#This Row],[Зачетный вес]]</f>
        <v>970.5</v>
      </c>
      <c r="U1913" s="392">
        <f>Таблица18[[#This Row],[Отход]]/Таблица18[[#This Row],[Вес нетто]]</f>
        <v>7.4999999999999997E-2</v>
      </c>
      <c r="V1913" s="121">
        <f>MONTH(Таблица18[[#This Row],[Дата акта]])</f>
        <v>6</v>
      </c>
      <c r="W1913" s="121">
        <f>DAY(Таблица18[[#This Row],[Дата акта]])</f>
        <v>29</v>
      </c>
      <c r="X1913" s="148">
        <f>DATE(1900,Таблица18[[#This Row],[Месяц]],Таблица18[[#This Row],[Число]])</f>
        <v>181</v>
      </c>
      <c r="Y1913" s="121"/>
      <c r="Z1913" s="121" t="str">
        <f>Таблица18[[#This Row],[Хар-ка]]</f>
        <v>Высший</v>
      </c>
      <c r="AA1913"/>
      <c r="AB1913">
        <v>530</v>
      </c>
      <c r="AC1913"/>
      <c r="AD1913" s="460" t="s">
        <v>3122</v>
      </c>
      <c r="AE1913" t="s">
        <v>897</v>
      </c>
      <c r="AF1913" t="s">
        <v>53</v>
      </c>
    </row>
    <row r="1914" spans="1:32" s="465" customFormat="1" ht="33.75" x14ac:dyDescent="0.25">
      <c r="A1914" s="40" t="s">
        <v>3727</v>
      </c>
      <c r="B1914" s="360" t="s">
        <v>2940</v>
      </c>
      <c r="C1914" s="40">
        <v>679</v>
      </c>
      <c r="D1914" s="40">
        <v>45</v>
      </c>
      <c r="E1914" s="40" t="s">
        <v>3625</v>
      </c>
      <c r="F1914" s="40" t="s">
        <v>1461</v>
      </c>
      <c r="G1914" s="40" t="s">
        <v>149</v>
      </c>
      <c r="H1914" s="40" t="s">
        <v>3122</v>
      </c>
      <c r="I1914" s="40" t="str">
        <f>VLOOKUP(Таблица18[[#This Row],[Номер акта]],$AB$1:$AF$2504,3,FALSE)</f>
        <v>3.3 Колос</v>
      </c>
      <c r="J1914" s="40" t="s">
        <v>909</v>
      </c>
      <c r="K1914" s="40" t="s">
        <v>3645</v>
      </c>
      <c r="L1914" s="121">
        <v>28050</v>
      </c>
      <c r="M1914" s="121">
        <v>15020</v>
      </c>
      <c r="N1914" s="121">
        <v>7.5</v>
      </c>
      <c r="O1914" s="363">
        <v>13030</v>
      </c>
      <c r="P1914" s="363">
        <v>12052.8</v>
      </c>
      <c r="Q1914" s="121">
        <v>2026</v>
      </c>
      <c r="R1914" s="121">
        <v>533</v>
      </c>
      <c r="S1914" s="148">
        <v>46202</v>
      </c>
      <c r="T1914" s="363">
        <f>Таблица18[[#This Row],[Вес нетто]]-Таблица18[[#This Row],[Зачетный вес]]</f>
        <v>977.20000000000073</v>
      </c>
      <c r="U1914" s="392">
        <f>Таблица18[[#This Row],[Отход]]/Таблица18[[#This Row],[Вес нетто]]</f>
        <v>7.499616270145823E-2</v>
      </c>
      <c r="V1914" s="121">
        <f>MONTH(Таблица18[[#This Row],[Дата акта]])</f>
        <v>6</v>
      </c>
      <c r="W1914" s="121">
        <f>DAY(Таблица18[[#This Row],[Дата акта]])</f>
        <v>29</v>
      </c>
      <c r="X1914" s="148">
        <f>DATE(1900,Таблица18[[#This Row],[Месяц]],Таблица18[[#This Row],[Число]])</f>
        <v>181</v>
      </c>
      <c r="Y1914" s="121"/>
      <c r="Z1914" s="121" t="str">
        <f>Таблица18[[#This Row],[Хар-ка]]</f>
        <v>Высший</v>
      </c>
      <c r="AA1914"/>
      <c r="AB1914">
        <v>532</v>
      </c>
      <c r="AC1914"/>
      <c r="AD1914" s="460" t="s">
        <v>3122</v>
      </c>
      <c r="AE1914" t="s">
        <v>897</v>
      </c>
      <c r="AF1914" t="s">
        <v>53</v>
      </c>
    </row>
    <row r="1915" spans="1:32" s="465" customFormat="1" ht="33.75" x14ac:dyDescent="0.25">
      <c r="A1915" s="40" t="s">
        <v>3728</v>
      </c>
      <c r="B1915" s="360" t="s">
        <v>2940</v>
      </c>
      <c r="C1915" s="40">
        <v>680</v>
      </c>
      <c r="D1915" s="40">
        <v>46</v>
      </c>
      <c r="E1915" s="40" t="s">
        <v>3625</v>
      </c>
      <c r="F1915" s="40" t="s">
        <v>1408</v>
      </c>
      <c r="G1915" s="40" t="s">
        <v>1409</v>
      </c>
      <c r="H1915" s="40" t="s">
        <v>3122</v>
      </c>
      <c r="I1915" s="40" t="str">
        <f>VLOOKUP(Таблица18[[#This Row],[Номер акта]],$AB$1:$AF$2504,3,FALSE)</f>
        <v>3.3 Колос</v>
      </c>
      <c r="J1915" s="40" t="s">
        <v>909</v>
      </c>
      <c r="K1915" s="40" t="s">
        <v>3645</v>
      </c>
      <c r="L1915" s="121">
        <v>29960</v>
      </c>
      <c r="M1915" s="121">
        <v>16740</v>
      </c>
      <c r="N1915" s="121">
        <v>9.5</v>
      </c>
      <c r="O1915" s="363">
        <v>13220</v>
      </c>
      <c r="P1915" s="363">
        <v>11964.1</v>
      </c>
      <c r="Q1915" s="121">
        <v>2026</v>
      </c>
      <c r="R1915" s="121">
        <v>534</v>
      </c>
      <c r="S1915" s="148">
        <v>46202</v>
      </c>
      <c r="T1915" s="363">
        <f>Таблица18[[#This Row],[Вес нетто]]-Таблица18[[#This Row],[Зачетный вес]]</f>
        <v>1255.8999999999996</v>
      </c>
      <c r="U1915" s="392">
        <f>Таблица18[[#This Row],[Отход]]/Таблица18[[#This Row],[Вес нетто]]</f>
        <v>9.4999999999999973E-2</v>
      </c>
      <c r="V1915" s="121">
        <f>MONTH(Таблица18[[#This Row],[Дата акта]])</f>
        <v>6</v>
      </c>
      <c r="W1915" s="121">
        <f>DAY(Таблица18[[#This Row],[Дата акта]])</f>
        <v>29</v>
      </c>
      <c r="X1915" s="148">
        <f>DATE(1900,Таблица18[[#This Row],[Месяц]],Таблица18[[#This Row],[Число]])</f>
        <v>181</v>
      </c>
      <c r="Y1915" s="121"/>
      <c r="Z1915" s="121" t="str">
        <f>Таблица18[[#This Row],[Хар-ка]]</f>
        <v>Высший</v>
      </c>
      <c r="AA1915"/>
      <c r="AB1915">
        <v>531</v>
      </c>
      <c r="AC1915"/>
      <c r="AD1915" s="460" t="s">
        <v>3122</v>
      </c>
      <c r="AE1915" t="s">
        <v>897</v>
      </c>
      <c r="AF1915" t="s">
        <v>53</v>
      </c>
    </row>
    <row r="1916" spans="1:32" s="465" customFormat="1" ht="33.75" x14ac:dyDescent="0.25">
      <c r="A1916" s="40" t="s">
        <v>3729</v>
      </c>
      <c r="B1916" s="360" t="s">
        <v>2940</v>
      </c>
      <c r="C1916" s="40">
        <v>681</v>
      </c>
      <c r="D1916" s="40">
        <v>47</v>
      </c>
      <c r="E1916" s="40" t="s">
        <v>3625</v>
      </c>
      <c r="F1916" s="40" t="s">
        <v>311</v>
      </c>
      <c r="G1916" s="40" t="s">
        <v>315</v>
      </c>
      <c r="H1916" s="40" t="s">
        <v>3122</v>
      </c>
      <c r="I1916" s="40" t="str">
        <f>VLOOKUP(Таблица18[[#This Row],[Номер акта]],$AB$1:$AF$2504,3,FALSE)</f>
        <v>3.3 Колос</v>
      </c>
      <c r="J1916" s="40" t="s">
        <v>909</v>
      </c>
      <c r="K1916" s="40" t="s">
        <v>3645</v>
      </c>
      <c r="L1916" s="121">
        <v>28330</v>
      </c>
      <c r="M1916" s="121">
        <v>15290</v>
      </c>
      <c r="N1916" s="121">
        <v>11.5</v>
      </c>
      <c r="O1916" s="363">
        <v>13040</v>
      </c>
      <c r="P1916" s="363">
        <v>11540.4</v>
      </c>
      <c r="Q1916" s="121">
        <v>2026</v>
      </c>
      <c r="R1916" s="121">
        <v>535</v>
      </c>
      <c r="S1916" s="148">
        <v>46202</v>
      </c>
      <c r="T1916" s="363">
        <f>Таблица18[[#This Row],[Вес нетто]]-Таблица18[[#This Row],[Зачетный вес]]</f>
        <v>1499.6000000000004</v>
      </c>
      <c r="U1916" s="392">
        <f>Таблица18[[#This Row],[Отход]]/Таблица18[[#This Row],[Вес нетто]]</f>
        <v>0.11500000000000003</v>
      </c>
      <c r="V1916" s="121">
        <f>MONTH(Таблица18[[#This Row],[Дата акта]])</f>
        <v>6</v>
      </c>
      <c r="W1916" s="121">
        <f>DAY(Таблица18[[#This Row],[Дата акта]])</f>
        <v>29</v>
      </c>
      <c r="X1916" s="148">
        <f>DATE(1900,Таблица18[[#This Row],[Месяц]],Таблица18[[#This Row],[Число]])</f>
        <v>181</v>
      </c>
      <c r="Y1916" s="121"/>
      <c r="Z1916" s="121" t="str">
        <f>Таблица18[[#This Row],[Хар-ка]]</f>
        <v>Высший</v>
      </c>
      <c r="AA1916"/>
      <c r="AB1916">
        <v>533</v>
      </c>
      <c r="AC1916"/>
      <c r="AD1916" s="460" t="s">
        <v>3122</v>
      </c>
      <c r="AE1916" t="s">
        <v>897</v>
      </c>
      <c r="AF1916" t="s">
        <v>53</v>
      </c>
    </row>
    <row r="1917" spans="1:32" s="465" customFormat="1" ht="22.5" x14ac:dyDescent="0.25">
      <c r="A1917" s="40" t="s">
        <v>3730</v>
      </c>
      <c r="B1917" s="360" t="s">
        <v>2940</v>
      </c>
      <c r="C1917" s="40">
        <v>682</v>
      </c>
      <c r="D1917" s="40">
        <v>48</v>
      </c>
      <c r="E1917" s="40" t="s">
        <v>3625</v>
      </c>
      <c r="F1917" s="40" t="s">
        <v>1151</v>
      </c>
      <c r="G1917" s="40" t="s">
        <v>145</v>
      </c>
      <c r="H1917" s="40" t="s">
        <v>3122</v>
      </c>
      <c r="I1917" s="40" t="str">
        <f>VLOOKUP(Таблица18[[#This Row],[Номер акта]],$AB$1:$AF$2504,3,FALSE)</f>
        <v>3.3 Колос</v>
      </c>
      <c r="J1917" s="40" t="s">
        <v>909</v>
      </c>
      <c r="K1917" s="40" t="s">
        <v>3645</v>
      </c>
      <c r="L1917" s="121">
        <v>27880</v>
      </c>
      <c r="M1917" s="121">
        <v>15780</v>
      </c>
      <c r="N1917" s="121">
        <v>9.5</v>
      </c>
      <c r="O1917" s="363">
        <v>12100</v>
      </c>
      <c r="P1917" s="363">
        <v>10950.5</v>
      </c>
      <c r="Q1917" s="121">
        <v>2026</v>
      </c>
      <c r="R1917" s="121">
        <v>536</v>
      </c>
      <c r="S1917" s="148">
        <v>46202</v>
      </c>
      <c r="T1917" s="363">
        <f>Таблица18[[#This Row],[Вес нетто]]-Таблица18[[#This Row],[Зачетный вес]]</f>
        <v>1149.5</v>
      </c>
      <c r="U1917" s="392">
        <f>Таблица18[[#This Row],[Отход]]/Таблица18[[#This Row],[Вес нетто]]</f>
        <v>9.5000000000000001E-2</v>
      </c>
      <c r="V1917" s="121">
        <f>MONTH(Таблица18[[#This Row],[Дата акта]])</f>
        <v>6</v>
      </c>
      <c r="W1917" s="121">
        <f>DAY(Таблица18[[#This Row],[Дата акта]])</f>
        <v>29</v>
      </c>
      <c r="X1917" s="148">
        <f>DATE(1900,Таблица18[[#This Row],[Месяц]],Таблица18[[#This Row],[Число]])</f>
        <v>181</v>
      </c>
      <c r="Y1917" s="121"/>
      <c r="Z1917" s="121" t="str">
        <f>Таблица18[[#This Row],[Хар-ка]]</f>
        <v>Высший</v>
      </c>
      <c r="AA1917"/>
      <c r="AB1917">
        <v>534</v>
      </c>
      <c r="AC1917"/>
      <c r="AD1917" s="460" t="s">
        <v>3122</v>
      </c>
      <c r="AE1917" t="s">
        <v>897</v>
      </c>
      <c r="AF1917" t="s">
        <v>53</v>
      </c>
    </row>
    <row r="1918" spans="1:32" s="465" customFormat="1" ht="33.75" x14ac:dyDescent="0.25">
      <c r="A1918" s="40" t="s">
        <v>3731</v>
      </c>
      <c r="B1918" s="360" t="s">
        <v>2940</v>
      </c>
      <c r="C1918" s="40">
        <v>683</v>
      </c>
      <c r="D1918" s="40">
        <v>49</v>
      </c>
      <c r="E1918" s="40" t="s">
        <v>3625</v>
      </c>
      <c r="F1918" s="40" t="s">
        <v>239</v>
      </c>
      <c r="G1918" s="40" t="s">
        <v>243</v>
      </c>
      <c r="H1918" s="40" t="s">
        <v>3122</v>
      </c>
      <c r="I1918" s="40" t="str">
        <f>VLOOKUP(Таблица18[[#This Row],[Номер акта]],$AB$1:$AF$2504,3,FALSE)</f>
        <v>3.3 Колос</v>
      </c>
      <c r="J1918" s="40" t="s">
        <v>909</v>
      </c>
      <c r="K1918" s="40" t="s">
        <v>3645</v>
      </c>
      <c r="L1918" s="121">
        <v>27360</v>
      </c>
      <c r="M1918" s="121">
        <v>14530</v>
      </c>
      <c r="N1918" s="121">
        <v>10.5</v>
      </c>
      <c r="O1918" s="363">
        <v>12830</v>
      </c>
      <c r="P1918" s="363">
        <v>11482.9</v>
      </c>
      <c r="Q1918" s="121">
        <v>2026</v>
      </c>
      <c r="R1918" s="121">
        <v>537</v>
      </c>
      <c r="S1918" s="148">
        <v>46203</v>
      </c>
      <c r="T1918" s="363">
        <f>Таблица18[[#This Row],[Вес нетто]]-Таблица18[[#This Row],[Зачетный вес]]</f>
        <v>1347.1000000000004</v>
      </c>
      <c r="U1918" s="392">
        <f>Таблица18[[#This Row],[Отход]]/Таблица18[[#This Row],[Вес нетто]]</f>
        <v>0.10499610288386597</v>
      </c>
      <c r="V1918" s="121">
        <f>MONTH(Таблица18[[#This Row],[Дата акта]])</f>
        <v>6</v>
      </c>
      <c r="W1918" s="121">
        <f>DAY(Таблица18[[#This Row],[Дата акта]])</f>
        <v>30</v>
      </c>
      <c r="X1918" s="148">
        <f>DATE(1900,Таблица18[[#This Row],[Месяц]],Таблица18[[#This Row],[Число]])</f>
        <v>182</v>
      </c>
      <c r="Y1918" s="121"/>
      <c r="Z1918" s="121" t="str">
        <f>Таблица18[[#This Row],[Хар-ка]]</f>
        <v>Высший</v>
      </c>
      <c r="AA1918"/>
      <c r="AB1918">
        <v>535</v>
      </c>
      <c r="AC1918"/>
      <c r="AD1918" s="460" t="s">
        <v>3122</v>
      </c>
      <c r="AE1918" t="s">
        <v>897</v>
      </c>
      <c r="AF1918" t="s">
        <v>53</v>
      </c>
    </row>
    <row r="1919" spans="1:32" s="465" customFormat="1" ht="22.5" x14ac:dyDescent="0.25">
      <c r="A1919" s="40" t="s">
        <v>3732</v>
      </c>
      <c r="B1919" s="360" t="s">
        <v>2940</v>
      </c>
      <c r="C1919" s="40">
        <v>684</v>
      </c>
      <c r="D1919" s="40">
        <v>50</v>
      </c>
      <c r="E1919" s="40" t="s">
        <v>3625</v>
      </c>
      <c r="F1919" s="40" t="s">
        <v>133</v>
      </c>
      <c r="G1919" s="40" t="s">
        <v>137</v>
      </c>
      <c r="H1919" s="40" t="s">
        <v>3122</v>
      </c>
      <c r="I1919" s="40" t="str">
        <f>VLOOKUP(Таблица18[[#This Row],[Номер акта]],$AB$1:$AF$2504,3,FALSE)</f>
        <v>3.3 Колос</v>
      </c>
      <c r="J1919" s="40" t="s">
        <v>909</v>
      </c>
      <c r="K1919" s="40" t="s">
        <v>3645</v>
      </c>
      <c r="L1919" s="121">
        <v>31100</v>
      </c>
      <c r="M1919" s="121">
        <v>18010</v>
      </c>
      <c r="N1919" s="121">
        <v>9.5</v>
      </c>
      <c r="O1919" s="363">
        <v>13090</v>
      </c>
      <c r="P1919" s="363">
        <v>11846.5</v>
      </c>
      <c r="Q1919" s="121">
        <v>2026</v>
      </c>
      <c r="R1919" s="121">
        <v>538</v>
      </c>
      <c r="S1919" s="148">
        <v>46203</v>
      </c>
      <c r="T1919" s="363">
        <f>Таблица18[[#This Row],[Вес нетто]]-Таблица18[[#This Row],[Зачетный вес]]</f>
        <v>1243.5</v>
      </c>
      <c r="U1919" s="392">
        <f>Таблица18[[#This Row],[Отход]]/Таблица18[[#This Row],[Вес нетто]]</f>
        <v>9.4996180290297938E-2</v>
      </c>
      <c r="V1919" s="121">
        <f>MONTH(Таблица18[[#This Row],[Дата акта]])</f>
        <v>6</v>
      </c>
      <c r="W1919" s="121">
        <f>DAY(Таблица18[[#This Row],[Дата акта]])</f>
        <v>30</v>
      </c>
      <c r="X1919" s="148">
        <f>DATE(1900,Таблица18[[#This Row],[Месяц]],Таблица18[[#This Row],[Число]])</f>
        <v>182</v>
      </c>
      <c r="Y1919" s="121"/>
      <c r="Z1919" s="121" t="str">
        <f>Таблица18[[#This Row],[Хар-ка]]</f>
        <v>Высший</v>
      </c>
      <c r="AA1919"/>
      <c r="AB1919">
        <v>536</v>
      </c>
      <c r="AC1919"/>
      <c r="AD1919" s="460" t="s">
        <v>3122</v>
      </c>
      <c r="AE1919" t="s">
        <v>897</v>
      </c>
      <c r="AF1919" t="s">
        <v>53</v>
      </c>
    </row>
    <row r="1920" spans="1:32" s="465" customFormat="1" ht="22.5" x14ac:dyDescent="0.25">
      <c r="A1920" s="40" t="s">
        <v>3733</v>
      </c>
      <c r="B1920" s="360" t="s">
        <v>2940</v>
      </c>
      <c r="C1920" s="40">
        <v>685</v>
      </c>
      <c r="D1920" s="40">
        <v>51</v>
      </c>
      <c r="E1920" s="40" t="s">
        <v>3625</v>
      </c>
      <c r="F1920" s="40" t="s">
        <v>1376</v>
      </c>
      <c r="G1920" s="40" t="s">
        <v>1377</v>
      </c>
      <c r="H1920" s="40" t="s">
        <v>3122</v>
      </c>
      <c r="I1920" s="40" t="str">
        <f>VLOOKUP(Таблица18[[#This Row],[Номер акта]],$AB$1:$AF$2504,3,FALSE)</f>
        <v>3.3 Колос</v>
      </c>
      <c r="J1920" s="40" t="s">
        <v>909</v>
      </c>
      <c r="K1920" s="40" t="s">
        <v>3645</v>
      </c>
      <c r="L1920" s="121">
        <v>27810</v>
      </c>
      <c r="M1920" s="121">
        <v>14950</v>
      </c>
      <c r="N1920" s="121">
        <v>7.5</v>
      </c>
      <c r="O1920" s="363">
        <v>12860</v>
      </c>
      <c r="P1920" s="363">
        <v>11895.5</v>
      </c>
      <c r="Q1920" s="121">
        <v>2026</v>
      </c>
      <c r="R1920" s="121">
        <v>539</v>
      </c>
      <c r="S1920" s="148">
        <v>46203</v>
      </c>
      <c r="T1920" s="363">
        <f>Таблица18[[#This Row],[Вес нетто]]-Таблица18[[#This Row],[Зачетный вес]]</f>
        <v>964.5</v>
      </c>
      <c r="U1920" s="392">
        <f>Таблица18[[#This Row],[Отход]]/Таблица18[[#This Row],[Вес нетто]]</f>
        <v>7.4999999999999997E-2</v>
      </c>
      <c r="V1920" s="121">
        <f>MONTH(Таблица18[[#This Row],[Дата акта]])</f>
        <v>6</v>
      </c>
      <c r="W1920" s="121">
        <f>DAY(Таблица18[[#This Row],[Дата акта]])</f>
        <v>30</v>
      </c>
      <c r="X1920" s="148">
        <f>DATE(1900,Таблица18[[#This Row],[Месяц]],Таблица18[[#This Row],[Число]])</f>
        <v>182</v>
      </c>
      <c r="Y1920" s="121"/>
      <c r="Z1920" s="121" t="str">
        <f>Таблица18[[#This Row],[Хар-ка]]</f>
        <v>Высший</v>
      </c>
      <c r="AA1920"/>
      <c r="AB1920">
        <v>537</v>
      </c>
      <c r="AC1920"/>
      <c r="AD1920" s="460" t="s">
        <v>3122</v>
      </c>
      <c r="AE1920" t="s">
        <v>897</v>
      </c>
      <c r="AF1920" t="s">
        <v>53</v>
      </c>
    </row>
    <row r="1921" spans="1:32" s="465" customFormat="1" ht="22.5" x14ac:dyDescent="0.25">
      <c r="A1921" s="40" t="s">
        <v>3734</v>
      </c>
      <c r="B1921" s="360" t="s">
        <v>2940</v>
      </c>
      <c r="C1921" s="40">
        <v>686</v>
      </c>
      <c r="D1921" s="40">
        <v>52</v>
      </c>
      <c r="E1921" s="40" t="s">
        <v>3625</v>
      </c>
      <c r="F1921" s="40" t="s">
        <v>335</v>
      </c>
      <c r="G1921" s="40" t="s">
        <v>339</v>
      </c>
      <c r="H1921" s="40" t="s">
        <v>3122</v>
      </c>
      <c r="I1921" s="40" t="str">
        <f>VLOOKUP(Таблица18[[#This Row],[Номер акта]],$AB$1:$AF$2504,3,FALSE)</f>
        <v>3.3 Колос</v>
      </c>
      <c r="J1921" s="40" t="s">
        <v>909</v>
      </c>
      <c r="K1921" s="40" t="s">
        <v>3645</v>
      </c>
      <c r="L1921" s="121">
        <v>27750</v>
      </c>
      <c r="M1921" s="121">
        <v>14900</v>
      </c>
      <c r="N1921" s="121">
        <v>11.5</v>
      </c>
      <c r="O1921" s="363">
        <v>12850</v>
      </c>
      <c r="P1921" s="363">
        <v>11372.3</v>
      </c>
      <c r="Q1921" s="121">
        <v>2026</v>
      </c>
      <c r="R1921" s="121">
        <v>540</v>
      </c>
      <c r="S1921" s="148">
        <v>46203</v>
      </c>
      <c r="T1921" s="363">
        <f>Таблица18[[#This Row],[Вес нетто]]-Таблица18[[#This Row],[Зачетный вес]]</f>
        <v>1477.7000000000007</v>
      </c>
      <c r="U1921" s="392">
        <f>Таблица18[[#This Row],[Отход]]/Таблица18[[#This Row],[Вес нетто]]</f>
        <v>0.11499610894941639</v>
      </c>
      <c r="V1921" s="121">
        <f>MONTH(Таблица18[[#This Row],[Дата акта]])</f>
        <v>6</v>
      </c>
      <c r="W1921" s="121">
        <f>DAY(Таблица18[[#This Row],[Дата акта]])</f>
        <v>30</v>
      </c>
      <c r="X1921" s="148">
        <f>DATE(1900,Таблица18[[#This Row],[Месяц]],Таблица18[[#This Row],[Число]])</f>
        <v>182</v>
      </c>
      <c r="Y1921" s="121"/>
      <c r="Z1921" s="121" t="str">
        <f>Таблица18[[#This Row],[Хар-ка]]</f>
        <v>Высший</v>
      </c>
      <c r="AA1921"/>
      <c r="AB1921">
        <v>538</v>
      </c>
      <c r="AC1921"/>
      <c r="AD1921" s="460" t="s">
        <v>3122</v>
      </c>
      <c r="AE1921" t="s">
        <v>897</v>
      </c>
      <c r="AF1921" t="s">
        <v>53</v>
      </c>
    </row>
    <row r="1922" spans="1:32" s="465" customFormat="1" ht="22.5" x14ac:dyDescent="0.25">
      <c r="A1922" s="40" t="s">
        <v>3735</v>
      </c>
      <c r="B1922" s="360" t="s">
        <v>2940</v>
      </c>
      <c r="C1922" s="40">
        <v>687</v>
      </c>
      <c r="D1922" s="40">
        <v>53</v>
      </c>
      <c r="E1922" s="40" t="s">
        <v>3625</v>
      </c>
      <c r="F1922" s="40" t="s">
        <v>166</v>
      </c>
      <c r="G1922" s="40" t="s">
        <v>170</v>
      </c>
      <c r="H1922" s="40" t="s">
        <v>3122</v>
      </c>
      <c r="I1922" s="40" t="str">
        <f>VLOOKUP(Таблица18[[#This Row],[Номер акта]],$AB$1:$AF$2504,3,FALSE)</f>
        <v>3.3 Колос</v>
      </c>
      <c r="J1922" s="40" t="s">
        <v>909</v>
      </c>
      <c r="K1922" s="40" t="s">
        <v>3645</v>
      </c>
      <c r="L1922" s="121">
        <v>28090</v>
      </c>
      <c r="M1922" s="121">
        <v>15220</v>
      </c>
      <c r="N1922" s="121">
        <v>6.5</v>
      </c>
      <c r="O1922" s="363">
        <v>12870</v>
      </c>
      <c r="P1922" s="363">
        <v>12033.5</v>
      </c>
      <c r="Q1922" s="121">
        <v>2026</v>
      </c>
      <c r="R1922" s="121">
        <v>541</v>
      </c>
      <c r="S1922" s="148">
        <v>46203</v>
      </c>
      <c r="T1922" s="363">
        <f>Таблица18[[#This Row],[Вес нетто]]-Таблица18[[#This Row],[Зачетный вес]]</f>
        <v>836.5</v>
      </c>
      <c r="U1922" s="392">
        <f>Таблица18[[#This Row],[Отход]]/Таблица18[[#This Row],[Вес нетто]]</f>
        <v>6.499611499611499E-2</v>
      </c>
      <c r="V1922" s="121">
        <f>MONTH(Таблица18[[#This Row],[Дата акта]])</f>
        <v>6</v>
      </c>
      <c r="W1922" s="121">
        <f>DAY(Таблица18[[#This Row],[Дата акта]])</f>
        <v>30</v>
      </c>
      <c r="X1922" s="148">
        <f>DATE(1900,Таблица18[[#This Row],[Месяц]],Таблица18[[#This Row],[Число]])</f>
        <v>182</v>
      </c>
      <c r="Y1922" s="121"/>
      <c r="Z1922" s="121" t="str">
        <f>Таблица18[[#This Row],[Хар-ка]]</f>
        <v>Высший</v>
      </c>
      <c r="AA1922"/>
      <c r="AB1922">
        <v>539</v>
      </c>
      <c r="AC1922"/>
      <c r="AD1922" s="460" t="s">
        <v>3122</v>
      </c>
      <c r="AE1922" t="s">
        <v>897</v>
      </c>
      <c r="AF1922" t="s">
        <v>53</v>
      </c>
    </row>
    <row r="1923" spans="1:32" s="465" customFormat="1" ht="22.5" x14ac:dyDescent="0.25">
      <c r="A1923" s="40" t="s">
        <v>3736</v>
      </c>
      <c r="B1923" s="360" t="s">
        <v>2940</v>
      </c>
      <c r="C1923" s="40">
        <v>688</v>
      </c>
      <c r="D1923" s="40">
        <v>54</v>
      </c>
      <c r="E1923" s="40" t="s">
        <v>3625</v>
      </c>
      <c r="F1923" s="40" t="s">
        <v>3623</v>
      </c>
      <c r="G1923" s="40" t="s">
        <v>3679</v>
      </c>
      <c r="H1923" s="40" t="s">
        <v>3122</v>
      </c>
      <c r="I1923" s="40" t="str">
        <f>VLOOKUP(Таблица18[[#This Row],[Номер акта]],$AB$1:$AF$2504,3,FALSE)</f>
        <v>3.3 Колос</v>
      </c>
      <c r="J1923" s="40" t="s">
        <v>909</v>
      </c>
      <c r="K1923" s="40" t="s">
        <v>3645</v>
      </c>
      <c r="L1923" s="121">
        <v>27290</v>
      </c>
      <c r="M1923" s="121">
        <v>14560</v>
      </c>
      <c r="N1923" s="121">
        <v>10.5</v>
      </c>
      <c r="O1923" s="363">
        <v>12730</v>
      </c>
      <c r="P1923" s="363">
        <v>11393.4</v>
      </c>
      <c r="Q1923" s="121">
        <v>2026</v>
      </c>
      <c r="R1923" s="121">
        <v>542</v>
      </c>
      <c r="S1923" s="148">
        <v>46203</v>
      </c>
      <c r="T1923" s="363">
        <f>Таблица18[[#This Row],[Вес нетто]]-Таблица18[[#This Row],[Зачетный вес]]</f>
        <v>1336.6000000000004</v>
      </c>
      <c r="U1923" s="392">
        <f>Таблица18[[#This Row],[Отход]]/Таблица18[[#This Row],[Вес нетто]]</f>
        <v>0.10499607227022784</v>
      </c>
      <c r="V1923" s="121">
        <f>MONTH(Таблица18[[#This Row],[Дата акта]])</f>
        <v>6</v>
      </c>
      <c r="W1923" s="121">
        <f>DAY(Таблица18[[#This Row],[Дата акта]])</f>
        <v>30</v>
      </c>
      <c r="X1923" s="148">
        <f>DATE(1900,Таблица18[[#This Row],[Месяц]],Таблица18[[#This Row],[Число]])</f>
        <v>182</v>
      </c>
      <c r="Y1923" s="121"/>
      <c r="Z1923" s="121" t="str">
        <f>Таблица18[[#This Row],[Хар-ка]]</f>
        <v>Высший</v>
      </c>
      <c r="AA1923"/>
      <c r="AB1923">
        <v>540</v>
      </c>
      <c r="AC1923"/>
      <c r="AD1923" s="460" t="s">
        <v>3122</v>
      </c>
      <c r="AE1923" t="s">
        <v>897</v>
      </c>
      <c r="AF1923" t="s">
        <v>53</v>
      </c>
    </row>
    <row r="1924" spans="1:32" s="465" customFormat="1" ht="33.75" x14ac:dyDescent="0.25">
      <c r="A1924" s="40" t="s">
        <v>3737</v>
      </c>
      <c r="B1924" s="360" t="s">
        <v>2940</v>
      </c>
      <c r="C1924" s="40">
        <v>689</v>
      </c>
      <c r="D1924" s="40">
        <v>55</v>
      </c>
      <c r="E1924" s="40" t="s">
        <v>3625</v>
      </c>
      <c r="F1924" s="40" t="s">
        <v>1312</v>
      </c>
      <c r="G1924" s="40" t="s">
        <v>320</v>
      </c>
      <c r="H1924" s="40" t="s">
        <v>3122</v>
      </c>
      <c r="I1924" s="40" t="str">
        <f>VLOOKUP(Таблица18[[#This Row],[Номер акта]],$AB$1:$AF$2504,3,FALSE)</f>
        <v>3.3 Колос</v>
      </c>
      <c r="J1924" s="40" t="s">
        <v>909</v>
      </c>
      <c r="K1924" s="40" t="s">
        <v>3645</v>
      </c>
      <c r="L1924" s="121">
        <v>27370</v>
      </c>
      <c r="M1924" s="121">
        <v>14570</v>
      </c>
      <c r="N1924" s="121">
        <v>10.5</v>
      </c>
      <c r="O1924" s="363">
        <v>12800</v>
      </c>
      <c r="P1924" s="363">
        <v>11456</v>
      </c>
      <c r="Q1924" s="121">
        <v>2026</v>
      </c>
      <c r="R1924" s="121">
        <v>543</v>
      </c>
      <c r="S1924" s="148">
        <v>46203</v>
      </c>
      <c r="T1924" s="363">
        <f>Таблица18[[#This Row],[Вес нетто]]-Таблица18[[#This Row],[Зачетный вес]]</f>
        <v>1344</v>
      </c>
      <c r="U1924" s="392">
        <f>Таблица18[[#This Row],[Отход]]/Таблица18[[#This Row],[Вес нетто]]</f>
        <v>0.105</v>
      </c>
      <c r="V1924" s="121">
        <f>MONTH(Таблица18[[#This Row],[Дата акта]])</f>
        <v>6</v>
      </c>
      <c r="W1924" s="121">
        <f>DAY(Таблица18[[#This Row],[Дата акта]])</f>
        <v>30</v>
      </c>
      <c r="X1924" s="148">
        <f>DATE(1900,Таблица18[[#This Row],[Месяц]],Таблица18[[#This Row],[Число]])</f>
        <v>182</v>
      </c>
      <c r="Y1924" s="121"/>
      <c r="Z1924" s="121" t="str">
        <f>Таблица18[[#This Row],[Хар-ка]]</f>
        <v>Высший</v>
      </c>
      <c r="AA1924"/>
      <c r="AB1924">
        <v>541</v>
      </c>
      <c r="AC1924"/>
      <c r="AD1924" s="460" t="s">
        <v>3122</v>
      </c>
      <c r="AE1924" t="s">
        <v>897</v>
      </c>
      <c r="AF1924" t="s">
        <v>53</v>
      </c>
    </row>
    <row r="1925" spans="1:32" s="465" customFormat="1" ht="22.5" x14ac:dyDescent="0.25">
      <c r="A1925" s="40" t="s">
        <v>3738</v>
      </c>
      <c r="B1925" s="360" t="s">
        <v>2940</v>
      </c>
      <c r="C1925" s="40">
        <v>691</v>
      </c>
      <c r="D1925" s="40">
        <v>56</v>
      </c>
      <c r="E1925" s="40" t="s">
        <v>3625</v>
      </c>
      <c r="F1925" s="40" t="s">
        <v>3377</v>
      </c>
      <c r="G1925" s="40" t="s">
        <v>3196</v>
      </c>
      <c r="H1925" s="40" t="s">
        <v>3122</v>
      </c>
      <c r="I1925" s="40" t="str">
        <f>VLOOKUP(Таблица18[[#This Row],[Номер акта]],$AB$1:$AF$2504,3,FALSE)</f>
        <v>3.3 Колос</v>
      </c>
      <c r="J1925" s="40" t="s">
        <v>909</v>
      </c>
      <c r="K1925" s="40" t="s">
        <v>3645</v>
      </c>
      <c r="L1925" s="121">
        <v>27550</v>
      </c>
      <c r="M1925" s="121">
        <v>14410</v>
      </c>
      <c r="N1925" s="121">
        <v>7.5</v>
      </c>
      <c r="O1925" s="363">
        <v>13140</v>
      </c>
      <c r="P1925" s="363">
        <v>12154.5</v>
      </c>
      <c r="Q1925" s="121">
        <v>2026</v>
      </c>
      <c r="R1925" s="121">
        <v>544</v>
      </c>
      <c r="S1925" s="148">
        <v>46203</v>
      </c>
      <c r="T1925" s="363">
        <f>Таблица18[[#This Row],[Вес нетто]]-Таблица18[[#This Row],[Зачетный вес]]</f>
        <v>985.5</v>
      </c>
      <c r="U1925" s="392">
        <f>Таблица18[[#This Row],[Отход]]/Таблица18[[#This Row],[Вес нетто]]</f>
        <v>7.4999999999999997E-2</v>
      </c>
      <c r="V1925" s="121">
        <f>MONTH(Таблица18[[#This Row],[Дата акта]])</f>
        <v>6</v>
      </c>
      <c r="W1925" s="121">
        <f>DAY(Таблица18[[#This Row],[Дата акта]])</f>
        <v>30</v>
      </c>
      <c r="X1925" s="148">
        <f>DATE(1900,Таблица18[[#This Row],[Месяц]],Таблица18[[#This Row],[Число]])</f>
        <v>182</v>
      </c>
      <c r="Y1925" s="121"/>
      <c r="Z1925" s="121" t="str">
        <f>Таблица18[[#This Row],[Хар-ка]]</f>
        <v>Высший</v>
      </c>
      <c r="AA1925"/>
      <c r="AB1925">
        <v>542</v>
      </c>
      <c r="AC1925"/>
      <c r="AD1925" s="460" t="s">
        <v>3122</v>
      </c>
      <c r="AE1925" t="s">
        <v>897</v>
      </c>
      <c r="AF1925" t="s">
        <v>53</v>
      </c>
    </row>
    <row r="1926" spans="1:32" s="465" customFormat="1" ht="33.75" x14ac:dyDescent="0.25">
      <c r="A1926" s="40" t="s">
        <v>3697</v>
      </c>
      <c r="B1926" s="360" t="s">
        <v>2940</v>
      </c>
      <c r="C1926" s="40">
        <v>694</v>
      </c>
      <c r="D1926" s="40">
        <v>57</v>
      </c>
      <c r="E1926" s="40" t="s">
        <v>3625</v>
      </c>
      <c r="F1926" s="40" t="s">
        <v>1408</v>
      </c>
      <c r="G1926" s="40" t="s">
        <v>1409</v>
      </c>
      <c r="H1926" s="40" t="s">
        <v>3122</v>
      </c>
      <c r="I1926" s="40" t="str">
        <f>VLOOKUP(Таблица18[[#This Row],[Номер акта]],$AB$1:$AF$2504,3,FALSE)</f>
        <v>3.3 Колос</v>
      </c>
      <c r="J1926" s="40" t="s">
        <v>909</v>
      </c>
      <c r="K1926" s="40" t="s">
        <v>3645</v>
      </c>
      <c r="L1926" s="121">
        <v>29590</v>
      </c>
      <c r="M1926" s="121">
        <v>16760</v>
      </c>
      <c r="N1926" s="121">
        <v>6</v>
      </c>
      <c r="O1926" s="363">
        <v>12830</v>
      </c>
      <c r="P1926" s="363">
        <v>12060.2</v>
      </c>
      <c r="Q1926" s="121">
        <v>2026</v>
      </c>
      <c r="R1926" s="121">
        <v>545</v>
      </c>
      <c r="S1926" s="148">
        <v>46203</v>
      </c>
      <c r="T1926" s="363">
        <f>Таблица18[[#This Row],[Вес нетто]]-Таблица18[[#This Row],[Зачетный вес]]</f>
        <v>769.79999999999927</v>
      </c>
      <c r="U1926" s="392">
        <f>Таблица18[[#This Row],[Отход]]/Таблица18[[#This Row],[Вес нетто]]</f>
        <v>5.9999999999999942E-2</v>
      </c>
      <c r="V1926" s="121">
        <f>MONTH(Таблица18[[#This Row],[Дата акта]])</f>
        <v>6</v>
      </c>
      <c r="W1926" s="121">
        <f>DAY(Таблица18[[#This Row],[Дата акта]])</f>
        <v>30</v>
      </c>
      <c r="X1926" s="148">
        <f>DATE(1900,Таблица18[[#This Row],[Месяц]],Таблица18[[#This Row],[Число]])</f>
        <v>182</v>
      </c>
      <c r="Y1926" s="121"/>
      <c r="Z1926" s="121" t="str">
        <f>Таблица18[[#This Row],[Хар-ка]]</f>
        <v>Высший</v>
      </c>
      <c r="AA1926"/>
      <c r="AB1926">
        <v>550</v>
      </c>
      <c r="AC1926"/>
      <c r="AD1926" s="460" t="s">
        <v>3116</v>
      </c>
      <c r="AE1926" t="s">
        <v>909</v>
      </c>
      <c r="AF1926" t="s">
        <v>52</v>
      </c>
    </row>
    <row r="1927" spans="1:32" s="465" customFormat="1" ht="22.5" x14ac:dyDescent="0.25">
      <c r="A1927" s="40" t="s">
        <v>3808</v>
      </c>
      <c r="B1927" s="360" t="s">
        <v>2940</v>
      </c>
      <c r="C1927" s="40">
        <v>695</v>
      </c>
      <c r="D1927" s="40">
        <v>375</v>
      </c>
      <c r="E1927" s="40" t="s">
        <v>2964</v>
      </c>
      <c r="F1927" s="40" t="s">
        <v>127</v>
      </c>
      <c r="G1927" s="40" t="s">
        <v>131</v>
      </c>
      <c r="H1927" s="40" t="s">
        <v>3111</v>
      </c>
      <c r="I1927" s="40" t="str">
        <f>VLOOKUP(Таблица18[[#This Row],[Номер акта]],$AB$1:$AF$2504,3,FALSE)</f>
        <v>А-79</v>
      </c>
      <c r="J1927" s="40" t="s">
        <v>747</v>
      </c>
      <c r="K1927" s="40" t="s">
        <v>3375</v>
      </c>
      <c r="L1927" s="121">
        <v>14270</v>
      </c>
      <c r="M1927" s="121">
        <v>9780</v>
      </c>
      <c r="N1927" s="121">
        <v>8.5</v>
      </c>
      <c r="O1927" s="363">
        <v>4490</v>
      </c>
      <c r="P1927" s="363">
        <v>4108.3999999999996</v>
      </c>
      <c r="Q1927" s="121">
        <v>2026</v>
      </c>
      <c r="R1927" s="121">
        <v>546</v>
      </c>
      <c r="S1927" s="148">
        <v>46203</v>
      </c>
      <c r="T1927" s="363">
        <f>Таблица18[[#This Row],[Вес нетто]]-Таблица18[[#This Row],[Зачетный вес]]</f>
        <v>381.60000000000036</v>
      </c>
      <c r="U1927" s="392">
        <f>Таблица18[[#This Row],[Отход]]/Таблица18[[#This Row],[Вес нетто]]</f>
        <v>8.4988864142539061E-2</v>
      </c>
      <c r="V1927" s="121">
        <f>MONTH(Таблица18[[#This Row],[Дата акта]])</f>
        <v>6</v>
      </c>
      <c r="W1927" s="121">
        <f>DAY(Таблица18[[#This Row],[Дата акта]])</f>
        <v>30</v>
      </c>
      <c r="X1927" s="148">
        <f>DATE(1900,Таблица18[[#This Row],[Месяц]],Таблица18[[#This Row],[Число]])</f>
        <v>182</v>
      </c>
      <c r="Y1927" s="121"/>
      <c r="Z1927" s="121" t="str">
        <f>Таблица18[[#This Row],[Хар-ка]]</f>
        <v>Высший</v>
      </c>
      <c r="AA1927"/>
      <c r="AB1927"/>
      <c r="AC1927"/>
      <c r="AD1927" s="460" t="s">
        <v>3112</v>
      </c>
      <c r="AE1927" t="s">
        <v>909</v>
      </c>
      <c r="AF1927" t="s">
        <v>2932</v>
      </c>
    </row>
    <row r="1928" spans="1:32" s="465" customFormat="1" ht="33.75" x14ac:dyDescent="0.25">
      <c r="A1928" s="40" t="s">
        <v>3698</v>
      </c>
      <c r="B1928" s="360" t="s">
        <v>2940</v>
      </c>
      <c r="C1928" s="40">
        <v>696</v>
      </c>
      <c r="D1928" s="40">
        <v>58</v>
      </c>
      <c r="E1928" s="40" t="s">
        <v>3625</v>
      </c>
      <c r="F1928" s="40" t="s">
        <v>1461</v>
      </c>
      <c r="G1928" s="40" t="s">
        <v>149</v>
      </c>
      <c r="H1928" s="40" t="s">
        <v>3122</v>
      </c>
      <c r="I1928" s="40" t="str">
        <f>VLOOKUP(Таблица18[[#This Row],[Номер акта]],$AB$1:$AF$2504,3,FALSE)</f>
        <v>3.3 Колос</v>
      </c>
      <c r="J1928" s="40" t="s">
        <v>909</v>
      </c>
      <c r="K1928" s="40" t="s">
        <v>3645</v>
      </c>
      <c r="L1928" s="121">
        <v>28060</v>
      </c>
      <c r="M1928" s="121">
        <v>15240</v>
      </c>
      <c r="N1928" s="121">
        <v>8.5</v>
      </c>
      <c r="O1928" s="363">
        <v>12820</v>
      </c>
      <c r="P1928" s="363">
        <v>11730.3</v>
      </c>
      <c r="Q1928" s="121">
        <v>2026</v>
      </c>
      <c r="R1928" s="121">
        <v>547</v>
      </c>
      <c r="S1928" s="148">
        <v>46203</v>
      </c>
      <c r="T1928" s="363">
        <f>Таблица18[[#This Row],[Вес нетто]]-Таблица18[[#This Row],[Зачетный вес]]</f>
        <v>1089.7000000000007</v>
      </c>
      <c r="U1928" s="392">
        <f>Таблица18[[#This Row],[Отход]]/Таблица18[[#This Row],[Вес нетто]]</f>
        <v>8.5000000000000062E-2</v>
      </c>
      <c r="V1928" s="121">
        <f>MONTH(Таблица18[[#This Row],[Дата акта]])</f>
        <v>6</v>
      </c>
      <c r="W1928" s="121">
        <f>DAY(Таблица18[[#This Row],[Дата акта]])</f>
        <v>30</v>
      </c>
      <c r="X1928" s="148">
        <f>DATE(1900,Таблица18[[#This Row],[Месяц]],Таблица18[[#This Row],[Число]])</f>
        <v>182</v>
      </c>
      <c r="Y1928" s="121"/>
      <c r="Z1928" s="121" t="str">
        <f>Таблица18[[#This Row],[Хар-ка]]</f>
        <v>Высший</v>
      </c>
      <c r="AA1928"/>
      <c r="AB1928"/>
      <c r="AC1928"/>
      <c r="AD1928" s="460" t="s">
        <v>3112</v>
      </c>
      <c r="AE1928" t="s">
        <v>909</v>
      </c>
      <c r="AF1928" t="s">
        <v>2932</v>
      </c>
    </row>
    <row r="1929" spans="1:32" s="465" customFormat="1" ht="22.5" x14ac:dyDescent="0.25">
      <c r="A1929" s="40" t="s">
        <v>3699</v>
      </c>
      <c r="B1929" s="360" t="s">
        <v>2940</v>
      </c>
      <c r="C1929" s="40">
        <v>697</v>
      </c>
      <c r="D1929" s="40">
        <v>59</v>
      </c>
      <c r="E1929" s="40" t="s">
        <v>3625</v>
      </c>
      <c r="F1929" s="40" t="s">
        <v>1151</v>
      </c>
      <c r="G1929" s="40" t="s">
        <v>145</v>
      </c>
      <c r="H1929" s="40" t="s">
        <v>3122</v>
      </c>
      <c r="I1929" s="40" t="str">
        <f>VLOOKUP(Таблица18[[#This Row],[Номер акта]],$AB$1:$AF$2504,3,FALSE)</f>
        <v>3.3 Колос</v>
      </c>
      <c r="J1929" s="40" t="s">
        <v>909</v>
      </c>
      <c r="K1929" s="40" t="s">
        <v>3645</v>
      </c>
      <c r="L1929" s="121">
        <v>28650</v>
      </c>
      <c r="M1929" s="121">
        <v>15920</v>
      </c>
      <c r="N1929" s="121">
        <v>8.5</v>
      </c>
      <c r="O1929" s="363">
        <v>12730</v>
      </c>
      <c r="P1929" s="363">
        <v>11648</v>
      </c>
      <c r="Q1929" s="121">
        <v>2026</v>
      </c>
      <c r="R1929" s="121">
        <v>549</v>
      </c>
      <c r="S1929" s="148">
        <v>46203</v>
      </c>
      <c r="T1929" s="363">
        <f>Таблица18[[#This Row],[Вес нетто]]-Таблица18[[#This Row],[Зачетный вес]]</f>
        <v>1082</v>
      </c>
      <c r="U1929" s="392">
        <f>Таблица18[[#This Row],[Отход]]/Таблица18[[#This Row],[Вес нетто]]</f>
        <v>8.4996072270227804E-2</v>
      </c>
      <c r="V1929" s="121">
        <f>MONTH(Таблица18[[#This Row],[Дата акта]])</f>
        <v>6</v>
      </c>
      <c r="W1929" s="121">
        <f>DAY(Таблица18[[#This Row],[Дата акта]])</f>
        <v>30</v>
      </c>
      <c r="X1929" s="148">
        <f>DATE(1900,Таблица18[[#This Row],[Месяц]],Таблица18[[#This Row],[Число]])</f>
        <v>182</v>
      </c>
      <c r="Y1929" s="121"/>
      <c r="Z1929" s="121" t="str">
        <f>Таблица18[[#This Row],[Хар-ка]]</f>
        <v>Высший</v>
      </c>
      <c r="AA1929"/>
      <c r="AB1929"/>
      <c r="AC1929"/>
      <c r="AD1929" s="460" t="s">
        <v>3114</v>
      </c>
      <c r="AE1929" t="s">
        <v>1755</v>
      </c>
      <c r="AF1929" t="s">
        <v>52</v>
      </c>
    </row>
    <row r="1930" spans="1:32" s="465" customFormat="1" ht="33.75" x14ac:dyDescent="0.25">
      <c r="A1930" s="40" t="s">
        <v>3700</v>
      </c>
      <c r="B1930" s="360" t="s">
        <v>2940</v>
      </c>
      <c r="C1930" s="40">
        <v>698</v>
      </c>
      <c r="D1930" s="40">
        <v>376</v>
      </c>
      <c r="E1930" s="40" t="s">
        <v>2964</v>
      </c>
      <c r="F1930" s="40" t="s">
        <v>762</v>
      </c>
      <c r="G1930" s="40" t="s">
        <v>763</v>
      </c>
      <c r="H1930" s="40" t="s">
        <v>3111</v>
      </c>
      <c r="I1930" s="40" t="str">
        <f>VLOOKUP(Таблица18[[#This Row],[Номер акта]],$AB$1:$AF$2504,3,FALSE)</f>
        <v>А-79</v>
      </c>
      <c r="J1930" s="40" t="s">
        <v>747</v>
      </c>
      <c r="K1930" s="40" t="s">
        <v>3375</v>
      </c>
      <c r="L1930" s="121">
        <v>8590</v>
      </c>
      <c r="M1930" s="121">
        <v>4680</v>
      </c>
      <c r="N1930" s="121">
        <v>12</v>
      </c>
      <c r="O1930" s="363">
        <v>3910</v>
      </c>
      <c r="P1930" s="363">
        <v>3440.8</v>
      </c>
      <c r="Q1930" s="121">
        <v>2026</v>
      </c>
      <c r="R1930" s="121">
        <v>548</v>
      </c>
      <c r="S1930" s="148">
        <v>46203</v>
      </c>
      <c r="T1930" s="363">
        <f>Таблица18[[#This Row],[Вес нетто]]-Таблица18[[#This Row],[Зачетный вес]]</f>
        <v>469.19999999999982</v>
      </c>
      <c r="U1930" s="392">
        <f>Таблица18[[#This Row],[Отход]]/Таблица18[[#This Row],[Вес нетто]]</f>
        <v>0.11999999999999995</v>
      </c>
      <c r="V1930" s="121">
        <f>MONTH(Таблица18[[#This Row],[Дата акта]])</f>
        <v>6</v>
      </c>
      <c r="W1930" s="121">
        <f>DAY(Таблица18[[#This Row],[Дата акта]])</f>
        <v>30</v>
      </c>
      <c r="X1930" s="148">
        <f>DATE(1900,Таблица18[[#This Row],[Месяц]],Таблица18[[#This Row],[Число]])</f>
        <v>182</v>
      </c>
      <c r="Y1930" s="121"/>
      <c r="Z1930" s="121" t="str">
        <f>Таблица18[[#This Row],[Хар-ка]]</f>
        <v>Высший</v>
      </c>
      <c r="AA1930"/>
      <c r="AB1930"/>
      <c r="AC1930"/>
      <c r="AD1930" s="460" t="s">
        <v>3114</v>
      </c>
      <c r="AE1930" t="s">
        <v>1755</v>
      </c>
      <c r="AF1930" t="s">
        <v>52</v>
      </c>
    </row>
    <row r="1931" spans="1:32" s="465" customFormat="1" ht="33.75" x14ac:dyDescent="0.25">
      <c r="A1931" s="40" t="s">
        <v>3701</v>
      </c>
      <c r="B1931" s="360" t="s">
        <v>2940</v>
      </c>
      <c r="C1931" s="40">
        <v>699</v>
      </c>
      <c r="D1931" s="40">
        <v>60</v>
      </c>
      <c r="E1931" s="40" t="s">
        <v>3625</v>
      </c>
      <c r="F1931" s="40" t="s">
        <v>121</v>
      </c>
      <c r="G1931" s="40" t="s">
        <v>125</v>
      </c>
      <c r="H1931" s="40" t="s">
        <v>3122</v>
      </c>
      <c r="I1931" s="40" t="str">
        <f>VLOOKUP(Таблица18[[#This Row],[Номер акта]],$AB$1:$AF$2504,3,FALSE)</f>
        <v>3.3 Колос</v>
      </c>
      <c r="J1931" s="40" t="s">
        <v>909</v>
      </c>
      <c r="K1931" s="40" t="s">
        <v>3645</v>
      </c>
      <c r="L1931" s="121">
        <v>28050</v>
      </c>
      <c r="M1931" s="121">
        <v>14870</v>
      </c>
      <c r="N1931" s="121">
        <v>8.5</v>
      </c>
      <c r="O1931" s="363">
        <v>13180</v>
      </c>
      <c r="P1931" s="363">
        <v>12059.7</v>
      </c>
      <c r="Q1931" s="121">
        <v>2026</v>
      </c>
      <c r="R1931" s="121">
        <v>551</v>
      </c>
      <c r="S1931" s="148">
        <v>46203</v>
      </c>
      <c r="T1931" s="363">
        <f>Таблица18[[#This Row],[Вес нетто]]-Таблица18[[#This Row],[Зачетный вес]]</f>
        <v>1120.2999999999993</v>
      </c>
      <c r="U1931" s="121">
        <f>Таблица18[[#This Row],[Отход]]/Таблица18[[#This Row],[Вес нетто]]</f>
        <v>8.4999999999999951E-2</v>
      </c>
      <c r="V1931" s="121">
        <f>MONTH(Таблица18[[#This Row],[Дата акта]])</f>
        <v>6</v>
      </c>
      <c r="W1931" s="121">
        <f>DAY(Таблица18[[#This Row],[Дата акта]])</f>
        <v>30</v>
      </c>
      <c r="X1931" s="148">
        <f>DATE(1900,Таблица18[[#This Row],[Месяц]],Таблица18[[#This Row],[Число]])</f>
        <v>182</v>
      </c>
      <c r="Y1931" s="121"/>
      <c r="Z1931" s="121" t="str">
        <f>Таблица18[[#This Row],[Хар-ка]]</f>
        <v>Высший</v>
      </c>
      <c r="AA1931"/>
      <c r="AB1931"/>
      <c r="AC1931"/>
      <c r="AD1931" s="460" t="s">
        <v>3114</v>
      </c>
      <c r="AE1931" t="s">
        <v>1755</v>
      </c>
      <c r="AF1931" t="s">
        <v>52</v>
      </c>
    </row>
    <row r="1932" spans="1:32" s="465" customFormat="1" ht="22.5" x14ac:dyDescent="0.25">
      <c r="A1932" s="40" t="s">
        <v>3797</v>
      </c>
      <c r="B1932" s="360" t="s">
        <v>2940</v>
      </c>
      <c r="C1932" s="40">
        <v>702</v>
      </c>
      <c r="D1932" s="40">
        <v>61</v>
      </c>
      <c r="E1932" s="40" t="s">
        <v>3625</v>
      </c>
      <c r="F1932" s="40" t="s">
        <v>1376</v>
      </c>
      <c r="G1932" s="40" t="s">
        <v>1377</v>
      </c>
      <c r="H1932" s="40" t="s">
        <v>3122</v>
      </c>
      <c r="I1932" s="40" t="str">
        <f>VLOOKUP(Таблица18[[#This Row],[Номер акта]],$AB$1:$AF$2504,3,FALSE)</f>
        <v>3.3 Колос</v>
      </c>
      <c r="J1932" s="40" t="s">
        <v>909</v>
      </c>
      <c r="K1932" s="40" t="s">
        <v>3645</v>
      </c>
      <c r="L1932" s="121">
        <v>27570</v>
      </c>
      <c r="M1932" s="121">
        <v>14840</v>
      </c>
      <c r="N1932" s="121">
        <v>7.5</v>
      </c>
      <c r="O1932" s="363">
        <v>12730</v>
      </c>
      <c r="P1932" s="363">
        <v>11775.3</v>
      </c>
      <c r="Q1932" s="121">
        <v>2026</v>
      </c>
      <c r="R1932" s="121">
        <v>552</v>
      </c>
      <c r="S1932" s="148">
        <v>46203</v>
      </c>
      <c r="T1932" s="363">
        <f>Таблица18[[#This Row],[Вес нетто]]-Таблица18[[#This Row],[Зачетный вес]]</f>
        <v>954.70000000000073</v>
      </c>
      <c r="U1932" s="392">
        <f>Таблица18[[#This Row],[Отход]]/Таблица18[[#This Row],[Вес нетто]]</f>
        <v>7.4996072270227865E-2</v>
      </c>
      <c r="V1932" s="121">
        <f>MONTH(Таблица18[[#This Row],[Дата акта]])</f>
        <v>6</v>
      </c>
      <c r="W1932" s="121">
        <f>DAY(Таблица18[[#This Row],[Дата акта]])</f>
        <v>30</v>
      </c>
      <c r="X1932" s="148">
        <f>DATE(1900,Таблица18[[#This Row],[Месяц]],Таблица18[[#This Row],[Число]])</f>
        <v>182</v>
      </c>
      <c r="Y1932" s="121"/>
      <c r="Z1932" s="121" t="str">
        <f>Таблица18[[#This Row],[Хар-ка]]</f>
        <v>Высший</v>
      </c>
      <c r="AA1932"/>
      <c r="AB1932"/>
      <c r="AC1932"/>
      <c r="AD1932" s="460" t="s">
        <v>3114</v>
      </c>
      <c r="AE1932" t="s">
        <v>1755</v>
      </c>
      <c r="AF1932" t="s">
        <v>52</v>
      </c>
    </row>
    <row r="1933" spans="1:32" s="465" customFormat="1" ht="22.5" x14ac:dyDescent="0.25">
      <c r="A1933" s="40" t="s">
        <v>3796</v>
      </c>
      <c r="B1933" s="360" t="s">
        <v>2940</v>
      </c>
      <c r="C1933" s="40">
        <v>703</v>
      </c>
      <c r="D1933" s="40">
        <v>62</v>
      </c>
      <c r="E1933" s="40" t="s">
        <v>3625</v>
      </c>
      <c r="F1933" s="40" t="s">
        <v>335</v>
      </c>
      <c r="G1933" s="40" t="s">
        <v>339</v>
      </c>
      <c r="H1933" s="40" t="s">
        <v>3122</v>
      </c>
      <c r="I1933" s="40" t="str">
        <f>VLOOKUP(Таблица18[[#This Row],[Номер акта]],$AB$1:$AF$2504,3,FALSE)</f>
        <v>3.3 Колос</v>
      </c>
      <c r="J1933" s="40" t="s">
        <v>909</v>
      </c>
      <c r="K1933" s="40" t="s">
        <v>3645</v>
      </c>
      <c r="L1933" s="121">
        <v>27530</v>
      </c>
      <c r="M1933" s="121">
        <v>14790</v>
      </c>
      <c r="N1933" s="121">
        <v>6.5</v>
      </c>
      <c r="O1933" s="363">
        <v>12740</v>
      </c>
      <c r="P1933" s="363">
        <v>11911.9</v>
      </c>
      <c r="Q1933" s="121">
        <v>2026</v>
      </c>
      <c r="R1933" s="121">
        <v>553</v>
      </c>
      <c r="S1933" s="148">
        <v>46203</v>
      </c>
      <c r="T1933" s="363">
        <f>Таблица18[[#This Row],[Вес нетто]]-Таблица18[[#This Row],[Зачетный вес]]</f>
        <v>828.10000000000036</v>
      </c>
      <c r="U1933" s="392">
        <f>Таблица18[[#This Row],[Отход]]/Таблица18[[#This Row],[Вес нетто]]</f>
        <v>6.500000000000003E-2</v>
      </c>
      <c r="V1933" s="121">
        <f>MONTH(Таблица18[[#This Row],[Дата акта]])</f>
        <v>6</v>
      </c>
      <c r="W1933" s="121">
        <f>DAY(Таблица18[[#This Row],[Дата акта]])</f>
        <v>30</v>
      </c>
      <c r="X1933" s="148">
        <f>DATE(1900,Таблица18[[#This Row],[Месяц]],Таблица18[[#This Row],[Число]])</f>
        <v>182</v>
      </c>
      <c r="Y1933" s="121"/>
      <c r="Z1933" s="121" t="str">
        <f>Таблица18[[#This Row],[Хар-ка]]</f>
        <v>Высший</v>
      </c>
      <c r="AA1933"/>
      <c r="AB1933"/>
      <c r="AC1933"/>
      <c r="AD1933" s="460" t="s">
        <v>3114</v>
      </c>
      <c r="AE1933" t="s">
        <v>1755</v>
      </c>
      <c r="AF1933" t="s">
        <v>52</v>
      </c>
    </row>
    <row r="1934" spans="1:32" ht="22.5" x14ac:dyDescent="0.25">
      <c r="A1934" s="40" t="s">
        <v>3817</v>
      </c>
      <c r="B1934" s="360" t="s">
        <v>2940</v>
      </c>
      <c r="C1934" s="40">
        <v>704</v>
      </c>
      <c r="D1934" s="40">
        <v>377</v>
      </c>
      <c r="E1934" s="40" t="s">
        <v>2964</v>
      </c>
      <c r="F1934" s="40" t="s">
        <v>127</v>
      </c>
      <c r="G1934" s="40" t="s">
        <v>131</v>
      </c>
      <c r="H1934" s="40" t="s">
        <v>3111</v>
      </c>
      <c r="I1934" s="40" t="str">
        <f>VLOOKUP(Таблица18[[#This Row],[Номер акта]],$AB$1:$AF$2504,3,FALSE)</f>
        <v>А-79</v>
      </c>
      <c r="J1934" s="40" t="s">
        <v>747</v>
      </c>
      <c r="K1934" s="40" t="s">
        <v>3375</v>
      </c>
      <c r="L1934" s="121">
        <v>22950</v>
      </c>
      <c r="M1934" s="121">
        <v>14400</v>
      </c>
      <c r="N1934" s="121">
        <v>19.5</v>
      </c>
      <c r="O1934" s="363">
        <v>8550</v>
      </c>
      <c r="P1934" s="363">
        <v>6882.8</v>
      </c>
      <c r="Q1934" s="121">
        <v>2026</v>
      </c>
      <c r="R1934" s="121">
        <v>554</v>
      </c>
      <c r="S1934" s="148">
        <v>46203</v>
      </c>
      <c r="T1934" s="363">
        <f>Таблица18[[#This Row],[Вес нетто]]-Таблица18[[#This Row],[Зачетный вес]]</f>
        <v>1667.1999999999998</v>
      </c>
      <c r="U1934" s="392">
        <f>Таблица18[[#This Row],[Отход]]/Таблица18[[#This Row],[Вес нетто]]</f>
        <v>0.19499415204678361</v>
      </c>
      <c r="V1934" s="121">
        <f>MONTH(Таблица18[[#This Row],[Дата акта]])</f>
        <v>6</v>
      </c>
      <c r="W1934" s="121">
        <f>DAY(Таблица18[[#This Row],[Дата акта]])</f>
        <v>30</v>
      </c>
      <c r="X1934" s="148">
        <f>DATE(1900,Таблица18[[#This Row],[Месяц]],Таблица18[[#This Row],[Число]])</f>
        <v>182</v>
      </c>
      <c r="Y1934" s="121"/>
      <c r="Z1934" s="121" t="str">
        <f>Таблица18[[#This Row],[Хар-ка]]</f>
        <v>Высший</v>
      </c>
      <c r="AD1934" s="460" t="s">
        <v>3116</v>
      </c>
      <c r="AE1934" t="s">
        <v>909</v>
      </c>
      <c r="AF1934" t="s">
        <v>52</v>
      </c>
    </row>
    <row r="1935" spans="1:32" ht="33.75" x14ac:dyDescent="0.25">
      <c r="A1935" s="40" t="s">
        <v>3794</v>
      </c>
      <c r="B1935" s="360" t="s">
        <v>2940</v>
      </c>
      <c r="C1935" s="40">
        <v>705</v>
      </c>
      <c r="D1935" s="40">
        <v>63</v>
      </c>
      <c r="E1935" s="40" t="s">
        <v>3625</v>
      </c>
      <c r="F1935" s="40" t="s">
        <v>2967</v>
      </c>
      <c r="G1935" s="40" t="s">
        <v>1810</v>
      </c>
      <c r="H1935" s="40" t="s">
        <v>3122</v>
      </c>
      <c r="I1935" s="40" t="str">
        <f>VLOOKUP(Таблица18[[#This Row],[Номер акта]],$AB$1:$AF$2504,3,FALSE)</f>
        <v>3.3 Колос</v>
      </c>
      <c r="J1935" s="40" t="s">
        <v>909</v>
      </c>
      <c r="K1935" s="40" t="s">
        <v>3645</v>
      </c>
      <c r="L1935" s="121">
        <v>29410</v>
      </c>
      <c r="M1935" s="121">
        <v>14230</v>
      </c>
      <c r="N1935" s="121">
        <v>5.5</v>
      </c>
      <c r="O1935" s="363">
        <v>15180</v>
      </c>
      <c r="P1935" s="363">
        <v>14345.1</v>
      </c>
      <c r="Q1935" s="121">
        <v>2026</v>
      </c>
      <c r="R1935" s="121">
        <v>555</v>
      </c>
      <c r="S1935" s="148">
        <v>46203</v>
      </c>
      <c r="T1935" s="363">
        <f>Таблица18[[#This Row],[Вес нетто]]-Таблица18[[#This Row],[Зачетный вес]]</f>
        <v>834.89999999999964</v>
      </c>
      <c r="U1935" s="392">
        <f>Таблица18[[#This Row],[Отход]]/Таблица18[[#This Row],[Вес нетто]]</f>
        <v>5.4999999999999979E-2</v>
      </c>
      <c r="V1935" s="121">
        <f>MONTH(Таблица18[[#This Row],[Дата акта]])</f>
        <v>6</v>
      </c>
      <c r="W1935" s="121">
        <f>DAY(Таблица18[[#This Row],[Дата акта]])</f>
        <v>30</v>
      </c>
      <c r="X1935" s="148">
        <f>DATE(1900,Таблица18[[#This Row],[Месяц]],Таблица18[[#This Row],[Число]])</f>
        <v>182</v>
      </c>
      <c r="Y1935" s="121"/>
      <c r="Z1935" s="121" t="str">
        <f>Таблица18[[#This Row],[Хар-ка]]</f>
        <v>Высший</v>
      </c>
      <c r="AD1935" s="460" t="s">
        <v>3116</v>
      </c>
      <c r="AE1935" t="s">
        <v>909</v>
      </c>
      <c r="AF1935" t="s">
        <v>52</v>
      </c>
    </row>
    <row r="1936" spans="1:32" ht="33.75" x14ac:dyDescent="0.25">
      <c r="A1936" s="40" t="s">
        <v>3818</v>
      </c>
      <c r="B1936" s="360" t="s">
        <v>2940</v>
      </c>
      <c r="C1936" s="40">
        <v>706</v>
      </c>
      <c r="D1936" s="40">
        <v>378</v>
      </c>
      <c r="E1936" s="40" t="s">
        <v>2964</v>
      </c>
      <c r="F1936" s="40" t="s">
        <v>762</v>
      </c>
      <c r="G1936" s="40" t="s">
        <v>763</v>
      </c>
      <c r="H1936" s="40" t="s">
        <v>3111</v>
      </c>
      <c r="I1936" s="40" t="str">
        <f>VLOOKUP(Таблица18[[#This Row],[Номер акта]],$AB$1:$AF$2504,3,FALSE)</f>
        <v>А-79</v>
      </c>
      <c r="J1936" s="40" t="s">
        <v>747</v>
      </c>
      <c r="K1936" s="40" t="s">
        <v>3375</v>
      </c>
      <c r="L1936" s="121">
        <v>8820</v>
      </c>
      <c r="M1936" s="121">
        <v>4670</v>
      </c>
      <c r="N1936" s="121">
        <v>18.5</v>
      </c>
      <c r="O1936" s="363">
        <v>4150</v>
      </c>
      <c r="P1936" s="363">
        <v>3382.3</v>
      </c>
      <c r="Q1936" s="121">
        <v>2026</v>
      </c>
      <c r="R1936" s="121">
        <v>556</v>
      </c>
      <c r="S1936" s="148">
        <v>46203</v>
      </c>
      <c r="T1936" s="363">
        <f>Таблица18[[#This Row],[Вес нетто]]-Таблица18[[#This Row],[Зачетный вес]]</f>
        <v>767.69999999999982</v>
      </c>
      <c r="U1936" s="392">
        <f>Таблица18[[#This Row],[Отход]]/Таблица18[[#This Row],[Вес нетто]]</f>
        <v>0.18498795180722888</v>
      </c>
      <c r="V1936" s="121">
        <f>MONTH(Таблица18[[#This Row],[Дата акта]])</f>
        <v>6</v>
      </c>
      <c r="W1936" s="121">
        <f>DAY(Таблица18[[#This Row],[Дата акта]])</f>
        <v>30</v>
      </c>
      <c r="X1936" s="148">
        <f>DATE(1900,Таблица18[[#This Row],[Месяц]],Таблица18[[#This Row],[Число]])</f>
        <v>182</v>
      </c>
      <c r="Y1936" s="121"/>
      <c r="Z1936" s="121" t="str">
        <f>Таблица18[[#This Row],[Хар-ка]]</f>
        <v>Высший</v>
      </c>
      <c r="AD1936" s="460" t="s">
        <v>3120</v>
      </c>
      <c r="AE1936" t="s">
        <v>901</v>
      </c>
      <c r="AF1936" t="s">
        <v>53</v>
      </c>
    </row>
    <row r="1937" spans="1:32" ht="33.75" x14ac:dyDescent="0.25">
      <c r="A1937" s="40" t="s">
        <v>3795</v>
      </c>
      <c r="B1937" s="360" t="s">
        <v>2940</v>
      </c>
      <c r="C1937" s="40">
        <v>707</v>
      </c>
      <c r="D1937" s="40">
        <v>66</v>
      </c>
      <c r="E1937" s="40" t="s">
        <v>3625</v>
      </c>
      <c r="F1937" s="40" t="s">
        <v>305</v>
      </c>
      <c r="G1937" s="40" t="s">
        <v>309</v>
      </c>
      <c r="H1937" s="40" t="s">
        <v>3122</v>
      </c>
      <c r="I1937" s="40" t="str">
        <f>VLOOKUP(Таблица18[[#This Row],[Номер акта]],$AB$1:$AF$2504,3,FALSE)</f>
        <v>3.3 Колос</v>
      </c>
      <c r="J1937" s="40" t="s">
        <v>897</v>
      </c>
      <c r="K1937" s="40" t="s">
        <v>3645</v>
      </c>
      <c r="L1937" s="121">
        <v>27820</v>
      </c>
      <c r="M1937" s="121">
        <v>14580</v>
      </c>
      <c r="N1937" s="121">
        <v>7</v>
      </c>
      <c r="O1937" s="363">
        <v>13240</v>
      </c>
      <c r="P1937" s="363">
        <v>12313.2</v>
      </c>
      <c r="Q1937" s="121">
        <v>2026</v>
      </c>
      <c r="R1937" s="121">
        <v>557</v>
      </c>
      <c r="S1937" s="148">
        <v>46203</v>
      </c>
      <c r="T1937" s="363">
        <f>Таблица18[[#This Row],[Вес нетто]]-Таблица18[[#This Row],[Зачетный вес]]</f>
        <v>926.79999999999927</v>
      </c>
      <c r="U1937" s="392">
        <f>Таблица18[[#This Row],[Отход]]/Таблица18[[#This Row],[Вес нетто]]</f>
        <v>6.9999999999999951E-2</v>
      </c>
      <c r="V1937" s="121">
        <f>MONTH(Таблица18[[#This Row],[Дата акта]])</f>
        <v>6</v>
      </c>
      <c r="W1937" s="121">
        <f>DAY(Таблица18[[#This Row],[Дата акта]])</f>
        <v>30</v>
      </c>
      <c r="X1937" s="148">
        <f>DATE(1900,Таблица18[[#This Row],[Месяц]],Таблица18[[#This Row],[Число]])</f>
        <v>182</v>
      </c>
      <c r="Y1937" s="121"/>
      <c r="Z1937" s="121" t="str">
        <f>Таблица18[[#This Row],[Хар-ка]]</f>
        <v>Высший</v>
      </c>
      <c r="AD1937" s="460" t="s">
        <v>3120</v>
      </c>
      <c r="AE1937" t="s">
        <v>901</v>
      </c>
      <c r="AF1937" t="s">
        <v>53</v>
      </c>
    </row>
    <row r="1938" spans="1:32" ht="33.75" x14ac:dyDescent="0.25">
      <c r="A1938" s="40" t="s">
        <v>3798</v>
      </c>
      <c r="B1938" s="360" t="s">
        <v>2940</v>
      </c>
      <c r="C1938" s="40">
        <v>708</v>
      </c>
      <c r="D1938" s="40">
        <v>64</v>
      </c>
      <c r="E1938" s="40" t="s">
        <v>3625</v>
      </c>
      <c r="F1938" s="40" t="s">
        <v>329</v>
      </c>
      <c r="G1938" s="40" t="s">
        <v>333</v>
      </c>
      <c r="H1938" s="40" t="s">
        <v>3120</v>
      </c>
      <c r="I1938" s="40" t="str">
        <f>VLOOKUP(Таблица18[[#This Row],[Номер акта]],$AB$1:$AF$2504,3,FALSE)</f>
        <v>3.6 Колос</v>
      </c>
      <c r="J1938" s="40" t="s">
        <v>901</v>
      </c>
      <c r="K1938" s="40" t="s">
        <v>3645</v>
      </c>
      <c r="L1938" s="121">
        <v>28850</v>
      </c>
      <c r="M1938" s="121">
        <v>15110</v>
      </c>
      <c r="N1938" s="121">
        <v>15</v>
      </c>
      <c r="O1938" s="363">
        <v>13740</v>
      </c>
      <c r="P1938" s="363">
        <v>11679</v>
      </c>
      <c r="Q1938" s="121">
        <v>2026</v>
      </c>
      <c r="R1938" s="121">
        <v>558</v>
      </c>
      <c r="S1938" s="148">
        <v>46203</v>
      </c>
      <c r="T1938" s="363">
        <f>Таблица18[[#This Row],[Вес нетто]]-Таблица18[[#This Row],[Зачетный вес]]</f>
        <v>2061</v>
      </c>
      <c r="U1938" s="392">
        <f>Таблица18[[#This Row],[Отход]]/Таблица18[[#This Row],[Вес нетто]]</f>
        <v>0.15</v>
      </c>
      <c r="V1938" s="121">
        <f>MONTH(Таблица18[[#This Row],[Дата акта]])</f>
        <v>6</v>
      </c>
      <c r="W1938" s="121">
        <f>DAY(Таблица18[[#This Row],[Дата акта]])</f>
        <v>30</v>
      </c>
      <c r="X1938" s="148">
        <f>DATE(1900,Таблица18[[#This Row],[Месяц]],Таблица18[[#This Row],[Число]])</f>
        <v>182</v>
      </c>
      <c r="Y1938" s="121"/>
      <c r="Z1938" s="121" t="str">
        <f>Таблица18[[#This Row],[Хар-ка]]</f>
        <v>Высший</v>
      </c>
      <c r="AD1938" s="460" t="s">
        <v>3116</v>
      </c>
      <c r="AE1938" t="s">
        <v>909</v>
      </c>
      <c r="AF1938" t="s">
        <v>52</v>
      </c>
    </row>
    <row r="1939" spans="1:32" ht="22.5" x14ac:dyDescent="0.25">
      <c r="A1939" s="40" t="s">
        <v>3809</v>
      </c>
      <c r="B1939" s="360" t="s">
        <v>2940</v>
      </c>
      <c r="C1939" s="40">
        <v>709</v>
      </c>
      <c r="D1939" s="40">
        <v>379</v>
      </c>
      <c r="E1939" s="40" t="s">
        <v>2964</v>
      </c>
      <c r="F1939" s="40" t="s">
        <v>127</v>
      </c>
      <c r="G1939" s="40" t="s">
        <v>131</v>
      </c>
      <c r="H1939" s="40" t="s">
        <v>3111</v>
      </c>
      <c r="I1939" s="40" t="str">
        <f>VLOOKUP(Таблица18[[#This Row],[Номер акта]],$AB$1:$AF$2504,3,FALSE)</f>
        <v>А-79</v>
      </c>
      <c r="J1939" s="40" t="s">
        <v>747</v>
      </c>
      <c r="K1939" s="40" t="s">
        <v>3375</v>
      </c>
      <c r="L1939" s="121">
        <v>22820</v>
      </c>
      <c r="M1939" s="121">
        <v>14390</v>
      </c>
      <c r="N1939" s="121">
        <v>10</v>
      </c>
      <c r="O1939" s="363">
        <v>8430</v>
      </c>
      <c r="P1939" s="363">
        <v>7587</v>
      </c>
      <c r="Q1939" s="121">
        <v>2026</v>
      </c>
      <c r="R1939" s="121">
        <v>559</v>
      </c>
      <c r="S1939" s="148">
        <v>46204</v>
      </c>
      <c r="T1939" s="363">
        <f>Таблица18[[#This Row],[Вес нетто]]-Таблица18[[#This Row],[Зачетный вес]]</f>
        <v>843</v>
      </c>
      <c r="U1939" s="392">
        <f>Таблица18[[#This Row],[Отход]]/Таблица18[[#This Row],[Вес нетто]]</f>
        <v>0.1</v>
      </c>
      <c r="V1939" s="121">
        <f>MONTH(Таблица18[[#This Row],[Дата акта]])</f>
        <v>7</v>
      </c>
      <c r="W1939" s="121">
        <f>DAY(Таблица18[[#This Row],[Дата акта]])</f>
        <v>1</v>
      </c>
      <c r="X1939" s="148">
        <f>DATE(1900,Таблица18[[#This Row],[Месяц]],Таблица18[[#This Row],[Число]])</f>
        <v>183</v>
      </c>
      <c r="Y1939" s="121"/>
      <c r="Z1939" s="121" t="str">
        <f>Таблица18[[#This Row],[Хар-ка]]</f>
        <v>Высший</v>
      </c>
      <c r="AD1939" s="460" t="s">
        <v>3116</v>
      </c>
      <c r="AE1939" t="s">
        <v>909</v>
      </c>
      <c r="AF1939" t="s">
        <v>52</v>
      </c>
    </row>
    <row r="1940" spans="1:32" ht="22.5" x14ac:dyDescent="0.25">
      <c r="A1940" s="40" t="s">
        <v>3792</v>
      </c>
      <c r="B1940" s="360" t="s">
        <v>2940</v>
      </c>
      <c r="C1940" s="40">
        <v>710</v>
      </c>
      <c r="D1940" s="40">
        <v>65</v>
      </c>
      <c r="E1940" s="40" t="s">
        <v>3625</v>
      </c>
      <c r="F1940" s="40" t="s">
        <v>166</v>
      </c>
      <c r="G1940" s="40" t="s">
        <v>170</v>
      </c>
      <c r="H1940" s="40" t="s">
        <v>3123</v>
      </c>
      <c r="I1940" s="40" t="str">
        <f>VLOOKUP(Таблица18[[#This Row],[Номер акта]],$AB$1:$AF$2504,3,FALSE)</f>
        <v>3.6 Колос</v>
      </c>
      <c r="J1940" s="40" t="s">
        <v>897</v>
      </c>
      <c r="K1940" s="40" t="s">
        <v>3645</v>
      </c>
      <c r="L1940" s="121">
        <v>28640</v>
      </c>
      <c r="M1940" s="121">
        <v>15100</v>
      </c>
      <c r="N1940" s="121">
        <v>10</v>
      </c>
      <c r="O1940" s="363">
        <v>13540</v>
      </c>
      <c r="P1940" s="363">
        <v>12186</v>
      </c>
      <c r="Q1940" s="121">
        <v>2026</v>
      </c>
      <c r="R1940" s="121">
        <v>561</v>
      </c>
      <c r="S1940" s="148">
        <v>46204</v>
      </c>
      <c r="T1940" s="363">
        <f>Таблица18[[#This Row],[Вес нетто]]-Таблица18[[#This Row],[Зачетный вес]]</f>
        <v>1354</v>
      </c>
      <c r="U1940" s="392">
        <f>Таблица18[[#This Row],[Отход]]/Таблица18[[#This Row],[Вес нетто]]</f>
        <v>0.1</v>
      </c>
      <c r="V1940" s="121">
        <f>MONTH(Таблица18[[#This Row],[Дата акта]])</f>
        <v>7</v>
      </c>
      <c r="W1940" s="121">
        <f>DAY(Таблица18[[#This Row],[Дата акта]])</f>
        <v>1</v>
      </c>
      <c r="X1940" s="148">
        <f>DATE(1900,Таблица18[[#This Row],[Месяц]],Таблица18[[#This Row],[Число]])</f>
        <v>183</v>
      </c>
      <c r="Y1940" s="121"/>
      <c r="Z1940" s="121" t="str">
        <f>Таблица18[[#This Row],[Хар-ка]]</f>
        <v>Высший</v>
      </c>
      <c r="AD1940" s="460" t="s">
        <v>3116</v>
      </c>
      <c r="AE1940" t="s">
        <v>909</v>
      </c>
      <c r="AF1940" t="s">
        <v>52</v>
      </c>
    </row>
    <row r="1941" spans="1:32" ht="33.75" x14ac:dyDescent="0.25">
      <c r="A1941" s="40" t="s">
        <v>3814</v>
      </c>
      <c r="B1941" s="360" t="s">
        <v>2940</v>
      </c>
      <c r="C1941" s="40">
        <v>711</v>
      </c>
      <c r="D1941" s="40">
        <v>380</v>
      </c>
      <c r="E1941" s="40" t="s">
        <v>2964</v>
      </c>
      <c r="F1941" s="40" t="s">
        <v>762</v>
      </c>
      <c r="G1941" s="40" t="s">
        <v>763</v>
      </c>
      <c r="H1941" s="40" t="s">
        <v>3111</v>
      </c>
      <c r="I1941" s="40" t="str">
        <f>VLOOKUP(Таблица18[[#This Row],[Номер акта]],$AB$1:$AF$2504,3,FALSE)</f>
        <v>А-79</v>
      </c>
      <c r="J1941" s="40" t="s">
        <v>747</v>
      </c>
      <c r="K1941" s="40" t="s">
        <v>3375</v>
      </c>
      <c r="L1941" s="121">
        <v>8890</v>
      </c>
      <c r="M1941" s="121">
        <v>4670</v>
      </c>
      <c r="N1941" s="121">
        <v>10.5</v>
      </c>
      <c r="O1941" s="363">
        <v>4220</v>
      </c>
      <c r="P1941" s="363">
        <v>3776.9</v>
      </c>
      <c r="Q1941" s="121">
        <v>2026</v>
      </c>
      <c r="R1941" s="121">
        <v>560</v>
      </c>
      <c r="S1941" s="148">
        <v>46204</v>
      </c>
      <c r="T1941" s="363">
        <f>Таблица18[[#This Row],[Вес нетто]]-Таблица18[[#This Row],[Зачетный вес]]</f>
        <v>443.09999999999991</v>
      </c>
      <c r="U1941" s="392">
        <f>Таблица18[[#This Row],[Отход]]/Таблица18[[#This Row],[Вес нетто]]</f>
        <v>0.10499999999999998</v>
      </c>
      <c r="V1941" s="121">
        <f>MONTH(Таблица18[[#This Row],[Дата акта]])</f>
        <v>7</v>
      </c>
      <c r="W1941" s="121">
        <f>DAY(Таблица18[[#This Row],[Дата акта]])</f>
        <v>1</v>
      </c>
      <c r="X1941" s="148">
        <f>DATE(1900,Таблица18[[#This Row],[Месяц]],Таблица18[[#This Row],[Число]])</f>
        <v>183</v>
      </c>
      <c r="Y1941" s="121"/>
      <c r="Z1941" s="121" t="str">
        <f>Таблица18[[#This Row],[Хар-ка]]</f>
        <v>Высший</v>
      </c>
      <c r="AD1941" s="460" t="s">
        <v>3116</v>
      </c>
      <c r="AE1941" t="s">
        <v>909</v>
      </c>
      <c r="AF1941" t="s">
        <v>52</v>
      </c>
    </row>
    <row r="1942" spans="1:32" ht="22.5" x14ac:dyDescent="0.25">
      <c r="A1942" s="40" t="s">
        <v>3799</v>
      </c>
      <c r="B1942" s="360" t="s">
        <v>2940</v>
      </c>
      <c r="C1942" s="40">
        <v>712</v>
      </c>
      <c r="D1942" s="40">
        <v>67</v>
      </c>
      <c r="E1942" s="40" t="s">
        <v>3625</v>
      </c>
      <c r="F1942" s="40" t="s">
        <v>3623</v>
      </c>
      <c r="G1942" s="40" t="s">
        <v>3679</v>
      </c>
      <c r="H1942" s="40" t="s">
        <v>3123</v>
      </c>
      <c r="I1942" s="40" t="str">
        <f>VLOOKUP(Таблица18[[#This Row],[Номер акта]],$AB$1:$AF$2504,3,FALSE)</f>
        <v>3.6 Колос</v>
      </c>
      <c r="J1942" s="40" t="s">
        <v>897</v>
      </c>
      <c r="K1942" s="40" t="s">
        <v>3645</v>
      </c>
      <c r="L1942" s="121">
        <v>27040</v>
      </c>
      <c r="M1942" s="121">
        <v>14600</v>
      </c>
      <c r="N1942" s="121">
        <v>10.5</v>
      </c>
      <c r="O1942" s="363">
        <v>12440</v>
      </c>
      <c r="P1942" s="363">
        <v>11133.8</v>
      </c>
      <c r="Q1942" s="121">
        <v>2026</v>
      </c>
      <c r="R1942" s="121">
        <v>562</v>
      </c>
      <c r="S1942" s="148">
        <v>46204</v>
      </c>
      <c r="T1942" s="363">
        <f>Таблица18[[#This Row],[Вес нетто]]-Таблица18[[#This Row],[Зачетный вес]]</f>
        <v>1306.2000000000007</v>
      </c>
      <c r="U1942" s="392">
        <f>Таблица18[[#This Row],[Отход]]/Таблица18[[#This Row],[Вес нетто]]</f>
        <v>0.10500000000000005</v>
      </c>
      <c r="V1942" s="121">
        <f>MONTH(Таблица18[[#This Row],[Дата акта]])</f>
        <v>7</v>
      </c>
      <c r="W1942" s="121">
        <f>DAY(Таблица18[[#This Row],[Дата акта]])</f>
        <v>1</v>
      </c>
      <c r="X1942" s="148">
        <f>DATE(1900,Таблица18[[#This Row],[Месяц]],Таблица18[[#This Row],[Число]])</f>
        <v>183</v>
      </c>
      <c r="Y1942" s="121"/>
      <c r="Z1942" s="121" t="str">
        <f>Таблица18[[#This Row],[Хар-ка]]</f>
        <v>Высший</v>
      </c>
      <c r="AD1942" s="460" t="s">
        <v>3116</v>
      </c>
      <c r="AE1942" t="s">
        <v>909</v>
      </c>
      <c r="AF1942" t="s">
        <v>52</v>
      </c>
    </row>
    <row r="1943" spans="1:32" ht="22.5" x14ac:dyDescent="0.25">
      <c r="A1943" s="40" t="s">
        <v>3812</v>
      </c>
      <c r="B1943" s="360" t="s">
        <v>2940</v>
      </c>
      <c r="C1943" s="40">
        <v>713</v>
      </c>
      <c r="D1943" s="40">
        <v>381</v>
      </c>
      <c r="E1943" s="40" t="s">
        <v>2964</v>
      </c>
      <c r="F1943" s="40" t="s">
        <v>127</v>
      </c>
      <c r="G1943" s="40" t="s">
        <v>131</v>
      </c>
      <c r="H1943" s="40" t="s">
        <v>3111</v>
      </c>
      <c r="I1943" s="40" t="str">
        <f>VLOOKUP(Таблица18[[#This Row],[Номер акта]],$AB$1:$AF$2504,3,FALSE)</f>
        <v>А-79</v>
      </c>
      <c r="J1943" s="40" t="s">
        <v>747</v>
      </c>
      <c r="K1943" s="40" t="s">
        <v>3375</v>
      </c>
      <c r="L1943" s="121">
        <v>22650</v>
      </c>
      <c r="M1943" s="121">
        <v>14390</v>
      </c>
      <c r="N1943" s="121">
        <v>11.5</v>
      </c>
      <c r="O1943" s="363">
        <v>8260</v>
      </c>
      <c r="P1943" s="363">
        <v>7310.1</v>
      </c>
      <c r="Q1943" s="121">
        <v>2026</v>
      </c>
      <c r="R1943" s="121">
        <v>563</v>
      </c>
      <c r="S1943" s="148">
        <v>46204</v>
      </c>
      <c r="T1943" s="363">
        <f>Таблица18[[#This Row],[Вес нетто]]-Таблица18[[#This Row],[Зачетный вес]]</f>
        <v>949.89999999999964</v>
      </c>
      <c r="U1943" s="392">
        <f>Таблица18[[#This Row],[Отход]]/Таблица18[[#This Row],[Вес нетто]]</f>
        <v>0.11499999999999995</v>
      </c>
      <c r="V1943" s="121">
        <f>MONTH(Таблица18[[#This Row],[Дата акта]])</f>
        <v>7</v>
      </c>
      <c r="W1943" s="121">
        <f>DAY(Таблица18[[#This Row],[Дата акта]])</f>
        <v>1</v>
      </c>
      <c r="X1943" s="148">
        <f>DATE(1900,Таблица18[[#This Row],[Месяц]],Таблица18[[#This Row],[Число]])</f>
        <v>183</v>
      </c>
      <c r="Y1943" s="121"/>
      <c r="Z1943" s="121" t="str">
        <f>Таблица18[[#This Row],[Хар-ка]]</f>
        <v>Высший</v>
      </c>
      <c r="AD1943" s="460" t="s">
        <v>3116</v>
      </c>
      <c r="AE1943" t="s">
        <v>909</v>
      </c>
      <c r="AF1943" t="s">
        <v>52</v>
      </c>
    </row>
    <row r="1944" spans="1:32" ht="22.5" x14ac:dyDescent="0.25">
      <c r="A1944" s="40" t="s">
        <v>3800</v>
      </c>
      <c r="B1944" s="360" t="s">
        <v>2940</v>
      </c>
      <c r="C1944" s="40">
        <v>714</v>
      </c>
      <c r="D1944" s="40">
        <v>68</v>
      </c>
      <c r="E1944" s="40" t="s">
        <v>3625</v>
      </c>
      <c r="F1944" s="40" t="s">
        <v>347</v>
      </c>
      <c r="G1944" s="40" t="s">
        <v>351</v>
      </c>
      <c r="H1944" s="40" t="s">
        <v>3123</v>
      </c>
      <c r="I1944" s="40" t="str">
        <f>VLOOKUP(Таблица18[[#This Row],[Номер акта]],$AB$1:$AF$2504,3,FALSE)</f>
        <v>3.6 Колос</v>
      </c>
      <c r="J1944" s="40" t="s">
        <v>897</v>
      </c>
      <c r="K1944" s="40" t="s">
        <v>3645</v>
      </c>
      <c r="L1944" s="121">
        <v>27480</v>
      </c>
      <c r="M1944" s="121">
        <v>15910</v>
      </c>
      <c r="N1944" s="121">
        <v>15</v>
      </c>
      <c r="O1944" s="363">
        <v>11570</v>
      </c>
      <c r="P1944" s="363">
        <v>9834.5</v>
      </c>
      <c r="Q1944" s="121">
        <v>2026</v>
      </c>
      <c r="R1944" s="121">
        <v>564</v>
      </c>
      <c r="S1944" s="148">
        <v>46204</v>
      </c>
      <c r="T1944" s="363">
        <f>Таблица18[[#This Row],[Вес нетто]]-Таблица18[[#This Row],[Зачетный вес]]</f>
        <v>1735.5</v>
      </c>
      <c r="U1944" s="392">
        <f>Таблица18[[#This Row],[Отход]]/Таблица18[[#This Row],[Вес нетто]]</f>
        <v>0.15</v>
      </c>
      <c r="V1944" s="121">
        <f>MONTH(Таблица18[[#This Row],[Дата акта]])</f>
        <v>7</v>
      </c>
      <c r="W1944" s="121">
        <f>DAY(Таблица18[[#This Row],[Дата акта]])</f>
        <v>1</v>
      </c>
      <c r="X1944" s="148">
        <f>DATE(1900,Таблица18[[#This Row],[Месяц]],Таблица18[[#This Row],[Число]])</f>
        <v>183</v>
      </c>
      <c r="Y1944" s="121"/>
      <c r="Z1944" s="121" t="str">
        <f>Таблица18[[#This Row],[Хар-ка]]</f>
        <v>Высший</v>
      </c>
      <c r="AD1944" s="460" t="s">
        <v>3116</v>
      </c>
      <c r="AE1944" t="s">
        <v>909</v>
      </c>
      <c r="AF1944" t="s">
        <v>52</v>
      </c>
    </row>
    <row r="1945" spans="1:32" ht="33.75" x14ac:dyDescent="0.25">
      <c r="A1945" s="40" t="s">
        <v>3810</v>
      </c>
      <c r="B1945" s="360" t="s">
        <v>2940</v>
      </c>
      <c r="C1945" s="40">
        <v>715</v>
      </c>
      <c r="D1945" s="40">
        <v>382</v>
      </c>
      <c r="E1945" s="40" t="s">
        <v>2964</v>
      </c>
      <c r="F1945" s="40" t="s">
        <v>329</v>
      </c>
      <c r="G1945" s="40" t="s">
        <v>333</v>
      </c>
      <c r="H1945" s="40" t="s">
        <v>3111</v>
      </c>
      <c r="I1945" s="40" t="str">
        <f>VLOOKUP(Таблица18[[#This Row],[Номер акта]],$AB$1:$AF$2504,3,FALSE)</f>
        <v>А-79</v>
      </c>
      <c r="J1945" s="40" t="s">
        <v>747</v>
      </c>
      <c r="K1945" s="40" t="s">
        <v>3375</v>
      </c>
      <c r="L1945" s="121">
        <v>23570</v>
      </c>
      <c r="M1945" s="121">
        <v>15210</v>
      </c>
      <c r="N1945" s="121">
        <v>13.5</v>
      </c>
      <c r="O1945" s="363">
        <v>8360</v>
      </c>
      <c r="P1945" s="363">
        <v>7231.4</v>
      </c>
      <c r="Q1945" s="121">
        <v>2026</v>
      </c>
      <c r="R1945" s="121">
        <v>565</v>
      </c>
      <c r="S1945" s="148">
        <v>46204</v>
      </c>
      <c r="T1945" s="363">
        <f>Таблица18[[#This Row],[Вес нетто]]-Таблица18[[#This Row],[Зачетный вес]]</f>
        <v>1128.6000000000004</v>
      </c>
      <c r="U1945" s="392">
        <f>Таблица18[[#This Row],[Отход]]/Таблица18[[#This Row],[Вес нетто]]</f>
        <v>0.13500000000000004</v>
      </c>
      <c r="V1945" s="121">
        <f>MONTH(Таблица18[[#This Row],[Дата акта]])</f>
        <v>7</v>
      </c>
      <c r="W1945" s="121">
        <f>DAY(Таблица18[[#This Row],[Дата акта]])</f>
        <v>1</v>
      </c>
      <c r="X1945" s="148">
        <f>DATE(1900,Таблица18[[#This Row],[Месяц]],Таблица18[[#This Row],[Число]])</f>
        <v>183</v>
      </c>
      <c r="Y1945" s="121"/>
      <c r="Z1945" s="121" t="str">
        <f>Таблица18[[#This Row],[Хар-ка]]</f>
        <v>Высший</v>
      </c>
      <c r="AD1945" s="460" t="s">
        <v>3116</v>
      </c>
      <c r="AE1945" t="s">
        <v>909</v>
      </c>
      <c r="AF1945" t="s">
        <v>52</v>
      </c>
    </row>
    <row r="1946" spans="1:32" ht="33.75" x14ac:dyDescent="0.25">
      <c r="A1946" s="40" t="s">
        <v>3819</v>
      </c>
      <c r="B1946" s="360" t="s">
        <v>2940</v>
      </c>
      <c r="C1946" s="40">
        <v>716</v>
      </c>
      <c r="D1946" s="40">
        <v>383</v>
      </c>
      <c r="E1946" s="40" t="s">
        <v>2964</v>
      </c>
      <c r="F1946" s="40" t="s">
        <v>762</v>
      </c>
      <c r="G1946" s="40" t="s">
        <v>763</v>
      </c>
      <c r="H1946" s="40" t="s">
        <v>3111</v>
      </c>
      <c r="I1946" s="40" t="str">
        <f>VLOOKUP(Таблица18[[#This Row],[Номер акта]],$AB$1:$AF$2504,3,FALSE)</f>
        <v>А-79</v>
      </c>
      <c r="J1946" s="40" t="s">
        <v>747</v>
      </c>
      <c r="K1946" s="40" t="s">
        <v>3375</v>
      </c>
      <c r="L1946" s="121">
        <v>8830</v>
      </c>
      <c r="M1946" s="121">
        <v>4660</v>
      </c>
      <c r="N1946" s="121">
        <v>13.5</v>
      </c>
      <c r="O1946" s="363">
        <v>4170</v>
      </c>
      <c r="P1946" s="363">
        <v>3607.1</v>
      </c>
      <c r="Q1946" s="121">
        <v>2026</v>
      </c>
      <c r="R1946" s="121">
        <v>566</v>
      </c>
      <c r="S1946" s="148">
        <v>46204</v>
      </c>
      <c r="T1946" s="363">
        <f>Таблица18[[#This Row],[Вес нетто]]-Таблица18[[#This Row],[Зачетный вес]]</f>
        <v>562.90000000000009</v>
      </c>
      <c r="U1946" s="392">
        <f>Таблица18[[#This Row],[Отход]]/Таблица18[[#This Row],[Вес нетто]]</f>
        <v>0.13498800959232615</v>
      </c>
      <c r="V1946" s="121">
        <f>MONTH(Таблица18[[#This Row],[Дата акта]])</f>
        <v>7</v>
      </c>
      <c r="W1946" s="121">
        <f>DAY(Таблица18[[#This Row],[Дата акта]])</f>
        <v>1</v>
      </c>
      <c r="X1946" s="148">
        <f>DATE(1900,Таблица18[[#This Row],[Месяц]],Таблица18[[#This Row],[Число]])</f>
        <v>183</v>
      </c>
      <c r="Y1946" s="121"/>
      <c r="Z1946" s="121" t="str">
        <f>Таблица18[[#This Row],[Хар-ка]]</f>
        <v>Высший</v>
      </c>
      <c r="AD1946" s="460" t="s">
        <v>3116</v>
      </c>
      <c r="AE1946" t="s">
        <v>909</v>
      </c>
      <c r="AF1946" t="s">
        <v>52</v>
      </c>
    </row>
    <row r="1947" spans="1:32" ht="33.75" x14ac:dyDescent="0.25">
      <c r="A1947" s="40" t="s">
        <v>3816</v>
      </c>
      <c r="B1947" s="360" t="s">
        <v>2940</v>
      </c>
      <c r="C1947" s="40">
        <v>719</v>
      </c>
      <c r="D1947" s="40">
        <v>384</v>
      </c>
      <c r="E1947" s="40" t="s">
        <v>2964</v>
      </c>
      <c r="F1947" s="40" t="s">
        <v>195</v>
      </c>
      <c r="G1947" s="40" t="s">
        <v>199</v>
      </c>
      <c r="H1947" s="40" t="s">
        <v>3111</v>
      </c>
      <c r="I1947" s="40" t="str">
        <f>VLOOKUP(Таблица18[[#This Row],[Номер акта]],$AB$1:$AF$2504,3,FALSE)</f>
        <v>А-79</v>
      </c>
      <c r="J1947" s="40" t="s">
        <v>747</v>
      </c>
      <c r="K1947" s="40" t="s">
        <v>3375</v>
      </c>
      <c r="L1947" s="121">
        <v>18010</v>
      </c>
      <c r="M1947" s="121">
        <v>10660</v>
      </c>
      <c r="N1947" s="121">
        <v>12.5</v>
      </c>
      <c r="O1947" s="363">
        <v>7350</v>
      </c>
      <c r="P1947" s="363">
        <v>6431.3</v>
      </c>
      <c r="Q1947" s="121">
        <v>2026</v>
      </c>
      <c r="R1947" s="121">
        <v>575</v>
      </c>
      <c r="S1947" s="148">
        <v>46204</v>
      </c>
      <c r="T1947" s="363">
        <f>Таблица18[[#This Row],[Вес нетто]]-Таблица18[[#This Row],[Зачетный вес]]</f>
        <v>918.69999999999982</v>
      </c>
      <c r="U1947" s="392">
        <f>Таблица18[[#This Row],[Отход]]/Таблица18[[#This Row],[Вес нетто]]</f>
        <v>0.12499319727891153</v>
      </c>
      <c r="V1947" s="121">
        <f>MONTH(Таблица18[[#This Row],[Дата акта]])</f>
        <v>7</v>
      </c>
      <c r="W1947" s="121">
        <f>DAY(Таблица18[[#This Row],[Дата акта]])</f>
        <v>1</v>
      </c>
      <c r="X1947" s="148">
        <f>DATE(1900,Таблица18[[#This Row],[Месяц]],Таблица18[[#This Row],[Число]])</f>
        <v>183</v>
      </c>
      <c r="Y1947" s="121"/>
      <c r="Z1947" s="121" t="str">
        <f>Таблица18[[#This Row],[Хар-ка]]</f>
        <v>Высший</v>
      </c>
      <c r="AD1947" s="460" t="s">
        <v>3115</v>
      </c>
      <c r="AE1947" t="s">
        <v>909</v>
      </c>
      <c r="AF1947" t="s">
        <v>52</v>
      </c>
    </row>
    <row r="1948" spans="1:32" ht="22.5" x14ac:dyDescent="0.25">
      <c r="A1948" s="40" t="s">
        <v>3813</v>
      </c>
      <c r="B1948" s="360" t="s">
        <v>2940</v>
      </c>
      <c r="C1948" s="40">
        <v>720</v>
      </c>
      <c r="D1948" s="40">
        <v>385</v>
      </c>
      <c r="E1948" s="40" t="s">
        <v>2964</v>
      </c>
      <c r="F1948" s="40" t="s">
        <v>166</v>
      </c>
      <c r="G1948" s="40" t="s">
        <v>170</v>
      </c>
      <c r="H1948" s="40" t="s">
        <v>3111</v>
      </c>
      <c r="I1948" s="40" t="str">
        <f>VLOOKUP(Таблица18[[#This Row],[Номер акта]],$AB$1:$AF$2504,3,FALSE)</f>
        <v>А-79</v>
      </c>
      <c r="J1948" s="40" t="s">
        <v>747</v>
      </c>
      <c r="K1948" s="40" t="s">
        <v>3375</v>
      </c>
      <c r="L1948" s="121">
        <v>16900</v>
      </c>
      <c r="M1948" s="121">
        <v>10000</v>
      </c>
      <c r="N1948" s="121">
        <v>17</v>
      </c>
      <c r="O1948" s="363">
        <v>6900</v>
      </c>
      <c r="P1948" s="363">
        <v>5727</v>
      </c>
      <c r="Q1948" s="121">
        <v>2026</v>
      </c>
      <c r="R1948" s="121">
        <v>576</v>
      </c>
      <c r="S1948" s="148">
        <v>46204</v>
      </c>
      <c r="T1948" s="363">
        <f>Таблица18[[#This Row],[Вес нетто]]-Таблица18[[#This Row],[Зачетный вес]]</f>
        <v>1173</v>
      </c>
      <c r="U1948" s="392">
        <f>Таблица18[[#This Row],[Отход]]/Таблица18[[#This Row],[Вес нетто]]</f>
        <v>0.17</v>
      </c>
      <c r="V1948" s="121">
        <f>MONTH(Таблица18[[#This Row],[Дата акта]])</f>
        <v>7</v>
      </c>
      <c r="W1948" s="121">
        <f>DAY(Таблица18[[#This Row],[Дата акта]])</f>
        <v>1</v>
      </c>
      <c r="X1948" s="148">
        <f>DATE(1900,Таблица18[[#This Row],[Месяц]],Таблица18[[#This Row],[Число]])</f>
        <v>183</v>
      </c>
      <c r="Y1948" s="121"/>
      <c r="Z1948" s="121" t="str">
        <f>Таблица18[[#This Row],[Хар-ка]]</f>
        <v>Высший</v>
      </c>
      <c r="AD1948" s="460" t="s">
        <v>3115</v>
      </c>
      <c r="AE1948" t="s">
        <v>909</v>
      </c>
      <c r="AF1948" t="s">
        <v>52</v>
      </c>
    </row>
    <row r="1949" spans="1:32" ht="33.75" x14ac:dyDescent="0.25">
      <c r="A1949" s="40" t="s">
        <v>3820</v>
      </c>
      <c r="B1949" s="360" t="s">
        <v>2940</v>
      </c>
      <c r="C1949" s="40">
        <v>721</v>
      </c>
      <c r="D1949" s="40">
        <v>386</v>
      </c>
      <c r="E1949" s="40" t="s">
        <v>2964</v>
      </c>
      <c r="F1949" s="40" t="s">
        <v>195</v>
      </c>
      <c r="G1949" s="40" t="s">
        <v>199</v>
      </c>
      <c r="H1949" s="40" t="s">
        <v>3111</v>
      </c>
      <c r="I1949" s="40" t="str">
        <f>VLOOKUP(Таблица18[[#This Row],[Номер акта]],$AB$1:$AF$2504,3,FALSE)</f>
        <v>А-79</v>
      </c>
      <c r="J1949" s="40" t="s">
        <v>747</v>
      </c>
      <c r="K1949" s="40" t="s">
        <v>3375</v>
      </c>
      <c r="L1949" s="121">
        <v>22370</v>
      </c>
      <c r="M1949" s="121">
        <v>15470</v>
      </c>
      <c r="N1949" s="121">
        <v>13</v>
      </c>
      <c r="O1949" s="363">
        <v>6900</v>
      </c>
      <c r="P1949" s="363">
        <v>6003</v>
      </c>
      <c r="Q1949" s="121">
        <v>2026</v>
      </c>
      <c r="R1949" s="121">
        <v>577</v>
      </c>
      <c r="S1949" s="148">
        <v>46204</v>
      </c>
      <c r="T1949" s="363">
        <f>Таблица18[[#This Row],[Вес нетто]]-Таблица18[[#This Row],[Зачетный вес]]</f>
        <v>897</v>
      </c>
      <c r="U1949" s="392">
        <f>Таблица18[[#This Row],[Отход]]/Таблица18[[#This Row],[Вес нетто]]</f>
        <v>0.13</v>
      </c>
      <c r="V1949" s="121">
        <f>MONTH(Таблица18[[#This Row],[Дата акта]])</f>
        <v>7</v>
      </c>
      <c r="W1949" s="121">
        <f>DAY(Таблица18[[#This Row],[Дата акта]])</f>
        <v>1</v>
      </c>
      <c r="X1949" s="148">
        <f>DATE(1900,Таблица18[[#This Row],[Месяц]],Таблица18[[#This Row],[Число]])</f>
        <v>183</v>
      </c>
      <c r="Y1949" s="121"/>
      <c r="Z1949" s="121" t="str">
        <f>Таблица18[[#This Row],[Хар-ка]]</f>
        <v>Высший</v>
      </c>
      <c r="AD1949" s="460" t="s">
        <v>3115</v>
      </c>
      <c r="AE1949" t="s">
        <v>909</v>
      </c>
      <c r="AF1949" t="s">
        <v>52</v>
      </c>
    </row>
    <row r="1950" spans="1:32" ht="33.75" x14ac:dyDescent="0.25">
      <c r="A1950" s="40" t="s">
        <v>3793</v>
      </c>
      <c r="B1950" s="360" t="s">
        <v>2940</v>
      </c>
      <c r="C1950" s="40">
        <v>723</v>
      </c>
      <c r="D1950" s="40">
        <v>70</v>
      </c>
      <c r="E1950" s="40" t="s">
        <v>3625</v>
      </c>
      <c r="F1950" s="40" t="s">
        <v>3838</v>
      </c>
      <c r="G1950" s="40" t="s">
        <v>270</v>
      </c>
      <c r="H1950" s="40" t="s">
        <v>3121</v>
      </c>
      <c r="I1950" s="40" t="str">
        <f>VLOOKUP(Таблица18[[#This Row],[Номер акта]],$AB$1:$AF$2504,3,FALSE)</f>
        <v>3.1 Колос</v>
      </c>
      <c r="J1950" s="40" t="s">
        <v>897</v>
      </c>
      <c r="K1950" s="40" t="s">
        <v>3645</v>
      </c>
      <c r="L1950" s="121">
        <v>28850</v>
      </c>
      <c r="M1950" s="121">
        <v>14850</v>
      </c>
      <c r="N1950" s="121">
        <v>14</v>
      </c>
      <c r="O1950" s="363">
        <v>14000</v>
      </c>
      <c r="P1950" s="363">
        <v>12040</v>
      </c>
      <c r="Q1950" s="121">
        <v>2026</v>
      </c>
      <c r="R1950" s="121">
        <v>578</v>
      </c>
      <c r="S1950" s="148">
        <v>46204</v>
      </c>
      <c r="T1950" s="363">
        <f>Таблица18[[#This Row],[Вес нетто]]-Таблица18[[#This Row],[Зачетный вес]]</f>
        <v>1960</v>
      </c>
      <c r="U1950" s="392">
        <f>Таблица18[[#This Row],[Отход]]/Таблица18[[#This Row],[Вес нетто]]</f>
        <v>0.14000000000000001</v>
      </c>
      <c r="V1950" s="121">
        <f>MONTH(Таблица18[[#This Row],[Дата акта]])</f>
        <v>7</v>
      </c>
      <c r="W1950" s="121">
        <f>DAY(Таблица18[[#This Row],[Дата акта]])</f>
        <v>1</v>
      </c>
      <c r="X1950" s="148">
        <f>DATE(1900,Таблица18[[#This Row],[Месяц]],Таблица18[[#This Row],[Число]])</f>
        <v>183</v>
      </c>
      <c r="Y1950" s="121"/>
      <c r="Z1950" s="121" t="str">
        <f>Таблица18[[#This Row],[Хар-ка]]</f>
        <v>Высший</v>
      </c>
      <c r="AD1950" s="460" t="s">
        <v>3115</v>
      </c>
      <c r="AE1950" t="s">
        <v>909</v>
      </c>
      <c r="AF1950" t="s">
        <v>52</v>
      </c>
    </row>
    <row r="1951" spans="1:32" ht="22.5" x14ac:dyDescent="0.25">
      <c r="A1951" s="40" t="s">
        <v>3815</v>
      </c>
      <c r="B1951" s="360" t="s">
        <v>2940</v>
      </c>
      <c r="C1951" s="40">
        <v>724</v>
      </c>
      <c r="D1951" s="40">
        <v>387</v>
      </c>
      <c r="E1951" s="40" t="s">
        <v>2964</v>
      </c>
      <c r="F1951" s="40" t="s">
        <v>166</v>
      </c>
      <c r="G1951" s="40" t="s">
        <v>170</v>
      </c>
      <c r="H1951" s="40" t="s">
        <v>3092</v>
      </c>
      <c r="I1951" s="40" t="str">
        <f>VLOOKUP(Таблица18[[#This Row],[Номер акта]],$AB$1:$AF$2504,3,FALSE)</f>
        <v>А-104/1</v>
      </c>
      <c r="J1951" s="40" t="s">
        <v>901</v>
      </c>
      <c r="K1951" s="40" t="s">
        <v>3375</v>
      </c>
      <c r="L1951" s="121">
        <v>24290</v>
      </c>
      <c r="M1951" s="121">
        <v>15210</v>
      </c>
      <c r="N1951" s="121">
        <v>15.5</v>
      </c>
      <c r="O1951" s="363">
        <v>9080</v>
      </c>
      <c r="P1951" s="363">
        <v>7672.6</v>
      </c>
      <c r="Q1951" s="121">
        <v>2026</v>
      </c>
      <c r="R1951" s="121">
        <v>580</v>
      </c>
      <c r="S1951" s="148">
        <v>46204</v>
      </c>
      <c r="T1951" s="363">
        <f>Таблица18[[#This Row],[Вес нетто]]-Таблица18[[#This Row],[Зачетный вес]]</f>
        <v>1407.3999999999996</v>
      </c>
      <c r="U1951" s="392">
        <f>Таблица18[[#This Row],[Отход]]/Таблица18[[#This Row],[Вес нетто]]</f>
        <v>0.15499999999999997</v>
      </c>
      <c r="V1951" s="121">
        <f>MONTH(Таблица18[[#This Row],[Дата акта]])</f>
        <v>7</v>
      </c>
      <c r="W1951" s="121">
        <f>DAY(Таблица18[[#This Row],[Дата акта]])</f>
        <v>1</v>
      </c>
      <c r="X1951" s="148">
        <f>DATE(1900,Таблица18[[#This Row],[Месяц]],Таблица18[[#This Row],[Число]])</f>
        <v>183</v>
      </c>
      <c r="Y1951" s="121"/>
      <c r="Z1951" s="121" t="str">
        <f>Таблица18[[#This Row],[Хар-ка]]</f>
        <v>Высший</v>
      </c>
      <c r="AD1951" s="460" t="s">
        <v>3115</v>
      </c>
      <c r="AE1951" t="s">
        <v>909</v>
      </c>
      <c r="AF1951" t="s">
        <v>52</v>
      </c>
    </row>
    <row r="1952" spans="1:32" ht="33.75" x14ac:dyDescent="0.25">
      <c r="A1952" s="40" t="s">
        <v>3824</v>
      </c>
      <c r="B1952" s="360" t="s">
        <v>2940</v>
      </c>
      <c r="C1952" s="40">
        <v>726</v>
      </c>
      <c r="D1952" s="40">
        <v>69</v>
      </c>
      <c r="E1952" s="40" t="s">
        <v>3625</v>
      </c>
      <c r="F1952" s="40" t="s">
        <v>311</v>
      </c>
      <c r="G1952" s="40" t="s">
        <v>315</v>
      </c>
      <c r="H1952" s="40" t="s">
        <v>3121</v>
      </c>
      <c r="I1952" s="40" t="str">
        <f>VLOOKUP(Таблица18[[#This Row],[Номер акта]],$AB$1:$AF$2504,3,FALSE)</f>
        <v>3.1 Колос</v>
      </c>
      <c r="J1952" s="40" t="s">
        <v>901</v>
      </c>
      <c r="K1952" s="40" t="s">
        <v>3645</v>
      </c>
      <c r="L1952" s="121">
        <v>29160</v>
      </c>
      <c r="M1952" s="121">
        <v>15200</v>
      </c>
      <c r="N1952" s="121">
        <v>17.5</v>
      </c>
      <c r="O1952" s="363">
        <v>13960</v>
      </c>
      <c r="P1952" s="363">
        <v>11517</v>
      </c>
      <c r="Q1952" s="121">
        <v>2026</v>
      </c>
      <c r="R1952" s="121">
        <v>582</v>
      </c>
      <c r="S1952" s="148">
        <v>46204</v>
      </c>
      <c r="T1952" s="363">
        <f>Таблица18[[#This Row],[Вес нетто]]-Таблица18[[#This Row],[Зачетный вес]]</f>
        <v>2443</v>
      </c>
      <c r="U1952" s="392">
        <f>Таблица18[[#This Row],[Отход]]/Таблица18[[#This Row],[Вес нетто]]</f>
        <v>0.17499999999999999</v>
      </c>
      <c r="V1952" s="121">
        <f>MONTH(Таблица18[[#This Row],[Дата акта]])</f>
        <v>7</v>
      </c>
      <c r="W1952" s="121">
        <f>DAY(Таблица18[[#This Row],[Дата акта]])</f>
        <v>1</v>
      </c>
      <c r="X1952" s="148">
        <f>DATE(1900,Таблица18[[#This Row],[Месяц]],Таблица18[[#This Row],[Число]])</f>
        <v>183</v>
      </c>
      <c r="Y1952" s="121"/>
      <c r="Z1952" s="121" t="str">
        <f>Таблица18[[#This Row],[Хар-ка]]</f>
        <v>Высший</v>
      </c>
      <c r="AD1952" s="460" t="s">
        <v>3115</v>
      </c>
      <c r="AE1952" t="s">
        <v>909</v>
      </c>
      <c r="AF1952" t="s">
        <v>52</v>
      </c>
    </row>
    <row r="1953" spans="1:32" ht="33.75" x14ac:dyDescent="0.25">
      <c r="A1953" s="40" t="s">
        <v>3822</v>
      </c>
      <c r="B1953" s="360" t="s">
        <v>2940</v>
      </c>
      <c r="C1953" s="40">
        <v>727</v>
      </c>
      <c r="D1953" s="40">
        <v>388</v>
      </c>
      <c r="E1953" s="40" t="s">
        <v>2964</v>
      </c>
      <c r="F1953" s="40" t="s">
        <v>195</v>
      </c>
      <c r="G1953" s="40" t="s">
        <v>199</v>
      </c>
      <c r="H1953" s="40" t="s">
        <v>3092</v>
      </c>
      <c r="I1953" s="40" t="str">
        <f>VLOOKUP(Таблица18[[#This Row],[Номер акта]],$AB$1:$AF$2504,3,FALSE)</f>
        <v>А-104/1</v>
      </c>
      <c r="J1953" s="40" t="s">
        <v>901</v>
      </c>
      <c r="K1953" s="40" t="s">
        <v>3375</v>
      </c>
      <c r="L1953" s="121">
        <v>24470</v>
      </c>
      <c r="M1953" s="121">
        <v>15440</v>
      </c>
      <c r="N1953" s="121">
        <v>15</v>
      </c>
      <c r="O1953" s="363">
        <v>9030</v>
      </c>
      <c r="P1953" s="363">
        <v>7675.5</v>
      </c>
      <c r="Q1953" s="121">
        <v>2026</v>
      </c>
      <c r="R1953" s="121">
        <v>581</v>
      </c>
      <c r="S1953" s="148">
        <v>46204</v>
      </c>
      <c r="T1953" s="363">
        <f>Таблица18[[#This Row],[Вес нетто]]-Таблица18[[#This Row],[Зачетный вес]]</f>
        <v>1354.5</v>
      </c>
      <c r="U1953" s="392">
        <f>Таблица18[[#This Row],[Отход]]/Таблица18[[#This Row],[Вес нетто]]</f>
        <v>0.15</v>
      </c>
      <c r="V1953" s="121">
        <f>MONTH(Таблица18[[#This Row],[Дата акта]])</f>
        <v>7</v>
      </c>
      <c r="W1953" s="121">
        <f>DAY(Таблица18[[#This Row],[Дата акта]])</f>
        <v>1</v>
      </c>
      <c r="X1953" s="148">
        <f>DATE(1900,Таблица18[[#This Row],[Месяц]],Таблица18[[#This Row],[Число]])</f>
        <v>183</v>
      </c>
      <c r="Y1953" s="121"/>
      <c r="Z1953" s="121" t="str">
        <f>Таблица18[[#This Row],[Хар-ка]]</f>
        <v>Высший</v>
      </c>
      <c r="AD1953" s="460" t="s">
        <v>3115</v>
      </c>
      <c r="AE1953" t="s">
        <v>909</v>
      </c>
      <c r="AF1953" t="s">
        <v>52</v>
      </c>
    </row>
    <row r="1954" spans="1:32" ht="22.5" x14ac:dyDescent="0.25">
      <c r="A1954" s="40" t="s">
        <v>3825</v>
      </c>
      <c r="B1954" s="360" t="s">
        <v>2940</v>
      </c>
      <c r="C1954" s="40">
        <v>728</v>
      </c>
      <c r="D1954" s="40">
        <v>72</v>
      </c>
      <c r="E1954" s="40" t="s">
        <v>3625</v>
      </c>
      <c r="F1954" s="40" t="s">
        <v>3377</v>
      </c>
      <c r="G1954" s="40" t="s">
        <v>3196</v>
      </c>
      <c r="H1954" s="40" t="s">
        <v>3121</v>
      </c>
      <c r="I1954" s="40" t="str">
        <f>VLOOKUP(Таблица18[[#This Row],[Номер акта]],$AB$1:$AF$2504,3,FALSE)</f>
        <v>3.1 Колос</v>
      </c>
      <c r="J1954" s="40" t="s">
        <v>901</v>
      </c>
      <c r="K1954" s="40" t="s">
        <v>3645</v>
      </c>
      <c r="L1954" s="121">
        <v>28210</v>
      </c>
      <c r="M1954" s="121">
        <v>14310</v>
      </c>
      <c r="N1954" s="121">
        <v>15.5</v>
      </c>
      <c r="O1954" s="363">
        <v>13900</v>
      </c>
      <c r="P1954" s="363">
        <v>11745.5</v>
      </c>
      <c r="Q1954" s="121">
        <v>2026</v>
      </c>
      <c r="R1954" s="121">
        <v>583</v>
      </c>
      <c r="S1954" s="148">
        <v>46204</v>
      </c>
      <c r="T1954" s="363">
        <f>Таблица18[[#This Row],[Вес нетто]]-Таблица18[[#This Row],[Зачетный вес]]</f>
        <v>2154.5</v>
      </c>
      <c r="U1954" s="392">
        <f>Таблица18[[#This Row],[Отход]]/Таблица18[[#This Row],[Вес нетто]]</f>
        <v>0.155</v>
      </c>
      <c r="V1954" s="121">
        <f>MONTH(Таблица18[[#This Row],[Дата акта]])</f>
        <v>7</v>
      </c>
      <c r="W1954" s="121">
        <f>DAY(Таблица18[[#This Row],[Дата акта]])</f>
        <v>1</v>
      </c>
      <c r="X1954" s="148">
        <f>DATE(1900,Таблица18[[#This Row],[Месяц]],Таблица18[[#This Row],[Число]])</f>
        <v>183</v>
      </c>
      <c r="Y1954" s="121"/>
      <c r="Z1954" s="121" t="str">
        <f>Таблица18[[#This Row],[Хар-ка]]</f>
        <v>Высший</v>
      </c>
      <c r="AD1954" s="460" t="s">
        <v>3115</v>
      </c>
      <c r="AE1954" t="s">
        <v>909</v>
      </c>
      <c r="AF1954" t="s">
        <v>52</v>
      </c>
    </row>
    <row r="1955" spans="1:32" ht="22.5" x14ac:dyDescent="0.25">
      <c r="A1955" s="40" t="s">
        <v>3826</v>
      </c>
      <c r="B1955" s="360" t="s">
        <v>2940</v>
      </c>
      <c r="C1955" s="40">
        <v>729</v>
      </c>
      <c r="D1955" s="40">
        <v>73</v>
      </c>
      <c r="E1955" s="40" t="s">
        <v>3625</v>
      </c>
      <c r="F1955" s="40" t="s">
        <v>1151</v>
      </c>
      <c r="G1955" s="40" t="s">
        <v>145</v>
      </c>
      <c r="H1955" s="40" t="s">
        <v>3121</v>
      </c>
      <c r="I1955" s="40" t="str">
        <f>VLOOKUP(Таблица18[[#This Row],[Номер акта]],$AB$1:$AF$2504,3,FALSE)</f>
        <v>3.1 Колос</v>
      </c>
      <c r="J1955" s="40" t="s">
        <v>901</v>
      </c>
      <c r="K1955" s="40" t="s">
        <v>3645</v>
      </c>
      <c r="L1955" s="121">
        <v>29510</v>
      </c>
      <c r="M1955" s="121">
        <v>15790</v>
      </c>
      <c r="N1955" s="121">
        <v>16.5</v>
      </c>
      <c r="O1955" s="363">
        <v>13720</v>
      </c>
      <c r="P1955" s="363">
        <v>11456.2</v>
      </c>
      <c r="Q1955" s="121">
        <v>2026</v>
      </c>
      <c r="R1955" s="121">
        <v>584</v>
      </c>
      <c r="S1955" s="148">
        <v>46204</v>
      </c>
      <c r="T1955" s="363">
        <f>Таблица18[[#This Row],[Вес нетто]]-Таблица18[[#This Row],[Зачетный вес]]</f>
        <v>2263.7999999999993</v>
      </c>
      <c r="U1955" s="392">
        <f>Таблица18[[#This Row],[Отход]]/Таблица18[[#This Row],[Вес нетто]]</f>
        <v>0.16499999999999995</v>
      </c>
      <c r="V1955" s="121">
        <f>MONTH(Таблица18[[#This Row],[Дата акта]])</f>
        <v>7</v>
      </c>
      <c r="W1955" s="121">
        <f>DAY(Таблица18[[#This Row],[Дата акта]])</f>
        <v>1</v>
      </c>
      <c r="X1955" s="148">
        <f>DATE(1900,Таблица18[[#This Row],[Месяц]],Таблица18[[#This Row],[Число]])</f>
        <v>183</v>
      </c>
      <c r="Y1955" s="121"/>
      <c r="Z1955" s="121" t="str">
        <f>Таблица18[[#This Row],[Хар-ка]]</f>
        <v>Высший</v>
      </c>
      <c r="AD1955" s="460" t="s">
        <v>3115</v>
      </c>
      <c r="AE1955" t="s">
        <v>909</v>
      </c>
      <c r="AF1955" t="s">
        <v>52</v>
      </c>
    </row>
    <row r="1956" spans="1:32" ht="22.5" x14ac:dyDescent="0.25">
      <c r="A1956" s="40" t="s">
        <v>3827</v>
      </c>
      <c r="B1956" s="360" t="s">
        <v>2940</v>
      </c>
      <c r="C1956" s="40">
        <v>730</v>
      </c>
      <c r="D1956" s="40">
        <v>389</v>
      </c>
      <c r="E1956" s="40" t="s">
        <v>2964</v>
      </c>
      <c r="F1956" s="40" t="s">
        <v>166</v>
      </c>
      <c r="G1956" s="40" t="s">
        <v>170</v>
      </c>
      <c r="H1956" s="40" t="s">
        <v>3092</v>
      </c>
      <c r="I1956" s="40" t="str">
        <f>VLOOKUP(Таблица18[[#This Row],[Номер акта]],$AB$1:$AF$2504,3,FALSE)</f>
        <v>А-104/1</v>
      </c>
      <c r="J1956" s="40" t="s">
        <v>901</v>
      </c>
      <c r="K1956" s="40" t="s">
        <v>3375</v>
      </c>
      <c r="L1956" s="121">
        <v>28540</v>
      </c>
      <c r="M1956" s="121">
        <v>14950</v>
      </c>
      <c r="N1956" s="121">
        <v>24.5</v>
      </c>
      <c r="O1956" s="363">
        <v>13590</v>
      </c>
      <c r="P1956" s="363">
        <v>10260.5</v>
      </c>
      <c r="Q1956" s="121">
        <v>2026</v>
      </c>
      <c r="R1956" s="121">
        <v>585</v>
      </c>
      <c r="S1956" s="148">
        <v>46204</v>
      </c>
      <c r="T1956" s="363">
        <f>Таблица18[[#This Row],[Вес нетто]]-Таблица18[[#This Row],[Зачетный вес]]</f>
        <v>3329.5</v>
      </c>
      <c r="U1956" s="392">
        <f>Таблица18[[#This Row],[Отход]]/Таблица18[[#This Row],[Вес нетто]]</f>
        <v>0.24499632082413539</v>
      </c>
      <c r="V1956" s="121">
        <f>MONTH(Таблица18[[#This Row],[Дата акта]])</f>
        <v>7</v>
      </c>
      <c r="W1956" s="121">
        <f>DAY(Таблица18[[#This Row],[Дата акта]])</f>
        <v>1</v>
      </c>
      <c r="X1956" s="148">
        <f>DATE(1900,Таблица18[[#This Row],[Месяц]],Таблица18[[#This Row],[Число]])</f>
        <v>183</v>
      </c>
      <c r="Y1956" s="121"/>
      <c r="Z1956" s="121" t="str">
        <f>Таблица18[[#This Row],[Хар-ка]]</f>
        <v>Высший</v>
      </c>
      <c r="AD1956" s="460" t="s">
        <v>3115</v>
      </c>
      <c r="AE1956" t="s">
        <v>909</v>
      </c>
      <c r="AF1956" t="s">
        <v>52</v>
      </c>
    </row>
    <row r="1957" spans="1:32" ht="22.5" x14ac:dyDescent="0.25">
      <c r="A1957" s="40" t="s">
        <v>3828</v>
      </c>
      <c r="B1957" s="360" t="s">
        <v>2940</v>
      </c>
      <c r="C1957" s="40">
        <v>731</v>
      </c>
      <c r="D1957" s="40">
        <v>74</v>
      </c>
      <c r="E1957" s="40" t="s">
        <v>3625</v>
      </c>
      <c r="F1957" s="40" t="s">
        <v>133</v>
      </c>
      <c r="G1957" s="40" t="s">
        <v>137</v>
      </c>
      <c r="H1957" s="40" t="s">
        <v>3121</v>
      </c>
      <c r="I1957" s="40" t="str">
        <f>VLOOKUP(Таблица18[[#This Row],[Номер акта]],$AB$1:$AF$2504,3,FALSE)</f>
        <v>3.1 Колос</v>
      </c>
      <c r="J1957" s="40" t="s">
        <v>901</v>
      </c>
      <c r="K1957" s="40" t="s">
        <v>3645</v>
      </c>
      <c r="L1957" s="121">
        <v>31720</v>
      </c>
      <c r="M1957" s="121">
        <v>17800</v>
      </c>
      <c r="N1957" s="121">
        <v>16.5</v>
      </c>
      <c r="O1957" s="363">
        <v>13920</v>
      </c>
      <c r="P1957" s="363">
        <v>11623.2</v>
      </c>
      <c r="Q1957" s="121">
        <v>2026</v>
      </c>
      <c r="R1957" s="121">
        <v>586</v>
      </c>
      <c r="S1957" s="148">
        <v>46204</v>
      </c>
      <c r="T1957" s="363">
        <f>Таблица18[[#This Row],[Вес нетто]]-Таблица18[[#This Row],[Зачетный вес]]</f>
        <v>2296.7999999999993</v>
      </c>
      <c r="U1957" s="392">
        <f>Таблица18[[#This Row],[Отход]]/Таблица18[[#This Row],[Вес нетто]]</f>
        <v>0.16499999999999995</v>
      </c>
      <c r="V1957" s="121">
        <f>MONTH(Таблица18[[#This Row],[Дата акта]])</f>
        <v>7</v>
      </c>
      <c r="W1957" s="121">
        <f>DAY(Таблица18[[#This Row],[Дата акта]])</f>
        <v>1</v>
      </c>
      <c r="X1957" s="148">
        <f>DATE(1900,Таблица18[[#This Row],[Месяц]],Таблица18[[#This Row],[Число]])</f>
        <v>183</v>
      </c>
      <c r="Y1957" s="121"/>
      <c r="Z1957" s="121" t="str">
        <f>Таблица18[[#This Row],[Хар-ка]]</f>
        <v>Высший</v>
      </c>
      <c r="AD1957" s="460" t="s">
        <v>3120</v>
      </c>
      <c r="AE1957" t="s">
        <v>901</v>
      </c>
      <c r="AF1957" t="s">
        <v>53</v>
      </c>
    </row>
    <row r="1958" spans="1:32" ht="33.75" x14ac:dyDescent="0.25">
      <c r="A1958" s="40" t="s">
        <v>3823</v>
      </c>
      <c r="B1958" s="360" t="s">
        <v>2940</v>
      </c>
      <c r="C1958" s="40">
        <v>732</v>
      </c>
      <c r="D1958" s="40">
        <v>390</v>
      </c>
      <c r="E1958" s="40" t="s">
        <v>2964</v>
      </c>
      <c r="F1958" s="40" t="s">
        <v>195</v>
      </c>
      <c r="G1958" s="40" t="s">
        <v>199</v>
      </c>
      <c r="H1958" s="40" t="s">
        <v>3092</v>
      </c>
      <c r="I1958" s="40" t="str">
        <f>VLOOKUP(Таблица18[[#This Row],[Номер акта]],$AB$1:$AF$2504,3,FALSE)</f>
        <v>А-104/1</v>
      </c>
      <c r="J1958" s="40" t="s">
        <v>901</v>
      </c>
      <c r="K1958" s="40" t="s">
        <v>3375</v>
      </c>
      <c r="L1958" s="121">
        <v>28600</v>
      </c>
      <c r="M1958" s="121">
        <v>15430</v>
      </c>
      <c r="N1958" s="121">
        <v>19.5</v>
      </c>
      <c r="O1958" s="363">
        <v>13170</v>
      </c>
      <c r="P1958" s="363">
        <v>10601.9</v>
      </c>
      <c r="Q1958" s="121">
        <v>2026</v>
      </c>
      <c r="R1958" s="121">
        <v>587</v>
      </c>
      <c r="S1958" s="148">
        <v>46204</v>
      </c>
      <c r="T1958" s="363">
        <f>Таблица18[[#This Row],[Вес нетто]]-Таблица18[[#This Row],[Зачетный вес]]</f>
        <v>2568.1000000000004</v>
      </c>
      <c r="U1958" s="392">
        <f>Таблица18[[#This Row],[Отход]]/Таблица18[[#This Row],[Вес нетто]]</f>
        <v>0.19499620349278665</v>
      </c>
      <c r="V1958" s="121">
        <f>MONTH(Таблица18[[#This Row],[Дата акта]])</f>
        <v>7</v>
      </c>
      <c r="W1958" s="121">
        <f>DAY(Таблица18[[#This Row],[Дата акта]])</f>
        <v>1</v>
      </c>
      <c r="X1958" s="148">
        <f>DATE(1900,Таблица18[[#This Row],[Месяц]],Таблица18[[#This Row],[Число]])</f>
        <v>183</v>
      </c>
      <c r="Y1958" s="121"/>
      <c r="Z1958" s="121" t="str">
        <f>Таблица18[[#This Row],[Хар-ка]]</f>
        <v>Высший</v>
      </c>
      <c r="AD1958" s="460" t="s">
        <v>3120</v>
      </c>
      <c r="AE1958" t="s">
        <v>901</v>
      </c>
      <c r="AF1958" t="s">
        <v>53</v>
      </c>
    </row>
    <row r="1959" spans="1:32" ht="33.75" x14ac:dyDescent="0.25">
      <c r="A1959" s="40" t="s">
        <v>3829</v>
      </c>
      <c r="B1959" s="360" t="s">
        <v>2940</v>
      </c>
      <c r="C1959" s="40">
        <v>733</v>
      </c>
      <c r="D1959" s="40">
        <v>75</v>
      </c>
      <c r="E1959" s="40" t="s">
        <v>3625</v>
      </c>
      <c r="F1959" s="40" t="s">
        <v>239</v>
      </c>
      <c r="G1959" s="40" t="s">
        <v>243</v>
      </c>
      <c r="H1959" s="40" t="s">
        <v>3121</v>
      </c>
      <c r="I1959" s="40" t="str">
        <f>VLOOKUP(Таблица18[[#This Row],[Номер акта]],$AB$1:$AF$2504,3,FALSE)</f>
        <v>3.1 Колос</v>
      </c>
      <c r="J1959" s="40" t="s">
        <v>901</v>
      </c>
      <c r="K1959" s="40" t="s">
        <v>3645</v>
      </c>
      <c r="L1959" s="121">
        <v>27970</v>
      </c>
      <c r="M1959" s="121">
        <v>14500</v>
      </c>
      <c r="N1959" s="121">
        <v>13.5</v>
      </c>
      <c r="O1959" s="363">
        <v>13470</v>
      </c>
      <c r="P1959" s="363">
        <v>11651.6</v>
      </c>
      <c r="Q1959" s="121">
        <v>2026</v>
      </c>
      <c r="R1959" s="121">
        <v>588</v>
      </c>
      <c r="S1959" s="148">
        <v>46204</v>
      </c>
      <c r="T1959" s="363">
        <f>Таблица18[[#This Row],[Вес нетто]]-Таблица18[[#This Row],[Зачетный вес]]</f>
        <v>1818.3999999999996</v>
      </c>
      <c r="U1959" s="392">
        <f>Таблица18[[#This Row],[Отход]]/Таблица18[[#This Row],[Вес нетто]]</f>
        <v>0.13499628804751296</v>
      </c>
      <c r="V1959" s="121">
        <f>MONTH(Таблица18[[#This Row],[Дата акта]])</f>
        <v>7</v>
      </c>
      <c r="W1959" s="121">
        <f>DAY(Таблица18[[#This Row],[Дата акта]])</f>
        <v>1</v>
      </c>
      <c r="X1959" s="148">
        <f>DATE(1900,Таблица18[[#This Row],[Месяц]],Таблица18[[#This Row],[Число]])</f>
        <v>183</v>
      </c>
      <c r="Y1959" s="121"/>
      <c r="Z1959" s="121" t="str">
        <f>Таблица18[[#This Row],[Хар-ка]]</f>
        <v>Высший</v>
      </c>
      <c r="AB1959">
        <v>546</v>
      </c>
      <c r="AD1959" s="460" t="s">
        <v>3111</v>
      </c>
      <c r="AE1959" t="s">
        <v>747</v>
      </c>
      <c r="AF1959" t="s">
        <v>2932</v>
      </c>
    </row>
    <row r="1960" spans="1:32" ht="22.5" x14ac:dyDescent="0.25">
      <c r="A1960" s="40" t="s">
        <v>3830</v>
      </c>
      <c r="B1960" s="360" t="s">
        <v>2940</v>
      </c>
      <c r="C1960" s="40">
        <v>734</v>
      </c>
      <c r="D1960" s="40">
        <v>391</v>
      </c>
      <c r="E1960" s="40" t="s">
        <v>2964</v>
      </c>
      <c r="F1960" s="40" t="s">
        <v>166</v>
      </c>
      <c r="G1960" s="40" t="s">
        <v>170</v>
      </c>
      <c r="H1960" s="40" t="s">
        <v>3092</v>
      </c>
      <c r="I1960" s="40" t="str">
        <f>VLOOKUP(Таблица18[[#This Row],[Номер акта]],$AB$1:$AF$2504,3,FALSE)</f>
        <v>А-104/1</v>
      </c>
      <c r="J1960" s="40" t="s">
        <v>901</v>
      </c>
      <c r="K1960" s="40" t="s">
        <v>3375</v>
      </c>
      <c r="L1960" s="121">
        <v>28300</v>
      </c>
      <c r="M1960" s="121">
        <v>15200</v>
      </c>
      <c r="N1960" s="121">
        <v>22.5</v>
      </c>
      <c r="O1960" s="363">
        <v>13100</v>
      </c>
      <c r="P1960" s="363">
        <v>10152.5</v>
      </c>
      <c r="Q1960" s="121">
        <v>2026</v>
      </c>
      <c r="R1960" s="121">
        <v>589</v>
      </c>
      <c r="S1960" s="148">
        <v>46205</v>
      </c>
      <c r="T1960" s="363">
        <f>Таблица18[[#This Row],[Вес нетто]]-Таблица18[[#This Row],[Зачетный вес]]</f>
        <v>2947.5</v>
      </c>
      <c r="U1960" s="392">
        <f>Таблица18[[#This Row],[Отход]]/Таблица18[[#This Row],[Вес нетто]]</f>
        <v>0.22500000000000001</v>
      </c>
      <c r="V1960" s="121">
        <f>MONTH(Таблица18[[#This Row],[Дата акта]])</f>
        <v>7</v>
      </c>
      <c r="W1960" s="121">
        <f>DAY(Таблица18[[#This Row],[Дата акта]])</f>
        <v>2</v>
      </c>
      <c r="X1960" s="148">
        <f>DATE(1900,Таблица18[[#This Row],[Месяц]],Таблица18[[#This Row],[Число]])</f>
        <v>184</v>
      </c>
      <c r="Y1960" s="121"/>
      <c r="Z1960" s="121" t="str">
        <f>Таблица18[[#This Row],[Хар-ка]]</f>
        <v>Высший</v>
      </c>
      <c r="AB1960">
        <v>548</v>
      </c>
      <c r="AD1960" s="460" t="s">
        <v>3111</v>
      </c>
      <c r="AE1960" t="s">
        <v>747</v>
      </c>
      <c r="AF1960" t="s">
        <v>2932</v>
      </c>
    </row>
    <row r="1961" spans="1:32" ht="22.5" x14ac:dyDescent="0.25">
      <c r="A1961" s="40" t="s">
        <v>3831</v>
      </c>
      <c r="B1961" s="360" t="s">
        <v>2940</v>
      </c>
      <c r="C1961" s="40">
        <v>735</v>
      </c>
      <c r="D1961" s="40">
        <v>76</v>
      </c>
      <c r="E1961" s="40" t="s">
        <v>3625</v>
      </c>
      <c r="F1961" s="40" t="s">
        <v>3554</v>
      </c>
      <c r="G1961" s="40" t="s">
        <v>3555</v>
      </c>
      <c r="H1961" s="40" t="s">
        <v>3121</v>
      </c>
      <c r="I1961" s="40" t="str">
        <f>VLOOKUP(Таблица18[[#This Row],[Номер акта]],$AB$1:$AF$2504,3,FALSE)</f>
        <v>3.1 Колос</v>
      </c>
      <c r="J1961" s="40" t="s">
        <v>901</v>
      </c>
      <c r="K1961" s="40" t="s">
        <v>3645</v>
      </c>
      <c r="L1961" s="121">
        <v>27640</v>
      </c>
      <c r="M1961" s="121">
        <v>14570</v>
      </c>
      <c r="N1961" s="121">
        <v>11</v>
      </c>
      <c r="O1961" s="363">
        <v>13070</v>
      </c>
      <c r="P1961" s="363">
        <v>11632.3</v>
      </c>
      <c r="Q1961" s="121">
        <v>2026</v>
      </c>
      <c r="R1961" s="121">
        <v>590</v>
      </c>
      <c r="S1961" s="148">
        <v>46205</v>
      </c>
      <c r="T1961" s="363">
        <f>Таблица18[[#This Row],[Вес нетто]]-Таблица18[[#This Row],[Зачетный вес]]</f>
        <v>1437.7000000000007</v>
      </c>
      <c r="U1961" s="392">
        <f>Таблица18[[#This Row],[Отход]]/Таблица18[[#This Row],[Вес нетто]]</f>
        <v>0.11000000000000006</v>
      </c>
      <c r="V1961" s="121">
        <f>MONTH(Таблица18[[#This Row],[Дата акта]])</f>
        <v>7</v>
      </c>
      <c r="W1961" s="121">
        <f>DAY(Таблица18[[#This Row],[Дата акта]])</f>
        <v>2</v>
      </c>
      <c r="X1961" s="148">
        <f>DATE(1900,Таблица18[[#This Row],[Месяц]],Таблица18[[#This Row],[Число]])</f>
        <v>184</v>
      </c>
      <c r="Y1961" s="121"/>
      <c r="Z1961" s="121" t="str">
        <f>Таблица18[[#This Row],[Хар-ка]]</f>
        <v>Высший</v>
      </c>
      <c r="AB1961">
        <v>554</v>
      </c>
      <c r="AD1961" s="460" t="s">
        <v>3111</v>
      </c>
      <c r="AE1961" t="s">
        <v>747</v>
      </c>
      <c r="AF1961" t="s">
        <v>2932</v>
      </c>
    </row>
    <row r="1962" spans="1:32" ht="22.5" x14ac:dyDescent="0.25">
      <c r="A1962" s="40" t="s">
        <v>3832</v>
      </c>
      <c r="B1962" s="360" t="s">
        <v>2940</v>
      </c>
      <c r="C1962" s="40">
        <v>736</v>
      </c>
      <c r="D1962" s="40">
        <v>77</v>
      </c>
      <c r="E1962" s="40" t="s">
        <v>3625</v>
      </c>
      <c r="F1962" s="40" t="s">
        <v>335</v>
      </c>
      <c r="G1962" s="40" t="s">
        <v>339</v>
      </c>
      <c r="H1962" s="40" t="s">
        <v>3121</v>
      </c>
      <c r="I1962" s="40" t="str">
        <f>VLOOKUP(Таблица18[[#This Row],[Номер акта]],$AB$1:$AF$2504,3,FALSE)</f>
        <v>3.1 Колос</v>
      </c>
      <c r="J1962" s="40" t="s">
        <v>901</v>
      </c>
      <c r="K1962" s="40" t="s">
        <v>3645</v>
      </c>
      <c r="L1962" s="121">
        <v>28080</v>
      </c>
      <c r="M1962" s="121">
        <v>14870</v>
      </c>
      <c r="N1962" s="121">
        <v>14.5</v>
      </c>
      <c r="O1962" s="363">
        <v>13210</v>
      </c>
      <c r="P1962" s="363">
        <v>11294.6</v>
      </c>
      <c r="Q1962" s="121">
        <v>2026</v>
      </c>
      <c r="R1962" s="121">
        <v>591</v>
      </c>
      <c r="S1962" s="148">
        <v>46205</v>
      </c>
      <c r="T1962" s="363">
        <f>Таблица18[[#This Row],[Вес нетто]]-Таблица18[[#This Row],[Зачетный вес]]</f>
        <v>1915.3999999999996</v>
      </c>
      <c r="U1962" s="392">
        <f>Таблица18[[#This Row],[Отход]]/Таблица18[[#This Row],[Вес нетто]]</f>
        <v>0.14499621498864493</v>
      </c>
      <c r="V1962" s="121">
        <f>MONTH(Таблица18[[#This Row],[Дата акта]])</f>
        <v>7</v>
      </c>
      <c r="W1962" s="121">
        <f>DAY(Таблица18[[#This Row],[Дата акта]])</f>
        <v>2</v>
      </c>
      <c r="X1962" s="148">
        <f>DATE(1900,Таблица18[[#This Row],[Месяц]],Таблица18[[#This Row],[Число]])</f>
        <v>184</v>
      </c>
      <c r="Y1962" s="121"/>
      <c r="Z1962" s="121" t="str">
        <f>Таблица18[[#This Row],[Хар-ка]]</f>
        <v>Высший</v>
      </c>
      <c r="AB1962">
        <v>556</v>
      </c>
      <c r="AD1962" s="460" t="s">
        <v>3111</v>
      </c>
      <c r="AE1962" t="s">
        <v>747</v>
      </c>
      <c r="AF1962" t="s">
        <v>2932</v>
      </c>
    </row>
    <row r="1963" spans="1:32" ht="33.75" x14ac:dyDescent="0.25">
      <c r="A1963" s="40" t="s">
        <v>3833</v>
      </c>
      <c r="B1963" s="360" t="s">
        <v>2940</v>
      </c>
      <c r="C1963" s="40">
        <v>737</v>
      </c>
      <c r="D1963" s="40">
        <v>392</v>
      </c>
      <c r="E1963" s="40" t="s">
        <v>2964</v>
      </c>
      <c r="F1963" s="40" t="s">
        <v>195</v>
      </c>
      <c r="G1963" s="40" t="s">
        <v>199</v>
      </c>
      <c r="H1963" s="40" t="s">
        <v>3092</v>
      </c>
      <c r="I1963" s="40" t="str">
        <f>VLOOKUP(Таблица18[[#This Row],[Номер акта]],$AB$1:$AF$2504,3,FALSE)</f>
        <v>А-104/1</v>
      </c>
      <c r="J1963" s="40" t="s">
        <v>901</v>
      </c>
      <c r="K1963" s="40" t="s">
        <v>3375</v>
      </c>
      <c r="L1963" s="121">
        <v>28500</v>
      </c>
      <c r="M1963" s="121">
        <v>15420</v>
      </c>
      <c r="N1963" s="121">
        <v>15.5</v>
      </c>
      <c r="O1963" s="363">
        <v>13080</v>
      </c>
      <c r="P1963" s="363">
        <v>11052.6</v>
      </c>
      <c r="Q1963" s="121">
        <v>2026</v>
      </c>
      <c r="R1963" s="121">
        <v>593</v>
      </c>
      <c r="S1963" s="148">
        <v>46205</v>
      </c>
      <c r="T1963" s="363">
        <f>Таблица18[[#This Row],[Вес нетто]]-Таблица18[[#This Row],[Зачетный вес]]</f>
        <v>2027.3999999999996</v>
      </c>
      <c r="U1963" s="392">
        <f>Таблица18[[#This Row],[Отход]]/Таблица18[[#This Row],[Вес нетто]]</f>
        <v>0.15499999999999997</v>
      </c>
      <c r="V1963" s="121">
        <f>MONTH(Таблица18[[#This Row],[Дата акта]])</f>
        <v>7</v>
      </c>
      <c r="W1963" s="121">
        <f>DAY(Таблица18[[#This Row],[Дата акта]])</f>
        <v>2</v>
      </c>
      <c r="X1963" s="148">
        <f>DATE(1900,Таблица18[[#This Row],[Месяц]],Таблица18[[#This Row],[Число]])</f>
        <v>184</v>
      </c>
      <c r="Y1963" s="121"/>
      <c r="Z1963" s="121" t="str">
        <f>Таблица18[[#This Row],[Хар-ка]]</f>
        <v>Высший</v>
      </c>
      <c r="AB1963">
        <v>543</v>
      </c>
      <c r="AD1963" s="460" t="s">
        <v>3122</v>
      </c>
      <c r="AE1963" t="s">
        <v>897</v>
      </c>
      <c r="AF1963" t="s">
        <v>53</v>
      </c>
    </row>
    <row r="1964" spans="1:32" ht="22.5" x14ac:dyDescent="0.25">
      <c r="A1964" s="40" t="s">
        <v>3834</v>
      </c>
      <c r="B1964" s="360" t="s">
        <v>2940</v>
      </c>
      <c r="C1964" s="40">
        <v>738</v>
      </c>
      <c r="D1964" s="40">
        <v>78</v>
      </c>
      <c r="E1964" s="40" t="s">
        <v>3625</v>
      </c>
      <c r="F1964" s="40" t="s">
        <v>347</v>
      </c>
      <c r="G1964" s="40" t="s">
        <v>351</v>
      </c>
      <c r="H1964" s="40" t="s">
        <v>3121</v>
      </c>
      <c r="I1964" s="40" t="str">
        <f>VLOOKUP(Таблица18[[#This Row],[Номер акта]],$AB$1:$AF$2504,3,FALSE)</f>
        <v>3.1 Колос</v>
      </c>
      <c r="J1964" s="40" t="s">
        <v>901</v>
      </c>
      <c r="K1964" s="40" t="s">
        <v>3645</v>
      </c>
      <c r="L1964" s="121">
        <v>29000</v>
      </c>
      <c r="M1964" s="121">
        <v>15890</v>
      </c>
      <c r="N1964" s="121">
        <v>16</v>
      </c>
      <c r="O1964" s="363">
        <v>13110</v>
      </c>
      <c r="P1964" s="363">
        <v>11012.4</v>
      </c>
      <c r="Q1964" s="121">
        <v>2026</v>
      </c>
      <c r="R1964" s="121">
        <v>596</v>
      </c>
      <c r="S1964" s="148">
        <v>46205</v>
      </c>
      <c r="T1964" s="363">
        <f>Таблица18[[#This Row],[Вес нетто]]-Таблица18[[#This Row],[Зачетный вес]]</f>
        <v>2097.6000000000004</v>
      </c>
      <c r="U1964" s="392">
        <f>Таблица18[[#This Row],[Отход]]/Таблица18[[#This Row],[Вес нетто]]</f>
        <v>0.16000000000000003</v>
      </c>
      <c r="V1964" s="121">
        <f>MONTH(Таблица18[[#This Row],[Дата акта]])</f>
        <v>7</v>
      </c>
      <c r="W1964" s="121">
        <f>DAY(Таблица18[[#This Row],[Дата акта]])</f>
        <v>2</v>
      </c>
      <c r="X1964" s="148">
        <f>DATE(1900,Таблица18[[#This Row],[Месяц]],Таблица18[[#This Row],[Число]])</f>
        <v>184</v>
      </c>
      <c r="Y1964" s="121"/>
      <c r="Z1964" s="121" t="str">
        <f>Таблица18[[#This Row],[Хар-ка]]</f>
        <v>Высший</v>
      </c>
      <c r="AB1964">
        <v>544</v>
      </c>
      <c r="AD1964" s="460" t="s">
        <v>3122</v>
      </c>
      <c r="AE1964" t="s">
        <v>897</v>
      </c>
      <c r="AF1964" t="s">
        <v>53</v>
      </c>
    </row>
    <row r="1965" spans="1:32" ht="33.75" x14ac:dyDescent="0.25">
      <c r="A1965" s="40" t="s">
        <v>3835</v>
      </c>
      <c r="B1965" s="360" t="s">
        <v>2940</v>
      </c>
      <c r="C1965" s="40">
        <v>739</v>
      </c>
      <c r="D1965" s="40">
        <v>79</v>
      </c>
      <c r="E1965" s="40" t="s">
        <v>3625</v>
      </c>
      <c r="F1965" s="40" t="s">
        <v>3838</v>
      </c>
      <c r="G1965" s="40" t="s">
        <v>270</v>
      </c>
      <c r="H1965" s="40" t="s">
        <v>3121</v>
      </c>
      <c r="I1965" s="40" t="str">
        <f>VLOOKUP(Таблица18[[#This Row],[Номер акта]],$AB$1:$AF$2504,3,FALSE)</f>
        <v>3.1 Колос</v>
      </c>
      <c r="J1965" s="40" t="s">
        <v>901</v>
      </c>
      <c r="K1965" s="40" t="s">
        <v>3645</v>
      </c>
      <c r="L1965" s="121">
        <v>27870</v>
      </c>
      <c r="M1965" s="121">
        <v>14740</v>
      </c>
      <c r="N1965" s="121">
        <v>9.5</v>
      </c>
      <c r="O1965" s="363">
        <v>13130</v>
      </c>
      <c r="P1965" s="363">
        <v>11882.6</v>
      </c>
      <c r="Q1965" s="121">
        <v>2026</v>
      </c>
      <c r="R1965" s="121">
        <v>600</v>
      </c>
      <c r="S1965" s="148">
        <v>46205</v>
      </c>
      <c r="T1965" s="363">
        <f>Таблица18[[#This Row],[Вес нетто]]-Таблица18[[#This Row],[Зачетный вес]]</f>
        <v>1247.3999999999996</v>
      </c>
      <c r="U1965" s="392">
        <f>Таблица18[[#This Row],[Отход]]/Таблица18[[#This Row],[Вес нетто]]</f>
        <v>9.5003808073114981E-2</v>
      </c>
      <c r="V1965" s="121">
        <f>MONTH(Таблица18[[#This Row],[Дата акта]])</f>
        <v>7</v>
      </c>
      <c r="W1965" s="121">
        <f>DAY(Таблица18[[#This Row],[Дата акта]])</f>
        <v>2</v>
      </c>
      <c r="X1965" s="148">
        <f>DATE(1900,Таблица18[[#This Row],[Месяц]],Таблица18[[#This Row],[Число]])</f>
        <v>184</v>
      </c>
      <c r="Y1965" s="121"/>
      <c r="Z1965" s="121" t="str">
        <f>Таблица18[[#This Row],[Хар-ка]]</f>
        <v>Высший</v>
      </c>
      <c r="AB1965">
        <v>552</v>
      </c>
      <c r="AD1965" s="460" t="s">
        <v>3122</v>
      </c>
      <c r="AE1965" t="s">
        <v>897</v>
      </c>
      <c r="AF1965" t="s">
        <v>53</v>
      </c>
    </row>
    <row r="1966" spans="1:32" ht="22.5" x14ac:dyDescent="0.25">
      <c r="A1966" s="40" t="s">
        <v>3836</v>
      </c>
      <c r="B1966" s="360" t="s">
        <v>2940</v>
      </c>
      <c r="C1966" s="40">
        <v>740</v>
      </c>
      <c r="D1966" s="40">
        <v>393</v>
      </c>
      <c r="E1966" s="40" t="s">
        <v>2964</v>
      </c>
      <c r="F1966" s="40" t="s">
        <v>166</v>
      </c>
      <c r="G1966" s="40" t="s">
        <v>170</v>
      </c>
      <c r="H1966" s="40" t="s">
        <v>3092</v>
      </c>
      <c r="I1966" s="40" t="str">
        <f>VLOOKUP(Таблица18[[#This Row],[Номер акта]],$AB$1:$AF$2504,3,FALSE)</f>
        <v>А-104/1</v>
      </c>
      <c r="J1966" s="40" t="s">
        <v>901</v>
      </c>
      <c r="K1966" s="40" t="s">
        <v>3375</v>
      </c>
      <c r="L1966" s="121">
        <v>28540</v>
      </c>
      <c r="M1966" s="121">
        <v>15180</v>
      </c>
      <c r="N1966" s="121">
        <v>14.5</v>
      </c>
      <c r="O1966" s="363">
        <v>13360</v>
      </c>
      <c r="P1966" s="363">
        <v>11422.8</v>
      </c>
      <c r="Q1966" s="121">
        <v>2026</v>
      </c>
      <c r="R1966" s="121">
        <v>601</v>
      </c>
      <c r="S1966" s="148">
        <v>46205</v>
      </c>
      <c r="T1966" s="363">
        <f>Таблица18[[#This Row],[Вес нетто]]-Таблица18[[#This Row],[Зачетный вес]]</f>
        <v>1937.2000000000007</v>
      </c>
      <c r="U1966" s="392">
        <f>Таблица18[[#This Row],[Отход]]/Таблица18[[#This Row],[Вес нетто]]</f>
        <v>0.14500000000000005</v>
      </c>
      <c r="V1966" s="121">
        <f>MONTH(Таблица18[[#This Row],[Дата акта]])</f>
        <v>7</v>
      </c>
      <c r="W1966" s="121">
        <f>DAY(Таблица18[[#This Row],[Дата акта]])</f>
        <v>2</v>
      </c>
      <c r="X1966" s="148">
        <f>DATE(1900,Таблица18[[#This Row],[Месяц]],Таблица18[[#This Row],[Число]])</f>
        <v>184</v>
      </c>
      <c r="Y1966" s="121"/>
      <c r="Z1966" s="121" t="str">
        <f>Таблица18[[#This Row],[Хар-ка]]</f>
        <v>Высший</v>
      </c>
      <c r="AB1966">
        <v>553</v>
      </c>
      <c r="AD1966" s="460" t="s">
        <v>3122</v>
      </c>
      <c r="AE1966" t="s">
        <v>897</v>
      </c>
      <c r="AF1966" t="s">
        <v>53</v>
      </c>
    </row>
    <row r="1967" spans="1:32" ht="22.5" x14ac:dyDescent="0.25">
      <c r="A1967" s="40" t="s">
        <v>3837</v>
      </c>
      <c r="B1967" s="360" t="s">
        <v>2940</v>
      </c>
      <c r="C1967" s="40">
        <v>741</v>
      </c>
      <c r="D1967" s="40">
        <v>81</v>
      </c>
      <c r="E1967" s="40" t="s">
        <v>3625</v>
      </c>
      <c r="F1967" s="40" t="s">
        <v>894</v>
      </c>
      <c r="G1967" s="40" t="s">
        <v>895</v>
      </c>
      <c r="H1967" s="40" t="s">
        <v>3121</v>
      </c>
      <c r="I1967" s="40" t="str">
        <f>VLOOKUP(Таблица18[[#This Row],[Номер акта]],$AB$1:$AF$2504,3,FALSE)</f>
        <v>3.1 Колос</v>
      </c>
      <c r="J1967" s="40" t="s">
        <v>901</v>
      </c>
      <c r="K1967" s="40" t="s">
        <v>3645</v>
      </c>
      <c r="L1967" s="121">
        <v>28450</v>
      </c>
      <c r="M1967" s="121">
        <v>14930</v>
      </c>
      <c r="N1967" s="121">
        <v>11.5</v>
      </c>
      <c r="O1967" s="363">
        <v>13520</v>
      </c>
      <c r="P1967" s="363">
        <v>11965.2</v>
      </c>
      <c r="Q1967" s="121">
        <v>2026</v>
      </c>
      <c r="R1967" s="121">
        <v>602</v>
      </c>
      <c r="S1967" s="148">
        <v>46205</v>
      </c>
      <c r="T1967" s="363">
        <f>Таблица18[[#This Row],[Вес нетто]]-Таблица18[[#This Row],[Зачетный вес]]</f>
        <v>1554.7999999999993</v>
      </c>
      <c r="U1967" s="392">
        <f>Таблица18[[#This Row],[Отход]]/Таблица18[[#This Row],[Вес нетто]]</f>
        <v>0.11499999999999995</v>
      </c>
      <c r="V1967" s="121">
        <f>MONTH(Таблица18[[#This Row],[Дата акта]])</f>
        <v>7</v>
      </c>
      <c r="W1967" s="121">
        <f>DAY(Таблица18[[#This Row],[Дата акта]])</f>
        <v>2</v>
      </c>
      <c r="X1967" s="148">
        <f>DATE(1900,Таблица18[[#This Row],[Месяц]],Таблица18[[#This Row],[Число]])</f>
        <v>184</v>
      </c>
      <c r="Y1967" s="121"/>
      <c r="Z1967" s="121" t="str">
        <f>Таблица18[[#This Row],[Хар-ка]]</f>
        <v>Высший</v>
      </c>
      <c r="AB1967">
        <v>555</v>
      </c>
      <c r="AD1967" s="460" t="s">
        <v>3122</v>
      </c>
      <c r="AE1967" t="s">
        <v>897</v>
      </c>
      <c r="AF1967" t="s">
        <v>53</v>
      </c>
    </row>
    <row r="1968" spans="1:32" ht="22.5" x14ac:dyDescent="0.25">
      <c r="A1968" s="40" t="s">
        <v>3891</v>
      </c>
      <c r="B1968" s="360" t="s">
        <v>2940</v>
      </c>
      <c r="C1968" s="40">
        <v>760</v>
      </c>
      <c r="D1968" s="40">
        <v>400</v>
      </c>
      <c r="E1968" s="40" t="s">
        <v>2964</v>
      </c>
      <c r="F1968" s="40" t="s">
        <v>212</v>
      </c>
      <c r="G1968" s="40" t="s">
        <v>2965</v>
      </c>
      <c r="H1968" s="40" t="s">
        <v>3110</v>
      </c>
      <c r="I1968" s="40" t="str">
        <f>VLOOKUP(Таблица18[[#This Row],[Номер акта]],$AB$1:$AF$2504,3,FALSE)</f>
        <v>А-113/1</v>
      </c>
      <c r="J1968" s="40" t="s">
        <v>901</v>
      </c>
      <c r="K1968" s="40" t="s">
        <v>3375</v>
      </c>
      <c r="L1968" s="121">
        <v>29310</v>
      </c>
      <c r="M1968" s="121">
        <v>15820</v>
      </c>
      <c r="N1968" s="121">
        <v>11.5</v>
      </c>
      <c r="O1968" s="363">
        <v>13490</v>
      </c>
      <c r="P1968" s="363">
        <v>11938.7</v>
      </c>
      <c r="Q1968" s="121">
        <v>2026</v>
      </c>
      <c r="R1968" s="121">
        <v>619</v>
      </c>
      <c r="S1968" s="148">
        <v>46205</v>
      </c>
      <c r="T1968" s="363">
        <f>Таблица18[[#This Row],[Вес нетто]]-Таблица18[[#This Row],[Зачетный вес]]</f>
        <v>1551.2999999999993</v>
      </c>
      <c r="U1968" s="392">
        <f>Таблица18[[#This Row],[Отход]]/Таблица18[[#This Row],[Вес нетто]]</f>
        <v>0.1149962935507783</v>
      </c>
      <c r="V1968" s="121">
        <f>MONTH(Таблица18[[#This Row],[Дата акта]])</f>
        <v>7</v>
      </c>
      <c r="W1968" s="121">
        <f>DAY(Таблица18[[#This Row],[Дата акта]])</f>
        <v>2</v>
      </c>
      <c r="X1968" s="148">
        <f>DATE(1900,Таблица18[[#This Row],[Месяц]],Таблица18[[#This Row],[Число]])</f>
        <v>184</v>
      </c>
      <c r="Y1968" s="121"/>
      <c r="Z1968" s="121" t="str">
        <f>Таблица18[[#This Row],[Хар-ка]]</f>
        <v>Высший</v>
      </c>
      <c r="AB1968">
        <v>557</v>
      </c>
      <c r="AD1968" s="460" t="s">
        <v>3122</v>
      </c>
      <c r="AE1968" t="s">
        <v>897</v>
      </c>
      <c r="AF1968" t="s">
        <v>53</v>
      </c>
    </row>
    <row r="1969" spans="1:32" ht="22.5" x14ac:dyDescent="0.25">
      <c r="A1969" s="40" t="s">
        <v>3859</v>
      </c>
      <c r="B1969" s="360" t="s">
        <v>2940</v>
      </c>
      <c r="C1969" s="40">
        <v>761</v>
      </c>
      <c r="D1969" s="40">
        <v>87</v>
      </c>
      <c r="E1969" s="40" t="s">
        <v>3625</v>
      </c>
      <c r="F1969" s="40" t="s">
        <v>347</v>
      </c>
      <c r="G1969" s="40" t="s">
        <v>351</v>
      </c>
      <c r="H1969" s="40" t="s">
        <v>3118</v>
      </c>
      <c r="I1969" s="40" t="str">
        <f>VLOOKUP(Таблица18[[#This Row],[Номер акта]],$AB$1:$AF$2504,3,FALSE)</f>
        <v>1.6 Колос</v>
      </c>
      <c r="J1969" s="40" t="s">
        <v>901</v>
      </c>
      <c r="K1969" s="40" t="s">
        <v>3645</v>
      </c>
      <c r="L1969" s="121">
        <v>29670</v>
      </c>
      <c r="M1969" s="121">
        <v>15790</v>
      </c>
      <c r="N1969" s="121">
        <v>14.5</v>
      </c>
      <c r="O1969" s="363">
        <v>13880</v>
      </c>
      <c r="P1969" s="363">
        <v>11867.4</v>
      </c>
      <c r="Q1969" s="121">
        <v>2026</v>
      </c>
      <c r="R1969" s="121">
        <v>620</v>
      </c>
      <c r="S1969" s="148">
        <v>46205</v>
      </c>
      <c r="T1969" s="363">
        <f>Таблица18[[#This Row],[Вес нетто]]-Таблица18[[#This Row],[Зачетный вес]]</f>
        <v>2012.6000000000004</v>
      </c>
      <c r="U1969" s="392">
        <f>Таблица18[[#This Row],[Отход]]/Таблица18[[#This Row],[Вес нетто]]</f>
        <v>0.14500000000000002</v>
      </c>
      <c r="V1969" s="121">
        <f>MONTH(Таблица18[[#This Row],[Дата акта]])</f>
        <v>7</v>
      </c>
      <c r="W1969" s="121">
        <f>DAY(Таблица18[[#This Row],[Дата акта]])</f>
        <v>2</v>
      </c>
      <c r="X1969" s="148">
        <f>DATE(1900,Таблица18[[#This Row],[Месяц]],Таблица18[[#This Row],[Число]])</f>
        <v>184</v>
      </c>
      <c r="Y1969" s="121"/>
      <c r="Z1969" s="121" t="str">
        <f>Таблица18[[#This Row],[Хар-ка]]</f>
        <v>Высший</v>
      </c>
      <c r="AB1969">
        <v>558</v>
      </c>
      <c r="AD1969" s="460" t="s">
        <v>3123</v>
      </c>
      <c r="AE1969" t="s">
        <v>901</v>
      </c>
      <c r="AF1969" t="s">
        <v>53</v>
      </c>
    </row>
    <row r="1970" spans="1:32" ht="33.75" x14ac:dyDescent="0.25">
      <c r="A1970" s="40" t="s">
        <v>3881</v>
      </c>
      <c r="B1970" s="360" t="s">
        <v>2940</v>
      </c>
      <c r="C1970" s="40">
        <v>762</v>
      </c>
      <c r="D1970" s="40">
        <v>401</v>
      </c>
      <c r="E1970" s="40" t="s">
        <v>2964</v>
      </c>
      <c r="F1970" s="40" t="s">
        <v>311</v>
      </c>
      <c r="G1970" s="40" t="s">
        <v>315</v>
      </c>
      <c r="H1970" s="40" t="s">
        <v>3110</v>
      </c>
      <c r="I1970" s="40" t="str">
        <f>VLOOKUP(Таблица18[[#This Row],[Номер акта]],$AB$1:$AF$2504,3,FALSE)</f>
        <v>А-113/1</v>
      </c>
      <c r="J1970" s="40" t="s">
        <v>901</v>
      </c>
      <c r="K1970" s="40" t="s">
        <v>3375</v>
      </c>
      <c r="L1970" s="121">
        <v>28280</v>
      </c>
      <c r="M1970" s="121">
        <v>15140</v>
      </c>
      <c r="N1970" s="121">
        <v>15.5</v>
      </c>
      <c r="O1970" s="363">
        <v>13140</v>
      </c>
      <c r="P1970" s="363">
        <v>11103.3</v>
      </c>
      <c r="Q1970" s="121">
        <v>2026</v>
      </c>
      <c r="R1970" s="121">
        <v>621</v>
      </c>
      <c r="S1970" s="148">
        <v>46206</v>
      </c>
      <c r="T1970" s="363">
        <f>Таблица18[[#This Row],[Вес нетто]]-Таблица18[[#This Row],[Зачетный вес]]</f>
        <v>2036.7000000000007</v>
      </c>
      <c r="U1970" s="392">
        <f>Таблица18[[#This Row],[Отход]]/Таблица18[[#This Row],[Вес нетто]]</f>
        <v>0.15500000000000005</v>
      </c>
      <c r="V1970" s="121">
        <f>MONTH(Таблица18[[#This Row],[Дата акта]])</f>
        <v>7</v>
      </c>
      <c r="W1970" s="121">
        <f>DAY(Таблица18[[#This Row],[Дата акта]])</f>
        <v>3</v>
      </c>
      <c r="X1970" s="148">
        <f>DATE(1900,Таблица18[[#This Row],[Месяц]],Таблица18[[#This Row],[Число]])</f>
        <v>185</v>
      </c>
      <c r="Y1970" s="121"/>
      <c r="Z1970" s="121" t="str">
        <f>Таблица18[[#This Row],[Хар-ка]]</f>
        <v>Высший</v>
      </c>
      <c r="AB1970">
        <v>559</v>
      </c>
      <c r="AD1970" s="460" t="s">
        <v>3111</v>
      </c>
      <c r="AE1970" t="s">
        <v>747</v>
      </c>
      <c r="AF1970" t="s">
        <v>2932</v>
      </c>
    </row>
    <row r="1971" spans="1:32" ht="33.75" x14ac:dyDescent="0.25">
      <c r="A1971" s="40" t="s">
        <v>3863</v>
      </c>
      <c r="B1971" s="360" t="s">
        <v>2940</v>
      </c>
      <c r="C1971" s="40">
        <v>763</v>
      </c>
      <c r="D1971" s="40">
        <v>88</v>
      </c>
      <c r="E1971" s="40" t="s">
        <v>3625</v>
      </c>
      <c r="F1971" s="40" t="s">
        <v>3838</v>
      </c>
      <c r="G1971" s="40" t="s">
        <v>270</v>
      </c>
      <c r="H1971" s="40" t="s">
        <v>3119</v>
      </c>
      <c r="I1971" s="40" t="str">
        <f>VLOOKUP(Таблица18[[#This Row],[Номер акта]],$AB$1:$AF$2504,3,FALSE)</f>
        <v>1.7 Колос</v>
      </c>
      <c r="J1971" s="40" t="s">
        <v>901</v>
      </c>
      <c r="K1971" s="40" t="s">
        <v>3645</v>
      </c>
      <c r="L1971" s="121">
        <v>28230</v>
      </c>
      <c r="M1971" s="121">
        <v>14770</v>
      </c>
      <c r="N1971" s="121">
        <v>9.5</v>
      </c>
      <c r="O1971" s="363">
        <v>13460</v>
      </c>
      <c r="P1971" s="363">
        <v>12181.3</v>
      </c>
      <c r="Q1971" s="121">
        <v>2026</v>
      </c>
      <c r="R1971" s="121">
        <v>622</v>
      </c>
      <c r="S1971" s="148">
        <v>46206</v>
      </c>
      <c r="T1971" s="363">
        <f>Таблица18[[#This Row],[Вес нетто]]-Таблица18[[#This Row],[Зачетный вес]]</f>
        <v>1278.7000000000007</v>
      </c>
      <c r="U1971" s="392">
        <f>Таблица18[[#This Row],[Отход]]/Таблица18[[#This Row],[Вес нетто]]</f>
        <v>9.5000000000000057E-2</v>
      </c>
      <c r="V1971" s="121">
        <f>MONTH(Таблица18[[#This Row],[Дата акта]])</f>
        <v>7</v>
      </c>
      <c r="W1971" s="121">
        <f>DAY(Таблица18[[#This Row],[Дата акта]])</f>
        <v>3</v>
      </c>
      <c r="X1971" s="148">
        <f>DATE(1900,Таблица18[[#This Row],[Месяц]],Таблица18[[#This Row],[Число]])</f>
        <v>185</v>
      </c>
      <c r="Y1971" s="121"/>
      <c r="Z1971" s="121" t="str">
        <f>Таблица18[[#This Row],[Хар-ка]]</f>
        <v>Высший</v>
      </c>
      <c r="AB1971">
        <v>561</v>
      </c>
      <c r="AD1971" s="460" t="s">
        <v>3123</v>
      </c>
      <c r="AE1971" t="s">
        <v>901</v>
      </c>
      <c r="AF1971" t="s">
        <v>53</v>
      </c>
    </row>
    <row r="1972" spans="1:32" ht="22.5" x14ac:dyDescent="0.25">
      <c r="A1972" s="40" t="s">
        <v>3882</v>
      </c>
      <c r="B1972" s="360" t="s">
        <v>2940</v>
      </c>
      <c r="C1972" s="40">
        <v>764</v>
      </c>
      <c r="D1972" s="40">
        <v>402</v>
      </c>
      <c r="E1972" s="40" t="s">
        <v>2964</v>
      </c>
      <c r="F1972" s="40" t="s">
        <v>212</v>
      </c>
      <c r="G1972" s="40" t="s">
        <v>2965</v>
      </c>
      <c r="H1972" s="40" t="s">
        <v>3110</v>
      </c>
      <c r="I1972" s="40" t="str">
        <f>VLOOKUP(Таблица18[[#This Row],[Номер акта]],$AB$1:$AF$2504,3,FALSE)</f>
        <v>А-113/1</v>
      </c>
      <c r="J1972" s="40" t="s">
        <v>901</v>
      </c>
      <c r="K1972" s="40" t="s">
        <v>3375</v>
      </c>
      <c r="L1972" s="121">
        <v>29350</v>
      </c>
      <c r="M1972" s="121">
        <v>15800</v>
      </c>
      <c r="N1972" s="121">
        <v>18.5</v>
      </c>
      <c r="O1972" s="363">
        <v>13550</v>
      </c>
      <c r="P1972" s="363">
        <v>11043.3</v>
      </c>
      <c r="Q1972" s="121">
        <v>2026</v>
      </c>
      <c r="R1972" s="121">
        <v>623</v>
      </c>
      <c r="S1972" s="148">
        <v>46206</v>
      </c>
      <c r="T1972" s="363">
        <f>Таблица18[[#This Row],[Вес нетто]]-Таблица18[[#This Row],[Зачетный вес]]</f>
        <v>2506.7000000000007</v>
      </c>
      <c r="U1972" s="392">
        <f>Таблица18[[#This Row],[Отход]]/Таблица18[[#This Row],[Вес нетто]]</f>
        <v>0.18499630996309968</v>
      </c>
      <c r="V1972" s="121">
        <f>MONTH(Таблица18[[#This Row],[Дата акта]])</f>
        <v>7</v>
      </c>
      <c r="W1972" s="121">
        <f>DAY(Таблица18[[#This Row],[Дата акта]])</f>
        <v>3</v>
      </c>
      <c r="X1972" s="148">
        <f>DATE(1900,Таблица18[[#This Row],[Месяц]],Таблица18[[#This Row],[Число]])</f>
        <v>185</v>
      </c>
      <c r="Y1972" s="121"/>
      <c r="Z1972" s="121" t="str">
        <f>Таблица18[[#This Row],[Хар-ка]]</f>
        <v>Высший</v>
      </c>
      <c r="AB1972">
        <v>560</v>
      </c>
      <c r="AD1972" s="460" t="s">
        <v>3111</v>
      </c>
      <c r="AE1972" t="s">
        <v>747</v>
      </c>
      <c r="AF1972" t="s">
        <v>2932</v>
      </c>
    </row>
    <row r="1973" spans="1:32" ht="33.75" x14ac:dyDescent="0.25">
      <c r="A1973" s="40" t="s">
        <v>3866</v>
      </c>
      <c r="B1973" s="360" t="s">
        <v>2940</v>
      </c>
      <c r="C1973" s="40">
        <v>765</v>
      </c>
      <c r="D1973" s="40">
        <v>89</v>
      </c>
      <c r="E1973" s="40" t="s">
        <v>3625</v>
      </c>
      <c r="F1973" s="40" t="s">
        <v>2967</v>
      </c>
      <c r="G1973" s="40" t="s">
        <v>1810</v>
      </c>
      <c r="H1973" s="40" t="s">
        <v>3119</v>
      </c>
      <c r="I1973" s="40" t="str">
        <f>VLOOKUP(Таблица18[[#This Row],[Номер акта]],$AB$1:$AF$2504,3,FALSE)</f>
        <v>1.7 Колос</v>
      </c>
      <c r="J1973" s="40" t="s">
        <v>901</v>
      </c>
      <c r="K1973" s="40" t="s">
        <v>3645</v>
      </c>
      <c r="L1973" s="121">
        <v>27840</v>
      </c>
      <c r="M1973" s="121">
        <v>14040</v>
      </c>
      <c r="N1973" s="121">
        <v>14</v>
      </c>
      <c r="O1973" s="363">
        <v>13800</v>
      </c>
      <c r="P1973" s="363">
        <v>11868</v>
      </c>
      <c r="Q1973" s="121">
        <v>2026</v>
      </c>
      <c r="R1973" s="121">
        <v>624</v>
      </c>
      <c r="S1973" s="148">
        <v>46206</v>
      </c>
      <c r="T1973" s="363">
        <f>Таблица18[[#This Row],[Вес нетто]]-Таблица18[[#This Row],[Зачетный вес]]</f>
        <v>1932</v>
      </c>
      <c r="U1973" s="392">
        <f>Таблица18[[#This Row],[Отход]]/Таблица18[[#This Row],[Вес нетто]]</f>
        <v>0.14000000000000001</v>
      </c>
      <c r="V1973" s="121">
        <f>MONTH(Таблица18[[#This Row],[Дата акта]])</f>
        <v>7</v>
      </c>
      <c r="W1973" s="121">
        <f>DAY(Таблица18[[#This Row],[Дата акта]])</f>
        <v>3</v>
      </c>
      <c r="X1973" s="148">
        <f>DATE(1900,Таблица18[[#This Row],[Месяц]],Таблица18[[#This Row],[Число]])</f>
        <v>185</v>
      </c>
      <c r="Y1973" s="121"/>
      <c r="Z1973" s="121" t="str">
        <f>Таблица18[[#This Row],[Хар-ка]]</f>
        <v>Высший</v>
      </c>
      <c r="AB1973">
        <v>562</v>
      </c>
      <c r="AD1973" s="460" t="s">
        <v>3123</v>
      </c>
      <c r="AE1973" t="s">
        <v>901</v>
      </c>
      <c r="AF1973" t="s">
        <v>53</v>
      </c>
    </row>
    <row r="1974" spans="1:32" ht="33.75" x14ac:dyDescent="0.25">
      <c r="A1974" s="40" t="s">
        <v>3887</v>
      </c>
      <c r="B1974" s="360" t="s">
        <v>2940</v>
      </c>
      <c r="C1974" s="40">
        <v>766</v>
      </c>
      <c r="D1974" s="40">
        <v>403</v>
      </c>
      <c r="E1974" s="40" t="s">
        <v>2964</v>
      </c>
      <c r="F1974" s="40" t="s">
        <v>311</v>
      </c>
      <c r="G1974" s="40" t="s">
        <v>315</v>
      </c>
      <c r="H1974" s="40" t="s">
        <v>3110</v>
      </c>
      <c r="I1974" s="40" t="str">
        <f>VLOOKUP(Таблица18[[#This Row],[Номер акта]],$AB$1:$AF$2504,3,FALSE)</f>
        <v>А-113/1</v>
      </c>
      <c r="J1974" s="40" t="s">
        <v>901</v>
      </c>
      <c r="K1974" s="40" t="s">
        <v>3375</v>
      </c>
      <c r="L1974" s="121">
        <v>28170</v>
      </c>
      <c r="M1974" s="121">
        <v>15120</v>
      </c>
      <c r="N1974" s="121">
        <v>13.5</v>
      </c>
      <c r="O1974" s="363">
        <v>13050</v>
      </c>
      <c r="P1974" s="363">
        <v>11288.3</v>
      </c>
      <c r="Q1974" s="121">
        <v>2026</v>
      </c>
      <c r="R1974" s="121">
        <v>627</v>
      </c>
      <c r="S1974" s="148">
        <v>46206</v>
      </c>
      <c r="T1974" s="363">
        <f>Таблица18[[#This Row],[Вес нетто]]-Таблица18[[#This Row],[Зачетный вес]]</f>
        <v>1761.7000000000007</v>
      </c>
      <c r="U1974" s="392">
        <f>Таблица18[[#This Row],[Отход]]/Таблица18[[#This Row],[Вес нетто]]</f>
        <v>0.13499616858237554</v>
      </c>
      <c r="V1974" s="121">
        <f>MONTH(Таблица18[[#This Row],[Дата акта]])</f>
        <v>7</v>
      </c>
      <c r="W1974" s="121">
        <f>DAY(Таблица18[[#This Row],[Дата акта]])</f>
        <v>3</v>
      </c>
      <c r="X1974" s="148">
        <f>DATE(1900,Таблица18[[#This Row],[Месяц]],Таблица18[[#This Row],[Число]])</f>
        <v>185</v>
      </c>
      <c r="Y1974" s="121"/>
      <c r="Z1974" s="121" t="str">
        <f>Таблица18[[#This Row],[Хар-ка]]</f>
        <v>Высший</v>
      </c>
      <c r="AB1974">
        <v>563</v>
      </c>
      <c r="AD1974" s="460" t="s">
        <v>3111</v>
      </c>
      <c r="AE1974" t="s">
        <v>747</v>
      </c>
      <c r="AF1974" t="s">
        <v>2932</v>
      </c>
    </row>
    <row r="1975" spans="1:32" ht="33.75" x14ac:dyDescent="0.25">
      <c r="A1975" s="40" t="s">
        <v>3867</v>
      </c>
      <c r="B1975" s="360" t="s">
        <v>2940</v>
      </c>
      <c r="C1975" s="40">
        <v>767</v>
      </c>
      <c r="D1975" s="40">
        <v>90</v>
      </c>
      <c r="E1975" s="40" t="s">
        <v>3625</v>
      </c>
      <c r="F1975" s="40" t="s">
        <v>3853</v>
      </c>
      <c r="G1975" s="40" t="s">
        <v>3854</v>
      </c>
      <c r="H1975" s="40" t="s">
        <v>3119</v>
      </c>
      <c r="I1975" s="40" t="str">
        <f>VLOOKUP(Таблица18[[#This Row],[Номер акта]],$AB$1:$AF$2504,3,FALSE)</f>
        <v>1.7 Колос</v>
      </c>
      <c r="J1975" s="40" t="s">
        <v>901</v>
      </c>
      <c r="K1975" s="40" t="s">
        <v>3645</v>
      </c>
      <c r="L1975" s="121">
        <v>28540</v>
      </c>
      <c r="M1975" s="121">
        <v>14690</v>
      </c>
      <c r="N1975" s="121">
        <v>9.5</v>
      </c>
      <c r="O1975" s="363">
        <v>13850</v>
      </c>
      <c r="P1975" s="363">
        <v>12534.3</v>
      </c>
      <c r="Q1975" s="121">
        <v>2026</v>
      </c>
      <c r="R1975" s="121">
        <v>631</v>
      </c>
      <c r="S1975" s="148">
        <v>46206</v>
      </c>
      <c r="T1975" s="363">
        <f>Таблица18[[#This Row],[Вес нетто]]-Таблица18[[#This Row],[Зачетный вес]]</f>
        <v>1315.7000000000007</v>
      </c>
      <c r="U1975" s="392">
        <f>Таблица18[[#This Row],[Отход]]/Таблица18[[#This Row],[Вес нетто]]</f>
        <v>9.49963898916968E-2</v>
      </c>
      <c r="V1975" s="121">
        <f>MONTH(Таблица18[[#This Row],[Дата акта]])</f>
        <v>7</v>
      </c>
      <c r="W1975" s="121">
        <f>DAY(Таблица18[[#This Row],[Дата акта]])</f>
        <v>3</v>
      </c>
      <c r="X1975" s="148">
        <f>DATE(1900,Таблица18[[#This Row],[Месяц]],Таблица18[[#This Row],[Число]])</f>
        <v>185</v>
      </c>
      <c r="Y1975" s="121"/>
      <c r="Z1975" s="121" t="str">
        <f>Таблица18[[#This Row],[Хар-ка]]</f>
        <v>Высший</v>
      </c>
      <c r="AB1975">
        <v>564</v>
      </c>
      <c r="AD1975" s="460" t="s">
        <v>3123</v>
      </c>
      <c r="AE1975" t="s">
        <v>901</v>
      </c>
      <c r="AF1975" t="s">
        <v>53</v>
      </c>
    </row>
    <row r="1976" spans="1:32" ht="22.5" x14ac:dyDescent="0.25">
      <c r="A1976" s="40" t="s">
        <v>3860</v>
      </c>
      <c r="B1976" s="360" t="s">
        <v>2940</v>
      </c>
      <c r="C1976" s="40">
        <v>769</v>
      </c>
      <c r="D1976" s="40">
        <v>91</v>
      </c>
      <c r="E1976" s="40" t="s">
        <v>3625</v>
      </c>
      <c r="F1976" s="40" t="s">
        <v>3623</v>
      </c>
      <c r="G1976" s="40" t="s">
        <v>3679</v>
      </c>
      <c r="H1976" s="40" t="s">
        <v>3119</v>
      </c>
      <c r="I1976" s="40" t="str">
        <f>VLOOKUP(Таблица18[[#This Row],[Номер акта]],$AB$1:$AF$2504,3,FALSE)</f>
        <v>1.7 Колос</v>
      </c>
      <c r="J1976" s="40" t="s">
        <v>901</v>
      </c>
      <c r="K1976" s="40" t="s">
        <v>3645</v>
      </c>
      <c r="L1976" s="121">
        <v>28280</v>
      </c>
      <c r="M1976" s="121">
        <v>14450</v>
      </c>
      <c r="N1976" s="121">
        <v>15.5</v>
      </c>
      <c r="O1976" s="363">
        <v>13830</v>
      </c>
      <c r="P1976" s="363">
        <v>11686.4</v>
      </c>
      <c r="Q1976" s="121">
        <v>2026</v>
      </c>
      <c r="R1976" s="121">
        <v>636</v>
      </c>
      <c r="S1976" s="148">
        <v>46206</v>
      </c>
      <c r="T1976" s="363">
        <f>Таблица18[[#This Row],[Вес нетто]]-Таблица18[[#This Row],[Зачетный вес]]</f>
        <v>2143.6000000000004</v>
      </c>
      <c r="U1976" s="392">
        <f>Таблица18[[#This Row],[Отход]]/Таблица18[[#This Row],[Вес нетто]]</f>
        <v>0.1549963846710051</v>
      </c>
      <c r="V1976" s="121">
        <f>MONTH(Таблица18[[#This Row],[Дата акта]])</f>
        <v>7</v>
      </c>
      <c r="W1976" s="121">
        <f>DAY(Таблица18[[#This Row],[Дата акта]])</f>
        <v>3</v>
      </c>
      <c r="X1976" s="148">
        <f>DATE(1900,Таблица18[[#This Row],[Месяц]],Таблица18[[#This Row],[Число]])</f>
        <v>185</v>
      </c>
      <c r="Y1976" s="121"/>
      <c r="Z1976" s="121" t="str">
        <f>Таблица18[[#This Row],[Хар-ка]]</f>
        <v>Высший</v>
      </c>
      <c r="AB1976">
        <v>565</v>
      </c>
      <c r="AD1976" s="460" t="s">
        <v>3111</v>
      </c>
      <c r="AE1976" t="s">
        <v>747</v>
      </c>
      <c r="AF1976" t="s">
        <v>2932</v>
      </c>
    </row>
    <row r="1977" spans="1:32" ht="22.5" x14ac:dyDescent="0.25">
      <c r="A1977" s="40" t="s">
        <v>3883</v>
      </c>
      <c r="B1977" s="360" t="s">
        <v>2940</v>
      </c>
      <c r="C1977" s="40">
        <v>770</v>
      </c>
      <c r="D1977" s="40">
        <v>404</v>
      </c>
      <c r="E1977" s="40" t="s">
        <v>2964</v>
      </c>
      <c r="F1977" s="40" t="s">
        <v>212</v>
      </c>
      <c r="G1977" s="40" t="s">
        <v>2965</v>
      </c>
      <c r="H1977" s="40" t="s">
        <v>3110</v>
      </c>
      <c r="I1977" s="40" t="str">
        <f>VLOOKUP(Таблица18[[#This Row],[Номер акта]],$AB$1:$AF$2504,3,FALSE)</f>
        <v>А-113/1</v>
      </c>
      <c r="J1977" s="40" t="s">
        <v>901</v>
      </c>
      <c r="K1977" s="40" t="s">
        <v>3375</v>
      </c>
      <c r="L1977" s="121">
        <v>29520</v>
      </c>
      <c r="M1977" s="121">
        <v>15780</v>
      </c>
      <c r="N1977" s="121">
        <v>15.5</v>
      </c>
      <c r="O1977" s="363">
        <v>13740</v>
      </c>
      <c r="P1977" s="363">
        <v>11610.3</v>
      </c>
      <c r="Q1977" s="121">
        <v>2026</v>
      </c>
      <c r="R1977" s="121">
        <v>637</v>
      </c>
      <c r="S1977" s="148">
        <v>46206</v>
      </c>
      <c r="T1977" s="363">
        <f>Таблица18[[#This Row],[Вес нетто]]-Таблица18[[#This Row],[Зачетный вес]]</f>
        <v>2129.7000000000007</v>
      </c>
      <c r="U1977" s="392">
        <f>Таблица18[[#This Row],[Отход]]/Таблица18[[#This Row],[Вес нетто]]</f>
        <v>0.15500000000000005</v>
      </c>
      <c r="V1977" s="121">
        <f>MONTH(Таблица18[[#This Row],[Дата акта]])</f>
        <v>7</v>
      </c>
      <c r="W1977" s="121">
        <f>DAY(Таблица18[[#This Row],[Дата акта]])</f>
        <v>3</v>
      </c>
      <c r="X1977" s="148">
        <f>DATE(1900,Таблица18[[#This Row],[Месяц]],Таблица18[[#This Row],[Число]])</f>
        <v>185</v>
      </c>
      <c r="Y1977" s="121"/>
      <c r="Z1977" s="121" t="str">
        <f>Таблица18[[#This Row],[Хар-ка]]</f>
        <v>Высший</v>
      </c>
      <c r="AB1977">
        <v>566</v>
      </c>
      <c r="AD1977" s="460" t="s">
        <v>3111</v>
      </c>
      <c r="AE1977" t="s">
        <v>747</v>
      </c>
      <c r="AF1977" t="s">
        <v>2932</v>
      </c>
    </row>
    <row r="1978" spans="1:32" ht="33.75" x14ac:dyDescent="0.25">
      <c r="A1978" s="40" t="s">
        <v>3890</v>
      </c>
      <c r="B1978" s="360" t="s">
        <v>2940</v>
      </c>
      <c r="C1978" s="40">
        <v>771</v>
      </c>
      <c r="D1978" s="40">
        <v>405</v>
      </c>
      <c r="E1978" s="40" t="s">
        <v>2964</v>
      </c>
      <c r="F1978" s="40" t="s">
        <v>762</v>
      </c>
      <c r="G1978" s="40" t="s">
        <v>763</v>
      </c>
      <c r="H1978" s="40" t="s">
        <v>3110</v>
      </c>
      <c r="I1978" s="40" t="str">
        <f>VLOOKUP(Таблица18[[#This Row],[Номер акта]],$AB$1:$AF$2504,3,FALSE)</f>
        <v>А-113/1</v>
      </c>
      <c r="J1978" s="40" t="s">
        <v>901</v>
      </c>
      <c r="K1978" s="40" t="s">
        <v>3375</v>
      </c>
      <c r="L1978" s="121">
        <v>9190</v>
      </c>
      <c r="M1978" s="121">
        <v>4640</v>
      </c>
      <c r="N1978" s="121">
        <v>14.5</v>
      </c>
      <c r="O1978" s="363">
        <v>4550</v>
      </c>
      <c r="P1978" s="363">
        <v>3890.3</v>
      </c>
      <c r="Q1978" s="121">
        <v>2026</v>
      </c>
      <c r="R1978" s="121">
        <v>638</v>
      </c>
      <c r="S1978" s="148">
        <v>46206</v>
      </c>
      <c r="T1978" s="363">
        <f>Таблица18[[#This Row],[Вес нетто]]-Таблица18[[#This Row],[Зачетный вес]]</f>
        <v>659.69999999999982</v>
      </c>
      <c r="U1978" s="392">
        <f>Таблица18[[#This Row],[Отход]]/Таблица18[[#This Row],[Вес нетто]]</f>
        <v>0.14498901098901096</v>
      </c>
      <c r="V1978" s="121">
        <f>MONTH(Таблица18[[#This Row],[Дата акта]])</f>
        <v>7</v>
      </c>
      <c r="W1978" s="121">
        <f>DAY(Таблица18[[#This Row],[Дата акта]])</f>
        <v>3</v>
      </c>
      <c r="X1978" s="148">
        <f>DATE(1900,Таблица18[[#This Row],[Месяц]],Таблица18[[#This Row],[Число]])</f>
        <v>185</v>
      </c>
      <c r="Y1978" s="121"/>
      <c r="Z1978" s="121" t="str">
        <f>Таблица18[[#This Row],[Хар-ка]]</f>
        <v>Высший</v>
      </c>
      <c r="AB1978">
        <v>575</v>
      </c>
      <c r="AD1978" s="460" t="s">
        <v>3111</v>
      </c>
      <c r="AE1978" t="s">
        <v>747</v>
      </c>
      <c r="AF1978" t="s">
        <v>2932</v>
      </c>
    </row>
    <row r="1979" spans="1:32" ht="33.75" x14ac:dyDescent="0.25">
      <c r="A1979" s="40" t="s">
        <v>3886</v>
      </c>
      <c r="B1979" s="360" t="s">
        <v>2940</v>
      </c>
      <c r="C1979" s="40">
        <v>772</v>
      </c>
      <c r="D1979" s="40">
        <v>406</v>
      </c>
      <c r="E1979" s="40" t="s">
        <v>2964</v>
      </c>
      <c r="F1979" s="40" t="s">
        <v>2967</v>
      </c>
      <c r="G1979" s="40" t="s">
        <v>1810</v>
      </c>
      <c r="H1979" s="40" t="s">
        <v>3110</v>
      </c>
      <c r="I1979" s="40" t="str">
        <f>VLOOKUP(Таблица18[[#This Row],[Номер акта]],$AB$1:$AF$2504,3,FALSE)</f>
        <v>А-113/1</v>
      </c>
      <c r="J1979" s="40" t="s">
        <v>901</v>
      </c>
      <c r="K1979" s="40" t="s">
        <v>3375</v>
      </c>
      <c r="L1979" s="121">
        <v>23440</v>
      </c>
      <c r="M1979" s="121">
        <v>14300</v>
      </c>
      <c r="N1979" s="121">
        <v>12</v>
      </c>
      <c r="O1979" s="363">
        <v>9140</v>
      </c>
      <c r="P1979" s="363">
        <v>8043.2</v>
      </c>
      <c r="Q1979" s="121">
        <v>2026</v>
      </c>
      <c r="R1979" s="121">
        <v>639</v>
      </c>
      <c r="S1979" s="148">
        <v>46206</v>
      </c>
      <c r="T1979" s="363">
        <f>Таблица18[[#This Row],[Вес нетто]]-Таблица18[[#This Row],[Зачетный вес]]</f>
        <v>1096.8000000000002</v>
      </c>
      <c r="U1979" s="392">
        <f>Таблица18[[#This Row],[Отход]]/Таблица18[[#This Row],[Вес нетто]]</f>
        <v>0.12000000000000002</v>
      </c>
      <c r="V1979" s="121">
        <f>MONTH(Таблица18[[#This Row],[Дата акта]])</f>
        <v>7</v>
      </c>
      <c r="W1979" s="121">
        <f>DAY(Таблица18[[#This Row],[Дата акта]])</f>
        <v>3</v>
      </c>
      <c r="X1979" s="148">
        <f>DATE(1900,Таблица18[[#This Row],[Месяц]],Таблица18[[#This Row],[Число]])</f>
        <v>185</v>
      </c>
      <c r="Y1979" s="121"/>
      <c r="Z1979" s="121" t="str">
        <f>Таблица18[[#This Row],[Хар-ка]]</f>
        <v>Высший</v>
      </c>
      <c r="AB1979">
        <v>576</v>
      </c>
      <c r="AD1979" s="460" t="s">
        <v>3111</v>
      </c>
      <c r="AE1979" t="s">
        <v>747</v>
      </c>
      <c r="AF1979" t="s">
        <v>2932</v>
      </c>
    </row>
    <row r="1980" spans="1:32" ht="22.5" x14ac:dyDescent="0.25">
      <c r="A1980" s="40" t="s">
        <v>3861</v>
      </c>
      <c r="B1980" s="360" t="s">
        <v>2940</v>
      </c>
      <c r="C1980" s="40">
        <v>774</v>
      </c>
      <c r="D1980" s="40">
        <v>92</v>
      </c>
      <c r="E1980" s="40" t="s">
        <v>3625</v>
      </c>
      <c r="F1980" s="40" t="s">
        <v>3377</v>
      </c>
      <c r="G1980" s="40" t="s">
        <v>3196</v>
      </c>
      <c r="H1980" s="40" t="s">
        <v>3119</v>
      </c>
      <c r="I1980" s="40" t="str">
        <f>VLOOKUP(Таблица18[[#This Row],[Номер акта]],$AB$1:$AF$2504,3,FALSE)</f>
        <v>1.7 Колос</v>
      </c>
      <c r="J1980" s="40" t="s">
        <v>901</v>
      </c>
      <c r="K1980" s="40" t="s">
        <v>3645</v>
      </c>
      <c r="L1980" s="121">
        <v>28090</v>
      </c>
      <c r="M1980" s="121">
        <v>14490</v>
      </c>
      <c r="N1980" s="121">
        <v>7.5</v>
      </c>
      <c r="O1980" s="363">
        <v>13600</v>
      </c>
      <c r="P1980" s="363">
        <v>12580</v>
      </c>
      <c r="Q1980" s="121">
        <v>2026</v>
      </c>
      <c r="R1980" s="121">
        <v>640</v>
      </c>
      <c r="S1980" s="148">
        <v>46206</v>
      </c>
      <c r="T1980" s="363">
        <f>Таблица18[[#This Row],[Вес нетто]]-Таблица18[[#This Row],[Зачетный вес]]</f>
        <v>1020</v>
      </c>
      <c r="U1980" s="392">
        <f>Таблица18[[#This Row],[Отход]]/Таблица18[[#This Row],[Вес нетто]]</f>
        <v>7.4999999999999997E-2</v>
      </c>
      <c r="V1980" s="121">
        <f>MONTH(Таблица18[[#This Row],[Дата акта]])</f>
        <v>7</v>
      </c>
      <c r="W1980" s="121">
        <f>DAY(Таблица18[[#This Row],[Дата акта]])</f>
        <v>3</v>
      </c>
      <c r="X1980" s="148">
        <f>DATE(1900,Таблица18[[#This Row],[Месяц]],Таблица18[[#This Row],[Число]])</f>
        <v>185</v>
      </c>
      <c r="Y1980" s="121"/>
      <c r="Z1980" s="121" t="str">
        <f>Таблица18[[#This Row],[Хар-ка]]</f>
        <v>Высший</v>
      </c>
      <c r="AB1980">
        <v>577</v>
      </c>
      <c r="AD1980" s="460" t="s">
        <v>3111</v>
      </c>
      <c r="AE1980" t="s">
        <v>747</v>
      </c>
      <c r="AF1980" t="s">
        <v>2932</v>
      </c>
    </row>
    <row r="1981" spans="1:32" ht="22.5" x14ac:dyDescent="0.25">
      <c r="A1981" s="40" t="s">
        <v>3926</v>
      </c>
      <c r="B1981" s="360" t="s">
        <v>2940</v>
      </c>
      <c r="C1981" s="40">
        <v>775</v>
      </c>
      <c r="D1981" s="40">
        <v>93</v>
      </c>
      <c r="E1981" s="40" t="s">
        <v>3625</v>
      </c>
      <c r="F1981" s="40" t="s">
        <v>1151</v>
      </c>
      <c r="G1981" s="40" t="s">
        <v>145</v>
      </c>
      <c r="H1981" s="40" t="s">
        <v>3119</v>
      </c>
      <c r="I1981" s="40" t="str">
        <f>VLOOKUP(Таблица18[[#This Row],[Номер акта]],$AB$1:$AF$2504,3,FALSE)</f>
        <v>1.7 Колос</v>
      </c>
      <c r="J1981" s="40" t="s">
        <v>901</v>
      </c>
      <c r="K1981" s="40" t="s">
        <v>3645</v>
      </c>
      <c r="L1981" s="121">
        <v>29790</v>
      </c>
      <c r="M1981" s="121">
        <v>15820</v>
      </c>
      <c r="N1981" s="121">
        <v>9.5</v>
      </c>
      <c r="O1981" s="363">
        <v>13970</v>
      </c>
      <c r="P1981" s="363">
        <v>12642.9</v>
      </c>
      <c r="Q1981" s="121">
        <v>2026</v>
      </c>
      <c r="R1981" s="121">
        <v>642</v>
      </c>
      <c r="S1981" s="148">
        <v>46206</v>
      </c>
      <c r="T1981" s="363">
        <f>Таблица18[[#This Row],[Вес нетто]]-Таблица18[[#This Row],[Зачетный вес]]</f>
        <v>1327.1000000000004</v>
      </c>
      <c r="U1981" s="392">
        <f>Таблица18[[#This Row],[Отход]]/Таблица18[[#This Row],[Вес нетто]]</f>
        <v>9.4996420901932735E-2</v>
      </c>
      <c r="V1981" s="121">
        <f>MONTH(Таблица18[[#This Row],[Дата акта]])</f>
        <v>7</v>
      </c>
      <c r="W1981" s="121">
        <f>DAY(Таблица18[[#This Row],[Дата акта]])</f>
        <v>3</v>
      </c>
      <c r="X1981" s="148">
        <f>DATE(1900,Таблица18[[#This Row],[Месяц]],Таблица18[[#This Row],[Число]])</f>
        <v>185</v>
      </c>
      <c r="Y1981" s="121"/>
      <c r="Z1981" s="121" t="str">
        <f>Таблица18[[#This Row],[Хар-ка]]</f>
        <v>Высший</v>
      </c>
      <c r="AB1981">
        <v>578</v>
      </c>
      <c r="AD1981" s="460" t="s">
        <v>3121</v>
      </c>
      <c r="AE1981" t="s">
        <v>897</v>
      </c>
      <c r="AF1981" t="s">
        <v>53</v>
      </c>
    </row>
    <row r="1982" spans="1:32" ht="22.5" x14ac:dyDescent="0.25">
      <c r="A1982" s="40" t="s">
        <v>3888</v>
      </c>
      <c r="B1982" s="360" t="s">
        <v>2940</v>
      </c>
      <c r="C1982" s="40">
        <v>776</v>
      </c>
      <c r="D1982" s="40">
        <v>407</v>
      </c>
      <c r="E1982" s="40" t="s">
        <v>2964</v>
      </c>
      <c r="F1982" s="40" t="s">
        <v>894</v>
      </c>
      <c r="G1982" s="40" t="s">
        <v>895</v>
      </c>
      <c r="H1982" s="40" t="s">
        <v>3110</v>
      </c>
      <c r="I1982" s="40" t="str">
        <f>VLOOKUP(Таблица18[[#This Row],[Номер акта]],$AB$1:$AF$2504,3,FALSE)</f>
        <v>А-113/1</v>
      </c>
      <c r="J1982" s="40" t="s">
        <v>901</v>
      </c>
      <c r="K1982" s="40" t="s">
        <v>3375</v>
      </c>
      <c r="L1982" s="121">
        <v>28720</v>
      </c>
      <c r="M1982" s="121">
        <v>15050</v>
      </c>
      <c r="N1982" s="121">
        <v>8.5</v>
      </c>
      <c r="O1982" s="363">
        <v>13670</v>
      </c>
      <c r="P1982" s="363">
        <v>12508.1</v>
      </c>
      <c r="Q1982" s="121">
        <v>2026</v>
      </c>
      <c r="R1982" s="121">
        <v>641</v>
      </c>
      <c r="S1982" s="148">
        <v>46206</v>
      </c>
      <c r="T1982" s="363">
        <f>Таблица18[[#This Row],[Вес нетто]]-Таблица18[[#This Row],[Зачетный вес]]</f>
        <v>1161.8999999999996</v>
      </c>
      <c r="U1982" s="392">
        <f>Таблица18[[#This Row],[Отход]]/Таблица18[[#This Row],[Вес нетто]]</f>
        <v>8.4996342355523016E-2</v>
      </c>
      <c r="V1982" s="121">
        <f>MONTH(Таблица18[[#This Row],[Дата акта]])</f>
        <v>7</v>
      </c>
      <c r="W1982" s="121">
        <f>DAY(Таблица18[[#This Row],[Дата акта]])</f>
        <v>3</v>
      </c>
      <c r="X1982" s="148">
        <f>DATE(1900,Таблица18[[#This Row],[Месяц]],Таблица18[[#This Row],[Число]])</f>
        <v>185</v>
      </c>
      <c r="Y1982" s="121"/>
      <c r="Z1982" s="121" t="str">
        <f>Таблица18[[#This Row],[Хар-ка]]</f>
        <v>Высший</v>
      </c>
      <c r="AB1982">
        <v>580</v>
      </c>
      <c r="AD1982" s="460" t="s">
        <v>3092</v>
      </c>
      <c r="AE1982" t="s">
        <v>901</v>
      </c>
      <c r="AF1982" t="s">
        <v>2932</v>
      </c>
    </row>
    <row r="1983" spans="1:32" ht="22.5" x14ac:dyDescent="0.25">
      <c r="A1983" s="40" t="s">
        <v>3896</v>
      </c>
      <c r="B1983" s="360" t="s">
        <v>2940</v>
      </c>
      <c r="C1983" s="40">
        <v>795</v>
      </c>
      <c r="D1983" s="40">
        <v>416</v>
      </c>
      <c r="E1983" s="40" t="s">
        <v>2964</v>
      </c>
      <c r="F1983" s="40" t="s">
        <v>212</v>
      </c>
      <c r="G1983" s="40" t="s">
        <v>2965</v>
      </c>
      <c r="H1983" s="40" t="s">
        <v>3098</v>
      </c>
      <c r="I1983" s="40" t="str">
        <f>VLOOKUP(Таблица18[[#This Row],[Номер акта]],$AB$1:$AF$2504,3,FALSE)</f>
        <v>А-116/1</v>
      </c>
      <c r="J1983" s="40" t="s">
        <v>901</v>
      </c>
      <c r="K1983" s="40" t="s">
        <v>2939</v>
      </c>
      <c r="L1983" s="121">
        <v>28700</v>
      </c>
      <c r="M1983" s="121">
        <v>15750</v>
      </c>
      <c r="N1983" s="121">
        <v>17.5</v>
      </c>
      <c r="O1983" s="363">
        <v>12950</v>
      </c>
      <c r="P1983" s="363">
        <v>10683.8</v>
      </c>
      <c r="Q1983" s="121">
        <v>2026</v>
      </c>
      <c r="R1983" s="121">
        <v>660</v>
      </c>
      <c r="S1983" s="148">
        <v>46207</v>
      </c>
      <c r="T1983" s="363">
        <f>Таблица18[[#This Row],[Вес нетто]]-Таблица18[[#This Row],[Зачетный вес]]</f>
        <v>2266.2000000000007</v>
      </c>
      <c r="U1983" s="392">
        <f>Таблица18[[#This Row],[Отход]]/Таблица18[[#This Row],[Вес нетто]]</f>
        <v>0.17499613899613906</v>
      </c>
      <c r="V1983" s="121">
        <f>MONTH(Таблица18[[#This Row],[Дата акта]])</f>
        <v>7</v>
      </c>
      <c r="W1983" s="121">
        <f>DAY(Таблица18[[#This Row],[Дата акта]])</f>
        <v>4</v>
      </c>
      <c r="X1983" s="148">
        <f>DATE(1900,Таблица18[[#This Row],[Месяц]],Таблица18[[#This Row],[Число]])</f>
        <v>186</v>
      </c>
      <c r="Y1983" s="121"/>
      <c r="Z1983" s="121" t="str">
        <f>Таблица18[[#This Row],[Хар-ка]]</f>
        <v>Высший</v>
      </c>
      <c r="AB1983">
        <v>581</v>
      </c>
      <c r="AD1983" s="460" t="s">
        <v>3092</v>
      </c>
      <c r="AE1983" t="s">
        <v>901</v>
      </c>
      <c r="AF1983" t="s">
        <v>2932</v>
      </c>
    </row>
    <row r="1984" spans="1:32" ht="33.75" x14ac:dyDescent="0.25">
      <c r="A1984" s="40" t="s">
        <v>3897</v>
      </c>
      <c r="B1984" s="360" t="s">
        <v>2940</v>
      </c>
      <c r="C1984" s="40">
        <v>796</v>
      </c>
      <c r="D1984" s="40">
        <v>417</v>
      </c>
      <c r="E1984" s="40" t="s">
        <v>2964</v>
      </c>
      <c r="F1984" s="40" t="s">
        <v>2967</v>
      </c>
      <c r="G1984" s="40" t="s">
        <v>1810</v>
      </c>
      <c r="H1984" s="40" t="s">
        <v>3098</v>
      </c>
      <c r="I1984" s="40" t="str">
        <f>VLOOKUP(Таблица18[[#This Row],[Номер акта]],$AB$1:$AF$2504,3,FALSE)</f>
        <v>А-116/1</v>
      </c>
      <c r="J1984" s="40" t="s">
        <v>901</v>
      </c>
      <c r="K1984" s="40" t="s">
        <v>2939</v>
      </c>
      <c r="L1984" s="121">
        <v>27180</v>
      </c>
      <c r="M1984" s="121">
        <v>14270</v>
      </c>
      <c r="N1984" s="121">
        <v>24.5</v>
      </c>
      <c r="O1984" s="363">
        <v>12910</v>
      </c>
      <c r="P1984" s="363">
        <v>9747.1</v>
      </c>
      <c r="Q1984" s="121">
        <v>2026</v>
      </c>
      <c r="R1984" s="121">
        <v>661</v>
      </c>
      <c r="S1984" s="148">
        <v>46207</v>
      </c>
      <c r="T1984" s="363">
        <f>Таблица18[[#This Row],[Вес нетто]]-Таблица18[[#This Row],[Зачетный вес]]</f>
        <v>3162.8999999999996</v>
      </c>
      <c r="U1984" s="392">
        <f>Таблица18[[#This Row],[Отход]]/Таблица18[[#This Row],[Вес нетто]]</f>
        <v>0.24499612703330748</v>
      </c>
      <c r="V1984" s="121">
        <f>MONTH(Таблица18[[#This Row],[Дата акта]])</f>
        <v>7</v>
      </c>
      <c r="W1984" s="121">
        <f>DAY(Таблица18[[#This Row],[Дата акта]])</f>
        <v>4</v>
      </c>
      <c r="X1984" s="148">
        <f>DATE(1900,Таблица18[[#This Row],[Месяц]],Таблица18[[#This Row],[Число]])</f>
        <v>186</v>
      </c>
      <c r="Y1984" s="121"/>
      <c r="Z1984" s="121" t="str">
        <f>Таблица18[[#This Row],[Хар-ка]]</f>
        <v>Высший</v>
      </c>
      <c r="AB1984">
        <v>587</v>
      </c>
      <c r="AD1984" s="460" t="s">
        <v>3092</v>
      </c>
      <c r="AE1984" t="s">
        <v>901</v>
      </c>
      <c r="AF1984" t="s">
        <v>2932</v>
      </c>
    </row>
    <row r="1985" spans="1:32" ht="33.75" x14ac:dyDescent="0.25">
      <c r="A1985" s="40" t="s">
        <v>3906</v>
      </c>
      <c r="B1985" s="360" t="s">
        <v>2940</v>
      </c>
      <c r="C1985" s="40">
        <v>798</v>
      </c>
      <c r="D1985" s="40">
        <v>418</v>
      </c>
      <c r="E1985" s="40" t="s">
        <v>2964</v>
      </c>
      <c r="F1985" s="40" t="s">
        <v>737</v>
      </c>
      <c r="G1985" s="40" t="s">
        <v>738</v>
      </c>
      <c r="H1985" s="40" t="s">
        <v>3098</v>
      </c>
      <c r="I1985" s="40" t="str">
        <f>VLOOKUP(Таблица18[[#This Row],[Номер акта]],$AB$1:$AF$2504,3,FALSE)</f>
        <v>А-116/1</v>
      </c>
      <c r="J1985" s="40" t="s">
        <v>901</v>
      </c>
      <c r="K1985" s="40" t="s">
        <v>2939</v>
      </c>
      <c r="L1985" s="121">
        <v>9000</v>
      </c>
      <c r="M1985" s="121">
        <v>4600</v>
      </c>
      <c r="N1985" s="121">
        <v>18.5</v>
      </c>
      <c r="O1985" s="363">
        <v>4400</v>
      </c>
      <c r="P1985" s="363">
        <v>3586</v>
      </c>
      <c r="Q1985" s="121">
        <v>2026</v>
      </c>
      <c r="R1985" s="121">
        <v>662</v>
      </c>
      <c r="S1985" s="148">
        <v>46207</v>
      </c>
      <c r="T1985" s="363">
        <f>Таблица18[[#This Row],[Вес нетто]]-Таблица18[[#This Row],[Зачетный вес]]</f>
        <v>814</v>
      </c>
      <c r="U1985" s="392">
        <f>Таблица18[[#This Row],[Отход]]/Таблица18[[#This Row],[Вес нетто]]</f>
        <v>0.185</v>
      </c>
      <c r="V1985" s="121">
        <f>MONTH(Таблица18[[#This Row],[Дата акта]])</f>
        <v>7</v>
      </c>
      <c r="W1985" s="121">
        <f>DAY(Таблица18[[#This Row],[Дата акта]])</f>
        <v>4</v>
      </c>
      <c r="X1985" s="148">
        <f>DATE(1900,Таблица18[[#This Row],[Месяц]],Таблица18[[#This Row],[Число]])</f>
        <v>186</v>
      </c>
      <c r="Y1985" s="121"/>
      <c r="Z1985" s="121" t="str">
        <f>Таблица18[[#This Row],[Хар-ка]]</f>
        <v>Высший</v>
      </c>
      <c r="AB1985">
        <v>582</v>
      </c>
      <c r="AD1985" s="460" t="s">
        <v>3121</v>
      </c>
      <c r="AE1985" t="s">
        <v>901</v>
      </c>
      <c r="AF1985" t="s">
        <v>53</v>
      </c>
    </row>
    <row r="1986" spans="1:32" ht="22.5" x14ac:dyDescent="0.25">
      <c r="A1986" s="40" t="s">
        <v>3912</v>
      </c>
      <c r="B1986" s="360" t="s">
        <v>2940</v>
      </c>
      <c r="C1986" s="40">
        <v>799</v>
      </c>
      <c r="D1986" s="40">
        <v>103</v>
      </c>
      <c r="E1986" s="40" t="s">
        <v>3625</v>
      </c>
      <c r="F1986" s="40" t="s">
        <v>3377</v>
      </c>
      <c r="G1986" s="40" t="s">
        <v>3196</v>
      </c>
      <c r="H1986" s="40" t="s">
        <v>3123</v>
      </c>
      <c r="I1986" s="40" t="str">
        <f>VLOOKUP(Таблица18[[#This Row],[Номер акта]],$AB$1:$AF$2504,3,FALSE)</f>
        <v>3.6 Колос</v>
      </c>
      <c r="J1986" s="40" t="s">
        <v>897</v>
      </c>
      <c r="K1986" s="40" t="s">
        <v>3645</v>
      </c>
      <c r="L1986" s="121">
        <v>21810</v>
      </c>
      <c r="M1986" s="121">
        <v>14420</v>
      </c>
      <c r="N1986" s="121">
        <v>11</v>
      </c>
      <c r="O1986" s="363">
        <v>7390</v>
      </c>
      <c r="P1986" s="363">
        <v>6577.1</v>
      </c>
      <c r="Q1986" s="121">
        <v>2026</v>
      </c>
      <c r="R1986" s="121">
        <v>663</v>
      </c>
      <c r="S1986" s="148">
        <v>46207</v>
      </c>
      <c r="T1986" s="363">
        <f>Таблица18[[#This Row],[Вес нетто]]-Таблица18[[#This Row],[Зачетный вес]]</f>
        <v>812.89999999999964</v>
      </c>
      <c r="U1986" s="392">
        <f>Таблица18[[#This Row],[Отход]]/Таблица18[[#This Row],[Вес нетто]]</f>
        <v>0.10999999999999995</v>
      </c>
      <c r="V1986" s="121">
        <f>MONTH(Таблица18[[#This Row],[Дата акта]])</f>
        <v>7</v>
      </c>
      <c r="W1986" s="121">
        <f>DAY(Таблица18[[#This Row],[Дата акта]])</f>
        <v>4</v>
      </c>
      <c r="X1986" s="148">
        <f>DATE(1900,Таблица18[[#This Row],[Месяц]],Таблица18[[#This Row],[Число]])</f>
        <v>186</v>
      </c>
      <c r="Y1986" s="121"/>
      <c r="Z1986" s="121" t="str">
        <f>Таблица18[[#This Row],[Хар-ка]]</f>
        <v>Высший</v>
      </c>
      <c r="AB1986">
        <v>583</v>
      </c>
      <c r="AD1986" s="460" t="s">
        <v>3121</v>
      </c>
      <c r="AE1986" t="s">
        <v>901</v>
      </c>
      <c r="AF1986" t="s">
        <v>53</v>
      </c>
    </row>
    <row r="1987" spans="1:32" ht="22.5" x14ac:dyDescent="0.25">
      <c r="A1987" s="40" t="s">
        <v>3901</v>
      </c>
      <c r="B1987" s="360" t="s">
        <v>2940</v>
      </c>
      <c r="C1987" s="40">
        <v>800</v>
      </c>
      <c r="D1987" s="40">
        <v>419</v>
      </c>
      <c r="E1987" s="40" t="s">
        <v>2964</v>
      </c>
      <c r="F1987" s="40" t="s">
        <v>212</v>
      </c>
      <c r="G1987" s="40" t="s">
        <v>2965</v>
      </c>
      <c r="H1987" s="40" t="s">
        <v>3098</v>
      </c>
      <c r="I1987" s="40" t="str">
        <f>VLOOKUP(Таблица18[[#This Row],[Номер акта]],$AB$1:$AF$2504,3,FALSE)</f>
        <v>А-116/1</v>
      </c>
      <c r="J1987" s="40" t="s">
        <v>901</v>
      </c>
      <c r="K1987" s="40" t="s">
        <v>2939</v>
      </c>
      <c r="L1987" s="121">
        <v>28540</v>
      </c>
      <c r="M1987" s="121">
        <v>15730</v>
      </c>
      <c r="N1987" s="121">
        <v>14.5</v>
      </c>
      <c r="O1987" s="363">
        <v>12810</v>
      </c>
      <c r="P1987" s="363">
        <v>10952.6</v>
      </c>
      <c r="Q1987" s="121">
        <v>2026</v>
      </c>
      <c r="R1987" s="121">
        <v>664</v>
      </c>
      <c r="S1987" s="148">
        <v>46207</v>
      </c>
      <c r="T1987" s="363">
        <f>Таблица18[[#This Row],[Вес нетто]]-Таблица18[[#This Row],[Зачетный вес]]</f>
        <v>1857.3999999999996</v>
      </c>
      <c r="U1987" s="392">
        <f>Таблица18[[#This Row],[Отход]]/Таблица18[[#This Row],[Вес нетто]]</f>
        <v>0.14499609679937545</v>
      </c>
      <c r="V1987" s="121">
        <f>MONTH(Таблица18[[#This Row],[Дата акта]])</f>
        <v>7</v>
      </c>
      <c r="W1987" s="121">
        <f>DAY(Таблица18[[#This Row],[Дата акта]])</f>
        <v>4</v>
      </c>
      <c r="X1987" s="148">
        <f>DATE(1900,Таблица18[[#This Row],[Месяц]],Таблица18[[#This Row],[Число]])</f>
        <v>186</v>
      </c>
      <c r="Y1987" s="121"/>
      <c r="Z1987" s="121" t="str">
        <f>Таблица18[[#This Row],[Хар-ка]]</f>
        <v>Высший</v>
      </c>
      <c r="AB1987">
        <v>584</v>
      </c>
      <c r="AD1987" s="460" t="s">
        <v>3121</v>
      </c>
      <c r="AE1987" t="s">
        <v>901</v>
      </c>
      <c r="AF1987" t="s">
        <v>53</v>
      </c>
    </row>
    <row r="1988" spans="1:32" ht="33.75" x14ac:dyDescent="0.25">
      <c r="A1988" s="40" t="s">
        <v>3898</v>
      </c>
      <c r="B1988" s="360" t="s">
        <v>2940</v>
      </c>
      <c r="C1988" s="40">
        <v>801</v>
      </c>
      <c r="D1988" s="40">
        <v>420</v>
      </c>
      <c r="E1988" s="40" t="s">
        <v>2964</v>
      </c>
      <c r="F1988" s="40" t="s">
        <v>2967</v>
      </c>
      <c r="G1988" s="40" t="s">
        <v>1810</v>
      </c>
      <c r="H1988" s="40" t="s">
        <v>3098</v>
      </c>
      <c r="I1988" s="40" t="str">
        <f>VLOOKUP(Таблица18[[#This Row],[Номер акта]],$AB$1:$AF$2504,3,FALSE)</f>
        <v>А-116/1</v>
      </c>
      <c r="J1988" s="40" t="s">
        <v>901</v>
      </c>
      <c r="K1988" s="40" t="s">
        <v>2939</v>
      </c>
      <c r="L1988" s="121">
        <v>27190</v>
      </c>
      <c r="M1988" s="121">
        <v>14270</v>
      </c>
      <c r="N1988" s="121">
        <v>20.5</v>
      </c>
      <c r="O1988" s="363">
        <v>12920</v>
      </c>
      <c r="P1988" s="363">
        <v>10271.4</v>
      </c>
      <c r="Q1988" s="121">
        <v>2026</v>
      </c>
      <c r="R1988" s="121">
        <v>665</v>
      </c>
      <c r="S1988" s="148">
        <v>46207</v>
      </c>
      <c r="T1988" s="363">
        <f>Таблица18[[#This Row],[Вес нетто]]-Таблица18[[#This Row],[Зачетный вес]]</f>
        <v>2648.6000000000004</v>
      </c>
      <c r="U1988" s="392">
        <f>Таблица18[[#This Row],[Отход]]/Таблица18[[#This Row],[Вес нетто]]</f>
        <v>0.20500000000000002</v>
      </c>
      <c r="V1988" s="121">
        <f>MONTH(Таблица18[[#This Row],[Дата акта]])</f>
        <v>7</v>
      </c>
      <c r="W1988" s="121">
        <f>DAY(Таблица18[[#This Row],[Дата акта]])</f>
        <v>4</v>
      </c>
      <c r="X1988" s="148">
        <f>DATE(1900,Таблица18[[#This Row],[Месяц]],Таблица18[[#This Row],[Число]])</f>
        <v>186</v>
      </c>
      <c r="Y1988" s="121"/>
      <c r="Z1988" s="121" t="str">
        <f>Таблица18[[#This Row],[Хар-ка]]</f>
        <v>Высший</v>
      </c>
      <c r="AB1988">
        <v>585</v>
      </c>
      <c r="AD1988" s="460" t="s">
        <v>3092</v>
      </c>
      <c r="AE1988" t="s">
        <v>901</v>
      </c>
      <c r="AF1988" t="s">
        <v>2932</v>
      </c>
    </row>
    <row r="1989" spans="1:32" ht="33.75" x14ac:dyDescent="0.25">
      <c r="A1989" s="40" t="s">
        <v>3908</v>
      </c>
      <c r="B1989" s="360" t="s">
        <v>3230</v>
      </c>
      <c r="C1989" s="40">
        <v>802</v>
      </c>
      <c r="D1989" s="40">
        <v>421</v>
      </c>
      <c r="E1989" s="40" t="s">
        <v>2964</v>
      </c>
      <c r="F1989" s="40" t="s">
        <v>737</v>
      </c>
      <c r="G1989" s="40" t="s">
        <v>738</v>
      </c>
      <c r="H1989" s="40" t="s">
        <v>3098</v>
      </c>
      <c r="I1989" s="40" t="str">
        <f>VLOOKUP(Таблица18[[#This Row],[Номер акта]],$AB$1:$AF$2504,3,FALSE)</f>
        <v>А-116/1</v>
      </c>
      <c r="J1989" s="40" t="s">
        <v>901</v>
      </c>
      <c r="K1989" s="40" t="s">
        <v>2939</v>
      </c>
      <c r="L1989" s="121">
        <v>8810</v>
      </c>
      <c r="M1989" s="121">
        <v>4640</v>
      </c>
      <c r="N1989" s="121">
        <v>6.5</v>
      </c>
      <c r="O1989" s="363">
        <v>4170</v>
      </c>
      <c r="P1989" s="363">
        <v>3899</v>
      </c>
      <c r="Q1989" s="121">
        <v>2026</v>
      </c>
      <c r="R1989" s="121">
        <v>666</v>
      </c>
      <c r="S1989" s="148">
        <v>46207</v>
      </c>
      <c r="T1989" s="363">
        <f>Таблица18[[#This Row],[Вес нетто]]-Таблица18[[#This Row],[Зачетный вес]]</f>
        <v>271</v>
      </c>
      <c r="U1989" s="392">
        <f>Таблица18[[#This Row],[Отход]]/Таблица18[[#This Row],[Вес нетто]]</f>
        <v>6.4988009592326146E-2</v>
      </c>
      <c r="V1989" s="121">
        <f>MONTH(Таблица18[[#This Row],[Дата акта]])</f>
        <v>7</v>
      </c>
      <c r="W1989" s="121">
        <f>DAY(Таблица18[[#This Row],[Дата акта]])</f>
        <v>4</v>
      </c>
      <c r="X1989" s="148">
        <f>DATE(1900,Таблица18[[#This Row],[Месяц]],Таблица18[[#This Row],[Число]])</f>
        <v>186</v>
      </c>
      <c r="Y1989" s="121"/>
      <c r="Z1989" s="121" t="str">
        <f>Таблица18[[#This Row],[Хар-ка]]</f>
        <v>Первый</v>
      </c>
      <c r="AB1989">
        <v>586</v>
      </c>
      <c r="AD1989" s="460" t="s">
        <v>3121</v>
      </c>
      <c r="AE1989" t="s">
        <v>901</v>
      </c>
      <c r="AF1989" t="s">
        <v>53</v>
      </c>
    </row>
    <row r="1990" spans="1:32" ht="22.5" x14ac:dyDescent="0.25">
      <c r="A1990" s="40" t="s">
        <v>3903</v>
      </c>
      <c r="B1990" s="360" t="s">
        <v>2940</v>
      </c>
      <c r="C1990" s="40">
        <v>803</v>
      </c>
      <c r="D1990" s="40">
        <v>422</v>
      </c>
      <c r="E1990" s="40" t="s">
        <v>2964</v>
      </c>
      <c r="F1990" s="40" t="s">
        <v>3377</v>
      </c>
      <c r="G1990" s="40" t="s">
        <v>3196</v>
      </c>
      <c r="H1990" s="40" t="s">
        <v>3098</v>
      </c>
      <c r="I1990" s="40" t="str">
        <f>VLOOKUP(Таблица18[[#This Row],[Номер акта]],$AB$1:$AF$2504,3,FALSE)</f>
        <v>А-116/1</v>
      </c>
      <c r="J1990" s="40" t="s">
        <v>901</v>
      </c>
      <c r="K1990" s="40" t="s">
        <v>2939</v>
      </c>
      <c r="L1990" s="121">
        <v>27540</v>
      </c>
      <c r="M1990" s="121">
        <v>14390</v>
      </c>
      <c r="N1990" s="121">
        <v>9.5</v>
      </c>
      <c r="O1990" s="363">
        <v>13150</v>
      </c>
      <c r="P1990" s="363">
        <v>11900.8</v>
      </c>
      <c r="Q1990" s="121">
        <v>2026</v>
      </c>
      <c r="R1990" s="121">
        <v>667</v>
      </c>
      <c r="S1990" s="148">
        <v>46207</v>
      </c>
      <c r="T1990" s="363">
        <f>Таблица18[[#This Row],[Вес нетто]]-Таблица18[[#This Row],[Зачетный вес]]</f>
        <v>1249.2000000000007</v>
      </c>
      <c r="U1990" s="392">
        <f>Таблица18[[#This Row],[Отход]]/Таблица18[[#This Row],[Вес нетто]]</f>
        <v>9.4996197718631228E-2</v>
      </c>
      <c r="V1990" s="121">
        <f>MONTH(Таблица18[[#This Row],[Дата акта]])</f>
        <v>7</v>
      </c>
      <c r="W1990" s="121">
        <f>DAY(Таблица18[[#This Row],[Дата акта]])</f>
        <v>4</v>
      </c>
      <c r="X1990" s="148">
        <f>DATE(1900,Таблица18[[#This Row],[Месяц]],Таблица18[[#This Row],[Число]])</f>
        <v>186</v>
      </c>
      <c r="Y1990" s="121"/>
      <c r="Z1990" s="121" t="str">
        <f>Таблица18[[#This Row],[Хар-ка]]</f>
        <v>Высший</v>
      </c>
      <c r="AB1990">
        <v>588</v>
      </c>
      <c r="AD1990" s="460" t="s">
        <v>3121</v>
      </c>
      <c r="AE1990" t="s">
        <v>901</v>
      </c>
      <c r="AF1990" t="s">
        <v>53</v>
      </c>
    </row>
    <row r="1991" spans="1:32" ht="33.75" x14ac:dyDescent="0.25">
      <c r="A1991" s="40" t="s">
        <v>3914</v>
      </c>
      <c r="B1991" s="360" t="s">
        <v>2940</v>
      </c>
      <c r="C1991" s="40">
        <v>804</v>
      </c>
      <c r="D1991" s="40">
        <v>104</v>
      </c>
      <c r="E1991" s="40" t="s">
        <v>3625</v>
      </c>
      <c r="F1991" s="40" t="s">
        <v>1461</v>
      </c>
      <c r="G1991" s="40" t="s">
        <v>149</v>
      </c>
      <c r="H1991" s="40" t="s">
        <v>3123</v>
      </c>
      <c r="I1991" s="40" t="str">
        <f>VLOOKUP(Таблица18[[#This Row],[Номер акта]],$AB$1:$AF$2504,3,FALSE)</f>
        <v>3.6 Колос</v>
      </c>
      <c r="J1991" s="40" t="s">
        <v>897</v>
      </c>
      <c r="K1991" s="40" t="s">
        <v>3645</v>
      </c>
      <c r="L1991" s="121">
        <v>12920</v>
      </c>
      <c r="M1991" s="121">
        <v>9860</v>
      </c>
      <c r="N1991" s="121">
        <v>7</v>
      </c>
      <c r="O1991" s="363">
        <v>3060</v>
      </c>
      <c r="P1991" s="363">
        <v>2845.8</v>
      </c>
      <c r="Q1991" s="121">
        <v>2026</v>
      </c>
      <c r="R1991" s="121">
        <v>668</v>
      </c>
      <c r="S1991" s="148">
        <v>46207</v>
      </c>
      <c r="T1991" s="363">
        <f>Таблица18[[#This Row],[Вес нетто]]-Таблица18[[#This Row],[Зачетный вес]]</f>
        <v>214.19999999999982</v>
      </c>
      <c r="U1991" s="392">
        <f>Таблица18[[#This Row],[Отход]]/Таблица18[[#This Row],[Вес нетто]]</f>
        <v>6.9999999999999937E-2</v>
      </c>
      <c r="V1991" s="121">
        <f>MONTH(Таблица18[[#This Row],[Дата акта]])</f>
        <v>7</v>
      </c>
      <c r="W1991" s="121">
        <f>DAY(Таблица18[[#This Row],[Дата акта]])</f>
        <v>4</v>
      </c>
      <c r="X1991" s="148">
        <f>DATE(1900,Таблица18[[#This Row],[Месяц]],Таблица18[[#This Row],[Число]])</f>
        <v>186</v>
      </c>
      <c r="Y1991" s="121"/>
      <c r="Z1991" s="121" t="str">
        <f>Таблица18[[#This Row],[Хар-ка]]</f>
        <v>Высший</v>
      </c>
      <c r="AB1991">
        <v>589</v>
      </c>
      <c r="AD1991" s="460" t="s">
        <v>3092</v>
      </c>
      <c r="AE1991" t="s">
        <v>901</v>
      </c>
      <c r="AF1991" t="s">
        <v>2932</v>
      </c>
    </row>
    <row r="1992" spans="1:32" ht="22.5" x14ac:dyDescent="0.25">
      <c r="A1992" s="40" t="s">
        <v>3902</v>
      </c>
      <c r="B1992" s="360" t="s">
        <v>2940</v>
      </c>
      <c r="C1992" s="40">
        <v>805</v>
      </c>
      <c r="D1992" s="40">
        <v>423</v>
      </c>
      <c r="E1992" s="40" t="s">
        <v>2964</v>
      </c>
      <c r="F1992" s="40" t="s">
        <v>212</v>
      </c>
      <c r="G1992" s="40" t="s">
        <v>2965</v>
      </c>
      <c r="H1992" s="40" t="s">
        <v>3098</v>
      </c>
      <c r="I1992" s="40" t="str">
        <f>VLOOKUP(Таблица18[[#This Row],[Номер акта]],$AB$1:$AF$2504,3,FALSE)</f>
        <v>А-116/1</v>
      </c>
      <c r="J1992" s="40" t="s">
        <v>901</v>
      </c>
      <c r="K1992" s="40" t="s">
        <v>2939</v>
      </c>
      <c r="L1992" s="121">
        <v>28660</v>
      </c>
      <c r="M1992" s="121">
        <v>15710</v>
      </c>
      <c r="N1992" s="121">
        <v>7.5</v>
      </c>
      <c r="O1992" s="363">
        <v>12950</v>
      </c>
      <c r="P1992" s="363">
        <v>11978.8</v>
      </c>
      <c r="Q1992" s="121">
        <v>2026</v>
      </c>
      <c r="R1992" s="121">
        <v>669</v>
      </c>
      <c r="S1992" s="148">
        <v>46207</v>
      </c>
      <c r="T1992" s="363">
        <f>Таблица18[[#This Row],[Вес нетто]]-Таблица18[[#This Row],[Зачетный вес]]</f>
        <v>971.20000000000073</v>
      </c>
      <c r="U1992" s="392">
        <f>Таблица18[[#This Row],[Отход]]/Таблица18[[#This Row],[Вес нетто]]</f>
        <v>7.499613899613905E-2</v>
      </c>
      <c r="V1992" s="121">
        <f>MONTH(Таблица18[[#This Row],[Дата акта]])</f>
        <v>7</v>
      </c>
      <c r="W1992" s="121">
        <f>DAY(Таблица18[[#This Row],[Дата акта]])</f>
        <v>4</v>
      </c>
      <c r="X1992" s="148">
        <f>DATE(1900,Таблица18[[#This Row],[Месяц]],Таблица18[[#This Row],[Число]])</f>
        <v>186</v>
      </c>
      <c r="Y1992" s="121"/>
      <c r="Z1992" s="121" t="str">
        <f>Таблица18[[#This Row],[Хар-ка]]</f>
        <v>Высший</v>
      </c>
      <c r="AB1992">
        <v>590</v>
      </c>
      <c r="AD1992" s="460" t="s">
        <v>3121</v>
      </c>
      <c r="AE1992" t="s">
        <v>901</v>
      </c>
      <c r="AF1992" t="s">
        <v>53</v>
      </c>
    </row>
    <row r="1993" spans="1:32" ht="33.75" x14ac:dyDescent="0.25">
      <c r="A1993" s="40" t="s">
        <v>3904</v>
      </c>
      <c r="B1993" s="360" t="s">
        <v>2940</v>
      </c>
      <c r="C1993" s="40">
        <v>806</v>
      </c>
      <c r="D1993" s="40">
        <v>424</v>
      </c>
      <c r="E1993" s="40" t="s">
        <v>2964</v>
      </c>
      <c r="F1993" s="40" t="s">
        <v>2967</v>
      </c>
      <c r="G1993" s="40" t="s">
        <v>1810</v>
      </c>
      <c r="H1993" s="40" t="s">
        <v>3098</v>
      </c>
      <c r="I1993" s="40" t="str">
        <f>VLOOKUP(Таблица18[[#This Row],[Номер акта]],$AB$1:$AF$2504,3,FALSE)</f>
        <v>А-116/1</v>
      </c>
      <c r="J1993" s="40" t="s">
        <v>901</v>
      </c>
      <c r="K1993" s="40" t="s">
        <v>2939</v>
      </c>
      <c r="L1993" s="121">
        <v>27380</v>
      </c>
      <c r="M1993" s="121">
        <v>14260</v>
      </c>
      <c r="N1993" s="121">
        <v>11.5</v>
      </c>
      <c r="O1993" s="363">
        <v>13120</v>
      </c>
      <c r="P1993" s="363">
        <v>11611.2</v>
      </c>
      <c r="Q1993" s="121">
        <v>2026</v>
      </c>
      <c r="R1993" s="121">
        <v>671</v>
      </c>
      <c r="S1993" s="148">
        <v>46207</v>
      </c>
      <c r="T1993" s="363">
        <f>Таблица18[[#This Row],[Вес нетто]]-Таблица18[[#This Row],[Зачетный вес]]</f>
        <v>1508.7999999999993</v>
      </c>
      <c r="U1993" s="392">
        <f>Таблица18[[#This Row],[Отход]]/Таблица18[[#This Row],[Вес нетто]]</f>
        <v>0.11499999999999995</v>
      </c>
      <c r="V1993" s="121">
        <f>MONTH(Таблица18[[#This Row],[Дата акта]])</f>
        <v>7</v>
      </c>
      <c r="W1993" s="121">
        <f>DAY(Таблица18[[#This Row],[Дата акта]])</f>
        <v>4</v>
      </c>
      <c r="X1993" s="148">
        <f>DATE(1900,Таблица18[[#This Row],[Месяц]],Таблица18[[#This Row],[Число]])</f>
        <v>186</v>
      </c>
      <c r="Y1993" s="121"/>
      <c r="Z1993" s="121" t="str">
        <f>Таблица18[[#This Row],[Хар-ка]]</f>
        <v>Высший</v>
      </c>
      <c r="AB1993">
        <v>591</v>
      </c>
      <c r="AD1993" s="460" t="s">
        <v>3121</v>
      </c>
      <c r="AE1993" t="s">
        <v>901</v>
      </c>
      <c r="AF1993" t="s">
        <v>53</v>
      </c>
    </row>
    <row r="1994" spans="1:32" ht="33.75" x14ac:dyDescent="0.25">
      <c r="A1994" s="40" t="s">
        <v>3905</v>
      </c>
      <c r="B1994" s="360" t="s">
        <v>2940</v>
      </c>
      <c r="C1994" s="40">
        <v>807</v>
      </c>
      <c r="D1994" s="40">
        <v>425</v>
      </c>
      <c r="E1994" s="40" t="s">
        <v>2964</v>
      </c>
      <c r="F1994" s="40" t="s">
        <v>737</v>
      </c>
      <c r="G1994" s="40" t="s">
        <v>738</v>
      </c>
      <c r="H1994" s="40" t="s">
        <v>3098</v>
      </c>
      <c r="I1994" s="40" t="str">
        <f>VLOOKUP(Таблица18[[#This Row],[Номер акта]],$AB$1:$AF$2504,3,FALSE)</f>
        <v>А-116/1</v>
      </c>
      <c r="J1994" s="40" t="s">
        <v>901</v>
      </c>
      <c r="K1994" s="40" t="s">
        <v>2939</v>
      </c>
      <c r="L1994" s="121">
        <v>9020</v>
      </c>
      <c r="M1994" s="121">
        <v>4630</v>
      </c>
      <c r="N1994" s="121">
        <v>12.5</v>
      </c>
      <c r="O1994" s="363">
        <v>4390</v>
      </c>
      <c r="P1994" s="363">
        <v>3841.3</v>
      </c>
      <c r="Q1994" s="121">
        <v>2026</v>
      </c>
      <c r="R1994" s="121">
        <v>670</v>
      </c>
      <c r="S1994" s="148">
        <v>46207</v>
      </c>
      <c r="T1994" s="363">
        <f>Таблица18[[#This Row],[Вес нетто]]-Таблица18[[#This Row],[Зачетный вес]]</f>
        <v>548.69999999999982</v>
      </c>
      <c r="U1994" s="392">
        <f>Таблица18[[#This Row],[Отход]]/Таблица18[[#This Row],[Вес нетто]]</f>
        <v>0.12498861047835987</v>
      </c>
      <c r="V1994" s="121">
        <f>MONTH(Таблица18[[#This Row],[Дата акта]])</f>
        <v>7</v>
      </c>
      <c r="W1994" s="121">
        <f>DAY(Таблица18[[#This Row],[Дата акта]])</f>
        <v>4</v>
      </c>
      <c r="X1994" s="148">
        <f>DATE(1900,Таблица18[[#This Row],[Месяц]],Таблица18[[#This Row],[Число]])</f>
        <v>186</v>
      </c>
      <c r="Y1994" s="121"/>
      <c r="Z1994" s="121" t="str">
        <f>Таблица18[[#This Row],[Хар-ка]]</f>
        <v>Высший</v>
      </c>
      <c r="AB1994">
        <v>593</v>
      </c>
      <c r="AD1994" s="460" t="s">
        <v>3092</v>
      </c>
      <c r="AE1994" t="s">
        <v>901</v>
      </c>
      <c r="AF1994" t="s">
        <v>2932</v>
      </c>
    </row>
    <row r="1995" spans="1:32" ht="22.5" x14ac:dyDescent="0.25">
      <c r="A1995" s="40" t="s">
        <v>3907</v>
      </c>
      <c r="B1995" s="360" t="s">
        <v>2940</v>
      </c>
      <c r="C1995" s="40">
        <v>808</v>
      </c>
      <c r="D1995" s="40">
        <v>426</v>
      </c>
      <c r="E1995" s="40" t="s">
        <v>2964</v>
      </c>
      <c r="F1995" s="40" t="s">
        <v>212</v>
      </c>
      <c r="G1995" s="40" t="s">
        <v>2965</v>
      </c>
      <c r="H1995" s="40" t="s">
        <v>3098</v>
      </c>
      <c r="I1995" s="40" t="str">
        <f>VLOOKUP(Таблица18[[#This Row],[Номер акта]],$AB$1:$AF$2504,3,FALSE)</f>
        <v>А-116/1</v>
      </c>
      <c r="J1995" s="40" t="s">
        <v>901</v>
      </c>
      <c r="K1995" s="40" t="s">
        <v>2939</v>
      </c>
      <c r="L1995" s="121">
        <v>28750</v>
      </c>
      <c r="M1995" s="121">
        <v>15700</v>
      </c>
      <c r="N1995" s="121">
        <v>7.5</v>
      </c>
      <c r="O1995" s="363">
        <v>13050</v>
      </c>
      <c r="P1995" s="363">
        <v>12071.2</v>
      </c>
      <c r="Q1995" s="121">
        <v>2026</v>
      </c>
      <c r="R1995" s="121">
        <v>673</v>
      </c>
      <c r="S1995" s="148">
        <v>46207</v>
      </c>
      <c r="T1995" s="363">
        <f>Таблица18[[#This Row],[Вес нетто]]-Таблица18[[#This Row],[Зачетный вес]]</f>
        <v>978.79999999999927</v>
      </c>
      <c r="U1995" s="392">
        <f>Таблица18[[#This Row],[Отход]]/Таблица18[[#This Row],[Вес нетто]]</f>
        <v>7.500383141762447E-2</v>
      </c>
      <c r="V1995" s="121">
        <f>MONTH(Таблица18[[#This Row],[Дата акта]])</f>
        <v>7</v>
      </c>
      <c r="W1995" s="121">
        <f>DAY(Таблица18[[#This Row],[Дата акта]])</f>
        <v>4</v>
      </c>
      <c r="X1995" s="148">
        <f>DATE(1900,Таблица18[[#This Row],[Месяц]],Таблица18[[#This Row],[Число]])</f>
        <v>186</v>
      </c>
      <c r="Y1995" s="121"/>
      <c r="Z1995" s="121" t="str">
        <f>Таблица18[[#This Row],[Хар-ка]]</f>
        <v>Высший</v>
      </c>
      <c r="AB1995">
        <v>596</v>
      </c>
      <c r="AD1995" s="460" t="s">
        <v>3121</v>
      </c>
      <c r="AE1995" t="s">
        <v>901</v>
      </c>
      <c r="AF1995" t="s">
        <v>53</v>
      </c>
    </row>
    <row r="1996" spans="1:32" ht="33.75" x14ac:dyDescent="0.25">
      <c r="A1996" s="40" t="s">
        <v>3895</v>
      </c>
      <c r="B1996" s="360" t="s">
        <v>2940</v>
      </c>
      <c r="C1996" s="40">
        <v>809</v>
      </c>
      <c r="D1996" s="40">
        <v>427</v>
      </c>
      <c r="E1996" s="40" t="s">
        <v>2964</v>
      </c>
      <c r="F1996" s="40" t="s">
        <v>737</v>
      </c>
      <c r="G1996" s="40" t="s">
        <v>738</v>
      </c>
      <c r="H1996" s="40" t="s">
        <v>3098</v>
      </c>
      <c r="I1996" s="40" t="str">
        <f>VLOOKUP(Таблица18[[#This Row],[Номер акта]],$AB$1:$AF$2504,3,FALSE)</f>
        <v>А-116/1</v>
      </c>
      <c r="J1996" s="40" t="s">
        <v>901</v>
      </c>
      <c r="K1996" s="40" t="s">
        <v>2939</v>
      </c>
      <c r="L1996" s="121">
        <v>8930</v>
      </c>
      <c r="M1996" s="121">
        <v>4630</v>
      </c>
      <c r="N1996" s="121">
        <v>7.5</v>
      </c>
      <c r="O1996" s="363">
        <v>4300</v>
      </c>
      <c r="P1996" s="363">
        <v>3977.5</v>
      </c>
      <c r="Q1996" s="121">
        <v>2026</v>
      </c>
      <c r="R1996" s="121">
        <v>672</v>
      </c>
      <c r="S1996" s="148">
        <v>46208</v>
      </c>
      <c r="T1996" s="363">
        <f>Таблица18[[#This Row],[Вес нетто]]-Таблица18[[#This Row],[Зачетный вес]]</f>
        <v>322.5</v>
      </c>
      <c r="U1996" s="392">
        <f>Таблица18[[#This Row],[Отход]]/Таблица18[[#This Row],[Вес нетто]]</f>
        <v>7.4999999999999997E-2</v>
      </c>
      <c r="V1996" s="121">
        <f>MONTH(Таблица18[[#This Row],[Дата акта]])</f>
        <v>7</v>
      </c>
      <c r="W1996" s="121">
        <f>DAY(Таблица18[[#This Row],[Дата акта]])</f>
        <v>5</v>
      </c>
      <c r="X1996" s="148">
        <f>DATE(1900,Таблица18[[#This Row],[Месяц]],Таблица18[[#This Row],[Число]])</f>
        <v>187</v>
      </c>
      <c r="Y1996" s="121"/>
      <c r="Z1996" s="121" t="str">
        <f>Таблица18[[#This Row],[Хар-ка]]</f>
        <v>Высший</v>
      </c>
      <c r="AB1996">
        <v>600</v>
      </c>
      <c r="AD1996" s="460" t="s">
        <v>3121</v>
      </c>
      <c r="AE1996" t="s">
        <v>901</v>
      </c>
      <c r="AF1996" t="s">
        <v>53</v>
      </c>
    </row>
    <row r="1997" spans="1:32" ht="33.75" x14ac:dyDescent="0.25">
      <c r="A1997" s="40" t="s">
        <v>3909</v>
      </c>
      <c r="B1997" s="360" t="s">
        <v>3230</v>
      </c>
      <c r="C1997" s="40">
        <v>810</v>
      </c>
      <c r="D1997" s="40">
        <v>428</v>
      </c>
      <c r="E1997" s="40" t="s">
        <v>2964</v>
      </c>
      <c r="F1997" s="40" t="s">
        <v>2967</v>
      </c>
      <c r="G1997" s="40" t="s">
        <v>1810</v>
      </c>
      <c r="H1997" s="40" t="s">
        <v>3098</v>
      </c>
      <c r="I1997" s="40" t="str">
        <f>VLOOKUP(Таблица18[[#This Row],[Номер акта]],$AB$1:$AF$2504,3,FALSE)</f>
        <v>А-116/1</v>
      </c>
      <c r="J1997" s="40" t="s">
        <v>901</v>
      </c>
      <c r="K1997" s="40" t="s">
        <v>2939</v>
      </c>
      <c r="L1997" s="121">
        <v>27210</v>
      </c>
      <c r="M1997" s="121">
        <v>14260</v>
      </c>
      <c r="N1997" s="121">
        <v>10.5</v>
      </c>
      <c r="O1997" s="363">
        <v>12950</v>
      </c>
      <c r="P1997" s="363">
        <v>11590.3</v>
      </c>
      <c r="Q1997" s="121">
        <v>2026</v>
      </c>
      <c r="R1997" s="121">
        <v>674</v>
      </c>
      <c r="S1997" s="148">
        <v>46208</v>
      </c>
      <c r="T1997" s="363">
        <f>Таблица18[[#This Row],[Вес нетто]]-Таблица18[[#This Row],[Зачетный вес]]</f>
        <v>1359.7000000000007</v>
      </c>
      <c r="U1997" s="392">
        <f>Таблица18[[#This Row],[Отход]]/Таблица18[[#This Row],[Вес нетто]]</f>
        <v>0.10499613899613905</v>
      </c>
      <c r="V1997" s="121">
        <f>MONTH(Таблица18[[#This Row],[Дата акта]])</f>
        <v>7</v>
      </c>
      <c r="W1997" s="121">
        <f>DAY(Таблица18[[#This Row],[Дата акта]])</f>
        <v>5</v>
      </c>
      <c r="X1997" s="148">
        <f>DATE(1900,Таблица18[[#This Row],[Месяц]],Таблица18[[#This Row],[Число]])</f>
        <v>187</v>
      </c>
      <c r="Y1997" s="121"/>
      <c r="Z1997" s="121" t="str">
        <f>Таблица18[[#This Row],[Хар-ка]]</f>
        <v>Первый</v>
      </c>
      <c r="AB1997">
        <v>601</v>
      </c>
      <c r="AD1997" s="460" t="s">
        <v>3092</v>
      </c>
      <c r="AE1997" t="s">
        <v>901</v>
      </c>
      <c r="AF1997" t="s">
        <v>2932</v>
      </c>
    </row>
    <row r="1998" spans="1:32" ht="33.75" x14ac:dyDescent="0.25">
      <c r="A1998" s="40" t="s">
        <v>3950</v>
      </c>
      <c r="B1998" s="360" t="s">
        <v>3230</v>
      </c>
      <c r="C1998" s="40">
        <v>829</v>
      </c>
      <c r="D1998" s="40">
        <v>437</v>
      </c>
      <c r="E1998" s="40" t="s">
        <v>2964</v>
      </c>
      <c r="F1998" s="40" t="s">
        <v>1312</v>
      </c>
      <c r="G1998" s="40" t="s">
        <v>320</v>
      </c>
      <c r="H1998" s="40" t="s">
        <v>3108</v>
      </c>
      <c r="I1998" s="40" t="str">
        <f>VLOOKUP(Таблица18[[#This Row],[Номер акта]],$AB$1:$AF$2504,3,FALSE)</f>
        <v>А-108/7</v>
      </c>
      <c r="J1998" s="40" t="s">
        <v>900</v>
      </c>
      <c r="K1998" s="40" t="s">
        <v>3375</v>
      </c>
      <c r="L1998" s="121">
        <v>28190</v>
      </c>
      <c r="M1998" s="121">
        <v>14550</v>
      </c>
      <c r="N1998" s="121">
        <v>13.5</v>
      </c>
      <c r="O1998" s="363">
        <v>13640</v>
      </c>
      <c r="P1998" s="363">
        <v>11798.6</v>
      </c>
      <c r="Q1998" s="121">
        <v>2026</v>
      </c>
      <c r="R1998" s="121">
        <v>689</v>
      </c>
      <c r="S1998" s="148">
        <v>46208</v>
      </c>
      <c r="T1998" s="363">
        <f>Таблица18[[#This Row],[Вес нетто]]-Таблица18[[#This Row],[Зачетный вес]]</f>
        <v>1841.3999999999996</v>
      </c>
      <c r="U1998" s="392">
        <f>Таблица18[[#This Row],[Отход]]/Таблица18[[#This Row],[Вес нетто]]</f>
        <v>0.13499999999999998</v>
      </c>
      <c r="V1998" s="121">
        <f>MONTH(Таблица18[[#This Row],[Дата акта]])</f>
        <v>7</v>
      </c>
      <c r="W1998" s="121">
        <f>DAY(Таблица18[[#This Row],[Дата акта]])</f>
        <v>5</v>
      </c>
      <c r="X1998" s="148">
        <f>DATE(1900,Таблица18[[#This Row],[Месяц]],Таблица18[[#This Row],[Число]])</f>
        <v>187</v>
      </c>
      <c r="Y1998" s="121"/>
      <c r="Z1998" s="121" t="str">
        <f>Таблица18[[#This Row],[Хар-ка]]</f>
        <v>Первый</v>
      </c>
      <c r="AB1998">
        <v>602</v>
      </c>
      <c r="AD1998" s="460" t="s">
        <v>3121</v>
      </c>
      <c r="AE1998" t="s">
        <v>901</v>
      </c>
      <c r="AF1998" t="s">
        <v>53</v>
      </c>
    </row>
    <row r="1999" spans="1:32" ht="33.75" x14ac:dyDescent="0.25">
      <c r="A1999" s="40" t="s">
        <v>3960</v>
      </c>
      <c r="B1999" s="360" t="s">
        <v>3230</v>
      </c>
      <c r="C1999" s="40">
        <v>830</v>
      </c>
      <c r="D1999" s="40">
        <v>438</v>
      </c>
      <c r="E1999" s="40" t="s">
        <v>2964</v>
      </c>
      <c r="F1999" s="40" t="s">
        <v>762</v>
      </c>
      <c r="G1999" s="40" t="s">
        <v>763</v>
      </c>
      <c r="H1999" s="40" t="s">
        <v>3108</v>
      </c>
      <c r="I1999" s="40" t="str">
        <f>VLOOKUP(Таблица18[[#This Row],[Номер акта]],$AB$1:$AF$2504,3,FALSE)</f>
        <v>А-108/7</v>
      </c>
      <c r="J1999" s="40" t="s">
        <v>900</v>
      </c>
      <c r="K1999" s="40" t="s">
        <v>3375</v>
      </c>
      <c r="L1999" s="121">
        <v>9090</v>
      </c>
      <c r="M1999" s="121">
        <v>4660</v>
      </c>
      <c r="N1999" s="121">
        <v>11</v>
      </c>
      <c r="O1999" s="363">
        <v>4430</v>
      </c>
      <c r="P1999" s="363">
        <v>3942.7</v>
      </c>
      <c r="Q1999" s="121">
        <v>2026</v>
      </c>
      <c r="R1999" s="121">
        <v>690</v>
      </c>
      <c r="S1999" s="148">
        <v>46208</v>
      </c>
      <c r="T1999" s="363">
        <f>Таблица18[[#This Row],[Вес нетто]]-Таблица18[[#This Row],[Зачетный вес]]</f>
        <v>487.30000000000018</v>
      </c>
      <c r="U1999" s="392">
        <f>Таблица18[[#This Row],[Отход]]/Таблица18[[#This Row],[Вес нетто]]</f>
        <v>0.11000000000000004</v>
      </c>
      <c r="V1999" s="121">
        <f>MONTH(Таблица18[[#This Row],[Дата акта]])</f>
        <v>7</v>
      </c>
      <c r="W1999" s="121">
        <f>DAY(Таблица18[[#This Row],[Дата акта]])</f>
        <v>5</v>
      </c>
      <c r="X1999" s="148">
        <f>DATE(1900,Таблица18[[#This Row],[Месяц]],Таблица18[[#This Row],[Число]])</f>
        <v>187</v>
      </c>
      <c r="Y1999" s="121"/>
      <c r="Z1999" s="121" t="str">
        <f>Таблица18[[#This Row],[Хар-ка]]</f>
        <v>Первый</v>
      </c>
      <c r="AB1999">
        <v>620</v>
      </c>
      <c r="AD1999" s="460" t="s">
        <v>3118</v>
      </c>
      <c r="AE1999" t="s">
        <v>901</v>
      </c>
      <c r="AF1999" t="s">
        <v>53</v>
      </c>
    </row>
    <row r="2000" spans="1:32" ht="22.5" x14ac:dyDescent="0.25">
      <c r="A2000" s="40" t="s">
        <v>3931</v>
      </c>
      <c r="B2000" s="360" t="s">
        <v>3230</v>
      </c>
      <c r="C2000" s="40">
        <v>831</v>
      </c>
      <c r="D2000" s="40">
        <v>105</v>
      </c>
      <c r="E2000" s="40" t="s">
        <v>3625</v>
      </c>
      <c r="F2000" s="40" t="s">
        <v>335</v>
      </c>
      <c r="G2000" s="40" t="s">
        <v>339</v>
      </c>
      <c r="H2000" s="40" t="s">
        <v>3123</v>
      </c>
      <c r="I2000" s="40" t="str">
        <f>VLOOKUP(Таблица18[[#This Row],[Номер акта]],$AB$1:$AF$2504,3,FALSE)</f>
        <v>3.6 Колос</v>
      </c>
      <c r="J2000" s="40" t="s">
        <v>897</v>
      </c>
      <c r="K2000" s="40" t="s">
        <v>3645</v>
      </c>
      <c r="L2000" s="121">
        <v>28340</v>
      </c>
      <c r="M2000" s="121">
        <v>14930</v>
      </c>
      <c r="N2000" s="121">
        <v>6.5</v>
      </c>
      <c r="O2000" s="363">
        <v>13410</v>
      </c>
      <c r="P2000" s="363">
        <v>12538.4</v>
      </c>
      <c r="Q2000" s="121">
        <v>2026</v>
      </c>
      <c r="R2000" s="121">
        <v>691</v>
      </c>
      <c r="S2000" s="148">
        <v>46208</v>
      </c>
      <c r="T2000" s="363">
        <f>Таблица18[[#This Row],[Вес нетто]]-Таблица18[[#This Row],[Зачетный вес]]</f>
        <v>871.60000000000036</v>
      </c>
      <c r="U2000" s="392">
        <f>Таблица18[[#This Row],[Отход]]/Таблица18[[#This Row],[Вес нетто]]</f>
        <v>6.4996271439224484E-2</v>
      </c>
      <c r="V2000" s="121">
        <f>MONTH(Таблица18[[#This Row],[Дата акта]])</f>
        <v>7</v>
      </c>
      <c r="W2000" s="121">
        <f>DAY(Таблица18[[#This Row],[Дата акта]])</f>
        <v>5</v>
      </c>
      <c r="X2000" s="148">
        <f>DATE(1900,Таблица18[[#This Row],[Месяц]],Таблица18[[#This Row],[Число]])</f>
        <v>187</v>
      </c>
      <c r="Y2000" s="121"/>
      <c r="Z2000" s="121" t="str">
        <f>Таблица18[[#This Row],[Хар-ка]]</f>
        <v>Первый</v>
      </c>
      <c r="AB2000">
        <v>604</v>
      </c>
      <c r="AD2000" s="460" t="s">
        <v>3092</v>
      </c>
      <c r="AE2000" t="s">
        <v>901</v>
      </c>
      <c r="AF2000" t="s">
        <v>2932</v>
      </c>
    </row>
    <row r="2001" spans="1:32" ht="33.75" x14ac:dyDescent="0.25">
      <c r="A2001" s="40" t="s">
        <v>3927</v>
      </c>
      <c r="B2001" s="360" t="s">
        <v>3230</v>
      </c>
      <c r="C2001" s="40">
        <v>833</v>
      </c>
      <c r="D2001" s="40">
        <v>112</v>
      </c>
      <c r="E2001" s="40" t="s">
        <v>3625</v>
      </c>
      <c r="F2001" s="40" t="s">
        <v>1461</v>
      </c>
      <c r="G2001" s="40" t="s">
        <v>149</v>
      </c>
      <c r="H2001" s="40" t="s">
        <v>3123</v>
      </c>
      <c r="I2001" s="40" t="str">
        <f>VLOOKUP(Таблица18[[#This Row],[Номер акта]],$AB$1:$AF$2504,3,FALSE)</f>
        <v>3.6 Колос</v>
      </c>
      <c r="J2001" s="40" t="s">
        <v>897</v>
      </c>
      <c r="K2001" s="40" t="s">
        <v>3645</v>
      </c>
      <c r="L2001" s="121">
        <v>27910</v>
      </c>
      <c r="M2001" s="121">
        <v>15000</v>
      </c>
      <c r="N2001" s="121">
        <v>6.5</v>
      </c>
      <c r="O2001" s="363">
        <v>12910</v>
      </c>
      <c r="P2001" s="363">
        <v>12070.9</v>
      </c>
      <c r="Q2001" s="121">
        <v>2026</v>
      </c>
      <c r="R2001" s="121">
        <v>692</v>
      </c>
      <c r="S2001" s="148">
        <v>46208</v>
      </c>
      <c r="T2001" s="363">
        <f>Таблица18[[#This Row],[Вес нетто]]-Таблица18[[#This Row],[Зачетный вес]]</f>
        <v>839.10000000000036</v>
      </c>
      <c r="U2001" s="392">
        <f>Таблица18[[#This Row],[Отход]]/Таблица18[[#This Row],[Вес нетто]]</f>
        <v>6.4996127033307538E-2</v>
      </c>
      <c r="V2001" s="121">
        <f>MONTH(Таблица18[[#This Row],[Дата акта]])</f>
        <v>7</v>
      </c>
      <c r="W2001" s="121">
        <f>DAY(Таблица18[[#This Row],[Дата акта]])</f>
        <v>5</v>
      </c>
      <c r="X2001" s="148">
        <f>DATE(1900,Таблица18[[#This Row],[Месяц]],Таблица18[[#This Row],[Число]])</f>
        <v>187</v>
      </c>
      <c r="Y2001" s="121"/>
      <c r="Z2001" s="121" t="str">
        <f>Таблица18[[#This Row],[Хар-ка]]</f>
        <v>Первый</v>
      </c>
      <c r="AB2001">
        <v>605</v>
      </c>
      <c r="AD2001" s="460" t="s">
        <v>3092</v>
      </c>
      <c r="AE2001" t="s">
        <v>901</v>
      </c>
      <c r="AF2001" t="s">
        <v>2932</v>
      </c>
    </row>
    <row r="2002" spans="1:32" ht="22.5" x14ac:dyDescent="0.25">
      <c r="A2002" s="40" t="s">
        <v>3955</v>
      </c>
      <c r="B2002" s="360" t="s">
        <v>3230</v>
      </c>
      <c r="C2002" s="40">
        <v>834</v>
      </c>
      <c r="D2002" s="40">
        <v>439</v>
      </c>
      <c r="E2002" s="40" t="s">
        <v>2964</v>
      </c>
      <c r="F2002" s="40" t="s">
        <v>894</v>
      </c>
      <c r="G2002" s="40" t="s">
        <v>895</v>
      </c>
      <c r="H2002" s="40" t="s">
        <v>3108</v>
      </c>
      <c r="I2002" s="40" t="str">
        <f>VLOOKUP(Таблица18[[#This Row],[Номер акта]],$AB$1:$AF$2504,3,FALSE)</f>
        <v>А-108/7</v>
      </c>
      <c r="J2002" s="40" t="s">
        <v>900</v>
      </c>
      <c r="K2002" s="40" t="s">
        <v>3375</v>
      </c>
      <c r="L2002" s="121">
        <v>28420</v>
      </c>
      <c r="M2002" s="121">
        <v>14960</v>
      </c>
      <c r="N2002" s="121">
        <v>14</v>
      </c>
      <c r="O2002" s="363">
        <v>13460</v>
      </c>
      <c r="P2002" s="363">
        <v>11575.6</v>
      </c>
      <c r="Q2002" s="121">
        <v>2026</v>
      </c>
      <c r="R2002" s="121">
        <v>693</v>
      </c>
      <c r="S2002" s="148">
        <v>46208</v>
      </c>
      <c r="T2002" s="363">
        <f>Таблица18[[#This Row],[Вес нетто]]-Таблица18[[#This Row],[Зачетный вес]]</f>
        <v>1884.3999999999996</v>
      </c>
      <c r="U2002" s="392">
        <f>Таблица18[[#This Row],[Отход]]/Таблица18[[#This Row],[Вес нетто]]</f>
        <v>0.13999999999999999</v>
      </c>
      <c r="V2002" s="121">
        <f>MONTH(Таблица18[[#This Row],[Дата акта]])</f>
        <v>7</v>
      </c>
      <c r="W2002" s="121">
        <f>DAY(Таблица18[[#This Row],[Дата акта]])</f>
        <v>5</v>
      </c>
      <c r="X2002" s="148">
        <f>DATE(1900,Таблица18[[#This Row],[Месяц]],Таблица18[[#This Row],[Число]])</f>
        <v>187</v>
      </c>
      <c r="Y2002" s="121"/>
      <c r="Z2002" s="121" t="str">
        <f>Таблица18[[#This Row],[Хар-ка]]</f>
        <v>Первый</v>
      </c>
      <c r="AB2002">
        <v>603</v>
      </c>
      <c r="AD2002" s="460" t="s">
        <v>3118</v>
      </c>
      <c r="AE2002" t="s">
        <v>901</v>
      </c>
      <c r="AF2002" t="s">
        <v>53</v>
      </c>
    </row>
    <row r="2003" spans="1:32" ht="33.75" x14ac:dyDescent="0.25">
      <c r="A2003" s="40" t="s">
        <v>3934</v>
      </c>
      <c r="B2003" s="360" t="s">
        <v>3230</v>
      </c>
      <c r="C2003" s="40">
        <v>835</v>
      </c>
      <c r="D2003" s="40">
        <v>113</v>
      </c>
      <c r="E2003" s="40" t="s">
        <v>3625</v>
      </c>
      <c r="F2003" s="40" t="s">
        <v>3838</v>
      </c>
      <c r="G2003" s="40" t="s">
        <v>270</v>
      </c>
      <c r="H2003" s="40" t="s">
        <v>3123</v>
      </c>
      <c r="I2003" s="40" t="str">
        <f>VLOOKUP(Таблица18[[#This Row],[Номер акта]],$AB$1:$AF$2504,3,FALSE)</f>
        <v>3.6 Колос</v>
      </c>
      <c r="J2003" s="40" t="s">
        <v>897</v>
      </c>
      <c r="K2003" s="40" t="s">
        <v>3645</v>
      </c>
      <c r="L2003" s="121">
        <v>27770</v>
      </c>
      <c r="M2003" s="121">
        <v>14840</v>
      </c>
      <c r="N2003" s="121">
        <v>5</v>
      </c>
      <c r="O2003" s="363">
        <v>12930</v>
      </c>
      <c r="P2003" s="363">
        <v>12283.5</v>
      </c>
      <c r="Q2003" s="121">
        <v>2026</v>
      </c>
      <c r="R2003" s="121">
        <v>694</v>
      </c>
      <c r="S2003" s="148">
        <v>46208</v>
      </c>
      <c r="T2003" s="363">
        <f>Таблица18[[#This Row],[Вес нетто]]-Таблица18[[#This Row],[Зачетный вес]]</f>
        <v>646.5</v>
      </c>
      <c r="U2003" s="392">
        <f>Таблица18[[#This Row],[Отход]]/Таблица18[[#This Row],[Вес нетто]]</f>
        <v>0.05</v>
      </c>
      <c r="V2003" s="121">
        <f>MONTH(Таблица18[[#This Row],[Дата акта]])</f>
        <v>7</v>
      </c>
      <c r="W2003" s="121">
        <f>DAY(Таблица18[[#This Row],[Дата акта]])</f>
        <v>5</v>
      </c>
      <c r="X2003" s="148">
        <f>DATE(1900,Таблица18[[#This Row],[Месяц]],Таблица18[[#This Row],[Число]])</f>
        <v>187</v>
      </c>
      <c r="Y2003" s="121"/>
      <c r="Z2003" s="121" t="str">
        <f>Таблица18[[#This Row],[Хар-ка]]</f>
        <v>Первый</v>
      </c>
      <c r="AB2003">
        <v>610</v>
      </c>
      <c r="AD2003" s="460" t="s">
        <v>3092</v>
      </c>
      <c r="AE2003" t="s">
        <v>901</v>
      </c>
      <c r="AF2003" t="s">
        <v>2932</v>
      </c>
    </row>
    <row r="2004" spans="1:32" ht="33.75" x14ac:dyDescent="0.25">
      <c r="A2004" s="40" t="s">
        <v>3948</v>
      </c>
      <c r="B2004" s="360" t="s">
        <v>3230</v>
      </c>
      <c r="C2004" s="40">
        <v>836</v>
      </c>
      <c r="D2004" s="40">
        <v>440</v>
      </c>
      <c r="E2004" s="40" t="s">
        <v>2964</v>
      </c>
      <c r="F2004" s="40" t="s">
        <v>1312</v>
      </c>
      <c r="G2004" s="40" t="s">
        <v>320</v>
      </c>
      <c r="H2004" s="40" t="s">
        <v>3108</v>
      </c>
      <c r="I2004" s="40" t="str">
        <f>VLOOKUP(Таблица18[[#This Row],[Номер акта]],$AB$1:$AF$2504,3,FALSE)</f>
        <v>А-108/7</v>
      </c>
      <c r="J2004" s="40" t="s">
        <v>900</v>
      </c>
      <c r="K2004" s="40" t="s">
        <v>3375</v>
      </c>
      <c r="L2004" s="121">
        <v>27790</v>
      </c>
      <c r="M2004" s="121">
        <v>14540</v>
      </c>
      <c r="N2004" s="121">
        <v>9</v>
      </c>
      <c r="O2004" s="363">
        <v>13250</v>
      </c>
      <c r="P2004" s="363">
        <v>12057.5</v>
      </c>
      <c r="Q2004" s="121">
        <v>2026</v>
      </c>
      <c r="R2004" s="121">
        <v>695</v>
      </c>
      <c r="S2004" s="148">
        <v>46208</v>
      </c>
      <c r="T2004" s="363">
        <f>Таблица18[[#This Row],[Вес нетто]]-Таблица18[[#This Row],[Зачетный вес]]</f>
        <v>1192.5</v>
      </c>
      <c r="U2004" s="392">
        <f>Таблица18[[#This Row],[Отход]]/Таблица18[[#This Row],[Вес нетто]]</f>
        <v>0.09</v>
      </c>
      <c r="V2004" s="121">
        <f>MONTH(Таблица18[[#This Row],[Дата акта]])</f>
        <v>7</v>
      </c>
      <c r="W2004" s="121">
        <f>DAY(Таблица18[[#This Row],[Дата акта]])</f>
        <v>5</v>
      </c>
      <c r="X2004" s="148">
        <f>DATE(1900,Таблица18[[#This Row],[Месяц]],Таблица18[[#This Row],[Число]])</f>
        <v>187</v>
      </c>
      <c r="Y2004" s="121"/>
      <c r="Z2004" s="121" t="str">
        <f>Таблица18[[#This Row],[Хар-ка]]</f>
        <v>Первый</v>
      </c>
      <c r="AB2004">
        <v>614</v>
      </c>
      <c r="AD2004" s="460" t="s">
        <v>3108</v>
      </c>
      <c r="AE2004" t="s">
        <v>900</v>
      </c>
      <c r="AF2004" t="s">
        <v>2932</v>
      </c>
    </row>
    <row r="2005" spans="1:32" ht="22.5" x14ac:dyDescent="0.25">
      <c r="A2005" s="40" t="s">
        <v>3928</v>
      </c>
      <c r="B2005" s="360" t="s">
        <v>3230</v>
      </c>
      <c r="C2005" s="40">
        <v>837</v>
      </c>
      <c r="D2005" s="40">
        <v>114</v>
      </c>
      <c r="E2005" s="40" t="s">
        <v>3625</v>
      </c>
      <c r="F2005" s="40" t="s">
        <v>347</v>
      </c>
      <c r="G2005" s="40" t="s">
        <v>351</v>
      </c>
      <c r="H2005" s="40" t="s">
        <v>3123</v>
      </c>
      <c r="I2005" s="40" t="str">
        <f>VLOOKUP(Таблица18[[#This Row],[Номер акта]],$AB$1:$AF$2504,3,FALSE)</f>
        <v>3.6 Колос</v>
      </c>
      <c r="J2005" s="40" t="s">
        <v>897</v>
      </c>
      <c r="K2005" s="40" t="s">
        <v>3645</v>
      </c>
      <c r="L2005" s="121">
        <v>29190</v>
      </c>
      <c r="M2005" s="121">
        <v>15820</v>
      </c>
      <c r="N2005" s="121">
        <v>7</v>
      </c>
      <c r="O2005" s="363">
        <v>13370</v>
      </c>
      <c r="P2005" s="363">
        <v>12434.1</v>
      </c>
      <c r="Q2005" s="121">
        <v>2026</v>
      </c>
      <c r="R2005" s="121">
        <v>697</v>
      </c>
      <c r="S2005" s="148">
        <v>46208</v>
      </c>
      <c r="T2005" s="363">
        <f>Таблица18[[#This Row],[Вес нетто]]-Таблица18[[#This Row],[Зачетный вес]]</f>
        <v>935.89999999999964</v>
      </c>
      <c r="U2005" s="392">
        <f>Таблица18[[#This Row],[Отход]]/Таблица18[[#This Row],[Вес нетто]]</f>
        <v>6.9999999999999979E-2</v>
      </c>
      <c r="V2005" s="121">
        <f>MONTH(Таблица18[[#This Row],[Дата акта]])</f>
        <v>7</v>
      </c>
      <c r="W2005" s="121">
        <f>DAY(Таблица18[[#This Row],[Дата акта]])</f>
        <v>5</v>
      </c>
      <c r="X2005" s="148">
        <f>DATE(1900,Таблица18[[#This Row],[Месяц]],Таблица18[[#This Row],[Число]])</f>
        <v>187</v>
      </c>
      <c r="Y2005" s="121"/>
      <c r="Z2005" s="121" t="str">
        <f>Таблица18[[#This Row],[Хар-ка]]</f>
        <v>Первый</v>
      </c>
      <c r="AB2005">
        <v>609</v>
      </c>
      <c r="AD2005" s="460" t="s">
        <v>3118</v>
      </c>
      <c r="AE2005" t="s">
        <v>901</v>
      </c>
      <c r="AF2005" t="s">
        <v>53</v>
      </c>
    </row>
    <row r="2006" spans="1:32" ht="33.75" x14ac:dyDescent="0.25">
      <c r="A2006" s="40" t="s">
        <v>3951</v>
      </c>
      <c r="B2006" s="360" t="s">
        <v>3230</v>
      </c>
      <c r="C2006" s="40">
        <v>838</v>
      </c>
      <c r="D2006" s="40">
        <v>441</v>
      </c>
      <c r="E2006" s="40" t="s">
        <v>2964</v>
      </c>
      <c r="F2006" s="40" t="s">
        <v>762</v>
      </c>
      <c r="G2006" s="40" t="s">
        <v>763</v>
      </c>
      <c r="H2006" s="40" t="s">
        <v>3108</v>
      </c>
      <c r="I2006" s="40" t="str">
        <f>VLOOKUP(Таблица18[[#This Row],[Номер акта]],$AB$1:$AF$2504,3,FALSE)</f>
        <v>А-108/7</v>
      </c>
      <c r="J2006" s="40" t="s">
        <v>900</v>
      </c>
      <c r="K2006" s="40" t="s">
        <v>3375</v>
      </c>
      <c r="L2006" s="121">
        <v>9040</v>
      </c>
      <c r="M2006" s="121">
        <v>4650</v>
      </c>
      <c r="N2006" s="121">
        <v>11</v>
      </c>
      <c r="O2006" s="363">
        <v>4390</v>
      </c>
      <c r="P2006" s="363">
        <v>3907.1</v>
      </c>
      <c r="Q2006" s="121">
        <v>2026</v>
      </c>
      <c r="R2006" s="121">
        <v>696</v>
      </c>
      <c r="S2006" s="148">
        <v>46208</v>
      </c>
      <c r="T2006" s="363">
        <f>Таблица18[[#This Row],[Вес нетто]]-Таблица18[[#This Row],[Зачетный вес]]</f>
        <v>482.90000000000009</v>
      </c>
      <c r="U2006" s="392">
        <f>Таблица18[[#This Row],[Отход]]/Таблица18[[#This Row],[Вес нетто]]</f>
        <v>0.11000000000000001</v>
      </c>
      <c r="V2006" s="121">
        <f>MONTH(Таблица18[[#This Row],[Дата акта]])</f>
        <v>7</v>
      </c>
      <c r="W2006" s="121">
        <f>DAY(Таблица18[[#This Row],[Дата акта]])</f>
        <v>5</v>
      </c>
      <c r="X2006" s="148">
        <f>DATE(1900,Таблица18[[#This Row],[Месяц]],Таблица18[[#This Row],[Число]])</f>
        <v>187</v>
      </c>
      <c r="Y2006" s="121"/>
      <c r="Z2006" s="121" t="str">
        <f>Таблица18[[#This Row],[Хар-ка]]</f>
        <v>Первый</v>
      </c>
      <c r="AB2006">
        <v>612</v>
      </c>
      <c r="AD2006" s="460" t="s">
        <v>3118</v>
      </c>
      <c r="AE2006" t="s">
        <v>901</v>
      </c>
      <c r="AF2006" t="s">
        <v>53</v>
      </c>
    </row>
    <row r="2007" spans="1:32" ht="22.5" x14ac:dyDescent="0.25">
      <c r="A2007" s="40" t="s">
        <v>3949</v>
      </c>
      <c r="B2007" s="360" t="s">
        <v>3230</v>
      </c>
      <c r="C2007" s="40">
        <v>839</v>
      </c>
      <c r="D2007" s="40">
        <v>442</v>
      </c>
      <c r="E2007" s="40" t="s">
        <v>2964</v>
      </c>
      <c r="F2007" s="40" t="s">
        <v>894</v>
      </c>
      <c r="G2007" s="40" t="s">
        <v>895</v>
      </c>
      <c r="H2007" s="40" t="s">
        <v>3108</v>
      </c>
      <c r="I2007" s="40" t="str">
        <f>VLOOKUP(Таблица18[[#This Row],[Номер акта]],$AB$1:$AF$2504,3,FALSE)</f>
        <v>А-108/7</v>
      </c>
      <c r="J2007" s="40" t="s">
        <v>900</v>
      </c>
      <c r="K2007" s="40" t="s">
        <v>3375</v>
      </c>
      <c r="L2007" s="121">
        <v>28080</v>
      </c>
      <c r="M2007" s="121">
        <v>14950</v>
      </c>
      <c r="N2007" s="121">
        <v>8</v>
      </c>
      <c r="O2007" s="363">
        <v>13130</v>
      </c>
      <c r="P2007" s="363">
        <v>12079.6</v>
      </c>
      <c r="Q2007" s="121">
        <v>2026</v>
      </c>
      <c r="R2007" s="121">
        <v>699</v>
      </c>
      <c r="S2007" s="148">
        <v>46209</v>
      </c>
      <c r="T2007" s="363">
        <f>Таблица18[[#This Row],[Вес нетто]]-Таблица18[[#This Row],[Зачетный вес]]</f>
        <v>1050.3999999999996</v>
      </c>
      <c r="U2007" s="392">
        <f>Таблица18[[#This Row],[Отход]]/Таблица18[[#This Row],[Вес нетто]]</f>
        <v>7.9999999999999974E-2</v>
      </c>
      <c r="V2007" s="121">
        <f>MONTH(Таблица18[[#This Row],[Дата акта]])</f>
        <v>7</v>
      </c>
      <c r="W2007" s="121">
        <f>DAY(Таблица18[[#This Row],[Дата акта]])</f>
        <v>6</v>
      </c>
      <c r="X2007" s="148">
        <f>DATE(1900,Таблица18[[#This Row],[Месяц]],Таблица18[[#This Row],[Число]])</f>
        <v>188</v>
      </c>
      <c r="Y2007" s="121"/>
      <c r="Z2007" s="121" t="str">
        <f>Таблица18[[#This Row],[Хар-ка]]</f>
        <v>Первый</v>
      </c>
      <c r="AB2007">
        <v>616</v>
      </c>
      <c r="AD2007" s="460" t="s">
        <v>3108</v>
      </c>
      <c r="AE2007" t="s">
        <v>900</v>
      </c>
      <c r="AF2007" t="s">
        <v>2932</v>
      </c>
    </row>
    <row r="2008" spans="1:32" ht="22.5" x14ac:dyDescent="0.25">
      <c r="A2008" s="40" t="s">
        <v>3930</v>
      </c>
      <c r="B2008" s="360" t="s">
        <v>3230</v>
      </c>
      <c r="C2008" s="40">
        <v>840</v>
      </c>
      <c r="D2008" s="40">
        <v>115</v>
      </c>
      <c r="E2008" s="40" t="s">
        <v>3625</v>
      </c>
      <c r="F2008" s="40" t="s">
        <v>3377</v>
      </c>
      <c r="G2008" s="40" t="s">
        <v>3196</v>
      </c>
      <c r="H2008" s="40" t="s">
        <v>3123</v>
      </c>
      <c r="I2008" s="40" t="str">
        <f>VLOOKUP(Таблица18[[#This Row],[Номер акта]],$AB$1:$AF$2504,3,FALSE)</f>
        <v>3.6 Колос</v>
      </c>
      <c r="J2008" s="40" t="s">
        <v>897</v>
      </c>
      <c r="K2008" s="40" t="s">
        <v>3645</v>
      </c>
      <c r="L2008" s="121">
        <v>27650</v>
      </c>
      <c r="M2008" s="121">
        <v>14310</v>
      </c>
      <c r="N2008" s="121">
        <v>6</v>
      </c>
      <c r="O2008" s="363">
        <v>13340</v>
      </c>
      <c r="P2008" s="363">
        <v>12539.6</v>
      </c>
      <c r="Q2008" s="121">
        <v>2026</v>
      </c>
      <c r="R2008" s="121">
        <v>698</v>
      </c>
      <c r="S2008" s="148">
        <v>46209</v>
      </c>
      <c r="T2008" s="363">
        <f>Таблица18[[#This Row],[Вес нетто]]-Таблица18[[#This Row],[Зачетный вес]]</f>
        <v>800.39999999999964</v>
      </c>
      <c r="U2008" s="392">
        <f>Таблица18[[#This Row],[Отход]]/Таблица18[[#This Row],[Вес нетто]]</f>
        <v>5.999999999999997E-2</v>
      </c>
      <c r="V2008" s="121">
        <f>MONTH(Таблица18[[#This Row],[Дата акта]])</f>
        <v>7</v>
      </c>
      <c r="W2008" s="121">
        <f>DAY(Таблица18[[#This Row],[Дата акта]])</f>
        <v>6</v>
      </c>
      <c r="X2008" s="148">
        <f>DATE(1900,Таблица18[[#This Row],[Месяц]],Таблица18[[#This Row],[Число]])</f>
        <v>188</v>
      </c>
      <c r="Y2008" s="121"/>
      <c r="Z2008" s="121" t="str">
        <f>Таблица18[[#This Row],[Хар-ка]]</f>
        <v>Первый</v>
      </c>
      <c r="AB2008">
        <v>613</v>
      </c>
      <c r="AD2008" s="460" t="s">
        <v>3118</v>
      </c>
      <c r="AE2008" t="s">
        <v>901</v>
      </c>
      <c r="AF2008" t="s">
        <v>53</v>
      </c>
    </row>
    <row r="2009" spans="1:32" ht="33.75" x14ac:dyDescent="0.25">
      <c r="A2009" s="40" t="s">
        <v>3935</v>
      </c>
      <c r="B2009" s="360" t="s">
        <v>3230</v>
      </c>
      <c r="C2009" s="40">
        <v>841</v>
      </c>
      <c r="D2009" s="40">
        <v>116</v>
      </c>
      <c r="E2009" s="40" t="s">
        <v>3625</v>
      </c>
      <c r="F2009" s="40" t="s">
        <v>3853</v>
      </c>
      <c r="G2009" s="40" t="s">
        <v>3854</v>
      </c>
      <c r="H2009" s="40" t="s">
        <v>3123</v>
      </c>
      <c r="I2009" s="40" t="str">
        <f>VLOOKUP(Таблица18[[#This Row],[Номер акта]],$AB$1:$AF$2504,3,FALSE)</f>
        <v>3.6 Колос</v>
      </c>
      <c r="J2009" s="40" t="s">
        <v>897</v>
      </c>
      <c r="K2009" s="40" t="s">
        <v>3645</v>
      </c>
      <c r="L2009" s="121">
        <v>28090</v>
      </c>
      <c r="M2009" s="121">
        <v>14870</v>
      </c>
      <c r="N2009" s="121">
        <v>8</v>
      </c>
      <c r="O2009" s="363">
        <v>13220</v>
      </c>
      <c r="P2009" s="363">
        <v>12162.4</v>
      </c>
      <c r="Q2009" s="121">
        <v>2026</v>
      </c>
      <c r="R2009" s="121">
        <v>700</v>
      </c>
      <c r="S2009" s="148">
        <v>46209</v>
      </c>
      <c r="T2009" s="363">
        <f>Таблица18[[#This Row],[Вес нетто]]-Таблица18[[#This Row],[Зачетный вес]]</f>
        <v>1057.6000000000004</v>
      </c>
      <c r="U2009" s="392">
        <f>Таблица18[[#This Row],[Отход]]/Таблица18[[#This Row],[Вес нетто]]</f>
        <v>8.0000000000000029E-2</v>
      </c>
      <c r="V2009" s="121">
        <f>MONTH(Таблица18[[#This Row],[Дата акта]])</f>
        <v>7</v>
      </c>
      <c r="W2009" s="121">
        <f>DAY(Таблица18[[#This Row],[Дата акта]])</f>
        <v>6</v>
      </c>
      <c r="X2009" s="148">
        <f>DATE(1900,Таблица18[[#This Row],[Месяц]],Таблица18[[#This Row],[Число]])</f>
        <v>188</v>
      </c>
      <c r="Y2009" s="121"/>
      <c r="Z2009" s="121" t="str">
        <f>Таблица18[[#This Row],[Хар-ка]]</f>
        <v>Первый</v>
      </c>
      <c r="AB2009">
        <v>619</v>
      </c>
      <c r="AD2009" s="460" t="s">
        <v>3110</v>
      </c>
      <c r="AE2009" t="s">
        <v>901</v>
      </c>
      <c r="AF2009" t="s">
        <v>2932</v>
      </c>
    </row>
    <row r="2010" spans="1:32" ht="33.75" x14ac:dyDescent="0.25">
      <c r="A2010" s="40" t="s">
        <v>3953</v>
      </c>
      <c r="B2010" s="360" t="s">
        <v>3230</v>
      </c>
      <c r="C2010" s="40">
        <v>842</v>
      </c>
      <c r="D2010" s="40">
        <v>443</v>
      </c>
      <c r="E2010" s="40" t="s">
        <v>2964</v>
      </c>
      <c r="F2010" s="40" t="s">
        <v>1312</v>
      </c>
      <c r="G2010" s="40" t="s">
        <v>320</v>
      </c>
      <c r="H2010" s="40" t="s">
        <v>3108</v>
      </c>
      <c r="I2010" s="40" t="e">
        <f>VLOOKUP(Таблица18[[#This Row],[Номер акта]],$AB$1:$AF$2504,3,FALSE)</f>
        <v>#N/A</v>
      </c>
      <c r="J2010" s="40" t="s">
        <v>900</v>
      </c>
      <c r="K2010" s="40" t="s">
        <v>3375</v>
      </c>
      <c r="L2010" s="121">
        <v>27740</v>
      </c>
      <c r="M2010" s="121">
        <v>14560</v>
      </c>
      <c r="N2010" s="121">
        <v>6</v>
      </c>
      <c r="O2010" s="363">
        <v>13180</v>
      </c>
      <c r="P2010" s="363">
        <v>12389.2</v>
      </c>
      <c r="Q2010" s="121">
        <v>2026</v>
      </c>
      <c r="R2010" s="121">
        <v>705</v>
      </c>
      <c r="S2010" s="148">
        <v>46209</v>
      </c>
      <c r="T2010" s="363">
        <f>Таблица18[[#This Row],[Вес нетто]]-Таблица18[[#This Row],[Зачетный вес]]</f>
        <v>790.79999999999927</v>
      </c>
      <c r="U2010" s="392">
        <f>Таблица18[[#This Row],[Отход]]/Таблица18[[#This Row],[Вес нетто]]</f>
        <v>5.9999999999999942E-2</v>
      </c>
      <c r="V2010" s="121">
        <f>MONTH(Таблица18[[#This Row],[Дата акта]])</f>
        <v>7</v>
      </c>
      <c r="W2010" s="121">
        <f>DAY(Таблица18[[#This Row],[Дата акта]])</f>
        <v>6</v>
      </c>
      <c r="X2010" s="148">
        <f>DATE(1900,Таблица18[[#This Row],[Месяц]],Таблица18[[#This Row],[Число]])</f>
        <v>188</v>
      </c>
      <c r="Y2010" s="121"/>
      <c r="Z2010" s="121" t="str">
        <f>Таблица18[[#This Row],[Хар-ка]]</f>
        <v>Первый</v>
      </c>
      <c r="AB2010">
        <v>618</v>
      </c>
      <c r="AD2010" s="460" t="s">
        <v>3108</v>
      </c>
      <c r="AE2010" t="s">
        <v>900</v>
      </c>
      <c r="AF2010" t="s">
        <v>2932</v>
      </c>
    </row>
    <row r="2011" spans="1:32" ht="33.75" x14ac:dyDescent="0.25">
      <c r="A2011" s="40" t="s">
        <v>3929</v>
      </c>
      <c r="B2011" s="360" t="s">
        <v>3230</v>
      </c>
      <c r="C2011" s="40">
        <v>843</v>
      </c>
      <c r="D2011" s="40">
        <v>117</v>
      </c>
      <c r="E2011" s="40" t="s">
        <v>3625</v>
      </c>
      <c r="F2011" s="40" t="s">
        <v>239</v>
      </c>
      <c r="G2011" s="40" t="s">
        <v>243</v>
      </c>
      <c r="H2011" s="40" t="s">
        <v>3123</v>
      </c>
      <c r="I2011" s="40" t="str">
        <f>VLOOKUP(Таблица18[[#This Row],[Номер акта]],$AB$1:$AF$2504,3,FALSE)</f>
        <v>3.6 Колос</v>
      </c>
      <c r="J2011" s="40" t="s">
        <v>897</v>
      </c>
      <c r="K2011" s="40" t="s">
        <v>3645</v>
      </c>
      <c r="L2011" s="121">
        <v>29930</v>
      </c>
      <c r="M2011" s="121">
        <v>14490</v>
      </c>
      <c r="N2011" s="121">
        <v>6</v>
      </c>
      <c r="O2011" s="363">
        <v>15440</v>
      </c>
      <c r="P2011" s="363">
        <v>14513.6</v>
      </c>
      <c r="Q2011" s="121">
        <v>2026</v>
      </c>
      <c r="R2011" s="121">
        <v>701</v>
      </c>
      <c r="S2011" s="148">
        <v>46209</v>
      </c>
      <c r="T2011" s="363">
        <f>Таблица18[[#This Row],[Вес нетто]]-Таблица18[[#This Row],[Зачетный вес]]</f>
        <v>926.39999999999964</v>
      </c>
      <c r="U2011" s="392">
        <f>Таблица18[[#This Row],[Отход]]/Таблица18[[#This Row],[Вес нетто]]</f>
        <v>5.9999999999999977E-2</v>
      </c>
      <c r="V2011" s="121">
        <f>MONTH(Таблица18[[#This Row],[Дата акта]])</f>
        <v>7</v>
      </c>
      <c r="W2011" s="121">
        <f>DAY(Таблица18[[#This Row],[Дата акта]])</f>
        <v>6</v>
      </c>
      <c r="X2011" s="148">
        <f>DATE(1900,Таблица18[[#This Row],[Месяц]],Таблица18[[#This Row],[Число]])</f>
        <v>188</v>
      </c>
      <c r="Y2011" s="121"/>
      <c r="Z2011" s="121" t="str">
        <f>Таблица18[[#This Row],[Хар-ка]]</f>
        <v>Первый</v>
      </c>
      <c r="AB2011">
        <v>615</v>
      </c>
      <c r="AD2011" s="460" t="s">
        <v>3118</v>
      </c>
      <c r="AE2011" t="s">
        <v>901</v>
      </c>
      <c r="AF2011" t="s">
        <v>53</v>
      </c>
    </row>
    <row r="2012" spans="1:32" ht="33.75" x14ac:dyDescent="0.25">
      <c r="A2012" s="40" t="s">
        <v>3958</v>
      </c>
      <c r="B2012" s="360" t="s">
        <v>3230</v>
      </c>
      <c r="C2012" s="40">
        <v>844</v>
      </c>
      <c r="D2012" s="40">
        <v>444</v>
      </c>
      <c r="E2012" s="40" t="s">
        <v>2964</v>
      </c>
      <c r="F2012" s="40" t="s">
        <v>737</v>
      </c>
      <c r="G2012" s="40" t="s">
        <v>738</v>
      </c>
      <c r="H2012" s="40" t="s">
        <v>3108</v>
      </c>
      <c r="I2012" s="40" t="e">
        <f>VLOOKUP(Таблица18[[#This Row],[Номер акта]],$AB$1:$AF$2504,3,FALSE)</f>
        <v>#N/A</v>
      </c>
      <c r="J2012" s="40" t="s">
        <v>900</v>
      </c>
      <c r="K2012" s="40" t="s">
        <v>3375</v>
      </c>
      <c r="L2012" s="121">
        <v>8940</v>
      </c>
      <c r="M2012" s="121">
        <v>4620</v>
      </c>
      <c r="N2012" s="121">
        <v>6.5</v>
      </c>
      <c r="O2012" s="363">
        <v>4320</v>
      </c>
      <c r="P2012" s="363">
        <v>4039.2</v>
      </c>
      <c r="Q2012" s="121">
        <v>2026</v>
      </c>
      <c r="R2012" s="121">
        <v>702</v>
      </c>
      <c r="S2012" s="148">
        <v>46209</v>
      </c>
      <c r="T2012" s="363">
        <f>Таблица18[[#This Row],[Вес нетто]]-Таблица18[[#This Row],[Зачетный вес]]</f>
        <v>280.80000000000018</v>
      </c>
      <c r="U2012" s="392">
        <f>Таблица18[[#This Row],[Отход]]/Таблица18[[#This Row],[Вес нетто]]</f>
        <v>6.5000000000000044E-2</v>
      </c>
      <c r="V2012" s="121">
        <f>MONTH(Таблица18[[#This Row],[Дата акта]])</f>
        <v>7</v>
      </c>
      <c r="W2012" s="121">
        <f>DAY(Таблица18[[#This Row],[Дата акта]])</f>
        <v>6</v>
      </c>
      <c r="X2012" s="148">
        <f>DATE(1900,Таблица18[[#This Row],[Месяц]],Таблица18[[#This Row],[Число]])</f>
        <v>188</v>
      </c>
      <c r="Y2012" s="121"/>
      <c r="Z2012" s="121" t="str">
        <f>Таблица18[[#This Row],[Хар-ка]]</f>
        <v>Первый</v>
      </c>
      <c r="AB2012">
        <v>617</v>
      </c>
      <c r="AD2012" s="460" t="s">
        <v>3118</v>
      </c>
      <c r="AE2012" t="s">
        <v>901</v>
      </c>
      <c r="AF2012" t="s">
        <v>53</v>
      </c>
    </row>
    <row r="2013" spans="1:32" ht="33.75" x14ac:dyDescent="0.25">
      <c r="A2013" s="40" t="s">
        <v>3841</v>
      </c>
      <c r="B2013" s="360" t="s">
        <v>2940</v>
      </c>
      <c r="C2013" s="40">
        <v>744</v>
      </c>
      <c r="D2013" s="40">
        <v>80</v>
      </c>
      <c r="E2013" s="40" t="s">
        <v>3625</v>
      </c>
      <c r="F2013" s="40" t="s">
        <v>1312</v>
      </c>
      <c r="G2013" s="40" t="s">
        <v>320</v>
      </c>
      <c r="H2013" s="40" t="s">
        <v>3118</v>
      </c>
      <c r="I2013" s="40" t="str">
        <f>VLOOKUP(Таблица18[[#This Row],[Номер акта]],$AB$1:$AF$2504,3,FALSE)</f>
        <v>1.6 Колос</v>
      </c>
      <c r="J2013" s="40" t="s">
        <v>901</v>
      </c>
      <c r="K2013" s="40" t="s">
        <v>3645</v>
      </c>
      <c r="L2013" s="121">
        <v>25670</v>
      </c>
      <c r="M2013" s="121">
        <v>14520</v>
      </c>
      <c r="N2013" s="121">
        <v>12</v>
      </c>
      <c r="O2013" s="363">
        <v>11150</v>
      </c>
      <c r="P2013" s="363">
        <v>9812</v>
      </c>
      <c r="Q2013" s="121">
        <v>2026</v>
      </c>
      <c r="R2013" s="121">
        <v>603</v>
      </c>
      <c r="S2013" s="148">
        <v>46205</v>
      </c>
      <c r="T2013" s="363">
        <f>Таблица18[[#This Row],[Вес нетто]]-Таблица18[[#This Row],[Зачетный вес]]</f>
        <v>1338</v>
      </c>
      <c r="U2013" s="392">
        <f>Таблица18[[#This Row],[Отход]]/Таблица18[[#This Row],[Вес нетто]]</f>
        <v>0.12</v>
      </c>
      <c r="V2013" s="121">
        <f>MONTH(Таблица18[[#This Row],[Дата акта]])</f>
        <v>7</v>
      </c>
      <c r="W2013" s="121">
        <f>DAY(Таблица18[[#This Row],[Дата акта]])</f>
        <v>2</v>
      </c>
      <c r="X2013" s="148">
        <f>DATE(1900,Таблица18[[#This Row],[Месяц]],Таблица18[[#This Row],[Число]])</f>
        <v>184</v>
      </c>
      <c r="Y2013" s="121"/>
      <c r="Z2013" s="121" t="str">
        <f>Таблица18[[#This Row],[Хар-ка]]</f>
        <v>Высший</v>
      </c>
      <c r="AB2013">
        <v>621</v>
      </c>
      <c r="AD2013" s="460" t="s">
        <v>3110</v>
      </c>
      <c r="AE2013" t="s">
        <v>901</v>
      </c>
      <c r="AF2013" t="s">
        <v>2932</v>
      </c>
    </row>
    <row r="2014" spans="1:32" ht="33.75" x14ac:dyDescent="0.25">
      <c r="A2014" s="40" t="s">
        <v>3852</v>
      </c>
      <c r="B2014" s="360" t="s">
        <v>2940</v>
      </c>
      <c r="C2014" s="40">
        <v>745</v>
      </c>
      <c r="D2014" s="40">
        <v>394</v>
      </c>
      <c r="E2014" s="40" t="s">
        <v>2964</v>
      </c>
      <c r="F2014" s="40" t="s">
        <v>311</v>
      </c>
      <c r="G2014" s="40" t="s">
        <v>315</v>
      </c>
      <c r="H2014" s="40" t="s">
        <v>3092</v>
      </c>
      <c r="I2014" s="40" t="str">
        <f>VLOOKUP(Таблица18[[#This Row],[Номер акта]],$AB$1:$AF$2504,3,FALSE)</f>
        <v>А-104/1</v>
      </c>
      <c r="J2014" s="40" t="s">
        <v>901</v>
      </c>
      <c r="K2014" s="40" t="s">
        <v>3375</v>
      </c>
      <c r="L2014" s="121">
        <v>27840</v>
      </c>
      <c r="M2014" s="121">
        <v>15170</v>
      </c>
      <c r="N2014" s="121">
        <v>14.5</v>
      </c>
      <c r="O2014" s="363">
        <v>12670</v>
      </c>
      <c r="P2014" s="363">
        <v>10832.9</v>
      </c>
      <c r="Q2014" s="121">
        <v>2026</v>
      </c>
      <c r="R2014" s="121">
        <v>604</v>
      </c>
      <c r="S2014" s="148">
        <v>46205</v>
      </c>
      <c r="T2014" s="363">
        <f>Таблица18[[#This Row],[Вес нетто]]-Таблица18[[#This Row],[Зачетный вес]]</f>
        <v>1837.1000000000004</v>
      </c>
      <c r="U2014" s="392">
        <f>Таблица18[[#This Row],[Отход]]/Таблица18[[#This Row],[Вес нетто]]</f>
        <v>0.14499605367008686</v>
      </c>
      <c r="V2014" s="121">
        <f>MONTH(Таблица18[[#This Row],[Дата акта]])</f>
        <v>7</v>
      </c>
      <c r="W2014" s="121">
        <f>DAY(Таблица18[[#This Row],[Дата акта]])</f>
        <v>2</v>
      </c>
      <c r="X2014" s="148">
        <f>DATE(1900,Таблица18[[#This Row],[Месяц]],Таблица18[[#This Row],[Число]])</f>
        <v>184</v>
      </c>
      <c r="Y2014" s="121"/>
      <c r="Z2014" s="121" t="str">
        <f>Таблица18[[#This Row],[Хар-ка]]</f>
        <v>Высший</v>
      </c>
      <c r="AB2014">
        <v>622</v>
      </c>
      <c r="AD2014" s="460" t="s">
        <v>3119</v>
      </c>
      <c r="AE2014" t="s">
        <v>901</v>
      </c>
      <c r="AF2014" t="s">
        <v>53</v>
      </c>
    </row>
    <row r="2015" spans="1:32" ht="33.75" x14ac:dyDescent="0.25">
      <c r="A2015" s="40" t="s">
        <v>3850</v>
      </c>
      <c r="B2015" s="360" t="s">
        <v>2940</v>
      </c>
      <c r="C2015" s="40">
        <v>747</v>
      </c>
      <c r="D2015" s="40">
        <v>395</v>
      </c>
      <c r="E2015" s="40" t="s">
        <v>2964</v>
      </c>
      <c r="F2015" s="40" t="s">
        <v>239</v>
      </c>
      <c r="G2015" s="40" t="s">
        <v>243</v>
      </c>
      <c r="H2015" s="40" t="s">
        <v>3092</v>
      </c>
      <c r="I2015" s="40" t="str">
        <f>VLOOKUP(Таблица18[[#This Row],[Номер акта]],$AB$1:$AF$2504,3,FALSE)</f>
        <v>А-104/1</v>
      </c>
      <c r="J2015" s="40" t="s">
        <v>901</v>
      </c>
      <c r="K2015" s="40" t="s">
        <v>3375</v>
      </c>
      <c r="L2015" s="121">
        <v>28060</v>
      </c>
      <c r="M2015" s="121">
        <v>14560</v>
      </c>
      <c r="N2015" s="121">
        <v>24.5</v>
      </c>
      <c r="O2015" s="363">
        <v>13500</v>
      </c>
      <c r="P2015" s="363">
        <v>10192.5</v>
      </c>
      <c r="Q2015" s="121">
        <v>2026</v>
      </c>
      <c r="R2015" s="121">
        <v>605</v>
      </c>
      <c r="S2015" s="148">
        <v>46205</v>
      </c>
      <c r="T2015" s="363">
        <f>Таблица18[[#This Row],[Вес нетто]]-Таблица18[[#This Row],[Зачетный вес]]</f>
        <v>3307.5</v>
      </c>
      <c r="U2015" s="392">
        <f>Таблица18[[#This Row],[Отход]]/Таблица18[[#This Row],[Вес нетто]]</f>
        <v>0.245</v>
      </c>
      <c r="V2015" s="121">
        <f>MONTH(Таблица18[[#This Row],[Дата акта]])</f>
        <v>7</v>
      </c>
      <c r="W2015" s="121">
        <f>DAY(Таблица18[[#This Row],[Дата акта]])</f>
        <v>2</v>
      </c>
      <c r="X2015" s="148">
        <f>DATE(1900,Таблица18[[#This Row],[Месяц]],Таблица18[[#This Row],[Число]])</f>
        <v>184</v>
      </c>
      <c r="Y2015" s="121"/>
      <c r="Z2015" s="121" t="str">
        <f>Таблица18[[#This Row],[Хар-ка]]</f>
        <v>Высший</v>
      </c>
      <c r="AB2015">
        <v>623</v>
      </c>
      <c r="AD2015" s="460" t="s">
        <v>3110</v>
      </c>
      <c r="AE2015" t="s">
        <v>901</v>
      </c>
      <c r="AF2015" t="s">
        <v>2932</v>
      </c>
    </row>
    <row r="2016" spans="1:32" ht="22.5" x14ac:dyDescent="0.25">
      <c r="A2016" s="40" t="s">
        <v>3862</v>
      </c>
      <c r="B2016" s="360" t="s">
        <v>2940</v>
      </c>
      <c r="C2016" s="40">
        <v>748</v>
      </c>
      <c r="D2016" s="40">
        <v>72</v>
      </c>
      <c r="E2016" s="40" t="s">
        <v>3625</v>
      </c>
      <c r="F2016" s="40" t="s">
        <v>3377</v>
      </c>
      <c r="G2016" s="40" t="s">
        <v>3196</v>
      </c>
      <c r="H2016" s="40" t="s">
        <v>3118</v>
      </c>
      <c r="I2016" s="40" t="str">
        <f>VLOOKUP(Таблица18[[#This Row],[Номер акта]],$AB$1:$AF$2504,3,FALSE)</f>
        <v>1.6 Колос</v>
      </c>
      <c r="J2016" s="40" t="s">
        <v>901</v>
      </c>
      <c r="K2016" s="40" t="s">
        <v>3645</v>
      </c>
      <c r="L2016" s="121">
        <v>29200</v>
      </c>
      <c r="M2016" s="121">
        <v>14160</v>
      </c>
      <c r="N2016" s="121">
        <v>10</v>
      </c>
      <c r="O2016" s="363">
        <v>15040</v>
      </c>
      <c r="P2016" s="363">
        <v>13536</v>
      </c>
      <c r="Q2016" s="121">
        <v>2026</v>
      </c>
      <c r="R2016" s="121">
        <v>609</v>
      </c>
      <c r="S2016" s="148">
        <v>46205</v>
      </c>
      <c r="T2016" s="363">
        <f>Таблица18[[#This Row],[Вес нетто]]-Таблица18[[#This Row],[Зачетный вес]]</f>
        <v>1504</v>
      </c>
      <c r="U2016" s="392">
        <f>Таблица18[[#This Row],[Отход]]/Таблица18[[#This Row],[Вес нетто]]</f>
        <v>0.1</v>
      </c>
      <c r="V2016" s="121">
        <f>MONTH(Таблица18[[#This Row],[Дата акта]])</f>
        <v>7</v>
      </c>
      <c r="W2016" s="121">
        <f>DAY(Таблица18[[#This Row],[Дата акта]])</f>
        <v>2</v>
      </c>
      <c r="X2016" s="148">
        <f>DATE(1900,Таблица18[[#This Row],[Месяц]],Таблица18[[#This Row],[Число]])</f>
        <v>184</v>
      </c>
      <c r="Y2016" s="121"/>
      <c r="Z2016" s="121" t="str">
        <f>Таблица18[[#This Row],[Хар-ка]]</f>
        <v>Высший</v>
      </c>
      <c r="AB2016">
        <v>624</v>
      </c>
      <c r="AD2016" s="460" t="s">
        <v>3119</v>
      </c>
      <c r="AE2016" t="s">
        <v>901</v>
      </c>
      <c r="AF2016" t="s">
        <v>53</v>
      </c>
    </row>
    <row r="2017" spans="1:32" ht="33.75" x14ac:dyDescent="0.25">
      <c r="A2017" s="40" t="s">
        <v>3889</v>
      </c>
      <c r="B2017" s="360" t="s">
        <v>2940</v>
      </c>
      <c r="C2017" s="40">
        <v>752</v>
      </c>
      <c r="D2017" s="40">
        <v>396</v>
      </c>
      <c r="E2017" s="40" t="s">
        <v>2964</v>
      </c>
      <c r="F2017" s="40" t="s">
        <v>1312</v>
      </c>
      <c r="G2017" s="40" t="s">
        <v>320</v>
      </c>
      <c r="H2017" s="40" t="s">
        <v>3092</v>
      </c>
      <c r="I2017" s="40" t="str">
        <f>VLOOKUP(Таблица18[[#This Row],[Номер акта]],$AB$1:$AF$2504,3,FALSE)</f>
        <v>А-104/1</v>
      </c>
      <c r="J2017" s="40" t="s">
        <v>901</v>
      </c>
      <c r="K2017" s="40" t="s">
        <v>3375</v>
      </c>
      <c r="L2017" s="121">
        <v>29110</v>
      </c>
      <c r="M2017" s="121">
        <v>14500</v>
      </c>
      <c r="N2017" s="121">
        <v>7.5</v>
      </c>
      <c r="O2017" s="363">
        <v>14610</v>
      </c>
      <c r="P2017" s="363">
        <v>13514.2</v>
      </c>
      <c r="Q2017" s="121">
        <v>2026</v>
      </c>
      <c r="R2017" s="121">
        <v>610</v>
      </c>
      <c r="S2017" s="148">
        <v>46205</v>
      </c>
      <c r="T2017" s="363">
        <f>Таблица18[[#This Row],[Вес нетто]]-Таблица18[[#This Row],[Зачетный вес]]</f>
        <v>1095.7999999999993</v>
      </c>
      <c r="U2017" s="392">
        <f>Таблица18[[#This Row],[Отход]]/Таблица18[[#This Row],[Вес нетто]]</f>
        <v>7.5003422313483864E-2</v>
      </c>
      <c r="V2017" s="121">
        <f>MONTH(Таблица18[[#This Row],[Дата акта]])</f>
        <v>7</v>
      </c>
      <c r="W2017" s="121">
        <f>DAY(Таблица18[[#This Row],[Дата акта]])</f>
        <v>2</v>
      </c>
      <c r="X2017" s="148">
        <f>DATE(1900,Таблица18[[#This Row],[Месяц]],Таблица18[[#This Row],[Число]])</f>
        <v>184</v>
      </c>
      <c r="Y2017" s="121"/>
      <c r="Z2017" s="121" t="str">
        <f>Таблица18[[#This Row],[Хар-ка]]</f>
        <v>Высший</v>
      </c>
      <c r="AB2017">
        <v>627</v>
      </c>
      <c r="AD2017" s="460" t="s">
        <v>3110</v>
      </c>
      <c r="AE2017" t="s">
        <v>901</v>
      </c>
      <c r="AF2017" t="s">
        <v>2932</v>
      </c>
    </row>
    <row r="2018" spans="1:32" ht="22.5" x14ac:dyDescent="0.25">
      <c r="A2018" s="40" t="s">
        <v>3865</v>
      </c>
      <c r="B2018" s="360" t="s">
        <v>2940</v>
      </c>
      <c r="C2018" s="40">
        <v>753</v>
      </c>
      <c r="D2018" s="40">
        <v>83</v>
      </c>
      <c r="E2018" s="40" t="s">
        <v>3625</v>
      </c>
      <c r="F2018" s="40" t="s">
        <v>1151</v>
      </c>
      <c r="G2018" s="40" t="s">
        <v>145</v>
      </c>
      <c r="H2018" s="40" t="s">
        <v>3118</v>
      </c>
      <c r="I2018" s="40" t="str">
        <f>VLOOKUP(Таблица18[[#This Row],[Номер акта]],$AB$1:$AF$2504,3,FALSE)</f>
        <v>1.6 Колос</v>
      </c>
      <c r="J2018" s="40" t="s">
        <v>901</v>
      </c>
      <c r="K2018" s="40" t="s">
        <v>3645</v>
      </c>
      <c r="L2018" s="121">
        <v>25040</v>
      </c>
      <c r="M2018" s="121">
        <v>15790</v>
      </c>
      <c r="N2018" s="121">
        <v>5.5</v>
      </c>
      <c r="O2018" s="363">
        <v>9250</v>
      </c>
      <c r="P2018" s="363">
        <v>8741.2999999999993</v>
      </c>
      <c r="Q2018" s="121">
        <v>2026</v>
      </c>
      <c r="R2018" s="121">
        <v>612</v>
      </c>
      <c r="S2018" s="148">
        <v>46205</v>
      </c>
      <c r="T2018" s="363">
        <f>Таблица18[[#This Row],[Вес нетто]]-Таблица18[[#This Row],[Зачетный вес]]</f>
        <v>508.70000000000073</v>
      </c>
      <c r="U2018" s="392">
        <f>Таблица18[[#This Row],[Отход]]/Таблица18[[#This Row],[Вес нетто]]</f>
        <v>5.4994594594594673E-2</v>
      </c>
      <c r="V2018" s="121">
        <f>MONTH(Таблица18[[#This Row],[Дата акта]])</f>
        <v>7</v>
      </c>
      <c r="W2018" s="121">
        <f>DAY(Таблица18[[#This Row],[Дата акта]])</f>
        <v>2</v>
      </c>
      <c r="X2018" s="148">
        <f>DATE(1900,Таблица18[[#This Row],[Месяц]],Таблица18[[#This Row],[Число]])</f>
        <v>184</v>
      </c>
      <c r="Y2018" s="121"/>
      <c r="Z2018" s="121" t="str">
        <f>Таблица18[[#This Row],[Хар-ка]]</f>
        <v>Высший</v>
      </c>
      <c r="AB2018">
        <v>631</v>
      </c>
      <c r="AD2018" s="460" t="s">
        <v>3119</v>
      </c>
      <c r="AE2018" t="s">
        <v>901</v>
      </c>
      <c r="AF2018" t="s">
        <v>53</v>
      </c>
    </row>
    <row r="2019" spans="1:32" ht="22.5" x14ac:dyDescent="0.25">
      <c r="A2019" s="40" t="s">
        <v>3966</v>
      </c>
      <c r="B2019" s="360" t="s">
        <v>2940</v>
      </c>
      <c r="C2019" s="40">
        <v>754</v>
      </c>
      <c r="D2019" s="40">
        <v>397</v>
      </c>
      <c r="E2019" s="40" t="s">
        <v>2964</v>
      </c>
      <c r="F2019" s="40" t="s">
        <v>894</v>
      </c>
      <c r="G2019" s="40" t="s">
        <v>895</v>
      </c>
      <c r="H2019" s="40" t="s">
        <v>3108</v>
      </c>
      <c r="I2019" s="40" t="str">
        <f>VLOOKUP(Таблица18[[#This Row],[Номер акта]],$AB$1:$AF$2504,3,FALSE)</f>
        <v>А-108/7</v>
      </c>
      <c r="J2019" s="40" t="s">
        <v>901</v>
      </c>
      <c r="K2019" s="40" t="s">
        <v>3375</v>
      </c>
      <c r="L2019" s="121">
        <v>27720</v>
      </c>
      <c r="M2019" s="121">
        <v>14900</v>
      </c>
      <c r="N2019" s="121">
        <v>20.5</v>
      </c>
      <c r="O2019" s="363">
        <v>12820</v>
      </c>
      <c r="P2019" s="363">
        <v>10191.9</v>
      </c>
      <c r="Q2019" s="121">
        <v>2026</v>
      </c>
      <c r="R2019" s="121">
        <v>614</v>
      </c>
      <c r="S2019" s="148">
        <v>46205</v>
      </c>
      <c r="T2019" s="363">
        <f>Таблица18[[#This Row],[Вес нетто]]-Таблица18[[#This Row],[Зачетный вес]]</f>
        <v>2628.1000000000004</v>
      </c>
      <c r="U2019" s="392">
        <f>Таблица18[[#This Row],[Отход]]/Таблица18[[#This Row],[Вес нетто]]</f>
        <v>0.20500000000000002</v>
      </c>
      <c r="V2019" s="121">
        <f>MONTH(Таблица18[[#This Row],[Дата акта]])</f>
        <v>7</v>
      </c>
      <c r="W2019" s="121">
        <f>DAY(Таблица18[[#This Row],[Дата акта]])</f>
        <v>2</v>
      </c>
      <c r="X2019" s="148">
        <f>DATE(1900,Таблица18[[#This Row],[Месяц]],Таблица18[[#This Row],[Число]])</f>
        <v>184</v>
      </c>
      <c r="Y2019" s="121"/>
      <c r="Z2019" s="121" t="str">
        <f>Таблица18[[#This Row],[Хар-ка]]</f>
        <v>Высший</v>
      </c>
      <c r="AB2019">
        <v>636</v>
      </c>
      <c r="AD2019" s="460" t="s">
        <v>3119</v>
      </c>
      <c r="AE2019" t="s">
        <v>901</v>
      </c>
      <c r="AF2019" t="s">
        <v>53</v>
      </c>
    </row>
    <row r="2020" spans="1:32" ht="22.5" x14ac:dyDescent="0.25">
      <c r="A2020" s="40" t="s">
        <v>3869</v>
      </c>
      <c r="B2020" s="360" t="s">
        <v>2940</v>
      </c>
      <c r="C2020" s="40">
        <v>755</v>
      </c>
      <c r="D2020" s="40">
        <v>84</v>
      </c>
      <c r="E2020" s="40" t="s">
        <v>3625</v>
      </c>
      <c r="F2020" s="40" t="s">
        <v>3623</v>
      </c>
      <c r="G2020" s="40" t="s">
        <v>3679</v>
      </c>
      <c r="H2020" s="40" t="s">
        <v>3118</v>
      </c>
      <c r="I2020" s="40" t="str">
        <f>VLOOKUP(Таблица18[[#This Row],[Номер акта]],$AB$1:$AF$2504,3,FALSE)</f>
        <v>1.6 Колос</v>
      </c>
      <c r="J2020" s="40" t="s">
        <v>901</v>
      </c>
      <c r="K2020" s="40" t="s">
        <v>3645</v>
      </c>
      <c r="L2020" s="121">
        <v>23620</v>
      </c>
      <c r="M2020" s="121">
        <v>14440</v>
      </c>
      <c r="N2020" s="121">
        <v>8.5</v>
      </c>
      <c r="O2020" s="363">
        <v>9180</v>
      </c>
      <c r="P2020" s="363">
        <v>8399.7000000000007</v>
      </c>
      <c r="Q2020" s="121">
        <v>2026</v>
      </c>
      <c r="R2020" s="121">
        <v>613</v>
      </c>
      <c r="S2020" s="148">
        <v>46205</v>
      </c>
      <c r="T2020" s="363">
        <f>Таблица18[[#This Row],[Вес нетто]]-Таблица18[[#This Row],[Зачетный вес]]</f>
        <v>780.29999999999927</v>
      </c>
      <c r="U2020" s="392">
        <f>Таблица18[[#This Row],[Отход]]/Таблица18[[#This Row],[Вес нетто]]</f>
        <v>8.4999999999999923E-2</v>
      </c>
      <c r="V2020" s="121">
        <f>MONTH(Таблица18[[#This Row],[Дата акта]])</f>
        <v>7</v>
      </c>
      <c r="W2020" s="121">
        <f>DAY(Таблица18[[#This Row],[Дата акта]])</f>
        <v>2</v>
      </c>
      <c r="X2020" s="148">
        <f>DATE(1900,Таблица18[[#This Row],[Месяц]],Таблица18[[#This Row],[Число]])</f>
        <v>184</v>
      </c>
      <c r="Y2020" s="121"/>
      <c r="Z2020" s="121" t="str">
        <f>Таблица18[[#This Row],[Хар-ка]]</f>
        <v>Высший</v>
      </c>
      <c r="AB2020">
        <v>637</v>
      </c>
      <c r="AD2020" s="460" t="s">
        <v>3110</v>
      </c>
      <c r="AE2020" t="s">
        <v>901</v>
      </c>
      <c r="AF2020" t="s">
        <v>2932</v>
      </c>
    </row>
    <row r="2021" spans="1:32" ht="33.75" x14ac:dyDescent="0.25">
      <c r="A2021" s="40" t="s">
        <v>3884</v>
      </c>
      <c r="B2021" s="360" t="s">
        <v>2940</v>
      </c>
      <c r="C2021" s="40">
        <v>756</v>
      </c>
      <c r="D2021" s="40">
        <v>398</v>
      </c>
      <c r="E2021" s="40" t="s">
        <v>2964</v>
      </c>
      <c r="F2021" s="40" t="s">
        <v>311</v>
      </c>
      <c r="G2021" s="40" t="s">
        <v>315</v>
      </c>
      <c r="H2021" s="40" t="s">
        <v>3108</v>
      </c>
      <c r="I2021" s="40" t="str">
        <f>VLOOKUP(Таблица18[[#This Row],[Номер акта]],$AB$1:$AF$2504,3,FALSE)</f>
        <v>А-108/7</v>
      </c>
      <c r="J2021" s="40" t="s">
        <v>901</v>
      </c>
      <c r="K2021" s="40" t="s">
        <v>3375</v>
      </c>
      <c r="L2021" s="121">
        <v>28320</v>
      </c>
      <c r="M2021" s="121">
        <v>15150</v>
      </c>
      <c r="N2021" s="121">
        <v>9.5</v>
      </c>
      <c r="O2021" s="363">
        <v>13170</v>
      </c>
      <c r="P2021" s="363">
        <v>11918.9</v>
      </c>
      <c r="Q2021" s="121">
        <v>2026</v>
      </c>
      <c r="R2021" s="121">
        <v>616</v>
      </c>
      <c r="S2021" s="148">
        <v>46205</v>
      </c>
      <c r="T2021" s="363">
        <f>Таблица18[[#This Row],[Вес нетто]]-Таблица18[[#This Row],[Зачетный вес]]</f>
        <v>1251.1000000000004</v>
      </c>
      <c r="U2021" s="392">
        <f>Таблица18[[#This Row],[Отход]]/Таблица18[[#This Row],[Вес нетто]]</f>
        <v>9.499620349278666E-2</v>
      </c>
      <c r="V2021" s="121">
        <f>MONTH(Таблица18[[#This Row],[Дата акта]])</f>
        <v>7</v>
      </c>
      <c r="W2021" s="121">
        <f>DAY(Таблица18[[#This Row],[Дата акта]])</f>
        <v>2</v>
      </c>
      <c r="X2021" s="148">
        <f>DATE(1900,Таблица18[[#This Row],[Месяц]],Таблица18[[#This Row],[Число]])</f>
        <v>184</v>
      </c>
      <c r="Y2021" s="121"/>
      <c r="Z2021" s="121" t="str">
        <f>Таблица18[[#This Row],[Хар-ка]]</f>
        <v>Высший</v>
      </c>
      <c r="AB2021">
        <v>638</v>
      </c>
      <c r="AD2021" s="460" t="s">
        <v>3110</v>
      </c>
      <c r="AE2021" t="s">
        <v>901</v>
      </c>
      <c r="AF2021" t="s">
        <v>2932</v>
      </c>
    </row>
    <row r="2022" spans="1:32" ht="33.75" x14ac:dyDescent="0.25">
      <c r="A2022" s="40" t="s">
        <v>3864</v>
      </c>
      <c r="B2022" s="360" t="s">
        <v>2940</v>
      </c>
      <c r="C2022" s="40">
        <v>757</v>
      </c>
      <c r="D2022" s="40">
        <v>85</v>
      </c>
      <c r="E2022" s="40" t="s">
        <v>3625</v>
      </c>
      <c r="F2022" s="40" t="s">
        <v>1461</v>
      </c>
      <c r="G2022" s="40" t="s">
        <v>149</v>
      </c>
      <c r="H2022" s="40" t="s">
        <v>3118</v>
      </c>
      <c r="I2022" s="40" t="str">
        <f>VLOOKUP(Таблица18[[#This Row],[Номер акта]],$AB$1:$AF$2504,3,FALSE)</f>
        <v>1.6 Колос</v>
      </c>
      <c r="J2022" s="40" t="s">
        <v>901</v>
      </c>
      <c r="K2022" s="40" t="s">
        <v>3645</v>
      </c>
      <c r="L2022" s="121">
        <v>24300</v>
      </c>
      <c r="M2022" s="121">
        <v>15140</v>
      </c>
      <c r="N2022" s="121">
        <v>8.5</v>
      </c>
      <c r="O2022" s="363">
        <v>9160</v>
      </c>
      <c r="P2022" s="363">
        <v>8381.4</v>
      </c>
      <c r="Q2022" s="121">
        <v>2026</v>
      </c>
      <c r="R2022" s="121">
        <v>615</v>
      </c>
      <c r="S2022" s="148">
        <v>46205</v>
      </c>
      <c r="T2022" s="363">
        <f>Таблица18[[#This Row],[Вес нетто]]-Таблица18[[#This Row],[Зачетный вес]]</f>
        <v>778.60000000000036</v>
      </c>
      <c r="U2022" s="392">
        <f>Таблица18[[#This Row],[Отход]]/Таблица18[[#This Row],[Вес нетто]]</f>
        <v>8.5000000000000034E-2</v>
      </c>
      <c r="V2022" s="121">
        <f>MONTH(Таблица18[[#This Row],[Дата акта]])</f>
        <v>7</v>
      </c>
      <c r="W2022" s="121">
        <f>DAY(Таблица18[[#This Row],[Дата акта]])</f>
        <v>2</v>
      </c>
      <c r="X2022" s="148">
        <f>DATE(1900,Таблица18[[#This Row],[Месяц]],Таблица18[[#This Row],[Число]])</f>
        <v>184</v>
      </c>
      <c r="Y2022" s="121"/>
      <c r="Z2022" s="121" t="str">
        <f>Таблица18[[#This Row],[Хар-ка]]</f>
        <v>Высший</v>
      </c>
      <c r="AB2022">
        <v>639</v>
      </c>
      <c r="AD2022" s="460" t="s">
        <v>3110</v>
      </c>
      <c r="AE2022" t="s">
        <v>901</v>
      </c>
      <c r="AF2022" t="s">
        <v>2932</v>
      </c>
    </row>
    <row r="2023" spans="1:32" ht="33.75" x14ac:dyDescent="0.25">
      <c r="A2023" s="40" t="s">
        <v>3885</v>
      </c>
      <c r="B2023" s="360" t="s">
        <v>2940</v>
      </c>
      <c r="C2023" s="40">
        <v>758</v>
      </c>
      <c r="D2023" s="40">
        <v>399</v>
      </c>
      <c r="E2023" s="40" t="s">
        <v>2964</v>
      </c>
      <c r="F2023" s="40" t="s">
        <v>239</v>
      </c>
      <c r="G2023" s="40" t="s">
        <v>243</v>
      </c>
      <c r="H2023" s="40" t="s">
        <v>3108</v>
      </c>
      <c r="I2023" s="40" t="str">
        <f>VLOOKUP(Таблица18[[#This Row],[Номер акта]],$AB$1:$AF$2504,3,FALSE)</f>
        <v>А-108/7</v>
      </c>
      <c r="J2023" s="40" t="s">
        <v>901</v>
      </c>
      <c r="K2023" s="40" t="s">
        <v>3375</v>
      </c>
      <c r="L2023" s="121">
        <v>27700</v>
      </c>
      <c r="M2023" s="121">
        <v>14550</v>
      </c>
      <c r="N2023" s="121">
        <v>8.5</v>
      </c>
      <c r="O2023" s="363">
        <v>13150</v>
      </c>
      <c r="P2023" s="363">
        <v>12032.3</v>
      </c>
      <c r="Q2023" s="121">
        <v>2026</v>
      </c>
      <c r="R2023" s="121">
        <v>618</v>
      </c>
      <c r="S2023" s="148">
        <v>46205</v>
      </c>
      <c r="T2023" s="363">
        <f>Таблица18[[#This Row],[Вес нетто]]-Таблица18[[#This Row],[Зачетный вес]]</f>
        <v>1117.7000000000007</v>
      </c>
      <c r="U2023" s="392">
        <f>Таблица18[[#This Row],[Отход]]/Таблица18[[#This Row],[Вес нетто]]</f>
        <v>8.4996197718631233E-2</v>
      </c>
      <c r="V2023" s="121">
        <f>MONTH(Таблица18[[#This Row],[Дата акта]])</f>
        <v>7</v>
      </c>
      <c r="W2023" s="121">
        <f>DAY(Таблица18[[#This Row],[Дата акта]])</f>
        <v>2</v>
      </c>
      <c r="X2023" s="148">
        <f>DATE(1900,Таблица18[[#This Row],[Месяц]],Таблица18[[#This Row],[Число]])</f>
        <v>184</v>
      </c>
      <c r="Y2023" s="121"/>
      <c r="Z2023" s="121" t="str">
        <f>Таблица18[[#This Row],[Хар-ка]]</f>
        <v>Высший</v>
      </c>
      <c r="AB2023">
        <v>640</v>
      </c>
      <c r="AD2023" s="460" t="s">
        <v>3119</v>
      </c>
      <c r="AE2023" t="s">
        <v>901</v>
      </c>
      <c r="AF2023" t="s">
        <v>53</v>
      </c>
    </row>
    <row r="2024" spans="1:32" ht="22.5" x14ac:dyDescent="0.25">
      <c r="A2024" s="40" t="s">
        <v>3868</v>
      </c>
      <c r="B2024" s="360" t="s">
        <v>2940</v>
      </c>
      <c r="C2024" s="40">
        <v>759</v>
      </c>
      <c r="D2024" s="40">
        <v>86</v>
      </c>
      <c r="E2024" s="40" t="s">
        <v>3625</v>
      </c>
      <c r="F2024" s="40" t="s">
        <v>335</v>
      </c>
      <c r="G2024" s="40" t="s">
        <v>339</v>
      </c>
      <c r="H2024" s="40" t="s">
        <v>3118</v>
      </c>
      <c r="I2024" s="40" t="str">
        <f>VLOOKUP(Таблица18[[#This Row],[Номер акта]],$AB$1:$AF$2504,3,FALSE)</f>
        <v>1.6 Колос</v>
      </c>
      <c r="J2024" s="40" t="s">
        <v>901</v>
      </c>
      <c r="K2024" s="40" t="s">
        <v>3645</v>
      </c>
      <c r="L2024" s="121">
        <v>24100</v>
      </c>
      <c r="M2024" s="121">
        <v>15110</v>
      </c>
      <c r="N2024" s="121">
        <v>11.5</v>
      </c>
      <c r="O2024" s="363">
        <v>8990</v>
      </c>
      <c r="P2024" s="363">
        <v>7956.2</v>
      </c>
      <c r="Q2024" s="121">
        <v>2026</v>
      </c>
      <c r="R2024" s="121">
        <v>617</v>
      </c>
      <c r="S2024" s="148">
        <v>46205</v>
      </c>
      <c r="T2024" s="363">
        <f>Таблица18[[#This Row],[Вес нетто]]-Таблица18[[#This Row],[Зачетный вес]]</f>
        <v>1033.8000000000002</v>
      </c>
      <c r="U2024" s="392">
        <f>Таблица18[[#This Row],[Отход]]/Таблица18[[#This Row],[Вес нетто]]</f>
        <v>0.11499443826473862</v>
      </c>
      <c r="V2024" s="121">
        <f>MONTH(Таблица18[[#This Row],[Дата акта]])</f>
        <v>7</v>
      </c>
      <c r="W2024" s="121">
        <f>DAY(Таблица18[[#This Row],[Дата акта]])</f>
        <v>2</v>
      </c>
      <c r="X2024" s="148">
        <f>DATE(1900,Таблица18[[#This Row],[Месяц]],Таблица18[[#This Row],[Число]])</f>
        <v>184</v>
      </c>
      <c r="Y2024" s="121"/>
      <c r="Z2024" s="121" t="str">
        <f>Таблица18[[#This Row],[Хар-ка]]</f>
        <v>Высший</v>
      </c>
      <c r="AB2024">
        <v>641</v>
      </c>
      <c r="AD2024" s="460" t="s">
        <v>3110</v>
      </c>
      <c r="AE2024" t="s">
        <v>901</v>
      </c>
      <c r="AF2024" t="s">
        <v>2932</v>
      </c>
    </row>
    <row r="2025" spans="1:32" ht="33.75" x14ac:dyDescent="0.25">
      <c r="A2025" s="40" t="s">
        <v>3940</v>
      </c>
      <c r="B2025" s="360" t="s">
        <v>2940</v>
      </c>
      <c r="C2025" s="40">
        <v>777</v>
      </c>
      <c r="D2025" s="40">
        <v>408</v>
      </c>
      <c r="E2025" s="40" t="s">
        <v>2964</v>
      </c>
      <c r="F2025" s="40" t="s">
        <v>762</v>
      </c>
      <c r="G2025" s="40" t="s">
        <v>763</v>
      </c>
      <c r="H2025" s="40" t="s">
        <v>3110</v>
      </c>
      <c r="I2025" s="40" t="str">
        <f>VLOOKUP(Таблица18[[#This Row],[Номер акта]],$AB$1:$AF$2504,3,FALSE)</f>
        <v>А-113/1</v>
      </c>
      <c r="J2025" s="40" t="s">
        <v>901</v>
      </c>
      <c r="K2025" s="40" t="s">
        <v>3375</v>
      </c>
      <c r="L2025" s="121">
        <v>9160</v>
      </c>
      <c r="M2025" s="121">
        <v>4640</v>
      </c>
      <c r="N2025" s="121">
        <v>9.5</v>
      </c>
      <c r="O2025" s="363">
        <v>4520</v>
      </c>
      <c r="P2025" s="363">
        <v>4090.6</v>
      </c>
      <c r="Q2025" s="121">
        <v>2026</v>
      </c>
      <c r="R2025" s="121">
        <v>643</v>
      </c>
      <c r="S2025" s="148">
        <v>46206</v>
      </c>
      <c r="T2025" s="363">
        <f>Таблица18[[#This Row],[Вес нетто]]-Таблица18[[#This Row],[Зачетный вес]]</f>
        <v>429.40000000000009</v>
      </c>
      <c r="U2025" s="392">
        <f>Таблица18[[#This Row],[Отход]]/Таблица18[[#This Row],[Вес нетто]]</f>
        <v>9.5000000000000015E-2</v>
      </c>
      <c r="V2025" s="121">
        <f>MONTH(Таблица18[[#This Row],[Дата акта]])</f>
        <v>7</v>
      </c>
      <c r="W2025" s="121">
        <f>DAY(Таблица18[[#This Row],[Дата акта]])</f>
        <v>3</v>
      </c>
      <c r="X2025" s="148">
        <f>DATE(1900,Таблица18[[#This Row],[Месяц]],Таблица18[[#This Row],[Число]])</f>
        <v>185</v>
      </c>
      <c r="Y2025" s="121"/>
      <c r="Z2025" s="121" t="str">
        <f>Таблица18[[#This Row],[Хар-ка]]</f>
        <v>Высший</v>
      </c>
      <c r="AB2025">
        <v>645</v>
      </c>
      <c r="AD2025" s="460" t="s">
        <v>3110</v>
      </c>
      <c r="AE2025" t="s">
        <v>901</v>
      </c>
      <c r="AF2025" t="s">
        <v>2932</v>
      </c>
    </row>
    <row r="2026" spans="1:32" ht="33.75" x14ac:dyDescent="0.25">
      <c r="A2026" s="40" t="s">
        <v>3922</v>
      </c>
      <c r="B2026" s="360" t="s">
        <v>2940</v>
      </c>
      <c r="C2026" s="40">
        <v>778</v>
      </c>
      <c r="D2026" s="40">
        <v>94</v>
      </c>
      <c r="E2026" s="40" t="s">
        <v>3625</v>
      </c>
      <c r="F2026" s="40" t="s">
        <v>1461</v>
      </c>
      <c r="G2026" s="40" t="s">
        <v>149</v>
      </c>
      <c r="H2026" s="40" t="s">
        <v>3119</v>
      </c>
      <c r="I2026" s="40" t="str">
        <f>VLOOKUP(Таблица18[[#This Row],[Номер акта]],$AB$1:$AF$2504,3,FALSE)</f>
        <v>1.7 Колос</v>
      </c>
      <c r="J2026" s="40" t="s">
        <v>901</v>
      </c>
      <c r="K2026" s="40" t="s">
        <v>3645</v>
      </c>
      <c r="L2026" s="121">
        <v>28960</v>
      </c>
      <c r="M2026" s="121">
        <v>15020</v>
      </c>
      <c r="N2026" s="121">
        <v>8.5</v>
      </c>
      <c r="O2026" s="363">
        <v>13940</v>
      </c>
      <c r="P2026" s="363">
        <v>12755.1</v>
      </c>
      <c r="Q2026" s="121">
        <v>2026</v>
      </c>
      <c r="R2026" s="121">
        <v>644</v>
      </c>
      <c r="S2026" s="148">
        <v>46206</v>
      </c>
      <c r="T2026" s="363">
        <f>Таблица18[[#This Row],[Вес нетто]]-Таблица18[[#This Row],[Зачетный вес]]</f>
        <v>1184.8999999999996</v>
      </c>
      <c r="U2026" s="392">
        <f>Таблица18[[#This Row],[Отход]]/Таблица18[[#This Row],[Вес нетто]]</f>
        <v>8.4999999999999978E-2</v>
      </c>
      <c r="V2026" s="121">
        <f>MONTH(Таблица18[[#This Row],[Дата акта]])</f>
        <v>7</v>
      </c>
      <c r="W2026" s="121">
        <f>DAY(Таблица18[[#This Row],[Дата акта]])</f>
        <v>3</v>
      </c>
      <c r="X2026" s="148">
        <f>DATE(1900,Таблица18[[#This Row],[Месяц]],Таблица18[[#This Row],[Число]])</f>
        <v>185</v>
      </c>
      <c r="Y2026" s="121"/>
      <c r="Z2026" s="121" t="str">
        <f>Таблица18[[#This Row],[Хар-ка]]</f>
        <v>Высший</v>
      </c>
      <c r="AB2026">
        <v>642</v>
      </c>
      <c r="AD2026" s="460" t="s">
        <v>3119</v>
      </c>
      <c r="AE2026" t="s">
        <v>901</v>
      </c>
      <c r="AF2026" t="s">
        <v>53</v>
      </c>
    </row>
    <row r="2027" spans="1:32" ht="22.5" x14ac:dyDescent="0.25">
      <c r="A2027" s="40" t="s">
        <v>3967</v>
      </c>
      <c r="B2027" s="360" t="s">
        <v>2940</v>
      </c>
      <c r="C2027" s="40">
        <v>779</v>
      </c>
      <c r="D2027" s="40">
        <v>409</v>
      </c>
      <c r="E2027" s="40" t="s">
        <v>2964</v>
      </c>
      <c r="F2027" s="40" t="s">
        <v>894</v>
      </c>
      <c r="G2027" s="40" t="s">
        <v>895</v>
      </c>
      <c r="H2027" s="40" t="s">
        <v>3110</v>
      </c>
      <c r="I2027" s="40" t="str">
        <f>VLOOKUP(Таблица18[[#This Row],[Номер акта]],$AB$1:$AF$2504,3,FALSE)</f>
        <v>А-113/1</v>
      </c>
      <c r="J2027" s="40" t="s">
        <v>901</v>
      </c>
      <c r="K2027" s="40" t="s">
        <v>3375</v>
      </c>
      <c r="L2027" s="121">
        <v>28630</v>
      </c>
      <c r="M2027" s="121">
        <v>15040</v>
      </c>
      <c r="N2027" s="121">
        <v>15.5</v>
      </c>
      <c r="O2027" s="363">
        <v>13590</v>
      </c>
      <c r="P2027" s="363">
        <v>11483.6</v>
      </c>
      <c r="Q2027" s="121">
        <v>2026</v>
      </c>
      <c r="R2027" s="121">
        <v>645</v>
      </c>
      <c r="S2027" s="148">
        <v>46206</v>
      </c>
      <c r="T2027" s="363">
        <f>Таблица18[[#This Row],[Вес нетто]]-Таблица18[[#This Row],[Зачетный вес]]</f>
        <v>2106.3999999999996</v>
      </c>
      <c r="U2027" s="392">
        <f>Таблица18[[#This Row],[Отход]]/Таблица18[[#This Row],[Вес нетто]]</f>
        <v>0.15499632082413536</v>
      </c>
      <c r="V2027" s="121">
        <f>MONTH(Таблица18[[#This Row],[Дата акта]])</f>
        <v>7</v>
      </c>
      <c r="W2027" s="121">
        <f>DAY(Таблица18[[#This Row],[Дата акта]])</f>
        <v>3</v>
      </c>
      <c r="X2027" s="148">
        <f>DATE(1900,Таблица18[[#This Row],[Месяц]],Таблица18[[#This Row],[Число]])</f>
        <v>185</v>
      </c>
      <c r="Y2027" s="121"/>
      <c r="Z2027" s="121" t="str">
        <f>Таблица18[[#This Row],[Хар-ка]]</f>
        <v>Высший</v>
      </c>
      <c r="AB2027">
        <v>643</v>
      </c>
      <c r="AD2027" s="460" t="s">
        <v>3110</v>
      </c>
      <c r="AE2027" t="s">
        <v>901</v>
      </c>
      <c r="AF2027" t="s">
        <v>2932</v>
      </c>
    </row>
    <row r="2028" spans="1:32" ht="22.5" x14ac:dyDescent="0.25">
      <c r="A2028" s="40" t="s">
        <v>3925</v>
      </c>
      <c r="B2028" s="360" t="s">
        <v>2940</v>
      </c>
      <c r="C2028" s="40">
        <v>780</v>
      </c>
      <c r="D2028" s="40">
        <v>95</v>
      </c>
      <c r="E2028" s="40" t="s">
        <v>3625</v>
      </c>
      <c r="F2028" s="40" t="s">
        <v>335</v>
      </c>
      <c r="G2028" s="40" t="s">
        <v>339</v>
      </c>
      <c r="H2028" s="40" t="s">
        <v>3119</v>
      </c>
      <c r="I2028" s="40" t="str">
        <f>VLOOKUP(Таблица18[[#This Row],[Номер акта]],$AB$1:$AF$2504,3,FALSE)</f>
        <v>1.7 Колос</v>
      </c>
      <c r="J2028" s="40" t="s">
        <v>901</v>
      </c>
      <c r="K2028" s="40" t="s">
        <v>3645</v>
      </c>
      <c r="L2028" s="121">
        <v>28980</v>
      </c>
      <c r="M2028" s="121">
        <v>15020</v>
      </c>
      <c r="N2028" s="121">
        <v>7.5</v>
      </c>
      <c r="O2028" s="363">
        <v>13960</v>
      </c>
      <c r="P2028" s="363">
        <v>12913</v>
      </c>
      <c r="Q2028" s="121">
        <v>2026</v>
      </c>
      <c r="R2028" s="121">
        <v>646</v>
      </c>
      <c r="S2028" s="148">
        <v>46206</v>
      </c>
      <c r="T2028" s="363">
        <f>Таблица18[[#This Row],[Вес нетто]]-Таблица18[[#This Row],[Зачетный вес]]</f>
        <v>1047</v>
      </c>
      <c r="U2028" s="392">
        <f>Таблица18[[#This Row],[Отход]]/Таблица18[[#This Row],[Вес нетто]]</f>
        <v>7.4999999999999997E-2</v>
      </c>
      <c r="V2028" s="121">
        <f>MONTH(Таблица18[[#This Row],[Дата акта]])</f>
        <v>7</v>
      </c>
      <c r="W2028" s="121">
        <f>DAY(Таблица18[[#This Row],[Дата акта]])</f>
        <v>3</v>
      </c>
      <c r="X2028" s="148">
        <f>DATE(1900,Таблица18[[#This Row],[Месяц]],Таблица18[[#This Row],[Число]])</f>
        <v>185</v>
      </c>
      <c r="Y2028" s="121"/>
      <c r="Z2028" s="121" t="str">
        <f>Таблица18[[#This Row],[Хар-ка]]</f>
        <v>Высший</v>
      </c>
      <c r="AB2028">
        <v>644</v>
      </c>
      <c r="AD2028" s="460" t="s">
        <v>3119</v>
      </c>
      <c r="AE2028" t="s">
        <v>901</v>
      </c>
      <c r="AF2028" t="s">
        <v>53</v>
      </c>
    </row>
    <row r="2029" spans="1:32" ht="33.75" x14ac:dyDescent="0.25">
      <c r="A2029" s="40" t="s">
        <v>3939</v>
      </c>
      <c r="B2029" s="360" t="s">
        <v>2940</v>
      </c>
      <c r="C2029" s="40">
        <v>781</v>
      </c>
      <c r="D2029" s="40">
        <v>410</v>
      </c>
      <c r="E2029" s="40" t="s">
        <v>2964</v>
      </c>
      <c r="F2029" s="40" t="s">
        <v>762</v>
      </c>
      <c r="G2029" s="40" t="s">
        <v>763</v>
      </c>
      <c r="H2029" s="40" t="s">
        <v>3110</v>
      </c>
      <c r="I2029" s="40" t="str">
        <f>VLOOKUP(Таблица18[[#This Row],[Номер акта]],$AB$1:$AF$2504,3,FALSE)</f>
        <v>А-113/1</v>
      </c>
      <c r="J2029" s="40" t="s">
        <v>901</v>
      </c>
      <c r="K2029" s="40" t="s">
        <v>3375</v>
      </c>
      <c r="L2029" s="121">
        <v>9080</v>
      </c>
      <c r="M2029" s="121">
        <v>4670</v>
      </c>
      <c r="N2029" s="121">
        <v>9.5</v>
      </c>
      <c r="O2029" s="363">
        <v>4410</v>
      </c>
      <c r="P2029" s="363">
        <v>3991.1</v>
      </c>
      <c r="Q2029" s="121">
        <v>2026</v>
      </c>
      <c r="R2029" s="121">
        <v>649</v>
      </c>
      <c r="S2029" s="148">
        <v>46206</v>
      </c>
      <c r="T2029" s="363">
        <f>Таблица18[[#This Row],[Вес нетто]]-Таблица18[[#This Row],[Зачетный вес]]</f>
        <v>418.90000000000009</v>
      </c>
      <c r="U2029" s="392">
        <f>Таблица18[[#This Row],[Отход]]/Таблица18[[#This Row],[Вес нетто]]</f>
        <v>9.4988662131519297E-2</v>
      </c>
      <c r="V2029" s="121">
        <f>MONTH(Таблица18[[#This Row],[Дата акта]])</f>
        <v>7</v>
      </c>
      <c r="W2029" s="121">
        <f>DAY(Таблица18[[#This Row],[Дата акта]])</f>
        <v>3</v>
      </c>
      <c r="X2029" s="148">
        <f>DATE(1900,Таблица18[[#This Row],[Месяц]],Таблица18[[#This Row],[Число]])</f>
        <v>185</v>
      </c>
      <c r="Y2029" s="121"/>
      <c r="Z2029" s="121" t="str">
        <f>Таблица18[[#This Row],[Хар-ка]]</f>
        <v>Высший</v>
      </c>
      <c r="AB2029">
        <v>646</v>
      </c>
      <c r="AD2029" s="460" t="s">
        <v>3119</v>
      </c>
      <c r="AE2029" t="s">
        <v>901</v>
      </c>
      <c r="AF2029" t="s">
        <v>53</v>
      </c>
    </row>
    <row r="2030" spans="1:32" ht="33.75" x14ac:dyDescent="0.25">
      <c r="A2030" s="40" t="s">
        <v>3917</v>
      </c>
      <c r="B2030" s="360" t="s">
        <v>2940</v>
      </c>
      <c r="C2030" s="40">
        <v>782</v>
      </c>
      <c r="D2030" s="40">
        <v>96</v>
      </c>
      <c r="E2030" s="40" t="s">
        <v>3625</v>
      </c>
      <c r="F2030" s="40" t="s">
        <v>239</v>
      </c>
      <c r="G2030" s="40" t="s">
        <v>243</v>
      </c>
      <c r="H2030" s="40" t="s">
        <v>3119</v>
      </c>
      <c r="I2030" s="40" t="str">
        <f>VLOOKUP(Таблица18[[#This Row],[Номер акта]],$AB$1:$AF$2504,3,FALSE)</f>
        <v>1.7 Колос</v>
      </c>
      <c r="J2030" s="40" t="s">
        <v>901</v>
      </c>
      <c r="K2030" s="40" t="s">
        <v>3645</v>
      </c>
      <c r="L2030" s="121">
        <v>28570</v>
      </c>
      <c r="M2030" s="121">
        <v>14470</v>
      </c>
      <c r="N2030" s="121">
        <v>10.5</v>
      </c>
      <c r="O2030" s="363">
        <v>14100</v>
      </c>
      <c r="P2030" s="363">
        <v>12619.5</v>
      </c>
      <c r="Q2030" s="121">
        <v>2026</v>
      </c>
      <c r="R2030" s="121">
        <v>647</v>
      </c>
      <c r="S2030" s="148">
        <v>46206</v>
      </c>
      <c r="T2030" s="363">
        <f>Таблица18[[#This Row],[Вес нетто]]-Таблица18[[#This Row],[Зачетный вес]]</f>
        <v>1480.5</v>
      </c>
      <c r="U2030" s="392">
        <f>Таблица18[[#This Row],[Отход]]/Таблица18[[#This Row],[Вес нетто]]</f>
        <v>0.105</v>
      </c>
      <c r="V2030" s="121">
        <f>MONTH(Таблица18[[#This Row],[Дата акта]])</f>
        <v>7</v>
      </c>
      <c r="W2030" s="121">
        <f>DAY(Таблица18[[#This Row],[Дата акта]])</f>
        <v>3</v>
      </c>
      <c r="X2030" s="148">
        <f>DATE(1900,Таблица18[[#This Row],[Месяц]],Таблица18[[#This Row],[Число]])</f>
        <v>185</v>
      </c>
      <c r="Y2030" s="121"/>
      <c r="Z2030" s="121" t="str">
        <f>Таблица18[[#This Row],[Хар-ка]]</f>
        <v>Высший</v>
      </c>
      <c r="AB2030">
        <v>650</v>
      </c>
      <c r="AD2030" s="460" t="s">
        <v>3110</v>
      </c>
      <c r="AE2030" t="s">
        <v>901</v>
      </c>
      <c r="AF2030" t="s">
        <v>2932</v>
      </c>
    </row>
    <row r="2031" spans="1:32" ht="33.75" x14ac:dyDescent="0.25">
      <c r="A2031" s="40" t="s">
        <v>3919</v>
      </c>
      <c r="B2031" s="360" t="s">
        <v>2940</v>
      </c>
      <c r="C2031" s="40">
        <v>783</v>
      </c>
      <c r="D2031" s="40">
        <v>97</v>
      </c>
      <c r="E2031" s="40" t="s">
        <v>3625</v>
      </c>
      <c r="F2031" s="40" t="s">
        <v>3838</v>
      </c>
      <c r="G2031" s="40" t="s">
        <v>270</v>
      </c>
      <c r="H2031" s="40" t="s">
        <v>3119</v>
      </c>
      <c r="I2031" s="40" t="str">
        <f>VLOOKUP(Таблица18[[#This Row],[Номер акта]],$AB$1:$AF$2504,3,FALSE)</f>
        <v>1.7 Колос</v>
      </c>
      <c r="J2031" s="40" t="s">
        <v>901</v>
      </c>
      <c r="K2031" s="40" t="s">
        <v>3645</v>
      </c>
      <c r="L2031" s="121">
        <v>28570</v>
      </c>
      <c r="M2031" s="121">
        <v>14770</v>
      </c>
      <c r="N2031" s="121">
        <v>6.5</v>
      </c>
      <c r="O2031" s="363">
        <v>13800</v>
      </c>
      <c r="P2031" s="363">
        <v>12903</v>
      </c>
      <c r="Q2031" s="121">
        <v>2026</v>
      </c>
      <c r="R2031" s="121">
        <v>648</v>
      </c>
      <c r="S2031" s="148">
        <v>46206</v>
      </c>
      <c r="T2031" s="363">
        <f>Таблица18[[#This Row],[Вес нетто]]-Таблица18[[#This Row],[Зачетный вес]]</f>
        <v>897</v>
      </c>
      <c r="U2031" s="392">
        <f>Таблица18[[#This Row],[Отход]]/Таблица18[[#This Row],[Вес нетто]]</f>
        <v>6.5000000000000002E-2</v>
      </c>
      <c r="V2031" s="121">
        <f>MONTH(Таблица18[[#This Row],[Дата акта]])</f>
        <v>7</v>
      </c>
      <c r="W2031" s="121">
        <f>DAY(Таблица18[[#This Row],[Дата акта]])</f>
        <v>3</v>
      </c>
      <c r="X2031" s="148">
        <f>DATE(1900,Таблица18[[#This Row],[Месяц]],Таблица18[[#This Row],[Число]])</f>
        <v>185</v>
      </c>
      <c r="Y2031" s="121"/>
      <c r="Z2031" s="121" t="str">
        <f>Таблица18[[#This Row],[Хар-ка]]</f>
        <v>Высший</v>
      </c>
      <c r="AB2031">
        <v>651</v>
      </c>
      <c r="AD2031" s="460" t="s">
        <v>3119</v>
      </c>
      <c r="AE2031" t="s">
        <v>901</v>
      </c>
      <c r="AF2031" t="s">
        <v>53</v>
      </c>
    </row>
    <row r="2032" spans="1:32" ht="22.5" x14ac:dyDescent="0.25">
      <c r="A2032" s="40" t="s">
        <v>3944</v>
      </c>
      <c r="B2032" s="360" t="s">
        <v>2940</v>
      </c>
      <c r="C2032" s="40">
        <v>784</v>
      </c>
      <c r="D2032" s="40">
        <v>411</v>
      </c>
      <c r="E2032" s="40" t="s">
        <v>2964</v>
      </c>
      <c r="F2032" s="40" t="s">
        <v>894</v>
      </c>
      <c r="G2032" s="40" t="s">
        <v>895</v>
      </c>
      <c r="H2032" s="40" t="s">
        <v>3110</v>
      </c>
      <c r="I2032" s="40" t="str">
        <f>VLOOKUP(Таблица18[[#This Row],[Номер акта]],$AB$1:$AF$2504,3,FALSE)</f>
        <v>А-113/1</v>
      </c>
      <c r="J2032" s="40" t="s">
        <v>901</v>
      </c>
      <c r="K2032" s="40" t="s">
        <v>3375</v>
      </c>
      <c r="L2032" s="121">
        <v>28500</v>
      </c>
      <c r="M2032" s="121">
        <v>15040</v>
      </c>
      <c r="N2032" s="121">
        <v>12.5</v>
      </c>
      <c r="O2032" s="363">
        <v>13460</v>
      </c>
      <c r="P2032" s="363">
        <v>11777.5</v>
      </c>
      <c r="Q2032" s="121">
        <v>2026</v>
      </c>
      <c r="R2032" s="121">
        <v>650</v>
      </c>
      <c r="S2032" s="148">
        <v>46206</v>
      </c>
      <c r="T2032" s="363">
        <f>Таблица18[[#This Row],[Вес нетто]]-Таблица18[[#This Row],[Зачетный вес]]</f>
        <v>1682.5</v>
      </c>
      <c r="U2032" s="392">
        <f>Таблица18[[#This Row],[Отход]]/Таблица18[[#This Row],[Вес нетто]]</f>
        <v>0.125</v>
      </c>
      <c r="V2032" s="121">
        <f>MONTH(Таблица18[[#This Row],[Дата акта]])</f>
        <v>7</v>
      </c>
      <c r="W2032" s="121">
        <f>DAY(Таблица18[[#This Row],[Дата акта]])</f>
        <v>3</v>
      </c>
      <c r="X2032" s="148">
        <f>DATE(1900,Таблица18[[#This Row],[Месяц]],Таблица18[[#This Row],[Число]])</f>
        <v>185</v>
      </c>
      <c r="Y2032" s="121"/>
      <c r="Z2032" s="121" t="str">
        <f>Таблица18[[#This Row],[Хар-ка]]</f>
        <v>Высший</v>
      </c>
      <c r="AB2032">
        <v>647</v>
      </c>
      <c r="AD2032" s="460" t="s">
        <v>3119</v>
      </c>
      <c r="AE2032" t="s">
        <v>901</v>
      </c>
      <c r="AF2032" t="s">
        <v>53</v>
      </c>
    </row>
    <row r="2033" spans="1:32" ht="33.75" x14ac:dyDescent="0.25">
      <c r="A2033" s="40" t="s">
        <v>3911</v>
      </c>
      <c r="B2033" s="360" t="s">
        <v>2940</v>
      </c>
      <c r="C2033" s="40">
        <v>785</v>
      </c>
      <c r="D2033" s="40">
        <v>98</v>
      </c>
      <c r="E2033" s="40" t="s">
        <v>3625</v>
      </c>
      <c r="F2033" s="40" t="s">
        <v>3853</v>
      </c>
      <c r="G2033" s="40" t="s">
        <v>3854</v>
      </c>
      <c r="H2033" s="40" t="s">
        <v>3119</v>
      </c>
      <c r="I2033" s="40" t="str">
        <f>VLOOKUP(Таблица18[[#This Row],[Номер акта]],$AB$1:$AF$2504,3,FALSE)</f>
        <v>1.7 Колос</v>
      </c>
      <c r="J2033" s="40" t="s">
        <v>901</v>
      </c>
      <c r="K2033" s="40" t="s">
        <v>3645</v>
      </c>
      <c r="L2033" s="121">
        <v>28420</v>
      </c>
      <c r="M2033" s="121">
        <v>14620</v>
      </c>
      <c r="N2033" s="121">
        <v>10.5</v>
      </c>
      <c r="O2033" s="363">
        <v>13800</v>
      </c>
      <c r="P2033" s="363">
        <v>12351</v>
      </c>
      <c r="Q2033" s="121">
        <v>2026</v>
      </c>
      <c r="R2033" s="121">
        <v>651</v>
      </c>
      <c r="S2033" s="148">
        <v>46206</v>
      </c>
      <c r="T2033" s="363">
        <f>Таблица18[[#This Row],[Вес нетто]]-Таблица18[[#This Row],[Зачетный вес]]</f>
        <v>1449</v>
      </c>
      <c r="U2033" s="392">
        <f>Таблица18[[#This Row],[Отход]]/Таблица18[[#This Row],[Вес нетто]]</f>
        <v>0.105</v>
      </c>
      <c r="V2033" s="121">
        <f>MONTH(Таблица18[[#This Row],[Дата акта]])</f>
        <v>7</v>
      </c>
      <c r="W2033" s="121">
        <f>DAY(Таблица18[[#This Row],[Дата акта]])</f>
        <v>3</v>
      </c>
      <c r="X2033" s="148">
        <f>DATE(1900,Таблица18[[#This Row],[Месяц]],Таблица18[[#This Row],[Число]])</f>
        <v>185</v>
      </c>
      <c r="Y2033" s="121"/>
      <c r="Z2033" s="121" t="str">
        <f>Таблица18[[#This Row],[Хар-ка]]</f>
        <v>Высший</v>
      </c>
      <c r="AB2033">
        <v>648</v>
      </c>
      <c r="AD2033" s="460" t="s">
        <v>3119</v>
      </c>
      <c r="AE2033" t="s">
        <v>901</v>
      </c>
      <c r="AF2033" t="s">
        <v>53</v>
      </c>
    </row>
    <row r="2034" spans="1:32" ht="33.75" x14ac:dyDescent="0.25">
      <c r="A2034" s="40" t="s">
        <v>3957</v>
      </c>
      <c r="B2034" s="360" t="s">
        <v>3230</v>
      </c>
      <c r="C2034" s="40">
        <v>786</v>
      </c>
      <c r="D2034" s="40">
        <v>412</v>
      </c>
      <c r="E2034" s="40" t="s">
        <v>2964</v>
      </c>
      <c r="F2034" s="40" t="s">
        <v>1312</v>
      </c>
      <c r="G2034" s="40" t="s">
        <v>320</v>
      </c>
      <c r="H2034" s="40" t="s">
        <v>3110</v>
      </c>
      <c r="I2034" s="40" t="str">
        <f>VLOOKUP(Таблица18[[#This Row],[Номер акта]],$AB$1:$AF$2504,3,FALSE)</f>
        <v>А-113/1</v>
      </c>
      <c r="J2034" s="40" t="s">
        <v>901</v>
      </c>
      <c r="K2034" s="40" t="s">
        <v>3375</v>
      </c>
      <c r="L2034" s="121">
        <v>27940</v>
      </c>
      <c r="M2034" s="121">
        <v>14480</v>
      </c>
      <c r="N2034" s="121">
        <v>10.5</v>
      </c>
      <c r="O2034" s="363">
        <v>13460</v>
      </c>
      <c r="P2034" s="363">
        <v>12046.7</v>
      </c>
      <c r="Q2034" s="121">
        <v>2026</v>
      </c>
      <c r="R2034" s="121">
        <v>654</v>
      </c>
      <c r="S2034" s="148">
        <v>46207</v>
      </c>
      <c r="T2034" s="363">
        <f>Таблица18[[#This Row],[Вес нетто]]-Таблица18[[#This Row],[Зачетный вес]]</f>
        <v>1413.2999999999993</v>
      </c>
      <c r="U2034" s="392">
        <f>Таблица18[[#This Row],[Отход]]/Таблица18[[#This Row],[Вес нетто]]</f>
        <v>0.10499999999999994</v>
      </c>
      <c r="V2034" s="121">
        <f>MONTH(Таблица18[[#This Row],[Дата акта]])</f>
        <v>7</v>
      </c>
      <c r="W2034" s="121">
        <f>DAY(Таблица18[[#This Row],[Дата акта]])</f>
        <v>4</v>
      </c>
      <c r="X2034" s="148">
        <f>DATE(1900,Таблица18[[#This Row],[Месяц]],Таблица18[[#This Row],[Число]])</f>
        <v>186</v>
      </c>
      <c r="Y2034" s="121"/>
      <c r="Z2034" s="121" t="str">
        <f>Таблица18[[#This Row],[Хар-ка]]</f>
        <v>Первый</v>
      </c>
      <c r="AB2034">
        <v>649</v>
      </c>
      <c r="AD2034" s="460" t="s">
        <v>3110</v>
      </c>
      <c r="AE2034" t="s">
        <v>901</v>
      </c>
      <c r="AF2034" t="s">
        <v>2932</v>
      </c>
    </row>
    <row r="2035" spans="1:32" ht="33.75" x14ac:dyDescent="0.25">
      <c r="A2035" s="40" t="s">
        <v>3943</v>
      </c>
      <c r="B2035" s="360" t="s">
        <v>2940</v>
      </c>
      <c r="C2035" s="40">
        <v>787</v>
      </c>
      <c r="D2035" s="40">
        <v>413</v>
      </c>
      <c r="E2035" s="40" t="s">
        <v>2964</v>
      </c>
      <c r="F2035" s="40" t="s">
        <v>762</v>
      </c>
      <c r="G2035" s="40" t="s">
        <v>763</v>
      </c>
      <c r="H2035" s="40" t="s">
        <v>3110</v>
      </c>
      <c r="I2035" s="40" t="str">
        <f>VLOOKUP(Таблица18[[#This Row],[Номер акта]],$AB$1:$AF$2504,3,FALSE)</f>
        <v>А-113/1</v>
      </c>
      <c r="J2035" s="40" t="s">
        <v>901</v>
      </c>
      <c r="K2035" s="40" t="s">
        <v>3375</v>
      </c>
      <c r="L2035" s="121">
        <v>9170</v>
      </c>
      <c r="M2035" s="121">
        <v>4670</v>
      </c>
      <c r="N2035" s="121">
        <v>13.5</v>
      </c>
      <c r="O2035" s="363">
        <v>4500</v>
      </c>
      <c r="P2035" s="363">
        <v>3892.5</v>
      </c>
      <c r="Q2035" s="121">
        <v>2026</v>
      </c>
      <c r="R2035" s="121">
        <v>652</v>
      </c>
      <c r="S2035" s="148">
        <v>46207</v>
      </c>
      <c r="T2035" s="363">
        <f>Таблица18[[#This Row],[Вес нетто]]-Таблица18[[#This Row],[Зачетный вес]]</f>
        <v>607.5</v>
      </c>
      <c r="U2035" s="392">
        <f>Таблица18[[#This Row],[Отход]]/Таблица18[[#This Row],[Вес нетто]]</f>
        <v>0.13500000000000001</v>
      </c>
      <c r="V2035" s="121">
        <f>MONTH(Таблица18[[#This Row],[Дата акта]])</f>
        <v>7</v>
      </c>
      <c r="W2035" s="121">
        <f>DAY(Таблица18[[#This Row],[Дата акта]])</f>
        <v>4</v>
      </c>
      <c r="X2035" s="148">
        <f>DATE(1900,Таблица18[[#This Row],[Месяц]],Таблица18[[#This Row],[Число]])</f>
        <v>186</v>
      </c>
      <c r="Y2035" s="121"/>
      <c r="Z2035" s="121" t="str">
        <f>Таблица18[[#This Row],[Хар-ка]]</f>
        <v>Высший</v>
      </c>
      <c r="AB2035">
        <v>652</v>
      </c>
      <c r="AD2035" s="460" t="s">
        <v>3110</v>
      </c>
      <c r="AE2035" t="s">
        <v>901</v>
      </c>
      <c r="AF2035" t="s">
        <v>2932</v>
      </c>
    </row>
    <row r="2036" spans="1:32" ht="22.5" x14ac:dyDescent="0.25">
      <c r="A2036" s="40" t="s">
        <v>3933</v>
      </c>
      <c r="B2036" s="360" t="s">
        <v>3230</v>
      </c>
      <c r="C2036" s="40">
        <v>788</v>
      </c>
      <c r="D2036" s="40">
        <v>99</v>
      </c>
      <c r="E2036" s="40" t="s">
        <v>3625</v>
      </c>
      <c r="F2036" s="40" t="s">
        <v>3623</v>
      </c>
      <c r="G2036" s="40" t="s">
        <v>3679</v>
      </c>
      <c r="H2036" s="40" t="s">
        <v>3119</v>
      </c>
      <c r="I2036" s="40" t="str">
        <f>VLOOKUP(Таблица18[[#This Row],[Номер акта]],$AB$1:$AF$2504,3,FALSE)</f>
        <v>1.7 Колос</v>
      </c>
      <c r="J2036" s="40" t="s">
        <v>901</v>
      </c>
      <c r="K2036" s="40" t="s">
        <v>3645</v>
      </c>
      <c r="L2036" s="121">
        <v>28340</v>
      </c>
      <c r="M2036" s="121">
        <v>14480</v>
      </c>
      <c r="N2036" s="121">
        <v>7.5</v>
      </c>
      <c r="O2036" s="363">
        <v>13860</v>
      </c>
      <c r="P2036" s="363">
        <v>12820.5</v>
      </c>
      <c r="Q2036" s="121">
        <v>2026</v>
      </c>
      <c r="R2036" s="121">
        <v>653</v>
      </c>
      <c r="S2036" s="148">
        <v>46207</v>
      </c>
      <c r="T2036" s="363">
        <f>Таблица18[[#This Row],[Вес нетто]]-Таблица18[[#This Row],[Зачетный вес]]</f>
        <v>1039.5</v>
      </c>
      <c r="U2036" s="392">
        <f>Таблица18[[#This Row],[Отход]]/Таблица18[[#This Row],[Вес нетто]]</f>
        <v>7.4999999999999997E-2</v>
      </c>
      <c r="V2036" s="121">
        <f>MONTH(Таблица18[[#This Row],[Дата акта]])</f>
        <v>7</v>
      </c>
      <c r="W2036" s="121">
        <f>DAY(Таблица18[[#This Row],[Дата акта]])</f>
        <v>4</v>
      </c>
      <c r="X2036" s="148">
        <f>DATE(1900,Таблица18[[#This Row],[Месяц]],Таблица18[[#This Row],[Число]])</f>
        <v>186</v>
      </c>
      <c r="Y2036" s="121"/>
      <c r="Z2036" s="121" t="str">
        <f>Таблица18[[#This Row],[Хар-ка]]</f>
        <v>Первый</v>
      </c>
      <c r="AB2036">
        <v>653</v>
      </c>
      <c r="AD2036" s="460" t="s">
        <v>3119</v>
      </c>
      <c r="AE2036" t="s">
        <v>901</v>
      </c>
      <c r="AF2036" t="s">
        <v>53</v>
      </c>
    </row>
    <row r="2037" spans="1:32" ht="22.5" x14ac:dyDescent="0.25">
      <c r="A2037" s="40" t="s">
        <v>3916</v>
      </c>
      <c r="B2037" s="360" t="s">
        <v>2940</v>
      </c>
      <c r="C2037" s="40">
        <v>789</v>
      </c>
      <c r="D2037" s="40">
        <v>100</v>
      </c>
      <c r="E2037" s="40" t="s">
        <v>3625</v>
      </c>
      <c r="F2037" s="40" t="s">
        <v>347</v>
      </c>
      <c r="G2037" s="40" t="s">
        <v>351</v>
      </c>
      <c r="H2037" s="40" t="s">
        <v>3118</v>
      </c>
      <c r="I2037" s="40" t="str">
        <f>VLOOKUP(Таблица18[[#This Row],[Номер акта]],$AB$1:$AF$2504,3,FALSE)</f>
        <v>1.6 Колос</v>
      </c>
      <c r="J2037" s="40" t="s">
        <v>901</v>
      </c>
      <c r="K2037" s="40" t="s">
        <v>3645</v>
      </c>
      <c r="L2037" s="121">
        <v>29580</v>
      </c>
      <c r="M2037" s="121">
        <v>15870</v>
      </c>
      <c r="N2037" s="121">
        <v>5.5</v>
      </c>
      <c r="O2037" s="363">
        <v>13710</v>
      </c>
      <c r="P2037" s="363">
        <v>12956</v>
      </c>
      <c r="Q2037" s="121">
        <v>2026</v>
      </c>
      <c r="R2037" s="121">
        <v>655</v>
      </c>
      <c r="S2037" s="148">
        <v>46207</v>
      </c>
      <c r="T2037" s="363">
        <f>Таблица18[[#This Row],[Вес нетто]]-Таблица18[[#This Row],[Зачетный вес]]</f>
        <v>754</v>
      </c>
      <c r="U2037" s="392">
        <f>Таблица18[[#This Row],[Отход]]/Таблица18[[#This Row],[Вес нетто]]</f>
        <v>5.4996353026987597E-2</v>
      </c>
      <c r="V2037" s="121">
        <f>MONTH(Таблица18[[#This Row],[Дата акта]])</f>
        <v>7</v>
      </c>
      <c r="W2037" s="121">
        <f>DAY(Таблица18[[#This Row],[Дата акта]])</f>
        <v>4</v>
      </c>
      <c r="X2037" s="148">
        <f>DATE(1900,Таблица18[[#This Row],[Месяц]],Таблица18[[#This Row],[Число]])</f>
        <v>186</v>
      </c>
      <c r="Y2037" s="121"/>
      <c r="Z2037" s="121" t="str">
        <f>Таблица18[[#This Row],[Хар-ка]]</f>
        <v>Высший</v>
      </c>
      <c r="AB2037">
        <v>654</v>
      </c>
      <c r="AD2037" s="460" t="s">
        <v>3110</v>
      </c>
      <c r="AE2037" t="s">
        <v>901</v>
      </c>
      <c r="AF2037" t="s">
        <v>2932</v>
      </c>
    </row>
    <row r="2038" spans="1:32" ht="22.5" x14ac:dyDescent="0.25">
      <c r="A2038" s="40" t="s">
        <v>3946</v>
      </c>
      <c r="B2038" s="360" t="s">
        <v>2940</v>
      </c>
      <c r="C2038" s="40">
        <v>790</v>
      </c>
      <c r="D2038" s="40">
        <v>414</v>
      </c>
      <c r="E2038" s="40" t="s">
        <v>2964</v>
      </c>
      <c r="F2038" s="40" t="s">
        <v>894</v>
      </c>
      <c r="G2038" s="40" t="s">
        <v>895</v>
      </c>
      <c r="H2038" s="40" t="s">
        <v>3110</v>
      </c>
      <c r="I2038" s="40" t="str">
        <f>VLOOKUP(Таблица18[[#This Row],[Номер акта]],$AB$1:$AF$2504,3,FALSE)</f>
        <v>А-113/1</v>
      </c>
      <c r="J2038" s="40" t="s">
        <v>901</v>
      </c>
      <c r="K2038" s="40" t="s">
        <v>3375</v>
      </c>
      <c r="L2038" s="121">
        <v>21680</v>
      </c>
      <c r="M2038" s="121">
        <v>15010</v>
      </c>
      <c r="N2038" s="121">
        <v>12.5</v>
      </c>
      <c r="O2038" s="363">
        <v>6670</v>
      </c>
      <c r="P2038" s="363">
        <v>5836.3</v>
      </c>
      <c r="Q2038" s="121">
        <v>2026</v>
      </c>
      <c r="R2038" s="121">
        <v>656</v>
      </c>
      <c r="S2038" s="148">
        <v>46207</v>
      </c>
      <c r="T2038" s="363">
        <f>Таблица18[[#This Row],[Вес нетто]]-Таблица18[[#This Row],[Зачетный вес]]</f>
        <v>833.69999999999982</v>
      </c>
      <c r="U2038" s="392">
        <f>Таблица18[[#This Row],[Отход]]/Таблица18[[#This Row],[Вес нетто]]</f>
        <v>0.12499250374812591</v>
      </c>
      <c r="V2038" s="121">
        <f>MONTH(Таблица18[[#This Row],[Дата акта]])</f>
        <v>7</v>
      </c>
      <c r="W2038" s="121">
        <f>DAY(Таблица18[[#This Row],[Дата акта]])</f>
        <v>4</v>
      </c>
      <c r="X2038" s="148">
        <f>DATE(1900,Таблица18[[#This Row],[Месяц]],Таблица18[[#This Row],[Число]])</f>
        <v>186</v>
      </c>
      <c r="Y2038" s="121"/>
      <c r="Z2038" s="121" t="str">
        <f>Таблица18[[#This Row],[Хар-ка]]</f>
        <v>Высший</v>
      </c>
      <c r="AB2038">
        <v>655</v>
      </c>
      <c r="AD2038" s="460" t="s">
        <v>3118</v>
      </c>
      <c r="AE2038" t="s">
        <v>901</v>
      </c>
      <c r="AF2038" t="s">
        <v>53</v>
      </c>
    </row>
    <row r="2039" spans="1:32" ht="33.75" x14ac:dyDescent="0.25">
      <c r="A2039" s="40" t="s">
        <v>3915</v>
      </c>
      <c r="B2039" s="360" t="s">
        <v>2940</v>
      </c>
      <c r="C2039" s="40">
        <v>791</v>
      </c>
      <c r="D2039" s="40">
        <v>101</v>
      </c>
      <c r="E2039" s="40" t="s">
        <v>3625</v>
      </c>
      <c r="F2039" s="40" t="s">
        <v>311</v>
      </c>
      <c r="G2039" s="40" t="s">
        <v>315</v>
      </c>
      <c r="H2039" s="40" t="s">
        <v>3118</v>
      </c>
      <c r="I2039" s="40" t="str">
        <f>VLOOKUP(Таблица18[[#This Row],[Номер акта]],$AB$1:$AF$2504,3,FALSE)</f>
        <v>1.6 Колос</v>
      </c>
      <c r="J2039" s="40" t="s">
        <v>901</v>
      </c>
      <c r="K2039" s="40" t="s">
        <v>3645</v>
      </c>
      <c r="L2039" s="121">
        <v>28670</v>
      </c>
      <c r="M2039" s="121">
        <v>15070</v>
      </c>
      <c r="N2039" s="121">
        <v>7.5</v>
      </c>
      <c r="O2039" s="363">
        <v>13600</v>
      </c>
      <c r="P2039" s="363">
        <v>12580</v>
      </c>
      <c r="Q2039" s="121">
        <v>2026</v>
      </c>
      <c r="R2039" s="121">
        <v>657</v>
      </c>
      <c r="S2039" s="148">
        <v>46207</v>
      </c>
      <c r="T2039" s="363">
        <f>Таблица18[[#This Row],[Вес нетто]]-Таблица18[[#This Row],[Зачетный вес]]</f>
        <v>1020</v>
      </c>
      <c r="U2039" s="392">
        <f>Таблица18[[#This Row],[Отход]]/Таблица18[[#This Row],[Вес нетто]]</f>
        <v>7.4999999999999997E-2</v>
      </c>
      <c r="V2039" s="121">
        <f>MONTH(Таблица18[[#This Row],[Дата акта]])</f>
        <v>7</v>
      </c>
      <c r="W2039" s="121">
        <f>DAY(Таблица18[[#This Row],[Дата акта]])</f>
        <v>4</v>
      </c>
      <c r="X2039" s="148">
        <f>DATE(1900,Таблица18[[#This Row],[Месяц]],Таблица18[[#This Row],[Число]])</f>
        <v>186</v>
      </c>
      <c r="Y2039" s="121"/>
      <c r="Z2039" s="121" t="str">
        <f>Таблица18[[#This Row],[Хар-ка]]</f>
        <v>Высший</v>
      </c>
      <c r="AB2039">
        <v>656</v>
      </c>
      <c r="AD2039" s="460" t="s">
        <v>3110</v>
      </c>
      <c r="AE2039" t="s">
        <v>901</v>
      </c>
      <c r="AF2039" t="s">
        <v>2932</v>
      </c>
    </row>
    <row r="2040" spans="1:32" ht="33.75" x14ac:dyDescent="0.25">
      <c r="A2040" s="40" t="s">
        <v>3918</v>
      </c>
      <c r="B2040" s="360" t="s">
        <v>2940</v>
      </c>
      <c r="C2040" s="40">
        <v>792</v>
      </c>
      <c r="D2040" s="40">
        <v>102</v>
      </c>
      <c r="E2040" s="40" t="s">
        <v>3625</v>
      </c>
      <c r="F2040" s="40" t="s">
        <v>3892</v>
      </c>
      <c r="G2040" s="40" t="s">
        <v>1368</v>
      </c>
      <c r="H2040" s="40" t="s">
        <v>3123</v>
      </c>
      <c r="I2040" s="40" t="str">
        <f>VLOOKUP(Таблица18[[#This Row],[Номер акта]],$AB$1:$AF$2504,3,FALSE)</f>
        <v>3.6 Колос</v>
      </c>
      <c r="J2040" s="40" t="s">
        <v>897</v>
      </c>
      <c r="K2040" s="40" t="s">
        <v>3645</v>
      </c>
      <c r="L2040" s="121">
        <v>28130</v>
      </c>
      <c r="M2040" s="121">
        <v>14920</v>
      </c>
      <c r="N2040" s="121">
        <v>23</v>
      </c>
      <c r="O2040" s="363">
        <v>13210</v>
      </c>
      <c r="P2040" s="363">
        <v>10171.700000000001</v>
      </c>
      <c r="Q2040" s="121">
        <v>2026</v>
      </c>
      <c r="R2040" s="121">
        <v>659</v>
      </c>
      <c r="S2040" s="148">
        <v>46207</v>
      </c>
      <c r="T2040" s="363">
        <f>Таблица18[[#This Row],[Вес нетто]]-Таблица18[[#This Row],[Зачетный вес]]</f>
        <v>3038.2999999999993</v>
      </c>
      <c r="U2040" s="392">
        <f>Таблица18[[#This Row],[Отход]]/Таблица18[[#This Row],[Вес нетто]]</f>
        <v>0.22999999999999995</v>
      </c>
      <c r="V2040" s="121">
        <f>MONTH(Таблица18[[#This Row],[Дата акта]])</f>
        <v>7</v>
      </c>
      <c r="W2040" s="121">
        <f>DAY(Таблица18[[#This Row],[Дата акта]])</f>
        <v>4</v>
      </c>
      <c r="X2040" s="148">
        <f>DATE(1900,Таблица18[[#This Row],[Месяц]],Таблица18[[#This Row],[Число]])</f>
        <v>186</v>
      </c>
      <c r="Y2040" s="121"/>
      <c r="Z2040" s="121" t="str">
        <f>Таблица18[[#This Row],[Хар-ка]]</f>
        <v>Высший</v>
      </c>
      <c r="AB2040">
        <v>657</v>
      </c>
      <c r="AD2040" s="460" t="s">
        <v>3118</v>
      </c>
      <c r="AE2040" t="s">
        <v>901</v>
      </c>
      <c r="AF2040" t="s">
        <v>53</v>
      </c>
    </row>
    <row r="2041" spans="1:32" ht="33.75" x14ac:dyDescent="0.25">
      <c r="A2041" s="40" t="s">
        <v>3900</v>
      </c>
      <c r="B2041" s="360" t="s">
        <v>2940</v>
      </c>
      <c r="C2041" s="40">
        <v>794</v>
      </c>
      <c r="D2041" s="40">
        <v>415</v>
      </c>
      <c r="E2041" s="40" t="s">
        <v>2964</v>
      </c>
      <c r="F2041" s="40" t="s">
        <v>1312</v>
      </c>
      <c r="G2041" s="40" t="s">
        <v>320</v>
      </c>
      <c r="H2041" s="40" t="s">
        <v>3098</v>
      </c>
      <c r="I2041" s="40" t="str">
        <f>VLOOKUP(Таблица18[[#This Row],[Номер акта]],$AB$1:$AF$2504,3,FALSE)</f>
        <v>А-116/1</v>
      </c>
      <c r="J2041" s="40" t="s">
        <v>901</v>
      </c>
      <c r="K2041" s="40" t="s">
        <v>2939</v>
      </c>
      <c r="L2041" s="121">
        <v>27510</v>
      </c>
      <c r="M2041" s="121">
        <v>14560</v>
      </c>
      <c r="N2041" s="121">
        <v>17.5</v>
      </c>
      <c r="O2041" s="363">
        <v>12950</v>
      </c>
      <c r="P2041" s="363">
        <v>10683.8</v>
      </c>
      <c r="Q2041" s="121">
        <v>2026</v>
      </c>
      <c r="R2041" s="121">
        <v>658</v>
      </c>
      <c r="S2041" s="148">
        <v>46207</v>
      </c>
      <c r="T2041" s="363">
        <f>Таблица18[[#This Row],[Вес нетто]]-Таблица18[[#This Row],[Зачетный вес]]</f>
        <v>2266.2000000000007</v>
      </c>
      <c r="U2041" s="392">
        <f>Таблица18[[#This Row],[Отход]]/Таблица18[[#This Row],[Вес нетто]]</f>
        <v>0.17499613899613906</v>
      </c>
      <c r="V2041" s="121">
        <f>MONTH(Таблица18[[#This Row],[Дата акта]])</f>
        <v>7</v>
      </c>
      <c r="W2041" s="121">
        <f>DAY(Таблица18[[#This Row],[Дата акта]])</f>
        <v>4</v>
      </c>
      <c r="X2041" s="148">
        <f>DATE(1900,Таблица18[[#This Row],[Месяц]],Таблица18[[#This Row],[Число]])</f>
        <v>186</v>
      </c>
      <c r="Y2041" s="121"/>
      <c r="Z2041" s="121" t="str">
        <f>Таблица18[[#This Row],[Хар-ка]]</f>
        <v>Высший</v>
      </c>
      <c r="AB2041">
        <v>658</v>
      </c>
      <c r="AD2041" s="460" t="s">
        <v>3098</v>
      </c>
      <c r="AE2041" t="s">
        <v>901</v>
      </c>
      <c r="AF2041" t="s">
        <v>46</v>
      </c>
    </row>
    <row r="2042" spans="1:32" ht="33.75" x14ac:dyDescent="0.25">
      <c r="A2042" s="40" t="s">
        <v>3899</v>
      </c>
      <c r="B2042" s="360" t="s">
        <v>2940</v>
      </c>
      <c r="C2042" s="40">
        <v>811</v>
      </c>
      <c r="D2042" s="40">
        <v>429</v>
      </c>
      <c r="E2042" s="40" t="s">
        <v>2964</v>
      </c>
      <c r="F2042" s="40" t="s">
        <v>737</v>
      </c>
      <c r="G2042" s="40" t="s">
        <v>738</v>
      </c>
      <c r="H2042" s="40" t="s">
        <v>3098</v>
      </c>
      <c r="I2042" s="40" t="str">
        <f>VLOOKUP(Таблица18[[#This Row],[Номер акта]],$AB$1:$AF$2504,3,FALSE)</f>
        <v>А-116/1</v>
      </c>
      <c r="J2042" s="40" t="s">
        <v>901</v>
      </c>
      <c r="K2042" s="40" t="s">
        <v>2939</v>
      </c>
      <c r="L2042" s="121">
        <v>8950</v>
      </c>
      <c r="M2042" s="121">
        <v>4630</v>
      </c>
      <c r="N2042" s="121">
        <v>9.5</v>
      </c>
      <c r="O2042" s="363">
        <v>4320</v>
      </c>
      <c r="P2042" s="363">
        <v>3909.6</v>
      </c>
      <c r="Q2042" s="121">
        <v>2026</v>
      </c>
      <c r="R2042" s="121">
        <v>675</v>
      </c>
      <c r="S2042" s="148">
        <v>46208</v>
      </c>
      <c r="T2042" s="363">
        <f>Таблица18[[#This Row],[Вес нетто]]-Таблица18[[#This Row],[Зачетный вес]]</f>
        <v>410.40000000000009</v>
      </c>
      <c r="U2042" s="392">
        <f>Таблица18[[#This Row],[Отход]]/Таблица18[[#This Row],[Вес нетто]]</f>
        <v>9.5000000000000015E-2</v>
      </c>
      <c r="V2042" s="121">
        <f>MONTH(Таблица18[[#This Row],[Дата акта]])</f>
        <v>7</v>
      </c>
      <c r="W2042" s="121">
        <f>DAY(Таблица18[[#This Row],[Дата акта]])</f>
        <v>5</v>
      </c>
      <c r="X2042" s="148">
        <f>DATE(1900,Таблица18[[#This Row],[Месяц]],Таблица18[[#This Row],[Число]])</f>
        <v>187</v>
      </c>
      <c r="Y2042" s="121"/>
      <c r="Z2042" s="121" t="str">
        <f>Таблица18[[#This Row],[Хар-ка]]</f>
        <v>Высший</v>
      </c>
      <c r="AB2042">
        <v>659</v>
      </c>
      <c r="AD2042" s="460" t="s">
        <v>3123</v>
      </c>
      <c r="AE2042" t="s">
        <v>901</v>
      </c>
      <c r="AF2042" t="s">
        <v>53</v>
      </c>
    </row>
    <row r="2043" spans="1:32" ht="22.5" x14ac:dyDescent="0.25">
      <c r="A2043" s="40" t="s">
        <v>3910</v>
      </c>
      <c r="B2043" s="360" t="s">
        <v>3230</v>
      </c>
      <c r="C2043" s="40">
        <v>812</v>
      </c>
      <c r="D2043" s="40">
        <v>430</v>
      </c>
      <c r="E2043" s="40" t="s">
        <v>2964</v>
      </c>
      <c r="F2043" s="40" t="s">
        <v>212</v>
      </c>
      <c r="G2043" s="40" t="s">
        <v>2965</v>
      </c>
      <c r="H2043" s="40" t="s">
        <v>3098</v>
      </c>
      <c r="I2043" s="40" t="str">
        <f>VLOOKUP(Таблица18[[#This Row],[Номер акта]],$AB$1:$AF$2504,3,FALSE)</f>
        <v>А-116/1</v>
      </c>
      <c r="J2043" s="40" t="s">
        <v>901</v>
      </c>
      <c r="K2043" s="40" t="s">
        <v>2939</v>
      </c>
      <c r="L2043" s="121">
        <v>30670</v>
      </c>
      <c r="M2043" s="121">
        <v>15730</v>
      </c>
      <c r="N2043" s="121">
        <v>8.5</v>
      </c>
      <c r="O2043" s="363">
        <v>14940</v>
      </c>
      <c r="P2043" s="363">
        <v>13670.1</v>
      </c>
      <c r="Q2043" s="121">
        <v>2026</v>
      </c>
      <c r="R2043" s="121">
        <v>676</v>
      </c>
      <c r="S2043" s="148">
        <v>46208</v>
      </c>
      <c r="T2043" s="363">
        <f>Таблица18[[#This Row],[Вес нетто]]-Таблица18[[#This Row],[Зачетный вес]]</f>
        <v>1269.8999999999996</v>
      </c>
      <c r="U2043" s="392">
        <f>Таблица18[[#This Row],[Отход]]/Таблица18[[#This Row],[Вес нетто]]</f>
        <v>8.4999999999999978E-2</v>
      </c>
      <c r="V2043" s="121">
        <f>MONTH(Таблица18[[#This Row],[Дата акта]])</f>
        <v>7</v>
      </c>
      <c r="W2043" s="121">
        <f>DAY(Таблица18[[#This Row],[Дата акта]])</f>
        <v>5</v>
      </c>
      <c r="X2043" s="148">
        <f>DATE(1900,Таблица18[[#This Row],[Месяц]],Таблица18[[#This Row],[Число]])</f>
        <v>187</v>
      </c>
      <c r="Y2043" s="121"/>
      <c r="Z2043" s="121" t="str">
        <f>Таблица18[[#This Row],[Хар-ка]]</f>
        <v>Первый</v>
      </c>
      <c r="AB2043">
        <v>660</v>
      </c>
      <c r="AD2043" s="460" t="s">
        <v>3098</v>
      </c>
      <c r="AE2043" t="s">
        <v>901</v>
      </c>
      <c r="AF2043" t="s">
        <v>46</v>
      </c>
    </row>
    <row r="2044" spans="1:32" ht="33.75" x14ac:dyDescent="0.25">
      <c r="A2044" s="40" t="s">
        <v>3945</v>
      </c>
      <c r="B2044" s="360" t="s">
        <v>2940</v>
      </c>
      <c r="C2044" s="40">
        <v>813</v>
      </c>
      <c r="D2044" s="40">
        <v>431</v>
      </c>
      <c r="E2044" s="40" t="s">
        <v>2964</v>
      </c>
      <c r="F2044" s="40" t="s">
        <v>2967</v>
      </c>
      <c r="G2044" s="40" t="s">
        <v>1810</v>
      </c>
      <c r="H2044" s="40" t="s">
        <v>3108</v>
      </c>
      <c r="I2044" s="40" t="str">
        <f>VLOOKUP(Таблица18[[#This Row],[Номер акта]],$AB$1:$AF$2504,3,FALSE)</f>
        <v>А-108/7</v>
      </c>
      <c r="J2044" s="40" t="s">
        <v>900</v>
      </c>
      <c r="K2044" s="40" t="s">
        <v>3375</v>
      </c>
      <c r="L2044" s="121">
        <v>27200</v>
      </c>
      <c r="M2044" s="121">
        <v>14260</v>
      </c>
      <c r="N2044" s="121">
        <v>13</v>
      </c>
      <c r="O2044" s="363">
        <v>12940</v>
      </c>
      <c r="P2044" s="363">
        <v>11257.8</v>
      </c>
      <c r="Q2044" s="121">
        <v>2026</v>
      </c>
      <c r="R2044" s="121">
        <v>678</v>
      </c>
      <c r="S2044" s="148">
        <v>46208</v>
      </c>
      <c r="T2044" s="363">
        <f>Таблица18[[#This Row],[Вес нетто]]-Таблица18[[#This Row],[Зачетный вес]]</f>
        <v>1682.2000000000007</v>
      </c>
      <c r="U2044" s="392">
        <f>Таблица18[[#This Row],[Отход]]/Таблица18[[#This Row],[Вес нетто]]</f>
        <v>0.13000000000000006</v>
      </c>
      <c r="V2044" s="121">
        <f>MONTH(Таблица18[[#This Row],[Дата акта]])</f>
        <v>7</v>
      </c>
      <c r="W2044" s="121">
        <f>DAY(Таблица18[[#This Row],[Дата акта]])</f>
        <v>5</v>
      </c>
      <c r="X2044" s="148">
        <f>DATE(1900,Таблица18[[#This Row],[Месяц]],Таблица18[[#This Row],[Число]])</f>
        <v>187</v>
      </c>
      <c r="Y2044" s="121"/>
      <c r="Z2044" s="121" t="str">
        <f>Таблица18[[#This Row],[Хар-ка]]</f>
        <v>Высший</v>
      </c>
      <c r="AB2044">
        <v>661</v>
      </c>
      <c r="AD2044" s="460" t="s">
        <v>3098</v>
      </c>
      <c r="AE2044" t="s">
        <v>901</v>
      </c>
      <c r="AF2044" t="s">
        <v>46</v>
      </c>
    </row>
    <row r="2045" spans="1:32" ht="33.75" x14ac:dyDescent="0.25">
      <c r="A2045" s="40" t="s">
        <v>3913</v>
      </c>
      <c r="B2045" s="360" t="s">
        <v>2940</v>
      </c>
      <c r="C2045" s="40">
        <v>814</v>
      </c>
      <c r="D2045" s="40">
        <v>106</v>
      </c>
      <c r="E2045" s="40" t="s">
        <v>3625</v>
      </c>
      <c r="F2045" s="40" t="s">
        <v>3838</v>
      </c>
      <c r="G2045" s="40" t="s">
        <v>270</v>
      </c>
      <c r="H2045" s="40" t="s">
        <v>3123</v>
      </c>
      <c r="I2045" s="40" t="str">
        <f>VLOOKUP(Таблица18[[#This Row],[Номер акта]],$AB$1:$AF$2504,3,FALSE)</f>
        <v>3.6 Колос</v>
      </c>
      <c r="J2045" s="40" t="s">
        <v>897</v>
      </c>
      <c r="K2045" s="40" t="s">
        <v>3645</v>
      </c>
      <c r="L2045" s="121">
        <v>27360</v>
      </c>
      <c r="M2045" s="121">
        <v>14880</v>
      </c>
      <c r="N2045" s="121">
        <v>8.5</v>
      </c>
      <c r="O2045" s="363">
        <v>12480</v>
      </c>
      <c r="P2045" s="363">
        <v>11419.2</v>
      </c>
      <c r="Q2045" s="121">
        <v>2026</v>
      </c>
      <c r="R2045" s="121">
        <v>677</v>
      </c>
      <c r="S2045" s="148">
        <v>46208</v>
      </c>
      <c r="T2045" s="363">
        <f>Таблица18[[#This Row],[Вес нетто]]-Таблица18[[#This Row],[Зачетный вес]]</f>
        <v>1060.7999999999993</v>
      </c>
      <c r="U2045" s="392">
        <f>Таблица18[[#This Row],[Отход]]/Таблица18[[#This Row],[Вес нетто]]</f>
        <v>8.4999999999999937E-2</v>
      </c>
      <c r="V2045" s="121">
        <f>MONTH(Таблица18[[#This Row],[Дата акта]])</f>
        <v>7</v>
      </c>
      <c r="W2045" s="121">
        <f>DAY(Таблица18[[#This Row],[Дата акта]])</f>
        <v>5</v>
      </c>
      <c r="X2045" s="148">
        <f>DATE(1900,Таблица18[[#This Row],[Месяц]],Таблица18[[#This Row],[Число]])</f>
        <v>187</v>
      </c>
      <c r="Y2045" s="121"/>
      <c r="Z2045" s="121" t="str">
        <f>Таблица18[[#This Row],[Хар-ка]]</f>
        <v>Высший</v>
      </c>
      <c r="AB2045">
        <v>662</v>
      </c>
      <c r="AD2045" s="460" t="s">
        <v>3098</v>
      </c>
      <c r="AE2045" t="s">
        <v>901</v>
      </c>
      <c r="AF2045" t="s">
        <v>46</v>
      </c>
    </row>
    <row r="2046" spans="1:32" ht="22.5" x14ac:dyDescent="0.25">
      <c r="A2046" s="40" t="s">
        <v>3942</v>
      </c>
      <c r="B2046" s="360" t="s">
        <v>2940</v>
      </c>
      <c r="C2046" s="40">
        <v>815</v>
      </c>
      <c r="D2046" s="40">
        <v>432</v>
      </c>
      <c r="E2046" s="40" t="s">
        <v>2964</v>
      </c>
      <c r="F2046" s="40" t="s">
        <v>212</v>
      </c>
      <c r="G2046" s="40" t="s">
        <v>2965</v>
      </c>
      <c r="H2046" s="40" t="s">
        <v>3108</v>
      </c>
      <c r="I2046" s="40" t="str">
        <f>VLOOKUP(Таблица18[[#This Row],[Номер акта]],$AB$1:$AF$2504,3,FALSE)</f>
        <v>А-108/7</v>
      </c>
      <c r="J2046" s="40" t="s">
        <v>900</v>
      </c>
      <c r="K2046" s="40" t="s">
        <v>3375</v>
      </c>
      <c r="L2046" s="121">
        <v>30140</v>
      </c>
      <c r="M2046" s="121">
        <v>15710</v>
      </c>
      <c r="N2046" s="121">
        <v>8.5</v>
      </c>
      <c r="O2046" s="363">
        <v>14430</v>
      </c>
      <c r="P2046" s="363">
        <v>13203.5</v>
      </c>
      <c r="Q2046" s="121">
        <v>2026</v>
      </c>
      <c r="R2046" s="121">
        <v>679</v>
      </c>
      <c r="S2046" s="148">
        <v>46208</v>
      </c>
      <c r="T2046" s="363">
        <f>Таблица18[[#This Row],[Вес нетто]]-Таблица18[[#This Row],[Зачетный вес]]</f>
        <v>1226.5</v>
      </c>
      <c r="U2046" s="392">
        <f>Таблица18[[#This Row],[Отход]]/Таблица18[[#This Row],[Вес нетто]]</f>
        <v>8.4996534996534992E-2</v>
      </c>
      <c r="V2046" s="121">
        <f>MONTH(Таблица18[[#This Row],[Дата акта]])</f>
        <v>7</v>
      </c>
      <c r="W2046" s="121">
        <f>DAY(Таблица18[[#This Row],[Дата акта]])</f>
        <v>5</v>
      </c>
      <c r="X2046" s="148">
        <f>DATE(1900,Таблица18[[#This Row],[Месяц]],Таблица18[[#This Row],[Число]])</f>
        <v>187</v>
      </c>
      <c r="Y2046" s="121"/>
      <c r="Z2046" s="121" t="str">
        <f>Таблица18[[#This Row],[Хар-ка]]</f>
        <v>Высший</v>
      </c>
      <c r="AB2046">
        <v>663</v>
      </c>
      <c r="AD2046" s="460" t="s">
        <v>3123</v>
      </c>
      <c r="AE2046" t="s">
        <v>901</v>
      </c>
      <c r="AF2046" t="s">
        <v>53</v>
      </c>
    </row>
    <row r="2047" spans="1:32" ht="33.75" x14ac:dyDescent="0.25">
      <c r="A2047" s="40" t="s">
        <v>3921</v>
      </c>
      <c r="B2047" s="360" t="s">
        <v>2940</v>
      </c>
      <c r="C2047" s="40">
        <v>816</v>
      </c>
      <c r="D2047" s="40">
        <v>107</v>
      </c>
      <c r="E2047" s="40" t="s">
        <v>3625</v>
      </c>
      <c r="F2047" s="40" t="s">
        <v>239</v>
      </c>
      <c r="G2047" s="40" t="s">
        <v>243</v>
      </c>
      <c r="H2047" s="40" t="s">
        <v>3123</v>
      </c>
      <c r="I2047" s="40" t="str">
        <f>VLOOKUP(Таблица18[[#This Row],[Номер акта]],$AB$1:$AF$2504,3,FALSE)</f>
        <v>3.6 Колос</v>
      </c>
      <c r="J2047" s="40" t="s">
        <v>897</v>
      </c>
      <c r="K2047" s="40" t="s">
        <v>3645</v>
      </c>
      <c r="L2047" s="121">
        <v>27520</v>
      </c>
      <c r="M2047" s="121">
        <v>14590</v>
      </c>
      <c r="N2047" s="121">
        <v>10.5</v>
      </c>
      <c r="O2047" s="363">
        <v>12930</v>
      </c>
      <c r="P2047" s="363">
        <v>11572.4</v>
      </c>
      <c r="Q2047" s="121">
        <v>2026</v>
      </c>
      <c r="R2047" s="121">
        <v>680</v>
      </c>
      <c r="S2047" s="148">
        <v>46208</v>
      </c>
      <c r="T2047" s="363">
        <f>Таблица18[[#This Row],[Вес нетто]]-Таблица18[[#This Row],[Зачетный вес]]</f>
        <v>1357.6000000000004</v>
      </c>
      <c r="U2047" s="392">
        <f>Таблица18[[#This Row],[Отход]]/Таблица18[[#This Row],[Вес нетто]]</f>
        <v>0.10499613302397529</v>
      </c>
      <c r="V2047" s="121">
        <f>MONTH(Таблица18[[#This Row],[Дата акта]])</f>
        <v>7</v>
      </c>
      <c r="W2047" s="121">
        <f>DAY(Таблица18[[#This Row],[Дата акта]])</f>
        <v>5</v>
      </c>
      <c r="X2047" s="148">
        <f>DATE(1900,Таблица18[[#This Row],[Месяц]],Таблица18[[#This Row],[Число]])</f>
        <v>187</v>
      </c>
      <c r="Y2047" s="121"/>
      <c r="Z2047" s="121" t="str">
        <f>Таблица18[[#This Row],[Хар-ка]]</f>
        <v>Высший</v>
      </c>
      <c r="AB2047">
        <v>664</v>
      </c>
      <c r="AD2047" s="460" t="s">
        <v>3098</v>
      </c>
      <c r="AE2047" t="s">
        <v>901</v>
      </c>
      <c r="AF2047" t="s">
        <v>46</v>
      </c>
    </row>
    <row r="2048" spans="1:32" ht="33.75" x14ac:dyDescent="0.25">
      <c r="A2048" s="40" t="s">
        <v>3937</v>
      </c>
      <c r="B2048" s="360" t="s">
        <v>3230</v>
      </c>
      <c r="C2048" s="40">
        <v>818</v>
      </c>
      <c r="D2048" s="40">
        <v>108</v>
      </c>
      <c r="E2048" s="40" t="s">
        <v>3625</v>
      </c>
      <c r="F2048" s="40" t="s">
        <v>3853</v>
      </c>
      <c r="G2048" s="40" t="s">
        <v>3854</v>
      </c>
      <c r="H2048" s="40" t="s">
        <v>3123</v>
      </c>
      <c r="I2048" s="40" t="str">
        <f>VLOOKUP(Таблица18[[#This Row],[Номер акта]],$AB$1:$AF$2504,3,FALSE)</f>
        <v>3.6 Колос</v>
      </c>
      <c r="J2048" s="40" t="s">
        <v>897</v>
      </c>
      <c r="K2048" s="40" t="s">
        <v>3645</v>
      </c>
      <c r="L2048" s="121">
        <v>27940</v>
      </c>
      <c r="M2048" s="121">
        <v>14880</v>
      </c>
      <c r="N2048" s="121">
        <v>4.5</v>
      </c>
      <c r="O2048" s="363">
        <v>13060</v>
      </c>
      <c r="P2048" s="363">
        <v>12472.3</v>
      </c>
      <c r="Q2048" s="121">
        <v>2026</v>
      </c>
      <c r="R2048" s="121">
        <v>681</v>
      </c>
      <c r="S2048" s="148">
        <v>46208</v>
      </c>
      <c r="T2048" s="363">
        <f>Таблица18[[#This Row],[Вес нетто]]-Таблица18[[#This Row],[Зачетный вес]]</f>
        <v>587.70000000000073</v>
      </c>
      <c r="U2048" s="392">
        <f>Таблица18[[#This Row],[Отход]]/Таблица18[[#This Row],[Вес нетто]]</f>
        <v>4.5000000000000054E-2</v>
      </c>
      <c r="V2048" s="121">
        <f>MONTH(Таблица18[[#This Row],[Дата акта]])</f>
        <v>7</v>
      </c>
      <c r="W2048" s="121">
        <f>DAY(Таблица18[[#This Row],[Дата акта]])</f>
        <v>5</v>
      </c>
      <c r="X2048" s="148">
        <f>DATE(1900,Таблица18[[#This Row],[Месяц]],Таблица18[[#This Row],[Число]])</f>
        <v>187</v>
      </c>
      <c r="Y2048" s="121"/>
      <c r="Z2048" s="121" t="str">
        <f>Таблица18[[#This Row],[Хар-ка]]</f>
        <v>Первый</v>
      </c>
      <c r="AB2048">
        <v>665</v>
      </c>
      <c r="AD2048" s="460" t="s">
        <v>3098</v>
      </c>
      <c r="AE2048" t="s">
        <v>901</v>
      </c>
      <c r="AF2048" t="s">
        <v>46</v>
      </c>
    </row>
    <row r="2049" spans="1:32" ht="22.5" x14ac:dyDescent="0.25">
      <c r="A2049" s="40" t="s">
        <v>3952</v>
      </c>
      <c r="B2049" s="360" t="s">
        <v>3230</v>
      </c>
      <c r="C2049" s="40">
        <v>819</v>
      </c>
      <c r="D2049" s="40">
        <v>433</v>
      </c>
      <c r="E2049" s="40" t="s">
        <v>2964</v>
      </c>
      <c r="F2049" s="40" t="s">
        <v>894</v>
      </c>
      <c r="G2049" s="40" t="s">
        <v>895</v>
      </c>
      <c r="H2049" s="40" t="s">
        <v>3108</v>
      </c>
      <c r="I2049" s="40" t="str">
        <f>VLOOKUP(Таблица18[[#This Row],[Номер акта]],$AB$1:$AF$2504,3,FALSE)</f>
        <v>А-108/7</v>
      </c>
      <c r="J2049" s="40" t="s">
        <v>900</v>
      </c>
      <c r="K2049" s="40" t="s">
        <v>3375</v>
      </c>
      <c r="L2049" s="121">
        <v>28180</v>
      </c>
      <c r="M2049" s="121">
        <v>14990</v>
      </c>
      <c r="N2049" s="121">
        <v>15</v>
      </c>
      <c r="O2049" s="363">
        <v>13190</v>
      </c>
      <c r="P2049" s="363">
        <v>11211.5</v>
      </c>
      <c r="Q2049" s="121">
        <v>2026</v>
      </c>
      <c r="R2049" s="121">
        <v>682</v>
      </c>
      <c r="S2049" s="148">
        <v>46208</v>
      </c>
      <c r="T2049" s="363">
        <f>Таблица18[[#This Row],[Вес нетто]]-Таблица18[[#This Row],[Зачетный вес]]</f>
        <v>1978.5</v>
      </c>
      <c r="U2049" s="392">
        <f>Таблица18[[#This Row],[Отход]]/Таблица18[[#This Row],[Вес нетто]]</f>
        <v>0.15</v>
      </c>
      <c r="V2049" s="121">
        <f>MONTH(Таблица18[[#This Row],[Дата акта]])</f>
        <v>7</v>
      </c>
      <c r="W2049" s="121">
        <f>DAY(Таблица18[[#This Row],[Дата акта]])</f>
        <v>5</v>
      </c>
      <c r="X2049" s="148">
        <f>DATE(1900,Таблица18[[#This Row],[Месяц]],Таблица18[[#This Row],[Число]])</f>
        <v>187</v>
      </c>
      <c r="Y2049" s="121"/>
      <c r="Z2049" s="121" t="str">
        <f>Таблица18[[#This Row],[Хар-ка]]</f>
        <v>Первый</v>
      </c>
      <c r="AB2049">
        <v>666</v>
      </c>
      <c r="AD2049" s="460" t="s">
        <v>3098</v>
      </c>
      <c r="AE2049" t="s">
        <v>901</v>
      </c>
      <c r="AF2049" t="s">
        <v>46</v>
      </c>
    </row>
    <row r="2050" spans="1:32" ht="22.5" x14ac:dyDescent="0.25">
      <c r="A2050" s="40" t="s">
        <v>3924</v>
      </c>
      <c r="B2050" s="360" t="s">
        <v>2940</v>
      </c>
      <c r="C2050" s="40">
        <v>821</v>
      </c>
      <c r="D2050" s="40">
        <v>109</v>
      </c>
      <c r="E2050" s="40" t="s">
        <v>3625</v>
      </c>
      <c r="F2050" s="40" t="s">
        <v>3554</v>
      </c>
      <c r="G2050" s="40" t="s">
        <v>3555</v>
      </c>
      <c r="H2050" s="40" t="s">
        <v>3123</v>
      </c>
      <c r="I2050" s="40" t="str">
        <f>VLOOKUP(Таблица18[[#This Row],[Номер акта]],$AB$1:$AF$2504,3,FALSE)</f>
        <v>3.6 Колос</v>
      </c>
      <c r="J2050" s="40" t="s">
        <v>897</v>
      </c>
      <c r="K2050" s="40" t="s">
        <v>3645</v>
      </c>
      <c r="L2050" s="121">
        <v>27550</v>
      </c>
      <c r="M2050" s="121">
        <v>14630</v>
      </c>
      <c r="N2050" s="121">
        <v>6.5</v>
      </c>
      <c r="O2050" s="363">
        <v>12920</v>
      </c>
      <c r="P2050" s="363">
        <v>12080.2</v>
      </c>
      <c r="Q2050" s="121">
        <v>2026</v>
      </c>
      <c r="R2050" s="121">
        <v>683</v>
      </c>
      <c r="S2050" s="148">
        <v>46208</v>
      </c>
      <c r="T2050" s="363">
        <f>Таблица18[[#This Row],[Вес нетто]]-Таблица18[[#This Row],[Зачетный вес]]</f>
        <v>839.79999999999927</v>
      </c>
      <c r="U2050" s="392">
        <f>Таблица18[[#This Row],[Отход]]/Таблица18[[#This Row],[Вес нетто]]</f>
        <v>6.4999999999999947E-2</v>
      </c>
      <c r="V2050" s="121">
        <f>MONTH(Таблица18[[#This Row],[Дата акта]])</f>
        <v>7</v>
      </c>
      <c r="W2050" s="121">
        <f>DAY(Таблица18[[#This Row],[Дата акта]])</f>
        <v>5</v>
      </c>
      <c r="X2050" s="148">
        <f>DATE(1900,Таблица18[[#This Row],[Месяц]],Таблица18[[#This Row],[Число]])</f>
        <v>187</v>
      </c>
      <c r="Y2050" s="121"/>
      <c r="Z2050" s="121" t="str">
        <f>Таблица18[[#This Row],[Хар-ка]]</f>
        <v>Высший</v>
      </c>
      <c r="AB2050">
        <v>671</v>
      </c>
      <c r="AD2050" s="460" t="s">
        <v>3098</v>
      </c>
      <c r="AE2050" t="s">
        <v>901</v>
      </c>
      <c r="AF2050" t="s">
        <v>46</v>
      </c>
    </row>
    <row r="2051" spans="1:32" ht="33.75" x14ac:dyDescent="0.25">
      <c r="A2051" s="40" t="s">
        <v>3941</v>
      </c>
      <c r="B2051" s="360" t="s">
        <v>2940</v>
      </c>
      <c r="C2051" s="40">
        <v>822</v>
      </c>
      <c r="D2051" s="40">
        <v>434</v>
      </c>
      <c r="E2051" s="40" t="s">
        <v>2964</v>
      </c>
      <c r="F2051" s="40" t="s">
        <v>1312</v>
      </c>
      <c r="G2051" s="40" t="s">
        <v>320</v>
      </c>
      <c r="H2051" s="40" t="s">
        <v>3108</v>
      </c>
      <c r="I2051" s="40" t="str">
        <f>VLOOKUP(Таблица18[[#This Row],[Номер акта]],$AB$1:$AF$2504,3,FALSE)</f>
        <v>А-108/7</v>
      </c>
      <c r="J2051" s="40" t="s">
        <v>900</v>
      </c>
      <c r="K2051" s="40" t="s">
        <v>3375</v>
      </c>
      <c r="L2051" s="121">
        <v>27960</v>
      </c>
      <c r="M2051" s="121">
        <v>14550</v>
      </c>
      <c r="N2051" s="121">
        <v>14</v>
      </c>
      <c r="O2051" s="363">
        <v>13410</v>
      </c>
      <c r="P2051" s="363">
        <v>11532.6</v>
      </c>
      <c r="Q2051" s="121">
        <v>2026</v>
      </c>
      <c r="R2051" s="121">
        <v>684</v>
      </c>
      <c r="S2051" s="148">
        <v>46208</v>
      </c>
      <c r="T2051" s="363">
        <f>Таблица18[[#This Row],[Вес нетто]]-Таблица18[[#This Row],[Зачетный вес]]</f>
        <v>1877.3999999999996</v>
      </c>
      <c r="U2051" s="392">
        <f>Таблица18[[#This Row],[Отход]]/Таблица18[[#This Row],[Вес нетто]]</f>
        <v>0.13999999999999999</v>
      </c>
      <c r="V2051" s="121">
        <f>MONTH(Таблица18[[#This Row],[Дата акта]])</f>
        <v>7</v>
      </c>
      <c r="W2051" s="121">
        <f>DAY(Таблица18[[#This Row],[Дата акта]])</f>
        <v>5</v>
      </c>
      <c r="X2051" s="148">
        <f>DATE(1900,Таблица18[[#This Row],[Месяц]],Таблица18[[#This Row],[Число]])</f>
        <v>187</v>
      </c>
      <c r="Y2051" s="121"/>
      <c r="Z2051" s="121" t="str">
        <f>Таблица18[[#This Row],[Хар-ка]]</f>
        <v>Высший</v>
      </c>
      <c r="AB2051">
        <v>668</v>
      </c>
      <c r="AD2051" s="460" t="s">
        <v>3123</v>
      </c>
      <c r="AE2051" t="s">
        <v>901</v>
      </c>
      <c r="AF2051" t="s">
        <v>53</v>
      </c>
    </row>
    <row r="2052" spans="1:32" ht="33.75" x14ac:dyDescent="0.25">
      <c r="A2052" s="40" t="s">
        <v>3947</v>
      </c>
      <c r="B2052" s="360" t="s">
        <v>2940</v>
      </c>
      <c r="C2052" s="40">
        <v>823</v>
      </c>
      <c r="D2052" s="40">
        <v>435</v>
      </c>
      <c r="E2052" s="40" t="s">
        <v>2964</v>
      </c>
      <c r="F2052" s="40" t="s">
        <v>762</v>
      </c>
      <c r="G2052" s="40" t="s">
        <v>763</v>
      </c>
      <c r="H2052" s="40" t="s">
        <v>3108</v>
      </c>
      <c r="I2052" s="40" t="str">
        <f>VLOOKUP(Таблица18[[#This Row],[Номер акта]],$AB$1:$AF$2504,3,FALSE)</f>
        <v>А-108/7</v>
      </c>
      <c r="J2052" s="40" t="s">
        <v>900</v>
      </c>
      <c r="K2052" s="40" t="s">
        <v>3375</v>
      </c>
      <c r="L2052" s="121">
        <v>9300</v>
      </c>
      <c r="M2052" s="121">
        <v>4660</v>
      </c>
      <c r="N2052" s="121">
        <v>9</v>
      </c>
      <c r="O2052" s="363">
        <v>4640</v>
      </c>
      <c r="P2052" s="363">
        <v>4222.3999999999996</v>
      </c>
      <c r="Q2052" s="121">
        <v>2026</v>
      </c>
      <c r="R2052" s="121">
        <v>685</v>
      </c>
      <c r="S2052" s="148">
        <v>46208</v>
      </c>
      <c r="T2052" s="363">
        <f>Таблица18[[#This Row],[Вес нетто]]-Таблица18[[#This Row],[Зачетный вес]]</f>
        <v>417.60000000000036</v>
      </c>
      <c r="U2052" s="392">
        <f>Таблица18[[#This Row],[Отход]]/Таблица18[[#This Row],[Вес нетто]]</f>
        <v>9.000000000000008E-2</v>
      </c>
      <c r="V2052" s="121">
        <f>MONTH(Таблица18[[#This Row],[Дата акта]])</f>
        <v>7</v>
      </c>
      <c r="W2052" s="121">
        <f>DAY(Таблица18[[#This Row],[Дата акта]])</f>
        <v>5</v>
      </c>
      <c r="X2052" s="148">
        <f>DATE(1900,Таблица18[[#This Row],[Месяц]],Таблица18[[#This Row],[Число]])</f>
        <v>187</v>
      </c>
      <c r="Y2052" s="121"/>
      <c r="Z2052" s="121" t="str">
        <f>Таблица18[[#This Row],[Хар-ка]]</f>
        <v>Высший</v>
      </c>
      <c r="AB2052">
        <v>670</v>
      </c>
      <c r="AD2052" s="460" t="s">
        <v>3098</v>
      </c>
      <c r="AE2052" t="s">
        <v>901</v>
      </c>
      <c r="AF2052" t="s">
        <v>46</v>
      </c>
    </row>
    <row r="2053" spans="1:32" ht="22.5" x14ac:dyDescent="0.25">
      <c r="A2053" s="40" t="s">
        <v>3923</v>
      </c>
      <c r="B2053" s="360" t="s">
        <v>2940</v>
      </c>
      <c r="C2053" s="40">
        <v>824</v>
      </c>
      <c r="D2053" s="40">
        <v>110</v>
      </c>
      <c r="E2053" s="40" t="s">
        <v>3625</v>
      </c>
      <c r="F2053" s="40" t="s">
        <v>1151</v>
      </c>
      <c r="G2053" s="40" t="s">
        <v>145</v>
      </c>
      <c r="H2053" s="40" t="s">
        <v>3123</v>
      </c>
      <c r="I2053" s="40" t="str">
        <f>VLOOKUP(Таблица18[[#This Row],[Номер акта]],$AB$1:$AF$2504,3,FALSE)</f>
        <v>3.6 Колос</v>
      </c>
      <c r="J2053" s="40" t="s">
        <v>897</v>
      </c>
      <c r="K2053" s="40" t="s">
        <v>3645</v>
      </c>
      <c r="L2053" s="121">
        <v>29450</v>
      </c>
      <c r="M2053" s="121">
        <v>15930</v>
      </c>
      <c r="N2053" s="121">
        <v>7.5</v>
      </c>
      <c r="O2053" s="363">
        <v>13520</v>
      </c>
      <c r="P2053" s="363">
        <v>12506</v>
      </c>
      <c r="Q2053" s="121">
        <v>2026</v>
      </c>
      <c r="R2053" s="121">
        <v>686</v>
      </c>
      <c r="S2053" s="148">
        <v>46208</v>
      </c>
      <c r="T2053" s="363">
        <f>Таблица18[[#This Row],[Вес нетто]]-Таблица18[[#This Row],[Зачетный вес]]</f>
        <v>1014</v>
      </c>
      <c r="U2053" s="392">
        <f>Таблица18[[#This Row],[Отход]]/Таблица18[[#This Row],[Вес нетто]]</f>
        <v>7.4999999999999997E-2</v>
      </c>
      <c r="V2053" s="121">
        <f>MONTH(Таблица18[[#This Row],[Дата акта]])</f>
        <v>7</v>
      </c>
      <c r="W2053" s="121">
        <f>DAY(Таблица18[[#This Row],[Дата акта]])</f>
        <v>5</v>
      </c>
      <c r="X2053" s="148">
        <f>DATE(1900,Таблица18[[#This Row],[Месяц]],Таблица18[[#This Row],[Число]])</f>
        <v>187</v>
      </c>
      <c r="Y2053" s="121"/>
      <c r="Z2053" s="121" t="str">
        <f>Таблица18[[#This Row],[Хар-ка]]</f>
        <v>Высший</v>
      </c>
      <c r="AB2053">
        <v>667</v>
      </c>
      <c r="AD2053" s="460" t="s">
        <v>3098</v>
      </c>
      <c r="AE2053" t="s">
        <v>901</v>
      </c>
      <c r="AF2053" t="s">
        <v>46</v>
      </c>
    </row>
    <row r="2054" spans="1:32" ht="33.75" x14ac:dyDescent="0.25">
      <c r="A2054" s="40" t="s">
        <v>3920</v>
      </c>
      <c r="B2054" s="360" t="s">
        <v>2940</v>
      </c>
      <c r="C2054" s="40">
        <v>826</v>
      </c>
      <c r="D2054" s="40">
        <v>111</v>
      </c>
      <c r="E2054" s="40" t="s">
        <v>3625</v>
      </c>
      <c r="F2054" s="40" t="s">
        <v>3892</v>
      </c>
      <c r="G2054" s="40" t="s">
        <v>1368</v>
      </c>
      <c r="H2054" s="40" t="s">
        <v>3123</v>
      </c>
      <c r="I2054" s="40" t="str">
        <f>VLOOKUP(Таблица18[[#This Row],[Номер акта]],$AB$1:$AF$2504,3,FALSE)</f>
        <v>3.6 Колос</v>
      </c>
      <c r="J2054" s="40" t="s">
        <v>897</v>
      </c>
      <c r="K2054" s="40" t="s">
        <v>3645</v>
      </c>
      <c r="L2054" s="121">
        <v>28520</v>
      </c>
      <c r="M2054" s="121">
        <v>15070</v>
      </c>
      <c r="N2054" s="121">
        <v>8.5</v>
      </c>
      <c r="O2054" s="363">
        <v>13450</v>
      </c>
      <c r="P2054" s="363">
        <v>12306.8</v>
      </c>
      <c r="Q2054" s="121">
        <v>2026</v>
      </c>
      <c r="R2054" s="121">
        <v>687</v>
      </c>
      <c r="S2054" s="148">
        <v>46208</v>
      </c>
      <c r="T2054" s="363">
        <f>Таблица18[[#This Row],[Вес нетто]]-Таблица18[[#This Row],[Зачетный вес]]</f>
        <v>1143.2000000000007</v>
      </c>
      <c r="U2054" s="392">
        <f>Таблица18[[#This Row],[Отход]]/Таблица18[[#This Row],[Вес нетто]]</f>
        <v>8.4996282527881092E-2</v>
      </c>
      <c r="V2054" s="121">
        <f>MONTH(Таблица18[[#This Row],[Дата акта]])</f>
        <v>7</v>
      </c>
      <c r="W2054" s="121">
        <f>DAY(Таблица18[[#This Row],[Дата акта]])</f>
        <v>5</v>
      </c>
      <c r="X2054" s="148">
        <f>DATE(1900,Таблица18[[#This Row],[Месяц]],Таблица18[[#This Row],[Число]])</f>
        <v>187</v>
      </c>
      <c r="Y2054" s="121"/>
      <c r="Z2054" s="121" t="str">
        <f>Таблица18[[#This Row],[Хар-ка]]</f>
        <v>Высший</v>
      </c>
      <c r="AB2054">
        <v>669</v>
      </c>
      <c r="AD2054" s="460" t="s">
        <v>3098</v>
      </c>
      <c r="AE2054" t="s">
        <v>901</v>
      </c>
      <c r="AF2054" t="s">
        <v>46</v>
      </c>
    </row>
    <row r="2055" spans="1:32" ht="22.5" x14ac:dyDescent="0.25">
      <c r="A2055" s="40" t="s">
        <v>3959</v>
      </c>
      <c r="B2055" s="360" t="s">
        <v>3230</v>
      </c>
      <c r="C2055" s="40">
        <v>827</v>
      </c>
      <c r="D2055" s="40">
        <v>436</v>
      </c>
      <c r="E2055" s="40" t="s">
        <v>2964</v>
      </c>
      <c r="F2055" s="40" t="s">
        <v>894</v>
      </c>
      <c r="G2055" s="40" t="s">
        <v>895</v>
      </c>
      <c r="H2055" s="40" t="s">
        <v>3108</v>
      </c>
      <c r="I2055" s="40" t="str">
        <f>VLOOKUP(Таблица18[[#This Row],[Номер акта]],$AB$1:$AF$2504,3,FALSE)</f>
        <v>А-108/7</v>
      </c>
      <c r="J2055" s="40" t="s">
        <v>900</v>
      </c>
      <c r="K2055" s="40" t="s">
        <v>3375</v>
      </c>
      <c r="L2055" s="121">
        <v>28460</v>
      </c>
      <c r="M2055" s="121">
        <v>14970</v>
      </c>
      <c r="N2055" s="121">
        <v>9.5</v>
      </c>
      <c r="O2055" s="363">
        <v>13490</v>
      </c>
      <c r="P2055" s="363">
        <v>12208.5</v>
      </c>
      <c r="Q2055" s="121">
        <v>2026</v>
      </c>
      <c r="R2055" s="121">
        <v>688</v>
      </c>
      <c r="S2055" s="148">
        <v>46208</v>
      </c>
      <c r="T2055" s="363">
        <f>Таблица18[[#This Row],[Вес нетто]]-Таблица18[[#This Row],[Зачетный вес]]</f>
        <v>1281.5</v>
      </c>
      <c r="U2055" s="392">
        <f>Таблица18[[#This Row],[Отход]]/Таблица18[[#This Row],[Вес нетто]]</f>
        <v>9.4996293550778349E-2</v>
      </c>
      <c r="V2055" s="121">
        <f>MONTH(Таблица18[[#This Row],[Дата акта]])</f>
        <v>7</v>
      </c>
      <c r="W2055" s="121">
        <f>DAY(Таблица18[[#This Row],[Дата акта]])</f>
        <v>5</v>
      </c>
      <c r="X2055" s="148">
        <f>DATE(1900,Таблица18[[#This Row],[Месяц]],Таблица18[[#This Row],[Число]])</f>
        <v>187</v>
      </c>
      <c r="Y2055" s="121"/>
      <c r="Z2055" s="121" t="str">
        <f>Таблица18[[#This Row],[Хар-ка]]</f>
        <v>Первый</v>
      </c>
      <c r="AB2055">
        <v>673</v>
      </c>
      <c r="AD2055" s="460" t="s">
        <v>3098</v>
      </c>
      <c r="AE2055" t="s">
        <v>901</v>
      </c>
      <c r="AF2055" t="s">
        <v>46</v>
      </c>
    </row>
    <row r="2056" spans="1:32" ht="22.5" x14ac:dyDescent="0.25">
      <c r="A2056" s="40" t="s">
        <v>3954</v>
      </c>
      <c r="B2056" s="360" t="s">
        <v>3230</v>
      </c>
      <c r="C2056" s="40">
        <v>846</v>
      </c>
      <c r="D2056" s="40">
        <v>445</v>
      </c>
      <c r="E2056" s="40" t="s">
        <v>2964</v>
      </c>
      <c r="F2056" s="40" t="s">
        <v>212</v>
      </c>
      <c r="G2056" s="40" t="s">
        <v>2965</v>
      </c>
      <c r="H2056" s="40" t="s">
        <v>3108</v>
      </c>
      <c r="I2056" s="40" t="e">
        <f>VLOOKUP(Таблица18[[#This Row],[Номер акта]],$AB$1:$AF$2504,3,FALSE)</f>
        <v>#N/A</v>
      </c>
      <c r="J2056" s="40" t="s">
        <v>900</v>
      </c>
      <c r="K2056" s="40" t="s">
        <v>3375</v>
      </c>
      <c r="L2056" s="121">
        <v>28540</v>
      </c>
      <c r="M2056" s="121">
        <v>15830</v>
      </c>
      <c r="N2056" s="121">
        <v>7.5</v>
      </c>
      <c r="O2056" s="363">
        <v>12710</v>
      </c>
      <c r="P2056" s="363">
        <v>11756.8</v>
      </c>
      <c r="Q2056" s="121">
        <v>2026</v>
      </c>
      <c r="R2056" s="121">
        <v>703</v>
      </c>
      <c r="S2056" s="148">
        <v>46209</v>
      </c>
      <c r="T2056" s="363">
        <f>Таблица18[[#This Row],[Вес нетто]]-Таблица18[[#This Row],[Зачетный вес]]</f>
        <v>953.20000000000073</v>
      </c>
      <c r="U2056" s="392">
        <f>Таблица18[[#This Row],[Отход]]/Таблица18[[#This Row],[Вес нетто]]</f>
        <v>7.4996066089693211E-2</v>
      </c>
      <c r="V2056" s="121">
        <f>MONTH(Таблица18[[#This Row],[Дата акта]])</f>
        <v>7</v>
      </c>
      <c r="W2056" s="121">
        <f>DAY(Таблица18[[#This Row],[Дата акта]])</f>
        <v>6</v>
      </c>
      <c r="X2056" s="148">
        <f>DATE(1900,Таблица18[[#This Row],[Месяц]],Таблица18[[#This Row],[Число]])</f>
        <v>188</v>
      </c>
      <c r="Y2056" s="121"/>
      <c r="Z2056" s="121" t="str">
        <f>Таблица18[[#This Row],[Хар-ка]]</f>
        <v>Первый</v>
      </c>
      <c r="AB2056">
        <v>672</v>
      </c>
      <c r="AD2056" s="460" t="s">
        <v>3098</v>
      </c>
      <c r="AE2056" t="s">
        <v>901</v>
      </c>
      <c r="AF2056" t="s">
        <v>46</v>
      </c>
    </row>
    <row r="2057" spans="1:32" ht="22.5" x14ac:dyDescent="0.25">
      <c r="A2057" s="40" t="s">
        <v>3938</v>
      </c>
      <c r="B2057" s="360" t="s">
        <v>3230</v>
      </c>
      <c r="C2057" s="40">
        <v>847</v>
      </c>
      <c r="D2057" s="40">
        <v>118</v>
      </c>
      <c r="E2057" s="40" t="s">
        <v>3625</v>
      </c>
      <c r="F2057" s="40" t="s">
        <v>3623</v>
      </c>
      <c r="G2057" s="40" t="s">
        <v>3679</v>
      </c>
      <c r="H2057" s="40" t="s">
        <v>3123</v>
      </c>
      <c r="I2057" s="40" t="e">
        <f>VLOOKUP(Таблица18[[#This Row],[Номер акта]],$AB$1:$AF$2504,3,FALSE)</f>
        <v>#N/A</v>
      </c>
      <c r="J2057" s="40" t="s">
        <v>897</v>
      </c>
      <c r="K2057" s="40" t="s">
        <v>3645</v>
      </c>
      <c r="L2057" s="121">
        <v>26950</v>
      </c>
      <c r="M2057" s="121">
        <v>14510</v>
      </c>
      <c r="N2057" s="121">
        <v>8</v>
      </c>
      <c r="O2057" s="363">
        <v>12440</v>
      </c>
      <c r="P2057" s="363">
        <v>11444.8</v>
      </c>
      <c r="Q2057" s="121">
        <v>2026</v>
      </c>
      <c r="R2057" s="121">
        <v>704</v>
      </c>
      <c r="S2057" s="148">
        <v>46209</v>
      </c>
      <c r="T2057" s="363">
        <f>Таблица18[[#This Row],[Вес нетто]]-Таблица18[[#This Row],[Зачетный вес]]</f>
        <v>995.20000000000073</v>
      </c>
      <c r="U2057" s="392">
        <f>Таблица18[[#This Row],[Отход]]/Таблица18[[#This Row],[Вес нетто]]</f>
        <v>8.0000000000000057E-2</v>
      </c>
      <c r="V2057" s="121">
        <f>MONTH(Таблица18[[#This Row],[Дата акта]])</f>
        <v>7</v>
      </c>
      <c r="W2057" s="121">
        <f>DAY(Таблица18[[#This Row],[Дата акта]])</f>
        <v>6</v>
      </c>
      <c r="X2057" s="148">
        <f>DATE(1900,Таблица18[[#This Row],[Месяц]],Таблица18[[#This Row],[Число]])</f>
        <v>188</v>
      </c>
      <c r="Y2057" s="121"/>
      <c r="Z2057" s="121" t="str">
        <f>Таблица18[[#This Row],[Хар-ка]]</f>
        <v>Первый</v>
      </c>
      <c r="AB2057">
        <v>674</v>
      </c>
      <c r="AD2057" s="460" t="s">
        <v>3098</v>
      </c>
      <c r="AE2057" t="s">
        <v>901</v>
      </c>
      <c r="AF2057" t="s">
        <v>46</v>
      </c>
    </row>
    <row r="2058" spans="1:32" ht="33.75" x14ac:dyDescent="0.25">
      <c r="A2058" s="40" t="s">
        <v>3956</v>
      </c>
      <c r="B2058" s="360" t="s">
        <v>3230</v>
      </c>
      <c r="C2058" s="40">
        <v>848</v>
      </c>
      <c r="D2058" s="40">
        <v>446</v>
      </c>
      <c r="E2058" s="40" t="s">
        <v>2964</v>
      </c>
      <c r="F2058" s="40" t="s">
        <v>2967</v>
      </c>
      <c r="G2058" s="40" t="s">
        <v>1810</v>
      </c>
      <c r="H2058" s="40" t="s">
        <v>3108</v>
      </c>
      <c r="I2058" s="40" t="e">
        <f>VLOOKUP(Таблица18[[#This Row],[Номер акта]],$AB$1:$AF$2504,3,FALSE)</f>
        <v>#N/A</v>
      </c>
      <c r="J2058" s="40" t="s">
        <v>900</v>
      </c>
      <c r="K2058" s="40" t="s">
        <v>3375</v>
      </c>
      <c r="L2058" s="121">
        <v>26890</v>
      </c>
      <c r="M2058" s="121">
        <v>14220</v>
      </c>
      <c r="N2058" s="121">
        <v>12</v>
      </c>
      <c r="O2058" s="363">
        <v>12670</v>
      </c>
      <c r="P2058" s="363">
        <v>11149.6</v>
      </c>
      <c r="Q2058" s="121">
        <v>2026</v>
      </c>
      <c r="R2058" s="121">
        <v>708</v>
      </c>
      <c r="S2058" s="148">
        <v>46209</v>
      </c>
      <c r="T2058" s="363">
        <f>Таблица18[[#This Row],[Вес нетто]]-Таблица18[[#This Row],[Зачетный вес]]</f>
        <v>1520.3999999999996</v>
      </c>
      <c r="U2058" s="392">
        <f>Таблица18[[#This Row],[Отход]]/Таблица18[[#This Row],[Вес нетто]]</f>
        <v>0.11999999999999997</v>
      </c>
      <c r="V2058" s="121">
        <f>MONTH(Таблица18[[#This Row],[Дата акта]])</f>
        <v>7</v>
      </c>
      <c r="W2058" s="121">
        <f>DAY(Таблица18[[#This Row],[Дата акта]])</f>
        <v>6</v>
      </c>
      <c r="X2058" s="148">
        <f>DATE(1900,Таблица18[[#This Row],[Месяц]],Таблица18[[#This Row],[Число]])</f>
        <v>188</v>
      </c>
      <c r="Y2058" s="121"/>
      <c r="Z2058" s="121" t="str">
        <f>Таблица18[[#This Row],[Хар-ка]]</f>
        <v>Первый</v>
      </c>
      <c r="AB2058">
        <v>675</v>
      </c>
      <c r="AD2058" s="460" t="s">
        <v>3098</v>
      </c>
      <c r="AE2058" t="s">
        <v>901</v>
      </c>
      <c r="AF2058" t="s">
        <v>46</v>
      </c>
    </row>
    <row r="2059" spans="1:32" ht="33.75" x14ac:dyDescent="0.25">
      <c r="A2059" s="40" t="s">
        <v>3936</v>
      </c>
      <c r="B2059" s="360" t="s">
        <v>3230</v>
      </c>
      <c r="C2059" s="40">
        <v>849</v>
      </c>
      <c r="D2059" s="40">
        <v>119</v>
      </c>
      <c r="E2059" s="40" t="s">
        <v>3625</v>
      </c>
      <c r="F2059" s="40" t="s">
        <v>311</v>
      </c>
      <c r="G2059" s="40" t="s">
        <v>315</v>
      </c>
      <c r="H2059" s="40" t="s">
        <v>3123</v>
      </c>
      <c r="I2059" s="40" t="e">
        <f>VLOOKUP(Таблица18[[#This Row],[Номер акта]],$AB$1:$AF$2504,3,FALSE)</f>
        <v>#N/A</v>
      </c>
      <c r="J2059" s="40" t="s">
        <v>897</v>
      </c>
      <c r="K2059" s="40" t="s">
        <v>3645</v>
      </c>
      <c r="L2059" s="121">
        <v>27880</v>
      </c>
      <c r="M2059" s="121">
        <v>15160</v>
      </c>
      <c r="N2059" s="121">
        <v>5.5</v>
      </c>
      <c r="O2059" s="363">
        <v>12720</v>
      </c>
      <c r="P2059" s="363">
        <v>12020.4</v>
      </c>
      <c r="Q2059" s="121">
        <v>2026</v>
      </c>
      <c r="R2059" s="121">
        <v>706</v>
      </c>
      <c r="S2059" s="148">
        <v>46209</v>
      </c>
      <c r="T2059" s="363">
        <f>Таблица18[[#This Row],[Вес нетто]]-Таблица18[[#This Row],[Зачетный вес]]</f>
        <v>699.60000000000036</v>
      </c>
      <c r="U2059" s="392">
        <f>Таблица18[[#This Row],[Отход]]/Таблица18[[#This Row],[Вес нетто]]</f>
        <v>5.5000000000000028E-2</v>
      </c>
      <c r="V2059" s="121">
        <f>MONTH(Таблица18[[#This Row],[Дата акта]])</f>
        <v>7</v>
      </c>
      <c r="W2059" s="121">
        <f>DAY(Таблица18[[#This Row],[Дата акта]])</f>
        <v>6</v>
      </c>
      <c r="X2059" s="148">
        <f>DATE(1900,Таблица18[[#This Row],[Месяц]],Таблица18[[#This Row],[Число]])</f>
        <v>188</v>
      </c>
      <c r="Y2059" s="121"/>
      <c r="Z2059" s="121" t="str">
        <f>Таблица18[[#This Row],[Хар-ка]]</f>
        <v>Первый</v>
      </c>
      <c r="AB2059">
        <v>676</v>
      </c>
      <c r="AD2059" s="460" t="s">
        <v>3098</v>
      </c>
      <c r="AE2059" t="s">
        <v>901</v>
      </c>
      <c r="AF2059" t="s">
        <v>46</v>
      </c>
    </row>
    <row r="2060" spans="1:32" ht="22.5" x14ac:dyDescent="0.25">
      <c r="A2060" s="40" t="s">
        <v>3932</v>
      </c>
      <c r="B2060" s="360" t="s">
        <v>3230</v>
      </c>
      <c r="C2060" s="40">
        <v>851</v>
      </c>
      <c r="D2060" s="40">
        <v>120</v>
      </c>
      <c r="E2060" s="40" t="s">
        <v>3625</v>
      </c>
      <c r="F2060" s="40" t="s">
        <v>1151</v>
      </c>
      <c r="G2060" s="40" t="s">
        <v>145</v>
      </c>
      <c r="H2060" s="40" t="s">
        <v>3123</v>
      </c>
      <c r="I2060" s="40" t="e">
        <f>VLOOKUP(Таблица18[[#This Row],[Номер акта]],$AB$1:$AF$2504,3,FALSE)</f>
        <v>#N/A</v>
      </c>
      <c r="J2060" s="40" t="s">
        <v>897</v>
      </c>
      <c r="K2060" s="40" t="s">
        <v>3645</v>
      </c>
      <c r="L2060" s="121">
        <v>28860</v>
      </c>
      <c r="M2060" s="121">
        <v>15730</v>
      </c>
      <c r="N2060" s="121">
        <v>7.5</v>
      </c>
      <c r="O2060" s="363">
        <v>13130</v>
      </c>
      <c r="P2060" s="363">
        <v>12145.2</v>
      </c>
      <c r="Q2060" s="121">
        <v>2026</v>
      </c>
      <c r="R2060" s="121">
        <v>707</v>
      </c>
      <c r="S2060" s="148">
        <v>46209</v>
      </c>
      <c r="T2060" s="363">
        <f>Таблица18[[#This Row],[Вес нетто]]-Таблица18[[#This Row],[Зачетный вес]]</f>
        <v>984.79999999999927</v>
      </c>
      <c r="U2060" s="392">
        <f>Таблица18[[#This Row],[Отход]]/Таблица18[[#This Row],[Вес нетто]]</f>
        <v>7.500380807311495E-2</v>
      </c>
      <c r="V2060" s="121">
        <f>MONTH(Таблица18[[#This Row],[Дата акта]])</f>
        <v>7</v>
      </c>
      <c r="W2060" s="121">
        <f>DAY(Таблица18[[#This Row],[Дата акта]])</f>
        <v>6</v>
      </c>
      <c r="X2060" s="148">
        <f>DATE(1900,Таблица18[[#This Row],[Месяц]],Таблица18[[#This Row],[Число]])</f>
        <v>188</v>
      </c>
      <c r="Y2060" s="121"/>
      <c r="Z2060" s="121" t="str">
        <f>Таблица18[[#This Row],[Хар-ка]]</f>
        <v>Первый</v>
      </c>
      <c r="AB2060">
        <v>677</v>
      </c>
      <c r="AD2060" s="460" t="s">
        <v>3123</v>
      </c>
      <c r="AE2060" t="s">
        <v>901</v>
      </c>
      <c r="AF2060" t="s">
        <v>53</v>
      </c>
    </row>
    <row r="2061" spans="1:32" ht="33.75" x14ac:dyDescent="0.25">
      <c r="A2061" s="40" t="s">
        <v>3968</v>
      </c>
      <c r="B2061" s="360" t="s">
        <v>3230</v>
      </c>
      <c r="C2061" s="40">
        <v>853</v>
      </c>
      <c r="D2061" s="40">
        <v>121</v>
      </c>
      <c r="E2061" s="40" t="s">
        <v>3625</v>
      </c>
      <c r="F2061" s="40" t="s">
        <v>3892</v>
      </c>
      <c r="G2061" s="40" t="s">
        <v>1368</v>
      </c>
      <c r="H2061" s="40" t="s">
        <v>3123</v>
      </c>
      <c r="I2061" s="40" t="e">
        <f>VLOOKUP(Таблица18[[#This Row],[Номер акта]],$AB$1:$AF$2504,3,FALSE)</f>
        <v>#N/A</v>
      </c>
      <c r="J2061" s="40" t="s">
        <v>897</v>
      </c>
      <c r="K2061" s="40" t="s">
        <v>3645</v>
      </c>
      <c r="L2061" s="121">
        <v>28280</v>
      </c>
      <c r="M2061" s="121">
        <v>14870</v>
      </c>
      <c r="N2061" s="121">
        <v>9</v>
      </c>
      <c r="O2061" s="363">
        <v>13410</v>
      </c>
      <c r="P2061" s="363">
        <v>12203.1</v>
      </c>
      <c r="Q2061" s="121">
        <v>2026</v>
      </c>
      <c r="R2061" s="121">
        <v>709</v>
      </c>
      <c r="S2061" s="148">
        <v>46209</v>
      </c>
      <c r="T2061" s="363">
        <f>Таблица18[[#This Row],[Вес нетто]]-Таблица18[[#This Row],[Зачетный вес]]</f>
        <v>1206.8999999999996</v>
      </c>
      <c r="U2061" s="392">
        <f>Таблица18[[#This Row],[Отход]]/Таблица18[[#This Row],[Вес нетто]]</f>
        <v>8.9999999999999969E-2</v>
      </c>
      <c r="V2061" s="121">
        <f>MONTH(Таблица18[[#This Row],[Дата акта]])</f>
        <v>7</v>
      </c>
      <c r="W2061" s="121">
        <f>DAY(Таблица18[[#This Row],[Дата акта]])</f>
        <v>6</v>
      </c>
      <c r="X2061" s="148">
        <f>DATE(1900,Таблица18[[#This Row],[Месяц]],Таблица18[[#This Row],[Число]])</f>
        <v>188</v>
      </c>
      <c r="Y2061" s="121"/>
      <c r="Z2061" s="121" t="str">
        <f>Таблица18[[#This Row],[Хар-ка]]</f>
        <v>Первый</v>
      </c>
      <c r="AB2061">
        <v>678</v>
      </c>
      <c r="AD2061" s="460" t="s">
        <v>3108</v>
      </c>
      <c r="AE2061" t="s">
        <v>900</v>
      </c>
      <c r="AF2061" t="s">
        <v>2932</v>
      </c>
    </row>
    <row r="2062" spans="1:32" ht="22.5" x14ac:dyDescent="0.25">
      <c r="A2062" s="40" t="s">
        <v>3969</v>
      </c>
      <c r="B2062" s="360" t="s">
        <v>3230</v>
      </c>
      <c r="C2062" s="40">
        <v>854</v>
      </c>
      <c r="D2062" s="40">
        <v>447</v>
      </c>
      <c r="E2062" s="40" t="s">
        <v>2964</v>
      </c>
      <c r="F2062" s="40" t="s">
        <v>212</v>
      </c>
      <c r="G2062" s="40" t="s">
        <v>2965</v>
      </c>
      <c r="H2062" s="40" t="s">
        <v>3108</v>
      </c>
      <c r="I2062" s="40" t="e">
        <f>VLOOKUP(Таблица18[[#This Row],[Номер акта]],$AB$1:$AF$2504,3,FALSE)</f>
        <v>#N/A</v>
      </c>
      <c r="J2062" s="40" t="s">
        <v>900</v>
      </c>
      <c r="K2062" s="40" t="s">
        <v>3375</v>
      </c>
      <c r="L2062" s="121">
        <v>28910</v>
      </c>
      <c r="M2062" s="121">
        <v>15810</v>
      </c>
      <c r="N2062" s="121">
        <v>12.5</v>
      </c>
      <c r="O2062" s="363">
        <v>13100</v>
      </c>
      <c r="P2062" s="363">
        <v>11462.5</v>
      </c>
      <c r="Q2062" s="121">
        <v>2026</v>
      </c>
      <c r="R2062" s="121">
        <v>710</v>
      </c>
      <c r="S2062" s="148">
        <v>46209</v>
      </c>
      <c r="T2062" s="363">
        <f>Таблица18[[#This Row],[Вес нетто]]-Таблица18[[#This Row],[Зачетный вес]]</f>
        <v>1637.5</v>
      </c>
      <c r="U2062" s="392">
        <f>Таблица18[[#This Row],[Отход]]/Таблица18[[#This Row],[Вес нетто]]</f>
        <v>0.125</v>
      </c>
      <c r="V2062" s="121">
        <f>MONTH(Таблица18[[#This Row],[Дата акта]])</f>
        <v>7</v>
      </c>
      <c r="W2062" s="121">
        <f>DAY(Таблица18[[#This Row],[Дата акта]])</f>
        <v>6</v>
      </c>
      <c r="X2062" s="148">
        <f>DATE(1900,Таблица18[[#This Row],[Месяц]],Таблица18[[#This Row],[Число]])</f>
        <v>188</v>
      </c>
      <c r="Y2062" s="121"/>
      <c r="Z2062" s="121" t="str">
        <f>Таблица18[[#This Row],[Хар-ка]]</f>
        <v>Первый</v>
      </c>
      <c r="AB2062">
        <v>679</v>
      </c>
      <c r="AD2062" s="460" t="s">
        <v>3108</v>
      </c>
      <c r="AE2062" t="s">
        <v>900</v>
      </c>
      <c r="AF2062" t="s">
        <v>2932</v>
      </c>
    </row>
    <row r="2063" spans="1:32" ht="22.5" x14ac:dyDescent="0.25">
      <c r="A2063" s="40" t="s">
        <v>3970</v>
      </c>
      <c r="B2063" s="360" t="s">
        <v>3230</v>
      </c>
      <c r="C2063" s="40">
        <v>855</v>
      </c>
      <c r="D2063" s="40">
        <v>122</v>
      </c>
      <c r="E2063" s="40" t="s">
        <v>3625</v>
      </c>
      <c r="F2063" s="40" t="s">
        <v>335</v>
      </c>
      <c r="G2063" s="40" t="s">
        <v>339</v>
      </c>
      <c r="H2063" s="40" t="s">
        <v>3121</v>
      </c>
      <c r="I2063" s="40" t="e">
        <f>VLOOKUP(Таблица18[[#This Row],[Номер акта]],$AB$1:$AF$2504,3,FALSE)</f>
        <v>#N/A</v>
      </c>
      <c r="J2063" s="40" t="s">
        <v>897</v>
      </c>
      <c r="K2063" s="40" t="s">
        <v>3645</v>
      </c>
      <c r="L2063" s="121">
        <v>29430</v>
      </c>
      <c r="M2063" s="121">
        <v>14810</v>
      </c>
      <c r="N2063" s="121">
        <v>6</v>
      </c>
      <c r="O2063" s="363">
        <v>14620</v>
      </c>
      <c r="P2063" s="363">
        <v>13742.8</v>
      </c>
      <c r="Q2063" s="121">
        <v>2026</v>
      </c>
      <c r="R2063" s="121">
        <v>711</v>
      </c>
      <c r="S2063" s="148">
        <v>46209</v>
      </c>
      <c r="T2063" s="363">
        <f>Таблица18[[#This Row],[Вес нетто]]-Таблица18[[#This Row],[Зачетный вес]]</f>
        <v>877.20000000000073</v>
      </c>
      <c r="U2063" s="392">
        <f>Таблица18[[#This Row],[Отход]]/Таблица18[[#This Row],[Вес нетто]]</f>
        <v>6.0000000000000046E-2</v>
      </c>
      <c r="V2063" s="121">
        <f>MONTH(Таблица18[[#This Row],[Дата акта]])</f>
        <v>7</v>
      </c>
      <c r="W2063" s="121">
        <f>DAY(Таблица18[[#This Row],[Дата акта]])</f>
        <v>6</v>
      </c>
      <c r="X2063" s="148">
        <f>DATE(1900,Таблица18[[#This Row],[Месяц]],Таблица18[[#This Row],[Число]])</f>
        <v>188</v>
      </c>
      <c r="Y2063" s="121"/>
      <c r="Z2063" s="121" t="str">
        <f>Таблица18[[#This Row],[Хар-ка]]</f>
        <v>Первый</v>
      </c>
      <c r="AB2063">
        <v>680</v>
      </c>
      <c r="AD2063" s="460" t="s">
        <v>3123</v>
      </c>
      <c r="AE2063" t="s">
        <v>901</v>
      </c>
      <c r="AF2063" t="s">
        <v>53</v>
      </c>
    </row>
    <row r="2064" spans="1:32" ht="33.75" x14ac:dyDescent="0.25">
      <c r="A2064" s="40" t="s">
        <v>3971</v>
      </c>
      <c r="B2064" s="360" t="s">
        <v>3273</v>
      </c>
      <c r="C2064" s="40">
        <v>856</v>
      </c>
      <c r="D2064" s="40">
        <v>123</v>
      </c>
      <c r="E2064" s="40" t="s">
        <v>3625</v>
      </c>
      <c r="F2064" s="40" t="s">
        <v>1461</v>
      </c>
      <c r="G2064" s="40" t="s">
        <v>149</v>
      </c>
      <c r="H2064" s="40" t="s">
        <v>3121</v>
      </c>
      <c r="I2064" s="40" t="e">
        <f>VLOOKUP(Таблица18[[#This Row],[Номер акта]],$AB$1:$AF$2504,3,FALSE)</f>
        <v>#N/A</v>
      </c>
      <c r="J2064" s="40" t="s">
        <v>897</v>
      </c>
      <c r="K2064" s="40" t="s">
        <v>3645</v>
      </c>
      <c r="L2064" s="121">
        <v>27960</v>
      </c>
      <c r="M2064" s="121">
        <v>14870</v>
      </c>
      <c r="N2064" s="121">
        <v>6</v>
      </c>
      <c r="O2064" s="363">
        <v>13090</v>
      </c>
      <c r="P2064" s="363">
        <v>12304.6</v>
      </c>
      <c r="Q2064" s="121">
        <v>2026</v>
      </c>
      <c r="R2064" s="121">
        <v>712</v>
      </c>
      <c r="S2064" s="148">
        <v>46209</v>
      </c>
      <c r="T2064" s="363">
        <f>Таблица18[[#This Row],[Вес нетто]]-Таблица18[[#This Row],[Зачетный вес]]</f>
        <v>785.39999999999964</v>
      </c>
      <c r="U2064" s="392">
        <f>Таблица18[[#This Row],[Отход]]/Таблица18[[#This Row],[Вес нетто]]</f>
        <v>5.999999999999997E-2</v>
      </c>
      <c r="V2064" s="121">
        <f>MONTH(Таблица18[[#This Row],[Дата акта]])</f>
        <v>7</v>
      </c>
      <c r="W2064" s="121">
        <f>DAY(Таблица18[[#This Row],[Дата акта]])</f>
        <v>6</v>
      </c>
      <c r="X2064" s="148">
        <f>DATE(1900,Таблица18[[#This Row],[Месяц]],Таблица18[[#This Row],[Число]])</f>
        <v>188</v>
      </c>
      <c r="Y2064" s="121"/>
      <c r="Z2064" s="121" t="str">
        <f>Таблица18[[#This Row],[Хар-ка]]</f>
        <v>Второй</v>
      </c>
      <c r="AB2064">
        <v>681</v>
      </c>
      <c r="AD2064" s="460" t="s">
        <v>3123</v>
      </c>
      <c r="AE2064" t="s">
        <v>901</v>
      </c>
      <c r="AF2064" t="s">
        <v>53</v>
      </c>
    </row>
    <row r="2065" spans="1:32" ht="33.75" x14ac:dyDescent="0.25">
      <c r="A2065" s="40" t="s">
        <v>3972</v>
      </c>
      <c r="B2065" s="360" t="s">
        <v>3273</v>
      </c>
      <c r="C2065" s="40">
        <v>857</v>
      </c>
      <c r="D2065" s="40">
        <v>124</v>
      </c>
      <c r="E2065" s="40" t="s">
        <v>3625</v>
      </c>
      <c r="F2065" s="40" t="s">
        <v>3838</v>
      </c>
      <c r="G2065" s="40" t="s">
        <v>270</v>
      </c>
      <c r="H2065" s="40" t="s">
        <v>3121</v>
      </c>
      <c r="I2065" s="40" t="e">
        <f>VLOOKUP(Таблица18[[#This Row],[Номер акта]],$AB$1:$AF$2504,3,FALSE)</f>
        <v>#N/A</v>
      </c>
      <c r="J2065" s="40" t="s">
        <v>897</v>
      </c>
      <c r="K2065" s="40" t="s">
        <v>3645</v>
      </c>
      <c r="L2065" s="121">
        <v>27490</v>
      </c>
      <c r="M2065" s="121">
        <v>14880</v>
      </c>
      <c r="N2065" s="121">
        <v>4.5</v>
      </c>
      <c r="O2065" s="363">
        <v>12610</v>
      </c>
      <c r="P2065" s="363">
        <v>12042.6</v>
      </c>
      <c r="Q2065" s="121">
        <v>2026</v>
      </c>
      <c r="R2065" s="121">
        <v>713</v>
      </c>
      <c r="S2065" s="148">
        <v>46209</v>
      </c>
      <c r="T2065" s="363">
        <f>Таблица18[[#This Row],[Вес нетто]]-Таблица18[[#This Row],[Зачетный вес]]</f>
        <v>567.39999999999964</v>
      </c>
      <c r="U2065" s="392">
        <f>Таблица18[[#This Row],[Отход]]/Таблица18[[#This Row],[Вес нетто]]</f>
        <v>4.4996034892942079E-2</v>
      </c>
      <c r="V2065" s="121">
        <f>MONTH(Таблица18[[#This Row],[Дата акта]])</f>
        <v>7</v>
      </c>
      <c r="W2065" s="121">
        <f>DAY(Таблица18[[#This Row],[Дата акта]])</f>
        <v>6</v>
      </c>
      <c r="X2065" s="148">
        <f>DATE(1900,Таблица18[[#This Row],[Месяц]],Таблица18[[#This Row],[Число]])</f>
        <v>188</v>
      </c>
      <c r="Y2065" s="121"/>
      <c r="Z2065" s="121" t="str">
        <f>Таблица18[[#This Row],[Хар-ка]]</f>
        <v>Второй</v>
      </c>
      <c r="AB2065">
        <v>682</v>
      </c>
      <c r="AD2065" s="460" t="s">
        <v>3108</v>
      </c>
      <c r="AE2065" t="s">
        <v>900</v>
      </c>
      <c r="AF2065" t="s">
        <v>2932</v>
      </c>
    </row>
    <row r="2066" spans="1:32" ht="33.75" x14ac:dyDescent="0.25">
      <c r="A2066" s="40" t="s">
        <v>3973</v>
      </c>
      <c r="B2066" s="360" t="s">
        <v>3230</v>
      </c>
      <c r="C2066" s="40">
        <v>858</v>
      </c>
      <c r="D2066" s="40">
        <v>448</v>
      </c>
      <c r="E2066" s="40" t="s">
        <v>2964</v>
      </c>
      <c r="F2066" s="40" t="s">
        <v>2967</v>
      </c>
      <c r="G2066" s="40" t="s">
        <v>1810</v>
      </c>
      <c r="H2066" s="40" t="s">
        <v>3108</v>
      </c>
      <c r="I2066" s="40" t="e">
        <f>VLOOKUP(Таблица18[[#This Row],[Номер акта]],$AB$1:$AF$2504,3,FALSE)</f>
        <v>#N/A</v>
      </c>
      <c r="J2066" s="40" t="s">
        <v>900</v>
      </c>
      <c r="K2066" s="40" t="s">
        <v>3375</v>
      </c>
      <c r="L2066" s="121">
        <v>27680</v>
      </c>
      <c r="M2066" s="121">
        <v>14210</v>
      </c>
      <c r="N2066" s="121">
        <v>5.5</v>
      </c>
      <c r="O2066" s="363">
        <v>13470</v>
      </c>
      <c r="P2066" s="363">
        <v>12729.2</v>
      </c>
      <c r="Q2066" s="121">
        <v>2026</v>
      </c>
      <c r="R2066" s="121">
        <v>714</v>
      </c>
      <c r="S2066" s="148">
        <v>46209</v>
      </c>
      <c r="T2066" s="363">
        <f>Таблица18[[#This Row],[Вес нетто]]-Таблица18[[#This Row],[Зачетный вес]]</f>
        <v>740.79999999999927</v>
      </c>
      <c r="U2066" s="392">
        <f>Таблица18[[#This Row],[Отход]]/Таблица18[[#This Row],[Вес нетто]]</f>
        <v>5.4996288047512935E-2</v>
      </c>
      <c r="V2066" s="121">
        <f>MONTH(Таблица18[[#This Row],[Дата акта]])</f>
        <v>7</v>
      </c>
      <c r="W2066" s="121">
        <f>DAY(Таблица18[[#This Row],[Дата акта]])</f>
        <v>6</v>
      </c>
      <c r="X2066" s="148">
        <f>DATE(1900,Таблица18[[#This Row],[Месяц]],Таблица18[[#This Row],[Число]])</f>
        <v>188</v>
      </c>
      <c r="Y2066" s="121"/>
      <c r="Z2066" s="121" t="str">
        <f>Таблица18[[#This Row],[Хар-ка]]</f>
        <v>Первый</v>
      </c>
      <c r="AB2066">
        <v>683</v>
      </c>
      <c r="AD2066" s="460" t="s">
        <v>3123</v>
      </c>
      <c r="AE2066" t="s">
        <v>901</v>
      </c>
      <c r="AF2066" t="s">
        <v>53</v>
      </c>
    </row>
    <row r="2067" spans="1:32" ht="22.5" x14ac:dyDescent="0.25">
      <c r="A2067" s="40" t="s">
        <v>3974</v>
      </c>
      <c r="B2067" s="360" t="s">
        <v>3230</v>
      </c>
      <c r="C2067" s="40">
        <v>859</v>
      </c>
      <c r="D2067" s="40">
        <v>449</v>
      </c>
      <c r="E2067" s="40" t="s">
        <v>2964</v>
      </c>
      <c r="F2067" s="40" t="s">
        <v>212</v>
      </c>
      <c r="G2067" s="40" t="s">
        <v>2965</v>
      </c>
      <c r="H2067" s="40" t="s">
        <v>3108</v>
      </c>
      <c r="I2067" s="40" t="e">
        <f>VLOOKUP(Таблица18[[#This Row],[Номер акта]],$AB$1:$AF$2504,3,FALSE)</f>
        <v>#N/A</v>
      </c>
      <c r="J2067" s="40" t="s">
        <v>900</v>
      </c>
      <c r="K2067" s="40" t="s">
        <v>3375</v>
      </c>
      <c r="L2067" s="121">
        <v>28610</v>
      </c>
      <c r="M2067" s="121">
        <v>15800</v>
      </c>
      <c r="N2067" s="121">
        <v>11</v>
      </c>
      <c r="O2067" s="363">
        <v>12810</v>
      </c>
      <c r="P2067" s="363">
        <v>11400.9</v>
      </c>
      <c r="Q2067" s="121">
        <v>2026</v>
      </c>
      <c r="R2067" s="121">
        <v>715</v>
      </c>
      <c r="S2067" s="148">
        <v>46209</v>
      </c>
      <c r="T2067" s="363">
        <f>Таблица18[[#This Row],[Вес нетто]]-Таблица18[[#This Row],[Зачетный вес]]</f>
        <v>1409.1000000000004</v>
      </c>
      <c r="U2067" s="392">
        <f>Таблица18[[#This Row],[Отход]]/Таблица18[[#This Row],[Вес нетто]]</f>
        <v>0.11000000000000003</v>
      </c>
      <c r="V2067" s="121">
        <f>MONTH(Таблица18[[#This Row],[Дата акта]])</f>
        <v>7</v>
      </c>
      <c r="W2067" s="121">
        <f>DAY(Таблица18[[#This Row],[Дата акта]])</f>
        <v>6</v>
      </c>
      <c r="X2067" s="148">
        <f>DATE(1900,Таблица18[[#This Row],[Месяц]],Таблица18[[#This Row],[Число]])</f>
        <v>188</v>
      </c>
      <c r="Y2067" s="121"/>
      <c r="Z2067" s="121" t="str">
        <f>Таблица18[[#This Row],[Хар-ка]]</f>
        <v>Первый</v>
      </c>
      <c r="AB2067">
        <v>684</v>
      </c>
      <c r="AD2067" s="460" t="s">
        <v>3108</v>
      </c>
      <c r="AE2067" t="s">
        <v>900</v>
      </c>
      <c r="AF2067" t="s">
        <v>2932</v>
      </c>
    </row>
    <row r="2068" spans="1:32" ht="22.5" x14ac:dyDescent="0.25">
      <c r="A2068" s="40" t="s">
        <v>3975</v>
      </c>
      <c r="B2068" s="360" t="s">
        <v>3273</v>
      </c>
      <c r="C2068" s="40">
        <v>860</v>
      </c>
      <c r="D2068" s="40">
        <v>125</v>
      </c>
      <c r="E2068" s="40" t="s">
        <v>3625</v>
      </c>
      <c r="F2068" s="40" t="s">
        <v>3377</v>
      </c>
      <c r="G2068" s="40" t="s">
        <v>3196</v>
      </c>
      <c r="H2068" s="40" t="s">
        <v>3121</v>
      </c>
      <c r="I2068" s="40" t="e">
        <f>VLOOKUP(Таблица18[[#This Row],[Номер акта]],$AB$1:$AF$2504,3,FALSE)</f>
        <v>#N/A</v>
      </c>
      <c r="J2068" s="40" t="s">
        <v>897</v>
      </c>
      <c r="K2068" s="40" t="s">
        <v>3645</v>
      </c>
      <c r="L2068" s="121">
        <v>28810</v>
      </c>
      <c r="M2068" s="121">
        <v>14230</v>
      </c>
      <c r="N2068" s="121">
        <v>6</v>
      </c>
      <c r="O2068" s="363">
        <v>14580</v>
      </c>
      <c r="P2068" s="363">
        <v>13705.2</v>
      </c>
      <c r="Q2068" s="121">
        <v>2026</v>
      </c>
      <c r="R2068" s="121">
        <v>716</v>
      </c>
      <c r="S2068" s="148">
        <v>46209</v>
      </c>
      <c r="T2068" s="363">
        <f>Таблица18[[#This Row],[Вес нетто]]-Таблица18[[#This Row],[Зачетный вес]]</f>
        <v>874.79999999999927</v>
      </c>
      <c r="U2068" s="392">
        <f>Таблица18[[#This Row],[Отход]]/Таблица18[[#This Row],[Вес нетто]]</f>
        <v>5.9999999999999949E-2</v>
      </c>
      <c r="V2068" s="121">
        <f>MONTH(Таблица18[[#This Row],[Дата акта]])</f>
        <v>7</v>
      </c>
      <c r="W2068" s="121">
        <f>DAY(Таблица18[[#This Row],[Дата акта]])</f>
        <v>6</v>
      </c>
      <c r="X2068" s="148">
        <f>DATE(1900,Таблица18[[#This Row],[Месяц]],Таблица18[[#This Row],[Число]])</f>
        <v>188</v>
      </c>
      <c r="Y2068" s="121"/>
      <c r="Z2068" s="121" t="str">
        <f>Таблица18[[#This Row],[Хар-ка]]</f>
        <v>Второй</v>
      </c>
      <c r="AB2068">
        <v>685</v>
      </c>
      <c r="AD2068" s="460" t="s">
        <v>3108</v>
      </c>
      <c r="AE2068" t="s">
        <v>900</v>
      </c>
      <c r="AF2068" t="s">
        <v>2932</v>
      </c>
    </row>
    <row r="2069" spans="1:32" ht="22.5" x14ac:dyDescent="0.25">
      <c r="A2069" s="40" t="s">
        <v>3976</v>
      </c>
      <c r="B2069" s="360" t="s">
        <v>3273</v>
      </c>
      <c r="C2069" s="40">
        <v>861</v>
      </c>
      <c r="D2069" s="40">
        <v>126</v>
      </c>
      <c r="E2069" s="40" t="s">
        <v>3625</v>
      </c>
      <c r="F2069" s="40" t="s">
        <v>347</v>
      </c>
      <c r="G2069" s="40" t="s">
        <v>351</v>
      </c>
      <c r="H2069" s="40" t="s">
        <v>3121</v>
      </c>
      <c r="I2069" s="40" t="e">
        <f>VLOOKUP(Таблица18[[#This Row],[Номер акта]],$AB$1:$AF$2504,3,FALSE)</f>
        <v>#N/A</v>
      </c>
      <c r="J2069" s="40" t="s">
        <v>897</v>
      </c>
      <c r="K2069" s="40" t="s">
        <v>3645</v>
      </c>
      <c r="L2069" s="121">
        <v>30050</v>
      </c>
      <c r="M2069" s="121">
        <v>15900</v>
      </c>
      <c r="N2069" s="121">
        <v>6.5</v>
      </c>
      <c r="O2069" s="363">
        <v>14150</v>
      </c>
      <c r="P2069" s="363">
        <v>13230.3</v>
      </c>
      <c r="Q2069" s="121">
        <v>2026</v>
      </c>
      <c r="R2069" s="121">
        <v>717</v>
      </c>
      <c r="S2069" s="148">
        <v>46210</v>
      </c>
      <c r="T2069" s="363">
        <f>Таблица18[[#This Row],[Вес нетто]]-Таблица18[[#This Row],[Зачетный вес]]</f>
        <v>919.70000000000073</v>
      </c>
      <c r="U2069" s="392">
        <f>Таблица18[[#This Row],[Отход]]/Таблица18[[#This Row],[Вес нетто]]</f>
        <v>6.4996466431095454E-2</v>
      </c>
      <c r="V2069" s="121">
        <f>MONTH(Таблица18[[#This Row],[Дата акта]])</f>
        <v>7</v>
      </c>
      <c r="W2069" s="121">
        <f>DAY(Таблица18[[#This Row],[Дата акта]])</f>
        <v>7</v>
      </c>
      <c r="X2069" s="148">
        <f>DATE(1900,Таблица18[[#This Row],[Месяц]],Таблица18[[#This Row],[Число]])</f>
        <v>189</v>
      </c>
      <c r="Y2069" s="121"/>
      <c r="Z2069" s="121" t="str">
        <f>Таблица18[[#This Row],[Хар-ка]]</f>
        <v>Второй</v>
      </c>
      <c r="AB2069">
        <v>686</v>
      </c>
      <c r="AD2069" s="460" t="s">
        <v>3123</v>
      </c>
      <c r="AE2069" t="s">
        <v>901</v>
      </c>
      <c r="AF2069" t="s">
        <v>53</v>
      </c>
    </row>
    <row r="2070" spans="1:32" ht="22.5" x14ac:dyDescent="0.25">
      <c r="A2070" s="40" t="s">
        <v>3977</v>
      </c>
      <c r="B2070" s="360" t="s">
        <v>3273</v>
      </c>
      <c r="C2070" s="40">
        <v>862</v>
      </c>
      <c r="D2070" s="40">
        <v>127</v>
      </c>
      <c r="E2070" s="40" t="s">
        <v>3625</v>
      </c>
      <c r="F2070" s="40" t="s">
        <v>3554</v>
      </c>
      <c r="G2070" s="40" t="s">
        <v>3555</v>
      </c>
      <c r="H2070" s="40" t="s">
        <v>3121</v>
      </c>
      <c r="I2070" s="40" t="e">
        <f>VLOOKUP(Таблица18[[#This Row],[Номер акта]],$AB$1:$AF$2504,3,FALSE)</f>
        <v>#N/A</v>
      </c>
      <c r="J2070" s="40" t="s">
        <v>897</v>
      </c>
      <c r="K2070" s="40" t="s">
        <v>3645</v>
      </c>
      <c r="L2070" s="121">
        <v>26870</v>
      </c>
      <c r="M2070" s="121">
        <v>14590</v>
      </c>
      <c r="N2070" s="121">
        <v>7.5</v>
      </c>
      <c r="O2070" s="363">
        <v>12280</v>
      </c>
      <c r="P2070" s="363">
        <v>11359</v>
      </c>
      <c r="Q2070" s="121">
        <v>2026</v>
      </c>
      <c r="R2070" s="121">
        <v>718</v>
      </c>
      <c r="S2070" s="148">
        <v>46210</v>
      </c>
      <c r="T2070" s="363">
        <f>Таблица18[[#This Row],[Вес нетто]]-Таблица18[[#This Row],[Зачетный вес]]</f>
        <v>921</v>
      </c>
      <c r="U2070" s="392">
        <f>Таблица18[[#This Row],[Отход]]/Таблица18[[#This Row],[Вес нетто]]</f>
        <v>7.4999999999999997E-2</v>
      </c>
      <c r="V2070" s="121">
        <f>MONTH(Таблица18[[#This Row],[Дата акта]])</f>
        <v>7</v>
      </c>
      <c r="W2070" s="121">
        <f>DAY(Таблица18[[#This Row],[Дата акта]])</f>
        <v>7</v>
      </c>
      <c r="X2070" s="148">
        <f>DATE(1900,Таблица18[[#This Row],[Месяц]],Таблица18[[#This Row],[Число]])</f>
        <v>189</v>
      </c>
      <c r="Y2070" s="121"/>
      <c r="Z2070" s="121" t="str">
        <f>Таблица18[[#This Row],[Хар-ка]]</f>
        <v>Второй</v>
      </c>
      <c r="AB2070">
        <v>687</v>
      </c>
      <c r="AD2070" s="460" t="s">
        <v>3123</v>
      </c>
      <c r="AE2070" t="s">
        <v>901</v>
      </c>
      <c r="AF2070" t="s">
        <v>53</v>
      </c>
    </row>
    <row r="2071" spans="1:32" ht="22.5" hidden="1" x14ac:dyDescent="0.25">
      <c r="A2071" s="40" t="s">
        <v>3739</v>
      </c>
      <c r="B2071" s="360" t="s">
        <v>2940</v>
      </c>
      <c r="C2071" s="40"/>
      <c r="D2071" s="40" t="s">
        <v>3740</v>
      </c>
      <c r="E2071" s="40" t="s">
        <v>3551</v>
      </c>
      <c r="F2071" s="40" t="s">
        <v>3600</v>
      </c>
      <c r="G2071" s="40" t="s">
        <v>3741</v>
      </c>
      <c r="H2071" s="40" t="s">
        <v>3115</v>
      </c>
      <c r="I2071" s="40" t="str">
        <f>VLOOKUP(Таблица18[[#This Row],[Номер акта]],$AB$1:$AF$2504,3,FALSE)</f>
        <v>18 Агролидер</v>
      </c>
      <c r="J2071" s="40" t="s">
        <v>909</v>
      </c>
      <c r="K2071" s="40" t="s">
        <v>3464</v>
      </c>
      <c r="L2071" s="121">
        <v>36800</v>
      </c>
      <c r="M2071" s="121">
        <v>19080</v>
      </c>
      <c r="N2071" s="121">
        <v>6.4</v>
      </c>
      <c r="O2071" s="363">
        <v>17720</v>
      </c>
      <c r="P2071" s="363">
        <v>16018</v>
      </c>
      <c r="Q2071" s="121">
        <v>2026</v>
      </c>
      <c r="R2071" s="121">
        <v>550</v>
      </c>
      <c r="S2071" s="148">
        <v>46200</v>
      </c>
      <c r="T2071" s="363">
        <f>Таблица18[[#This Row],[Вес нетто]]-Таблица18[[#This Row],[Зачетный вес]]</f>
        <v>1702</v>
      </c>
      <c r="U2071" s="392">
        <f>Таблица18[[#This Row],[Отход]]/Таблица18[[#This Row],[Вес нетто]]</f>
        <v>9.6049661399548528E-2</v>
      </c>
      <c r="V2071" s="121">
        <f>MONTH(Таблица18[[#This Row],[Дата акта]])</f>
        <v>6</v>
      </c>
      <c r="W2071" s="121">
        <f>DAY(Таблица18[[#This Row],[Дата акта]])</f>
        <v>27</v>
      </c>
      <c r="X2071" s="148">
        <f>DATE(1900,Таблица18[[#This Row],[Месяц]],Таблица18[[#This Row],[Число]])</f>
        <v>179</v>
      </c>
      <c r="Y2071" s="121"/>
      <c r="Z2071" s="121" t="str">
        <f>Таблица18[[#This Row],[Хар-ка]]</f>
        <v>Высший</v>
      </c>
      <c r="AB2071">
        <v>688</v>
      </c>
      <c r="AD2071" s="460" t="s">
        <v>3108</v>
      </c>
      <c r="AE2071" t="s">
        <v>900</v>
      </c>
      <c r="AF2071" t="s">
        <v>2932</v>
      </c>
    </row>
    <row r="2072" spans="1:32" ht="22.5" hidden="1" x14ac:dyDescent="0.25">
      <c r="A2072" s="40" t="s">
        <v>3801</v>
      </c>
      <c r="B2072" s="360" t="s">
        <v>3230</v>
      </c>
      <c r="C2072" s="40"/>
      <c r="D2072" s="40" t="s">
        <v>3978</v>
      </c>
      <c r="E2072" s="40" t="s">
        <v>3551</v>
      </c>
      <c r="F2072" s="40" t="s">
        <v>3979</v>
      </c>
      <c r="G2072" s="40" t="s">
        <v>3980</v>
      </c>
      <c r="H2072" s="40" t="s">
        <v>3115</v>
      </c>
      <c r="I2072" s="40" t="e">
        <f>VLOOKUP(Таблица18[[#This Row],[Номер акта]],$AB$1:$AF$2504,3,FALSE)</f>
        <v>#N/A</v>
      </c>
      <c r="J2072" s="40" t="s">
        <v>909</v>
      </c>
      <c r="K2072" s="40" t="s">
        <v>3464</v>
      </c>
      <c r="L2072" s="121">
        <v>32740</v>
      </c>
      <c r="M2072" s="121">
        <v>15060</v>
      </c>
      <c r="N2072" s="121">
        <v>8.4</v>
      </c>
      <c r="O2072" s="363">
        <v>17680</v>
      </c>
      <c r="P2072" s="363">
        <v>16194</v>
      </c>
      <c r="Q2072" s="121">
        <v>2026</v>
      </c>
      <c r="R2072" s="121">
        <v>567</v>
      </c>
      <c r="S2072" s="148">
        <v>46200</v>
      </c>
      <c r="T2072" s="363">
        <f>Таблица18[[#This Row],[Вес нетто]]-Таблица18[[#This Row],[Зачетный вес]]</f>
        <v>1486</v>
      </c>
      <c r="U2072" s="392">
        <f>Таблица18[[#This Row],[Отход]]/Таблица18[[#This Row],[Вес нетто]]</f>
        <v>8.4049773755656115E-2</v>
      </c>
      <c r="V2072" s="121">
        <f>MONTH(Таблица18[[#This Row],[Дата акта]])</f>
        <v>6</v>
      </c>
      <c r="W2072" s="121">
        <f>DAY(Таблица18[[#This Row],[Дата акта]])</f>
        <v>27</v>
      </c>
      <c r="X2072" s="148">
        <f>DATE(1900,Таблица18[[#This Row],[Месяц]],Таблица18[[#This Row],[Число]])</f>
        <v>179</v>
      </c>
      <c r="Y2072" s="121"/>
      <c r="Z2072" s="121" t="str">
        <f>Таблица18[[#This Row],[Хар-ка]]</f>
        <v>Первый</v>
      </c>
      <c r="AB2072">
        <v>689</v>
      </c>
      <c r="AD2072" s="460" t="s">
        <v>3108</v>
      </c>
      <c r="AE2072" t="s">
        <v>900</v>
      </c>
      <c r="AF2072" t="s">
        <v>2932</v>
      </c>
    </row>
    <row r="2073" spans="1:32" ht="22.5" hidden="1" x14ac:dyDescent="0.25">
      <c r="A2073" s="40" t="s">
        <v>3802</v>
      </c>
      <c r="B2073" s="360" t="s">
        <v>3230</v>
      </c>
      <c r="C2073" s="40"/>
      <c r="D2073" s="40" t="s">
        <v>3981</v>
      </c>
      <c r="E2073" s="40" t="s">
        <v>3551</v>
      </c>
      <c r="F2073" s="40" t="s">
        <v>3982</v>
      </c>
      <c r="G2073" s="40" t="s">
        <v>3983</v>
      </c>
      <c r="H2073" s="40" t="s">
        <v>3115</v>
      </c>
      <c r="I2073" s="40" t="e">
        <f>VLOOKUP(Таблица18[[#This Row],[Номер акта]],$AB$1:$AF$2504,3,FALSE)</f>
        <v>#N/A</v>
      </c>
      <c r="J2073" s="40" t="s">
        <v>909</v>
      </c>
      <c r="K2073" s="40" t="s">
        <v>3464</v>
      </c>
      <c r="L2073" s="121">
        <v>36740</v>
      </c>
      <c r="M2073" s="121">
        <v>19260</v>
      </c>
      <c r="N2073" s="121">
        <v>9.5</v>
      </c>
      <c r="O2073" s="363">
        <v>17480</v>
      </c>
      <c r="P2073" s="363">
        <v>15818</v>
      </c>
      <c r="Q2073" s="121">
        <v>2026</v>
      </c>
      <c r="R2073" s="121">
        <v>568</v>
      </c>
      <c r="S2073" s="148">
        <v>46200</v>
      </c>
      <c r="T2073" s="363">
        <f>Таблица18[[#This Row],[Вес нетто]]-Таблица18[[#This Row],[Зачетный вес]]</f>
        <v>1662</v>
      </c>
      <c r="U2073" s="392">
        <f>Таблица18[[#This Row],[Отход]]/Таблица18[[#This Row],[Вес нетто]]</f>
        <v>9.5080091533180783E-2</v>
      </c>
      <c r="V2073" s="121">
        <f>MONTH(Таблица18[[#This Row],[Дата акта]])</f>
        <v>6</v>
      </c>
      <c r="W2073" s="121">
        <f>DAY(Таблица18[[#This Row],[Дата акта]])</f>
        <v>27</v>
      </c>
      <c r="X2073" s="148">
        <f>DATE(1900,Таблица18[[#This Row],[Месяц]],Таблица18[[#This Row],[Число]])</f>
        <v>179</v>
      </c>
      <c r="Y2073" s="121"/>
      <c r="Z2073" s="121" t="str">
        <f>Таблица18[[#This Row],[Хар-ка]]</f>
        <v>Первый</v>
      </c>
      <c r="AB2073">
        <v>690</v>
      </c>
      <c r="AD2073" s="460" t="s">
        <v>3108</v>
      </c>
      <c r="AE2073" t="s">
        <v>900</v>
      </c>
      <c r="AF2073" t="s">
        <v>2932</v>
      </c>
    </row>
    <row r="2074" spans="1:32" ht="33.75" hidden="1" x14ac:dyDescent="0.25">
      <c r="A2074" s="40" t="s">
        <v>3803</v>
      </c>
      <c r="B2074" s="360" t="s">
        <v>3230</v>
      </c>
      <c r="C2074" s="40"/>
      <c r="D2074" s="40" t="s">
        <v>3984</v>
      </c>
      <c r="E2074" s="40" t="s">
        <v>3551</v>
      </c>
      <c r="F2074" s="40" t="s">
        <v>195</v>
      </c>
      <c r="G2074" s="40" t="s">
        <v>3985</v>
      </c>
      <c r="H2074" s="40" t="s">
        <v>3115</v>
      </c>
      <c r="I2074" s="40" t="e">
        <f>VLOOKUP(Таблица18[[#This Row],[Номер акта]],$AB$1:$AF$2504,3,FALSE)</f>
        <v>#N/A</v>
      </c>
      <c r="J2074" s="40" t="s">
        <v>909</v>
      </c>
      <c r="K2074" s="40" t="s">
        <v>3464</v>
      </c>
      <c r="L2074" s="121">
        <v>33440</v>
      </c>
      <c r="M2074" s="121">
        <v>15360</v>
      </c>
      <c r="N2074" s="121">
        <v>11.3</v>
      </c>
      <c r="O2074" s="363">
        <v>18080</v>
      </c>
      <c r="P2074" s="363">
        <v>16029</v>
      </c>
      <c r="Q2074" s="121">
        <v>2026</v>
      </c>
      <c r="R2074" s="121">
        <v>569</v>
      </c>
      <c r="S2074" s="148">
        <v>46200</v>
      </c>
      <c r="T2074" s="363">
        <f>Таблица18[[#This Row],[Вес нетто]]-Таблица18[[#This Row],[Зачетный вес]]</f>
        <v>2051</v>
      </c>
      <c r="U2074" s="392">
        <f>Таблица18[[#This Row],[Отход]]/Таблица18[[#This Row],[Вес нетто]]</f>
        <v>0.11344026548672566</v>
      </c>
      <c r="V2074" s="121">
        <f>MONTH(Таблица18[[#This Row],[Дата акта]])</f>
        <v>6</v>
      </c>
      <c r="W2074" s="121">
        <f>DAY(Таблица18[[#This Row],[Дата акта]])</f>
        <v>27</v>
      </c>
      <c r="X2074" s="148">
        <f>DATE(1900,Таблица18[[#This Row],[Месяц]],Таблица18[[#This Row],[Число]])</f>
        <v>179</v>
      </c>
      <c r="Y2074" s="121"/>
      <c r="Z2074" s="121" t="str">
        <f>Таблица18[[#This Row],[Хар-ка]]</f>
        <v>Первый</v>
      </c>
      <c r="AB2074">
        <v>694</v>
      </c>
      <c r="AD2074" s="460" t="s">
        <v>3123</v>
      </c>
      <c r="AE2074" t="s">
        <v>901</v>
      </c>
      <c r="AF2074" t="s">
        <v>53</v>
      </c>
    </row>
    <row r="2075" spans="1:32" ht="22.5" hidden="1" x14ac:dyDescent="0.25">
      <c r="A2075" s="40" t="s">
        <v>3870</v>
      </c>
      <c r="B2075" s="360" t="s">
        <v>3230</v>
      </c>
      <c r="C2075" s="40"/>
      <c r="D2075" s="40" t="s">
        <v>3986</v>
      </c>
      <c r="E2075" s="40" t="s">
        <v>3551</v>
      </c>
      <c r="F2075" s="40" t="s">
        <v>1880</v>
      </c>
      <c r="G2075" s="40" t="s">
        <v>3987</v>
      </c>
      <c r="H2075" s="40" t="s">
        <v>3115</v>
      </c>
      <c r="I2075" s="40" t="e">
        <f>VLOOKUP(Таблица18[[#This Row],[Номер акта]],$AB$1:$AF$2504,3,FALSE)</f>
        <v>#N/A</v>
      </c>
      <c r="J2075" s="40" t="s">
        <v>909</v>
      </c>
      <c r="K2075" s="40" t="s">
        <v>3464</v>
      </c>
      <c r="L2075" s="121">
        <v>30200</v>
      </c>
      <c r="M2075" s="121">
        <v>15060</v>
      </c>
      <c r="N2075" s="121">
        <v>8.9</v>
      </c>
      <c r="O2075" s="363">
        <v>15140</v>
      </c>
      <c r="P2075" s="363">
        <v>13796</v>
      </c>
      <c r="Q2075" s="121">
        <v>2026</v>
      </c>
      <c r="R2075" s="121">
        <v>570</v>
      </c>
      <c r="S2075" s="148">
        <v>46200</v>
      </c>
      <c r="T2075" s="363">
        <f>Таблица18[[#This Row],[Вес нетто]]-Таблица18[[#This Row],[Зачетный вес]]</f>
        <v>1344</v>
      </c>
      <c r="U2075" s="392">
        <f>Таблица18[[#This Row],[Отход]]/Таблица18[[#This Row],[Вес нетто]]</f>
        <v>8.8771466314398945E-2</v>
      </c>
      <c r="V2075" s="121">
        <f>MONTH(Таблица18[[#This Row],[Дата акта]])</f>
        <v>6</v>
      </c>
      <c r="W2075" s="121">
        <f>DAY(Таблица18[[#This Row],[Дата акта]])</f>
        <v>27</v>
      </c>
      <c r="X2075" s="148">
        <f>DATE(1900,Таблица18[[#This Row],[Месяц]],Таблица18[[#This Row],[Число]])</f>
        <v>179</v>
      </c>
      <c r="Y2075" s="121"/>
      <c r="Z2075" s="121" t="str">
        <f>Таблица18[[#This Row],[Хар-ка]]</f>
        <v>Первый</v>
      </c>
      <c r="AB2075">
        <v>691</v>
      </c>
      <c r="AD2075" s="460" t="s">
        <v>3123</v>
      </c>
      <c r="AE2075" t="s">
        <v>901</v>
      </c>
      <c r="AF2075" t="s">
        <v>53</v>
      </c>
    </row>
    <row r="2076" spans="1:32" ht="22.5" hidden="1" x14ac:dyDescent="0.25">
      <c r="A2076" s="40" t="s">
        <v>3878</v>
      </c>
      <c r="B2076" s="360" t="s">
        <v>2940</v>
      </c>
      <c r="C2076" s="40"/>
      <c r="D2076" s="40" t="s">
        <v>3988</v>
      </c>
      <c r="E2076" s="40" t="s">
        <v>3551</v>
      </c>
      <c r="F2076" s="40" t="s">
        <v>166</v>
      </c>
      <c r="G2076" s="40" t="s">
        <v>3989</v>
      </c>
      <c r="H2076" s="40" t="s">
        <v>3115</v>
      </c>
      <c r="I2076" s="40" t="e">
        <f>VLOOKUP(Таблица18[[#This Row],[Номер акта]],$AB$1:$AF$2504,3,FALSE)</f>
        <v>#N/A</v>
      </c>
      <c r="J2076" s="40" t="s">
        <v>909</v>
      </c>
      <c r="K2076" s="40" t="s">
        <v>3464</v>
      </c>
      <c r="L2076" s="121">
        <v>28340</v>
      </c>
      <c r="M2076" s="121">
        <v>15120</v>
      </c>
      <c r="N2076" s="121">
        <v>7.2</v>
      </c>
      <c r="O2076" s="363">
        <v>13220</v>
      </c>
      <c r="P2076" s="363">
        <v>11791</v>
      </c>
      <c r="Q2076" s="121">
        <v>2026</v>
      </c>
      <c r="R2076" s="121">
        <v>632</v>
      </c>
      <c r="S2076" s="148">
        <v>46199</v>
      </c>
      <c r="T2076" s="363">
        <f>Таблица18[[#This Row],[Вес нетто]]-Таблица18[[#This Row],[Зачетный вес]]</f>
        <v>1429</v>
      </c>
      <c r="U2076" s="392">
        <f>Таблица18[[#This Row],[Отход]]/Таблица18[[#This Row],[Вес нетто]]</f>
        <v>0.10809379727685325</v>
      </c>
      <c r="V2076" s="121">
        <f>MONTH(Таблица18[[#This Row],[Дата акта]])</f>
        <v>6</v>
      </c>
      <c r="W2076" s="121">
        <f>DAY(Таблица18[[#This Row],[Дата акта]])</f>
        <v>26</v>
      </c>
      <c r="X2076" s="148">
        <f>DATE(1900,Таблица18[[#This Row],[Месяц]],Таблица18[[#This Row],[Число]])</f>
        <v>178</v>
      </c>
      <c r="Y2076" s="121"/>
      <c r="Z2076" s="121" t="str">
        <f>Таблица18[[#This Row],[Хар-ка]]</f>
        <v>Высший</v>
      </c>
      <c r="AB2076">
        <v>695</v>
      </c>
      <c r="AD2076" s="460" t="s">
        <v>3108</v>
      </c>
      <c r="AE2076" t="s">
        <v>900</v>
      </c>
      <c r="AF2076" t="s">
        <v>2932</v>
      </c>
    </row>
    <row r="2077" spans="1:32" ht="33.75" hidden="1" x14ac:dyDescent="0.25">
      <c r="A2077" s="40" t="s">
        <v>3879</v>
      </c>
      <c r="B2077" s="360" t="s">
        <v>2940</v>
      </c>
      <c r="C2077" s="40"/>
      <c r="D2077" s="40" t="s">
        <v>3990</v>
      </c>
      <c r="E2077" s="40" t="s">
        <v>3551</v>
      </c>
      <c r="F2077" s="40" t="s">
        <v>305</v>
      </c>
      <c r="G2077" s="40" t="s">
        <v>3991</v>
      </c>
      <c r="H2077" s="40" t="s">
        <v>3115</v>
      </c>
      <c r="I2077" s="40" t="e">
        <f>VLOOKUP(Таблица18[[#This Row],[Номер акта]],$AB$1:$AF$2504,3,FALSE)</f>
        <v>#N/A</v>
      </c>
      <c r="J2077" s="40" t="s">
        <v>909</v>
      </c>
      <c r="K2077" s="40" t="s">
        <v>3464</v>
      </c>
      <c r="L2077" s="121">
        <v>28180</v>
      </c>
      <c r="M2077" s="121">
        <v>14620</v>
      </c>
      <c r="N2077" s="121">
        <v>3.6</v>
      </c>
      <c r="O2077" s="363">
        <v>13560</v>
      </c>
      <c r="P2077" s="363">
        <v>12079</v>
      </c>
      <c r="Q2077" s="121">
        <v>2026</v>
      </c>
      <c r="R2077" s="121">
        <v>633</v>
      </c>
      <c r="S2077" s="148">
        <v>46199</v>
      </c>
      <c r="T2077" s="363">
        <f>Таблица18[[#This Row],[Вес нетто]]-Таблица18[[#This Row],[Зачетный вес]]</f>
        <v>1481</v>
      </c>
      <c r="U2077" s="392">
        <f>Таблица18[[#This Row],[Отход]]/Таблица18[[#This Row],[Вес нетто]]</f>
        <v>0.10921828908554572</v>
      </c>
      <c r="V2077" s="121">
        <f>MONTH(Таблица18[[#This Row],[Дата акта]])</f>
        <v>6</v>
      </c>
      <c r="W2077" s="121">
        <f>DAY(Таблица18[[#This Row],[Дата акта]])</f>
        <v>26</v>
      </c>
      <c r="X2077" s="148">
        <f>DATE(1900,Таблица18[[#This Row],[Месяц]],Таблица18[[#This Row],[Число]])</f>
        <v>178</v>
      </c>
      <c r="Y2077" s="121"/>
      <c r="Z2077" s="121" t="str">
        <f>Таблица18[[#This Row],[Хар-ка]]</f>
        <v>Высший</v>
      </c>
      <c r="AB2077">
        <v>692</v>
      </c>
      <c r="AD2077" s="460" t="s">
        <v>3123</v>
      </c>
      <c r="AE2077" t="s">
        <v>901</v>
      </c>
      <c r="AF2077" t="s">
        <v>53</v>
      </c>
    </row>
    <row r="2078" spans="1:32" ht="33.75" hidden="1" x14ac:dyDescent="0.25">
      <c r="A2078" s="40" t="s">
        <v>3880</v>
      </c>
      <c r="B2078" s="360" t="s">
        <v>2940</v>
      </c>
      <c r="C2078" s="40"/>
      <c r="D2078" s="40" t="s">
        <v>3992</v>
      </c>
      <c r="E2078" s="40" t="s">
        <v>3551</v>
      </c>
      <c r="F2078" s="40" t="s">
        <v>305</v>
      </c>
      <c r="G2078" s="40" t="s">
        <v>3991</v>
      </c>
      <c r="H2078" s="40" t="s">
        <v>3115</v>
      </c>
      <c r="I2078" s="40" t="e">
        <f>VLOOKUP(Таблица18[[#This Row],[Номер акта]],$AB$1:$AF$2504,3,FALSE)</f>
        <v>#N/A</v>
      </c>
      <c r="J2078" s="40" t="s">
        <v>909</v>
      </c>
      <c r="K2078" s="40" t="s">
        <v>3464</v>
      </c>
      <c r="L2078" s="121">
        <v>27740</v>
      </c>
      <c r="M2078" s="121">
        <v>14540</v>
      </c>
      <c r="N2078" s="121">
        <v>4.8</v>
      </c>
      <c r="O2078" s="363">
        <v>13200</v>
      </c>
      <c r="P2078" s="363">
        <v>12078</v>
      </c>
      <c r="Q2078" s="121">
        <v>2026</v>
      </c>
      <c r="R2078" s="121">
        <v>634</v>
      </c>
      <c r="S2078" s="148">
        <v>46199</v>
      </c>
      <c r="T2078" s="363">
        <f>Таблица18[[#This Row],[Вес нетто]]-Таблица18[[#This Row],[Зачетный вес]]</f>
        <v>1122</v>
      </c>
      <c r="U2078" s="392">
        <f>Таблица18[[#This Row],[Отход]]/Таблица18[[#This Row],[Вес нетто]]</f>
        <v>8.5000000000000006E-2</v>
      </c>
      <c r="V2078" s="121">
        <f>MONTH(Таблица18[[#This Row],[Дата акта]])</f>
        <v>6</v>
      </c>
      <c r="W2078" s="121">
        <f>DAY(Таблица18[[#This Row],[Дата акта]])</f>
        <v>26</v>
      </c>
      <c r="X2078" s="148">
        <f>DATE(1900,Таблица18[[#This Row],[Месяц]],Таблица18[[#This Row],[Число]])</f>
        <v>178</v>
      </c>
      <c r="Y2078" s="121"/>
      <c r="Z2078" s="121" t="str">
        <f>Таблица18[[#This Row],[Хар-ка]]</f>
        <v>Высший</v>
      </c>
      <c r="AB2078">
        <v>697</v>
      </c>
      <c r="AD2078" s="460" t="s">
        <v>3123</v>
      </c>
      <c r="AE2078" t="s">
        <v>901</v>
      </c>
      <c r="AF2078" t="s">
        <v>53</v>
      </c>
    </row>
    <row r="2079" spans="1:32" ht="22.5" hidden="1" x14ac:dyDescent="0.25">
      <c r="A2079" s="40" t="s">
        <v>3873</v>
      </c>
      <c r="B2079" s="360" t="s">
        <v>3230</v>
      </c>
      <c r="C2079" s="40"/>
      <c r="D2079" s="40" t="s">
        <v>3993</v>
      </c>
      <c r="E2079" s="40" t="s">
        <v>3551</v>
      </c>
      <c r="F2079" s="40" t="s">
        <v>1880</v>
      </c>
      <c r="G2079" s="40" t="s">
        <v>3994</v>
      </c>
      <c r="H2079" s="40" t="s">
        <v>3115</v>
      </c>
      <c r="I2079" s="40" t="e">
        <f>VLOOKUP(Таблица18[[#This Row],[Номер акта]],$AB$1:$AF$2504,3,FALSE)</f>
        <v>#N/A</v>
      </c>
      <c r="J2079" s="40" t="s">
        <v>909</v>
      </c>
      <c r="K2079" s="40" t="s">
        <v>3464</v>
      </c>
      <c r="L2079" s="121">
        <v>32500</v>
      </c>
      <c r="M2079" s="121">
        <v>15000</v>
      </c>
      <c r="N2079" s="121">
        <v>5.6</v>
      </c>
      <c r="O2079" s="363">
        <v>17500</v>
      </c>
      <c r="P2079" s="363">
        <v>15931</v>
      </c>
      <c r="Q2079" s="121">
        <v>2026</v>
      </c>
      <c r="R2079" s="121">
        <v>635</v>
      </c>
      <c r="S2079" s="148">
        <v>46201</v>
      </c>
      <c r="T2079" s="363">
        <f>Таблица18[[#This Row],[Вес нетто]]-Таблица18[[#This Row],[Зачетный вес]]</f>
        <v>1569</v>
      </c>
      <c r="U2079" s="392">
        <f>Таблица18[[#This Row],[Отход]]/Таблица18[[#This Row],[Вес нетто]]</f>
        <v>8.9657142857142852E-2</v>
      </c>
      <c r="V2079" s="121">
        <f>MONTH(Таблица18[[#This Row],[Дата акта]])</f>
        <v>6</v>
      </c>
      <c r="W2079" s="121">
        <f>DAY(Таблица18[[#This Row],[Дата акта]])</f>
        <v>28</v>
      </c>
      <c r="X2079" s="148">
        <f>DATE(1900,Таблица18[[#This Row],[Месяц]],Таблица18[[#This Row],[Число]])</f>
        <v>180</v>
      </c>
      <c r="Y2079" s="121"/>
      <c r="Z2079" s="121" t="str">
        <f>Таблица18[[#This Row],[Хар-ка]]</f>
        <v>Первый</v>
      </c>
      <c r="AB2079">
        <v>693</v>
      </c>
      <c r="AD2079" s="460" t="s">
        <v>3108</v>
      </c>
      <c r="AE2079" t="s">
        <v>900</v>
      </c>
      <c r="AF2079" t="s">
        <v>2932</v>
      </c>
    </row>
    <row r="2080" spans="1:32" ht="33.75" hidden="1" x14ac:dyDescent="0.25">
      <c r="A2080" s="40" t="s">
        <v>3874</v>
      </c>
      <c r="B2080" s="360" t="s">
        <v>2940</v>
      </c>
      <c r="C2080" s="40"/>
      <c r="D2080" s="40" t="s">
        <v>3995</v>
      </c>
      <c r="E2080" s="40" t="s">
        <v>3551</v>
      </c>
      <c r="F2080" s="40" t="s">
        <v>305</v>
      </c>
      <c r="G2080" s="40" t="s">
        <v>3991</v>
      </c>
      <c r="H2080" s="40" t="s">
        <v>3116</v>
      </c>
      <c r="I2080" s="40" t="e">
        <f>VLOOKUP(Таблица18[[#This Row],[Номер акта]],$AB$1:$AF$2504,3,FALSE)</f>
        <v>#N/A</v>
      </c>
      <c r="J2080" s="40" t="s">
        <v>1755</v>
      </c>
      <c r="K2080" s="40" t="s">
        <v>3464</v>
      </c>
      <c r="L2080" s="121">
        <v>27560</v>
      </c>
      <c r="M2080" s="121">
        <v>14440</v>
      </c>
      <c r="N2080" s="121">
        <v>6.7</v>
      </c>
      <c r="O2080" s="363">
        <v>13120</v>
      </c>
      <c r="P2080" s="363">
        <v>11730</v>
      </c>
      <c r="Q2080" s="121">
        <v>2026</v>
      </c>
      <c r="R2080" s="121">
        <v>611</v>
      </c>
      <c r="S2080" s="148">
        <v>46197</v>
      </c>
      <c r="T2080" s="363">
        <f>Таблица18[[#This Row],[Вес нетто]]-Таблица18[[#This Row],[Зачетный вес]]</f>
        <v>1390</v>
      </c>
      <c r="U2080" s="392">
        <f>Таблица18[[#This Row],[Отход]]/Таблица18[[#This Row],[Вес нетто]]</f>
        <v>0.10594512195121951</v>
      </c>
      <c r="V2080" s="121">
        <f>MONTH(Таблица18[[#This Row],[Дата акта]])</f>
        <v>6</v>
      </c>
      <c r="W2080" s="121">
        <f>DAY(Таблица18[[#This Row],[Дата акта]])</f>
        <v>24</v>
      </c>
      <c r="X2080" s="148">
        <f>DATE(1900,Таблица18[[#This Row],[Месяц]],Таблица18[[#This Row],[Число]])</f>
        <v>176</v>
      </c>
      <c r="Y2080" s="121"/>
      <c r="Z2080" s="121" t="str">
        <f>Таблица18[[#This Row],[Хар-ка]]</f>
        <v>Высший</v>
      </c>
      <c r="AB2080">
        <v>696</v>
      </c>
      <c r="AD2080" s="460" t="s">
        <v>3108</v>
      </c>
      <c r="AE2080" t="s">
        <v>900</v>
      </c>
      <c r="AF2080" t="s">
        <v>2932</v>
      </c>
    </row>
    <row r="2081" spans="1:32" ht="22.5" hidden="1" x14ac:dyDescent="0.25">
      <c r="A2081" s="40" t="s">
        <v>3875</v>
      </c>
      <c r="B2081" s="360" t="s">
        <v>2940</v>
      </c>
      <c r="C2081" s="40"/>
      <c r="D2081" s="40" t="s">
        <v>3996</v>
      </c>
      <c r="E2081" s="40" t="s">
        <v>3551</v>
      </c>
      <c r="F2081" s="40" t="s">
        <v>3600</v>
      </c>
      <c r="G2081" s="40" t="s">
        <v>3997</v>
      </c>
      <c r="H2081" s="40" t="s">
        <v>3116</v>
      </c>
      <c r="I2081" s="40" t="e">
        <f>VLOOKUP(Таблица18[[#This Row],[Номер акта]],$AB$1:$AF$2504,3,FALSE)</f>
        <v>#N/A</v>
      </c>
      <c r="J2081" s="40" t="s">
        <v>1755</v>
      </c>
      <c r="K2081" s="40" t="s">
        <v>3464</v>
      </c>
      <c r="L2081" s="121">
        <v>32400</v>
      </c>
      <c r="M2081" s="121">
        <v>19080</v>
      </c>
      <c r="N2081" s="121">
        <v>4.7</v>
      </c>
      <c r="O2081" s="363">
        <v>13320</v>
      </c>
      <c r="P2081" s="363">
        <v>12184</v>
      </c>
      <c r="Q2081" s="121">
        <v>2026</v>
      </c>
      <c r="R2081" s="121">
        <v>625</v>
      </c>
      <c r="S2081" s="148">
        <v>46197</v>
      </c>
      <c r="T2081" s="363">
        <f>Таблица18[[#This Row],[Вес нетто]]-Таблица18[[#This Row],[Зачетный вес]]</f>
        <v>1136</v>
      </c>
      <c r="U2081" s="392">
        <f>Таблица18[[#This Row],[Отход]]/Таблица18[[#This Row],[Вес нетто]]</f>
        <v>8.5285285285285284E-2</v>
      </c>
      <c r="V2081" s="121">
        <f>MONTH(Таблица18[[#This Row],[Дата акта]])</f>
        <v>6</v>
      </c>
      <c r="W2081" s="121">
        <f>DAY(Таблица18[[#This Row],[Дата акта]])</f>
        <v>24</v>
      </c>
      <c r="X2081" s="148">
        <f>DATE(1900,Таблица18[[#This Row],[Месяц]],Таблица18[[#This Row],[Число]])</f>
        <v>176</v>
      </c>
      <c r="Y2081" s="121"/>
      <c r="Z2081" s="121" t="str">
        <f>Таблица18[[#This Row],[Хар-ка]]</f>
        <v>Высший</v>
      </c>
      <c r="AB2081">
        <v>698</v>
      </c>
      <c r="AD2081" s="460" t="s">
        <v>3123</v>
      </c>
      <c r="AE2081" t="s">
        <v>901</v>
      </c>
      <c r="AF2081" t="s">
        <v>53</v>
      </c>
    </row>
    <row r="2082" spans="1:32" ht="22.5" hidden="1" x14ac:dyDescent="0.25">
      <c r="A2082" s="40" t="s">
        <v>3871</v>
      </c>
      <c r="B2082" s="360" t="s">
        <v>3230</v>
      </c>
      <c r="C2082" s="40"/>
      <c r="D2082" s="40" t="s">
        <v>3998</v>
      </c>
      <c r="E2082" s="40" t="s">
        <v>3551</v>
      </c>
      <c r="F2082" s="40" t="s">
        <v>166</v>
      </c>
      <c r="G2082" s="40" t="s">
        <v>3999</v>
      </c>
      <c r="H2082" s="40" t="s">
        <v>3116</v>
      </c>
      <c r="I2082" s="40" t="e">
        <f>VLOOKUP(Таблица18[[#This Row],[Номер акта]],$AB$1:$AF$2504,3,FALSE)</f>
        <v>#N/A</v>
      </c>
      <c r="J2082" s="40" t="s">
        <v>1755</v>
      </c>
      <c r="K2082" s="40" t="s">
        <v>3464</v>
      </c>
      <c r="L2082" s="121">
        <v>27960</v>
      </c>
      <c r="M2082" s="121">
        <v>14880</v>
      </c>
      <c r="N2082" s="121">
        <v>5.9</v>
      </c>
      <c r="O2082" s="363">
        <v>13080</v>
      </c>
      <c r="P2082" s="363">
        <v>11661</v>
      </c>
      <c r="Q2082" s="121">
        <v>2026</v>
      </c>
      <c r="R2082" s="121">
        <v>626</v>
      </c>
      <c r="S2082" s="148">
        <v>46197</v>
      </c>
      <c r="T2082" s="363">
        <f>Таблица18[[#This Row],[Вес нетто]]-Таблица18[[#This Row],[Зачетный вес]]</f>
        <v>1419</v>
      </c>
      <c r="U2082" s="392">
        <f>Таблица18[[#This Row],[Отход]]/Таблица18[[#This Row],[Вес нетто]]</f>
        <v>0.10848623853211009</v>
      </c>
      <c r="V2082" s="121">
        <f>MONTH(Таблица18[[#This Row],[Дата акта]])</f>
        <v>6</v>
      </c>
      <c r="W2082" s="121">
        <f>DAY(Таблица18[[#This Row],[Дата акта]])</f>
        <v>24</v>
      </c>
      <c r="X2082" s="148">
        <f>DATE(1900,Таблица18[[#This Row],[Месяц]],Таблица18[[#This Row],[Число]])</f>
        <v>176</v>
      </c>
      <c r="Y2082" s="121"/>
      <c r="Z2082" s="121" t="str">
        <f>Таблица18[[#This Row],[Хар-ка]]</f>
        <v>Первый</v>
      </c>
      <c r="AB2082">
        <v>699</v>
      </c>
      <c r="AD2082" s="460" t="s">
        <v>3108</v>
      </c>
      <c r="AE2082" t="s">
        <v>900</v>
      </c>
      <c r="AF2082" t="s">
        <v>2932</v>
      </c>
    </row>
    <row r="2083" spans="1:32" ht="22.5" hidden="1" x14ac:dyDescent="0.25">
      <c r="A2083" s="40" t="s">
        <v>3876</v>
      </c>
      <c r="B2083" s="360" t="s">
        <v>2940</v>
      </c>
      <c r="C2083" s="40"/>
      <c r="D2083" s="40" t="s">
        <v>4000</v>
      </c>
      <c r="E2083" s="40" t="s">
        <v>3551</v>
      </c>
      <c r="F2083" s="40" t="s">
        <v>166</v>
      </c>
      <c r="G2083" s="40" t="s">
        <v>3989</v>
      </c>
      <c r="H2083" s="40" t="s">
        <v>3115</v>
      </c>
      <c r="I2083" s="40" t="e">
        <f>VLOOKUP(Таблица18[[#This Row],[Номер акта]],$AB$1:$AF$2504,3,FALSE)</f>
        <v>#N/A</v>
      </c>
      <c r="J2083" s="40" t="s">
        <v>909</v>
      </c>
      <c r="K2083" s="40" t="s">
        <v>3464</v>
      </c>
      <c r="L2083" s="121">
        <v>28100</v>
      </c>
      <c r="M2083" s="121">
        <v>14860</v>
      </c>
      <c r="N2083" s="121">
        <v>4.3</v>
      </c>
      <c r="O2083" s="363">
        <v>13240</v>
      </c>
      <c r="P2083" s="363">
        <v>11997</v>
      </c>
      <c r="Q2083" s="121">
        <v>2026</v>
      </c>
      <c r="R2083" s="121">
        <v>628</v>
      </c>
      <c r="S2083" s="148">
        <v>46199</v>
      </c>
      <c r="T2083" s="363">
        <f>Таблица18[[#This Row],[Вес нетто]]-Таблица18[[#This Row],[Зачетный вес]]</f>
        <v>1243</v>
      </c>
      <c r="U2083" s="392">
        <f>Таблица18[[#This Row],[Отход]]/Таблица18[[#This Row],[Вес нетто]]</f>
        <v>9.3882175226586109E-2</v>
      </c>
      <c r="V2083" s="121">
        <f>MONTH(Таблица18[[#This Row],[Дата акта]])</f>
        <v>6</v>
      </c>
      <c r="W2083" s="121">
        <f>DAY(Таблица18[[#This Row],[Дата акта]])</f>
        <v>26</v>
      </c>
      <c r="X2083" s="148">
        <f>DATE(1900,Таблица18[[#This Row],[Месяц]],Таблица18[[#This Row],[Число]])</f>
        <v>178</v>
      </c>
      <c r="Y2083" s="121"/>
      <c r="Z2083" s="121" t="str">
        <f>Таблица18[[#This Row],[Хар-ка]]</f>
        <v>Высший</v>
      </c>
      <c r="AB2083">
        <v>700</v>
      </c>
      <c r="AD2083" s="460" t="s">
        <v>3123</v>
      </c>
      <c r="AE2083" t="s">
        <v>901</v>
      </c>
      <c r="AF2083" t="s">
        <v>53</v>
      </c>
    </row>
    <row r="2084" spans="1:32" ht="33.75" hidden="1" x14ac:dyDescent="0.25">
      <c r="A2084" s="40" t="s">
        <v>3872</v>
      </c>
      <c r="B2084" s="360" t="s">
        <v>3230</v>
      </c>
      <c r="C2084" s="40"/>
      <c r="D2084" s="40" t="s">
        <v>4001</v>
      </c>
      <c r="E2084" s="40" t="s">
        <v>3551</v>
      </c>
      <c r="F2084" s="40" t="s">
        <v>244</v>
      </c>
      <c r="G2084" s="40" t="s">
        <v>4002</v>
      </c>
      <c r="H2084" s="40" t="s">
        <v>3115</v>
      </c>
      <c r="I2084" s="40" t="e">
        <f>VLOOKUP(Таблица18[[#This Row],[Номер акта]],$AB$1:$AF$2504,3,FALSE)</f>
        <v>#N/A</v>
      </c>
      <c r="J2084" s="40" t="s">
        <v>909</v>
      </c>
      <c r="K2084" s="40" t="s">
        <v>3464</v>
      </c>
      <c r="L2084" s="121">
        <v>29000</v>
      </c>
      <c r="M2084" s="121">
        <v>15680</v>
      </c>
      <c r="N2084" s="121">
        <v>5.2</v>
      </c>
      <c r="O2084" s="363">
        <v>13320</v>
      </c>
      <c r="P2084" s="363">
        <v>11853</v>
      </c>
      <c r="Q2084" s="121">
        <v>2026</v>
      </c>
      <c r="R2084" s="121">
        <v>629</v>
      </c>
      <c r="S2084" s="148">
        <v>46199</v>
      </c>
      <c r="T2084" s="363">
        <f>Таблица18[[#This Row],[Вес нетто]]-Таблица18[[#This Row],[Зачетный вес]]</f>
        <v>1467</v>
      </c>
      <c r="U2084" s="392">
        <f>Таблица18[[#This Row],[Отход]]/Таблица18[[#This Row],[Вес нетто]]</f>
        <v>0.11013513513513513</v>
      </c>
      <c r="V2084" s="121">
        <f>MONTH(Таблица18[[#This Row],[Дата акта]])</f>
        <v>6</v>
      </c>
      <c r="W2084" s="121">
        <f>DAY(Таблица18[[#This Row],[Дата акта]])</f>
        <v>26</v>
      </c>
      <c r="X2084" s="148">
        <f>DATE(1900,Таблица18[[#This Row],[Месяц]],Таблица18[[#This Row],[Число]])</f>
        <v>178</v>
      </c>
      <c r="Y2084" s="121"/>
      <c r="Z2084" s="121" t="str">
        <f>Таблица18[[#This Row],[Хар-ка]]</f>
        <v>Первый</v>
      </c>
      <c r="AB2084">
        <v>701</v>
      </c>
      <c r="AD2084" s="460" t="s">
        <v>3123</v>
      </c>
      <c r="AE2084" t="s">
        <v>901</v>
      </c>
      <c r="AF2084" t="s">
        <v>53</v>
      </c>
    </row>
    <row r="2085" spans="1:32" ht="22.5" hidden="1" x14ac:dyDescent="0.25">
      <c r="A2085" s="40" t="s">
        <v>3877</v>
      </c>
      <c r="B2085" s="360" t="s">
        <v>2940</v>
      </c>
      <c r="C2085" s="40"/>
      <c r="D2085" s="40" t="s">
        <v>4003</v>
      </c>
      <c r="E2085" s="40" t="s">
        <v>3551</v>
      </c>
      <c r="F2085" s="40" t="s">
        <v>3979</v>
      </c>
      <c r="G2085" s="40" t="s">
        <v>3980</v>
      </c>
      <c r="H2085" s="40" t="s">
        <v>3115</v>
      </c>
      <c r="I2085" s="40" t="e">
        <f>VLOOKUP(Таблица18[[#This Row],[Номер акта]],$AB$1:$AF$2504,3,FALSE)</f>
        <v>#N/A</v>
      </c>
      <c r="J2085" s="40" t="s">
        <v>909</v>
      </c>
      <c r="K2085" s="40" t="s">
        <v>3464</v>
      </c>
      <c r="L2085" s="121">
        <v>28540</v>
      </c>
      <c r="M2085" s="121">
        <v>15020</v>
      </c>
      <c r="N2085" s="121">
        <v>4.4000000000000004</v>
      </c>
      <c r="O2085" s="363">
        <v>13520</v>
      </c>
      <c r="P2085" s="363">
        <v>11992</v>
      </c>
      <c r="Q2085" s="121">
        <v>2026</v>
      </c>
      <c r="R2085" s="121">
        <v>630</v>
      </c>
      <c r="S2085" s="148">
        <v>46199</v>
      </c>
      <c r="T2085" s="363">
        <f>Таблица18[[#This Row],[Вес нетто]]-Таблица18[[#This Row],[Зачетный вес]]</f>
        <v>1528</v>
      </c>
      <c r="U2085" s="392">
        <f>Таблица18[[#This Row],[Отход]]/Таблица18[[#This Row],[Вес нетто]]</f>
        <v>0.11301775147928994</v>
      </c>
      <c r="V2085" s="121">
        <f>MONTH(Таблица18[[#This Row],[Дата акта]])</f>
        <v>6</v>
      </c>
      <c r="W2085" s="121">
        <f>DAY(Таблица18[[#This Row],[Дата акта]])</f>
        <v>26</v>
      </c>
      <c r="X2085" s="148">
        <f>DATE(1900,Таблица18[[#This Row],[Месяц]],Таблица18[[#This Row],[Число]])</f>
        <v>178</v>
      </c>
      <c r="Y2085" s="121"/>
      <c r="Z2085" s="121" t="str">
        <f>Таблица18[[#This Row],[Хар-ка]]</f>
        <v>Высший</v>
      </c>
    </row>
    <row r="2086" spans="1:32" ht="33.75" hidden="1" x14ac:dyDescent="0.25">
      <c r="A2086" s="40" t="s">
        <v>3844</v>
      </c>
      <c r="B2086" s="360" t="s">
        <v>3230</v>
      </c>
      <c r="C2086" s="40"/>
      <c r="D2086" s="40" t="s">
        <v>4004</v>
      </c>
      <c r="E2086" s="40" t="s">
        <v>3551</v>
      </c>
      <c r="F2086" s="40" t="s">
        <v>195</v>
      </c>
      <c r="G2086" s="40" t="s">
        <v>3985</v>
      </c>
      <c r="H2086" s="40" t="s">
        <v>3115</v>
      </c>
      <c r="I2086" s="40" t="e">
        <f>VLOOKUP(Таблица18[[#This Row],[Номер акта]],$AB$1:$AF$2504,3,FALSE)</f>
        <v>#N/A</v>
      </c>
      <c r="J2086" s="40" t="s">
        <v>909</v>
      </c>
      <c r="K2086" s="40" t="s">
        <v>3464</v>
      </c>
      <c r="L2086" s="121">
        <v>30480</v>
      </c>
      <c r="M2086" s="121">
        <v>15480</v>
      </c>
      <c r="N2086" s="121">
        <v>5.2</v>
      </c>
      <c r="O2086" s="363">
        <v>15000</v>
      </c>
      <c r="P2086" s="363">
        <v>13724</v>
      </c>
      <c r="Q2086" s="121">
        <v>2026</v>
      </c>
      <c r="R2086" s="121">
        <v>597</v>
      </c>
      <c r="S2086" s="148">
        <v>46201</v>
      </c>
      <c r="T2086" s="363">
        <f>Таблица18[[#This Row],[Вес нетто]]-Таблица18[[#This Row],[Зачетный вес]]</f>
        <v>1276</v>
      </c>
      <c r="U2086" s="392">
        <f>Таблица18[[#This Row],[Отход]]/Таблица18[[#This Row],[Вес нетто]]</f>
        <v>8.5066666666666665E-2</v>
      </c>
      <c r="V2086" s="121">
        <f>MONTH(Таблица18[[#This Row],[Дата акта]])</f>
        <v>6</v>
      </c>
      <c r="W2086" s="121">
        <f>DAY(Таблица18[[#This Row],[Дата акта]])</f>
        <v>28</v>
      </c>
      <c r="X2086" s="148">
        <f>DATE(1900,Таблица18[[#This Row],[Месяц]],Таблица18[[#This Row],[Число]])</f>
        <v>180</v>
      </c>
      <c r="Y2086" s="121"/>
      <c r="Z2086" s="121" t="str">
        <f>Таблица18[[#This Row],[Хар-ка]]</f>
        <v>Первый</v>
      </c>
    </row>
    <row r="2087" spans="1:32" ht="33.75" hidden="1" x14ac:dyDescent="0.25">
      <c r="A2087" s="40" t="s">
        <v>3848</v>
      </c>
      <c r="B2087" s="360" t="s">
        <v>2940</v>
      </c>
      <c r="C2087" s="40"/>
      <c r="D2087" s="40" t="s">
        <v>4005</v>
      </c>
      <c r="E2087" s="40" t="s">
        <v>3551</v>
      </c>
      <c r="F2087" s="40" t="s">
        <v>305</v>
      </c>
      <c r="G2087" s="40" t="s">
        <v>3991</v>
      </c>
      <c r="H2087" s="40" t="s">
        <v>3116</v>
      </c>
      <c r="I2087" s="40" t="e">
        <f>VLOOKUP(Таблица18[[#This Row],[Номер акта]],$AB$1:$AF$2504,3,FALSE)</f>
        <v>#N/A</v>
      </c>
      <c r="J2087" s="40" t="s">
        <v>1755</v>
      </c>
      <c r="K2087" s="40" t="s">
        <v>3464</v>
      </c>
      <c r="L2087" s="121">
        <v>27840</v>
      </c>
      <c r="M2087" s="121">
        <v>14420</v>
      </c>
      <c r="N2087" s="121">
        <v>4.2</v>
      </c>
      <c r="O2087" s="363">
        <v>13420</v>
      </c>
      <c r="P2087" s="363">
        <v>12305</v>
      </c>
      <c r="Q2087" s="121">
        <v>2026</v>
      </c>
      <c r="R2087" s="121">
        <v>598</v>
      </c>
      <c r="S2087" s="148">
        <v>46196</v>
      </c>
      <c r="T2087" s="363">
        <f>Таблица18[[#This Row],[Вес нетто]]-Таблица18[[#This Row],[Зачетный вес]]</f>
        <v>1115</v>
      </c>
      <c r="U2087" s="392">
        <f>Таблица18[[#This Row],[Отход]]/Таблица18[[#This Row],[Вес нетто]]</f>
        <v>8.30849478390462E-2</v>
      </c>
      <c r="V2087" s="121">
        <f>MONTH(Таблица18[[#This Row],[Дата акта]])</f>
        <v>6</v>
      </c>
      <c r="W2087" s="121">
        <f>DAY(Таблица18[[#This Row],[Дата акта]])</f>
        <v>23</v>
      </c>
      <c r="X2087" s="148">
        <f>DATE(1900,Таблица18[[#This Row],[Месяц]],Таблица18[[#This Row],[Число]])</f>
        <v>175</v>
      </c>
      <c r="Y2087" s="121"/>
      <c r="Z2087" s="121" t="str">
        <f>Таблица18[[#This Row],[Хар-ка]]</f>
        <v>Высший</v>
      </c>
    </row>
    <row r="2088" spans="1:32" ht="22.5" hidden="1" x14ac:dyDescent="0.25">
      <c r="A2088" s="40" t="s">
        <v>3849</v>
      </c>
      <c r="B2088" s="360" t="s">
        <v>2940</v>
      </c>
      <c r="C2088" s="40"/>
      <c r="D2088" s="40" t="s">
        <v>4006</v>
      </c>
      <c r="E2088" s="40" t="s">
        <v>3551</v>
      </c>
      <c r="F2088" s="40" t="s">
        <v>166</v>
      </c>
      <c r="G2088" s="40" t="s">
        <v>3624</v>
      </c>
      <c r="H2088" s="40" t="s">
        <v>3116</v>
      </c>
      <c r="I2088" s="40" t="e">
        <f>VLOOKUP(Таблица18[[#This Row],[Номер акта]],$AB$1:$AF$2504,3,FALSE)</f>
        <v>#N/A</v>
      </c>
      <c r="J2088" s="40" t="s">
        <v>1755</v>
      </c>
      <c r="K2088" s="40" t="s">
        <v>3464</v>
      </c>
      <c r="L2088" s="121">
        <v>28780</v>
      </c>
      <c r="M2088" s="121">
        <v>14980</v>
      </c>
      <c r="N2088" s="121">
        <v>13.7</v>
      </c>
      <c r="O2088" s="363">
        <v>13800</v>
      </c>
      <c r="P2088" s="363">
        <v>11387</v>
      </c>
      <c r="Q2088" s="121">
        <v>2026</v>
      </c>
      <c r="R2088" s="121">
        <v>599</v>
      </c>
      <c r="S2088" s="148">
        <v>46196</v>
      </c>
      <c r="T2088" s="363">
        <f>Таблица18[[#This Row],[Вес нетто]]-Таблица18[[#This Row],[Зачетный вес]]</f>
        <v>2413</v>
      </c>
      <c r="U2088" s="392">
        <f>Таблица18[[#This Row],[Отход]]/Таблица18[[#This Row],[Вес нетто]]</f>
        <v>0.17485507246376811</v>
      </c>
      <c r="V2088" s="121">
        <f>MONTH(Таблица18[[#This Row],[Дата акта]])</f>
        <v>6</v>
      </c>
      <c r="W2088" s="121">
        <f>DAY(Таблица18[[#This Row],[Дата акта]])</f>
        <v>23</v>
      </c>
      <c r="X2088" s="148">
        <f>DATE(1900,Таблица18[[#This Row],[Месяц]],Таблица18[[#This Row],[Число]])</f>
        <v>175</v>
      </c>
      <c r="Y2088" s="121"/>
      <c r="Z2088" s="121" t="str">
        <f>Таблица18[[#This Row],[Хар-ка]]</f>
        <v>Высший</v>
      </c>
    </row>
    <row r="2089" spans="1:32" ht="22.5" hidden="1" x14ac:dyDescent="0.25">
      <c r="A2089" s="40" t="s">
        <v>3845</v>
      </c>
      <c r="B2089" s="360" t="s">
        <v>3230</v>
      </c>
      <c r="C2089" s="40"/>
      <c r="D2089" s="40" t="s">
        <v>4007</v>
      </c>
      <c r="E2089" s="40" t="s">
        <v>3551</v>
      </c>
      <c r="F2089" s="40" t="s">
        <v>166</v>
      </c>
      <c r="G2089" s="40" t="s">
        <v>3999</v>
      </c>
      <c r="H2089" s="40" t="s">
        <v>3115</v>
      </c>
      <c r="I2089" s="40" t="e">
        <f>VLOOKUP(Таблица18[[#This Row],[Номер акта]],$AB$1:$AF$2504,3,FALSE)</f>
        <v>#N/A</v>
      </c>
      <c r="J2089" s="40" t="s">
        <v>909</v>
      </c>
      <c r="K2089" s="40" t="s">
        <v>3464</v>
      </c>
      <c r="L2089" s="121">
        <v>32360</v>
      </c>
      <c r="M2089" s="121">
        <v>14940</v>
      </c>
      <c r="N2089" s="121">
        <v>5</v>
      </c>
      <c r="O2089" s="363">
        <v>17420</v>
      </c>
      <c r="P2089" s="363">
        <v>15990</v>
      </c>
      <c r="Q2089" s="121">
        <v>2026</v>
      </c>
      <c r="R2089" s="121">
        <v>606</v>
      </c>
      <c r="S2089" s="148">
        <v>46200</v>
      </c>
      <c r="T2089" s="363">
        <f>Таблица18[[#This Row],[Вес нетто]]-Таблица18[[#This Row],[Зачетный вес]]</f>
        <v>1430</v>
      </c>
      <c r="U2089" s="392">
        <f>Таблица18[[#This Row],[Отход]]/Таблица18[[#This Row],[Вес нетто]]</f>
        <v>8.2089552238805971E-2</v>
      </c>
      <c r="V2089" s="121">
        <f>MONTH(Таблица18[[#This Row],[Дата акта]])</f>
        <v>6</v>
      </c>
      <c r="W2089" s="121">
        <f>DAY(Таблица18[[#This Row],[Дата акта]])</f>
        <v>27</v>
      </c>
      <c r="X2089" s="148">
        <f>DATE(1900,Таблица18[[#This Row],[Месяц]],Таблица18[[#This Row],[Число]])</f>
        <v>179</v>
      </c>
      <c r="Y2089" s="121"/>
      <c r="Z2089" s="121" t="str">
        <f>Таблица18[[#This Row],[Хар-ка]]</f>
        <v>Первый</v>
      </c>
    </row>
    <row r="2090" spans="1:32" ht="22.5" hidden="1" x14ac:dyDescent="0.25">
      <c r="A2090" s="40" t="s">
        <v>3846</v>
      </c>
      <c r="B2090" s="360" t="s">
        <v>3230</v>
      </c>
      <c r="C2090" s="40"/>
      <c r="D2090" s="40" t="s">
        <v>4008</v>
      </c>
      <c r="E2090" s="40" t="s">
        <v>3551</v>
      </c>
      <c r="F2090" s="40" t="s">
        <v>234</v>
      </c>
      <c r="G2090" s="40" t="s">
        <v>4009</v>
      </c>
      <c r="H2090" s="40" t="s">
        <v>3115</v>
      </c>
      <c r="I2090" s="40" t="e">
        <f>VLOOKUP(Таблица18[[#This Row],[Номер акта]],$AB$1:$AF$2504,3,FALSE)</f>
        <v>#N/A</v>
      </c>
      <c r="J2090" s="40" t="s">
        <v>909</v>
      </c>
      <c r="K2090" s="40" t="s">
        <v>3464</v>
      </c>
      <c r="L2090" s="121">
        <v>32840</v>
      </c>
      <c r="M2090" s="121">
        <v>15640</v>
      </c>
      <c r="N2090" s="121">
        <v>13</v>
      </c>
      <c r="O2090" s="363">
        <v>17200</v>
      </c>
      <c r="P2090" s="363">
        <v>14465</v>
      </c>
      <c r="Q2090" s="121">
        <v>2026</v>
      </c>
      <c r="R2090" s="121">
        <v>607</v>
      </c>
      <c r="S2090" s="148">
        <v>46200</v>
      </c>
      <c r="T2090" s="363">
        <f>Таблица18[[#This Row],[Вес нетто]]-Таблица18[[#This Row],[Зачетный вес]]</f>
        <v>2735</v>
      </c>
      <c r="U2090" s="392">
        <f>Таблица18[[#This Row],[Отход]]/Таблица18[[#This Row],[Вес нетто]]</f>
        <v>0.15901162790697673</v>
      </c>
      <c r="V2090" s="121">
        <f>MONTH(Таблица18[[#This Row],[Дата акта]])</f>
        <v>6</v>
      </c>
      <c r="W2090" s="121">
        <f>DAY(Таблица18[[#This Row],[Дата акта]])</f>
        <v>27</v>
      </c>
      <c r="X2090" s="148">
        <f>DATE(1900,Таблица18[[#This Row],[Месяц]],Таблица18[[#This Row],[Число]])</f>
        <v>179</v>
      </c>
      <c r="Y2090" s="121"/>
      <c r="Z2090" s="121" t="str">
        <f>Таблица18[[#This Row],[Хар-ка]]</f>
        <v>Первый</v>
      </c>
    </row>
    <row r="2091" spans="1:32" ht="22.5" hidden="1" x14ac:dyDescent="0.25">
      <c r="A2091" s="40" t="s">
        <v>3847</v>
      </c>
      <c r="B2091" s="360" t="s">
        <v>3230</v>
      </c>
      <c r="C2091" s="40"/>
      <c r="D2091" s="40" t="s">
        <v>4010</v>
      </c>
      <c r="E2091" s="40" t="s">
        <v>3551</v>
      </c>
      <c r="F2091" s="40" t="s">
        <v>1880</v>
      </c>
      <c r="G2091" s="40" t="s">
        <v>3994</v>
      </c>
      <c r="H2091" s="40" t="s">
        <v>3115</v>
      </c>
      <c r="I2091" s="40" t="e">
        <f>VLOOKUP(Таблица18[[#This Row],[Номер акта]],$AB$1:$AF$2504,3,FALSE)</f>
        <v>#N/A</v>
      </c>
      <c r="J2091" s="40" t="s">
        <v>909</v>
      </c>
      <c r="K2091" s="40" t="s">
        <v>3464</v>
      </c>
      <c r="L2091" s="121">
        <v>28380</v>
      </c>
      <c r="M2091" s="121">
        <v>15000</v>
      </c>
      <c r="N2091" s="121">
        <v>4.2</v>
      </c>
      <c r="O2091" s="363">
        <v>13380</v>
      </c>
      <c r="P2091" s="363">
        <v>12392</v>
      </c>
      <c r="Q2091" s="121">
        <v>2026</v>
      </c>
      <c r="R2091" s="121">
        <v>608</v>
      </c>
      <c r="S2091" s="148">
        <v>46199</v>
      </c>
      <c r="T2091" s="363">
        <f>Таблица18[[#This Row],[Вес нетто]]-Таблица18[[#This Row],[Зачетный вес]]</f>
        <v>988</v>
      </c>
      <c r="U2091" s="392">
        <f>Таблица18[[#This Row],[Отход]]/Таблица18[[#This Row],[Вес нетто]]</f>
        <v>7.3841554559043343E-2</v>
      </c>
      <c r="V2091" s="121">
        <f>MONTH(Таблица18[[#This Row],[Дата акта]])</f>
        <v>6</v>
      </c>
      <c r="W2091" s="121">
        <f>DAY(Таблица18[[#This Row],[Дата акта]])</f>
        <v>26</v>
      </c>
      <c r="X2091" s="148">
        <f>DATE(1900,Таблица18[[#This Row],[Месяц]],Таблица18[[#This Row],[Число]])</f>
        <v>178</v>
      </c>
      <c r="Y2091" s="121"/>
      <c r="Z2091" s="121" t="str">
        <f>Таблица18[[#This Row],[Хар-ка]]</f>
        <v>Первый</v>
      </c>
    </row>
    <row r="2092" spans="1:32" ht="22.5" hidden="1" x14ac:dyDescent="0.25">
      <c r="A2092" s="40" t="s">
        <v>3804</v>
      </c>
      <c r="B2092" s="360" t="s">
        <v>3230</v>
      </c>
      <c r="C2092" s="40"/>
      <c r="D2092" s="40" t="s">
        <v>4011</v>
      </c>
      <c r="E2092" s="40" t="s">
        <v>3551</v>
      </c>
      <c r="F2092" s="40" t="s">
        <v>166</v>
      </c>
      <c r="G2092" s="40" t="s">
        <v>3999</v>
      </c>
      <c r="H2092" s="40" t="s">
        <v>3115</v>
      </c>
      <c r="I2092" s="40" t="e">
        <f>VLOOKUP(Таблица18[[#This Row],[Номер акта]],$AB$1:$AF$2504,3,FALSE)</f>
        <v>#N/A</v>
      </c>
      <c r="J2092" s="40" t="s">
        <v>909</v>
      </c>
      <c r="K2092" s="40" t="s">
        <v>3464</v>
      </c>
      <c r="L2092" s="121">
        <v>28080</v>
      </c>
      <c r="M2092" s="121">
        <v>15180</v>
      </c>
      <c r="N2092" s="121">
        <v>9.3000000000000007</v>
      </c>
      <c r="O2092" s="363">
        <v>12900</v>
      </c>
      <c r="P2092" s="363">
        <v>11701</v>
      </c>
      <c r="Q2092" s="121">
        <v>2026</v>
      </c>
      <c r="R2092" s="121">
        <v>571</v>
      </c>
      <c r="S2092" s="148">
        <v>46200</v>
      </c>
      <c r="T2092" s="363">
        <f>Таблица18[[#This Row],[Вес нетто]]-Таблица18[[#This Row],[Зачетный вес]]</f>
        <v>1199</v>
      </c>
      <c r="U2092" s="392">
        <f>Таблица18[[#This Row],[Отход]]/Таблица18[[#This Row],[Вес нетто]]</f>
        <v>9.2945736434108528E-2</v>
      </c>
      <c r="V2092" s="121">
        <f>MONTH(Таблица18[[#This Row],[Дата акта]])</f>
        <v>6</v>
      </c>
      <c r="W2092" s="121">
        <f>DAY(Таблица18[[#This Row],[Дата акта]])</f>
        <v>27</v>
      </c>
      <c r="X2092" s="148">
        <f>DATE(1900,Таблица18[[#This Row],[Месяц]],Таблица18[[#This Row],[Число]])</f>
        <v>179</v>
      </c>
      <c r="Y2092" s="121"/>
      <c r="Z2092" s="121" t="str">
        <f>Таблица18[[#This Row],[Хар-ка]]</f>
        <v>Первый</v>
      </c>
    </row>
    <row r="2093" spans="1:32" ht="22.5" hidden="1" x14ac:dyDescent="0.25">
      <c r="A2093" s="40" t="s">
        <v>3805</v>
      </c>
      <c r="B2093" s="360" t="s">
        <v>3230</v>
      </c>
      <c r="C2093" s="40"/>
      <c r="D2093" s="40" t="s">
        <v>4012</v>
      </c>
      <c r="E2093" s="40" t="s">
        <v>3551</v>
      </c>
      <c r="F2093" s="40" t="s">
        <v>4013</v>
      </c>
      <c r="G2093" s="40" t="s">
        <v>3997</v>
      </c>
      <c r="H2093" s="40" t="s">
        <v>3115</v>
      </c>
      <c r="I2093" s="40" t="e">
        <f>VLOOKUP(Таблица18[[#This Row],[Номер акта]],$AB$1:$AF$2504,3,FALSE)</f>
        <v>#N/A</v>
      </c>
      <c r="J2093" s="40" t="s">
        <v>909</v>
      </c>
      <c r="K2093" s="40" t="s">
        <v>3464</v>
      </c>
      <c r="L2093" s="121">
        <v>32440</v>
      </c>
      <c r="M2093" s="121">
        <v>19160</v>
      </c>
      <c r="N2093" s="121">
        <v>11.7</v>
      </c>
      <c r="O2093" s="363">
        <v>13280</v>
      </c>
      <c r="P2093" s="363">
        <v>11726</v>
      </c>
      <c r="Q2093" s="121">
        <v>2026</v>
      </c>
      <c r="R2093" s="121">
        <v>572</v>
      </c>
      <c r="S2093" s="148">
        <v>46200</v>
      </c>
      <c r="T2093" s="363">
        <f>Таблица18[[#This Row],[Вес нетто]]-Таблица18[[#This Row],[Зачетный вес]]</f>
        <v>1554</v>
      </c>
      <c r="U2093" s="392">
        <f>Таблица18[[#This Row],[Отход]]/Таблица18[[#This Row],[Вес нетто]]</f>
        <v>0.11701807228915663</v>
      </c>
      <c r="V2093" s="121">
        <f>MONTH(Таблица18[[#This Row],[Дата акта]])</f>
        <v>6</v>
      </c>
      <c r="W2093" s="121">
        <f>DAY(Таблица18[[#This Row],[Дата акта]])</f>
        <v>27</v>
      </c>
      <c r="X2093" s="148">
        <f>DATE(1900,Таблица18[[#This Row],[Месяц]],Таблица18[[#This Row],[Число]])</f>
        <v>179</v>
      </c>
      <c r="Y2093" s="121"/>
      <c r="Z2093" s="121" t="str">
        <f>Таблица18[[#This Row],[Хар-ка]]</f>
        <v>Первый</v>
      </c>
    </row>
    <row r="2094" spans="1:32" ht="33.75" hidden="1" x14ac:dyDescent="0.25">
      <c r="A2094" s="40" t="s">
        <v>3806</v>
      </c>
      <c r="B2094" s="360" t="s">
        <v>3230</v>
      </c>
      <c r="C2094" s="40"/>
      <c r="D2094" s="40" t="s">
        <v>4014</v>
      </c>
      <c r="E2094" s="40" t="s">
        <v>3551</v>
      </c>
      <c r="F2094" s="40" t="s">
        <v>195</v>
      </c>
      <c r="G2094" s="40" t="s">
        <v>3985</v>
      </c>
      <c r="H2094" s="40" t="s">
        <v>3115</v>
      </c>
      <c r="I2094" s="40" t="e">
        <f>VLOOKUP(Таблица18[[#This Row],[Номер акта]],$AB$1:$AF$2504,3,FALSE)</f>
        <v>#N/A</v>
      </c>
      <c r="J2094" s="40" t="s">
        <v>909</v>
      </c>
      <c r="K2094" s="40" t="s">
        <v>3464</v>
      </c>
      <c r="L2094" s="121">
        <v>28740</v>
      </c>
      <c r="M2094" s="121">
        <v>15440</v>
      </c>
      <c r="N2094" s="121">
        <v>7.1</v>
      </c>
      <c r="O2094" s="363">
        <v>13300</v>
      </c>
      <c r="P2094" s="363">
        <v>12355</v>
      </c>
      <c r="Q2094" s="121">
        <v>2026</v>
      </c>
      <c r="R2094" s="121">
        <v>573</v>
      </c>
      <c r="S2094" s="148">
        <v>46200</v>
      </c>
      <c r="T2094" s="363">
        <f>Таблица18[[#This Row],[Вес нетто]]-Таблица18[[#This Row],[Зачетный вес]]</f>
        <v>945</v>
      </c>
      <c r="U2094" s="392">
        <f>Таблица18[[#This Row],[Отход]]/Таблица18[[#This Row],[Вес нетто]]</f>
        <v>7.1052631578947367E-2</v>
      </c>
      <c r="V2094" s="121">
        <f>MONTH(Таблица18[[#This Row],[Дата акта]])</f>
        <v>6</v>
      </c>
      <c r="W2094" s="121">
        <f>DAY(Таблица18[[#This Row],[Дата акта]])</f>
        <v>27</v>
      </c>
      <c r="X2094" s="148">
        <f>DATE(1900,Таблица18[[#This Row],[Месяц]],Таблица18[[#This Row],[Число]])</f>
        <v>179</v>
      </c>
      <c r="Y2094" s="121"/>
      <c r="Z2094" s="121" t="str">
        <f>Таблица18[[#This Row],[Хар-ка]]</f>
        <v>Первый</v>
      </c>
    </row>
    <row r="2095" spans="1:32" ht="22.5" hidden="1" x14ac:dyDescent="0.25">
      <c r="A2095" s="40" t="s">
        <v>3807</v>
      </c>
      <c r="B2095" s="360" t="s">
        <v>3230</v>
      </c>
      <c r="C2095" s="40"/>
      <c r="D2095" s="40" t="s">
        <v>4001</v>
      </c>
      <c r="E2095" s="40" t="s">
        <v>3551</v>
      </c>
      <c r="F2095" s="40" t="s">
        <v>4015</v>
      </c>
      <c r="G2095" s="40" t="s">
        <v>3983</v>
      </c>
      <c r="H2095" s="40" t="s">
        <v>3115</v>
      </c>
      <c r="I2095" s="40" t="e">
        <f>VLOOKUP(Таблица18[[#This Row],[Номер акта]],$AB$1:$AF$2504,3,FALSE)</f>
        <v>#N/A</v>
      </c>
      <c r="J2095" s="40" t="s">
        <v>909</v>
      </c>
      <c r="K2095" s="40" t="s">
        <v>3464</v>
      </c>
      <c r="L2095" s="121">
        <v>32900</v>
      </c>
      <c r="M2095" s="121">
        <v>19340</v>
      </c>
      <c r="N2095" s="121">
        <v>11.8</v>
      </c>
      <c r="O2095" s="363">
        <v>13560</v>
      </c>
      <c r="P2095" s="363">
        <v>11966</v>
      </c>
      <c r="Q2095" s="121">
        <v>2026</v>
      </c>
      <c r="R2095" s="121">
        <v>574</v>
      </c>
      <c r="S2095" s="148">
        <v>46200</v>
      </c>
      <c r="T2095" s="363">
        <f>Таблица18[[#This Row],[Вес нетто]]-Таблица18[[#This Row],[Зачетный вес]]</f>
        <v>1594</v>
      </c>
      <c r="U2095" s="392">
        <f>Таблица18[[#This Row],[Отход]]/Таблица18[[#This Row],[Вес нетто]]</f>
        <v>0.11755162241887905</v>
      </c>
      <c r="V2095" s="121">
        <f>MONTH(Таблица18[[#This Row],[Дата акта]])</f>
        <v>6</v>
      </c>
      <c r="W2095" s="121">
        <f>DAY(Таблица18[[#This Row],[Дата акта]])</f>
        <v>27</v>
      </c>
      <c r="X2095" s="148">
        <f>DATE(1900,Таблица18[[#This Row],[Месяц]],Таблица18[[#This Row],[Число]])</f>
        <v>179</v>
      </c>
      <c r="Y2095" s="121"/>
      <c r="Z2095" s="121" t="str">
        <f>Таблица18[[#This Row],[Хар-ка]]</f>
        <v>Первый</v>
      </c>
    </row>
    <row r="2096" spans="1:32" ht="22.5" hidden="1" x14ac:dyDescent="0.25">
      <c r="A2096" s="40" t="s">
        <v>3842</v>
      </c>
      <c r="B2096" s="360" t="s">
        <v>3230</v>
      </c>
      <c r="C2096" s="40"/>
      <c r="D2096" s="40" t="s">
        <v>4011</v>
      </c>
      <c r="E2096" s="40" t="s">
        <v>3551</v>
      </c>
      <c r="F2096" s="40" t="s">
        <v>3982</v>
      </c>
      <c r="G2096" s="40" t="s">
        <v>3983</v>
      </c>
      <c r="H2096" s="40" t="s">
        <v>3115</v>
      </c>
      <c r="I2096" s="40" t="e">
        <f>VLOOKUP(Таблица18[[#This Row],[Номер акта]],$AB$1:$AF$2504,3,FALSE)</f>
        <v>#N/A</v>
      </c>
      <c r="J2096" s="40" t="s">
        <v>909</v>
      </c>
      <c r="K2096" s="40" t="s">
        <v>3464</v>
      </c>
      <c r="L2096" s="121">
        <v>35300</v>
      </c>
      <c r="M2096" s="121">
        <v>19260</v>
      </c>
      <c r="N2096" s="121">
        <v>4.7</v>
      </c>
      <c r="O2096" s="363">
        <v>16040</v>
      </c>
      <c r="P2096" s="363">
        <v>14620</v>
      </c>
      <c r="Q2096" s="121">
        <v>2026</v>
      </c>
      <c r="R2096" s="121">
        <v>594</v>
      </c>
      <c r="S2096" s="148">
        <v>46201</v>
      </c>
      <c r="T2096" s="363">
        <f>Таблица18[[#This Row],[Вес нетто]]-Таблица18[[#This Row],[Зачетный вес]]</f>
        <v>1420</v>
      </c>
      <c r="U2096" s="392">
        <f>Таблица18[[#This Row],[Отход]]/Таблица18[[#This Row],[Вес нетто]]</f>
        <v>8.8528678304239397E-2</v>
      </c>
      <c r="V2096" s="121">
        <f>MONTH(Таблица18[[#This Row],[Дата акта]])</f>
        <v>6</v>
      </c>
      <c r="W2096" s="121">
        <f>DAY(Таблица18[[#This Row],[Дата акта]])</f>
        <v>28</v>
      </c>
      <c r="X2096" s="148">
        <f>DATE(1900,Таблица18[[#This Row],[Месяц]],Таблица18[[#This Row],[Число]])</f>
        <v>180</v>
      </c>
      <c r="Y2096" s="121"/>
      <c r="Z2096" s="121" t="str">
        <f>Таблица18[[#This Row],[Хар-ка]]</f>
        <v>Первый</v>
      </c>
    </row>
    <row r="2097" spans="1:26" ht="22.5" hidden="1" x14ac:dyDescent="0.25">
      <c r="A2097" s="40" t="s">
        <v>3843</v>
      </c>
      <c r="B2097" s="360" t="s">
        <v>3230</v>
      </c>
      <c r="C2097" s="40"/>
      <c r="D2097" s="40" t="s">
        <v>4016</v>
      </c>
      <c r="E2097" s="40" t="s">
        <v>3551</v>
      </c>
      <c r="F2097" s="40" t="s">
        <v>3979</v>
      </c>
      <c r="G2097" s="40" t="s">
        <v>3980</v>
      </c>
      <c r="H2097" s="40" t="s">
        <v>3115</v>
      </c>
      <c r="I2097" s="40" t="e">
        <f>VLOOKUP(Таблица18[[#This Row],[Номер акта]],$AB$1:$AF$2504,3,FALSE)</f>
        <v>#N/A</v>
      </c>
      <c r="J2097" s="40" t="s">
        <v>909</v>
      </c>
      <c r="K2097" s="40" t="s">
        <v>3464</v>
      </c>
      <c r="L2097" s="121">
        <v>31760</v>
      </c>
      <c r="M2097" s="121">
        <v>14920</v>
      </c>
      <c r="N2097" s="121">
        <v>5.2</v>
      </c>
      <c r="O2097" s="363">
        <v>16840</v>
      </c>
      <c r="P2097" s="363">
        <v>15410</v>
      </c>
      <c r="Q2097" s="121">
        <v>2026</v>
      </c>
      <c r="R2097" s="121">
        <v>595</v>
      </c>
      <c r="S2097" s="148">
        <v>46201</v>
      </c>
      <c r="T2097" s="363">
        <f>Таблица18[[#This Row],[Вес нетто]]-Таблица18[[#This Row],[Зачетный вес]]</f>
        <v>1430</v>
      </c>
      <c r="U2097" s="392">
        <f>Таблица18[[#This Row],[Отход]]/Таблица18[[#This Row],[Вес нетто]]</f>
        <v>8.4916864608076015E-2</v>
      </c>
      <c r="V2097" s="121">
        <f>MONTH(Таблица18[[#This Row],[Дата акта]])</f>
        <v>6</v>
      </c>
      <c r="W2097" s="121">
        <f>DAY(Таблица18[[#This Row],[Дата акта]])</f>
        <v>28</v>
      </c>
      <c r="X2097" s="148">
        <f>DATE(1900,Таблица18[[#This Row],[Месяц]],Таблица18[[#This Row],[Число]])</f>
        <v>180</v>
      </c>
      <c r="Y2097" s="121"/>
      <c r="Z2097" s="121" t="str">
        <f>Таблица18[[#This Row],[Хар-ка]]</f>
        <v>Первый</v>
      </c>
    </row>
    <row r="2098" spans="1:26" ht="45" x14ac:dyDescent="0.25">
      <c r="A2098" s="40" t="s">
        <v>4034</v>
      </c>
      <c r="B2098" s="360" t="s">
        <v>2940</v>
      </c>
      <c r="C2098" s="40"/>
      <c r="D2098" s="40"/>
      <c r="E2098" s="40" t="s">
        <v>3625</v>
      </c>
      <c r="F2098" s="40" t="s">
        <v>3982</v>
      </c>
      <c r="G2098" s="40" t="s">
        <v>4032</v>
      </c>
      <c r="H2098" s="40" t="s">
        <v>3120</v>
      </c>
      <c r="I2098" s="360" t="s">
        <v>3120</v>
      </c>
      <c r="J2098" s="360" t="s">
        <v>901</v>
      </c>
      <c r="K2098" s="40" t="s">
        <v>3645</v>
      </c>
      <c r="L2098" s="121">
        <v>31120</v>
      </c>
      <c r="M2098" s="121">
        <v>19420</v>
      </c>
      <c r="N2098" s="121">
        <v>10.6</v>
      </c>
      <c r="O2098" s="363">
        <v>11700</v>
      </c>
      <c r="P2098" s="363">
        <v>9898</v>
      </c>
      <c r="Q2098" s="121">
        <v>2026</v>
      </c>
      <c r="R2098" s="121" t="s">
        <v>4028</v>
      </c>
      <c r="S2098" s="148">
        <v>46198</v>
      </c>
      <c r="T2098" s="363">
        <f>Таблица18[[#This Row],[Вес нетто]]-Таблица18[[#This Row],[Зачетный вес]]</f>
        <v>1802</v>
      </c>
      <c r="U2098" s="392">
        <f>Таблица18[[#This Row],[Отход]]/Таблица18[[#This Row],[Вес нетто]]</f>
        <v>0.15401709401709401</v>
      </c>
      <c r="V2098" s="121">
        <f>MONTH(Таблица18[[#This Row],[Дата акта]])</f>
        <v>6</v>
      </c>
      <c r="W2098" s="121">
        <v>25</v>
      </c>
      <c r="X2098" s="148">
        <f>DATE(1900,Таблица18[[#This Row],[Месяц]],Таблица18[[#This Row],[Число]])</f>
        <v>177</v>
      </c>
      <c r="Y2098" s="121"/>
      <c r="Z2098" s="121" t="str">
        <f>Таблица18[[#This Row],[Хар-ка]]</f>
        <v>Высший</v>
      </c>
    </row>
    <row r="2099" spans="1:26" ht="45" x14ac:dyDescent="0.25">
      <c r="A2099" s="40" t="s">
        <v>4035</v>
      </c>
      <c r="B2099" s="360" t="s">
        <v>2940</v>
      </c>
      <c r="C2099" s="40"/>
      <c r="D2099" s="40"/>
      <c r="E2099" s="40" t="s">
        <v>3625</v>
      </c>
      <c r="F2099" s="40" t="s">
        <v>234</v>
      </c>
      <c r="G2099" s="40" t="s">
        <v>4009</v>
      </c>
      <c r="H2099" s="40" t="s">
        <v>3120</v>
      </c>
      <c r="I2099" s="360" t="s">
        <v>3120</v>
      </c>
      <c r="J2099" s="360" t="s">
        <v>901</v>
      </c>
      <c r="K2099" s="40" t="s">
        <v>3645</v>
      </c>
      <c r="L2099" s="121">
        <v>28940</v>
      </c>
      <c r="M2099" s="121">
        <v>15540</v>
      </c>
      <c r="N2099" s="121">
        <v>5.9</v>
      </c>
      <c r="O2099" s="363">
        <v>13400</v>
      </c>
      <c r="P2099" s="363">
        <v>11961</v>
      </c>
      <c r="Q2099" s="121">
        <v>2026</v>
      </c>
      <c r="R2099" s="121" t="s">
        <v>4029</v>
      </c>
      <c r="S2099" s="148">
        <v>46198</v>
      </c>
      <c r="T2099" s="363">
        <f>Таблица18[[#This Row],[Вес нетто]]-Таблица18[[#This Row],[Зачетный вес]]</f>
        <v>1439</v>
      </c>
      <c r="U2099" s="392">
        <f>Таблица18[[#This Row],[Отход]]/Таблица18[[#This Row],[Вес нетто]]</f>
        <v>0.10738805970149254</v>
      </c>
      <c r="V2099" s="121">
        <f>MONTH(Таблица18[[#This Row],[Дата акта]])</f>
        <v>6</v>
      </c>
      <c r="W2099" s="121">
        <v>25</v>
      </c>
      <c r="X2099" s="148">
        <f>DATE(1900,Таблица18[[#This Row],[Месяц]],Таблица18[[#This Row],[Число]])</f>
        <v>177</v>
      </c>
      <c r="Y2099" s="121"/>
      <c r="Z2099" s="121" t="str">
        <f>Таблица18[[#This Row],[Хар-ка]]</f>
        <v>Высший</v>
      </c>
    </row>
    <row r="2100" spans="1:26" ht="45" x14ac:dyDescent="0.25">
      <c r="A2100" s="40" t="s">
        <v>4036</v>
      </c>
      <c r="B2100" s="360" t="s">
        <v>2940</v>
      </c>
      <c r="C2100" s="40"/>
      <c r="D2100" s="40"/>
      <c r="E2100" s="40" t="s">
        <v>3625</v>
      </c>
      <c r="F2100" s="40" t="s">
        <v>3979</v>
      </c>
      <c r="G2100" s="40" t="s">
        <v>3980</v>
      </c>
      <c r="H2100" s="40" t="s">
        <v>3120</v>
      </c>
      <c r="I2100" s="360" t="s">
        <v>3120</v>
      </c>
      <c r="J2100" s="360" t="s">
        <v>901</v>
      </c>
      <c r="K2100" s="40" t="s">
        <v>3645</v>
      </c>
      <c r="L2100" s="121">
        <v>29960</v>
      </c>
      <c r="M2100" s="121">
        <v>15080</v>
      </c>
      <c r="N2100" s="121">
        <v>5.9</v>
      </c>
      <c r="O2100" s="363">
        <v>14880</v>
      </c>
      <c r="P2100" s="363">
        <v>13200</v>
      </c>
      <c r="Q2100" s="121">
        <v>2026</v>
      </c>
      <c r="R2100" s="121" t="s">
        <v>4030</v>
      </c>
      <c r="S2100" s="148">
        <v>46198</v>
      </c>
      <c r="T2100" s="363">
        <f>Таблица18[[#This Row],[Вес нетто]]-Таблица18[[#This Row],[Зачетный вес]]</f>
        <v>1680</v>
      </c>
      <c r="U2100" s="392">
        <f>Таблица18[[#This Row],[Отход]]/Таблица18[[#This Row],[Вес нетто]]</f>
        <v>0.11290322580645161</v>
      </c>
      <c r="V2100" s="121">
        <f>MONTH(Таблица18[[#This Row],[Дата акта]])</f>
        <v>6</v>
      </c>
      <c r="W2100" s="121">
        <v>25</v>
      </c>
      <c r="X2100" s="148">
        <f>DATE(1900,Таблица18[[#This Row],[Месяц]],Таблица18[[#This Row],[Число]])</f>
        <v>177</v>
      </c>
      <c r="Y2100" s="121"/>
      <c r="Z2100" s="121" t="str">
        <f>Таблица18[[#This Row],[Хар-ка]]</f>
        <v>Высший</v>
      </c>
    </row>
    <row r="2101" spans="1:26" ht="45" x14ac:dyDescent="0.25">
      <c r="A2101" s="40" t="s">
        <v>4037</v>
      </c>
      <c r="B2101" s="360" t="s">
        <v>2940</v>
      </c>
      <c r="C2101" s="40"/>
      <c r="D2101" s="40"/>
      <c r="E2101" s="40" t="s">
        <v>3625</v>
      </c>
      <c r="F2101" s="40" t="s">
        <v>1880</v>
      </c>
      <c r="G2101" s="40" t="s">
        <v>4033</v>
      </c>
      <c r="H2101" s="40" t="s">
        <v>3120</v>
      </c>
      <c r="I2101" s="360" t="s">
        <v>3120</v>
      </c>
      <c r="J2101" s="360" t="s">
        <v>901</v>
      </c>
      <c r="K2101" s="40" t="s">
        <v>3645</v>
      </c>
      <c r="L2101" s="121">
        <v>26400</v>
      </c>
      <c r="M2101" s="121">
        <v>15040</v>
      </c>
      <c r="N2101" s="121">
        <v>11.4</v>
      </c>
      <c r="O2101" s="363">
        <v>11360</v>
      </c>
      <c r="P2101" s="363">
        <v>9467</v>
      </c>
      <c r="Q2101" s="121">
        <v>2026</v>
      </c>
      <c r="R2101" s="121" t="s">
        <v>4031</v>
      </c>
      <c r="S2101" s="148">
        <v>46198</v>
      </c>
      <c r="T2101" s="363">
        <f>Таблица18[[#This Row],[Вес нетто]]-Таблица18[[#This Row],[Зачетный вес]]</f>
        <v>1893</v>
      </c>
      <c r="U2101" s="392">
        <f>Таблица18[[#This Row],[Отход]]/Таблица18[[#This Row],[Вес нетто]]</f>
        <v>0.16663732394366196</v>
      </c>
      <c r="V2101" s="121">
        <f>MONTH(Таблица18[[#This Row],[Дата акта]])</f>
        <v>6</v>
      </c>
      <c r="W2101" s="121">
        <v>25</v>
      </c>
      <c r="X2101" s="148">
        <f>DATE(1900,Таблица18[[#This Row],[Месяц]],Таблица18[[#This Row],[Число]])</f>
        <v>177</v>
      </c>
      <c r="Y2101" s="121"/>
      <c r="Z2101" s="121" t="str">
        <f>Таблица18[[#This Row],[Хар-ка]]</f>
        <v>Высший</v>
      </c>
    </row>
    <row r="2102" spans="1:26" x14ac:dyDescent="0.25">
      <c r="A2102" s="40"/>
      <c r="B2102" s="360"/>
      <c r="C2102" s="40"/>
      <c r="D2102" s="40"/>
      <c r="E2102" s="40"/>
      <c r="F2102" s="40"/>
      <c r="G2102" s="40"/>
      <c r="H2102" s="40"/>
      <c r="I2102" s="360"/>
      <c r="J2102" s="40"/>
      <c r="K2102" s="40"/>
      <c r="L2102" s="121"/>
      <c r="M2102" s="121"/>
      <c r="N2102" s="121"/>
      <c r="O2102" s="363">
        <f>SUBTOTAL(109,Таблица18[Вес нетто])</f>
        <v>6837590</v>
      </c>
      <c r="P2102" s="363">
        <f>SUBTOTAL(109,Таблица18[Зачетный вес])</f>
        <v>5945418.3999999929</v>
      </c>
      <c r="Q2102" s="121"/>
      <c r="R2102" s="121"/>
      <c r="S2102" s="148"/>
      <c r="T2102" s="363"/>
      <c r="U2102" s="464"/>
      <c r="V2102" s="121"/>
      <c r="W2102" s="121"/>
      <c r="X2102" s="148"/>
      <c r="Y2102" s="121"/>
      <c r="Z2102" s="121"/>
    </row>
  </sheetData>
  <sortState xmlns:xlrd2="http://schemas.microsoft.com/office/spreadsheetml/2017/richdata2" ref="AA1395:AA1480">
    <sortCondition ref="AA1395:AA1480"/>
  </sortState>
  <phoneticPr fontId="28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2154-FD15-4467-9A5E-28BE189BB4DC}">
  <dimension ref="A1:N66"/>
  <sheetViews>
    <sheetView showGridLines="0" topLeftCell="A16" workbookViewId="0">
      <selection activeCell="P59" sqref="P59"/>
    </sheetView>
  </sheetViews>
  <sheetFormatPr defaultRowHeight="15" x14ac:dyDescent="0.25"/>
  <cols>
    <col min="1" max="1" width="20.7109375" customWidth="1"/>
    <col min="2" max="14" width="11.7109375" customWidth="1"/>
  </cols>
  <sheetData>
    <row r="1" spans="1:7" s="23" customFormat="1" x14ac:dyDescent="0.25">
      <c r="A1" s="23" t="s">
        <v>1744</v>
      </c>
    </row>
    <row r="2" spans="1:7" x14ac:dyDescent="0.25">
      <c r="A2" s="23" t="s">
        <v>1740</v>
      </c>
      <c r="B2" s="23" t="s">
        <v>55</v>
      </c>
      <c r="D2" s="333"/>
      <c r="E2" t="s">
        <v>1743</v>
      </c>
    </row>
    <row r="3" spans="1:7" x14ac:dyDescent="0.25">
      <c r="B3" s="23">
        <v>2023</v>
      </c>
      <c r="C3" s="23">
        <v>2024</v>
      </c>
      <c r="D3" s="334">
        <v>2025</v>
      </c>
      <c r="E3" s="23">
        <v>2023</v>
      </c>
      <c r="F3" s="23">
        <v>2024</v>
      </c>
      <c r="G3" s="23">
        <v>2025</v>
      </c>
    </row>
    <row r="4" spans="1:7" x14ac:dyDescent="0.25">
      <c r="A4" s="23" t="s">
        <v>1730</v>
      </c>
      <c r="B4" s="327">
        <f>N59/1000</f>
        <v>3863.8654939318458</v>
      </c>
      <c r="C4" s="327">
        <f>N51/1000</f>
        <v>3926.09</v>
      </c>
      <c r="D4" s="335">
        <f>N43/1000</f>
        <v>5098.72</v>
      </c>
      <c r="E4" s="332">
        <f>B4/B7</f>
        <v>0.58164203592816011</v>
      </c>
      <c r="F4" s="332">
        <f>C4/C7</f>
        <v>0.89802420904316638</v>
      </c>
      <c r="G4" s="332">
        <f>D4/D7</f>
        <v>0.71831775648268414</v>
      </c>
    </row>
    <row r="5" spans="1:7" x14ac:dyDescent="0.25">
      <c r="A5" s="23" t="s">
        <v>1731</v>
      </c>
      <c r="B5" s="327">
        <f>N60/1000</f>
        <v>1760.8106468659857</v>
      </c>
      <c r="C5" s="327">
        <f>N52/1000</f>
        <v>433.13</v>
      </c>
      <c r="D5" s="335">
        <f>N44/1000</f>
        <v>1461.13</v>
      </c>
      <c r="E5" s="332">
        <f>B5/B7</f>
        <v>0.26506137212476621</v>
      </c>
      <c r="F5" s="332">
        <f>C5/C7</f>
        <v>9.9070888762831891E-2</v>
      </c>
      <c r="G5" s="332">
        <f>D5/D7</f>
        <v>0.20584688383153898</v>
      </c>
    </row>
    <row r="6" spans="1:7" x14ac:dyDescent="0.25">
      <c r="A6" s="23" t="s">
        <v>1732</v>
      </c>
      <c r="B6" s="327">
        <f>N61/1000</f>
        <v>1018.3538592021685</v>
      </c>
      <c r="C6" s="327">
        <f>N53/1000</f>
        <v>12.7</v>
      </c>
      <c r="D6" s="335">
        <f>N45/1000</f>
        <v>538.29</v>
      </c>
      <c r="E6" s="332">
        <f>B6/B7</f>
        <v>0.1532965919470736</v>
      </c>
      <c r="F6" s="47">
        <f>C6/C7</f>
        <v>2.9049021940017196E-3</v>
      </c>
      <c r="G6" s="332">
        <f>D6/D7</f>
        <v>7.5835359685776829E-2</v>
      </c>
    </row>
    <row r="7" spans="1:7" x14ac:dyDescent="0.25">
      <c r="B7" s="331">
        <f>SUM(B4:B6)</f>
        <v>6643.0300000000007</v>
      </c>
      <c r="C7" s="331">
        <f>SUM(C4:C6)</f>
        <v>4371.92</v>
      </c>
      <c r="D7" s="336">
        <f>SUM(D4:D6)</f>
        <v>7098.14</v>
      </c>
    </row>
    <row r="32" spans="1:1" hidden="1" x14ac:dyDescent="0.25">
      <c r="A32">
        <v>2025</v>
      </c>
    </row>
    <row r="33" spans="1:14" s="325" customFormat="1" ht="22.5" hidden="1" x14ac:dyDescent="0.2">
      <c r="A33" s="323" t="s">
        <v>567</v>
      </c>
      <c r="B33" s="324" t="s">
        <v>281</v>
      </c>
      <c r="C33" s="324" t="s">
        <v>279</v>
      </c>
      <c r="D33" s="324" t="s">
        <v>280</v>
      </c>
      <c r="E33" s="324" t="s">
        <v>841</v>
      </c>
      <c r="F33" s="324" t="s">
        <v>906</v>
      </c>
      <c r="G33" s="324" t="s">
        <v>905</v>
      </c>
    </row>
    <row r="34" spans="1:14" hidden="1" x14ac:dyDescent="0.25">
      <c r="A34" s="316" t="s">
        <v>511</v>
      </c>
      <c r="B34" s="317">
        <v>1012.4723238323456</v>
      </c>
      <c r="C34" s="318">
        <v>5098720</v>
      </c>
      <c r="D34" s="318">
        <v>4292532.7999999989</v>
      </c>
      <c r="E34" s="318">
        <v>428330</v>
      </c>
      <c r="F34" s="317">
        <v>5.0359104935339376</v>
      </c>
      <c r="G34" s="317">
        <v>4.2396544566790508</v>
      </c>
    </row>
    <row r="35" spans="1:14" hidden="1" x14ac:dyDescent="0.25">
      <c r="A35" s="316" t="s">
        <v>550</v>
      </c>
      <c r="B35" s="317">
        <v>360.41125988660144</v>
      </c>
      <c r="C35" s="318">
        <v>1461130</v>
      </c>
      <c r="D35" s="318">
        <v>1310788.3999999999</v>
      </c>
      <c r="E35" s="318"/>
      <c r="F35" s="317">
        <v>4.0540631290479796</v>
      </c>
      <c r="G35" s="317">
        <v>3.6369241083434019</v>
      </c>
    </row>
    <row r="36" spans="1:14" hidden="1" x14ac:dyDescent="0.25">
      <c r="A36" s="316" t="s">
        <v>833</v>
      </c>
      <c r="B36" s="317">
        <v>110.97650225463109</v>
      </c>
      <c r="C36" s="318">
        <v>538290</v>
      </c>
      <c r="D36" s="318">
        <v>483747.3</v>
      </c>
      <c r="E36" s="318">
        <v>184360</v>
      </c>
      <c r="F36" s="317">
        <v>4.8504862656863654</v>
      </c>
      <c r="G36" s="317">
        <v>4.3590065479813136</v>
      </c>
    </row>
    <row r="37" spans="1:14" hidden="1" x14ac:dyDescent="0.25">
      <c r="A37" s="320" t="s">
        <v>182</v>
      </c>
      <c r="B37" s="321">
        <v>1483.8600859735782</v>
      </c>
      <c r="C37" s="322">
        <v>7098140</v>
      </c>
      <c r="D37" s="322">
        <v>6087068.4999999991</v>
      </c>
      <c r="E37" s="322">
        <v>612690</v>
      </c>
      <c r="F37" s="321">
        <v>4.7835642100601588</v>
      </c>
      <c r="G37" s="321">
        <v>4.1021849415177156</v>
      </c>
    </row>
    <row r="38" spans="1:14" hidden="1" x14ac:dyDescent="0.25"/>
    <row r="39" spans="1:14" hidden="1" x14ac:dyDescent="0.25"/>
    <row r="41" spans="1:14" x14ac:dyDescent="0.25">
      <c r="A41" s="23">
        <v>2025</v>
      </c>
    </row>
    <row r="42" spans="1:14" x14ac:dyDescent="0.25">
      <c r="A42" s="319" t="s">
        <v>1740</v>
      </c>
      <c r="B42" s="319" t="s">
        <v>42</v>
      </c>
      <c r="C42" s="329" t="s">
        <v>44</v>
      </c>
      <c r="D42" s="329" t="s">
        <v>46</v>
      </c>
      <c r="E42" s="329" t="s">
        <v>45</v>
      </c>
      <c r="F42" s="319" t="s">
        <v>49</v>
      </c>
      <c r="G42" s="319"/>
      <c r="H42" s="319" t="s">
        <v>1741</v>
      </c>
      <c r="I42" s="319"/>
      <c r="J42" s="319" t="s">
        <v>47</v>
      </c>
      <c r="K42" s="329" t="s">
        <v>50</v>
      </c>
      <c r="L42" s="329" t="s">
        <v>51</v>
      </c>
      <c r="M42" s="319" t="s">
        <v>52</v>
      </c>
      <c r="N42" s="319" t="s">
        <v>182</v>
      </c>
    </row>
    <row r="43" spans="1:14" x14ac:dyDescent="0.25">
      <c r="A43" s="316" t="s">
        <v>511</v>
      </c>
      <c r="B43" s="318">
        <f>C43+D43+E43</f>
        <v>875430</v>
      </c>
      <c r="C43" s="328">
        <v>375610</v>
      </c>
      <c r="D43" s="328">
        <v>408020</v>
      </c>
      <c r="E43" s="328">
        <v>91800</v>
      </c>
      <c r="F43" s="318">
        <v>1706510</v>
      </c>
      <c r="G43" s="318"/>
      <c r="H43" s="318">
        <v>1320130</v>
      </c>
      <c r="I43" s="318"/>
      <c r="J43" s="318">
        <f>K43+L43</f>
        <v>622550</v>
      </c>
      <c r="K43" s="328">
        <v>155260</v>
      </c>
      <c r="L43" s="328">
        <v>467290</v>
      </c>
      <c r="M43" s="318">
        <v>574100</v>
      </c>
      <c r="N43" s="318">
        <v>5098720</v>
      </c>
    </row>
    <row r="44" spans="1:14" x14ac:dyDescent="0.25">
      <c r="A44" s="316" t="s">
        <v>550</v>
      </c>
      <c r="B44" s="318">
        <f>C44+D44+E44</f>
        <v>399450</v>
      </c>
      <c r="C44" s="328">
        <v>94030</v>
      </c>
      <c r="D44" s="328">
        <v>305420</v>
      </c>
      <c r="E44" s="328"/>
      <c r="F44" s="318">
        <v>170780</v>
      </c>
      <c r="G44" s="318"/>
      <c r="H44" s="318"/>
      <c r="I44" s="318"/>
      <c r="J44" s="318">
        <f>K44+L44</f>
        <v>565420</v>
      </c>
      <c r="K44" s="328">
        <v>484920</v>
      </c>
      <c r="L44" s="328">
        <v>80500</v>
      </c>
      <c r="M44" s="318">
        <v>325480</v>
      </c>
      <c r="N44" s="318">
        <v>1461130</v>
      </c>
    </row>
    <row r="45" spans="1:14" x14ac:dyDescent="0.25">
      <c r="A45" s="316" t="s">
        <v>833</v>
      </c>
      <c r="B45" s="318">
        <f>C45+D45+E45</f>
        <v>89820</v>
      </c>
      <c r="C45" s="328">
        <v>34010</v>
      </c>
      <c r="D45" s="328">
        <v>55810</v>
      </c>
      <c r="E45" s="328"/>
      <c r="F45" s="318">
        <v>114910</v>
      </c>
      <c r="G45" s="318"/>
      <c r="H45" s="318"/>
      <c r="I45" s="318"/>
      <c r="J45" s="318">
        <f>K45+L45</f>
        <v>215410</v>
      </c>
      <c r="K45" s="328">
        <v>201900</v>
      </c>
      <c r="L45" s="328">
        <v>13510</v>
      </c>
      <c r="M45" s="318">
        <v>118150</v>
      </c>
      <c r="N45" s="318">
        <v>538290</v>
      </c>
    </row>
    <row r="46" spans="1:14" x14ac:dyDescent="0.25">
      <c r="A46" s="320" t="s">
        <v>182</v>
      </c>
      <c r="B46" s="322">
        <f>C46+D46+E46</f>
        <v>1364700</v>
      </c>
      <c r="C46" s="330">
        <v>503650</v>
      </c>
      <c r="D46" s="330">
        <v>769250</v>
      </c>
      <c r="E46" s="330">
        <v>91800</v>
      </c>
      <c r="F46" s="322">
        <v>1992200</v>
      </c>
      <c r="G46" s="322"/>
      <c r="H46" s="322">
        <v>1320130</v>
      </c>
      <c r="I46" s="322"/>
      <c r="J46" s="322">
        <f>K46+L46</f>
        <v>1403380</v>
      </c>
      <c r="K46" s="330">
        <v>842080</v>
      </c>
      <c r="L46" s="330">
        <v>561300</v>
      </c>
      <c r="M46" s="322">
        <v>1017730</v>
      </c>
      <c r="N46" s="322">
        <v>7098140</v>
      </c>
    </row>
    <row r="49" spans="1:14" x14ac:dyDescent="0.25">
      <c r="A49" s="23">
        <v>2024</v>
      </c>
    </row>
    <row r="50" spans="1:14" x14ac:dyDescent="0.25">
      <c r="A50" s="319" t="s">
        <v>1740</v>
      </c>
      <c r="B50" s="319" t="s">
        <v>42</v>
      </c>
      <c r="C50" s="319"/>
      <c r="D50" s="319"/>
      <c r="E50" s="319"/>
      <c r="F50" s="319" t="s">
        <v>49</v>
      </c>
      <c r="G50" s="319"/>
      <c r="H50" s="319" t="s">
        <v>1741</v>
      </c>
      <c r="I50" s="319" t="s">
        <v>1742</v>
      </c>
      <c r="J50" s="319"/>
      <c r="K50" s="319"/>
      <c r="L50" s="319"/>
      <c r="M50" s="319"/>
      <c r="N50" s="319" t="s">
        <v>182</v>
      </c>
    </row>
    <row r="51" spans="1:14" x14ac:dyDescent="0.25">
      <c r="A51" s="316" t="s">
        <v>511</v>
      </c>
      <c r="B51" s="318">
        <v>1631580</v>
      </c>
      <c r="C51" s="318"/>
      <c r="D51" s="318"/>
      <c r="E51" s="318"/>
      <c r="F51" s="318">
        <v>1454750</v>
      </c>
      <c r="G51" s="318"/>
      <c r="H51" s="318">
        <v>498630</v>
      </c>
      <c r="I51" s="318">
        <v>341130</v>
      </c>
      <c r="J51" s="318"/>
      <c r="K51" s="318"/>
      <c r="L51" s="318"/>
      <c r="M51" s="318"/>
      <c r="N51" s="318">
        <f>B51+F51+H51+I51</f>
        <v>3926090</v>
      </c>
    </row>
    <row r="52" spans="1:14" x14ac:dyDescent="0.25">
      <c r="A52" s="316" t="s">
        <v>550</v>
      </c>
      <c r="B52" s="318">
        <v>9190</v>
      </c>
      <c r="C52" s="318"/>
      <c r="D52" s="318"/>
      <c r="E52" s="318"/>
      <c r="F52" s="318">
        <v>282730</v>
      </c>
      <c r="G52" s="318"/>
      <c r="H52" s="318"/>
      <c r="I52" s="318">
        <v>141210</v>
      </c>
      <c r="J52" s="318"/>
      <c r="K52" s="318"/>
      <c r="L52" s="318"/>
      <c r="M52" s="318"/>
      <c r="N52" s="318">
        <f>B52+F52+H52+I52</f>
        <v>433130</v>
      </c>
    </row>
    <row r="53" spans="1:14" x14ac:dyDescent="0.25">
      <c r="A53" s="316" t="s">
        <v>833</v>
      </c>
      <c r="B53" s="318"/>
      <c r="C53" s="318"/>
      <c r="D53" s="318"/>
      <c r="E53" s="318"/>
      <c r="F53" s="318"/>
      <c r="G53" s="318"/>
      <c r="H53" s="318"/>
      <c r="I53" s="318">
        <v>12700</v>
      </c>
      <c r="J53" s="318"/>
      <c r="K53" s="318"/>
      <c r="L53" s="318"/>
      <c r="M53" s="318"/>
      <c r="N53" s="318">
        <f>B53+F53+H53+I53</f>
        <v>12700</v>
      </c>
    </row>
    <row r="54" spans="1:14" x14ac:dyDescent="0.25">
      <c r="A54" s="320" t="s">
        <v>182</v>
      </c>
      <c r="B54" s="322">
        <v>1640770</v>
      </c>
      <c r="C54" s="322"/>
      <c r="D54" s="322"/>
      <c r="E54" s="322"/>
      <c r="F54" s="322">
        <v>1737480</v>
      </c>
      <c r="G54" s="322"/>
      <c r="H54" s="322">
        <v>498630</v>
      </c>
      <c r="I54" s="322">
        <v>495040</v>
      </c>
      <c r="J54" s="322"/>
      <c r="K54" s="322"/>
      <c r="L54" s="322"/>
      <c r="M54" s="322"/>
      <c r="N54" s="322">
        <f>B54+F54+H54+I54</f>
        <v>4371920</v>
      </c>
    </row>
    <row r="57" spans="1:14" x14ac:dyDescent="0.25">
      <c r="A57" s="23">
        <v>2023</v>
      </c>
    </row>
    <row r="58" spans="1:14" x14ac:dyDescent="0.25">
      <c r="A58" s="319" t="s">
        <v>1740</v>
      </c>
      <c r="B58" s="319" t="s">
        <v>42</v>
      </c>
      <c r="C58" s="319"/>
      <c r="D58" s="319"/>
      <c r="E58" s="319"/>
      <c r="F58" s="319" t="s">
        <v>49</v>
      </c>
      <c r="G58" s="319" t="s">
        <v>1736</v>
      </c>
      <c r="H58" s="319" t="s">
        <v>1741</v>
      </c>
      <c r="I58" s="319"/>
      <c r="J58" s="319"/>
      <c r="K58" s="319"/>
      <c r="L58" s="319"/>
      <c r="M58" s="319"/>
      <c r="N58" s="319" t="s">
        <v>182</v>
      </c>
    </row>
    <row r="59" spans="1:14" x14ac:dyDescent="0.25">
      <c r="A59" s="316" t="s">
        <v>511</v>
      </c>
      <c r="B59" s="318">
        <v>1785435.493931846</v>
      </c>
      <c r="C59" s="318"/>
      <c r="D59" s="318"/>
      <c r="E59" s="318"/>
      <c r="F59" s="318">
        <v>1274380</v>
      </c>
      <c r="G59" s="318">
        <v>51140</v>
      </c>
      <c r="H59" s="318">
        <v>752910</v>
      </c>
      <c r="I59" s="318"/>
      <c r="J59" s="318"/>
      <c r="K59" s="318"/>
      <c r="L59" s="318"/>
      <c r="M59" s="318"/>
      <c r="N59" s="318">
        <f>B59+F59+G59+H59</f>
        <v>3863865.4939318458</v>
      </c>
    </row>
    <row r="60" spans="1:14" x14ac:dyDescent="0.25">
      <c r="A60" s="316" t="s">
        <v>550</v>
      </c>
      <c r="B60" s="318">
        <v>671420.64686598571</v>
      </c>
      <c r="C60" s="318"/>
      <c r="D60" s="318"/>
      <c r="E60" s="318"/>
      <c r="F60" s="318">
        <v>386010</v>
      </c>
      <c r="G60" s="318"/>
      <c r="H60" s="318">
        <v>703380</v>
      </c>
      <c r="I60" s="318"/>
      <c r="J60" s="318"/>
      <c r="K60" s="318"/>
      <c r="L60" s="318"/>
      <c r="M60" s="318"/>
      <c r="N60" s="318">
        <f>B60+F60+G60+H60</f>
        <v>1760810.6468659858</v>
      </c>
    </row>
    <row r="61" spans="1:14" x14ac:dyDescent="0.25">
      <c r="A61" s="316" t="s">
        <v>833</v>
      </c>
      <c r="B61" s="318">
        <v>172353.85920216836</v>
      </c>
      <c r="C61" s="318"/>
      <c r="D61" s="318"/>
      <c r="E61" s="318"/>
      <c r="F61" s="318">
        <v>830340</v>
      </c>
      <c r="G61" s="318"/>
      <c r="H61" s="318">
        <v>15660</v>
      </c>
      <c r="I61" s="318"/>
      <c r="J61" s="318"/>
      <c r="K61" s="318"/>
      <c r="L61" s="318"/>
      <c r="M61" s="318"/>
      <c r="N61" s="318">
        <f>B61+F61+G61+H61</f>
        <v>1018353.8592021684</v>
      </c>
    </row>
    <row r="62" spans="1:14" x14ac:dyDescent="0.25">
      <c r="A62" s="320" t="s">
        <v>182</v>
      </c>
      <c r="B62" s="322">
        <f>SUM(B59:B61)</f>
        <v>2629210</v>
      </c>
      <c r="C62" s="322"/>
      <c r="D62" s="322"/>
      <c r="E62" s="322"/>
      <c r="F62" s="322">
        <f>SUM(F59:F61)</f>
        <v>2490730</v>
      </c>
      <c r="G62" s="322">
        <v>51140</v>
      </c>
      <c r="H62" s="322">
        <v>1471950</v>
      </c>
      <c r="I62" s="322"/>
      <c r="J62" s="322"/>
      <c r="K62" s="322"/>
      <c r="L62" s="322"/>
      <c r="M62" s="322"/>
      <c r="N62" s="322">
        <f>B62+F62+G62+H62</f>
        <v>6643030</v>
      </c>
    </row>
    <row r="63" spans="1:14" hidden="1" x14ac:dyDescent="0.25"/>
    <row r="64" spans="1:14" hidden="1" x14ac:dyDescent="0.25">
      <c r="A64" s="24" t="s">
        <v>1738</v>
      </c>
      <c r="B64" s="326">
        <v>2629210</v>
      </c>
    </row>
    <row r="65" spans="1:2" hidden="1" x14ac:dyDescent="0.25">
      <c r="A65" s="24" t="s">
        <v>1739</v>
      </c>
      <c r="B65" s="326">
        <v>2641660</v>
      </c>
    </row>
    <row r="66" spans="1:2" hidden="1" x14ac:dyDescent="0.25"/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E4C0-306F-4B4F-B268-824FEF506E5B}">
  <dimension ref="A1:E23"/>
  <sheetViews>
    <sheetView showGridLines="0" workbookViewId="0">
      <selection activeCell="H28" sqref="H28"/>
    </sheetView>
  </sheetViews>
  <sheetFormatPr defaultRowHeight="15" x14ac:dyDescent="0.25"/>
  <cols>
    <col min="1" max="1" width="20.28515625" bestFit="1" customWidth="1"/>
    <col min="2" max="2" width="16.42578125" customWidth="1"/>
    <col min="3" max="3" width="13.140625" customWidth="1"/>
    <col min="4" max="4" width="15" customWidth="1"/>
    <col min="5" max="5" width="16.28515625" customWidth="1"/>
  </cols>
  <sheetData>
    <row r="1" spans="1:5" x14ac:dyDescent="0.25">
      <c r="A1" s="23" t="s">
        <v>1784</v>
      </c>
    </row>
    <row r="3" spans="1:5" hidden="1" x14ac:dyDescent="0.25">
      <c r="C3" s="50" t="s">
        <v>282</v>
      </c>
    </row>
    <row r="4" spans="1:5" s="345" customFormat="1" ht="42" customHeight="1" x14ac:dyDescent="0.25">
      <c r="A4" s="343" t="s">
        <v>1782</v>
      </c>
      <c r="B4" s="343" t="s">
        <v>1783</v>
      </c>
      <c r="C4" s="345" t="s">
        <v>281</v>
      </c>
      <c r="D4" s="345" t="s">
        <v>1785</v>
      </c>
      <c r="E4" s="345" t="s">
        <v>906</v>
      </c>
    </row>
    <row r="5" spans="1:5" x14ac:dyDescent="0.25">
      <c r="A5" t="s">
        <v>1771</v>
      </c>
      <c r="C5" s="46">
        <v>14</v>
      </c>
      <c r="D5" s="31">
        <v>64140</v>
      </c>
      <c r="E5" s="46">
        <v>4.5814285714285718</v>
      </c>
    </row>
    <row r="6" spans="1:5" x14ac:dyDescent="0.25">
      <c r="A6" t="s">
        <v>1762</v>
      </c>
      <c r="C6" s="46">
        <v>29</v>
      </c>
      <c r="D6" s="31">
        <v>123109.99999999999</v>
      </c>
      <c r="E6" s="46">
        <v>4.2451724137931031</v>
      </c>
    </row>
    <row r="7" spans="1:5" x14ac:dyDescent="0.25">
      <c r="A7" t="s">
        <v>1755</v>
      </c>
      <c r="C7" s="46">
        <v>269.00000009999997</v>
      </c>
      <c r="D7" s="31">
        <v>1137230.0000001001</v>
      </c>
      <c r="E7" s="46">
        <v>4.2276208162726325</v>
      </c>
    </row>
    <row r="8" spans="1:5" x14ac:dyDescent="0.25">
      <c r="A8" t="s">
        <v>1758</v>
      </c>
      <c r="C8" s="46">
        <v>43</v>
      </c>
      <c r="D8" s="31">
        <v>170990</v>
      </c>
      <c r="E8" s="46">
        <v>3.976511627906977</v>
      </c>
    </row>
    <row r="9" spans="1:5" x14ac:dyDescent="0.25">
      <c r="A9" t="s">
        <v>1760</v>
      </c>
      <c r="C9" s="46">
        <v>77.5</v>
      </c>
      <c r="D9" s="31">
        <v>277610</v>
      </c>
      <c r="E9" s="46">
        <v>3.5820645161290323</v>
      </c>
    </row>
    <row r="10" spans="1:5" x14ac:dyDescent="0.25">
      <c r="A10" t="s">
        <v>1770</v>
      </c>
      <c r="C10" s="46">
        <v>93.000000099999994</v>
      </c>
      <c r="D10" s="31">
        <v>313030.00000009994</v>
      </c>
      <c r="E10" s="46">
        <v>3.3659139748764364</v>
      </c>
    </row>
    <row r="11" spans="1:5" x14ac:dyDescent="0.25">
      <c r="A11" t="s">
        <v>893</v>
      </c>
      <c r="C11" s="46">
        <v>4</v>
      </c>
      <c r="D11" s="31">
        <v>11710</v>
      </c>
      <c r="E11" s="46">
        <v>2.9275000000000002</v>
      </c>
    </row>
    <row r="12" spans="1:5" x14ac:dyDescent="0.25">
      <c r="A12" t="s">
        <v>1765</v>
      </c>
      <c r="C12" s="46">
        <v>141.20000009999998</v>
      </c>
      <c r="D12" s="31">
        <v>396170.00000009994</v>
      </c>
      <c r="E12" s="46">
        <v>2.8057365419229909</v>
      </c>
    </row>
    <row r="13" spans="1:5" x14ac:dyDescent="0.25">
      <c r="A13" t="s">
        <v>747</v>
      </c>
      <c r="C13" s="46">
        <v>249</v>
      </c>
      <c r="D13" s="31">
        <v>678660</v>
      </c>
      <c r="E13" s="46">
        <v>2.7255421686746986</v>
      </c>
    </row>
    <row r="14" spans="1:5" x14ac:dyDescent="0.25">
      <c r="A14" t="s">
        <v>900</v>
      </c>
      <c r="C14" s="46">
        <v>4</v>
      </c>
      <c r="D14" s="31">
        <v>9210</v>
      </c>
      <c r="E14" s="46">
        <v>2.3025000000000002</v>
      </c>
    </row>
    <row r="15" spans="1:5" x14ac:dyDescent="0.25">
      <c r="A15" t="s">
        <v>1185</v>
      </c>
      <c r="C15" s="46">
        <v>45</v>
      </c>
      <c r="D15" s="31">
        <v>102210</v>
      </c>
      <c r="E15" s="46">
        <v>2.2713333333333332</v>
      </c>
    </row>
    <row r="16" spans="1:5" x14ac:dyDescent="0.25">
      <c r="A16" t="s">
        <v>1316</v>
      </c>
      <c r="C16" s="46">
        <v>4</v>
      </c>
      <c r="D16" s="31">
        <v>9080</v>
      </c>
      <c r="E16" s="46">
        <v>2.27</v>
      </c>
    </row>
    <row r="17" spans="1:5" x14ac:dyDescent="0.25">
      <c r="A17" t="s">
        <v>897</v>
      </c>
      <c r="C17" s="46">
        <v>4</v>
      </c>
      <c r="D17" s="31">
        <v>9030</v>
      </c>
      <c r="E17" s="46">
        <v>2.2574999999999998</v>
      </c>
    </row>
    <row r="18" spans="1:5" x14ac:dyDescent="0.25">
      <c r="A18" t="s">
        <v>1530</v>
      </c>
      <c r="C18" s="46">
        <v>137</v>
      </c>
      <c r="D18" s="31">
        <v>297729.99999999994</v>
      </c>
      <c r="E18" s="46">
        <v>2.1732116788321165</v>
      </c>
    </row>
    <row r="19" spans="1:5" x14ac:dyDescent="0.25">
      <c r="A19" t="s">
        <v>21</v>
      </c>
      <c r="C19" s="46">
        <v>287</v>
      </c>
      <c r="D19" s="31">
        <v>525682</v>
      </c>
      <c r="E19" s="46">
        <v>1.8316445993031361</v>
      </c>
    </row>
    <row r="20" spans="1:5" x14ac:dyDescent="0.25">
      <c r="A20" t="s">
        <v>1763</v>
      </c>
      <c r="C20" s="46">
        <v>26.5</v>
      </c>
      <c r="D20" s="31">
        <v>42610</v>
      </c>
      <c r="E20" s="46">
        <v>1.6079245283018868</v>
      </c>
    </row>
    <row r="21" spans="1:5" x14ac:dyDescent="0.25">
      <c r="A21" t="s">
        <v>301</v>
      </c>
      <c r="C21" s="46">
        <v>4</v>
      </c>
      <c r="D21" s="31">
        <v>5220</v>
      </c>
      <c r="E21" s="46">
        <v>1.3049999999999999</v>
      </c>
    </row>
    <row r="22" spans="1:5" x14ac:dyDescent="0.25">
      <c r="A22" t="s">
        <v>1753</v>
      </c>
      <c r="C22" s="46">
        <v>162.30000000000001</v>
      </c>
      <c r="D22" s="31">
        <v>198498.00000000003</v>
      </c>
      <c r="E22" s="46">
        <v>1.2230314232902033</v>
      </c>
    </row>
    <row r="23" spans="1:5" x14ac:dyDescent="0.25">
      <c r="A23" t="s">
        <v>182</v>
      </c>
      <c r="C23" s="46">
        <v>1593.5000002999998</v>
      </c>
      <c r="D23" s="31">
        <v>4371920.0000002999</v>
      </c>
      <c r="E23" s="46">
        <v>2.743595857657497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A9C1-74B5-450D-9C03-25C85ECD1A90}">
  <sheetPr>
    <pageSetUpPr fitToPage="1"/>
  </sheetPr>
  <dimension ref="A1:O162"/>
  <sheetViews>
    <sheetView showGridLines="0" workbookViewId="0">
      <selection activeCell="A11" sqref="A11"/>
    </sheetView>
  </sheetViews>
  <sheetFormatPr defaultColWidth="9.140625" defaultRowHeight="15" outlineLevelCol="1" x14ac:dyDescent="0.25"/>
  <cols>
    <col min="1" max="1" width="35.5703125" style="100" customWidth="1"/>
    <col min="2" max="2" width="13.28515625" style="100" customWidth="1"/>
    <col min="3" max="3" width="16.28515625" style="100" customWidth="1"/>
    <col min="4" max="4" width="12.28515625" style="100" customWidth="1"/>
    <col min="5" max="5" width="15.28515625" style="100" hidden="1" customWidth="1" outlineLevel="1"/>
    <col min="6" max="6" width="12.7109375" style="100" customWidth="1" collapsed="1"/>
    <col min="7" max="7" width="15.85546875" style="100" hidden="1" customWidth="1" outlineLevel="1"/>
    <col min="8" max="8" width="19.28515625" style="100" customWidth="1" collapsed="1"/>
    <col min="9" max="9" width="17.42578125" style="100" customWidth="1"/>
    <col min="10" max="10" width="17.28515625" style="100" customWidth="1"/>
    <col min="11" max="11" width="9.140625" style="100"/>
    <col min="12" max="12" width="12.5703125" style="100" customWidth="1"/>
    <col min="13" max="15" width="11.28515625" style="100" customWidth="1"/>
    <col min="16" max="16384" width="9.140625" style="100"/>
  </cols>
  <sheetData>
    <row r="1" spans="1:15" ht="16.899999999999999" customHeight="1" x14ac:dyDescent="0.25">
      <c r="A1" s="23" t="s">
        <v>1746</v>
      </c>
      <c r="B1"/>
    </row>
    <row r="2" spans="1:15" x14ac:dyDescent="0.25">
      <c r="A2"/>
      <c r="B2"/>
      <c r="C2"/>
      <c r="D2"/>
      <c r="E2"/>
      <c r="F2"/>
      <c r="G2"/>
      <c r="H2"/>
      <c r="I2"/>
      <c r="J2"/>
      <c r="K2"/>
      <c r="L2"/>
    </row>
    <row r="3" spans="1:15" s="101" customFormat="1" hidden="1" x14ac:dyDescent="0.25">
      <c r="A3" s="488"/>
      <c r="B3" s="488"/>
      <c r="C3" s="488" t="s">
        <v>282</v>
      </c>
      <c r="D3" s="488"/>
      <c r="E3" s="488"/>
      <c r="F3" s="488"/>
      <c r="G3" s="488"/>
      <c r="H3"/>
      <c r="I3"/>
      <c r="J3"/>
      <c r="K3"/>
      <c r="L3"/>
    </row>
    <row r="4" spans="1:15" s="347" customFormat="1" ht="45" x14ac:dyDescent="0.25">
      <c r="A4" s="493" t="s">
        <v>1780</v>
      </c>
      <c r="B4" s="489" t="s">
        <v>1783</v>
      </c>
      <c r="C4" s="489" t="s">
        <v>281</v>
      </c>
      <c r="D4" s="489" t="s">
        <v>279</v>
      </c>
      <c r="E4" s="489" t="s">
        <v>280</v>
      </c>
      <c r="F4" s="494" t="s">
        <v>1781</v>
      </c>
      <c r="G4" s="489" t="s">
        <v>905</v>
      </c>
      <c r="H4" s="342"/>
      <c r="I4" s="342"/>
      <c r="J4" s="342"/>
      <c r="K4" s="342"/>
      <c r="L4" s="342"/>
    </row>
    <row r="5" spans="1:15" x14ac:dyDescent="0.25">
      <c r="A5" s="488" t="s">
        <v>747</v>
      </c>
      <c r="B5" s="488"/>
      <c r="C5" s="490">
        <v>51</v>
      </c>
      <c r="D5" s="491">
        <v>341430</v>
      </c>
      <c r="E5" s="491">
        <v>292474.50000000006</v>
      </c>
      <c r="F5" s="490">
        <v>6.6947058823529417</v>
      </c>
      <c r="G5" s="490">
        <v>5.73479411764706</v>
      </c>
      <c r="H5"/>
      <c r="I5"/>
      <c r="J5"/>
      <c r="K5"/>
      <c r="L5"/>
    </row>
    <row r="6" spans="1:15" x14ac:dyDescent="0.25">
      <c r="A6" s="488" t="s">
        <v>897</v>
      </c>
      <c r="B6" s="488" t="s">
        <v>53</v>
      </c>
      <c r="C6" s="490">
        <v>82.300000000000011</v>
      </c>
      <c r="D6" s="491">
        <v>475830</v>
      </c>
      <c r="E6" s="491">
        <v>429200.70000000007</v>
      </c>
      <c r="F6" s="490">
        <v>5.781652490886998</v>
      </c>
      <c r="G6" s="490">
        <v>5.2150753341433784</v>
      </c>
      <c r="H6"/>
      <c r="I6"/>
      <c r="J6"/>
      <c r="K6"/>
      <c r="L6"/>
      <c r="M6" s="28"/>
      <c r="N6" s="28"/>
      <c r="O6" s="28"/>
    </row>
    <row r="7" spans="1:15" x14ac:dyDescent="0.25">
      <c r="A7" s="488" t="s">
        <v>3757</v>
      </c>
      <c r="B7" s="488"/>
      <c r="C7" s="490">
        <v>82.300000000000011</v>
      </c>
      <c r="D7" s="491">
        <v>475830</v>
      </c>
      <c r="E7" s="491">
        <v>429200.70000000007</v>
      </c>
      <c r="F7" s="490">
        <v>5.781652490886998</v>
      </c>
      <c r="G7" s="490">
        <v>5.2150753341433784</v>
      </c>
      <c r="H7"/>
      <c r="I7"/>
      <c r="J7"/>
      <c r="K7"/>
      <c r="L7"/>
    </row>
    <row r="8" spans="1:15" x14ac:dyDescent="0.25">
      <c r="A8" s="488" t="s">
        <v>524</v>
      </c>
      <c r="B8" s="488"/>
      <c r="C8" s="490">
        <v>307.49999999999977</v>
      </c>
      <c r="D8" s="491">
        <v>1834690</v>
      </c>
      <c r="E8" s="491">
        <v>1576908.1000000003</v>
      </c>
      <c r="F8" s="490">
        <v>5.9664715447154517</v>
      </c>
      <c r="G8" s="490">
        <v>5.1281564227642322</v>
      </c>
      <c r="H8"/>
      <c r="I8"/>
      <c r="J8"/>
      <c r="K8"/>
      <c r="L8"/>
    </row>
    <row r="9" spans="1:15" x14ac:dyDescent="0.25">
      <c r="A9" s="488" t="s">
        <v>909</v>
      </c>
      <c r="B9" s="488"/>
      <c r="C9" s="490">
        <v>324.99999999999994</v>
      </c>
      <c r="D9" s="491">
        <v>1726660</v>
      </c>
      <c r="E9" s="491">
        <v>1538435.9</v>
      </c>
      <c r="F9" s="490">
        <v>5.3128000000000011</v>
      </c>
      <c r="G9" s="490">
        <v>4.7336489230769239</v>
      </c>
      <c r="H9"/>
      <c r="I9"/>
      <c r="J9"/>
      <c r="K9"/>
      <c r="L9"/>
    </row>
    <row r="10" spans="1:15" x14ac:dyDescent="0.25">
      <c r="A10" s="488" t="s">
        <v>782</v>
      </c>
      <c r="B10" s="488"/>
      <c r="C10" s="490">
        <v>116.00000000000001</v>
      </c>
      <c r="D10" s="491">
        <v>633060</v>
      </c>
      <c r="E10" s="491">
        <v>508513.6999999999</v>
      </c>
      <c r="F10" s="490">
        <v>5.4574137931034477</v>
      </c>
      <c r="G10" s="490">
        <v>4.3837387931034471</v>
      </c>
      <c r="H10"/>
      <c r="I10"/>
      <c r="J10"/>
      <c r="K10"/>
      <c r="L10"/>
    </row>
    <row r="11" spans="1:15" x14ac:dyDescent="0.25">
      <c r="A11" s="488" t="s">
        <v>1755</v>
      </c>
      <c r="B11" s="488"/>
      <c r="C11" s="490">
        <v>51.600000000000009</v>
      </c>
      <c r="D11" s="491">
        <v>250770</v>
      </c>
      <c r="E11" s="491">
        <v>223904.09999999998</v>
      </c>
      <c r="F11" s="490">
        <v>4.8598837209302319</v>
      </c>
      <c r="G11" s="490">
        <v>4.3392267441860453</v>
      </c>
      <c r="H11"/>
      <c r="I11"/>
      <c r="J11"/>
      <c r="K11"/>
      <c r="L11"/>
    </row>
    <row r="12" spans="1:15" x14ac:dyDescent="0.25">
      <c r="A12" s="488" t="s">
        <v>901</v>
      </c>
      <c r="B12" s="488"/>
      <c r="C12" s="490">
        <v>369.9</v>
      </c>
      <c r="D12" s="491">
        <v>1655980</v>
      </c>
      <c r="E12" s="491">
        <v>1479503.1000000006</v>
      </c>
      <c r="F12" s="490">
        <v>4.4768315761016488</v>
      </c>
      <c r="G12" s="490">
        <v>3.9997380373073819</v>
      </c>
      <c r="H12"/>
      <c r="I12"/>
      <c r="J12"/>
      <c r="K12"/>
      <c r="L12"/>
    </row>
    <row r="13" spans="1:15" x14ac:dyDescent="0.25">
      <c r="A13" s="488" t="s">
        <v>900</v>
      </c>
      <c r="B13" s="488"/>
      <c r="C13" s="490">
        <v>9.9602876598994463</v>
      </c>
      <c r="D13" s="491">
        <v>31940</v>
      </c>
      <c r="E13" s="491">
        <v>28720.1</v>
      </c>
      <c r="F13" s="490">
        <v>3.2067346938775509</v>
      </c>
      <c r="G13" s="490">
        <v>2.8834608979847416</v>
      </c>
      <c r="H13"/>
      <c r="I13"/>
      <c r="J13"/>
      <c r="K13"/>
      <c r="L13"/>
    </row>
    <row r="14" spans="1:15" x14ac:dyDescent="0.25">
      <c r="A14" s="488" t="s">
        <v>182</v>
      </c>
      <c r="B14" s="488"/>
      <c r="C14" s="490">
        <v>1313.2602876598992</v>
      </c>
      <c r="D14" s="491">
        <v>6950360</v>
      </c>
      <c r="E14" s="491">
        <v>6077660.2000000002</v>
      </c>
      <c r="F14" s="490">
        <v>5.2924466423825693</v>
      </c>
      <c r="G14" s="490">
        <v>4.6279174487410986</v>
      </c>
      <c r="H14"/>
      <c r="I14"/>
      <c r="J14"/>
      <c r="K14"/>
      <c r="L14"/>
    </row>
    <row r="15" spans="1:15" x14ac:dyDescent="0.25">
      <c r="A15"/>
      <c r="B15"/>
      <c r="C15"/>
      <c r="D15"/>
      <c r="E15"/>
      <c r="F15"/>
      <c r="G15"/>
      <c r="H15"/>
      <c r="I15"/>
      <c r="J15"/>
      <c r="K15"/>
      <c r="L15"/>
    </row>
    <row r="16" spans="1:15" x14ac:dyDescent="0.25">
      <c r="A16"/>
      <c r="B16"/>
      <c r="C16"/>
      <c r="D16"/>
      <c r="E16"/>
      <c r="F16"/>
      <c r="G16"/>
      <c r="H16"/>
      <c r="I16"/>
      <c r="J16"/>
      <c r="K16"/>
      <c r="L16"/>
    </row>
    <row r="17" spans="1:12" x14ac:dyDescent="0.25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25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25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25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25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25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25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25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25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25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25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25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25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25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25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25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25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25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25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25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25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25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5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25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25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25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25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25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25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25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25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2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2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2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2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2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2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2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2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2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2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2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2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2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2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25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25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2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2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2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2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2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2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2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2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2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2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2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2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2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2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2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2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2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2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2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2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2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2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2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2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2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2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2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2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2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2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2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2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2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2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2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2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2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2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2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2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2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25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25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25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25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25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25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25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25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25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25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2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2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2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25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25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25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25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25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25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25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25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25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25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25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25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25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25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25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25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25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25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25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25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25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25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25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25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25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25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25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25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25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25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25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25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25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25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25">
      <c r="A162"/>
      <c r="B162"/>
      <c r="C162"/>
      <c r="D162"/>
      <c r="E162"/>
      <c r="F162"/>
      <c r="G162"/>
      <c r="H162"/>
      <c r="I162"/>
      <c r="J162"/>
      <c r="K162"/>
      <c r="L162"/>
    </row>
  </sheetData>
  <pageMargins left="0.7" right="0.7" top="0.75" bottom="0.75" header="0.3" footer="0.3"/>
  <pageSetup paperSize="9" orientation="landscape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E9D6-5181-407D-9FB2-B95D4E7597AF}">
  <dimension ref="A1:X77"/>
  <sheetViews>
    <sheetView topLeftCell="A19" workbookViewId="0">
      <selection activeCell="D26" sqref="D26"/>
    </sheetView>
  </sheetViews>
  <sheetFormatPr defaultColWidth="9.140625" defaultRowHeight="15" x14ac:dyDescent="0.25"/>
  <cols>
    <col min="1" max="1" width="20.42578125" style="337" customWidth="1"/>
    <col min="2" max="2" width="12.7109375" style="337" customWidth="1"/>
    <col min="3" max="3" width="14.85546875" style="337" customWidth="1"/>
    <col min="4" max="4" width="14.5703125" style="337" customWidth="1"/>
    <col min="5" max="5" width="17.28515625" style="340" customWidth="1"/>
    <col min="6" max="6" width="19.7109375" style="340" customWidth="1"/>
    <col min="7" max="7" width="20.28515625" style="340" customWidth="1"/>
    <col min="8" max="8" width="15.7109375" style="340" customWidth="1"/>
    <col min="9" max="9" width="32.7109375" style="340" customWidth="1"/>
    <col min="10" max="10" width="35.85546875" style="341" customWidth="1"/>
    <col min="11" max="11" width="28" style="340" customWidth="1"/>
    <col min="12" max="12" width="30.7109375" style="340" customWidth="1"/>
    <col min="13" max="13" width="25.28515625" style="344" customWidth="1"/>
    <col min="14" max="24" width="9.140625" style="339"/>
    <col min="25" max="16384" width="9.140625" style="337"/>
  </cols>
  <sheetData>
    <row r="1" spans="1:24" s="338" customFormat="1" ht="30" x14ac:dyDescent="0.25">
      <c r="A1" s="350" t="s">
        <v>9</v>
      </c>
      <c r="B1" s="351" t="s">
        <v>10</v>
      </c>
      <c r="C1" s="351" t="s">
        <v>11</v>
      </c>
      <c r="D1" s="351" t="s">
        <v>12</v>
      </c>
      <c r="E1" s="352" t="s">
        <v>13</v>
      </c>
      <c r="F1" s="352" t="s">
        <v>14</v>
      </c>
      <c r="G1" s="352" t="s">
        <v>15</v>
      </c>
      <c r="H1" s="352" t="s">
        <v>16</v>
      </c>
      <c r="I1" s="352" t="s">
        <v>1747</v>
      </c>
      <c r="J1" s="352" t="s">
        <v>1748</v>
      </c>
      <c r="K1" s="352" t="s">
        <v>1749</v>
      </c>
      <c r="L1" s="352" t="s">
        <v>1750</v>
      </c>
      <c r="M1" s="353" t="s">
        <v>17</v>
      </c>
      <c r="N1" s="341"/>
      <c r="O1" s="340"/>
      <c r="P1" s="340"/>
      <c r="Q1" s="340"/>
      <c r="R1" s="340"/>
      <c r="S1" s="340"/>
      <c r="T1" s="340"/>
      <c r="U1" s="340"/>
      <c r="V1" s="340"/>
      <c r="W1" s="340"/>
      <c r="X1" s="340"/>
    </row>
    <row r="2" spans="1:24" x14ac:dyDescent="0.25">
      <c r="A2" s="348" t="s">
        <v>18</v>
      </c>
      <c r="B2" s="19" t="s">
        <v>19</v>
      </c>
      <c r="C2" s="19" t="s">
        <v>20</v>
      </c>
      <c r="D2" s="19" t="s">
        <v>21</v>
      </c>
      <c r="E2" s="20">
        <v>48</v>
      </c>
      <c r="F2" s="20">
        <v>48</v>
      </c>
      <c r="G2" s="20">
        <f>E2-F2</f>
        <v>0</v>
      </c>
      <c r="H2" s="21">
        <f>IFERROR(F2/E2,"-")</f>
        <v>1</v>
      </c>
      <c r="I2" s="20">
        <f>4*0.9</f>
        <v>3.6</v>
      </c>
      <c r="J2" s="22">
        <f>IFERROR(L2/F2,)</f>
        <v>2.4102083333333333</v>
      </c>
      <c r="K2" s="20">
        <f>E2*I2</f>
        <v>172.8</v>
      </c>
      <c r="L2" s="20">
        <v>115.69</v>
      </c>
      <c r="M2" s="349">
        <f>IFERROR(L2/K2,"-")</f>
        <v>0.6695023148148147</v>
      </c>
    </row>
    <row r="3" spans="1:24" x14ac:dyDescent="0.25">
      <c r="A3" s="348" t="s">
        <v>18</v>
      </c>
      <c r="B3" s="19" t="s">
        <v>19</v>
      </c>
      <c r="C3" s="19" t="s">
        <v>20</v>
      </c>
      <c r="D3" s="19" t="s">
        <v>747</v>
      </c>
      <c r="E3" s="20">
        <v>5</v>
      </c>
      <c r="F3" s="20">
        <v>5</v>
      </c>
      <c r="G3" s="20">
        <f t="shared" ref="G3:G42" si="0">E3-F3</f>
        <v>0</v>
      </c>
      <c r="H3" s="21">
        <f t="shared" ref="H3:H42" si="1">IFERROR(F3/E3,"-")</f>
        <v>1</v>
      </c>
      <c r="I3" s="20">
        <f>4*0.9</f>
        <v>3.6</v>
      </c>
      <c r="J3" s="22">
        <f t="shared" ref="J3:J42" si="2">IFERROR(L3/F3,)</f>
        <v>1.0640000000000001</v>
      </c>
      <c r="K3" s="20">
        <f t="shared" ref="K3:K42" si="3">E3*I3</f>
        <v>18</v>
      </c>
      <c r="L3" s="20">
        <v>5.32</v>
      </c>
      <c r="M3" s="349">
        <f t="shared" ref="M3:M42" si="4">IFERROR(L3/K3,"-")</f>
        <v>0.29555555555555557</v>
      </c>
    </row>
    <row r="4" spans="1:24" x14ac:dyDescent="0.25">
      <c r="A4" s="348" t="s">
        <v>18</v>
      </c>
      <c r="B4" s="19" t="s">
        <v>19</v>
      </c>
      <c r="C4" s="19" t="s">
        <v>1751</v>
      </c>
      <c r="D4" s="19" t="s">
        <v>301</v>
      </c>
      <c r="E4" s="20">
        <v>4</v>
      </c>
      <c r="F4" s="20">
        <v>4</v>
      </c>
      <c r="G4" s="20">
        <f t="shared" si="0"/>
        <v>0</v>
      </c>
      <c r="H4" s="21">
        <f t="shared" si="1"/>
        <v>1</v>
      </c>
      <c r="I4" s="20">
        <f>4*0.95</f>
        <v>3.8</v>
      </c>
      <c r="J4" s="22">
        <f t="shared" si="2"/>
        <v>1.3049999999999999</v>
      </c>
      <c r="K4" s="20">
        <f t="shared" si="3"/>
        <v>15.2</v>
      </c>
      <c r="L4" s="20">
        <v>5.22</v>
      </c>
      <c r="M4" s="349">
        <f t="shared" si="4"/>
        <v>0.34342105263157896</v>
      </c>
    </row>
    <row r="5" spans="1:24" x14ac:dyDescent="0.25">
      <c r="A5" s="348" t="s">
        <v>18</v>
      </c>
      <c r="B5" s="19" t="s">
        <v>19</v>
      </c>
      <c r="C5" s="19" t="s">
        <v>1751</v>
      </c>
      <c r="D5" s="19" t="s">
        <v>21</v>
      </c>
      <c r="E5" s="20">
        <v>112</v>
      </c>
      <c r="F5" s="20">
        <v>112</v>
      </c>
      <c r="G5" s="20">
        <f t="shared" si="0"/>
        <v>0</v>
      </c>
      <c r="H5" s="21">
        <f t="shared" si="1"/>
        <v>1</v>
      </c>
      <c r="I5" s="20">
        <f>4*0.75</f>
        <v>3</v>
      </c>
      <c r="J5" s="22">
        <f t="shared" si="2"/>
        <v>2.0101785714285714</v>
      </c>
      <c r="K5" s="20">
        <f t="shared" si="3"/>
        <v>336</v>
      </c>
      <c r="L5" s="20">
        <v>225.14</v>
      </c>
      <c r="M5" s="349">
        <f t="shared" si="4"/>
        <v>0.67005952380952372</v>
      </c>
    </row>
    <row r="6" spans="1:24" x14ac:dyDescent="0.25">
      <c r="A6" s="348" t="s">
        <v>18</v>
      </c>
      <c r="B6" s="19" t="s">
        <v>19</v>
      </c>
      <c r="C6" s="19" t="s">
        <v>1751</v>
      </c>
      <c r="D6" s="19" t="s">
        <v>747</v>
      </c>
      <c r="E6" s="20">
        <v>85</v>
      </c>
      <c r="F6" s="20">
        <v>85</v>
      </c>
      <c r="G6" s="20">
        <f t="shared" si="0"/>
        <v>0</v>
      </c>
      <c r="H6" s="21">
        <f t="shared" si="1"/>
        <v>1</v>
      </c>
      <c r="I6" s="20">
        <f>4*0.9</f>
        <v>3.6</v>
      </c>
      <c r="J6" s="22">
        <f t="shared" si="2"/>
        <v>2.3927058823529412</v>
      </c>
      <c r="K6" s="20">
        <f t="shared" si="3"/>
        <v>306</v>
      </c>
      <c r="L6" s="20">
        <v>203.38000000000002</v>
      </c>
      <c r="M6" s="349">
        <f t="shared" si="4"/>
        <v>0.6646405228758171</v>
      </c>
    </row>
    <row r="7" spans="1:24" x14ac:dyDescent="0.25">
      <c r="A7" s="348" t="s">
        <v>18</v>
      </c>
      <c r="B7" s="19" t="s">
        <v>19</v>
      </c>
      <c r="C7" s="19" t="s">
        <v>1752</v>
      </c>
      <c r="D7" s="19" t="s">
        <v>1753</v>
      </c>
      <c r="E7" s="20">
        <v>7</v>
      </c>
      <c r="F7" s="20">
        <v>7</v>
      </c>
      <c r="G7" s="20">
        <f t="shared" si="0"/>
        <v>0</v>
      </c>
      <c r="H7" s="21">
        <f t="shared" si="1"/>
        <v>1</v>
      </c>
      <c r="I7" s="20">
        <f>4*0.95</f>
        <v>3.8</v>
      </c>
      <c r="J7" s="22">
        <f t="shared" si="2"/>
        <v>0.72285714285714275</v>
      </c>
      <c r="K7" s="20">
        <f t="shared" si="3"/>
        <v>26.599999999999998</v>
      </c>
      <c r="L7" s="20">
        <v>5.0599999999999996</v>
      </c>
      <c r="M7" s="349">
        <f t="shared" si="4"/>
        <v>0.19022556390977444</v>
      </c>
    </row>
    <row r="8" spans="1:24" x14ac:dyDescent="0.25">
      <c r="A8" s="348" t="s">
        <v>18</v>
      </c>
      <c r="B8" s="19" t="s">
        <v>19</v>
      </c>
      <c r="C8" s="19" t="s">
        <v>1752</v>
      </c>
      <c r="D8" s="19" t="s">
        <v>21</v>
      </c>
      <c r="E8" s="20">
        <v>66</v>
      </c>
      <c r="F8" s="20">
        <v>66</v>
      </c>
      <c r="G8" s="20">
        <f t="shared" si="0"/>
        <v>0</v>
      </c>
      <c r="H8" s="21">
        <f t="shared" si="1"/>
        <v>1</v>
      </c>
      <c r="I8" s="20">
        <f>4*0.75</f>
        <v>3</v>
      </c>
      <c r="J8" s="22">
        <f t="shared" si="2"/>
        <v>1.3886363636363634</v>
      </c>
      <c r="K8" s="20">
        <f t="shared" si="3"/>
        <v>198</v>
      </c>
      <c r="L8" s="20">
        <v>91.649999999999991</v>
      </c>
      <c r="M8" s="349">
        <f t="shared" si="4"/>
        <v>0.46287878787878783</v>
      </c>
    </row>
    <row r="9" spans="1:24" x14ac:dyDescent="0.25">
      <c r="A9" s="348" t="s">
        <v>18</v>
      </c>
      <c r="B9" s="19" t="s">
        <v>19</v>
      </c>
      <c r="C9" s="19" t="s">
        <v>1754</v>
      </c>
      <c r="D9" s="19" t="s">
        <v>897</v>
      </c>
      <c r="E9" s="20">
        <v>4</v>
      </c>
      <c r="F9" s="20">
        <v>4</v>
      </c>
      <c r="G9" s="20">
        <f t="shared" si="0"/>
        <v>0</v>
      </c>
      <c r="H9" s="21">
        <f t="shared" si="1"/>
        <v>1</v>
      </c>
      <c r="I9" s="20">
        <v>4</v>
      </c>
      <c r="J9" s="22">
        <f t="shared" si="2"/>
        <v>2.2574999999999998</v>
      </c>
      <c r="K9" s="20">
        <f t="shared" si="3"/>
        <v>16</v>
      </c>
      <c r="L9" s="20">
        <v>9.0299999999999994</v>
      </c>
      <c r="M9" s="349">
        <f t="shared" si="4"/>
        <v>0.56437499999999996</v>
      </c>
    </row>
    <row r="10" spans="1:24" x14ac:dyDescent="0.25">
      <c r="A10" s="348" t="s">
        <v>18</v>
      </c>
      <c r="B10" s="19" t="s">
        <v>19</v>
      </c>
      <c r="C10" s="19" t="s">
        <v>1754</v>
      </c>
      <c r="D10" s="19" t="s">
        <v>1755</v>
      </c>
      <c r="E10" s="20">
        <v>20</v>
      </c>
      <c r="F10" s="20">
        <v>20</v>
      </c>
      <c r="G10" s="20">
        <f t="shared" si="0"/>
        <v>0</v>
      </c>
      <c r="H10" s="21">
        <f t="shared" si="1"/>
        <v>1</v>
      </c>
      <c r="I10" s="20">
        <v>4</v>
      </c>
      <c r="J10" s="22">
        <f t="shared" si="2"/>
        <v>3.6265000000000001</v>
      </c>
      <c r="K10" s="20">
        <f t="shared" si="3"/>
        <v>80</v>
      </c>
      <c r="L10" s="20">
        <v>72.53</v>
      </c>
      <c r="M10" s="349">
        <f t="shared" si="4"/>
        <v>0.90662500000000001</v>
      </c>
    </row>
    <row r="11" spans="1:24" x14ac:dyDescent="0.25">
      <c r="A11" s="348" t="s">
        <v>18</v>
      </c>
      <c r="B11" s="19" t="s">
        <v>19</v>
      </c>
      <c r="C11" s="19" t="s">
        <v>1754</v>
      </c>
      <c r="D11" s="19" t="s">
        <v>893</v>
      </c>
      <c r="E11" s="20">
        <v>4</v>
      </c>
      <c r="F11" s="20">
        <v>4</v>
      </c>
      <c r="G11" s="20">
        <f t="shared" si="0"/>
        <v>0</v>
      </c>
      <c r="H11" s="21">
        <f t="shared" si="1"/>
        <v>1</v>
      </c>
      <c r="I11" s="20">
        <v>4</v>
      </c>
      <c r="J11" s="22">
        <f t="shared" si="2"/>
        <v>2.9275000000000002</v>
      </c>
      <c r="K11" s="20">
        <f t="shared" si="3"/>
        <v>16</v>
      </c>
      <c r="L11" s="20">
        <v>11.71</v>
      </c>
      <c r="M11" s="349">
        <f t="shared" si="4"/>
        <v>0.73187500000000005</v>
      </c>
    </row>
    <row r="12" spans="1:24" x14ac:dyDescent="0.25">
      <c r="A12" s="348" t="s">
        <v>18</v>
      </c>
      <c r="B12" s="19" t="s">
        <v>19</v>
      </c>
      <c r="C12" s="19" t="s">
        <v>1754</v>
      </c>
      <c r="D12" s="19" t="s">
        <v>747</v>
      </c>
      <c r="E12" s="20">
        <v>80</v>
      </c>
      <c r="F12" s="20">
        <v>80</v>
      </c>
      <c r="G12" s="20">
        <f t="shared" si="0"/>
        <v>0</v>
      </c>
      <c r="H12" s="21">
        <f t="shared" si="1"/>
        <v>1</v>
      </c>
      <c r="I12" s="20">
        <f>4*0.9</f>
        <v>3.6</v>
      </c>
      <c r="J12" s="22">
        <f t="shared" si="2"/>
        <v>3.2246249999999996</v>
      </c>
      <c r="K12" s="20">
        <f t="shared" si="3"/>
        <v>288</v>
      </c>
      <c r="L12" s="20">
        <v>257.96999999999997</v>
      </c>
      <c r="M12" s="349">
        <f t="shared" si="4"/>
        <v>0.89572916666666658</v>
      </c>
    </row>
    <row r="13" spans="1:24" x14ac:dyDescent="0.25">
      <c r="A13" s="348" t="s">
        <v>18</v>
      </c>
      <c r="B13" s="19" t="s">
        <v>19</v>
      </c>
      <c r="C13" s="19" t="s">
        <v>1756</v>
      </c>
      <c r="D13" s="19" t="s">
        <v>1755</v>
      </c>
      <c r="E13" s="20">
        <v>86</v>
      </c>
      <c r="F13" s="20">
        <v>86</v>
      </c>
      <c r="G13" s="20">
        <f t="shared" si="0"/>
        <v>0</v>
      </c>
      <c r="H13" s="21">
        <f t="shared" si="1"/>
        <v>1</v>
      </c>
      <c r="I13" s="20">
        <v>4</v>
      </c>
      <c r="J13" s="22">
        <f t="shared" si="2"/>
        <v>3.9625581395348832</v>
      </c>
      <c r="K13" s="20">
        <f t="shared" si="3"/>
        <v>344</v>
      </c>
      <c r="L13" s="20">
        <v>340.78</v>
      </c>
      <c r="M13" s="349">
        <f t="shared" si="4"/>
        <v>0.99063953488372081</v>
      </c>
    </row>
    <row r="14" spans="1:24" x14ac:dyDescent="0.25">
      <c r="A14" s="348" t="s">
        <v>18</v>
      </c>
      <c r="B14" s="19" t="s">
        <v>19</v>
      </c>
      <c r="C14" s="19" t="s">
        <v>1757</v>
      </c>
      <c r="D14" s="19" t="s">
        <v>1758</v>
      </c>
      <c r="E14" s="20">
        <v>43</v>
      </c>
      <c r="F14" s="20">
        <v>43</v>
      </c>
      <c r="G14" s="20">
        <f t="shared" si="0"/>
        <v>0</v>
      </c>
      <c r="H14" s="21">
        <f t="shared" si="1"/>
        <v>1</v>
      </c>
      <c r="I14" s="20">
        <v>4</v>
      </c>
      <c r="J14" s="22">
        <f t="shared" si="2"/>
        <v>3.976511627906977</v>
      </c>
      <c r="K14" s="20">
        <f t="shared" si="3"/>
        <v>172</v>
      </c>
      <c r="L14" s="20">
        <v>170.99</v>
      </c>
      <c r="M14" s="349">
        <f t="shared" si="4"/>
        <v>0.99412790697674425</v>
      </c>
    </row>
    <row r="15" spans="1:24" x14ac:dyDescent="0.25">
      <c r="A15" s="348" t="s">
        <v>18</v>
      </c>
      <c r="B15" s="19" t="s">
        <v>19</v>
      </c>
      <c r="C15" s="19" t="s">
        <v>1757</v>
      </c>
      <c r="D15" s="19" t="s">
        <v>1755</v>
      </c>
      <c r="E15" s="20">
        <v>41</v>
      </c>
      <c r="F15" s="20">
        <v>41</v>
      </c>
      <c r="G15" s="20">
        <f t="shared" si="0"/>
        <v>0</v>
      </c>
      <c r="H15" s="21">
        <f t="shared" si="1"/>
        <v>1</v>
      </c>
      <c r="I15" s="20">
        <v>4</v>
      </c>
      <c r="J15" s="22">
        <f t="shared" si="2"/>
        <v>2.6343902439024394</v>
      </c>
      <c r="K15" s="20">
        <f t="shared" si="3"/>
        <v>164</v>
      </c>
      <c r="L15" s="20">
        <v>108.01</v>
      </c>
      <c r="M15" s="349">
        <f t="shared" si="4"/>
        <v>0.65859756097560984</v>
      </c>
    </row>
    <row r="16" spans="1:24" x14ac:dyDescent="0.25">
      <c r="A16" s="348" t="s">
        <v>18</v>
      </c>
      <c r="B16" s="19" t="s">
        <v>19</v>
      </c>
      <c r="C16" s="19" t="s">
        <v>1757</v>
      </c>
      <c r="D16" s="19" t="s">
        <v>1316</v>
      </c>
      <c r="E16" s="20">
        <v>4</v>
      </c>
      <c r="F16" s="20">
        <v>4</v>
      </c>
      <c r="G16" s="20">
        <f t="shared" si="0"/>
        <v>0</v>
      </c>
      <c r="H16" s="21">
        <f t="shared" si="1"/>
        <v>1</v>
      </c>
      <c r="I16" s="20">
        <v>4</v>
      </c>
      <c r="J16" s="22">
        <f t="shared" si="2"/>
        <v>2.27</v>
      </c>
      <c r="K16" s="20">
        <f t="shared" si="3"/>
        <v>16</v>
      </c>
      <c r="L16" s="20">
        <v>9.08</v>
      </c>
      <c r="M16" s="349">
        <f t="shared" si="4"/>
        <v>0.5675</v>
      </c>
    </row>
    <row r="17" spans="1:13" x14ac:dyDescent="0.25">
      <c r="A17" s="348" t="s">
        <v>18</v>
      </c>
      <c r="B17" s="19" t="s">
        <v>19</v>
      </c>
      <c r="C17" s="19" t="s">
        <v>1757</v>
      </c>
      <c r="D17" s="19" t="s">
        <v>900</v>
      </c>
      <c r="E17" s="20">
        <v>4</v>
      </c>
      <c r="F17" s="20">
        <v>4</v>
      </c>
      <c r="G17" s="20">
        <f t="shared" si="0"/>
        <v>0</v>
      </c>
      <c r="H17" s="21">
        <f t="shared" si="1"/>
        <v>1</v>
      </c>
      <c r="I17" s="20">
        <v>4</v>
      </c>
      <c r="J17" s="22">
        <f t="shared" si="2"/>
        <v>2.3025000000000002</v>
      </c>
      <c r="K17" s="20">
        <f t="shared" si="3"/>
        <v>16</v>
      </c>
      <c r="L17" s="20">
        <v>9.2100000000000009</v>
      </c>
      <c r="M17" s="349">
        <f t="shared" si="4"/>
        <v>0.57562500000000005</v>
      </c>
    </row>
    <row r="18" spans="1:13" x14ac:dyDescent="0.25">
      <c r="A18" s="348" t="s">
        <v>1737</v>
      </c>
      <c r="B18" s="19" t="s">
        <v>19</v>
      </c>
      <c r="C18" s="19" t="s">
        <v>1759</v>
      </c>
      <c r="D18" s="19" t="s">
        <v>1755</v>
      </c>
      <c r="E18" s="20">
        <v>32</v>
      </c>
      <c r="F18" s="20">
        <v>32</v>
      </c>
      <c r="G18" s="20">
        <f t="shared" si="0"/>
        <v>0</v>
      </c>
      <c r="H18" s="21">
        <f t="shared" si="1"/>
        <v>1</v>
      </c>
      <c r="I18" s="20">
        <v>5</v>
      </c>
      <c r="J18" s="22">
        <f t="shared" si="2"/>
        <v>3.7771875000000001</v>
      </c>
      <c r="K18" s="20">
        <f t="shared" si="3"/>
        <v>160</v>
      </c>
      <c r="L18" s="20">
        <v>120.87</v>
      </c>
      <c r="M18" s="349">
        <f t="shared" si="4"/>
        <v>0.75543749999999998</v>
      </c>
    </row>
    <row r="19" spans="1:13" x14ac:dyDescent="0.25">
      <c r="A19" s="348" t="s">
        <v>1737</v>
      </c>
      <c r="B19" s="19" t="s">
        <v>19</v>
      </c>
      <c r="C19" s="19" t="s">
        <v>1759</v>
      </c>
      <c r="D19" s="19" t="s">
        <v>1760</v>
      </c>
      <c r="E19" s="20">
        <v>55.9</v>
      </c>
      <c r="F19" s="20">
        <v>55.9</v>
      </c>
      <c r="G19" s="20">
        <f t="shared" si="0"/>
        <v>0</v>
      </c>
      <c r="H19" s="21">
        <f t="shared" si="1"/>
        <v>1</v>
      </c>
      <c r="I19" s="20">
        <v>5</v>
      </c>
      <c r="J19" s="22">
        <f t="shared" si="2"/>
        <v>3.7227191413237923</v>
      </c>
      <c r="K19" s="20">
        <f t="shared" si="3"/>
        <v>279.5</v>
      </c>
      <c r="L19" s="20">
        <v>208.1</v>
      </c>
      <c r="M19" s="349">
        <f t="shared" si="4"/>
        <v>0.74454382826475851</v>
      </c>
    </row>
    <row r="20" spans="1:13" x14ac:dyDescent="0.25">
      <c r="A20" s="348" t="s">
        <v>1737</v>
      </c>
      <c r="B20" s="19" t="s">
        <v>19</v>
      </c>
      <c r="C20" s="19" t="s">
        <v>1761</v>
      </c>
      <c r="D20" s="19" t="s">
        <v>1762</v>
      </c>
      <c r="E20" s="20">
        <v>29</v>
      </c>
      <c r="F20" s="20">
        <v>29</v>
      </c>
      <c r="G20" s="20">
        <f t="shared" si="0"/>
        <v>0</v>
      </c>
      <c r="H20" s="21">
        <f t="shared" si="1"/>
        <v>1</v>
      </c>
      <c r="I20" s="20">
        <v>5</v>
      </c>
      <c r="J20" s="22">
        <f t="shared" si="2"/>
        <v>4.2451724137931031</v>
      </c>
      <c r="K20" s="20">
        <f t="shared" si="3"/>
        <v>145</v>
      </c>
      <c r="L20" s="20">
        <v>123.10999999999999</v>
      </c>
      <c r="M20" s="349">
        <f t="shared" si="4"/>
        <v>0.84903448275862059</v>
      </c>
    </row>
    <row r="21" spans="1:13" x14ac:dyDescent="0.25">
      <c r="A21" s="348" t="s">
        <v>1737</v>
      </c>
      <c r="B21" s="19" t="s">
        <v>19</v>
      </c>
      <c r="C21" s="19" t="s">
        <v>1761</v>
      </c>
      <c r="D21" s="19" t="s">
        <v>1185</v>
      </c>
      <c r="E21" s="20">
        <v>45</v>
      </c>
      <c r="F21" s="20">
        <v>45</v>
      </c>
      <c r="G21" s="20">
        <f t="shared" si="0"/>
        <v>0</v>
      </c>
      <c r="H21" s="21">
        <f t="shared" si="1"/>
        <v>1</v>
      </c>
      <c r="I21" s="20">
        <v>5</v>
      </c>
      <c r="J21" s="22">
        <f t="shared" si="2"/>
        <v>2.2713333333333332</v>
      </c>
      <c r="K21" s="20">
        <f t="shared" si="3"/>
        <v>225</v>
      </c>
      <c r="L21" s="20">
        <v>102.21</v>
      </c>
      <c r="M21" s="349">
        <f t="shared" si="4"/>
        <v>0.45426666666666665</v>
      </c>
    </row>
    <row r="22" spans="1:13" x14ac:dyDescent="0.25">
      <c r="A22" s="348" t="s">
        <v>1737</v>
      </c>
      <c r="B22" s="19" t="s">
        <v>19</v>
      </c>
      <c r="C22" s="19" t="s">
        <v>1761</v>
      </c>
      <c r="D22" s="19" t="s">
        <v>1763</v>
      </c>
      <c r="E22" s="20">
        <v>18</v>
      </c>
      <c r="F22" s="20">
        <v>18</v>
      </c>
      <c r="G22" s="20">
        <f t="shared" si="0"/>
        <v>0</v>
      </c>
      <c r="H22" s="21">
        <f t="shared" si="1"/>
        <v>1</v>
      </c>
      <c r="I22" s="20">
        <v>5</v>
      </c>
      <c r="J22" s="22">
        <f t="shared" si="2"/>
        <v>2.0072222222222225</v>
      </c>
      <c r="K22" s="20">
        <f t="shared" si="3"/>
        <v>90</v>
      </c>
      <c r="L22" s="20">
        <v>36.130000000000003</v>
      </c>
      <c r="M22" s="349">
        <f t="shared" si="4"/>
        <v>0.40144444444444449</v>
      </c>
    </row>
    <row r="23" spans="1:13" x14ac:dyDescent="0.25">
      <c r="A23" s="348" t="s">
        <v>1737</v>
      </c>
      <c r="B23" s="19" t="s">
        <v>19</v>
      </c>
      <c r="C23" s="19" t="s">
        <v>1761</v>
      </c>
      <c r="D23" s="19" t="s">
        <v>1760</v>
      </c>
      <c r="E23" s="20">
        <v>21.6</v>
      </c>
      <c r="F23" s="20">
        <v>21.6</v>
      </c>
      <c r="G23" s="20">
        <f t="shared" si="0"/>
        <v>0</v>
      </c>
      <c r="H23" s="21">
        <f t="shared" si="1"/>
        <v>1</v>
      </c>
      <c r="I23" s="20">
        <v>5</v>
      </c>
      <c r="J23" s="22">
        <f t="shared" si="2"/>
        <v>3.2180555555555554</v>
      </c>
      <c r="K23" s="20">
        <f t="shared" si="3"/>
        <v>108</v>
      </c>
      <c r="L23" s="20">
        <v>69.510000000000005</v>
      </c>
      <c r="M23" s="349">
        <f t="shared" si="4"/>
        <v>0.64361111111111113</v>
      </c>
    </row>
    <row r="24" spans="1:13" x14ac:dyDescent="0.25">
      <c r="A24" s="348" t="s">
        <v>1737</v>
      </c>
      <c r="B24" s="19" t="s">
        <v>178</v>
      </c>
      <c r="C24" s="19" t="s">
        <v>1764</v>
      </c>
      <c r="D24" s="19" t="s">
        <v>1765</v>
      </c>
      <c r="E24" s="20">
        <v>32.9</v>
      </c>
      <c r="F24" s="20">
        <v>32.9</v>
      </c>
      <c r="G24" s="20">
        <f t="shared" si="0"/>
        <v>0</v>
      </c>
      <c r="H24" s="21">
        <f t="shared" si="1"/>
        <v>1</v>
      </c>
      <c r="I24" s="20">
        <v>5.5</v>
      </c>
      <c r="J24" s="22">
        <f t="shared" si="2"/>
        <v>1.3872340425531915</v>
      </c>
      <c r="K24" s="20">
        <f t="shared" si="3"/>
        <v>180.95</v>
      </c>
      <c r="L24" s="20">
        <v>45.64</v>
      </c>
      <c r="M24" s="349">
        <f t="shared" si="4"/>
        <v>0.25222437137330755</v>
      </c>
    </row>
    <row r="25" spans="1:13" x14ac:dyDescent="0.25">
      <c r="A25" s="348" t="s">
        <v>1737</v>
      </c>
      <c r="B25" s="19" t="s">
        <v>178</v>
      </c>
      <c r="C25" s="19" t="s">
        <v>1766</v>
      </c>
      <c r="D25" s="19" t="s">
        <v>1765</v>
      </c>
      <c r="E25" s="20">
        <v>70.599999999999994</v>
      </c>
      <c r="F25" s="20">
        <v>60</v>
      </c>
      <c r="G25" s="20">
        <f t="shared" si="0"/>
        <v>10.599999999999994</v>
      </c>
      <c r="H25" s="21">
        <f t="shared" si="1"/>
        <v>0.84985835694050993</v>
      </c>
      <c r="I25" s="20">
        <v>5.5</v>
      </c>
      <c r="J25" s="22">
        <f t="shared" si="2"/>
        <v>1.921</v>
      </c>
      <c r="K25" s="20">
        <f t="shared" si="3"/>
        <v>388.29999999999995</v>
      </c>
      <c r="L25" s="20">
        <v>115.26</v>
      </c>
      <c r="M25" s="349">
        <f t="shared" si="4"/>
        <v>0.2968323461241309</v>
      </c>
    </row>
    <row r="26" spans="1:13" x14ac:dyDescent="0.25">
      <c r="A26" s="348" t="s">
        <v>1737</v>
      </c>
      <c r="B26" s="19" t="s">
        <v>178</v>
      </c>
      <c r="C26" s="19" t="s">
        <v>1767</v>
      </c>
      <c r="D26" s="19" t="s">
        <v>1530</v>
      </c>
      <c r="E26" s="20">
        <v>97.4</v>
      </c>
      <c r="F26" s="20">
        <v>97.4</v>
      </c>
      <c r="G26" s="20">
        <f t="shared" si="0"/>
        <v>0</v>
      </c>
      <c r="H26" s="21">
        <f t="shared" si="1"/>
        <v>1</v>
      </c>
      <c r="I26" s="20">
        <v>5.5</v>
      </c>
      <c r="J26" s="22">
        <f t="shared" si="2"/>
        <v>1.8309034907597532</v>
      </c>
      <c r="K26" s="20">
        <f t="shared" si="3"/>
        <v>535.70000000000005</v>
      </c>
      <c r="L26" s="20">
        <v>178.32999999999998</v>
      </c>
      <c r="M26" s="349">
        <f t="shared" si="4"/>
        <v>0.33289154377450059</v>
      </c>
    </row>
    <row r="27" spans="1:13" x14ac:dyDescent="0.25">
      <c r="A27" s="348" t="s">
        <v>1737</v>
      </c>
      <c r="B27" s="19" t="s">
        <v>178</v>
      </c>
      <c r="C27" s="19" t="s">
        <v>1768</v>
      </c>
      <c r="D27" s="19" t="s">
        <v>1530</v>
      </c>
      <c r="E27" s="20">
        <v>39.6</v>
      </c>
      <c r="F27" s="20">
        <v>39.6</v>
      </c>
      <c r="G27" s="20">
        <f t="shared" si="0"/>
        <v>0</v>
      </c>
      <c r="H27" s="21">
        <f t="shared" si="1"/>
        <v>1</v>
      </c>
      <c r="I27" s="20">
        <v>5.5</v>
      </c>
      <c r="J27" s="22">
        <f t="shared" si="2"/>
        <v>3.0151515151515147</v>
      </c>
      <c r="K27" s="20">
        <f t="shared" si="3"/>
        <v>217.8</v>
      </c>
      <c r="L27" s="20">
        <v>119.39999999999999</v>
      </c>
      <c r="M27" s="349">
        <f t="shared" si="4"/>
        <v>0.54820936639118456</v>
      </c>
    </row>
    <row r="28" spans="1:13" x14ac:dyDescent="0.25">
      <c r="A28" s="348" t="s">
        <v>1737</v>
      </c>
      <c r="B28" s="19" t="s">
        <v>178</v>
      </c>
      <c r="C28" s="19" t="s">
        <v>1768</v>
      </c>
      <c r="D28" s="19" t="s">
        <v>1765</v>
      </c>
      <c r="E28" s="20">
        <v>48.3</v>
      </c>
      <c r="F28" s="20">
        <v>48.3</v>
      </c>
      <c r="G28" s="20">
        <f t="shared" si="0"/>
        <v>0</v>
      </c>
      <c r="H28" s="21">
        <f t="shared" si="1"/>
        <v>1</v>
      </c>
      <c r="I28" s="20">
        <v>5.5</v>
      </c>
      <c r="J28" s="22">
        <f t="shared" si="2"/>
        <v>4.8710144927536234</v>
      </c>
      <c r="K28" s="20">
        <f t="shared" si="3"/>
        <v>265.64999999999998</v>
      </c>
      <c r="L28" s="20">
        <v>235.26999999999998</v>
      </c>
      <c r="M28" s="349">
        <f t="shared" si="4"/>
        <v>0.88563899868247697</v>
      </c>
    </row>
    <row r="29" spans="1:13" x14ac:dyDescent="0.25">
      <c r="A29" s="348" t="s">
        <v>1737</v>
      </c>
      <c r="B29" s="19" t="s">
        <v>178</v>
      </c>
      <c r="C29" s="19" t="s">
        <v>1769</v>
      </c>
      <c r="D29" s="19" t="s">
        <v>1770</v>
      </c>
      <c r="E29" s="20">
        <v>93</v>
      </c>
      <c r="F29" s="20">
        <v>93</v>
      </c>
      <c r="G29" s="20">
        <f t="shared" si="0"/>
        <v>0</v>
      </c>
      <c r="H29" s="21">
        <f t="shared" si="1"/>
        <v>1</v>
      </c>
      <c r="I29" s="20">
        <v>5.5</v>
      </c>
      <c r="J29" s="22">
        <f t="shared" si="2"/>
        <v>3.3659139784946235</v>
      </c>
      <c r="K29" s="20">
        <f t="shared" si="3"/>
        <v>511.5</v>
      </c>
      <c r="L29" s="20">
        <v>313.02999999999997</v>
      </c>
      <c r="M29" s="349">
        <f t="shared" si="4"/>
        <v>0.61198435972629517</v>
      </c>
    </row>
    <row r="30" spans="1:13" x14ac:dyDescent="0.25">
      <c r="A30" s="348" t="s">
        <v>1737</v>
      </c>
      <c r="B30" s="19" t="s">
        <v>178</v>
      </c>
      <c r="C30" s="19" t="s">
        <v>1769</v>
      </c>
      <c r="D30" s="19" t="s">
        <v>1771</v>
      </c>
      <c r="E30" s="20">
        <v>3.5</v>
      </c>
      <c r="F30" s="20">
        <v>3.5</v>
      </c>
      <c r="G30" s="20">
        <f t="shared" si="0"/>
        <v>0</v>
      </c>
      <c r="H30" s="21">
        <f t="shared" si="1"/>
        <v>1</v>
      </c>
      <c r="I30" s="20">
        <v>5.5</v>
      </c>
      <c r="J30" s="22">
        <f t="shared" si="2"/>
        <v>3.891428571428571</v>
      </c>
      <c r="K30" s="20">
        <f t="shared" si="3"/>
        <v>19.25</v>
      </c>
      <c r="L30" s="20">
        <v>13.62</v>
      </c>
      <c r="M30" s="349">
        <f t="shared" si="4"/>
        <v>0.70753246753246746</v>
      </c>
    </row>
    <row r="31" spans="1:13" ht="14.25" x14ac:dyDescent="0.25">
      <c r="A31" s="348" t="s">
        <v>1737</v>
      </c>
      <c r="B31" s="19" t="s">
        <v>178</v>
      </c>
      <c r="C31" s="19" t="s">
        <v>1772</v>
      </c>
      <c r="D31" s="19" t="s">
        <v>1770</v>
      </c>
      <c r="E31" s="20">
        <v>35</v>
      </c>
      <c r="F31" s="346">
        <v>9.9999999999999995E-8</v>
      </c>
      <c r="G31" s="20">
        <f t="shared" si="0"/>
        <v>34.999999899999999</v>
      </c>
      <c r="H31" s="21">
        <f t="shared" si="1"/>
        <v>2.8571428571428572E-9</v>
      </c>
      <c r="I31" s="20">
        <v>5.5</v>
      </c>
      <c r="J31" s="346">
        <f>IFERROR(L31/F31,)</f>
        <v>1E-3</v>
      </c>
      <c r="K31" s="20">
        <f t="shared" si="3"/>
        <v>192.5</v>
      </c>
      <c r="L31" s="346">
        <v>1E-10</v>
      </c>
      <c r="M31" s="349">
        <f t="shared" si="4"/>
        <v>5.1948051948051945E-13</v>
      </c>
    </row>
    <row r="32" spans="1:13" x14ac:dyDescent="0.25">
      <c r="A32" s="348" t="s">
        <v>1737</v>
      </c>
      <c r="B32" s="19" t="s">
        <v>178</v>
      </c>
      <c r="C32" s="19" t="s">
        <v>1772</v>
      </c>
      <c r="D32" s="19" t="s">
        <v>1763</v>
      </c>
      <c r="E32" s="20">
        <v>8.5</v>
      </c>
      <c r="F32" s="20">
        <v>8.5</v>
      </c>
      <c r="G32" s="20">
        <f t="shared" si="0"/>
        <v>0</v>
      </c>
      <c r="H32" s="21">
        <f t="shared" si="1"/>
        <v>1</v>
      </c>
      <c r="I32" s="20">
        <v>5.5</v>
      </c>
      <c r="J32" s="22">
        <f t="shared" si="2"/>
        <v>0.76235294117647068</v>
      </c>
      <c r="K32" s="20">
        <f t="shared" si="3"/>
        <v>46.75</v>
      </c>
      <c r="L32" s="20">
        <v>6.48</v>
      </c>
      <c r="M32" s="349">
        <f t="shared" si="4"/>
        <v>0.1386096256684492</v>
      </c>
    </row>
    <row r="33" spans="1:13" ht="14.25" x14ac:dyDescent="0.25">
      <c r="A33" s="348" t="s">
        <v>1737</v>
      </c>
      <c r="B33" s="19" t="s">
        <v>178</v>
      </c>
      <c r="C33" s="19" t="s">
        <v>1772</v>
      </c>
      <c r="D33" s="19" t="s">
        <v>1765</v>
      </c>
      <c r="E33" s="20">
        <v>8</v>
      </c>
      <c r="F33" s="346">
        <v>9.9999999999999995E-8</v>
      </c>
      <c r="G33" s="20">
        <f t="shared" si="0"/>
        <v>7.9999998999999997</v>
      </c>
      <c r="H33" s="21">
        <f t="shared" si="1"/>
        <v>1.2499999999999999E-8</v>
      </c>
      <c r="I33" s="20">
        <v>5.5</v>
      </c>
      <c r="J33" s="346">
        <f t="shared" si="2"/>
        <v>1E-3</v>
      </c>
      <c r="K33" s="20">
        <f t="shared" si="3"/>
        <v>44</v>
      </c>
      <c r="L33" s="346">
        <v>1E-10</v>
      </c>
      <c r="M33" s="349">
        <f t="shared" si="4"/>
        <v>2.272727272727273E-12</v>
      </c>
    </row>
    <row r="34" spans="1:13" x14ac:dyDescent="0.25">
      <c r="A34" s="348" t="s">
        <v>1737</v>
      </c>
      <c r="B34" s="19" t="s">
        <v>178</v>
      </c>
      <c r="C34" s="19" t="s">
        <v>1772</v>
      </c>
      <c r="D34" s="19" t="s">
        <v>1771</v>
      </c>
      <c r="E34" s="20">
        <v>10.5</v>
      </c>
      <c r="F34" s="20">
        <v>10.5</v>
      </c>
      <c r="G34" s="20">
        <f t="shared" si="0"/>
        <v>0</v>
      </c>
      <c r="H34" s="21">
        <f t="shared" si="1"/>
        <v>1</v>
      </c>
      <c r="I34" s="20">
        <v>5.5</v>
      </c>
      <c r="J34" s="22">
        <f t="shared" si="2"/>
        <v>4.8114285714285714</v>
      </c>
      <c r="K34" s="20">
        <f t="shared" si="3"/>
        <v>57.75</v>
      </c>
      <c r="L34" s="20">
        <v>50.519999999999996</v>
      </c>
      <c r="M34" s="349">
        <f t="shared" si="4"/>
        <v>0.8748051948051947</v>
      </c>
    </row>
    <row r="35" spans="1:13" ht="14.25" x14ac:dyDescent="0.25">
      <c r="A35" s="348" t="s">
        <v>1773</v>
      </c>
      <c r="B35" s="19" t="s">
        <v>178</v>
      </c>
      <c r="C35" s="19" t="s">
        <v>1774</v>
      </c>
      <c r="D35" s="19" t="s">
        <v>1755</v>
      </c>
      <c r="E35" s="20">
        <v>72</v>
      </c>
      <c r="F35" s="346">
        <v>9.9999999999999995E-8</v>
      </c>
      <c r="G35" s="20">
        <f t="shared" si="0"/>
        <v>71.999999900000006</v>
      </c>
      <c r="H35" s="21">
        <f t="shared" si="1"/>
        <v>1.3888888888888888E-9</v>
      </c>
      <c r="I35" s="20">
        <v>5.5</v>
      </c>
      <c r="J35" s="346">
        <f t="shared" si="2"/>
        <v>1E-3</v>
      </c>
      <c r="K35" s="20">
        <f t="shared" si="3"/>
        <v>396</v>
      </c>
      <c r="L35" s="346">
        <v>1E-10</v>
      </c>
      <c r="M35" s="349">
        <f t="shared" si="4"/>
        <v>2.5252525252525253E-13</v>
      </c>
    </row>
    <row r="36" spans="1:13" x14ac:dyDescent="0.25">
      <c r="A36" s="348" t="s">
        <v>1773</v>
      </c>
      <c r="B36" s="19" t="s">
        <v>178</v>
      </c>
      <c r="C36" s="19" t="s">
        <v>1775</v>
      </c>
      <c r="D36" s="19" t="s">
        <v>1755</v>
      </c>
      <c r="E36" s="20">
        <v>52</v>
      </c>
      <c r="F36" s="20">
        <v>45</v>
      </c>
      <c r="G36" s="20">
        <f t="shared" si="0"/>
        <v>7</v>
      </c>
      <c r="H36" s="21">
        <f t="shared" si="1"/>
        <v>0.86538461538461542</v>
      </c>
      <c r="I36" s="20">
        <v>5.5</v>
      </c>
      <c r="J36" s="22">
        <f t="shared" si="2"/>
        <v>5.7866666666666653</v>
      </c>
      <c r="K36" s="20">
        <f t="shared" si="3"/>
        <v>286</v>
      </c>
      <c r="L36" s="20">
        <v>260.39999999999992</v>
      </c>
      <c r="M36" s="349">
        <f t="shared" si="4"/>
        <v>0.91048951048951021</v>
      </c>
    </row>
    <row r="37" spans="1:13" x14ac:dyDescent="0.25">
      <c r="A37" s="348" t="s">
        <v>1773</v>
      </c>
      <c r="B37" s="19" t="s">
        <v>178</v>
      </c>
      <c r="C37" s="19" t="s">
        <v>1776</v>
      </c>
      <c r="D37" s="19" t="s">
        <v>1755</v>
      </c>
      <c r="E37" s="20">
        <v>45</v>
      </c>
      <c r="F37" s="20">
        <v>45</v>
      </c>
      <c r="G37" s="20">
        <f t="shared" si="0"/>
        <v>0</v>
      </c>
      <c r="H37" s="21">
        <f t="shared" si="1"/>
        <v>1</v>
      </c>
      <c r="I37" s="20">
        <v>5.5</v>
      </c>
      <c r="J37" s="22">
        <f t="shared" si="2"/>
        <v>5.2142222222222223</v>
      </c>
      <c r="K37" s="20">
        <f t="shared" si="3"/>
        <v>247.5</v>
      </c>
      <c r="L37" s="20">
        <v>234.64</v>
      </c>
      <c r="M37" s="349">
        <f t="shared" si="4"/>
        <v>0.94804040404040402</v>
      </c>
    </row>
    <row r="38" spans="1:13" x14ac:dyDescent="0.25">
      <c r="A38" s="348" t="s">
        <v>1741</v>
      </c>
      <c r="B38" s="19" t="s">
        <v>19</v>
      </c>
      <c r="C38" s="19" t="s">
        <v>1777</v>
      </c>
      <c r="D38" s="19" t="s">
        <v>1753</v>
      </c>
      <c r="E38" s="20">
        <v>81.900000000000006</v>
      </c>
      <c r="F38" s="20">
        <v>81.900000000000006</v>
      </c>
      <c r="G38" s="20">
        <f t="shared" si="0"/>
        <v>0</v>
      </c>
      <c r="H38" s="21">
        <f t="shared" si="1"/>
        <v>1</v>
      </c>
      <c r="I38" s="20">
        <v>4.5</v>
      </c>
      <c r="J38" s="22">
        <f t="shared" si="2"/>
        <v>0.93516483516483517</v>
      </c>
      <c r="K38" s="20">
        <f t="shared" si="3"/>
        <v>368.55</v>
      </c>
      <c r="L38" s="20">
        <v>76.59</v>
      </c>
      <c r="M38" s="349">
        <f t="shared" si="4"/>
        <v>0.20781440781440783</v>
      </c>
    </row>
    <row r="39" spans="1:13" x14ac:dyDescent="0.25">
      <c r="A39" s="348" t="s">
        <v>1741</v>
      </c>
      <c r="B39" s="19" t="s">
        <v>19</v>
      </c>
      <c r="C39" s="19" t="s">
        <v>1777</v>
      </c>
      <c r="D39" s="19" t="s">
        <v>747</v>
      </c>
      <c r="E39" s="20">
        <v>50.7</v>
      </c>
      <c r="F39" s="20">
        <v>50.7</v>
      </c>
      <c r="G39" s="20">
        <f t="shared" si="0"/>
        <v>0</v>
      </c>
      <c r="H39" s="21">
        <f t="shared" si="1"/>
        <v>1</v>
      </c>
      <c r="I39" s="20">
        <v>4.5</v>
      </c>
      <c r="J39" s="22">
        <f t="shared" si="2"/>
        <v>2.5386587771203155</v>
      </c>
      <c r="K39" s="20">
        <f t="shared" si="3"/>
        <v>228.15</v>
      </c>
      <c r="L39" s="20">
        <v>128.71</v>
      </c>
      <c r="M39" s="349">
        <f t="shared" si="4"/>
        <v>0.56414639491562568</v>
      </c>
    </row>
    <row r="40" spans="1:13" x14ac:dyDescent="0.25">
      <c r="A40" s="348" t="s">
        <v>1741</v>
      </c>
      <c r="B40" s="19" t="s">
        <v>19</v>
      </c>
      <c r="C40" s="19" t="s">
        <v>1778</v>
      </c>
      <c r="D40" s="19" t="s">
        <v>1753</v>
      </c>
      <c r="E40" s="20">
        <v>73.400000000000006</v>
      </c>
      <c r="F40" s="20">
        <v>73.400000000000006</v>
      </c>
      <c r="G40" s="20">
        <f t="shared" si="0"/>
        <v>0</v>
      </c>
      <c r="H40" s="21">
        <f t="shared" si="1"/>
        <v>1</v>
      </c>
      <c r="I40" s="20">
        <v>4.5</v>
      </c>
      <c r="J40" s="22">
        <f t="shared" si="2"/>
        <v>1.5919346049046321</v>
      </c>
      <c r="K40" s="20">
        <f t="shared" si="3"/>
        <v>330.3</v>
      </c>
      <c r="L40" s="20">
        <v>116.84800000000001</v>
      </c>
      <c r="M40" s="349">
        <f t="shared" si="4"/>
        <v>0.35376324553436272</v>
      </c>
    </row>
    <row r="41" spans="1:13" x14ac:dyDescent="0.25">
      <c r="A41" s="348" t="s">
        <v>1741</v>
      </c>
      <c r="B41" s="19" t="s">
        <v>19</v>
      </c>
      <c r="C41" s="19" t="s">
        <v>1778</v>
      </c>
      <c r="D41" s="19" t="s">
        <v>21</v>
      </c>
      <c r="E41" s="20">
        <v>61</v>
      </c>
      <c r="F41" s="20">
        <v>61</v>
      </c>
      <c r="G41" s="20">
        <f t="shared" si="0"/>
        <v>0</v>
      </c>
      <c r="H41" s="21">
        <f t="shared" si="1"/>
        <v>1</v>
      </c>
      <c r="I41" s="20">
        <v>4.5</v>
      </c>
      <c r="J41" s="22">
        <f t="shared" si="2"/>
        <v>1.5279016393442626</v>
      </c>
      <c r="K41" s="20">
        <f t="shared" si="3"/>
        <v>274.5</v>
      </c>
      <c r="L41" s="20">
        <v>93.202000000000012</v>
      </c>
      <c r="M41" s="349">
        <f t="shared" si="4"/>
        <v>0.33953369763205832</v>
      </c>
    </row>
    <row r="42" spans="1:13" x14ac:dyDescent="0.25">
      <c r="A42" s="354" t="s">
        <v>1741</v>
      </c>
      <c r="B42" s="355" t="s">
        <v>19</v>
      </c>
      <c r="C42" s="355" t="s">
        <v>1779</v>
      </c>
      <c r="D42" s="355" t="s">
        <v>747</v>
      </c>
      <c r="E42" s="356">
        <v>28.3</v>
      </c>
      <c r="F42" s="356">
        <v>28.3</v>
      </c>
      <c r="G42" s="356">
        <f t="shared" si="0"/>
        <v>0</v>
      </c>
      <c r="H42" s="357">
        <f t="shared" si="1"/>
        <v>1</v>
      </c>
      <c r="I42" s="356">
        <v>4.5</v>
      </c>
      <c r="J42" s="358">
        <f t="shared" si="2"/>
        <v>2.9427561837455829</v>
      </c>
      <c r="K42" s="356">
        <f t="shared" si="3"/>
        <v>127.35000000000001</v>
      </c>
      <c r="L42" s="356">
        <v>83.28</v>
      </c>
      <c r="M42" s="359">
        <f t="shared" si="4"/>
        <v>0.65394581861012957</v>
      </c>
    </row>
    <row r="43" spans="1:13" x14ac:dyDescent="0.25">
      <c r="B43"/>
      <c r="L43" s="340">
        <f>SUM(L2:L42)</f>
        <v>4371.9200000003002</v>
      </c>
    </row>
    <row r="44" spans="1:13" x14ac:dyDescent="0.25">
      <c r="B44"/>
    </row>
    <row r="45" spans="1:13" x14ac:dyDescent="0.25">
      <c r="B45"/>
    </row>
    <row r="46" spans="1:13" x14ac:dyDescent="0.25">
      <c r="B46"/>
    </row>
    <row r="47" spans="1:13" x14ac:dyDescent="0.25">
      <c r="B47"/>
    </row>
    <row r="48" spans="1:13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1A58-BF29-4003-9913-B849529B3ED9}">
  <dimension ref="A1:I744"/>
  <sheetViews>
    <sheetView workbookViewId="0">
      <pane ySplit="8" topLeftCell="A724" activePane="bottomLeft" state="frozen"/>
      <selection pane="bottomLeft" activeCell="H749" sqref="H749"/>
    </sheetView>
  </sheetViews>
  <sheetFormatPr defaultRowHeight="15" x14ac:dyDescent="0.25"/>
  <cols>
    <col min="1" max="1" width="43.28515625" customWidth="1"/>
    <col min="2" max="2" width="11.5703125" customWidth="1"/>
    <col min="3" max="3" width="15.28515625" customWidth="1"/>
    <col min="4" max="4" width="16" customWidth="1"/>
    <col min="5" max="5" width="13.5703125" customWidth="1"/>
    <col min="6" max="7" width="9" customWidth="1"/>
    <col min="8" max="8" width="30.5703125" customWidth="1"/>
    <col min="9" max="9" width="12.7109375" customWidth="1"/>
    <col min="12" max="12" width="11.5703125" customWidth="1"/>
    <col min="13" max="13" width="15.28515625" customWidth="1"/>
    <col min="14" max="14" width="16" customWidth="1"/>
    <col min="15" max="15" width="13.5703125" customWidth="1"/>
    <col min="16" max="23" width="9" customWidth="1"/>
    <col min="267" max="267" width="48.5703125" customWidth="1"/>
    <col min="268" max="268" width="11.5703125" customWidth="1"/>
    <col min="269" max="269" width="15.28515625" customWidth="1"/>
    <col min="270" max="270" width="16" customWidth="1"/>
    <col min="271" max="271" width="13.5703125" customWidth="1"/>
    <col min="272" max="279" width="9" customWidth="1"/>
    <col min="523" max="523" width="48.5703125" customWidth="1"/>
    <col min="524" max="524" width="11.5703125" customWidth="1"/>
    <col min="525" max="525" width="15.28515625" customWidth="1"/>
    <col min="526" max="526" width="16" customWidth="1"/>
    <col min="527" max="527" width="13.5703125" customWidth="1"/>
    <col min="528" max="535" width="9" customWidth="1"/>
    <col min="779" max="779" width="48.5703125" customWidth="1"/>
    <col min="780" max="780" width="11.5703125" customWidth="1"/>
    <col min="781" max="781" width="15.28515625" customWidth="1"/>
    <col min="782" max="782" width="16" customWidth="1"/>
    <col min="783" max="783" width="13.5703125" customWidth="1"/>
    <col min="784" max="791" width="9" customWidth="1"/>
    <col min="1035" max="1035" width="48.5703125" customWidth="1"/>
    <col min="1036" max="1036" width="11.5703125" customWidth="1"/>
    <col min="1037" max="1037" width="15.28515625" customWidth="1"/>
    <col min="1038" max="1038" width="16" customWidth="1"/>
    <col min="1039" max="1039" width="13.5703125" customWidth="1"/>
    <col min="1040" max="1047" width="9" customWidth="1"/>
    <col min="1291" max="1291" width="48.5703125" customWidth="1"/>
    <col min="1292" max="1292" width="11.5703125" customWidth="1"/>
    <col min="1293" max="1293" width="15.28515625" customWidth="1"/>
    <col min="1294" max="1294" width="16" customWidth="1"/>
    <col min="1295" max="1295" width="13.5703125" customWidth="1"/>
    <col min="1296" max="1303" width="9" customWidth="1"/>
    <col min="1547" max="1547" width="48.5703125" customWidth="1"/>
    <col min="1548" max="1548" width="11.5703125" customWidth="1"/>
    <col min="1549" max="1549" width="15.28515625" customWidth="1"/>
    <col min="1550" max="1550" width="16" customWidth="1"/>
    <col min="1551" max="1551" width="13.5703125" customWidth="1"/>
    <col min="1552" max="1559" width="9" customWidth="1"/>
    <col min="1803" max="1803" width="48.5703125" customWidth="1"/>
    <col min="1804" max="1804" width="11.5703125" customWidth="1"/>
    <col min="1805" max="1805" width="15.28515625" customWidth="1"/>
    <col min="1806" max="1806" width="16" customWidth="1"/>
    <col min="1807" max="1807" width="13.5703125" customWidth="1"/>
    <col min="1808" max="1815" width="9" customWidth="1"/>
    <col min="2059" max="2059" width="48.5703125" customWidth="1"/>
    <col min="2060" max="2060" width="11.5703125" customWidth="1"/>
    <col min="2061" max="2061" width="15.28515625" customWidth="1"/>
    <col min="2062" max="2062" width="16" customWidth="1"/>
    <col min="2063" max="2063" width="13.5703125" customWidth="1"/>
    <col min="2064" max="2071" width="9" customWidth="1"/>
    <col min="2315" max="2315" width="48.5703125" customWidth="1"/>
    <col min="2316" max="2316" width="11.5703125" customWidth="1"/>
    <col min="2317" max="2317" width="15.28515625" customWidth="1"/>
    <col min="2318" max="2318" width="16" customWidth="1"/>
    <col min="2319" max="2319" width="13.5703125" customWidth="1"/>
    <col min="2320" max="2327" width="9" customWidth="1"/>
    <col min="2571" max="2571" width="48.5703125" customWidth="1"/>
    <col min="2572" max="2572" width="11.5703125" customWidth="1"/>
    <col min="2573" max="2573" width="15.28515625" customWidth="1"/>
    <col min="2574" max="2574" width="16" customWidth="1"/>
    <col min="2575" max="2575" width="13.5703125" customWidth="1"/>
    <col min="2576" max="2583" width="9" customWidth="1"/>
    <col min="2827" max="2827" width="48.5703125" customWidth="1"/>
    <col min="2828" max="2828" width="11.5703125" customWidth="1"/>
    <col min="2829" max="2829" width="15.28515625" customWidth="1"/>
    <col min="2830" max="2830" width="16" customWidth="1"/>
    <col min="2831" max="2831" width="13.5703125" customWidth="1"/>
    <col min="2832" max="2839" width="9" customWidth="1"/>
    <col min="3083" max="3083" width="48.5703125" customWidth="1"/>
    <col min="3084" max="3084" width="11.5703125" customWidth="1"/>
    <col min="3085" max="3085" width="15.28515625" customWidth="1"/>
    <col min="3086" max="3086" width="16" customWidth="1"/>
    <col min="3087" max="3087" width="13.5703125" customWidth="1"/>
    <col min="3088" max="3095" width="9" customWidth="1"/>
    <col min="3339" max="3339" width="48.5703125" customWidth="1"/>
    <col min="3340" max="3340" width="11.5703125" customWidth="1"/>
    <col min="3341" max="3341" width="15.28515625" customWidth="1"/>
    <col min="3342" max="3342" width="16" customWidth="1"/>
    <col min="3343" max="3343" width="13.5703125" customWidth="1"/>
    <col min="3344" max="3351" width="9" customWidth="1"/>
    <col min="3595" max="3595" width="48.5703125" customWidth="1"/>
    <col min="3596" max="3596" width="11.5703125" customWidth="1"/>
    <col min="3597" max="3597" width="15.28515625" customWidth="1"/>
    <col min="3598" max="3598" width="16" customWidth="1"/>
    <col min="3599" max="3599" width="13.5703125" customWidth="1"/>
    <col min="3600" max="3607" width="9" customWidth="1"/>
    <col min="3851" max="3851" width="48.5703125" customWidth="1"/>
    <col min="3852" max="3852" width="11.5703125" customWidth="1"/>
    <col min="3853" max="3853" width="15.28515625" customWidth="1"/>
    <col min="3854" max="3854" width="16" customWidth="1"/>
    <col min="3855" max="3855" width="13.5703125" customWidth="1"/>
    <col min="3856" max="3863" width="9" customWidth="1"/>
    <col min="4107" max="4107" width="48.5703125" customWidth="1"/>
    <col min="4108" max="4108" width="11.5703125" customWidth="1"/>
    <col min="4109" max="4109" width="15.28515625" customWidth="1"/>
    <col min="4110" max="4110" width="16" customWidth="1"/>
    <col min="4111" max="4111" width="13.5703125" customWidth="1"/>
    <col min="4112" max="4119" width="9" customWidth="1"/>
    <col min="4363" max="4363" width="48.5703125" customWidth="1"/>
    <col min="4364" max="4364" width="11.5703125" customWidth="1"/>
    <col min="4365" max="4365" width="15.28515625" customWidth="1"/>
    <col min="4366" max="4366" width="16" customWidth="1"/>
    <col min="4367" max="4367" width="13.5703125" customWidth="1"/>
    <col min="4368" max="4375" width="9" customWidth="1"/>
    <col min="4619" max="4619" width="48.5703125" customWidth="1"/>
    <col min="4620" max="4620" width="11.5703125" customWidth="1"/>
    <col min="4621" max="4621" width="15.28515625" customWidth="1"/>
    <col min="4622" max="4622" width="16" customWidth="1"/>
    <col min="4623" max="4623" width="13.5703125" customWidth="1"/>
    <col min="4624" max="4631" width="9" customWidth="1"/>
    <col min="4875" max="4875" width="48.5703125" customWidth="1"/>
    <col min="4876" max="4876" width="11.5703125" customWidth="1"/>
    <col min="4877" max="4877" width="15.28515625" customWidth="1"/>
    <col min="4878" max="4878" width="16" customWidth="1"/>
    <col min="4879" max="4879" width="13.5703125" customWidth="1"/>
    <col min="4880" max="4887" width="9" customWidth="1"/>
    <col min="5131" max="5131" width="48.5703125" customWidth="1"/>
    <col min="5132" max="5132" width="11.5703125" customWidth="1"/>
    <col min="5133" max="5133" width="15.28515625" customWidth="1"/>
    <col min="5134" max="5134" width="16" customWidth="1"/>
    <col min="5135" max="5135" width="13.5703125" customWidth="1"/>
    <col min="5136" max="5143" width="9" customWidth="1"/>
    <col min="5387" max="5387" width="48.5703125" customWidth="1"/>
    <col min="5388" max="5388" width="11.5703125" customWidth="1"/>
    <col min="5389" max="5389" width="15.28515625" customWidth="1"/>
    <col min="5390" max="5390" width="16" customWidth="1"/>
    <col min="5391" max="5391" width="13.5703125" customWidth="1"/>
    <col min="5392" max="5399" width="9" customWidth="1"/>
    <col min="5643" max="5643" width="48.5703125" customWidth="1"/>
    <col min="5644" max="5644" width="11.5703125" customWidth="1"/>
    <col min="5645" max="5645" width="15.28515625" customWidth="1"/>
    <col min="5646" max="5646" width="16" customWidth="1"/>
    <col min="5647" max="5647" width="13.5703125" customWidth="1"/>
    <col min="5648" max="5655" width="9" customWidth="1"/>
    <col min="5899" max="5899" width="48.5703125" customWidth="1"/>
    <col min="5900" max="5900" width="11.5703125" customWidth="1"/>
    <col min="5901" max="5901" width="15.28515625" customWidth="1"/>
    <col min="5902" max="5902" width="16" customWidth="1"/>
    <col min="5903" max="5903" width="13.5703125" customWidth="1"/>
    <col min="5904" max="5911" width="9" customWidth="1"/>
    <col min="6155" max="6155" width="48.5703125" customWidth="1"/>
    <col min="6156" max="6156" width="11.5703125" customWidth="1"/>
    <col min="6157" max="6157" width="15.28515625" customWidth="1"/>
    <col min="6158" max="6158" width="16" customWidth="1"/>
    <col min="6159" max="6159" width="13.5703125" customWidth="1"/>
    <col min="6160" max="6167" width="9" customWidth="1"/>
    <col min="6411" max="6411" width="48.5703125" customWidth="1"/>
    <col min="6412" max="6412" width="11.5703125" customWidth="1"/>
    <col min="6413" max="6413" width="15.28515625" customWidth="1"/>
    <col min="6414" max="6414" width="16" customWidth="1"/>
    <col min="6415" max="6415" width="13.5703125" customWidth="1"/>
    <col min="6416" max="6423" width="9" customWidth="1"/>
    <col min="6667" max="6667" width="48.5703125" customWidth="1"/>
    <col min="6668" max="6668" width="11.5703125" customWidth="1"/>
    <col min="6669" max="6669" width="15.28515625" customWidth="1"/>
    <col min="6670" max="6670" width="16" customWidth="1"/>
    <col min="6671" max="6671" width="13.5703125" customWidth="1"/>
    <col min="6672" max="6679" width="9" customWidth="1"/>
    <col min="6923" max="6923" width="48.5703125" customWidth="1"/>
    <col min="6924" max="6924" width="11.5703125" customWidth="1"/>
    <col min="6925" max="6925" width="15.28515625" customWidth="1"/>
    <col min="6926" max="6926" width="16" customWidth="1"/>
    <col min="6927" max="6927" width="13.5703125" customWidth="1"/>
    <col min="6928" max="6935" width="9" customWidth="1"/>
    <col min="7179" max="7179" width="48.5703125" customWidth="1"/>
    <col min="7180" max="7180" width="11.5703125" customWidth="1"/>
    <col min="7181" max="7181" width="15.28515625" customWidth="1"/>
    <col min="7182" max="7182" width="16" customWidth="1"/>
    <col min="7183" max="7183" width="13.5703125" customWidth="1"/>
    <col min="7184" max="7191" width="9" customWidth="1"/>
    <col min="7435" max="7435" width="48.5703125" customWidth="1"/>
    <col min="7436" max="7436" width="11.5703125" customWidth="1"/>
    <col min="7437" max="7437" width="15.28515625" customWidth="1"/>
    <col min="7438" max="7438" width="16" customWidth="1"/>
    <col min="7439" max="7439" width="13.5703125" customWidth="1"/>
    <col min="7440" max="7447" width="9" customWidth="1"/>
    <col min="7691" max="7691" width="48.5703125" customWidth="1"/>
    <col min="7692" max="7692" width="11.5703125" customWidth="1"/>
    <col min="7693" max="7693" width="15.28515625" customWidth="1"/>
    <col min="7694" max="7694" width="16" customWidth="1"/>
    <col min="7695" max="7695" width="13.5703125" customWidth="1"/>
    <col min="7696" max="7703" width="9" customWidth="1"/>
    <col min="7947" max="7947" width="48.5703125" customWidth="1"/>
    <col min="7948" max="7948" width="11.5703125" customWidth="1"/>
    <col min="7949" max="7949" width="15.28515625" customWidth="1"/>
    <col min="7950" max="7950" width="16" customWidth="1"/>
    <col min="7951" max="7951" width="13.5703125" customWidth="1"/>
    <col min="7952" max="7959" width="9" customWidth="1"/>
    <col min="8203" max="8203" width="48.5703125" customWidth="1"/>
    <col min="8204" max="8204" width="11.5703125" customWidth="1"/>
    <col min="8205" max="8205" width="15.28515625" customWidth="1"/>
    <col min="8206" max="8206" width="16" customWidth="1"/>
    <col min="8207" max="8207" width="13.5703125" customWidth="1"/>
    <col min="8208" max="8215" width="9" customWidth="1"/>
    <col min="8459" max="8459" width="48.5703125" customWidth="1"/>
    <col min="8460" max="8460" width="11.5703125" customWidth="1"/>
    <col min="8461" max="8461" width="15.28515625" customWidth="1"/>
    <col min="8462" max="8462" width="16" customWidth="1"/>
    <col min="8463" max="8463" width="13.5703125" customWidth="1"/>
    <col min="8464" max="8471" width="9" customWidth="1"/>
    <col min="8715" max="8715" width="48.5703125" customWidth="1"/>
    <col min="8716" max="8716" width="11.5703125" customWidth="1"/>
    <col min="8717" max="8717" width="15.28515625" customWidth="1"/>
    <col min="8718" max="8718" width="16" customWidth="1"/>
    <col min="8719" max="8719" width="13.5703125" customWidth="1"/>
    <col min="8720" max="8727" width="9" customWidth="1"/>
    <col min="8971" max="8971" width="48.5703125" customWidth="1"/>
    <col min="8972" max="8972" width="11.5703125" customWidth="1"/>
    <col min="8973" max="8973" width="15.28515625" customWidth="1"/>
    <col min="8974" max="8974" width="16" customWidth="1"/>
    <col min="8975" max="8975" width="13.5703125" customWidth="1"/>
    <col min="8976" max="8983" width="9" customWidth="1"/>
    <col min="9227" max="9227" width="48.5703125" customWidth="1"/>
    <col min="9228" max="9228" width="11.5703125" customWidth="1"/>
    <col min="9229" max="9229" width="15.28515625" customWidth="1"/>
    <col min="9230" max="9230" width="16" customWidth="1"/>
    <col min="9231" max="9231" width="13.5703125" customWidth="1"/>
    <col min="9232" max="9239" width="9" customWidth="1"/>
    <col min="9483" max="9483" width="48.5703125" customWidth="1"/>
    <col min="9484" max="9484" width="11.5703125" customWidth="1"/>
    <col min="9485" max="9485" width="15.28515625" customWidth="1"/>
    <col min="9486" max="9486" width="16" customWidth="1"/>
    <col min="9487" max="9487" width="13.5703125" customWidth="1"/>
    <col min="9488" max="9495" width="9" customWidth="1"/>
    <col min="9739" max="9739" width="48.5703125" customWidth="1"/>
    <col min="9740" max="9740" width="11.5703125" customWidth="1"/>
    <col min="9741" max="9741" width="15.28515625" customWidth="1"/>
    <col min="9742" max="9742" width="16" customWidth="1"/>
    <col min="9743" max="9743" width="13.5703125" customWidth="1"/>
    <col min="9744" max="9751" width="9" customWidth="1"/>
    <col min="9995" max="9995" width="48.5703125" customWidth="1"/>
    <col min="9996" max="9996" width="11.5703125" customWidth="1"/>
    <col min="9997" max="9997" width="15.28515625" customWidth="1"/>
    <col min="9998" max="9998" width="16" customWidth="1"/>
    <col min="9999" max="9999" width="13.5703125" customWidth="1"/>
    <col min="10000" max="10007" width="9" customWidth="1"/>
    <col min="10251" max="10251" width="48.5703125" customWidth="1"/>
    <col min="10252" max="10252" width="11.5703125" customWidth="1"/>
    <col min="10253" max="10253" width="15.28515625" customWidth="1"/>
    <col min="10254" max="10254" width="16" customWidth="1"/>
    <col min="10255" max="10255" width="13.5703125" customWidth="1"/>
    <col min="10256" max="10263" width="9" customWidth="1"/>
    <col min="10507" max="10507" width="48.5703125" customWidth="1"/>
    <col min="10508" max="10508" width="11.5703125" customWidth="1"/>
    <col min="10509" max="10509" width="15.28515625" customWidth="1"/>
    <col min="10510" max="10510" width="16" customWidth="1"/>
    <col min="10511" max="10511" width="13.5703125" customWidth="1"/>
    <col min="10512" max="10519" width="9" customWidth="1"/>
    <col min="10763" max="10763" width="48.5703125" customWidth="1"/>
    <col min="10764" max="10764" width="11.5703125" customWidth="1"/>
    <col min="10765" max="10765" width="15.28515625" customWidth="1"/>
    <col min="10766" max="10766" width="16" customWidth="1"/>
    <col min="10767" max="10767" width="13.5703125" customWidth="1"/>
    <col min="10768" max="10775" width="9" customWidth="1"/>
    <col min="11019" max="11019" width="48.5703125" customWidth="1"/>
    <col min="11020" max="11020" width="11.5703125" customWidth="1"/>
    <col min="11021" max="11021" width="15.28515625" customWidth="1"/>
    <col min="11022" max="11022" width="16" customWidth="1"/>
    <col min="11023" max="11023" width="13.5703125" customWidth="1"/>
    <col min="11024" max="11031" width="9" customWidth="1"/>
    <col min="11275" max="11275" width="48.5703125" customWidth="1"/>
    <col min="11276" max="11276" width="11.5703125" customWidth="1"/>
    <col min="11277" max="11277" width="15.28515625" customWidth="1"/>
    <col min="11278" max="11278" width="16" customWidth="1"/>
    <col min="11279" max="11279" width="13.5703125" customWidth="1"/>
    <col min="11280" max="11287" width="9" customWidth="1"/>
    <col min="11531" max="11531" width="48.5703125" customWidth="1"/>
    <col min="11532" max="11532" width="11.5703125" customWidth="1"/>
    <col min="11533" max="11533" width="15.28515625" customWidth="1"/>
    <col min="11534" max="11534" width="16" customWidth="1"/>
    <col min="11535" max="11535" width="13.5703125" customWidth="1"/>
    <col min="11536" max="11543" width="9" customWidth="1"/>
    <col min="11787" max="11787" width="48.5703125" customWidth="1"/>
    <col min="11788" max="11788" width="11.5703125" customWidth="1"/>
    <col min="11789" max="11789" width="15.28515625" customWidth="1"/>
    <col min="11790" max="11790" width="16" customWidth="1"/>
    <col min="11791" max="11791" width="13.5703125" customWidth="1"/>
    <col min="11792" max="11799" width="9" customWidth="1"/>
    <col min="12043" max="12043" width="48.5703125" customWidth="1"/>
    <col min="12044" max="12044" width="11.5703125" customWidth="1"/>
    <col min="12045" max="12045" width="15.28515625" customWidth="1"/>
    <col min="12046" max="12046" width="16" customWidth="1"/>
    <col min="12047" max="12047" width="13.5703125" customWidth="1"/>
    <col min="12048" max="12055" width="9" customWidth="1"/>
    <col min="12299" max="12299" width="48.5703125" customWidth="1"/>
    <col min="12300" max="12300" width="11.5703125" customWidth="1"/>
    <col min="12301" max="12301" width="15.28515625" customWidth="1"/>
    <col min="12302" max="12302" width="16" customWidth="1"/>
    <col min="12303" max="12303" width="13.5703125" customWidth="1"/>
    <col min="12304" max="12311" width="9" customWidth="1"/>
    <col min="12555" max="12555" width="48.5703125" customWidth="1"/>
    <col min="12556" max="12556" width="11.5703125" customWidth="1"/>
    <col min="12557" max="12557" width="15.28515625" customWidth="1"/>
    <col min="12558" max="12558" width="16" customWidth="1"/>
    <col min="12559" max="12559" width="13.5703125" customWidth="1"/>
    <col min="12560" max="12567" width="9" customWidth="1"/>
    <col min="12811" max="12811" width="48.5703125" customWidth="1"/>
    <col min="12812" max="12812" width="11.5703125" customWidth="1"/>
    <col min="12813" max="12813" width="15.28515625" customWidth="1"/>
    <col min="12814" max="12814" width="16" customWidth="1"/>
    <col min="12815" max="12815" width="13.5703125" customWidth="1"/>
    <col min="12816" max="12823" width="9" customWidth="1"/>
    <col min="13067" max="13067" width="48.5703125" customWidth="1"/>
    <col min="13068" max="13068" width="11.5703125" customWidth="1"/>
    <col min="13069" max="13069" width="15.28515625" customWidth="1"/>
    <col min="13070" max="13070" width="16" customWidth="1"/>
    <col min="13071" max="13071" width="13.5703125" customWidth="1"/>
    <col min="13072" max="13079" width="9" customWidth="1"/>
    <col min="13323" max="13323" width="48.5703125" customWidth="1"/>
    <col min="13324" max="13324" width="11.5703125" customWidth="1"/>
    <col min="13325" max="13325" width="15.28515625" customWidth="1"/>
    <col min="13326" max="13326" width="16" customWidth="1"/>
    <col min="13327" max="13327" width="13.5703125" customWidth="1"/>
    <col min="13328" max="13335" width="9" customWidth="1"/>
    <col min="13579" max="13579" width="48.5703125" customWidth="1"/>
    <col min="13580" max="13580" width="11.5703125" customWidth="1"/>
    <col min="13581" max="13581" width="15.28515625" customWidth="1"/>
    <col min="13582" max="13582" width="16" customWidth="1"/>
    <col min="13583" max="13583" width="13.5703125" customWidth="1"/>
    <col min="13584" max="13591" width="9" customWidth="1"/>
    <col min="13835" max="13835" width="48.5703125" customWidth="1"/>
    <col min="13836" max="13836" width="11.5703125" customWidth="1"/>
    <col min="13837" max="13837" width="15.28515625" customWidth="1"/>
    <col min="13838" max="13838" width="16" customWidth="1"/>
    <col min="13839" max="13839" width="13.5703125" customWidth="1"/>
    <col min="13840" max="13847" width="9" customWidth="1"/>
    <col min="14091" max="14091" width="48.5703125" customWidth="1"/>
    <col min="14092" max="14092" width="11.5703125" customWidth="1"/>
    <col min="14093" max="14093" width="15.28515625" customWidth="1"/>
    <col min="14094" max="14094" width="16" customWidth="1"/>
    <col min="14095" max="14095" width="13.5703125" customWidth="1"/>
    <col min="14096" max="14103" width="9" customWidth="1"/>
    <col min="14347" max="14347" width="48.5703125" customWidth="1"/>
    <col min="14348" max="14348" width="11.5703125" customWidth="1"/>
    <col min="14349" max="14349" width="15.28515625" customWidth="1"/>
    <col min="14350" max="14350" width="16" customWidth="1"/>
    <col min="14351" max="14351" width="13.5703125" customWidth="1"/>
    <col min="14352" max="14359" width="9" customWidth="1"/>
    <col min="14603" max="14603" width="48.5703125" customWidth="1"/>
    <col min="14604" max="14604" width="11.5703125" customWidth="1"/>
    <col min="14605" max="14605" width="15.28515625" customWidth="1"/>
    <col min="14606" max="14606" width="16" customWidth="1"/>
    <col min="14607" max="14607" width="13.5703125" customWidth="1"/>
    <col min="14608" max="14615" width="9" customWidth="1"/>
    <col min="14859" max="14859" width="48.5703125" customWidth="1"/>
    <col min="14860" max="14860" width="11.5703125" customWidth="1"/>
    <col min="14861" max="14861" width="15.28515625" customWidth="1"/>
    <col min="14862" max="14862" width="16" customWidth="1"/>
    <col min="14863" max="14863" width="13.5703125" customWidth="1"/>
    <col min="14864" max="14871" width="9" customWidth="1"/>
    <col min="15115" max="15115" width="48.5703125" customWidth="1"/>
    <col min="15116" max="15116" width="11.5703125" customWidth="1"/>
    <col min="15117" max="15117" width="15.28515625" customWidth="1"/>
    <col min="15118" max="15118" width="16" customWidth="1"/>
    <col min="15119" max="15119" width="13.5703125" customWidth="1"/>
    <col min="15120" max="15127" width="9" customWidth="1"/>
    <col min="15371" max="15371" width="48.5703125" customWidth="1"/>
    <col min="15372" max="15372" width="11.5703125" customWidth="1"/>
    <col min="15373" max="15373" width="15.28515625" customWidth="1"/>
    <col min="15374" max="15374" width="16" customWidth="1"/>
    <col min="15375" max="15375" width="13.5703125" customWidth="1"/>
    <col min="15376" max="15383" width="9" customWidth="1"/>
    <col min="15627" max="15627" width="48.5703125" customWidth="1"/>
    <col min="15628" max="15628" width="11.5703125" customWidth="1"/>
    <col min="15629" max="15629" width="15.28515625" customWidth="1"/>
    <col min="15630" max="15630" width="16" customWidth="1"/>
    <col min="15631" max="15631" width="13.5703125" customWidth="1"/>
    <col min="15632" max="15639" width="9" customWidth="1"/>
    <col min="15883" max="15883" width="48.5703125" customWidth="1"/>
    <col min="15884" max="15884" width="11.5703125" customWidth="1"/>
    <col min="15885" max="15885" width="15.28515625" customWidth="1"/>
    <col min="15886" max="15886" width="16" customWidth="1"/>
    <col min="15887" max="15887" width="13.5703125" customWidth="1"/>
    <col min="15888" max="15895" width="9" customWidth="1"/>
  </cols>
  <sheetData>
    <row r="1" spans="1:9" s="98" customFormat="1" ht="3" customHeight="1" x14ac:dyDescent="0.25"/>
    <row r="2" spans="1:9" s="98" customFormat="1" ht="12.75" customHeight="1" x14ac:dyDescent="0.25">
      <c r="A2" s="565" t="s">
        <v>2937</v>
      </c>
      <c r="B2" s="565"/>
      <c r="C2" s="565"/>
      <c r="D2" s="565"/>
      <c r="E2" s="565"/>
      <c r="F2" s="105"/>
      <c r="G2" s="105"/>
      <c r="H2" s="105"/>
      <c r="I2" s="105"/>
    </row>
    <row r="3" spans="1:9" s="98" customFormat="1" ht="3" customHeight="1" x14ac:dyDescent="0.25"/>
    <row r="4" spans="1:9" s="98" customFormat="1" ht="14.25" customHeight="1" x14ac:dyDescent="0.25">
      <c r="A4" s="566" t="s">
        <v>2938</v>
      </c>
      <c r="B4" s="566"/>
      <c r="C4" s="566"/>
      <c r="D4" s="566"/>
      <c r="E4" s="566"/>
    </row>
    <row r="5" spans="1:9" s="98" customFormat="1" ht="18.75" customHeight="1" x14ac:dyDescent="0.25">
      <c r="A5" s="107" t="s">
        <v>824</v>
      </c>
      <c r="B5" s="567" t="s">
        <v>86</v>
      </c>
      <c r="C5" s="567" t="s">
        <v>825</v>
      </c>
      <c r="D5" s="567" t="s">
        <v>826</v>
      </c>
      <c r="E5" s="567" t="s">
        <v>827</v>
      </c>
    </row>
    <row r="6" spans="1:9" ht="12.75" customHeight="1" x14ac:dyDescent="0.25">
      <c r="A6" s="107" t="s">
        <v>828</v>
      </c>
      <c r="B6" s="568"/>
      <c r="C6" s="568"/>
      <c r="D6" s="568"/>
      <c r="E6" s="568"/>
    </row>
    <row r="7" spans="1:9" ht="12.75" customHeight="1" x14ac:dyDescent="0.25">
      <c r="A7" s="107" t="s">
        <v>85</v>
      </c>
      <c r="B7" s="568"/>
      <c r="C7" s="568"/>
      <c r="D7" s="568"/>
      <c r="E7" s="568"/>
    </row>
    <row r="8" spans="1:9" ht="12.75" customHeight="1" x14ac:dyDescent="0.25">
      <c r="A8" s="107" t="s">
        <v>66</v>
      </c>
      <c r="B8" s="569"/>
      <c r="C8" s="569"/>
      <c r="D8" s="569"/>
      <c r="E8" s="569"/>
    </row>
    <row r="9" spans="1:9" ht="14.45" customHeight="1" x14ac:dyDescent="0.25">
      <c r="A9" s="449" t="s">
        <v>2939</v>
      </c>
      <c r="B9" s="450">
        <v>4176</v>
      </c>
      <c r="C9" s="451"/>
      <c r="D9" s="451"/>
      <c r="E9" s="452"/>
    </row>
    <row r="10" spans="1:9" ht="14.45" customHeight="1" x14ac:dyDescent="0.25">
      <c r="A10" s="453" t="s">
        <v>2940</v>
      </c>
      <c r="B10" s="450">
        <v>2860024.2</v>
      </c>
      <c r="C10" s="451"/>
      <c r="D10" s="451"/>
      <c r="E10" s="452"/>
      <c r="H10" s="388" t="s">
        <v>2934</v>
      </c>
    </row>
    <row r="11" spans="1:9" ht="14.45" customHeight="1" x14ac:dyDescent="0.25">
      <c r="A11" s="453" t="s">
        <v>102</v>
      </c>
      <c r="B11" s="450">
        <v>2860024.2</v>
      </c>
      <c r="C11" s="451"/>
      <c r="D11" s="454">
        <v>54.6</v>
      </c>
      <c r="E11" s="452"/>
      <c r="H11" t="s">
        <v>865</v>
      </c>
      <c r="I11" t="s">
        <v>65</v>
      </c>
    </row>
    <row r="12" spans="1:9" ht="14.45" customHeight="1" x14ac:dyDescent="0.25">
      <c r="A12" s="115" t="s">
        <v>3002</v>
      </c>
      <c r="B12" s="112">
        <v>3740.8</v>
      </c>
      <c r="C12" s="113"/>
      <c r="D12" s="116">
        <v>48</v>
      </c>
      <c r="E12" s="117"/>
      <c r="H12">
        <v>70</v>
      </c>
      <c r="I12" s="99">
        <f>D12</f>
        <v>48</v>
      </c>
    </row>
    <row r="13" spans="1:9" ht="14.45" customHeight="1" x14ac:dyDescent="0.25">
      <c r="A13" s="115" t="s">
        <v>3239</v>
      </c>
      <c r="B13" s="112">
        <v>11911.9</v>
      </c>
      <c r="C13" s="113"/>
      <c r="D13" s="116">
        <v>59</v>
      </c>
      <c r="E13" s="117"/>
      <c r="H13">
        <v>145</v>
      </c>
      <c r="I13" s="99">
        <f t="shared" ref="I13:I76" si="0">D13</f>
        <v>59</v>
      </c>
    </row>
    <row r="14" spans="1:9" ht="14.45" customHeight="1" x14ac:dyDescent="0.25">
      <c r="A14" s="115" t="s">
        <v>3895</v>
      </c>
      <c r="B14" s="112">
        <v>3977.5</v>
      </c>
      <c r="C14" s="113"/>
      <c r="D14" s="116">
        <v>57</v>
      </c>
      <c r="E14" s="117"/>
      <c r="H14">
        <v>672</v>
      </c>
      <c r="I14" s="99">
        <f t="shared" si="0"/>
        <v>57</v>
      </c>
    </row>
    <row r="15" spans="1:9" ht="14.45" customHeight="1" x14ac:dyDescent="0.25">
      <c r="A15" s="115" t="s">
        <v>3001</v>
      </c>
      <c r="B15" s="112">
        <v>10827.2</v>
      </c>
      <c r="C15" s="113"/>
      <c r="D15" s="116">
        <v>48</v>
      </c>
      <c r="E15" s="117"/>
      <c r="H15">
        <v>69</v>
      </c>
      <c r="I15" s="99">
        <f t="shared" si="0"/>
        <v>48</v>
      </c>
    </row>
    <row r="16" spans="1:9" ht="14.45" customHeight="1" x14ac:dyDescent="0.25">
      <c r="A16" s="115" t="s">
        <v>3308</v>
      </c>
      <c r="B16" s="112">
        <v>1856.4</v>
      </c>
      <c r="C16" s="113"/>
      <c r="D16" s="116">
        <v>60</v>
      </c>
      <c r="E16" s="117"/>
      <c r="H16">
        <v>211</v>
      </c>
      <c r="I16" s="99">
        <f t="shared" si="0"/>
        <v>60</v>
      </c>
    </row>
    <row r="17" spans="1:9" ht="14.45" customHeight="1" x14ac:dyDescent="0.25">
      <c r="A17" s="115" t="s">
        <v>3519</v>
      </c>
      <c r="B17" s="112">
        <v>11499</v>
      </c>
      <c r="C17" s="113"/>
      <c r="D17" s="116">
        <v>44</v>
      </c>
      <c r="E17" s="117"/>
      <c r="H17">
        <v>281</v>
      </c>
      <c r="I17" s="99">
        <f t="shared" si="0"/>
        <v>44</v>
      </c>
    </row>
    <row r="18" spans="1:9" ht="14.45" customHeight="1" x14ac:dyDescent="0.25">
      <c r="A18" s="115" t="s">
        <v>3896</v>
      </c>
      <c r="B18" s="112">
        <v>10683.8</v>
      </c>
      <c r="C18" s="113"/>
      <c r="D18" s="116">
        <v>59</v>
      </c>
      <c r="E18" s="117"/>
      <c r="H18">
        <v>660</v>
      </c>
      <c r="I18" s="99">
        <f t="shared" si="0"/>
        <v>59</v>
      </c>
    </row>
    <row r="19" spans="1:9" ht="14.45" customHeight="1" x14ac:dyDescent="0.25">
      <c r="A19" s="115" t="s">
        <v>2941</v>
      </c>
      <c r="B19" s="112">
        <v>10907.4</v>
      </c>
      <c r="C19" s="113"/>
      <c r="D19" s="116">
        <v>52</v>
      </c>
      <c r="E19" s="117"/>
      <c r="H19">
        <v>20</v>
      </c>
      <c r="I19" s="99">
        <f t="shared" si="0"/>
        <v>52</v>
      </c>
    </row>
    <row r="20" spans="1:9" ht="14.45" customHeight="1" x14ac:dyDescent="0.25">
      <c r="A20" s="115" t="s">
        <v>3510</v>
      </c>
      <c r="B20" s="112">
        <v>11283</v>
      </c>
      <c r="C20" s="113"/>
      <c r="D20" s="116">
        <v>50</v>
      </c>
      <c r="E20" s="117"/>
      <c r="H20">
        <v>271</v>
      </c>
      <c r="I20" s="99">
        <f t="shared" si="0"/>
        <v>50</v>
      </c>
    </row>
    <row r="21" spans="1:9" ht="14.45" customHeight="1" x14ac:dyDescent="0.25">
      <c r="A21" s="115" t="s">
        <v>2994</v>
      </c>
      <c r="B21" s="112">
        <v>3866.5</v>
      </c>
      <c r="C21" s="113"/>
      <c r="D21" s="116">
        <v>57</v>
      </c>
      <c r="E21" s="117"/>
      <c r="H21">
        <v>62</v>
      </c>
      <c r="I21" s="99">
        <f t="shared" si="0"/>
        <v>57</v>
      </c>
    </row>
    <row r="22" spans="1:9" ht="14.45" customHeight="1" x14ac:dyDescent="0.25">
      <c r="A22" s="115" t="s">
        <v>3385</v>
      </c>
      <c r="B22" s="112">
        <v>11197.3</v>
      </c>
      <c r="C22" s="113"/>
      <c r="D22" s="116">
        <v>56</v>
      </c>
      <c r="E22" s="117"/>
      <c r="H22">
        <v>278</v>
      </c>
      <c r="I22" s="99">
        <f t="shared" si="0"/>
        <v>56</v>
      </c>
    </row>
    <row r="23" spans="1:9" ht="14.45" customHeight="1" x14ac:dyDescent="0.25">
      <c r="A23" s="115" t="s">
        <v>3269</v>
      </c>
      <c r="B23" s="112">
        <v>3859.5</v>
      </c>
      <c r="C23" s="113"/>
      <c r="D23" s="116">
        <v>60</v>
      </c>
      <c r="E23" s="117"/>
      <c r="H23">
        <v>175</v>
      </c>
      <c r="I23" s="99">
        <f t="shared" si="0"/>
        <v>60</v>
      </c>
    </row>
    <row r="24" spans="1:9" ht="14.45" customHeight="1" x14ac:dyDescent="0.25">
      <c r="A24" s="115" t="s">
        <v>3284</v>
      </c>
      <c r="B24" s="112">
        <v>11192</v>
      </c>
      <c r="C24" s="113"/>
      <c r="D24" s="116">
        <v>57</v>
      </c>
      <c r="E24" s="117"/>
      <c r="H24">
        <v>189</v>
      </c>
      <c r="I24" s="99">
        <f t="shared" si="0"/>
        <v>57</v>
      </c>
    </row>
    <row r="25" spans="1:9" ht="14.45" customHeight="1" x14ac:dyDescent="0.25">
      <c r="A25" s="115" t="s">
        <v>2942</v>
      </c>
      <c r="B25" s="112">
        <v>11418</v>
      </c>
      <c r="C25" s="113"/>
      <c r="D25" s="116">
        <v>53</v>
      </c>
      <c r="E25" s="117"/>
      <c r="H25">
        <v>30</v>
      </c>
      <c r="I25" s="99">
        <f t="shared" si="0"/>
        <v>53</v>
      </c>
    </row>
    <row r="26" spans="1:9" ht="14.45" customHeight="1" x14ac:dyDescent="0.25">
      <c r="A26" s="115" t="s">
        <v>3207</v>
      </c>
      <c r="B26" s="112">
        <v>7612</v>
      </c>
      <c r="C26" s="113"/>
      <c r="D26" s="116">
        <v>53</v>
      </c>
      <c r="E26" s="117"/>
      <c r="H26">
        <v>128</v>
      </c>
      <c r="I26" s="99">
        <f t="shared" si="0"/>
        <v>53</v>
      </c>
    </row>
    <row r="27" spans="1:9" ht="14.45" customHeight="1" x14ac:dyDescent="0.25">
      <c r="A27" s="115" t="s">
        <v>3521</v>
      </c>
      <c r="B27" s="112">
        <v>16555</v>
      </c>
      <c r="C27" s="113"/>
      <c r="D27" s="116">
        <v>48</v>
      </c>
      <c r="E27" s="117"/>
      <c r="H27">
        <v>287</v>
      </c>
      <c r="I27" s="99">
        <f t="shared" si="0"/>
        <v>48</v>
      </c>
    </row>
    <row r="28" spans="1:9" ht="14.45" customHeight="1" x14ac:dyDescent="0.25">
      <c r="A28" s="115" t="s">
        <v>3197</v>
      </c>
      <c r="B28" s="112">
        <v>10283.5</v>
      </c>
      <c r="C28" s="113"/>
      <c r="D28" s="116">
        <v>54</v>
      </c>
      <c r="E28" s="117"/>
      <c r="H28">
        <v>113</v>
      </c>
      <c r="I28" s="99">
        <f t="shared" si="0"/>
        <v>54</v>
      </c>
    </row>
    <row r="29" spans="1:9" ht="14.45" customHeight="1" x14ac:dyDescent="0.25">
      <c r="A29" s="115" t="s">
        <v>3012</v>
      </c>
      <c r="B29" s="112">
        <v>10700.7</v>
      </c>
      <c r="C29" s="113"/>
      <c r="D29" s="116">
        <v>49</v>
      </c>
      <c r="E29" s="117"/>
      <c r="H29">
        <v>80</v>
      </c>
      <c r="I29" s="99">
        <f t="shared" si="0"/>
        <v>49</v>
      </c>
    </row>
    <row r="30" spans="1:9" ht="14.45" customHeight="1" x14ac:dyDescent="0.25">
      <c r="A30" s="115" t="s">
        <v>2975</v>
      </c>
      <c r="B30" s="112">
        <v>7609.5</v>
      </c>
      <c r="C30" s="113"/>
      <c r="D30" s="116">
        <v>54</v>
      </c>
      <c r="E30" s="117"/>
      <c r="H30">
        <v>37</v>
      </c>
      <c r="I30" s="99">
        <f t="shared" si="0"/>
        <v>54</v>
      </c>
    </row>
    <row r="31" spans="1:9" ht="14.45" customHeight="1" x14ac:dyDescent="0.25">
      <c r="A31" s="115" t="s">
        <v>3897</v>
      </c>
      <c r="B31" s="112">
        <v>9747.1</v>
      </c>
      <c r="C31" s="113"/>
      <c r="D31" s="116">
        <v>56</v>
      </c>
      <c r="E31" s="117"/>
      <c r="H31">
        <v>661</v>
      </c>
      <c r="I31" s="99">
        <f t="shared" si="0"/>
        <v>56</v>
      </c>
    </row>
    <row r="32" spans="1:9" ht="14.45" customHeight="1" x14ac:dyDescent="0.25">
      <c r="A32" s="115" t="s">
        <v>3010</v>
      </c>
      <c r="B32" s="112">
        <v>3720.7</v>
      </c>
      <c r="C32" s="113"/>
      <c r="D32" s="116">
        <v>48</v>
      </c>
      <c r="E32" s="117"/>
      <c r="H32">
        <v>78</v>
      </c>
      <c r="I32" s="99">
        <f t="shared" si="0"/>
        <v>48</v>
      </c>
    </row>
    <row r="33" spans="1:9" ht="14.45" customHeight="1" x14ac:dyDescent="0.25">
      <c r="A33" s="115" t="s">
        <v>3386</v>
      </c>
      <c r="B33" s="112">
        <v>11903.5</v>
      </c>
      <c r="C33" s="113"/>
      <c r="D33" s="116">
        <v>54</v>
      </c>
      <c r="E33" s="117"/>
      <c r="H33">
        <v>311</v>
      </c>
      <c r="I33" s="99">
        <f t="shared" si="0"/>
        <v>54</v>
      </c>
    </row>
    <row r="34" spans="1:9" ht="14.45" customHeight="1" x14ac:dyDescent="0.25">
      <c r="A34" s="115" t="s">
        <v>3208</v>
      </c>
      <c r="B34" s="112">
        <v>10796.6</v>
      </c>
      <c r="C34" s="113"/>
      <c r="D34" s="116">
        <v>56</v>
      </c>
      <c r="E34" s="117"/>
      <c r="H34">
        <v>123</v>
      </c>
      <c r="I34" s="99">
        <f t="shared" si="0"/>
        <v>56</v>
      </c>
    </row>
    <row r="35" spans="1:9" ht="14.45" customHeight="1" x14ac:dyDescent="0.25">
      <c r="A35" s="115" t="s">
        <v>3209</v>
      </c>
      <c r="B35" s="112">
        <v>3932.4</v>
      </c>
      <c r="C35" s="113"/>
      <c r="D35" s="116">
        <v>55</v>
      </c>
      <c r="E35" s="117"/>
      <c r="H35">
        <v>142</v>
      </c>
      <c r="I35" s="99">
        <f t="shared" si="0"/>
        <v>55</v>
      </c>
    </row>
    <row r="36" spans="1:9" ht="14.45" customHeight="1" x14ac:dyDescent="0.25">
      <c r="A36" s="115" t="s">
        <v>3544</v>
      </c>
      <c r="B36" s="112">
        <v>18688</v>
      </c>
      <c r="C36" s="113"/>
      <c r="D36" s="116">
        <v>57</v>
      </c>
      <c r="E36" s="117"/>
      <c r="H36">
        <v>341</v>
      </c>
      <c r="I36" s="99">
        <f t="shared" si="0"/>
        <v>57</v>
      </c>
    </row>
    <row r="37" spans="1:9" ht="14.45" customHeight="1" x14ac:dyDescent="0.25">
      <c r="A37" s="115" t="s">
        <v>3172</v>
      </c>
      <c r="B37" s="112">
        <v>10873.5</v>
      </c>
      <c r="C37" s="113"/>
      <c r="D37" s="116">
        <v>50</v>
      </c>
      <c r="E37" s="117"/>
      <c r="H37">
        <v>93</v>
      </c>
      <c r="I37" s="99">
        <f t="shared" si="0"/>
        <v>50</v>
      </c>
    </row>
    <row r="38" spans="1:9" ht="14.45" customHeight="1" x14ac:dyDescent="0.25">
      <c r="A38" s="115" t="s">
        <v>3164</v>
      </c>
      <c r="B38" s="112">
        <v>5653.2</v>
      </c>
      <c r="C38" s="113"/>
      <c r="D38" s="116">
        <v>49</v>
      </c>
      <c r="E38" s="117"/>
      <c r="H38">
        <v>87</v>
      </c>
      <c r="I38" s="99">
        <f t="shared" si="0"/>
        <v>49</v>
      </c>
    </row>
    <row r="39" spans="1:9" ht="14.45" customHeight="1" x14ac:dyDescent="0.25">
      <c r="A39" s="115" t="s">
        <v>3179</v>
      </c>
      <c r="B39" s="112">
        <v>11238.5</v>
      </c>
      <c r="C39" s="113"/>
      <c r="D39" s="116">
        <v>54</v>
      </c>
      <c r="E39" s="117"/>
      <c r="H39">
        <v>111</v>
      </c>
      <c r="I39" s="99">
        <f t="shared" si="0"/>
        <v>54</v>
      </c>
    </row>
    <row r="40" spans="1:9" ht="14.45" customHeight="1" x14ac:dyDescent="0.25">
      <c r="A40" s="115" t="s">
        <v>3387</v>
      </c>
      <c r="B40" s="112">
        <v>11810.3</v>
      </c>
      <c r="C40" s="113"/>
      <c r="D40" s="116">
        <v>56</v>
      </c>
      <c r="E40" s="117"/>
      <c r="H40">
        <v>328</v>
      </c>
      <c r="I40" s="99">
        <f t="shared" si="0"/>
        <v>56</v>
      </c>
    </row>
    <row r="41" spans="1:9" ht="14.45" customHeight="1" x14ac:dyDescent="0.25">
      <c r="A41" s="115" t="s">
        <v>2943</v>
      </c>
      <c r="B41" s="112">
        <v>10674.3</v>
      </c>
      <c r="C41" s="113"/>
      <c r="D41" s="116">
        <v>51</v>
      </c>
      <c r="E41" s="117"/>
      <c r="H41">
        <v>22</v>
      </c>
      <c r="I41" s="99">
        <f t="shared" si="0"/>
        <v>51</v>
      </c>
    </row>
    <row r="42" spans="1:9" ht="14.45" customHeight="1" x14ac:dyDescent="0.25">
      <c r="A42" s="115" t="s">
        <v>3388</v>
      </c>
      <c r="B42" s="112">
        <v>11383.8</v>
      </c>
      <c r="C42" s="113"/>
      <c r="D42" s="116">
        <v>56</v>
      </c>
      <c r="E42" s="117"/>
      <c r="H42">
        <v>297</v>
      </c>
      <c r="I42" s="99">
        <f t="shared" si="0"/>
        <v>56</v>
      </c>
    </row>
    <row r="43" spans="1:9" ht="14.45" customHeight="1" x14ac:dyDescent="0.25">
      <c r="A43" s="115" t="s">
        <v>3210</v>
      </c>
      <c r="B43" s="112">
        <v>10985.5</v>
      </c>
      <c r="C43" s="113"/>
      <c r="D43" s="116">
        <v>57</v>
      </c>
      <c r="E43" s="117"/>
      <c r="H43">
        <v>126</v>
      </c>
      <c r="I43" s="99">
        <f t="shared" si="0"/>
        <v>57</v>
      </c>
    </row>
    <row r="44" spans="1:9" ht="14.45" customHeight="1" x14ac:dyDescent="0.25">
      <c r="A44" s="115" t="s">
        <v>3389</v>
      </c>
      <c r="B44" s="112">
        <v>3715.8</v>
      </c>
      <c r="C44" s="113"/>
      <c r="D44" s="116">
        <v>54</v>
      </c>
      <c r="E44" s="117"/>
      <c r="H44">
        <v>331</v>
      </c>
      <c r="I44" s="99">
        <f t="shared" si="0"/>
        <v>54</v>
      </c>
    </row>
    <row r="45" spans="1:9" ht="14.45" customHeight="1" x14ac:dyDescent="0.25">
      <c r="A45" s="115" t="s">
        <v>3515</v>
      </c>
      <c r="B45" s="112">
        <v>10816</v>
      </c>
      <c r="C45" s="113"/>
      <c r="D45" s="116">
        <v>50</v>
      </c>
      <c r="E45" s="117"/>
      <c r="H45">
        <v>276</v>
      </c>
      <c r="I45" s="99">
        <f t="shared" si="0"/>
        <v>50</v>
      </c>
    </row>
    <row r="46" spans="1:9" ht="14.45" customHeight="1" x14ac:dyDescent="0.25">
      <c r="A46" s="115" t="s">
        <v>3252</v>
      </c>
      <c r="B46" s="112">
        <v>11801.2</v>
      </c>
      <c r="C46" s="113"/>
      <c r="D46" s="116">
        <v>61</v>
      </c>
      <c r="E46" s="117"/>
      <c r="H46">
        <v>158</v>
      </c>
      <c r="I46" s="99">
        <f t="shared" si="0"/>
        <v>61</v>
      </c>
    </row>
    <row r="47" spans="1:9" ht="14.45" customHeight="1" x14ac:dyDescent="0.25">
      <c r="A47" s="115" t="s">
        <v>3259</v>
      </c>
      <c r="B47" s="112">
        <v>4125.5</v>
      </c>
      <c r="C47" s="113"/>
      <c r="D47" s="116">
        <v>57</v>
      </c>
      <c r="E47" s="117"/>
      <c r="H47">
        <v>165</v>
      </c>
      <c r="I47" s="99">
        <f t="shared" si="0"/>
        <v>57</v>
      </c>
    </row>
    <row r="48" spans="1:9" ht="14.45" customHeight="1" x14ac:dyDescent="0.25">
      <c r="A48" s="115" t="s">
        <v>3211</v>
      </c>
      <c r="B48" s="112">
        <v>11383.4</v>
      </c>
      <c r="C48" s="113"/>
      <c r="D48" s="116">
        <v>55</v>
      </c>
      <c r="E48" s="117"/>
      <c r="H48">
        <v>125</v>
      </c>
      <c r="I48" s="99">
        <f t="shared" si="0"/>
        <v>55</v>
      </c>
    </row>
    <row r="49" spans="1:9" ht="14.45" customHeight="1" x14ac:dyDescent="0.25">
      <c r="A49" s="115" t="s">
        <v>3898</v>
      </c>
      <c r="B49" s="112">
        <v>10271.4</v>
      </c>
      <c r="C49" s="113"/>
      <c r="D49" s="116">
        <v>62</v>
      </c>
      <c r="E49" s="117"/>
      <c r="H49">
        <v>665</v>
      </c>
      <c r="I49" s="99">
        <f t="shared" si="0"/>
        <v>62</v>
      </c>
    </row>
    <row r="50" spans="1:9" ht="14.45" customHeight="1" x14ac:dyDescent="0.25">
      <c r="A50" s="115" t="s">
        <v>3199</v>
      </c>
      <c r="B50" s="112">
        <v>11527.6</v>
      </c>
      <c r="C50" s="113"/>
      <c r="D50" s="116">
        <v>55</v>
      </c>
      <c r="E50" s="117"/>
      <c r="H50">
        <v>116</v>
      </c>
      <c r="I50" s="99">
        <f t="shared" si="0"/>
        <v>55</v>
      </c>
    </row>
    <row r="51" spans="1:9" ht="14.45" customHeight="1" x14ac:dyDescent="0.25">
      <c r="A51" s="115" t="s">
        <v>3390</v>
      </c>
      <c r="B51" s="112">
        <v>3689.4</v>
      </c>
      <c r="C51" s="113"/>
      <c r="D51" s="116">
        <v>54</v>
      </c>
      <c r="E51" s="117"/>
      <c r="H51">
        <v>322</v>
      </c>
      <c r="I51" s="99">
        <f t="shared" si="0"/>
        <v>54</v>
      </c>
    </row>
    <row r="52" spans="1:9" ht="14.45" customHeight="1" x14ac:dyDescent="0.25">
      <c r="A52" s="115" t="s">
        <v>3332</v>
      </c>
      <c r="B52" s="112">
        <v>11088.8</v>
      </c>
      <c r="C52" s="113"/>
      <c r="D52" s="116">
        <v>61</v>
      </c>
      <c r="E52" s="117"/>
      <c r="H52">
        <v>246</v>
      </c>
      <c r="I52" s="99">
        <f t="shared" si="0"/>
        <v>61</v>
      </c>
    </row>
    <row r="53" spans="1:9" ht="14.45" customHeight="1" x14ac:dyDescent="0.25">
      <c r="A53" s="115" t="s">
        <v>3180</v>
      </c>
      <c r="B53" s="112">
        <v>5510.3</v>
      </c>
      <c r="C53" s="113"/>
      <c r="D53" s="116">
        <v>50</v>
      </c>
      <c r="E53" s="117"/>
      <c r="H53">
        <v>103</v>
      </c>
      <c r="I53" s="99">
        <f t="shared" si="0"/>
        <v>50</v>
      </c>
    </row>
    <row r="54" spans="1:9" ht="14.45" customHeight="1" x14ac:dyDescent="0.25">
      <c r="A54" s="115" t="s">
        <v>3327</v>
      </c>
      <c r="B54" s="112">
        <v>10880.3</v>
      </c>
      <c r="C54" s="113"/>
      <c r="D54" s="116">
        <v>62</v>
      </c>
      <c r="E54" s="117"/>
      <c r="H54">
        <v>230</v>
      </c>
      <c r="I54" s="99">
        <f t="shared" si="0"/>
        <v>62</v>
      </c>
    </row>
    <row r="55" spans="1:9" ht="14.45" customHeight="1" x14ac:dyDescent="0.25">
      <c r="A55" s="115" t="s">
        <v>3212</v>
      </c>
      <c r="B55" s="112">
        <v>11955.1</v>
      </c>
      <c r="C55" s="113"/>
      <c r="D55" s="116">
        <v>60</v>
      </c>
      <c r="E55" s="117"/>
      <c r="H55">
        <v>133</v>
      </c>
      <c r="I55" s="99">
        <f t="shared" si="0"/>
        <v>60</v>
      </c>
    </row>
    <row r="56" spans="1:9" ht="14.45" customHeight="1" x14ac:dyDescent="0.25">
      <c r="A56" s="115" t="s">
        <v>3241</v>
      </c>
      <c r="B56" s="112">
        <v>12282</v>
      </c>
      <c r="C56" s="113"/>
      <c r="D56" s="116">
        <v>61</v>
      </c>
      <c r="E56" s="117"/>
      <c r="H56">
        <v>147</v>
      </c>
      <c r="I56" s="99">
        <f t="shared" si="0"/>
        <v>61</v>
      </c>
    </row>
    <row r="57" spans="1:9" ht="14.45" customHeight="1" x14ac:dyDescent="0.25">
      <c r="A57" s="115" t="s">
        <v>2987</v>
      </c>
      <c r="B57" s="112">
        <v>12303.2</v>
      </c>
      <c r="C57" s="113"/>
      <c r="D57" s="116">
        <v>49</v>
      </c>
      <c r="E57" s="117"/>
      <c r="H57">
        <v>55</v>
      </c>
      <c r="I57" s="99">
        <f t="shared" si="0"/>
        <v>49</v>
      </c>
    </row>
    <row r="58" spans="1:9" ht="14.45" customHeight="1" x14ac:dyDescent="0.25">
      <c r="A58" s="115" t="s">
        <v>3508</v>
      </c>
      <c r="B58" s="112">
        <v>14875.5</v>
      </c>
      <c r="C58" s="113"/>
      <c r="D58" s="116">
        <v>58</v>
      </c>
      <c r="E58" s="117"/>
      <c r="H58">
        <v>272</v>
      </c>
      <c r="I58" s="99">
        <f t="shared" si="0"/>
        <v>58</v>
      </c>
    </row>
    <row r="59" spans="1:9" ht="14.45" customHeight="1" x14ac:dyDescent="0.25">
      <c r="A59" s="115" t="s">
        <v>3004</v>
      </c>
      <c r="B59" s="112">
        <v>10997.5</v>
      </c>
      <c r="C59" s="113"/>
      <c r="D59" s="116">
        <v>56</v>
      </c>
      <c r="E59" s="117"/>
      <c r="H59">
        <v>72</v>
      </c>
      <c r="I59" s="99">
        <f t="shared" si="0"/>
        <v>56</v>
      </c>
    </row>
    <row r="60" spans="1:9" ht="14.45" customHeight="1" x14ac:dyDescent="0.25">
      <c r="A60" s="115" t="s">
        <v>3005</v>
      </c>
      <c r="B60" s="112">
        <v>10714.5</v>
      </c>
      <c r="C60" s="113"/>
      <c r="D60" s="116">
        <v>50</v>
      </c>
      <c r="E60" s="117"/>
      <c r="H60">
        <v>73</v>
      </c>
      <c r="I60" s="99">
        <f t="shared" si="0"/>
        <v>50</v>
      </c>
    </row>
    <row r="61" spans="1:9" ht="14.45" customHeight="1" x14ac:dyDescent="0.25">
      <c r="A61" s="115" t="s">
        <v>3333</v>
      </c>
      <c r="B61" s="112">
        <v>11903.5</v>
      </c>
      <c r="C61" s="113"/>
      <c r="D61" s="116">
        <v>62</v>
      </c>
      <c r="E61" s="117"/>
      <c r="H61">
        <v>235</v>
      </c>
      <c r="I61" s="99">
        <f t="shared" si="0"/>
        <v>62</v>
      </c>
    </row>
    <row r="62" spans="1:9" ht="14.45" customHeight="1" x14ac:dyDescent="0.25">
      <c r="A62" s="115" t="s">
        <v>3255</v>
      </c>
      <c r="B62" s="112">
        <v>11226.2</v>
      </c>
      <c r="C62" s="113"/>
      <c r="D62" s="116">
        <v>61</v>
      </c>
      <c r="E62" s="117"/>
      <c r="H62">
        <v>161</v>
      </c>
      <c r="I62" s="99">
        <f t="shared" si="0"/>
        <v>61</v>
      </c>
    </row>
    <row r="63" spans="1:9" ht="14.45" customHeight="1" x14ac:dyDescent="0.25">
      <c r="A63" s="115" t="s">
        <v>3213</v>
      </c>
      <c r="B63" s="112">
        <v>11439.9</v>
      </c>
      <c r="C63" s="113"/>
      <c r="D63" s="116">
        <v>57</v>
      </c>
      <c r="E63" s="117"/>
      <c r="H63">
        <v>127</v>
      </c>
      <c r="I63" s="99">
        <f t="shared" si="0"/>
        <v>57</v>
      </c>
    </row>
    <row r="64" spans="1:9" ht="14.45" customHeight="1" x14ac:dyDescent="0.25">
      <c r="A64" s="115" t="s">
        <v>3011</v>
      </c>
      <c r="B64" s="112">
        <v>10819.2</v>
      </c>
      <c r="C64" s="113"/>
      <c r="D64" s="116">
        <v>50</v>
      </c>
      <c r="E64" s="117"/>
      <c r="H64">
        <v>79</v>
      </c>
      <c r="I64" s="99">
        <f t="shared" si="0"/>
        <v>50</v>
      </c>
    </row>
    <row r="65" spans="1:9" ht="14.45" customHeight="1" x14ac:dyDescent="0.25">
      <c r="A65" s="115" t="s">
        <v>2984</v>
      </c>
      <c r="B65" s="112">
        <v>11002.8</v>
      </c>
      <c r="C65" s="113"/>
      <c r="D65" s="116">
        <v>50</v>
      </c>
      <c r="E65" s="117"/>
      <c r="H65">
        <v>39</v>
      </c>
      <c r="I65" s="99">
        <f t="shared" si="0"/>
        <v>50</v>
      </c>
    </row>
    <row r="66" spans="1:9" ht="14.45" customHeight="1" x14ac:dyDescent="0.25">
      <c r="A66" s="115" t="s">
        <v>3391</v>
      </c>
      <c r="B66" s="112">
        <v>10000.9</v>
      </c>
      <c r="C66" s="113"/>
      <c r="D66" s="116">
        <v>50</v>
      </c>
      <c r="E66" s="117"/>
      <c r="H66">
        <v>313</v>
      </c>
      <c r="I66" s="99">
        <f t="shared" si="0"/>
        <v>50</v>
      </c>
    </row>
    <row r="67" spans="1:9" ht="14.45" customHeight="1" x14ac:dyDescent="0.25">
      <c r="A67" s="115" t="s">
        <v>3360</v>
      </c>
      <c r="B67" s="112">
        <v>5823.3</v>
      </c>
      <c r="C67" s="113"/>
      <c r="D67" s="116">
        <v>55</v>
      </c>
      <c r="E67" s="117"/>
      <c r="H67">
        <v>257</v>
      </c>
      <c r="I67" s="99">
        <f t="shared" si="0"/>
        <v>55</v>
      </c>
    </row>
    <row r="68" spans="1:9" ht="14.45" customHeight="1" x14ac:dyDescent="0.25">
      <c r="A68" s="115" t="s">
        <v>2976</v>
      </c>
      <c r="B68" s="112">
        <v>3617.2</v>
      </c>
      <c r="C68" s="113"/>
      <c r="D68" s="116">
        <v>46</v>
      </c>
      <c r="E68" s="117"/>
      <c r="H68">
        <v>42</v>
      </c>
      <c r="I68" s="99">
        <f t="shared" si="0"/>
        <v>46</v>
      </c>
    </row>
    <row r="69" spans="1:9" ht="14.45" customHeight="1" x14ac:dyDescent="0.25">
      <c r="A69" s="115" t="s">
        <v>3163</v>
      </c>
      <c r="B69" s="112">
        <v>11517.3</v>
      </c>
      <c r="C69" s="113"/>
      <c r="D69" s="116">
        <v>48</v>
      </c>
      <c r="E69" s="117"/>
      <c r="H69">
        <v>86</v>
      </c>
      <c r="I69" s="99">
        <f t="shared" si="0"/>
        <v>48</v>
      </c>
    </row>
    <row r="70" spans="1:9" ht="14.45" customHeight="1" x14ac:dyDescent="0.25">
      <c r="A70" s="115" t="s">
        <v>3542</v>
      </c>
      <c r="B70" s="112">
        <v>16777</v>
      </c>
      <c r="C70" s="113"/>
      <c r="D70" s="116">
        <v>55</v>
      </c>
      <c r="E70" s="117"/>
      <c r="H70">
        <v>340</v>
      </c>
      <c r="I70" s="99">
        <f t="shared" si="0"/>
        <v>55</v>
      </c>
    </row>
    <row r="71" spans="1:9" ht="14.45" customHeight="1" x14ac:dyDescent="0.25">
      <c r="A71" s="115" t="s">
        <v>3326</v>
      </c>
      <c r="B71" s="112">
        <v>10642.5</v>
      </c>
      <c r="C71" s="113"/>
      <c r="D71" s="116">
        <v>62</v>
      </c>
      <c r="E71" s="117"/>
      <c r="H71">
        <v>229</v>
      </c>
      <c r="I71" s="99">
        <f t="shared" si="0"/>
        <v>62</v>
      </c>
    </row>
    <row r="72" spans="1:9" ht="14.45" customHeight="1" x14ac:dyDescent="0.25">
      <c r="A72" s="115" t="s">
        <v>3257</v>
      </c>
      <c r="B72" s="112">
        <v>11921.3</v>
      </c>
      <c r="C72" s="113"/>
      <c r="D72" s="116">
        <v>59</v>
      </c>
      <c r="E72" s="117"/>
      <c r="H72">
        <v>163</v>
      </c>
      <c r="I72" s="99">
        <f t="shared" si="0"/>
        <v>59</v>
      </c>
    </row>
    <row r="73" spans="1:9" ht="14.45" customHeight="1" x14ac:dyDescent="0.25">
      <c r="A73" s="115" t="s">
        <v>3292</v>
      </c>
      <c r="B73" s="112">
        <v>10709.1</v>
      </c>
      <c r="C73" s="113"/>
      <c r="D73" s="116">
        <v>58</v>
      </c>
      <c r="E73" s="117"/>
      <c r="H73">
        <v>197</v>
      </c>
      <c r="I73" s="99">
        <f t="shared" si="0"/>
        <v>58</v>
      </c>
    </row>
    <row r="74" spans="1:9" ht="14.45" customHeight="1" x14ac:dyDescent="0.25">
      <c r="A74" s="115" t="s">
        <v>3899</v>
      </c>
      <c r="B74" s="112">
        <v>3909.6</v>
      </c>
      <c r="C74" s="113"/>
      <c r="D74" s="116">
        <v>61</v>
      </c>
      <c r="E74" s="117"/>
      <c r="H74">
        <v>675</v>
      </c>
      <c r="I74" s="99">
        <f t="shared" si="0"/>
        <v>61</v>
      </c>
    </row>
    <row r="75" spans="1:9" ht="14.45" customHeight="1" x14ac:dyDescent="0.25">
      <c r="A75" s="115" t="s">
        <v>3392</v>
      </c>
      <c r="B75" s="112">
        <v>3972.5</v>
      </c>
      <c r="C75" s="113"/>
      <c r="D75" s="116">
        <v>51</v>
      </c>
      <c r="E75" s="117"/>
      <c r="H75">
        <v>296</v>
      </c>
      <c r="I75" s="99">
        <f t="shared" si="0"/>
        <v>51</v>
      </c>
    </row>
    <row r="76" spans="1:9" ht="14.45" customHeight="1" x14ac:dyDescent="0.25">
      <c r="A76" s="115" t="s">
        <v>2944</v>
      </c>
      <c r="B76" s="112">
        <v>10362</v>
      </c>
      <c r="C76" s="113"/>
      <c r="D76" s="116">
        <v>50</v>
      </c>
      <c r="E76" s="117"/>
      <c r="H76">
        <v>25</v>
      </c>
      <c r="I76" s="99">
        <f t="shared" si="0"/>
        <v>50</v>
      </c>
    </row>
    <row r="77" spans="1:9" ht="14.45" customHeight="1" x14ac:dyDescent="0.25">
      <c r="A77" s="115" t="s">
        <v>2945</v>
      </c>
      <c r="B77" s="112">
        <v>10648.5</v>
      </c>
      <c r="C77" s="113"/>
      <c r="D77" s="116">
        <v>54</v>
      </c>
      <c r="E77" s="117"/>
      <c r="H77">
        <v>17</v>
      </c>
      <c r="I77" s="99">
        <f t="shared" ref="I77:I140" si="1">D77</f>
        <v>54</v>
      </c>
    </row>
    <row r="78" spans="1:9" ht="14.45" customHeight="1" x14ac:dyDescent="0.25">
      <c r="A78" s="115" t="s">
        <v>3393</v>
      </c>
      <c r="B78" s="112">
        <v>10609.5</v>
      </c>
      <c r="C78" s="113"/>
      <c r="D78" s="116">
        <v>51</v>
      </c>
      <c r="E78" s="117"/>
      <c r="H78">
        <v>334</v>
      </c>
      <c r="I78" s="99">
        <f t="shared" si="1"/>
        <v>51</v>
      </c>
    </row>
    <row r="79" spans="1:9" ht="14.45" customHeight="1" x14ac:dyDescent="0.25">
      <c r="A79" s="115" t="s">
        <v>3334</v>
      </c>
      <c r="B79" s="112">
        <v>10496</v>
      </c>
      <c r="C79" s="113"/>
      <c r="D79" s="116">
        <v>59</v>
      </c>
      <c r="E79" s="117"/>
      <c r="H79">
        <v>236</v>
      </c>
      <c r="I79" s="99">
        <f t="shared" si="1"/>
        <v>59</v>
      </c>
    </row>
    <row r="80" spans="1:9" ht="14.45" customHeight="1" x14ac:dyDescent="0.25">
      <c r="A80" s="115" t="s">
        <v>2946</v>
      </c>
      <c r="B80" s="112">
        <v>10823.2</v>
      </c>
      <c r="C80" s="113"/>
      <c r="D80" s="116">
        <v>55</v>
      </c>
      <c r="E80" s="117"/>
      <c r="H80">
        <v>29</v>
      </c>
      <c r="I80" s="99">
        <f t="shared" si="1"/>
        <v>55</v>
      </c>
    </row>
    <row r="81" spans="1:9" ht="14.45" customHeight="1" x14ac:dyDescent="0.25">
      <c r="A81" s="115" t="s">
        <v>3523</v>
      </c>
      <c r="B81" s="112">
        <v>19213.7</v>
      </c>
      <c r="C81" s="113"/>
      <c r="D81" s="116">
        <v>49</v>
      </c>
      <c r="E81" s="117"/>
      <c r="H81">
        <v>288</v>
      </c>
      <c r="I81" s="99">
        <f t="shared" si="1"/>
        <v>49</v>
      </c>
    </row>
    <row r="82" spans="1:9" ht="14.45" customHeight="1" x14ac:dyDescent="0.25">
      <c r="A82" s="115" t="s">
        <v>3158</v>
      </c>
      <c r="B82" s="112">
        <v>3609.3</v>
      </c>
      <c r="C82" s="113"/>
      <c r="D82" s="116">
        <v>47</v>
      </c>
      <c r="E82" s="117"/>
      <c r="H82">
        <v>81</v>
      </c>
      <c r="I82" s="99">
        <f t="shared" si="1"/>
        <v>47</v>
      </c>
    </row>
    <row r="83" spans="1:9" ht="14.45" customHeight="1" x14ac:dyDescent="0.25">
      <c r="A83" s="115" t="s">
        <v>2972</v>
      </c>
      <c r="B83" s="112">
        <v>3687.7</v>
      </c>
      <c r="C83" s="113"/>
      <c r="D83" s="116">
        <v>47</v>
      </c>
      <c r="E83" s="117"/>
      <c r="H83">
        <v>54</v>
      </c>
      <c r="I83" s="99">
        <f t="shared" si="1"/>
        <v>47</v>
      </c>
    </row>
    <row r="84" spans="1:9" ht="14.45" customHeight="1" x14ac:dyDescent="0.25">
      <c r="A84" s="115" t="s">
        <v>3214</v>
      </c>
      <c r="B84" s="112">
        <v>4204.2</v>
      </c>
      <c r="C84" s="113"/>
      <c r="D84" s="116">
        <v>54</v>
      </c>
      <c r="E84" s="117"/>
      <c r="H84">
        <v>132</v>
      </c>
      <c r="I84" s="99">
        <f t="shared" si="1"/>
        <v>54</v>
      </c>
    </row>
    <row r="85" spans="1:9" ht="14.45" customHeight="1" x14ac:dyDescent="0.25">
      <c r="A85" s="115" t="s">
        <v>3181</v>
      </c>
      <c r="B85" s="112">
        <v>9935.7999999999993</v>
      </c>
      <c r="C85" s="113"/>
      <c r="D85" s="116">
        <v>50</v>
      </c>
      <c r="E85" s="117"/>
      <c r="H85">
        <v>102</v>
      </c>
      <c r="I85" s="99">
        <f t="shared" si="1"/>
        <v>50</v>
      </c>
    </row>
    <row r="86" spans="1:9" ht="14.45" customHeight="1" x14ac:dyDescent="0.25">
      <c r="A86" s="115" t="s">
        <v>3335</v>
      </c>
      <c r="B86" s="112">
        <v>11642.9</v>
      </c>
      <c r="C86" s="113"/>
      <c r="D86" s="116">
        <v>60</v>
      </c>
      <c r="E86" s="117"/>
      <c r="H86">
        <v>248</v>
      </c>
      <c r="I86" s="99">
        <f t="shared" si="1"/>
        <v>60</v>
      </c>
    </row>
    <row r="87" spans="1:9" ht="14.45" customHeight="1" x14ac:dyDescent="0.25">
      <c r="A87" s="115" t="s">
        <v>3394</v>
      </c>
      <c r="B87" s="112">
        <v>11112.8</v>
      </c>
      <c r="C87" s="113"/>
      <c r="D87" s="116">
        <v>55</v>
      </c>
      <c r="E87" s="117"/>
      <c r="H87">
        <v>319</v>
      </c>
      <c r="I87" s="99">
        <f t="shared" si="1"/>
        <v>55</v>
      </c>
    </row>
    <row r="88" spans="1:9" ht="14.45" customHeight="1" x14ac:dyDescent="0.25">
      <c r="A88" s="115" t="s">
        <v>2997</v>
      </c>
      <c r="B88" s="112">
        <v>1564.6</v>
      </c>
      <c r="C88" s="113"/>
      <c r="D88" s="116">
        <v>50</v>
      </c>
      <c r="E88" s="117"/>
      <c r="H88">
        <v>65</v>
      </c>
      <c r="I88" s="99">
        <f t="shared" si="1"/>
        <v>50</v>
      </c>
    </row>
    <row r="89" spans="1:9" ht="14.45" customHeight="1" x14ac:dyDescent="0.25">
      <c r="A89" s="115" t="s">
        <v>3263</v>
      </c>
      <c r="B89" s="112">
        <v>11025.2</v>
      </c>
      <c r="C89" s="113"/>
      <c r="D89" s="116">
        <v>59</v>
      </c>
      <c r="E89" s="117"/>
      <c r="H89">
        <v>169</v>
      </c>
      <c r="I89" s="99">
        <f t="shared" si="1"/>
        <v>59</v>
      </c>
    </row>
    <row r="90" spans="1:9" ht="14.45" customHeight="1" x14ac:dyDescent="0.25">
      <c r="A90" s="115" t="s">
        <v>3395</v>
      </c>
      <c r="B90" s="112">
        <v>7292</v>
      </c>
      <c r="C90" s="113"/>
      <c r="D90" s="116">
        <v>51</v>
      </c>
      <c r="E90" s="117"/>
      <c r="H90">
        <v>325</v>
      </c>
      <c r="I90" s="99">
        <f t="shared" si="1"/>
        <v>51</v>
      </c>
    </row>
    <row r="91" spans="1:9" ht="14.45" customHeight="1" x14ac:dyDescent="0.25">
      <c r="A91" s="115" t="s">
        <v>3161</v>
      </c>
      <c r="B91" s="112">
        <v>10661</v>
      </c>
      <c r="C91" s="113"/>
      <c r="D91" s="116">
        <v>47</v>
      </c>
      <c r="E91" s="117"/>
      <c r="H91">
        <v>84</v>
      </c>
      <c r="I91" s="99">
        <f t="shared" si="1"/>
        <v>47</v>
      </c>
    </row>
    <row r="92" spans="1:9" ht="14.45" customHeight="1" x14ac:dyDescent="0.25">
      <c r="A92" s="115" t="s">
        <v>3396</v>
      </c>
      <c r="B92" s="112">
        <v>10741.5</v>
      </c>
      <c r="C92" s="113"/>
      <c r="D92" s="116">
        <v>53</v>
      </c>
      <c r="E92" s="117"/>
      <c r="H92">
        <v>320</v>
      </c>
      <c r="I92" s="99">
        <f t="shared" si="1"/>
        <v>53</v>
      </c>
    </row>
    <row r="93" spans="1:9" ht="14.45" customHeight="1" x14ac:dyDescent="0.25">
      <c r="A93" s="115" t="s">
        <v>3336</v>
      </c>
      <c r="B93" s="112">
        <v>11809.6</v>
      </c>
      <c r="C93" s="113"/>
      <c r="D93" s="116">
        <v>63</v>
      </c>
      <c r="E93" s="117"/>
      <c r="H93">
        <v>238</v>
      </c>
      <c r="I93" s="99">
        <f t="shared" si="1"/>
        <v>63</v>
      </c>
    </row>
    <row r="94" spans="1:9" ht="14.45" customHeight="1" x14ac:dyDescent="0.25">
      <c r="A94" s="115" t="s">
        <v>2979</v>
      </c>
      <c r="B94" s="112">
        <v>10707.4</v>
      </c>
      <c r="C94" s="113"/>
      <c r="D94" s="116">
        <v>44</v>
      </c>
      <c r="E94" s="117"/>
      <c r="H94">
        <v>45</v>
      </c>
      <c r="I94" s="99">
        <f t="shared" si="1"/>
        <v>44</v>
      </c>
    </row>
    <row r="95" spans="1:9" ht="14.45" customHeight="1" x14ac:dyDescent="0.25">
      <c r="A95" s="115" t="s">
        <v>2995</v>
      </c>
      <c r="B95" s="112">
        <v>11589.8</v>
      </c>
      <c r="C95" s="113"/>
      <c r="D95" s="116">
        <v>50</v>
      </c>
      <c r="E95" s="117"/>
      <c r="H95">
        <v>63</v>
      </c>
      <c r="I95" s="99">
        <f t="shared" si="1"/>
        <v>50</v>
      </c>
    </row>
    <row r="96" spans="1:9" ht="14.45" customHeight="1" x14ac:dyDescent="0.25">
      <c r="A96" s="115" t="s">
        <v>3165</v>
      </c>
      <c r="B96" s="112">
        <v>5558.3</v>
      </c>
      <c r="C96" s="113"/>
      <c r="D96" s="116">
        <v>49</v>
      </c>
      <c r="E96" s="117"/>
      <c r="H96">
        <v>88</v>
      </c>
      <c r="I96" s="99">
        <f t="shared" si="1"/>
        <v>49</v>
      </c>
    </row>
    <row r="97" spans="1:9" ht="14.45" customHeight="1" x14ac:dyDescent="0.25">
      <c r="A97" s="115" t="s">
        <v>3397</v>
      </c>
      <c r="B97" s="112">
        <v>11706.6</v>
      </c>
      <c r="C97" s="113"/>
      <c r="D97" s="116">
        <v>56</v>
      </c>
      <c r="E97" s="117"/>
      <c r="H97">
        <v>302</v>
      </c>
      <c r="I97" s="99">
        <f t="shared" si="1"/>
        <v>56</v>
      </c>
    </row>
    <row r="98" spans="1:9" ht="14.45" customHeight="1" x14ac:dyDescent="0.25">
      <c r="A98" s="115" t="s">
        <v>3337</v>
      </c>
      <c r="B98" s="112">
        <v>11080.5</v>
      </c>
      <c r="C98" s="113"/>
      <c r="D98" s="116">
        <v>56</v>
      </c>
      <c r="E98" s="117"/>
      <c r="H98">
        <v>245</v>
      </c>
      <c r="I98" s="99">
        <f t="shared" si="1"/>
        <v>56</v>
      </c>
    </row>
    <row r="99" spans="1:9" ht="14.45" customHeight="1" x14ac:dyDescent="0.25">
      <c r="A99" s="115" t="s">
        <v>3398</v>
      </c>
      <c r="B99" s="112">
        <v>11635.8</v>
      </c>
      <c r="C99" s="113"/>
      <c r="D99" s="116">
        <v>52</v>
      </c>
      <c r="E99" s="117"/>
      <c r="H99">
        <v>323</v>
      </c>
      <c r="I99" s="99">
        <f t="shared" si="1"/>
        <v>52</v>
      </c>
    </row>
    <row r="100" spans="1:9" ht="14.45" customHeight="1" x14ac:dyDescent="0.25">
      <c r="A100" s="115" t="s">
        <v>3361</v>
      </c>
      <c r="B100" s="112">
        <v>11132.1</v>
      </c>
      <c r="C100" s="113"/>
      <c r="D100" s="116">
        <v>59</v>
      </c>
      <c r="E100" s="117"/>
      <c r="H100">
        <v>258</v>
      </c>
      <c r="I100" s="99">
        <f t="shared" si="1"/>
        <v>59</v>
      </c>
    </row>
    <row r="101" spans="1:9" ht="14.45" customHeight="1" x14ac:dyDescent="0.25">
      <c r="A101" s="115" t="s">
        <v>3338</v>
      </c>
      <c r="B101" s="112">
        <v>10840.4</v>
      </c>
      <c r="C101" s="113"/>
      <c r="D101" s="116">
        <v>58</v>
      </c>
      <c r="E101" s="117"/>
      <c r="H101">
        <v>231</v>
      </c>
      <c r="I101" s="99">
        <f t="shared" si="1"/>
        <v>58</v>
      </c>
    </row>
    <row r="102" spans="1:9" ht="14.45" customHeight="1" x14ac:dyDescent="0.25">
      <c r="A102" s="115" t="s">
        <v>2947</v>
      </c>
      <c r="B102" s="112">
        <v>10815.1</v>
      </c>
      <c r="C102" s="113"/>
      <c r="D102" s="116">
        <v>55</v>
      </c>
      <c r="E102" s="117"/>
      <c r="H102">
        <v>24</v>
      </c>
      <c r="I102" s="99">
        <f t="shared" si="1"/>
        <v>55</v>
      </c>
    </row>
    <row r="103" spans="1:9" ht="14.45" customHeight="1" x14ac:dyDescent="0.25">
      <c r="A103" s="115" t="s">
        <v>3359</v>
      </c>
      <c r="B103" s="112">
        <v>3810.1</v>
      </c>
      <c r="C103" s="113"/>
      <c r="D103" s="116">
        <v>60</v>
      </c>
      <c r="E103" s="117"/>
      <c r="H103">
        <v>256</v>
      </c>
      <c r="I103" s="99">
        <f t="shared" si="1"/>
        <v>60</v>
      </c>
    </row>
    <row r="104" spans="1:9" ht="14.45" customHeight="1" x14ac:dyDescent="0.25">
      <c r="A104" s="115" t="s">
        <v>3339</v>
      </c>
      <c r="B104" s="112">
        <v>13701</v>
      </c>
      <c r="C104" s="113"/>
      <c r="D104" s="116">
        <v>54</v>
      </c>
      <c r="E104" s="117"/>
      <c r="H104">
        <v>228</v>
      </c>
      <c r="I104" s="99">
        <f t="shared" si="1"/>
        <v>54</v>
      </c>
    </row>
    <row r="105" spans="1:9" ht="14.45" customHeight="1" x14ac:dyDescent="0.25">
      <c r="A105" s="115" t="s">
        <v>3399</v>
      </c>
      <c r="B105" s="112">
        <v>12002</v>
      </c>
      <c r="C105" s="113"/>
      <c r="D105" s="116">
        <v>51</v>
      </c>
      <c r="E105" s="117"/>
      <c r="H105">
        <v>295</v>
      </c>
      <c r="I105" s="99">
        <f t="shared" si="1"/>
        <v>51</v>
      </c>
    </row>
    <row r="106" spans="1:9" ht="14.45" customHeight="1" x14ac:dyDescent="0.25">
      <c r="A106" s="115" t="s">
        <v>3293</v>
      </c>
      <c r="B106" s="112">
        <v>3675</v>
      </c>
      <c r="C106" s="113"/>
      <c r="D106" s="116">
        <v>60</v>
      </c>
      <c r="E106" s="117"/>
      <c r="H106">
        <v>198</v>
      </c>
      <c r="I106" s="99">
        <f t="shared" si="1"/>
        <v>60</v>
      </c>
    </row>
    <row r="107" spans="1:9" ht="14.45" customHeight="1" x14ac:dyDescent="0.25">
      <c r="A107" s="115" t="s">
        <v>3304</v>
      </c>
      <c r="B107" s="112">
        <v>10270</v>
      </c>
      <c r="C107" s="113"/>
      <c r="D107" s="116">
        <v>57</v>
      </c>
      <c r="E107" s="117"/>
      <c r="H107">
        <v>206</v>
      </c>
      <c r="I107" s="99">
        <f t="shared" si="1"/>
        <v>57</v>
      </c>
    </row>
    <row r="108" spans="1:9" ht="14.45" customHeight="1" x14ac:dyDescent="0.25">
      <c r="A108" s="115" t="s">
        <v>3288</v>
      </c>
      <c r="B108" s="112">
        <v>3777.2</v>
      </c>
      <c r="C108" s="113"/>
      <c r="D108" s="116">
        <v>60</v>
      </c>
      <c r="E108" s="117"/>
      <c r="H108">
        <v>193</v>
      </c>
      <c r="I108" s="99">
        <f t="shared" si="1"/>
        <v>60</v>
      </c>
    </row>
    <row r="109" spans="1:9" ht="14.45" customHeight="1" x14ac:dyDescent="0.25">
      <c r="A109" s="115" t="s">
        <v>3400</v>
      </c>
      <c r="B109" s="112">
        <v>11876.7</v>
      </c>
      <c r="C109" s="113"/>
      <c r="D109" s="116">
        <v>53</v>
      </c>
      <c r="E109" s="117"/>
      <c r="H109">
        <v>309</v>
      </c>
      <c r="I109" s="99">
        <f t="shared" si="1"/>
        <v>53</v>
      </c>
    </row>
    <row r="110" spans="1:9" ht="14.45" customHeight="1" x14ac:dyDescent="0.25">
      <c r="A110" s="115" t="s">
        <v>3401</v>
      </c>
      <c r="B110" s="112">
        <v>9291.9</v>
      </c>
      <c r="C110" s="113"/>
      <c r="D110" s="116">
        <v>51</v>
      </c>
      <c r="E110" s="117"/>
      <c r="H110">
        <v>316</v>
      </c>
      <c r="I110" s="99">
        <f t="shared" si="1"/>
        <v>51</v>
      </c>
    </row>
    <row r="111" spans="1:9" ht="14.45" customHeight="1" x14ac:dyDescent="0.25">
      <c r="A111" s="115" t="s">
        <v>3668</v>
      </c>
      <c r="B111" s="112">
        <v>11667</v>
      </c>
      <c r="C111" s="113"/>
      <c r="D111" s="116">
        <v>53</v>
      </c>
      <c r="E111" s="117"/>
      <c r="H111">
        <v>282</v>
      </c>
      <c r="I111" s="99">
        <f t="shared" si="1"/>
        <v>53</v>
      </c>
    </row>
    <row r="112" spans="1:9" ht="14.45" customHeight="1" x14ac:dyDescent="0.25">
      <c r="A112" s="115" t="s">
        <v>3402</v>
      </c>
      <c r="B112" s="112">
        <v>3884.3</v>
      </c>
      <c r="C112" s="113"/>
      <c r="D112" s="116">
        <v>54</v>
      </c>
      <c r="E112" s="117"/>
      <c r="H112">
        <v>304</v>
      </c>
      <c r="I112" s="99">
        <f t="shared" si="1"/>
        <v>54</v>
      </c>
    </row>
    <row r="113" spans="1:9" ht="14.45" customHeight="1" x14ac:dyDescent="0.25">
      <c r="A113" s="115" t="s">
        <v>3403</v>
      </c>
      <c r="B113" s="112">
        <v>12106.8</v>
      </c>
      <c r="C113" s="113"/>
      <c r="D113" s="116">
        <v>55</v>
      </c>
      <c r="E113" s="117"/>
      <c r="H113">
        <v>292</v>
      </c>
      <c r="I113" s="99">
        <f t="shared" si="1"/>
        <v>55</v>
      </c>
    </row>
    <row r="114" spans="1:9" ht="14.45" customHeight="1" x14ac:dyDescent="0.25">
      <c r="A114" s="115" t="s">
        <v>3404</v>
      </c>
      <c r="B114" s="112">
        <v>11655.5</v>
      </c>
      <c r="C114" s="113"/>
      <c r="D114" s="116">
        <v>57</v>
      </c>
      <c r="E114" s="117"/>
      <c r="H114">
        <v>298</v>
      </c>
      <c r="I114" s="99">
        <f t="shared" si="1"/>
        <v>57</v>
      </c>
    </row>
    <row r="115" spans="1:9" ht="14.45" customHeight="1" x14ac:dyDescent="0.25">
      <c r="A115" s="115" t="s">
        <v>3182</v>
      </c>
      <c r="B115" s="112">
        <v>3743.4</v>
      </c>
      <c r="C115" s="113"/>
      <c r="D115" s="116">
        <v>53</v>
      </c>
      <c r="E115" s="117"/>
      <c r="H115">
        <v>114</v>
      </c>
      <c r="I115" s="99">
        <f t="shared" si="1"/>
        <v>53</v>
      </c>
    </row>
    <row r="116" spans="1:9" ht="14.45" customHeight="1" x14ac:dyDescent="0.25">
      <c r="A116" s="115" t="s">
        <v>3357</v>
      </c>
      <c r="B116" s="112">
        <v>16589</v>
      </c>
      <c r="C116" s="113"/>
      <c r="D116" s="116">
        <v>63</v>
      </c>
      <c r="E116" s="117"/>
      <c r="H116">
        <v>250</v>
      </c>
      <c r="I116" s="99">
        <f t="shared" si="1"/>
        <v>63</v>
      </c>
    </row>
    <row r="117" spans="1:9" ht="14.45" customHeight="1" x14ac:dyDescent="0.25">
      <c r="A117" s="115" t="s">
        <v>2948</v>
      </c>
      <c r="B117" s="112">
        <v>10645.1</v>
      </c>
      <c r="C117" s="113"/>
      <c r="D117" s="116">
        <v>53</v>
      </c>
      <c r="E117" s="117"/>
      <c r="H117">
        <v>19</v>
      </c>
      <c r="I117" s="99">
        <f t="shared" si="1"/>
        <v>53</v>
      </c>
    </row>
    <row r="118" spans="1:9" ht="14.45" customHeight="1" x14ac:dyDescent="0.25">
      <c r="A118" s="115" t="s">
        <v>3405</v>
      </c>
      <c r="B118" s="112">
        <v>3074.4</v>
      </c>
      <c r="C118" s="113"/>
      <c r="D118" s="116">
        <v>52</v>
      </c>
      <c r="E118" s="117"/>
      <c r="H118">
        <v>317</v>
      </c>
      <c r="I118" s="99">
        <f t="shared" si="1"/>
        <v>52</v>
      </c>
    </row>
    <row r="119" spans="1:9" ht="14.45" customHeight="1" x14ac:dyDescent="0.25">
      <c r="A119" s="115" t="s">
        <v>3003</v>
      </c>
      <c r="B119" s="112">
        <v>10827.2</v>
      </c>
      <c r="C119" s="113"/>
      <c r="D119" s="116">
        <v>46</v>
      </c>
      <c r="E119" s="117"/>
      <c r="H119">
        <v>71</v>
      </c>
      <c r="I119" s="99">
        <f t="shared" si="1"/>
        <v>46</v>
      </c>
    </row>
    <row r="120" spans="1:9" ht="14.45" customHeight="1" x14ac:dyDescent="0.25">
      <c r="A120" s="115" t="s">
        <v>2996</v>
      </c>
      <c r="B120" s="112">
        <v>8403.6</v>
      </c>
      <c r="C120" s="113"/>
      <c r="D120" s="116">
        <v>55</v>
      </c>
      <c r="E120" s="117"/>
      <c r="H120">
        <v>64</v>
      </c>
      <c r="I120" s="99">
        <f t="shared" si="1"/>
        <v>55</v>
      </c>
    </row>
    <row r="121" spans="1:9" ht="14.45" customHeight="1" x14ac:dyDescent="0.25">
      <c r="A121" s="115" t="s">
        <v>3198</v>
      </c>
      <c r="B121" s="112">
        <v>11611.3</v>
      </c>
      <c r="C121" s="113"/>
      <c r="D121" s="116">
        <v>54</v>
      </c>
      <c r="E121" s="117"/>
      <c r="H121">
        <v>115</v>
      </c>
      <c r="I121" s="99">
        <f t="shared" si="1"/>
        <v>54</v>
      </c>
    </row>
    <row r="122" spans="1:9" ht="14.45" customHeight="1" x14ac:dyDescent="0.25">
      <c r="A122" s="115" t="s">
        <v>3174</v>
      </c>
      <c r="B122" s="112">
        <v>10611.3</v>
      </c>
      <c r="C122" s="113"/>
      <c r="D122" s="116">
        <v>53</v>
      </c>
      <c r="E122" s="117"/>
      <c r="H122">
        <v>97</v>
      </c>
      <c r="I122" s="99">
        <f t="shared" si="1"/>
        <v>53</v>
      </c>
    </row>
    <row r="123" spans="1:9" ht="14.45" customHeight="1" x14ac:dyDescent="0.25">
      <c r="A123" s="115" t="s">
        <v>3168</v>
      </c>
      <c r="B123" s="112">
        <v>11362.7</v>
      </c>
      <c r="C123" s="113"/>
      <c r="D123" s="116">
        <v>49</v>
      </c>
      <c r="E123" s="117"/>
      <c r="H123">
        <v>91</v>
      </c>
      <c r="I123" s="99">
        <f t="shared" si="1"/>
        <v>49</v>
      </c>
    </row>
    <row r="124" spans="1:9" ht="14.45" customHeight="1" x14ac:dyDescent="0.25">
      <c r="A124" s="115" t="s">
        <v>3007</v>
      </c>
      <c r="B124" s="112">
        <v>3622.5</v>
      </c>
      <c r="C124" s="113"/>
      <c r="D124" s="116">
        <v>48</v>
      </c>
      <c r="E124" s="117"/>
      <c r="H124">
        <v>74</v>
      </c>
      <c r="I124" s="99">
        <f t="shared" si="1"/>
        <v>48</v>
      </c>
    </row>
    <row r="125" spans="1:9" ht="14.45" customHeight="1" x14ac:dyDescent="0.25">
      <c r="A125" s="115" t="s">
        <v>2990</v>
      </c>
      <c r="B125" s="112">
        <v>11112.8</v>
      </c>
      <c r="C125" s="113"/>
      <c r="D125" s="116">
        <v>48</v>
      </c>
      <c r="E125" s="117"/>
      <c r="H125">
        <v>57</v>
      </c>
      <c r="I125" s="99">
        <f t="shared" si="1"/>
        <v>48</v>
      </c>
    </row>
    <row r="126" spans="1:9" ht="14.45" customHeight="1" x14ac:dyDescent="0.25">
      <c r="A126" s="115" t="s">
        <v>2986</v>
      </c>
      <c r="B126" s="112">
        <v>3728.5</v>
      </c>
      <c r="C126" s="113"/>
      <c r="D126" s="116">
        <v>45</v>
      </c>
      <c r="E126" s="117"/>
      <c r="H126">
        <v>40</v>
      </c>
      <c r="I126" s="99">
        <f t="shared" si="1"/>
        <v>45</v>
      </c>
    </row>
    <row r="127" spans="1:9" ht="14.45" customHeight="1" x14ac:dyDescent="0.25">
      <c r="A127" s="115" t="s">
        <v>3350</v>
      </c>
      <c r="B127" s="112">
        <v>11712.4</v>
      </c>
      <c r="C127" s="113"/>
      <c r="D127" s="116">
        <v>59</v>
      </c>
      <c r="E127" s="117"/>
      <c r="H127">
        <v>241</v>
      </c>
      <c r="I127" s="99">
        <f t="shared" si="1"/>
        <v>59</v>
      </c>
    </row>
    <row r="128" spans="1:9" ht="14.45" customHeight="1" x14ac:dyDescent="0.25">
      <c r="A128" s="115" t="s">
        <v>3406</v>
      </c>
      <c r="B128" s="112">
        <v>11243.8</v>
      </c>
      <c r="C128" s="113"/>
      <c r="D128" s="116">
        <v>53</v>
      </c>
      <c r="E128" s="117"/>
      <c r="H128">
        <v>330</v>
      </c>
      <c r="I128" s="99">
        <f t="shared" si="1"/>
        <v>53</v>
      </c>
    </row>
    <row r="129" spans="1:9" ht="14.45" customHeight="1" x14ac:dyDescent="0.25">
      <c r="A129" s="115" t="s">
        <v>3407</v>
      </c>
      <c r="B129" s="112">
        <v>11488.8</v>
      </c>
      <c r="C129" s="113"/>
      <c r="D129" s="116">
        <v>55</v>
      </c>
      <c r="E129" s="117"/>
      <c r="H129">
        <v>301</v>
      </c>
      <c r="I129" s="99">
        <f t="shared" si="1"/>
        <v>55</v>
      </c>
    </row>
    <row r="130" spans="1:9" ht="14.45" customHeight="1" x14ac:dyDescent="0.25">
      <c r="A130" s="115" t="s">
        <v>2949</v>
      </c>
      <c r="B130" s="112">
        <v>12936.4</v>
      </c>
      <c r="C130" s="113"/>
      <c r="D130" s="116">
        <v>49</v>
      </c>
      <c r="E130" s="117"/>
      <c r="H130">
        <v>14</v>
      </c>
      <c r="I130" s="99">
        <f t="shared" si="1"/>
        <v>49</v>
      </c>
    </row>
    <row r="131" spans="1:9" ht="14.45" customHeight="1" x14ac:dyDescent="0.25">
      <c r="A131" s="115" t="s">
        <v>2980</v>
      </c>
      <c r="B131" s="112">
        <v>3658.1</v>
      </c>
      <c r="C131" s="113"/>
      <c r="D131" s="116">
        <v>43</v>
      </c>
      <c r="E131" s="117"/>
      <c r="H131">
        <v>46</v>
      </c>
      <c r="I131" s="99">
        <f t="shared" si="1"/>
        <v>43</v>
      </c>
    </row>
    <row r="132" spans="1:9" ht="14.45" customHeight="1" x14ac:dyDescent="0.25">
      <c r="A132" s="115" t="s">
        <v>3256</v>
      </c>
      <c r="B132" s="112">
        <v>11574</v>
      </c>
      <c r="C132" s="113"/>
      <c r="D132" s="116">
        <v>61</v>
      </c>
      <c r="E132" s="117"/>
      <c r="H132">
        <v>162</v>
      </c>
      <c r="I132" s="99">
        <f t="shared" si="1"/>
        <v>61</v>
      </c>
    </row>
    <row r="133" spans="1:9" ht="14.45" customHeight="1" x14ac:dyDescent="0.25">
      <c r="A133" s="115" t="s">
        <v>3264</v>
      </c>
      <c r="B133" s="112">
        <v>3687.6</v>
      </c>
      <c r="C133" s="113"/>
      <c r="D133" s="116">
        <v>56</v>
      </c>
      <c r="E133" s="117"/>
      <c r="H133">
        <v>170</v>
      </c>
      <c r="I133" s="99">
        <f t="shared" si="1"/>
        <v>56</v>
      </c>
    </row>
    <row r="134" spans="1:9" ht="14.45" customHeight="1" x14ac:dyDescent="0.25">
      <c r="A134" s="115" t="s">
        <v>3215</v>
      </c>
      <c r="B134" s="112">
        <v>11987.5</v>
      </c>
      <c r="C134" s="113"/>
      <c r="D134" s="116">
        <v>55</v>
      </c>
      <c r="E134" s="117"/>
      <c r="H134">
        <v>136</v>
      </c>
      <c r="I134" s="99">
        <f t="shared" si="1"/>
        <v>55</v>
      </c>
    </row>
    <row r="135" spans="1:9" ht="14.45" customHeight="1" x14ac:dyDescent="0.25">
      <c r="A135" s="115" t="s">
        <v>2950</v>
      </c>
      <c r="B135" s="112">
        <v>11739.8</v>
      </c>
      <c r="C135" s="113"/>
      <c r="D135" s="116">
        <v>53</v>
      </c>
      <c r="E135" s="117"/>
      <c r="H135">
        <v>33</v>
      </c>
      <c r="I135" s="99">
        <f t="shared" si="1"/>
        <v>53</v>
      </c>
    </row>
    <row r="136" spans="1:9" ht="14.45" customHeight="1" x14ac:dyDescent="0.25">
      <c r="A136" s="115" t="s">
        <v>2991</v>
      </c>
      <c r="B136" s="112">
        <v>11067.7</v>
      </c>
      <c r="C136" s="113"/>
      <c r="D136" s="116">
        <v>47</v>
      </c>
      <c r="E136" s="117"/>
      <c r="H136">
        <v>59</v>
      </c>
      <c r="I136" s="99">
        <f t="shared" si="1"/>
        <v>47</v>
      </c>
    </row>
    <row r="137" spans="1:9" ht="14.45" customHeight="1" x14ac:dyDescent="0.25">
      <c r="A137" s="115" t="s">
        <v>2951</v>
      </c>
      <c r="B137" s="112">
        <v>10779</v>
      </c>
      <c r="C137" s="113"/>
      <c r="D137" s="116">
        <v>53</v>
      </c>
      <c r="E137" s="117"/>
      <c r="H137">
        <v>23</v>
      </c>
      <c r="I137" s="99">
        <f t="shared" si="1"/>
        <v>53</v>
      </c>
    </row>
    <row r="138" spans="1:9" ht="14.45" customHeight="1" x14ac:dyDescent="0.25">
      <c r="A138" s="115" t="s">
        <v>3171</v>
      </c>
      <c r="B138" s="112">
        <v>11952.9</v>
      </c>
      <c r="C138" s="113"/>
      <c r="D138" s="116">
        <v>51</v>
      </c>
      <c r="E138" s="117"/>
      <c r="H138">
        <v>92</v>
      </c>
      <c r="I138" s="99">
        <f t="shared" si="1"/>
        <v>51</v>
      </c>
    </row>
    <row r="139" spans="1:9" ht="14.45" customHeight="1" x14ac:dyDescent="0.25">
      <c r="A139" s="115" t="s">
        <v>3900</v>
      </c>
      <c r="B139" s="112">
        <v>10683.8</v>
      </c>
      <c r="C139" s="113"/>
      <c r="D139" s="116">
        <v>56</v>
      </c>
      <c r="E139" s="117"/>
      <c r="H139">
        <v>658</v>
      </c>
      <c r="I139" s="99">
        <f t="shared" si="1"/>
        <v>56</v>
      </c>
    </row>
    <row r="140" spans="1:9" ht="14.45" customHeight="1" x14ac:dyDescent="0.25">
      <c r="A140" s="115" t="s">
        <v>3408</v>
      </c>
      <c r="B140" s="112">
        <v>4701</v>
      </c>
      <c r="C140" s="113"/>
      <c r="D140" s="116">
        <v>57</v>
      </c>
      <c r="E140" s="117"/>
      <c r="H140">
        <v>327</v>
      </c>
      <c r="I140" s="99">
        <f t="shared" si="1"/>
        <v>57</v>
      </c>
    </row>
    <row r="141" spans="1:9" ht="14.45" customHeight="1" x14ac:dyDescent="0.25">
      <c r="A141" s="115" t="s">
        <v>2952</v>
      </c>
      <c r="B141" s="112">
        <v>10516.7</v>
      </c>
      <c r="C141" s="113"/>
      <c r="D141" s="116">
        <v>55</v>
      </c>
      <c r="E141" s="117"/>
      <c r="H141">
        <v>28</v>
      </c>
      <c r="I141" s="99">
        <f t="shared" ref="I141:I204" si="2">D141</f>
        <v>55</v>
      </c>
    </row>
    <row r="142" spans="1:9" ht="14.45" customHeight="1" x14ac:dyDescent="0.25">
      <c r="A142" s="115" t="s">
        <v>3409</v>
      </c>
      <c r="B142" s="112">
        <v>11787.2</v>
      </c>
      <c r="C142" s="113"/>
      <c r="D142" s="116">
        <v>60</v>
      </c>
      <c r="E142" s="117"/>
      <c r="H142">
        <v>332</v>
      </c>
      <c r="I142" s="99">
        <f t="shared" si="2"/>
        <v>60</v>
      </c>
    </row>
    <row r="143" spans="1:9" ht="14.45" customHeight="1" x14ac:dyDescent="0.25">
      <c r="A143" s="115" t="s">
        <v>3318</v>
      </c>
      <c r="B143" s="112">
        <v>10574</v>
      </c>
      <c r="C143" s="113"/>
      <c r="D143" s="116">
        <v>63</v>
      </c>
      <c r="E143" s="117"/>
      <c r="H143">
        <v>220</v>
      </c>
      <c r="I143" s="99">
        <f t="shared" si="2"/>
        <v>63</v>
      </c>
    </row>
    <row r="144" spans="1:9" ht="14.45" customHeight="1" x14ac:dyDescent="0.25">
      <c r="A144" s="115" t="s">
        <v>3410</v>
      </c>
      <c r="B144" s="112">
        <v>10679</v>
      </c>
      <c r="C144" s="113"/>
      <c r="D144" s="116">
        <v>52</v>
      </c>
      <c r="E144" s="117"/>
      <c r="H144">
        <v>336</v>
      </c>
      <c r="I144" s="99">
        <f t="shared" si="2"/>
        <v>52</v>
      </c>
    </row>
    <row r="145" spans="1:9" ht="14.45" customHeight="1" x14ac:dyDescent="0.25">
      <c r="A145" s="115" t="s">
        <v>3254</v>
      </c>
      <c r="B145" s="112">
        <v>11547</v>
      </c>
      <c r="C145" s="113"/>
      <c r="D145" s="116">
        <v>60</v>
      </c>
      <c r="E145" s="117"/>
      <c r="H145">
        <v>160</v>
      </c>
      <c r="I145" s="99">
        <f t="shared" si="2"/>
        <v>60</v>
      </c>
    </row>
    <row r="146" spans="1:9" ht="14.45" customHeight="1" x14ac:dyDescent="0.25">
      <c r="A146" s="115" t="s">
        <v>3287</v>
      </c>
      <c r="B146" s="112">
        <v>5920.6</v>
      </c>
      <c r="C146" s="113"/>
      <c r="D146" s="116">
        <v>55</v>
      </c>
      <c r="E146" s="117"/>
      <c r="H146">
        <v>191</v>
      </c>
      <c r="I146" s="99">
        <f t="shared" si="2"/>
        <v>55</v>
      </c>
    </row>
    <row r="147" spans="1:9" ht="14.45" customHeight="1" x14ac:dyDescent="0.25">
      <c r="A147" s="115" t="s">
        <v>3411</v>
      </c>
      <c r="B147" s="112">
        <v>3858.8</v>
      </c>
      <c r="C147" s="113"/>
      <c r="D147" s="116">
        <v>55</v>
      </c>
      <c r="E147" s="117"/>
      <c r="H147">
        <v>300</v>
      </c>
      <c r="I147" s="99">
        <f t="shared" si="2"/>
        <v>55</v>
      </c>
    </row>
    <row r="148" spans="1:9" ht="14.45" customHeight="1" x14ac:dyDescent="0.25">
      <c r="A148" s="115" t="s">
        <v>3352</v>
      </c>
      <c r="B148" s="112">
        <v>12311.2</v>
      </c>
      <c r="C148" s="113"/>
      <c r="D148" s="116">
        <v>57</v>
      </c>
      <c r="E148" s="117"/>
      <c r="H148">
        <v>253</v>
      </c>
      <c r="I148" s="99">
        <f t="shared" si="2"/>
        <v>57</v>
      </c>
    </row>
    <row r="149" spans="1:9" ht="14.45" customHeight="1" x14ac:dyDescent="0.25">
      <c r="A149" s="115" t="s">
        <v>3412</v>
      </c>
      <c r="B149" s="112">
        <v>10978.2</v>
      </c>
      <c r="C149" s="113"/>
      <c r="D149" s="116">
        <v>51</v>
      </c>
      <c r="E149" s="117"/>
      <c r="H149">
        <v>337</v>
      </c>
      <c r="I149" s="99">
        <f t="shared" si="2"/>
        <v>51</v>
      </c>
    </row>
    <row r="150" spans="1:9" ht="14.45" customHeight="1" x14ac:dyDescent="0.25">
      <c r="A150" s="115" t="s">
        <v>3183</v>
      </c>
      <c r="B150" s="112">
        <v>3762</v>
      </c>
      <c r="C150" s="113"/>
      <c r="D150" s="116">
        <v>50</v>
      </c>
      <c r="E150" s="117"/>
      <c r="H150">
        <v>105</v>
      </c>
      <c r="I150" s="99">
        <f t="shared" si="2"/>
        <v>50</v>
      </c>
    </row>
    <row r="151" spans="1:9" ht="14.45" customHeight="1" x14ac:dyDescent="0.25">
      <c r="A151" s="115" t="s">
        <v>2977</v>
      </c>
      <c r="B151" s="112">
        <v>10835.8</v>
      </c>
      <c r="C151" s="113"/>
      <c r="D151" s="116">
        <v>47</v>
      </c>
      <c r="E151" s="117"/>
      <c r="H151">
        <v>43</v>
      </c>
      <c r="I151" s="99">
        <f t="shared" si="2"/>
        <v>47</v>
      </c>
    </row>
    <row r="152" spans="1:9" ht="14.45" customHeight="1" x14ac:dyDescent="0.25">
      <c r="A152" s="115" t="s">
        <v>3299</v>
      </c>
      <c r="B152" s="112">
        <v>11382.1</v>
      </c>
      <c r="C152" s="113"/>
      <c r="D152" s="116">
        <v>55</v>
      </c>
      <c r="E152" s="117"/>
      <c r="H152">
        <v>208</v>
      </c>
      <c r="I152" s="99">
        <f t="shared" si="2"/>
        <v>55</v>
      </c>
    </row>
    <row r="153" spans="1:9" ht="14.45" customHeight="1" x14ac:dyDescent="0.25">
      <c r="A153" s="115" t="s">
        <v>3243</v>
      </c>
      <c r="B153" s="112">
        <v>3991.4</v>
      </c>
      <c r="C153" s="113"/>
      <c r="D153" s="116">
        <v>54</v>
      </c>
      <c r="E153" s="117"/>
      <c r="H153">
        <v>149</v>
      </c>
      <c r="I153" s="99">
        <f t="shared" si="2"/>
        <v>54</v>
      </c>
    </row>
    <row r="154" spans="1:9" ht="14.45" customHeight="1" x14ac:dyDescent="0.25">
      <c r="A154" s="115" t="s">
        <v>3006</v>
      </c>
      <c r="B154" s="112">
        <v>11130.3</v>
      </c>
      <c r="C154" s="113"/>
      <c r="D154" s="116">
        <v>50</v>
      </c>
      <c r="E154" s="117"/>
      <c r="H154">
        <v>75</v>
      </c>
      <c r="I154" s="99">
        <f t="shared" si="2"/>
        <v>50</v>
      </c>
    </row>
    <row r="155" spans="1:9" ht="14.45" customHeight="1" x14ac:dyDescent="0.25">
      <c r="A155" s="115" t="s">
        <v>3517</v>
      </c>
      <c r="B155" s="112">
        <v>11230</v>
      </c>
      <c r="C155" s="113"/>
      <c r="D155" s="116">
        <v>53</v>
      </c>
      <c r="E155" s="117"/>
      <c r="H155">
        <v>280</v>
      </c>
      <c r="I155" s="99">
        <f t="shared" si="2"/>
        <v>53</v>
      </c>
    </row>
    <row r="156" spans="1:9" ht="14.45" customHeight="1" x14ac:dyDescent="0.25">
      <c r="A156" s="115" t="s">
        <v>3008</v>
      </c>
      <c r="B156" s="112">
        <v>10827.2</v>
      </c>
      <c r="C156" s="113"/>
      <c r="D156" s="116">
        <v>53</v>
      </c>
      <c r="E156" s="117"/>
      <c r="H156">
        <v>76</v>
      </c>
      <c r="I156" s="99">
        <f t="shared" si="2"/>
        <v>53</v>
      </c>
    </row>
    <row r="157" spans="1:9" ht="14.45" customHeight="1" x14ac:dyDescent="0.25">
      <c r="A157" s="115" t="s">
        <v>3413</v>
      </c>
      <c r="B157" s="112">
        <v>10338.5</v>
      </c>
      <c r="C157" s="113"/>
      <c r="D157" s="116">
        <v>53</v>
      </c>
      <c r="E157" s="117"/>
      <c r="H157">
        <v>312</v>
      </c>
      <c r="I157" s="99">
        <f t="shared" si="2"/>
        <v>53</v>
      </c>
    </row>
    <row r="158" spans="1:9" ht="14.45" customHeight="1" x14ac:dyDescent="0.25">
      <c r="A158" s="115" t="s">
        <v>3340</v>
      </c>
      <c r="B158" s="112">
        <v>11862</v>
      </c>
      <c r="C158" s="113"/>
      <c r="D158" s="116">
        <v>60</v>
      </c>
      <c r="E158" s="117"/>
      <c r="H158">
        <v>244</v>
      </c>
      <c r="I158" s="99">
        <f t="shared" si="2"/>
        <v>60</v>
      </c>
    </row>
    <row r="159" spans="1:9" ht="14.45" customHeight="1" x14ac:dyDescent="0.25">
      <c r="A159" s="115" t="s">
        <v>3184</v>
      </c>
      <c r="B159" s="112">
        <v>11513.8</v>
      </c>
      <c r="C159" s="113"/>
      <c r="D159" s="116">
        <v>53</v>
      </c>
      <c r="E159" s="117"/>
      <c r="H159">
        <v>106</v>
      </c>
      <c r="I159" s="99">
        <f t="shared" si="2"/>
        <v>53</v>
      </c>
    </row>
    <row r="160" spans="1:9" ht="14.45" customHeight="1" x14ac:dyDescent="0.25">
      <c r="A160" s="115" t="s">
        <v>2983</v>
      </c>
      <c r="B160" s="112">
        <v>10472.9</v>
      </c>
      <c r="C160" s="113"/>
      <c r="D160" s="116">
        <v>50</v>
      </c>
      <c r="E160" s="117"/>
      <c r="H160">
        <v>49</v>
      </c>
      <c r="I160" s="99">
        <f t="shared" si="2"/>
        <v>50</v>
      </c>
    </row>
    <row r="161" spans="1:9" ht="14.45" customHeight="1" x14ac:dyDescent="0.25">
      <c r="A161" s="115" t="s">
        <v>3354</v>
      </c>
      <c r="B161" s="112">
        <v>12015</v>
      </c>
      <c r="C161" s="113"/>
      <c r="D161" s="116">
        <v>62</v>
      </c>
      <c r="E161" s="117"/>
      <c r="H161">
        <v>251</v>
      </c>
      <c r="I161" s="99">
        <f t="shared" si="2"/>
        <v>62</v>
      </c>
    </row>
    <row r="162" spans="1:9" ht="14.45" customHeight="1" x14ac:dyDescent="0.25">
      <c r="A162" s="115" t="s">
        <v>3170</v>
      </c>
      <c r="B162" s="112">
        <v>10738.7</v>
      </c>
      <c r="C162" s="113"/>
      <c r="D162" s="116">
        <v>48</v>
      </c>
      <c r="E162" s="117"/>
      <c r="H162">
        <v>96</v>
      </c>
      <c r="I162" s="99">
        <f t="shared" si="2"/>
        <v>48</v>
      </c>
    </row>
    <row r="163" spans="1:9" ht="14.45" customHeight="1" x14ac:dyDescent="0.25">
      <c r="A163" s="115" t="s">
        <v>3216</v>
      </c>
      <c r="B163" s="112">
        <v>3734.9</v>
      </c>
      <c r="C163" s="113"/>
      <c r="D163" s="116">
        <v>53</v>
      </c>
      <c r="E163" s="117"/>
      <c r="H163">
        <v>124</v>
      </c>
      <c r="I163" s="99">
        <f t="shared" si="2"/>
        <v>53</v>
      </c>
    </row>
    <row r="164" spans="1:9" ht="14.45" customHeight="1" x14ac:dyDescent="0.25">
      <c r="A164" s="115" t="s">
        <v>2993</v>
      </c>
      <c r="B164" s="112">
        <v>11034.6</v>
      </c>
      <c r="C164" s="113"/>
      <c r="D164" s="116">
        <v>56</v>
      </c>
      <c r="E164" s="117"/>
      <c r="H164">
        <v>61</v>
      </c>
      <c r="I164" s="99">
        <f t="shared" si="2"/>
        <v>56</v>
      </c>
    </row>
    <row r="165" spans="1:9" ht="14.45" customHeight="1" x14ac:dyDescent="0.25">
      <c r="A165" s="115" t="s">
        <v>3250</v>
      </c>
      <c r="B165" s="112">
        <v>11628</v>
      </c>
      <c r="C165" s="113"/>
      <c r="D165" s="116">
        <v>63</v>
      </c>
      <c r="E165" s="117"/>
      <c r="H165">
        <v>155</v>
      </c>
      <c r="I165" s="99">
        <f t="shared" si="2"/>
        <v>63</v>
      </c>
    </row>
    <row r="166" spans="1:9" ht="14.45" customHeight="1" x14ac:dyDescent="0.25">
      <c r="A166" s="115" t="s">
        <v>3185</v>
      </c>
      <c r="B166" s="112">
        <v>9988.7000000000007</v>
      </c>
      <c r="C166" s="113"/>
      <c r="D166" s="116">
        <v>48</v>
      </c>
      <c r="E166" s="117"/>
      <c r="H166">
        <v>101</v>
      </c>
      <c r="I166" s="99">
        <f t="shared" si="2"/>
        <v>48</v>
      </c>
    </row>
    <row r="167" spans="1:9" ht="14.45" customHeight="1" x14ac:dyDescent="0.25">
      <c r="A167" s="115" t="s">
        <v>3414</v>
      </c>
      <c r="B167" s="112">
        <v>12231.1</v>
      </c>
      <c r="C167" s="113"/>
      <c r="D167" s="116">
        <v>53</v>
      </c>
      <c r="E167" s="117"/>
      <c r="H167">
        <v>290</v>
      </c>
      <c r="I167" s="99">
        <f t="shared" si="2"/>
        <v>53</v>
      </c>
    </row>
    <row r="168" spans="1:9" ht="14.45" customHeight="1" x14ac:dyDescent="0.25">
      <c r="A168" s="115" t="s">
        <v>3316</v>
      </c>
      <c r="B168" s="112">
        <v>11092.5</v>
      </c>
      <c r="C168" s="113"/>
      <c r="D168" s="116">
        <v>62</v>
      </c>
      <c r="E168" s="117"/>
      <c r="H168">
        <v>219</v>
      </c>
      <c r="I168" s="99">
        <f t="shared" si="2"/>
        <v>62</v>
      </c>
    </row>
    <row r="169" spans="1:9" ht="14.45" customHeight="1" x14ac:dyDescent="0.25">
      <c r="A169" s="115" t="s">
        <v>3302</v>
      </c>
      <c r="B169" s="112">
        <v>10537.8</v>
      </c>
      <c r="C169" s="113"/>
      <c r="D169" s="116">
        <v>57</v>
      </c>
      <c r="E169" s="117"/>
      <c r="H169">
        <v>205</v>
      </c>
      <c r="I169" s="99">
        <f t="shared" si="2"/>
        <v>57</v>
      </c>
    </row>
    <row r="170" spans="1:9" ht="14.45" customHeight="1" x14ac:dyDescent="0.25">
      <c r="A170" s="115" t="s">
        <v>3268</v>
      </c>
      <c r="B170" s="112">
        <v>11240.7</v>
      </c>
      <c r="C170" s="113"/>
      <c r="D170" s="116">
        <v>59</v>
      </c>
      <c r="E170" s="117"/>
      <c r="H170">
        <v>174</v>
      </c>
      <c r="I170" s="99">
        <f t="shared" si="2"/>
        <v>59</v>
      </c>
    </row>
    <row r="171" spans="1:9" ht="14.45" customHeight="1" x14ac:dyDescent="0.25">
      <c r="A171" s="115" t="s">
        <v>3186</v>
      </c>
      <c r="B171" s="112">
        <v>11688.7</v>
      </c>
      <c r="C171" s="113"/>
      <c r="D171" s="116">
        <v>54</v>
      </c>
      <c r="E171" s="117"/>
      <c r="H171">
        <v>121</v>
      </c>
      <c r="I171" s="99">
        <f t="shared" si="2"/>
        <v>54</v>
      </c>
    </row>
    <row r="172" spans="1:9" ht="14.45" customHeight="1" x14ac:dyDescent="0.25">
      <c r="A172" s="115" t="s">
        <v>2971</v>
      </c>
      <c r="B172" s="112">
        <v>10772.3</v>
      </c>
      <c r="C172" s="113"/>
      <c r="D172" s="116">
        <v>48</v>
      </c>
      <c r="E172" s="117"/>
      <c r="H172">
        <v>53</v>
      </c>
      <c r="I172" s="99">
        <f t="shared" si="2"/>
        <v>48</v>
      </c>
    </row>
    <row r="173" spans="1:9" ht="14.45" customHeight="1" x14ac:dyDescent="0.25">
      <c r="A173" s="115" t="s">
        <v>3901</v>
      </c>
      <c r="B173" s="112">
        <v>10952.6</v>
      </c>
      <c r="C173" s="113"/>
      <c r="D173" s="116">
        <v>58</v>
      </c>
      <c r="E173" s="117"/>
      <c r="H173">
        <v>664</v>
      </c>
      <c r="I173" s="99">
        <f t="shared" si="2"/>
        <v>58</v>
      </c>
    </row>
    <row r="174" spans="1:9" ht="14.45" customHeight="1" x14ac:dyDescent="0.25">
      <c r="A174" s="115" t="s">
        <v>2988</v>
      </c>
      <c r="B174" s="112">
        <v>3883.8</v>
      </c>
      <c r="C174" s="113"/>
      <c r="D174" s="116">
        <v>45</v>
      </c>
      <c r="E174" s="117"/>
      <c r="H174">
        <v>58</v>
      </c>
      <c r="I174" s="99">
        <f t="shared" si="2"/>
        <v>45</v>
      </c>
    </row>
    <row r="175" spans="1:9" ht="14.45" customHeight="1" x14ac:dyDescent="0.25">
      <c r="A175" s="115" t="s">
        <v>3667</v>
      </c>
      <c r="B175" s="112">
        <v>11448</v>
      </c>
      <c r="C175" s="113"/>
      <c r="D175" s="116">
        <v>53</v>
      </c>
      <c r="E175" s="117"/>
      <c r="H175">
        <v>270</v>
      </c>
      <c r="I175" s="99">
        <f t="shared" si="2"/>
        <v>53</v>
      </c>
    </row>
    <row r="176" spans="1:9" ht="14.45" customHeight="1" x14ac:dyDescent="0.25">
      <c r="A176" s="115" t="s">
        <v>3265</v>
      </c>
      <c r="B176" s="112">
        <v>11682</v>
      </c>
      <c r="C176" s="113"/>
      <c r="D176" s="116">
        <v>58</v>
      </c>
      <c r="E176" s="117"/>
      <c r="H176">
        <v>171</v>
      </c>
      <c r="I176" s="99">
        <f t="shared" si="2"/>
        <v>58</v>
      </c>
    </row>
    <row r="177" spans="1:9" ht="14.45" customHeight="1" x14ac:dyDescent="0.25">
      <c r="A177" s="115" t="s">
        <v>3355</v>
      </c>
      <c r="B177" s="112">
        <v>3706.2</v>
      </c>
      <c r="C177" s="113"/>
      <c r="D177" s="116">
        <v>57</v>
      </c>
      <c r="E177" s="117"/>
      <c r="H177">
        <v>252</v>
      </c>
      <c r="I177" s="99">
        <f t="shared" si="2"/>
        <v>57</v>
      </c>
    </row>
    <row r="178" spans="1:9" ht="14.45" customHeight="1" x14ac:dyDescent="0.25">
      <c r="A178" s="115" t="s">
        <v>3159</v>
      </c>
      <c r="B178" s="112">
        <v>10931.9</v>
      </c>
      <c r="C178" s="113"/>
      <c r="D178" s="116">
        <v>49</v>
      </c>
      <c r="E178" s="117"/>
      <c r="H178">
        <v>82</v>
      </c>
      <c r="I178" s="99">
        <f t="shared" si="2"/>
        <v>49</v>
      </c>
    </row>
    <row r="179" spans="1:9" ht="14.45" customHeight="1" x14ac:dyDescent="0.25">
      <c r="A179" s="115" t="s">
        <v>3415</v>
      </c>
      <c r="B179" s="112">
        <v>11935</v>
      </c>
      <c r="C179" s="113"/>
      <c r="D179" s="116">
        <v>55</v>
      </c>
      <c r="E179" s="117"/>
      <c r="H179">
        <v>338</v>
      </c>
      <c r="I179" s="99">
        <f t="shared" si="2"/>
        <v>55</v>
      </c>
    </row>
    <row r="180" spans="1:9" ht="14.45" customHeight="1" x14ac:dyDescent="0.25">
      <c r="A180" s="115" t="s">
        <v>3217</v>
      </c>
      <c r="B180" s="112">
        <v>11730.4</v>
      </c>
      <c r="C180" s="113"/>
      <c r="D180" s="116">
        <v>61</v>
      </c>
      <c r="E180" s="117"/>
      <c r="H180">
        <v>135</v>
      </c>
      <c r="I180" s="99">
        <f t="shared" si="2"/>
        <v>61</v>
      </c>
    </row>
    <row r="181" spans="1:9" ht="14.45" customHeight="1" x14ac:dyDescent="0.25">
      <c r="A181" s="115" t="s">
        <v>3513</v>
      </c>
      <c r="B181" s="112">
        <v>11111</v>
      </c>
      <c r="C181" s="113"/>
      <c r="D181" s="116">
        <v>52</v>
      </c>
      <c r="E181" s="117"/>
      <c r="H181">
        <v>274</v>
      </c>
      <c r="I181" s="99">
        <f t="shared" si="2"/>
        <v>52</v>
      </c>
    </row>
    <row r="182" spans="1:9" ht="14.45" customHeight="1" x14ac:dyDescent="0.25">
      <c r="A182" s="115" t="s">
        <v>3416</v>
      </c>
      <c r="B182" s="112">
        <v>5334</v>
      </c>
      <c r="C182" s="113"/>
      <c r="D182" s="116">
        <v>58</v>
      </c>
      <c r="E182" s="117"/>
      <c r="H182">
        <v>279</v>
      </c>
      <c r="I182" s="99">
        <f t="shared" si="2"/>
        <v>58</v>
      </c>
    </row>
    <row r="183" spans="1:9" ht="14.45" customHeight="1" x14ac:dyDescent="0.25">
      <c r="A183" s="115" t="s">
        <v>3306</v>
      </c>
      <c r="B183" s="112">
        <v>13198.9</v>
      </c>
      <c r="C183" s="113"/>
      <c r="D183" s="116">
        <v>54</v>
      </c>
      <c r="E183" s="117"/>
      <c r="H183">
        <v>209</v>
      </c>
      <c r="I183" s="99">
        <f t="shared" si="2"/>
        <v>54</v>
      </c>
    </row>
    <row r="184" spans="1:9" ht="14.45" customHeight="1" x14ac:dyDescent="0.25">
      <c r="A184" s="115" t="s">
        <v>3902</v>
      </c>
      <c r="B184" s="112">
        <v>11978.8</v>
      </c>
      <c r="C184" s="113"/>
      <c r="D184" s="116">
        <v>61</v>
      </c>
      <c r="E184" s="117"/>
      <c r="H184">
        <v>669</v>
      </c>
      <c r="I184" s="99">
        <f t="shared" si="2"/>
        <v>61</v>
      </c>
    </row>
    <row r="185" spans="1:9" ht="14.45" customHeight="1" x14ac:dyDescent="0.25">
      <c r="A185" s="115" t="s">
        <v>3267</v>
      </c>
      <c r="B185" s="112">
        <v>10838.5</v>
      </c>
      <c r="C185" s="113"/>
      <c r="D185" s="116">
        <v>64</v>
      </c>
      <c r="E185" s="117"/>
      <c r="H185">
        <v>173</v>
      </c>
      <c r="I185" s="99">
        <f t="shared" si="2"/>
        <v>64</v>
      </c>
    </row>
    <row r="186" spans="1:9" ht="14.45" customHeight="1" x14ac:dyDescent="0.25">
      <c r="A186" s="115" t="s">
        <v>3903</v>
      </c>
      <c r="B186" s="112">
        <v>11900.8</v>
      </c>
      <c r="C186" s="113"/>
      <c r="D186" s="116">
        <v>59</v>
      </c>
      <c r="E186" s="117"/>
      <c r="H186">
        <v>667</v>
      </c>
      <c r="I186" s="99">
        <f t="shared" si="2"/>
        <v>59</v>
      </c>
    </row>
    <row r="187" spans="1:9" ht="14.45" customHeight="1" x14ac:dyDescent="0.25">
      <c r="A187" s="115" t="s">
        <v>3187</v>
      </c>
      <c r="B187" s="112">
        <v>3456.1</v>
      </c>
      <c r="C187" s="113"/>
      <c r="D187" s="116">
        <v>54</v>
      </c>
      <c r="E187" s="117"/>
      <c r="H187">
        <v>109</v>
      </c>
      <c r="I187" s="99">
        <f t="shared" si="2"/>
        <v>54</v>
      </c>
    </row>
    <row r="188" spans="1:9" ht="14.45" customHeight="1" x14ac:dyDescent="0.25">
      <c r="A188" s="115" t="s">
        <v>3009</v>
      </c>
      <c r="B188" s="112">
        <v>11458.2</v>
      </c>
      <c r="C188" s="113"/>
      <c r="D188" s="116">
        <v>53</v>
      </c>
      <c r="E188" s="117"/>
      <c r="H188">
        <v>77</v>
      </c>
      <c r="I188" s="99">
        <f t="shared" si="2"/>
        <v>53</v>
      </c>
    </row>
    <row r="189" spans="1:9" ht="14.45" customHeight="1" x14ac:dyDescent="0.25">
      <c r="A189" s="115" t="s">
        <v>3160</v>
      </c>
      <c r="B189" s="112">
        <v>10790.6</v>
      </c>
      <c r="C189" s="113"/>
      <c r="D189" s="116">
        <v>48</v>
      </c>
      <c r="E189" s="117"/>
      <c r="H189">
        <v>83</v>
      </c>
      <c r="I189" s="99">
        <f t="shared" si="2"/>
        <v>48</v>
      </c>
    </row>
    <row r="190" spans="1:9" ht="14.45" customHeight="1" x14ac:dyDescent="0.25">
      <c r="A190" s="115" t="s">
        <v>3176</v>
      </c>
      <c r="B190" s="112">
        <v>10605.3</v>
      </c>
      <c r="C190" s="113"/>
      <c r="D190" s="116">
        <v>53</v>
      </c>
      <c r="E190" s="117"/>
      <c r="H190">
        <v>99</v>
      </c>
      <c r="I190" s="99">
        <f t="shared" si="2"/>
        <v>53</v>
      </c>
    </row>
    <row r="191" spans="1:9" ht="14.45" customHeight="1" x14ac:dyDescent="0.25">
      <c r="A191" s="115" t="s">
        <v>3175</v>
      </c>
      <c r="B191" s="112">
        <v>11113.9</v>
      </c>
      <c r="C191" s="113"/>
      <c r="D191" s="116">
        <v>52</v>
      </c>
      <c r="E191" s="117"/>
      <c r="H191">
        <v>98</v>
      </c>
      <c r="I191" s="99">
        <f t="shared" si="2"/>
        <v>52</v>
      </c>
    </row>
    <row r="192" spans="1:9" ht="14.45" customHeight="1" x14ac:dyDescent="0.25">
      <c r="A192" s="115" t="s">
        <v>3417</v>
      </c>
      <c r="B192" s="112">
        <v>11272.3</v>
      </c>
      <c r="C192" s="113"/>
      <c r="D192" s="116">
        <v>55</v>
      </c>
      <c r="E192" s="117"/>
      <c r="H192">
        <v>289</v>
      </c>
      <c r="I192" s="99">
        <f t="shared" si="2"/>
        <v>55</v>
      </c>
    </row>
    <row r="193" spans="1:9" ht="14.45" customHeight="1" x14ac:dyDescent="0.25">
      <c r="A193" s="115" t="s">
        <v>3341</v>
      </c>
      <c r="B193" s="112">
        <v>11970</v>
      </c>
      <c r="C193" s="113"/>
      <c r="D193" s="116">
        <v>62</v>
      </c>
      <c r="E193" s="117"/>
      <c r="H193">
        <v>243</v>
      </c>
      <c r="I193" s="99">
        <f t="shared" si="2"/>
        <v>62</v>
      </c>
    </row>
    <row r="194" spans="1:9" ht="14.45" customHeight="1" x14ac:dyDescent="0.25">
      <c r="A194" s="115" t="s">
        <v>3253</v>
      </c>
      <c r="B194" s="112">
        <v>3880.3</v>
      </c>
      <c r="C194" s="113"/>
      <c r="D194" s="116">
        <v>59</v>
      </c>
      <c r="E194" s="117"/>
      <c r="H194">
        <v>159</v>
      </c>
      <c r="I194" s="99">
        <f t="shared" si="2"/>
        <v>59</v>
      </c>
    </row>
    <row r="195" spans="1:9" ht="14.45" customHeight="1" x14ac:dyDescent="0.25">
      <c r="A195" s="115" t="s">
        <v>3366</v>
      </c>
      <c r="B195" s="112">
        <v>11628.7</v>
      </c>
      <c r="C195" s="113"/>
      <c r="D195" s="116">
        <v>59</v>
      </c>
      <c r="E195" s="117"/>
      <c r="H195">
        <v>261</v>
      </c>
      <c r="I195" s="99">
        <f t="shared" si="2"/>
        <v>59</v>
      </c>
    </row>
    <row r="196" spans="1:9" ht="14.45" customHeight="1" x14ac:dyDescent="0.25">
      <c r="A196" s="115" t="s">
        <v>2992</v>
      </c>
      <c r="B196" s="112">
        <v>11035.1</v>
      </c>
      <c r="C196" s="113"/>
      <c r="D196" s="116">
        <v>50</v>
      </c>
      <c r="E196" s="117"/>
      <c r="H196">
        <v>60</v>
      </c>
      <c r="I196" s="99">
        <f t="shared" si="2"/>
        <v>50</v>
      </c>
    </row>
    <row r="197" spans="1:9" ht="14.45" customHeight="1" x14ac:dyDescent="0.25">
      <c r="A197" s="115" t="s">
        <v>3418</v>
      </c>
      <c r="B197" s="112">
        <v>11261.2</v>
      </c>
      <c r="C197" s="113"/>
      <c r="D197" s="116">
        <v>52</v>
      </c>
      <c r="E197" s="117"/>
      <c r="H197">
        <v>333</v>
      </c>
      <c r="I197" s="99">
        <f t="shared" si="2"/>
        <v>52</v>
      </c>
    </row>
    <row r="198" spans="1:9" ht="14.45" customHeight="1" x14ac:dyDescent="0.25">
      <c r="A198" s="115" t="s">
        <v>3218</v>
      </c>
      <c r="B198" s="112">
        <v>11608.1</v>
      </c>
      <c r="C198" s="113"/>
      <c r="D198" s="116">
        <v>55</v>
      </c>
      <c r="E198" s="117"/>
      <c r="H198">
        <v>140</v>
      </c>
      <c r="I198" s="99">
        <f t="shared" si="2"/>
        <v>55</v>
      </c>
    </row>
    <row r="199" spans="1:9" ht="14.45" customHeight="1" x14ac:dyDescent="0.25">
      <c r="A199" s="115" t="s">
        <v>3188</v>
      </c>
      <c r="B199" s="112">
        <v>11566.9</v>
      </c>
      <c r="C199" s="113"/>
      <c r="D199" s="116">
        <v>51</v>
      </c>
      <c r="E199" s="117"/>
      <c r="H199">
        <v>112</v>
      </c>
      <c r="I199" s="99">
        <f t="shared" si="2"/>
        <v>51</v>
      </c>
    </row>
    <row r="200" spans="1:9" ht="14.45" customHeight="1" x14ac:dyDescent="0.25">
      <c r="A200" s="115" t="s">
        <v>3285</v>
      </c>
      <c r="B200" s="112">
        <v>10881.8</v>
      </c>
      <c r="C200" s="113"/>
      <c r="D200" s="116">
        <v>58</v>
      </c>
      <c r="E200" s="117"/>
      <c r="H200">
        <v>190</v>
      </c>
      <c r="I200" s="99">
        <f t="shared" si="2"/>
        <v>58</v>
      </c>
    </row>
    <row r="201" spans="1:9" ht="14.45" customHeight="1" x14ac:dyDescent="0.25">
      <c r="A201" s="115" t="s">
        <v>2969</v>
      </c>
      <c r="B201" s="112">
        <v>12322.5</v>
      </c>
      <c r="C201" s="113"/>
      <c r="D201" s="116">
        <v>49</v>
      </c>
      <c r="E201" s="117"/>
      <c r="H201">
        <v>51</v>
      </c>
      <c r="I201" s="99">
        <f t="shared" si="2"/>
        <v>49</v>
      </c>
    </row>
    <row r="202" spans="1:9" ht="14.45" customHeight="1" x14ac:dyDescent="0.25">
      <c r="A202" s="115" t="s">
        <v>2953</v>
      </c>
      <c r="B202" s="112">
        <v>10489.2</v>
      </c>
      <c r="C202" s="113"/>
      <c r="D202" s="116">
        <v>53</v>
      </c>
      <c r="E202" s="117"/>
      <c r="H202">
        <v>26</v>
      </c>
      <c r="I202" s="99">
        <f t="shared" si="2"/>
        <v>53</v>
      </c>
    </row>
    <row r="203" spans="1:9" ht="14.45" customHeight="1" x14ac:dyDescent="0.25">
      <c r="A203" s="115" t="s">
        <v>3219</v>
      </c>
      <c r="B203" s="112">
        <v>3591.2</v>
      </c>
      <c r="C203" s="113"/>
      <c r="D203" s="116">
        <v>55</v>
      </c>
      <c r="E203" s="117"/>
      <c r="H203">
        <v>119</v>
      </c>
      <c r="I203" s="99">
        <f t="shared" si="2"/>
        <v>55</v>
      </c>
    </row>
    <row r="204" spans="1:9" ht="14.45" customHeight="1" x14ac:dyDescent="0.25">
      <c r="A204" s="115" t="s">
        <v>3249</v>
      </c>
      <c r="B204" s="112">
        <v>12088.8</v>
      </c>
      <c r="C204" s="113"/>
      <c r="D204" s="116">
        <v>64</v>
      </c>
      <c r="E204" s="117"/>
      <c r="H204">
        <v>157</v>
      </c>
      <c r="I204" s="99">
        <f t="shared" si="2"/>
        <v>64</v>
      </c>
    </row>
    <row r="205" spans="1:9" ht="14.45" customHeight="1" x14ac:dyDescent="0.25">
      <c r="A205" s="115" t="s">
        <v>3240</v>
      </c>
      <c r="B205" s="112">
        <v>11400.7</v>
      </c>
      <c r="C205" s="113"/>
      <c r="D205" s="116">
        <v>59</v>
      </c>
      <c r="E205" s="117"/>
      <c r="H205">
        <v>146</v>
      </c>
      <c r="I205" s="99">
        <f t="shared" ref="I205:I268" si="3">D205</f>
        <v>59</v>
      </c>
    </row>
    <row r="206" spans="1:9" ht="14.45" customHeight="1" x14ac:dyDescent="0.25">
      <c r="A206" s="115" t="s">
        <v>2954</v>
      </c>
      <c r="B206" s="112">
        <v>10683.9</v>
      </c>
      <c r="C206" s="113"/>
      <c r="D206" s="116">
        <v>50</v>
      </c>
      <c r="E206" s="117"/>
      <c r="H206">
        <v>16</v>
      </c>
      <c r="I206" s="99">
        <f t="shared" si="3"/>
        <v>50</v>
      </c>
    </row>
    <row r="207" spans="1:9" ht="14.45" customHeight="1" x14ac:dyDescent="0.25">
      <c r="A207" s="115" t="s">
        <v>2955</v>
      </c>
      <c r="B207" s="112">
        <v>11060.7</v>
      </c>
      <c r="C207" s="113"/>
      <c r="D207" s="116">
        <v>52</v>
      </c>
      <c r="E207" s="117"/>
      <c r="H207">
        <v>21</v>
      </c>
      <c r="I207" s="99">
        <f t="shared" si="3"/>
        <v>52</v>
      </c>
    </row>
    <row r="208" spans="1:9" ht="14.45" customHeight="1" x14ac:dyDescent="0.25">
      <c r="A208" s="115" t="s">
        <v>3289</v>
      </c>
      <c r="B208" s="112">
        <v>11733.8</v>
      </c>
      <c r="C208" s="113"/>
      <c r="D208" s="116">
        <v>65</v>
      </c>
      <c r="E208" s="117"/>
      <c r="H208">
        <v>194</v>
      </c>
      <c r="I208" s="99">
        <f t="shared" si="3"/>
        <v>65</v>
      </c>
    </row>
    <row r="209" spans="1:9" ht="14.45" customHeight="1" x14ac:dyDescent="0.25">
      <c r="A209" s="115" t="s">
        <v>3247</v>
      </c>
      <c r="B209" s="112">
        <v>11240.7</v>
      </c>
      <c r="C209" s="113"/>
      <c r="D209" s="116">
        <v>64</v>
      </c>
      <c r="E209" s="117"/>
      <c r="H209">
        <v>156</v>
      </c>
      <c r="I209" s="99">
        <f t="shared" si="3"/>
        <v>64</v>
      </c>
    </row>
    <row r="210" spans="1:9" ht="14.45" customHeight="1" x14ac:dyDescent="0.25">
      <c r="A210" s="115" t="s">
        <v>3362</v>
      </c>
      <c r="B210" s="112">
        <v>12132.9</v>
      </c>
      <c r="C210" s="113"/>
      <c r="D210" s="116">
        <v>56</v>
      </c>
      <c r="E210" s="117"/>
      <c r="H210">
        <v>259</v>
      </c>
      <c r="I210" s="99">
        <f t="shared" si="3"/>
        <v>56</v>
      </c>
    </row>
    <row r="211" spans="1:9" ht="14.45" customHeight="1" x14ac:dyDescent="0.25">
      <c r="A211" s="115" t="s">
        <v>3419</v>
      </c>
      <c r="B211" s="112">
        <v>3728.6</v>
      </c>
      <c r="C211" s="113"/>
      <c r="D211" s="116">
        <v>52</v>
      </c>
      <c r="E211" s="117"/>
      <c r="H211">
        <v>335</v>
      </c>
      <c r="I211" s="99">
        <f t="shared" si="3"/>
        <v>52</v>
      </c>
    </row>
    <row r="212" spans="1:9" ht="14.45" customHeight="1" x14ac:dyDescent="0.25">
      <c r="A212" s="115" t="s">
        <v>3290</v>
      </c>
      <c r="B212" s="112">
        <v>12009.4</v>
      </c>
      <c r="C212" s="113"/>
      <c r="D212" s="116">
        <v>66</v>
      </c>
      <c r="E212" s="117"/>
      <c r="H212">
        <v>195</v>
      </c>
      <c r="I212" s="99">
        <f t="shared" si="3"/>
        <v>66</v>
      </c>
    </row>
    <row r="213" spans="1:9" ht="14.45" customHeight="1" x14ac:dyDescent="0.25">
      <c r="A213" s="115" t="s">
        <v>2999</v>
      </c>
      <c r="B213" s="112">
        <v>10653</v>
      </c>
      <c r="C213" s="113"/>
      <c r="D213" s="116">
        <v>52</v>
      </c>
      <c r="E213" s="117"/>
      <c r="H213">
        <v>67</v>
      </c>
      <c r="I213" s="99">
        <f t="shared" si="3"/>
        <v>52</v>
      </c>
    </row>
    <row r="214" spans="1:9" ht="14.45" customHeight="1" x14ac:dyDescent="0.25">
      <c r="A214" s="115" t="s">
        <v>3162</v>
      </c>
      <c r="B214" s="112">
        <v>11124.7</v>
      </c>
      <c r="C214" s="113"/>
      <c r="D214" s="116">
        <v>48</v>
      </c>
      <c r="E214" s="117"/>
      <c r="H214">
        <v>85</v>
      </c>
      <c r="I214" s="99">
        <f t="shared" si="3"/>
        <v>48</v>
      </c>
    </row>
    <row r="215" spans="1:9" ht="14.45" customHeight="1" x14ac:dyDescent="0.25">
      <c r="A215" s="115" t="s">
        <v>3177</v>
      </c>
      <c r="B215" s="112">
        <v>10605.3</v>
      </c>
      <c r="C215" s="113"/>
      <c r="D215" s="116">
        <v>50</v>
      </c>
      <c r="E215" s="117"/>
      <c r="H215">
        <v>100</v>
      </c>
      <c r="I215" s="99">
        <f t="shared" si="3"/>
        <v>50</v>
      </c>
    </row>
    <row r="216" spans="1:9" ht="14.45" customHeight="1" x14ac:dyDescent="0.25">
      <c r="A216" s="115" t="s">
        <v>3291</v>
      </c>
      <c r="B216" s="112">
        <v>10985</v>
      </c>
      <c r="C216" s="113"/>
      <c r="D216" s="116">
        <v>57</v>
      </c>
      <c r="E216" s="117"/>
      <c r="H216">
        <v>196</v>
      </c>
      <c r="I216" s="99">
        <f t="shared" si="3"/>
        <v>57</v>
      </c>
    </row>
    <row r="217" spans="1:9" ht="14.45" customHeight="1" x14ac:dyDescent="0.25">
      <c r="A217" s="115" t="s">
        <v>3315</v>
      </c>
      <c r="B217" s="112">
        <v>10965</v>
      </c>
      <c r="C217" s="113"/>
      <c r="D217" s="116">
        <v>62</v>
      </c>
      <c r="E217" s="117"/>
      <c r="H217">
        <v>218</v>
      </c>
      <c r="I217" s="99">
        <f t="shared" si="3"/>
        <v>62</v>
      </c>
    </row>
    <row r="218" spans="1:9" ht="14.45" customHeight="1" x14ac:dyDescent="0.25">
      <c r="A218" s="115" t="s">
        <v>3266</v>
      </c>
      <c r="B218" s="112">
        <v>11338.6</v>
      </c>
      <c r="C218" s="113"/>
      <c r="D218" s="116">
        <v>60</v>
      </c>
      <c r="E218" s="117"/>
      <c r="H218">
        <v>172</v>
      </c>
      <c r="I218" s="99">
        <f t="shared" si="3"/>
        <v>60</v>
      </c>
    </row>
    <row r="219" spans="1:9" ht="14.45" customHeight="1" x14ac:dyDescent="0.25">
      <c r="A219" s="115" t="s">
        <v>2956</v>
      </c>
      <c r="B219" s="112">
        <v>11467.1</v>
      </c>
      <c r="C219" s="113"/>
      <c r="D219" s="116">
        <v>52</v>
      </c>
      <c r="E219" s="117"/>
      <c r="H219">
        <v>32</v>
      </c>
      <c r="I219" s="99">
        <f t="shared" si="3"/>
        <v>52</v>
      </c>
    </row>
    <row r="220" spans="1:9" ht="14.45" customHeight="1" x14ac:dyDescent="0.25">
      <c r="A220" s="115" t="s">
        <v>3189</v>
      </c>
      <c r="B220" s="112">
        <v>12136.1</v>
      </c>
      <c r="C220" s="113"/>
      <c r="D220" s="116">
        <v>56</v>
      </c>
      <c r="E220" s="117"/>
      <c r="H220">
        <v>110</v>
      </c>
      <c r="I220" s="99">
        <f t="shared" si="3"/>
        <v>56</v>
      </c>
    </row>
    <row r="221" spans="1:9" ht="14.45" customHeight="1" x14ac:dyDescent="0.25">
      <c r="A221" s="115" t="s">
        <v>3220</v>
      </c>
      <c r="B221" s="112">
        <v>11670.8</v>
      </c>
      <c r="C221" s="113"/>
      <c r="D221" s="116">
        <v>59</v>
      </c>
      <c r="E221" s="117"/>
      <c r="H221">
        <v>137</v>
      </c>
      <c r="I221" s="99">
        <f t="shared" si="3"/>
        <v>59</v>
      </c>
    </row>
    <row r="222" spans="1:9" ht="14.45" customHeight="1" x14ac:dyDescent="0.25">
      <c r="A222" s="115" t="s">
        <v>2957</v>
      </c>
      <c r="B222" s="112">
        <v>10939.2</v>
      </c>
      <c r="C222" s="113"/>
      <c r="D222" s="116">
        <v>54</v>
      </c>
      <c r="E222" s="117"/>
      <c r="H222">
        <v>27</v>
      </c>
      <c r="I222" s="99">
        <f t="shared" si="3"/>
        <v>54</v>
      </c>
    </row>
    <row r="223" spans="1:9" ht="14.45" customHeight="1" x14ac:dyDescent="0.25">
      <c r="A223" s="115" t="s">
        <v>2958</v>
      </c>
      <c r="B223" s="112">
        <v>4039.2</v>
      </c>
      <c r="C223" s="113"/>
      <c r="D223" s="116">
        <v>42</v>
      </c>
      <c r="E223" s="117"/>
      <c r="H223">
        <v>36</v>
      </c>
      <c r="I223" s="99">
        <f t="shared" si="3"/>
        <v>42</v>
      </c>
    </row>
    <row r="224" spans="1:9" ht="14.45" customHeight="1" x14ac:dyDescent="0.25">
      <c r="A224" s="115" t="s">
        <v>3190</v>
      </c>
      <c r="B224" s="112">
        <v>10978</v>
      </c>
      <c r="C224" s="113"/>
      <c r="D224" s="116">
        <v>53</v>
      </c>
      <c r="E224" s="117"/>
      <c r="H224">
        <v>107</v>
      </c>
      <c r="I224" s="99">
        <f t="shared" si="3"/>
        <v>53</v>
      </c>
    </row>
    <row r="225" spans="1:9" ht="14.45" customHeight="1" x14ac:dyDescent="0.25">
      <c r="A225" s="115" t="s">
        <v>3311</v>
      </c>
      <c r="B225" s="112">
        <v>7585.6</v>
      </c>
      <c r="C225" s="113"/>
      <c r="D225" s="116">
        <v>66</v>
      </c>
      <c r="E225" s="117"/>
      <c r="H225">
        <v>214</v>
      </c>
      <c r="I225" s="99">
        <f t="shared" si="3"/>
        <v>66</v>
      </c>
    </row>
    <row r="226" spans="1:9" ht="14.45" customHeight="1" x14ac:dyDescent="0.25">
      <c r="A226" s="115" t="s">
        <v>3420</v>
      </c>
      <c r="B226" s="112">
        <v>13184.7</v>
      </c>
      <c r="C226" s="113"/>
      <c r="D226" s="116">
        <v>50</v>
      </c>
      <c r="E226" s="117"/>
      <c r="H226">
        <v>326</v>
      </c>
      <c r="I226" s="99">
        <f t="shared" si="3"/>
        <v>50</v>
      </c>
    </row>
    <row r="227" spans="1:9" ht="14.45" customHeight="1" x14ac:dyDescent="0.25">
      <c r="A227" s="115" t="s">
        <v>2978</v>
      </c>
      <c r="B227" s="112">
        <v>10726</v>
      </c>
      <c r="C227" s="113"/>
      <c r="D227" s="116">
        <v>47</v>
      </c>
      <c r="E227" s="117"/>
      <c r="H227">
        <v>44</v>
      </c>
      <c r="I227" s="99">
        <f t="shared" si="3"/>
        <v>47</v>
      </c>
    </row>
    <row r="228" spans="1:9" ht="14.45" customHeight="1" x14ac:dyDescent="0.25">
      <c r="A228" s="115" t="s">
        <v>3421</v>
      </c>
      <c r="B228" s="112">
        <v>11679.3</v>
      </c>
      <c r="C228" s="113"/>
      <c r="D228" s="116">
        <v>53</v>
      </c>
      <c r="E228" s="117"/>
      <c r="H228">
        <v>321</v>
      </c>
      <c r="I228" s="99">
        <f t="shared" si="3"/>
        <v>53</v>
      </c>
    </row>
    <row r="229" spans="1:9" ht="14.45" customHeight="1" x14ac:dyDescent="0.25">
      <c r="A229" s="115" t="s">
        <v>3525</v>
      </c>
      <c r="B229" s="112">
        <v>14501</v>
      </c>
      <c r="C229" s="113"/>
      <c r="D229" s="116">
        <v>59</v>
      </c>
      <c r="E229" s="117"/>
      <c r="H229">
        <v>305</v>
      </c>
      <c r="I229" s="99">
        <f t="shared" si="3"/>
        <v>59</v>
      </c>
    </row>
    <row r="230" spans="1:9" ht="14.45" customHeight="1" x14ac:dyDescent="0.25">
      <c r="A230" s="115" t="s">
        <v>3342</v>
      </c>
      <c r="B230" s="112">
        <v>3906</v>
      </c>
      <c r="C230" s="113"/>
      <c r="D230" s="116">
        <v>60</v>
      </c>
      <c r="E230" s="117"/>
      <c r="H230">
        <v>247</v>
      </c>
      <c r="I230" s="99">
        <f t="shared" si="3"/>
        <v>60</v>
      </c>
    </row>
    <row r="231" spans="1:9" ht="14.45" customHeight="1" x14ac:dyDescent="0.25">
      <c r="A231" s="115" t="s">
        <v>3313</v>
      </c>
      <c r="B231" s="112">
        <v>10946.9</v>
      </c>
      <c r="C231" s="113"/>
      <c r="D231" s="116">
        <v>57</v>
      </c>
      <c r="E231" s="117"/>
      <c r="H231">
        <v>216</v>
      </c>
      <c r="I231" s="99">
        <f t="shared" si="3"/>
        <v>57</v>
      </c>
    </row>
    <row r="232" spans="1:9" ht="14.45" customHeight="1" x14ac:dyDescent="0.25">
      <c r="A232" s="115" t="s">
        <v>3320</v>
      </c>
      <c r="B232" s="112">
        <v>10990.6</v>
      </c>
      <c r="C232" s="113"/>
      <c r="D232" s="116">
        <v>65</v>
      </c>
      <c r="E232" s="117"/>
      <c r="H232">
        <v>222</v>
      </c>
      <c r="I232" s="99">
        <f t="shared" si="3"/>
        <v>65</v>
      </c>
    </row>
    <row r="233" spans="1:9" ht="14.45" customHeight="1" x14ac:dyDescent="0.25">
      <c r="A233" s="115" t="s">
        <v>3221</v>
      </c>
      <c r="B233" s="112">
        <v>11602.3</v>
      </c>
      <c r="C233" s="113"/>
      <c r="D233" s="116">
        <v>57</v>
      </c>
      <c r="E233" s="117"/>
      <c r="H233">
        <v>143</v>
      </c>
      <c r="I233" s="99">
        <f t="shared" si="3"/>
        <v>57</v>
      </c>
    </row>
    <row r="234" spans="1:9" ht="14.45" customHeight="1" x14ac:dyDescent="0.25">
      <c r="A234" s="115" t="s">
        <v>3422</v>
      </c>
      <c r="B234" s="112">
        <v>11563.4</v>
      </c>
      <c r="C234" s="113"/>
      <c r="D234" s="116">
        <v>52</v>
      </c>
      <c r="E234" s="117"/>
      <c r="H234">
        <v>329</v>
      </c>
      <c r="I234" s="99">
        <f t="shared" si="3"/>
        <v>52</v>
      </c>
    </row>
    <row r="235" spans="1:9" ht="14.45" customHeight="1" x14ac:dyDescent="0.25">
      <c r="A235" s="115" t="s">
        <v>3423</v>
      </c>
      <c r="B235" s="112">
        <v>11465.6</v>
      </c>
      <c r="C235" s="113"/>
      <c r="D235" s="116">
        <v>52</v>
      </c>
      <c r="E235" s="117"/>
      <c r="H235">
        <v>294</v>
      </c>
      <c r="I235" s="99">
        <f t="shared" si="3"/>
        <v>52</v>
      </c>
    </row>
    <row r="236" spans="1:9" ht="14.45" customHeight="1" x14ac:dyDescent="0.25">
      <c r="A236" s="115" t="s">
        <v>3424</v>
      </c>
      <c r="B236" s="112">
        <v>11581.3</v>
      </c>
      <c r="C236" s="113"/>
      <c r="D236" s="116">
        <v>53</v>
      </c>
      <c r="E236" s="117"/>
      <c r="H236">
        <v>303</v>
      </c>
      <c r="I236" s="99">
        <f t="shared" si="3"/>
        <v>53</v>
      </c>
    </row>
    <row r="237" spans="1:9" ht="14.45" customHeight="1" x14ac:dyDescent="0.25">
      <c r="A237" s="115" t="s">
        <v>3222</v>
      </c>
      <c r="B237" s="112">
        <v>3894</v>
      </c>
      <c r="C237" s="113"/>
      <c r="D237" s="116">
        <v>57</v>
      </c>
      <c r="E237" s="117"/>
      <c r="H237">
        <v>138</v>
      </c>
      <c r="I237" s="99">
        <f t="shared" si="3"/>
        <v>57</v>
      </c>
    </row>
    <row r="238" spans="1:9" ht="14.45" customHeight="1" x14ac:dyDescent="0.25">
      <c r="A238" s="115" t="s">
        <v>3435</v>
      </c>
      <c r="B238" s="112">
        <v>4072.3</v>
      </c>
      <c r="C238" s="113"/>
      <c r="D238" s="116">
        <v>52</v>
      </c>
      <c r="E238" s="117"/>
      <c r="H238">
        <v>343</v>
      </c>
      <c r="I238" s="99">
        <f t="shared" si="3"/>
        <v>52</v>
      </c>
    </row>
    <row r="239" spans="1:9" ht="14.45" customHeight="1" x14ac:dyDescent="0.25">
      <c r="A239" s="115" t="s">
        <v>3536</v>
      </c>
      <c r="B239" s="112">
        <v>11397</v>
      </c>
      <c r="C239" s="113"/>
      <c r="D239" s="116">
        <v>57</v>
      </c>
      <c r="E239" s="117"/>
      <c r="H239">
        <v>314</v>
      </c>
      <c r="I239" s="99">
        <f t="shared" si="3"/>
        <v>57</v>
      </c>
    </row>
    <row r="240" spans="1:9" ht="14.45" customHeight="1" x14ac:dyDescent="0.25">
      <c r="A240" s="115" t="s">
        <v>3223</v>
      </c>
      <c r="B240" s="112">
        <v>12378.3</v>
      </c>
      <c r="C240" s="113"/>
      <c r="D240" s="116">
        <v>58</v>
      </c>
      <c r="E240" s="117"/>
      <c r="H240">
        <v>134</v>
      </c>
      <c r="I240" s="99">
        <f t="shared" si="3"/>
        <v>58</v>
      </c>
    </row>
    <row r="241" spans="1:9" ht="14.45" customHeight="1" x14ac:dyDescent="0.25">
      <c r="A241" s="115" t="s">
        <v>2959</v>
      </c>
      <c r="B241" s="112">
        <v>10996.3</v>
      </c>
      <c r="C241" s="113"/>
      <c r="D241" s="116">
        <v>53</v>
      </c>
      <c r="E241" s="117"/>
      <c r="H241">
        <v>18</v>
      </c>
      <c r="I241" s="99">
        <f t="shared" si="3"/>
        <v>53</v>
      </c>
    </row>
    <row r="242" spans="1:9" ht="14.45" customHeight="1" x14ac:dyDescent="0.25">
      <c r="A242" s="115" t="s">
        <v>2982</v>
      </c>
      <c r="B242" s="112">
        <v>11233.3</v>
      </c>
      <c r="C242" s="113"/>
      <c r="D242" s="116">
        <v>45</v>
      </c>
      <c r="E242" s="117"/>
      <c r="H242">
        <v>48</v>
      </c>
      <c r="I242" s="99">
        <f t="shared" si="3"/>
        <v>45</v>
      </c>
    </row>
    <row r="243" spans="1:9" ht="14.45" customHeight="1" x14ac:dyDescent="0.25">
      <c r="A243" s="115" t="s">
        <v>3904</v>
      </c>
      <c r="B243" s="112">
        <v>11611.2</v>
      </c>
      <c r="C243" s="113"/>
      <c r="D243" s="116">
        <v>59</v>
      </c>
      <c r="E243" s="117"/>
      <c r="H243">
        <v>671</v>
      </c>
      <c r="I243" s="99">
        <f t="shared" si="3"/>
        <v>59</v>
      </c>
    </row>
    <row r="244" spans="1:9" ht="14.45" customHeight="1" x14ac:dyDescent="0.25">
      <c r="A244" s="115" t="s">
        <v>3270</v>
      </c>
      <c r="B244" s="112">
        <v>4929</v>
      </c>
      <c r="C244" s="113"/>
      <c r="D244" s="116">
        <v>61</v>
      </c>
      <c r="E244" s="117"/>
      <c r="H244">
        <v>176</v>
      </c>
      <c r="I244" s="99">
        <f t="shared" si="3"/>
        <v>61</v>
      </c>
    </row>
    <row r="245" spans="1:9" ht="14.45" customHeight="1" x14ac:dyDescent="0.25">
      <c r="A245" s="115" t="s">
        <v>3314</v>
      </c>
      <c r="B245" s="112">
        <v>10635.3</v>
      </c>
      <c r="C245" s="113"/>
      <c r="D245" s="116">
        <v>59</v>
      </c>
      <c r="E245" s="117"/>
      <c r="H245">
        <v>217</v>
      </c>
      <c r="I245" s="99">
        <f t="shared" si="3"/>
        <v>59</v>
      </c>
    </row>
    <row r="246" spans="1:9" ht="14.45" customHeight="1" x14ac:dyDescent="0.25">
      <c r="A246" s="115" t="s">
        <v>3547</v>
      </c>
      <c r="B246" s="112">
        <v>16409</v>
      </c>
      <c r="C246" s="113"/>
      <c r="D246" s="116">
        <v>58</v>
      </c>
      <c r="E246" s="117"/>
      <c r="H246">
        <v>342</v>
      </c>
      <c r="I246" s="99">
        <f t="shared" si="3"/>
        <v>58</v>
      </c>
    </row>
    <row r="247" spans="1:9" ht="14.45" customHeight="1" x14ac:dyDescent="0.25">
      <c r="A247" s="115" t="s">
        <v>3224</v>
      </c>
      <c r="B247" s="112">
        <v>11357.4</v>
      </c>
      <c r="C247" s="113"/>
      <c r="D247" s="116">
        <v>57</v>
      </c>
      <c r="E247" s="117"/>
      <c r="H247">
        <v>139</v>
      </c>
      <c r="I247" s="99">
        <f t="shared" si="3"/>
        <v>57</v>
      </c>
    </row>
    <row r="248" spans="1:9" ht="14.45" customHeight="1" x14ac:dyDescent="0.25">
      <c r="A248" s="115" t="s">
        <v>3286</v>
      </c>
      <c r="B248" s="112">
        <v>11717.4</v>
      </c>
      <c r="C248" s="113"/>
      <c r="D248" s="116">
        <v>59</v>
      </c>
      <c r="E248" s="117"/>
      <c r="H248">
        <v>192</v>
      </c>
      <c r="I248" s="99">
        <f t="shared" si="3"/>
        <v>59</v>
      </c>
    </row>
    <row r="249" spans="1:9" ht="14.45" customHeight="1" x14ac:dyDescent="0.25">
      <c r="A249" s="115" t="s">
        <v>3225</v>
      </c>
      <c r="B249" s="112">
        <v>10968.1</v>
      </c>
      <c r="C249" s="113"/>
      <c r="D249" s="116">
        <v>56</v>
      </c>
      <c r="E249" s="117"/>
      <c r="H249">
        <v>120</v>
      </c>
      <c r="I249" s="99">
        <f t="shared" si="3"/>
        <v>56</v>
      </c>
    </row>
    <row r="250" spans="1:9" ht="14.45" customHeight="1" x14ac:dyDescent="0.25">
      <c r="A250" s="115" t="s">
        <v>3425</v>
      </c>
      <c r="B250" s="112">
        <v>4009.1</v>
      </c>
      <c r="C250" s="113"/>
      <c r="D250" s="116">
        <v>54</v>
      </c>
      <c r="E250" s="117"/>
      <c r="H250">
        <v>291</v>
      </c>
      <c r="I250" s="99">
        <f t="shared" si="3"/>
        <v>54</v>
      </c>
    </row>
    <row r="251" spans="1:9" ht="14.45" customHeight="1" x14ac:dyDescent="0.25">
      <c r="A251" s="115" t="s">
        <v>3191</v>
      </c>
      <c r="B251" s="112">
        <v>10756.3</v>
      </c>
      <c r="C251" s="113"/>
      <c r="D251" s="116">
        <v>56</v>
      </c>
      <c r="E251" s="117"/>
      <c r="H251">
        <v>108</v>
      </c>
      <c r="I251" s="99">
        <f t="shared" si="3"/>
        <v>56</v>
      </c>
    </row>
    <row r="252" spans="1:9" ht="14.45" customHeight="1" x14ac:dyDescent="0.25">
      <c r="A252" s="115" t="s">
        <v>3262</v>
      </c>
      <c r="B252" s="112">
        <v>12059.7</v>
      </c>
      <c r="C252" s="113"/>
      <c r="D252" s="116">
        <v>59</v>
      </c>
      <c r="E252" s="117"/>
      <c r="H252">
        <v>168</v>
      </c>
      <c r="I252" s="99">
        <f t="shared" si="3"/>
        <v>59</v>
      </c>
    </row>
    <row r="253" spans="1:9" ht="14.45" customHeight="1" x14ac:dyDescent="0.25">
      <c r="A253" s="115" t="s">
        <v>3426</v>
      </c>
      <c r="B253" s="112">
        <v>13918.9</v>
      </c>
      <c r="C253" s="113"/>
      <c r="D253" s="116">
        <v>51</v>
      </c>
      <c r="E253" s="117"/>
      <c r="H253">
        <v>339</v>
      </c>
      <c r="I253" s="99">
        <f t="shared" si="3"/>
        <v>51</v>
      </c>
    </row>
    <row r="254" spans="1:9" ht="14.45" customHeight="1" x14ac:dyDescent="0.25">
      <c r="A254" s="115" t="s">
        <v>3427</v>
      </c>
      <c r="B254" s="112">
        <v>11891.7</v>
      </c>
      <c r="C254" s="113"/>
      <c r="D254" s="116">
        <v>55</v>
      </c>
      <c r="E254" s="117"/>
      <c r="H254">
        <v>308</v>
      </c>
      <c r="I254" s="99">
        <f t="shared" si="3"/>
        <v>55</v>
      </c>
    </row>
    <row r="255" spans="1:9" ht="14.45" customHeight="1" x14ac:dyDescent="0.25">
      <c r="A255" s="115" t="s">
        <v>2960</v>
      </c>
      <c r="B255" s="112">
        <v>11334.4</v>
      </c>
      <c r="C255" s="113"/>
      <c r="D255" s="116">
        <v>53</v>
      </c>
      <c r="E255" s="117"/>
      <c r="H255">
        <v>31</v>
      </c>
      <c r="I255" s="99">
        <f t="shared" si="3"/>
        <v>53</v>
      </c>
    </row>
    <row r="256" spans="1:9" ht="14.45" customHeight="1" x14ac:dyDescent="0.25">
      <c r="A256" s="115" t="s">
        <v>3436</v>
      </c>
      <c r="B256" s="112">
        <v>5442.8</v>
      </c>
      <c r="C256" s="113"/>
      <c r="D256" s="116">
        <v>50</v>
      </c>
      <c r="E256" s="117"/>
      <c r="H256">
        <v>344</v>
      </c>
      <c r="I256" s="99">
        <f t="shared" si="3"/>
        <v>50</v>
      </c>
    </row>
    <row r="257" spans="1:9" ht="14.45" customHeight="1" x14ac:dyDescent="0.25">
      <c r="A257" s="115" t="s">
        <v>2989</v>
      </c>
      <c r="B257" s="112">
        <v>11457</v>
      </c>
      <c r="C257" s="113"/>
      <c r="D257" s="116">
        <v>47</v>
      </c>
      <c r="E257" s="117"/>
      <c r="H257">
        <v>56</v>
      </c>
      <c r="I257" s="99">
        <f t="shared" si="3"/>
        <v>47</v>
      </c>
    </row>
    <row r="258" spans="1:9" ht="14.45" customHeight="1" x14ac:dyDescent="0.25">
      <c r="A258" s="115" t="s">
        <v>3309</v>
      </c>
      <c r="B258" s="112">
        <v>12562.8</v>
      </c>
      <c r="C258" s="113"/>
      <c r="D258" s="116">
        <v>63</v>
      </c>
      <c r="E258" s="117"/>
      <c r="H258">
        <v>212</v>
      </c>
      <c r="I258" s="99">
        <f t="shared" si="3"/>
        <v>63</v>
      </c>
    </row>
    <row r="259" spans="1:9" ht="14.45" customHeight="1" x14ac:dyDescent="0.25">
      <c r="A259" s="115" t="s">
        <v>2970</v>
      </c>
      <c r="B259" s="112">
        <v>10342.799999999999</v>
      </c>
      <c r="C259" s="113"/>
      <c r="D259" s="116">
        <v>49</v>
      </c>
      <c r="E259" s="117"/>
      <c r="H259">
        <v>52</v>
      </c>
      <c r="I259" s="99">
        <f t="shared" si="3"/>
        <v>49</v>
      </c>
    </row>
    <row r="260" spans="1:9" ht="14.45" customHeight="1" x14ac:dyDescent="0.25">
      <c r="A260" s="115" t="s">
        <v>3260</v>
      </c>
      <c r="B260" s="112">
        <v>11904.1</v>
      </c>
      <c r="C260" s="113"/>
      <c r="D260" s="116">
        <v>59</v>
      </c>
      <c r="E260" s="117"/>
      <c r="H260">
        <v>166</v>
      </c>
      <c r="I260" s="99">
        <f t="shared" si="3"/>
        <v>59</v>
      </c>
    </row>
    <row r="261" spans="1:9" ht="14.45" customHeight="1" x14ac:dyDescent="0.25">
      <c r="A261" s="115" t="s">
        <v>3261</v>
      </c>
      <c r="B261" s="112">
        <v>11676.8</v>
      </c>
      <c r="C261" s="113"/>
      <c r="D261" s="116">
        <v>58</v>
      </c>
      <c r="E261" s="117"/>
      <c r="H261">
        <v>167</v>
      </c>
      <c r="I261" s="99">
        <f t="shared" si="3"/>
        <v>58</v>
      </c>
    </row>
    <row r="262" spans="1:9" ht="14.45" customHeight="1" x14ac:dyDescent="0.25">
      <c r="A262" s="115" t="s">
        <v>3533</v>
      </c>
      <c r="B262" s="112">
        <v>11564</v>
      </c>
      <c r="C262" s="113"/>
      <c r="D262" s="116">
        <v>54</v>
      </c>
      <c r="E262" s="117"/>
      <c r="H262">
        <v>286</v>
      </c>
      <c r="I262" s="99">
        <f t="shared" si="3"/>
        <v>54</v>
      </c>
    </row>
    <row r="263" spans="1:9" ht="14.45" customHeight="1" x14ac:dyDescent="0.25">
      <c r="A263" s="115" t="s">
        <v>3428</v>
      </c>
      <c r="B263" s="112">
        <v>5652.9</v>
      </c>
      <c r="C263" s="113"/>
      <c r="D263" s="116">
        <v>49</v>
      </c>
      <c r="E263" s="117"/>
      <c r="H263">
        <v>324</v>
      </c>
      <c r="I263" s="99">
        <f t="shared" si="3"/>
        <v>49</v>
      </c>
    </row>
    <row r="264" spans="1:9" ht="14.45" customHeight="1" x14ac:dyDescent="0.25">
      <c r="A264" s="115" t="s">
        <v>3226</v>
      </c>
      <c r="B264" s="112">
        <v>11964.1</v>
      </c>
      <c r="C264" s="113"/>
      <c r="D264" s="116">
        <v>59</v>
      </c>
      <c r="E264" s="117"/>
      <c r="H264">
        <v>130</v>
      </c>
      <c r="I264" s="99">
        <f t="shared" si="3"/>
        <v>59</v>
      </c>
    </row>
    <row r="265" spans="1:9" ht="14.45" customHeight="1" x14ac:dyDescent="0.25">
      <c r="A265" s="115" t="s">
        <v>3429</v>
      </c>
      <c r="B265" s="112">
        <v>11873.8</v>
      </c>
      <c r="C265" s="113"/>
      <c r="D265" s="116">
        <v>53</v>
      </c>
      <c r="E265" s="117"/>
      <c r="H265">
        <v>293</v>
      </c>
      <c r="I265" s="99">
        <f t="shared" si="3"/>
        <v>53</v>
      </c>
    </row>
    <row r="266" spans="1:9" ht="14.45" customHeight="1" x14ac:dyDescent="0.25">
      <c r="A266" s="115" t="s">
        <v>3200</v>
      </c>
      <c r="B266" s="112">
        <v>10700.3</v>
      </c>
      <c r="C266" s="113"/>
      <c r="D266" s="116">
        <v>56</v>
      </c>
      <c r="E266" s="117"/>
      <c r="H266">
        <v>117</v>
      </c>
      <c r="I266" s="99">
        <f t="shared" si="3"/>
        <v>56</v>
      </c>
    </row>
    <row r="267" spans="1:9" ht="14.45" customHeight="1" x14ac:dyDescent="0.25">
      <c r="A267" s="115" t="s">
        <v>3356</v>
      </c>
      <c r="B267" s="112">
        <v>11614.5</v>
      </c>
      <c r="C267" s="113"/>
      <c r="D267" s="116">
        <v>60</v>
      </c>
      <c r="E267" s="117"/>
      <c r="H267">
        <v>249</v>
      </c>
      <c r="I267" s="99">
        <f t="shared" si="3"/>
        <v>60</v>
      </c>
    </row>
    <row r="268" spans="1:9" ht="14.45" customHeight="1" x14ac:dyDescent="0.25">
      <c r="A268" s="115" t="s">
        <v>2998</v>
      </c>
      <c r="B268" s="112">
        <v>13321</v>
      </c>
      <c r="C268" s="113"/>
      <c r="D268" s="116">
        <v>50</v>
      </c>
      <c r="E268" s="117"/>
      <c r="H268">
        <v>66</v>
      </c>
      <c r="I268" s="99">
        <f t="shared" si="3"/>
        <v>50</v>
      </c>
    </row>
    <row r="269" spans="1:9" ht="14.45" customHeight="1" x14ac:dyDescent="0.25">
      <c r="A269" s="115" t="s">
        <v>2961</v>
      </c>
      <c r="B269" s="112">
        <v>11185.7</v>
      </c>
      <c r="C269" s="113"/>
      <c r="D269" s="116">
        <v>52</v>
      </c>
      <c r="E269" s="117"/>
      <c r="H269">
        <v>34</v>
      </c>
      <c r="I269" s="99">
        <f t="shared" ref="I269:I332" si="4">D269</f>
        <v>52</v>
      </c>
    </row>
    <row r="270" spans="1:9" ht="14.45" customHeight="1" x14ac:dyDescent="0.25">
      <c r="A270" s="115" t="s">
        <v>2985</v>
      </c>
      <c r="B270" s="112">
        <v>11244.8</v>
      </c>
      <c r="C270" s="113"/>
      <c r="D270" s="116">
        <v>53</v>
      </c>
      <c r="E270" s="117"/>
      <c r="H270">
        <v>38</v>
      </c>
      <c r="I270" s="99">
        <f t="shared" si="4"/>
        <v>53</v>
      </c>
    </row>
    <row r="271" spans="1:9" ht="14.45" customHeight="1" x14ac:dyDescent="0.25">
      <c r="A271" s="115" t="s">
        <v>3905</v>
      </c>
      <c r="B271" s="112">
        <v>3841.3</v>
      </c>
      <c r="C271" s="113"/>
      <c r="D271" s="116">
        <v>60</v>
      </c>
      <c r="E271" s="117"/>
      <c r="H271">
        <v>670</v>
      </c>
      <c r="I271" s="99">
        <f t="shared" si="4"/>
        <v>60</v>
      </c>
    </row>
    <row r="272" spans="1:9" ht="14.45" customHeight="1" x14ac:dyDescent="0.25">
      <c r="A272" s="115" t="s">
        <v>3167</v>
      </c>
      <c r="B272" s="112">
        <v>10915.8</v>
      </c>
      <c r="C272" s="113"/>
      <c r="D272" s="116">
        <v>51</v>
      </c>
      <c r="E272" s="117"/>
      <c r="H272">
        <v>90</v>
      </c>
      <c r="I272" s="99">
        <f t="shared" si="4"/>
        <v>51</v>
      </c>
    </row>
    <row r="273" spans="1:9" ht="14.45" customHeight="1" x14ac:dyDescent="0.25">
      <c r="A273" s="115" t="s">
        <v>3166</v>
      </c>
      <c r="B273" s="112">
        <v>11547.7</v>
      </c>
      <c r="C273" s="113"/>
      <c r="D273" s="116">
        <v>50</v>
      </c>
      <c r="E273" s="117"/>
      <c r="H273">
        <v>89</v>
      </c>
      <c r="I273" s="99">
        <f t="shared" si="4"/>
        <v>50</v>
      </c>
    </row>
    <row r="274" spans="1:9" ht="14.45" customHeight="1" x14ac:dyDescent="0.25">
      <c r="A274" s="115" t="s">
        <v>3906</v>
      </c>
      <c r="B274" s="112">
        <v>3586</v>
      </c>
      <c r="C274" s="113"/>
      <c r="D274" s="116">
        <v>54</v>
      </c>
      <c r="E274" s="117"/>
      <c r="H274">
        <v>662</v>
      </c>
      <c r="I274" s="99">
        <f t="shared" si="4"/>
        <v>54</v>
      </c>
    </row>
    <row r="275" spans="1:9" ht="14.45" customHeight="1" x14ac:dyDescent="0.25">
      <c r="A275" s="115" t="s">
        <v>3192</v>
      </c>
      <c r="B275" s="112">
        <v>11701.6</v>
      </c>
      <c r="C275" s="113"/>
      <c r="D275" s="116">
        <v>54</v>
      </c>
      <c r="E275" s="117"/>
      <c r="H275">
        <v>122</v>
      </c>
      <c r="I275" s="99">
        <f t="shared" si="4"/>
        <v>54</v>
      </c>
    </row>
    <row r="276" spans="1:9" ht="14.45" customHeight="1" x14ac:dyDescent="0.25">
      <c r="A276" s="115" t="s">
        <v>3310</v>
      </c>
      <c r="B276" s="112">
        <v>12718.1</v>
      </c>
      <c r="C276" s="113"/>
      <c r="D276" s="116">
        <v>64</v>
      </c>
      <c r="E276" s="117"/>
      <c r="H276">
        <v>213</v>
      </c>
      <c r="I276" s="99">
        <f t="shared" si="4"/>
        <v>64</v>
      </c>
    </row>
    <row r="277" spans="1:9" ht="14.45" customHeight="1" x14ac:dyDescent="0.25">
      <c r="A277" s="115" t="s">
        <v>2973</v>
      </c>
      <c r="B277" s="112">
        <v>13308.8</v>
      </c>
      <c r="C277" s="113"/>
      <c r="D277" s="116">
        <v>50</v>
      </c>
      <c r="E277" s="117"/>
      <c r="H277">
        <v>41</v>
      </c>
      <c r="I277" s="99">
        <f t="shared" si="4"/>
        <v>50</v>
      </c>
    </row>
    <row r="278" spans="1:9" ht="14.45" customHeight="1" x14ac:dyDescent="0.25">
      <c r="A278" s="115" t="s">
        <v>3305</v>
      </c>
      <c r="B278" s="112">
        <v>3593.4</v>
      </c>
      <c r="C278" s="113"/>
      <c r="D278" s="116">
        <v>56</v>
      </c>
      <c r="E278" s="117"/>
      <c r="H278">
        <v>207</v>
      </c>
      <c r="I278" s="99">
        <f t="shared" si="4"/>
        <v>56</v>
      </c>
    </row>
    <row r="279" spans="1:9" ht="14.45" customHeight="1" x14ac:dyDescent="0.25">
      <c r="A279" s="115" t="s">
        <v>3201</v>
      </c>
      <c r="B279" s="112">
        <v>13338.3</v>
      </c>
      <c r="C279" s="113"/>
      <c r="D279" s="116">
        <v>55</v>
      </c>
      <c r="E279" s="117"/>
      <c r="H279">
        <v>118</v>
      </c>
      <c r="I279" s="99">
        <f t="shared" si="4"/>
        <v>55</v>
      </c>
    </row>
    <row r="280" spans="1:9" ht="14.45" customHeight="1" x14ac:dyDescent="0.25">
      <c r="A280" s="115" t="s">
        <v>3193</v>
      </c>
      <c r="B280" s="112">
        <v>10653</v>
      </c>
      <c r="C280" s="113"/>
      <c r="D280" s="116">
        <v>51</v>
      </c>
      <c r="E280" s="117"/>
      <c r="H280">
        <v>104</v>
      </c>
      <c r="I280" s="99">
        <f t="shared" si="4"/>
        <v>51</v>
      </c>
    </row>
    <row r="281" spans="1:9" ht="14.45" customHeight="1" x14ac:dyDescent="0.25">
      <c r="A281" s="115" t="s">
        <v>3527</v>
      </c>
      <c r="B281" s="112">
        <v>12734</v>
      </c>
      <c r="C281" s="113"/>
      <c r="D281" s="116">
        <v>62</v>
      </c>
      <c r="E281" s="117"/>
      <c r="H281">
        <v>306</v>
      </c>
      <c r="I281" s="99">
        <f t="shared" si="4"/>
        <v>62</v>
      </c>
    </row>
    <row r="282" spans="1:9" ht="14.45" customHeight="1" x14ac:dyDescent="0.25">
      <c r="A282" s="115" t="s">
        <v>3000</v>
      </c>
      <c r="B282" s="112">
        <v>10585.7</v>
      </c>
      <c r="C282" s="113"/>
      <c r="D282" s="116">
        <v>55</v>
      </c>
      <c r="E282" s="117"/>
      <c r="H282">
        <v>68</v>
      </c>
      <c r="I282" s="99">
        <f t="shared" si="4"/>
        <v>55</v>
      </c>
    </row>
    <row r="283" spans="1:9" ht="14.45" customHeight="1" x14ac:dyDescent="0.25">
      <c r="A283" s="115" t="s">
        <v>3173</v>
      </c>
      <c r="B283" s="112">
        <v>11230.1</v>
      </c>
      <c r="C283" s="113"/>
      <c r="D283" s="116">
        <v>48</v>
      </c>
      <c r="E283" s="117"/>
      <c r="H283">
        <v>94</v>
      </c>
      <c r="I283" s="99">
        <f t="shared" si="4"/>
        <v>48</v>
      </c>
    </row>
    <row r="284" spans="1:9" ht="14.45" customHeight="1" x14ac:dyDescent="0.25">
      <c r="A284" s="115" t="s">
        <v>3364</v>
      </c>
      <c r="B284" s="112">
        <v>11697.6</v>
      </c>
      <c r="C284" s="113"/>
      <c r="D284" s="116">
        <v>60</v>
      </c>
      <c r="E284" s="117"/>
      <c r="H284">
        <v>260</v>
      </c>
      <c r="I284" s="99">
        <f t="shared" si="4"/>
        <v>60</v>
      </c>
    </row>
    <row r="285" spans="1:9" ht="14.45" customHeight="1" x14ac:dyDescent="0.25">
      <c r="A285" s="115" t="s">
        <v>3430</v>
      </c>
      <c r="B285" s="112">
        <v>10064.200000000001</v>
      </c>
      <c r="C285" s="113"/>
      <c r="D285" s="116">
        <v>53</v>
      </c>
      <c r="E285" s="117"/>
      <c r="H285">
        <v>318</v>
      </c>
      <c r="I285" s="99">
        <f t="shared" si="4"/>
        <v>53</v>
      </c>
    </row>
    <row r="286" spans="1:9" ht="14.45" customHeight="1" x14ac:dyDescent="0.25">
      <c r="A286" s="115" t="s">
        <v>3227</v>
      </c>
      <c r="B286" s="112">
        <v>11558.7</v>
      </c>
      <c r="C286" s="113"/>
      <c r="D286" s="116">
        <v>57</v>
      </c>
      <c r="E286" s="117"/>
      <c r="H286">
        <v>141</v>
      </c>
      <c r="I286" s="99">
        <f t="shared" si="4"/>
        <v>57</v>
      </c>
    </row>
    <row r="287" spans="1:9" ht="14.45" customHeight="1" x14ac:dyDescent="0.25">
      <c r="A287" s="115" t="s">
        <v>3169</v>
      </c>
      <c r="B287" s="112">
        <v>10863.9</v>
      </c>
      <c r="C287" s="113"/>
      <c r="D287" s="116">
        <v>51</v>
      </c>
      <c r="E287" s="117"/>
      <c r="H287">
        <v>95</v>
      </c>
      <c r="I287" s="99">
        <f t="shared" si="4"/>
        <v>51</v>
      </c>
    </row>
    <row r="288" spans="1:9" ht="14.45" customHeight="1" x14ac:dyDescent="0.25">
      <c r="A288" s="115" t="s">
        <v>3907</v>
      </c>
      <c r="B288" s="112">
        <v>12071.2</v>
      </c>
      <c r="C288" s="113"/>
      <c r="D288" s="116">
        <v>67</v>
      </c>
      <c r="E288" s="117"/>
      <c r="H288">
        <v>673</v>
      </c>
      <c r="I288" s="99">
        <f t="shared" si="4"/>
        <v>67</v>
      </c>
    </row>
    <row r="289" spans="1:9" ht="14.45" customHeight="1" x14ac:dyDescent="0.25">
      <c r="A289" s="115" t="s">
        <v>3228</v>
      </c>
      <c r="B289" s="112">
        <v>14445.5</v>
      </c>
      <c r="C289" s="113"/>
      <c r="D289" s="116">
        <v>56</v>
      </c>
      <c r="E289" s="117"/>
      <c r="H289">
        <v>144</v>
      </c>
      <c r="I289" s="99">
        <f t="shared" si="4"/>
        <v>56</v>
      </c>
    </row>
    <row r="290" spans="1:9" ht="14.45" customHeight="1" x14ac:dyDescent="0.25">
      <c r="A290" s="115" t="s">
        <v>3431</v>
      </c>
      <c r="B290" s="112">
        <v>11991.3</v>
      </c>
      <c r="C290" s="113"/>
      <c r="D290" s="116">
        <v>57</v>
      </c>
      <c r="E290" s="117"/>
      <c r="H290">
        <v>299</v>
      </c>
      <c r="I290" s="99">
        <f t="shared" si="4"/>
        <v>57</v>
      </c>
    </row>
    <row r="291" spans="1:9" ht="14.45" customHeight="1" x14ac:dyDescent="0.25">
      <c r="A291" s="115" t="s">
        <v>3358</v>
      </c>
      <c r="B291" s="112">
        <v>11144.7</v>
      </c>
      <c r="C291" s="113"/>
      <c r="D291" s="116">
        <v>58</v>
      </c>
      <c r="E291" s="117"/>
      <c r="H291">
        <v>255</v>
      </c>
      <c r="I291" s="99">
        <f t="shared" si="4"/>
        <v>58</v>
      </c>
    </row>
    <row r="292" spans="1:9" ht="14.45" customHeight="1" x14ac:dyDescent="0.25">
      <c r="A292" s="115" t="s">
        <v>2962</v>
      </c>
      <c r="B292" s="112">
        <v>9637.4</v>
      </c>
      <c r="C292" s="113"/>
      <c r="D292" s="116">
        <v>53</v>
      </c>
      <c r="E292" s="117"/>
      <c r="H292">
        <v>15</v>
      </c>
      <c r="I292" s="99">
        <f t="shared" si="4"/>
        <v>53</v>
      </c>
    </row>
    <row r="293" spans="1:9" ht="14.45" customHeight="1" x14ac:dyDescent="0.25">
      <c r="A293" s="115" t="s">
        <v>3529</v>
      </c>
      <c r="B293" s="112">
        <v>11555</v>
      </c>
      <c r="C293" s="113"/>
      <c r="D293" s="116">
        <v>54</v>
      </c>
      <c r="E293" s="117"/>
      <c r="H293">
        <v>284</v>
      </c>
      <c r="I293" s="99">
        <f t="shared" si="4"/>
        <v>54</v>
      </c>
    </row>
    <row r="294" spans="1:9" ht="14.45" customHeight="1" x14ac:dyDescent="0.25">
      <c r="A294" s="115" t="s">
        <v>2963</v>
      </c>
      <c r="B294" s="112">
        <v>11781.8</v>
      </c>
      <c r="C294" s="113"/>
      <c r="D294" s="116">
        <v>53</v>
      </c>
      <c r="E294" s="117"/>
      <c r="H294">
        <v>35</v>
      </c>
      <c r="I294" s="99">
        <f t="shared" si="4"/>
        <v>53</v>
      </c>
    </row>
    <row r="295" spans="1:9" ht="14.45" customHeight="1" x14ac:dyDescent="0.25">
      <c r="A295" s="115" t="s">
        <v>2981</v>
      </c>
      <c r="B295" s="112">
        <v>10762.4</v>
      </c>
      <c r="C295" s="113"/>
      <c r="D295" s="116">
        <v>47</v>
      </c>
      <c r="E295" s="117"/>
      <c r="H295">
        <v>47</v>
      </c>
      <c r="I295" s="99">
        <f t="shared" si="4"/>
        <v>47</v>
      </c>
    </row>
    <row r="296" spans="1:9" ht="14.45" customHeight="1" x14ac:dyDescent="0.25">
      <c r="A296" s="115" t="s">
        <v>3229</v>
      </c>
      <c r="B296" s="112">
        <v>5984</v>
      </c>
      <c r="C296" s="113"/>
      <c r="D296" s="116">
        <v>57</v>
      </c>
      <c r="E296" s="117"/>
      <c r="H296">
        <v>131</v>
      </c>
      <c r="I296" s="99">
        <f t="shared" si="4"/>
        <v>57</v>
      </c>
    </row>
    <row r="297" spans="1:9" ht="14.45" customHeight="1" x14ac:dyDescent="0.25">
      <c r="A297" s="115" t="s">
        <v>3258</v>
      </c>
      <c r="B297" s="112">
        <v>11765</v>
      </c>
      <c r="C297" s="113"/>
      <c r="D297" s="116">
        <v>58</v>
      </c>
      <c r="E297" s="117"/>
      <c r="H297">
        <v>164</v>
      </c>
      <c r="I297" s="99">
        <f t="shared" si="4"/>
        <v>58</v>
      </c>
    </row>
    <row r="298" spans="1:9" ht="14.45" customHeight="1" x14ac:dyDescent="0.25">
      <c r="A298" s="453" t="s">
        <v>3230</v>
      </c>
      <c r="B298" s="450">
        <v>559451.6</v>
      </c>
      <c r="C298" s="451"/>
      <c r="D298" s="454"/>
      <c r="E298" s="469"/>
      <c r="I298" s="99"/>
    </row>
    <row r="299" spans="1:9" ht="14.45" customHeight="1" x14ac:dyDescent="0.25">
      <c r="A299" s="453" t="s">
        <v>102</v>
      </c>
      <c r="B299" s="450">
        <v>559451.6</v>
      </c>
      <c r="C299" s="451"/>
      <c r="D299" s="454">
        <v>65.900000000000006</v>
      </c>
      <c r="E299" s="469"/>
      <c r="I299" s="99"/>
    </row>
    <row r="300" spans="1:9" ht="14.45" customHeight="1" x14ac:dyDescent="0.25">
      <c r="A300" s="115" t="s">
        <v>3312</v>
      </c>
      <c r="B300" s="112">
        <v>8001.1</v>
      </c>
      <c r="C300" s="113"/>
      <c r="D300" s="116">
        <v>69</v>
      </c>
      <c r="E300" s="117"/>
      <c r="H300">
        <v>215</v>
      </c>
      <c r="I300" s="99">
        <f t="shared" si="4"/>
        <v>69</v>
      </c>
    </row>
    <row r="301" spans="1:9" ht="14.45" customHeight="1" x14ac:dyDescent="0.25">
      <c r="A301" s="115" t="s">
        <v>3295</v>
      </c>
      <c r="B301" s="112">
        <v>11821.5</v>
      </c>
      <c r="C301" s="113"/>
      <c r="D301" s="116">
        <v>70</v>
      </c>
      <c r="E301" s="117"/>
      <c r="H301">
        <v>200</v>
      </c>
      <c r="I301" s="99">
        <f t="shared" si="4"/>
        <v>70</v>
      </c>
    </row>
    <row r="302" spans="1:9" ht="14.45" customHeight="1" x14ac:dyDescent="0.25">
      <c r="A302" s="115" t="s">
        <v>3432</v>
      </c>
      <c r="B302" s="112">
        <v>11664.3</v>
      </c>
      <c r="C302" s="113"/>
      <c r="D302" s="116">
        <v>68</v>
      </c>
      <c r="E302" s="117"/>
      <c r="H302">
        <v>277</v>
      </c>
      <c r="I302" s="99">
        <f t="shared" si="4"/>
        <v>68</v>
      </c>
    </row>
    <row r="303" spans="1:9" ht="14.45" customHeight="1" x14ac:dyDescent="0.25">
      <c r="A303" s="115" t="s">
        <v>3325</v>
      </c>
      <c r="B303" s="112">
        <v>10464.6</v>
      </c>
      <c r="C303" s="113"/>
      <c r="D303" s="116">
        <v>66</v>
      </c>
      <c r="E303" s="117"/>
      <c r="H303">
        <v>227</v>
      </c>
      <c r="I303" s="99">
        <f t="shared" si="4"/>
        <v>66</v>
      </c>
    </row>
    <row r="304" spans="1:9" ht="14.45" customHeight="1" x14ac:dyDescent="0.25">
      <c r="A304" s="115" t="s">
        <v>3363</v>
      </c>
      <c r="B304" s="112">
        <v>11515</v>
      </c>
      <c r="C304" s="113"/>
      <c r="D304" s="116">
        <v>65</v>
      </c>
      <c r="E304" s="117"/>
      <c r="H304">
        <v>263</v>
      </c>
      <c r="I304" s="99">
        <f t="shared" si="4"/>
        <v>65</v>
      </c>
    </row>
    <row r="305" spans="1:9" ht="14.45" customHeight="1" x14ac:dyDescent="0.25">
      <c r="A305" s="115" t="s">
        <v>3343</v>
      </c>
      <c r="B305" s="112">
        <v>11463.8</v>
      </c>
      <c r="C305" s="113"/>
      <c r="D305" s="116">
        <v>63</v>
      </c>
      <c r="E305" s="117"/>
      <c r="H305">
        <v>240</v>
      </c>
      <c r="I305" s="99">
        <f t="shared" si="4"/>
        <v>63</v>
      </c>
    </row>
    <row r="306" spans="1:9" ht="14.45" customHeight="1" x14ac:dyDescent="0.25">
      <c r="A306" s="115" t="s">
        <v>3323</v>
      </c>
      <c r="B306" s="112">
        <v>10378.5</v>
      </c>
      <c r="C306" s="113"/>
      <c r="D306" s="116">
        <v>63</v>
      </c>
      <c r="E306" s="117"/>
      <c r="H306">
        <v>225</v>
      </c>
      <c r="I306" s="99">
        <f t="shared" si="4"/>
        <v>63</v>
      </c>
    </row>
    <row r="307" spans="1:9" ht="14.45" customHeight="1" x14ac:dyDescent="0.25">
      <c r="A307" s="115" t="s">
        <v>3242</v>
      </c>
      <c r="B307" s="112">
        <v>12114</v>
      </c>
      <c r="C307" s="113"/>
      <c r="D307" s="116">
        <v>64</v>
      </c>
      <c r="E307" s="117"/>
      <c r="H307">
        <v>148</v>
      </c>
      <c r="I307" s="99">
        <f t="shared" si="4"/>
        <v>64</v>
      </c>
    </row>
    <row r="308" spans="1:9" ht="14.45" customHeight="1" x14ac:dyDescent="0.25">
      <c r="A308" s="115" t="s">
        <v>3278</v>
      </c>
      <c r="B308" s="112">
        <v>11435.3</v>
      </c>
      <c r="C308" s="113"/>
      <c r="D308" s="116">
        <v>65</v>
      </c>
      <c r="E308" s="117"/>
      <c r="H308">
        <v>183</v>
      </c>
      <c r="I308" s="99">
        <f t="shared" si="4"/>
        <v>65</v>
      </c>
    </row>
    <row r="309" spans="1:9" ht="14.45" customHeight="1" x14ac:dyDescent="0.25">
      <c r="A309" s="115" t="s">
        <v>3244</v>
      </c>
      <c r="B309" s="112">
        <v>12328</v>
      </c>
      <c r="C309" s="113"/>
      <c r="D309" s="116">
        <v>67</v>
      </c>
      <c r="E309" s="117"/>
      <c r="H309">
        <v>153</v>
      </c>
      <c r="I309" s="99">
        <f t="shared" si="4"/>
        <v>67</v>
      </c>
    </row>
    <row r="310" spans="1:9" ht="14.45" customHeight="1" x14ac:dyDescent="0.25">
      <c r="A310" s="115" t="s">
        <v>3433</v>
      </c>
      <c r="B310" s="112">
        <v>4016.9</v>
      </c>
      <c r="C310" s="113"/>
      <c r="D310" s="116">
        <v>64</v>
      </c>
      <c r="E310" s="117"/>
      <c r="H310">
        <v>285</v>
      </c>
      <c r="I310" s="99">
        <f t="shared" si="4"/>
        <v>64</v>
      </c>
    </row>
    <row r="311" spans="1:9" ht="14.45" customHeight="1" x14ac:dyDescent="0.25">
      <c r="A311" s="115" t="s">
        <v>3231</v>
      </c>
      <c r="B311" s="112">
        <v>4142</v>
      </c>
      <c r="C311" s="113"/>
      <c r="D311" s="116">
        <v>63</v>
      </c>
      <c r="E311" s="117"/>
      <c r="H311">
        <v>129</v>
      </c>
      <c r="I311" s="99">
        <f t="shared" si="4"/>
        <v>63</v>
      </c>
    </row>
    <row r="312" spans="1:9" ht="14.45" customHeight="1" x14ac:dyDescent="0.25">
      <c r="A312" s="115" t="s">
        <v>3365</v>
      </c>
      <c r="B312" s="112">
        <v>11429.6</v>
      </c>
      <c r="C312" s="113"/>
      <c r="D312" s="116">
        <v>66</v>
      </c>
      <c r="E312" s="117"/>
      <c r="H312">
        <v>264</v>
      </c>
      <c r="I312" s="99">
        <f t="shared" si="4"/>
        <v>66</v>
      </c>
    </row>
    <row r="313" spans="1:9" ht="14.45" customHeight="1" x14ac:dyDescent="0.25">
      <c r="A313" s="115" t="s">
        <v>3282</v>
      </c>
      <c r="B313" s="112">
        <v>11556.4</v>
      </c>
      <c r="C313" s="113"/>
      <c r="D313" s="116">
        <v>68</v>
      </c>
      <c r="E313" s="117"/>
      <c r="H313">
        <v>188</v>
      </c>
      <c r="I313" s="99">
        <f t="shared" si="4"/>
        <v>68</v>
      </c>
    </row>
    <row r="314" spans="1:9" ht="14.45" customHeight="1" x14ac:dyDescent="0.25">
      <c r="A314" s="115" t="s">
        <v>3279</v>
      </c>
      <c r="B314" s="112">
        <v>11243.3</v>
      </c>
      <c r="C314" s="113"/>
      <c r="D314" s="116">
        <v>65</v>
      </c>
      <c r="E314" s="117"/>
      <c r="H314">
        <v>186</v>
      </c>
      <c r="I314" s="99">
        <f t="shared" si="4"/>
        <v>65</v>
      </c>
    </row>
    <row r="315" spans="1:9" ht="14.45" customHeight="1" x14ac:dyDescent="0.25">
      <c r="A315" s="115" t="s">
        <v>3298</v>
      </c>
      <c r="B315" s="112">
        <v>6348.7</v>
      </c>
      <c r="C315" s="113"/>
      <c r="D315" s="116">
        <v>66</v>
      </c>
      <c r="E315" s="117"/>
      <c r="H315">
        <v>202</v>
      </c>
      <c r="I315" s="99">
        <f t="shared" si="4"/>
        <v>66</v>
      </c>
    </row>
    <row r="316" spans="1:9" ht="14.45" customHeight="1" x14ac:dyDescent="0.25">
      <c r="A316" s="115" t="s">
        <v>3294</v>
      </c>
      <c r="B316" s="112">
        <v>12098.9</v>
      </c>
      <c r="C316" s="113"/>
      <c r="D316" s="116">
        <v>65</v>
      </c>
      <c r="E316" s="117"/>
      <c r="H316">
        <v>199</v>
      </c>
      <c r="I316" s="99">
        <f t="shared" si="4"/>
        <v>65</v>
      </c>
    </row>
    <row r="317" spans="1:9" ht="14.45" customHeight="1" x14ac:dyDescent="0.25">
      <c r="A317" s="115" t="s">
        <v>3319</v>
      </c>
      <c r="B317" s="112">
        <v>10704.7</v>
      </c>
      <c r="C317" s="113"/>
      <c r="D317" s="116">
        <v>67</v>
      </c>
      <c r="E317" s="117"/>
      <c r="H317">
        <v>221</v>
      </c>
      <c r="I317" s="99">
        <f t="shared" si="4"/>
        <v>67</v>
      </c>
    </row>
    <row r="318" spans="1:9" ht="14.45" customHeight="1" x14ac:dyDescent="0.25">
      <c r="A318" s="115" t="s">
        <v>3344</v>
      </c>
      <c r="B318" s="112">
        <v>3982.8</v>
      </c>
      <c r="C318" s="113"/>
      <c r="D318" s="116">
        <v>67</v>
      </c>
      <c r="E318" s="117"/>
      <c r="H318">
        <v>233</v>
      </c>
      <c r="I318" s="99">
        <f t="shared" si="4"/>
        <v>67</v>
      </c>
    </row>
    <row r="319" spans="1:9" ht="14.45" customHeight="1" x14ac:dyDescent="0.25">
      <c r="A319" s="115" t="s">
        <v>3297</v>
      </c>
      <c r="B319" s="112">
        <v>1998</v>
      </c>
      <c r="C319" s="113"/>
      <c r="D319" s="116">
        <v>64</v>
      </c>
      <c r="E319" s="117"/>
      <c r="H319">
        <v>201</v>
      </c>
      <c r="I319" s="99">
        <f t="shared" si="4"/>
        <v>64</v>
      </c>
    </row>
    <row r="320" spans="1:9" ht="14.45" customHeight="1" x14ac:dyDescent="0.25">
      <c r="A320" s="115" t="s">
        <v>3373</v>
      </c>
      <c r="B320" s="112">
        <v>11799.7</v>
      </c>
      <c r="C320" s="113"/>
      <c r="D320" s="116">
        <v>67</v>
      </c>
      <c r="E320" s="117"/>
      <c r="H320">
        <v>273</v>
      </c>
      <c r="I320" s="99">
        <f t="shared" si="4"/>
        <v>67</v>
      </c>
    </row>
    <row r="321" spans="1:9" ht="14.45" customHeight="1" x14ac:dyDescent="0.25">
      <c r="A321" s="115" t="s">
        <v>3368</v>
      </c>
      <c r="B321" s="112">
        <v>4465.2</v>
      </c>
      <c r="C321" s="113"/>
      <c r="D321" s="116">
        <v>66</v>
      </c>
      <c r="E321" s="117"/>
      <c r="H321">
        <v>265</v>
      </c>
      <c r="I321" s="99">
        <f t="shared" si="4"/>
        <v>66</v>
      </c>
    </row>
    <row r="322" spans="1:9" ht="14.45" customHeight="1" x14ac:dyDescent="0.25">
      <c r="A322" s="115" t="s">
        <v>3908</v>
      </c>
      <c r="B322" s="112">
        <v>3899</v>
      </c>
      <c r="C322" s="113"/>
      <c r="D322" s="116">
        <v>64</v>
      </c>
      <c r="E322" s="117"/>
      <c r="H322">
        <v>666</v>
      </c>
      <c r="I322" s="99">
        <f t="shared" si="4"/>
        <v>64</v>
      </c>
    </row>
    <row r="323" spans="1:9" ht="14.45" customHeight="1" x14ac:dyDescent="0.25">
      <c r="A323" s="115" t="s">
        <v>3372</v>
      </c>
      <c r="B323" s="112">
        <v>11403</v>
      </c>
      <c r="C323" s="113"/>
      <c r="D323" s="116">
        <v>66</v>
      </c>
      <c r="E323" s="117"/>
      <c r="H323">
        <v>269</v>
      </c>
      <c r="I323" s="99">
        <f t="shared" si="4"/>
        <v>66</v>
      </c>
    </row>
    <row r="324" spans="1:9" ht="14.45" customHeight="1" x14ac:dyDescent="0.25">
      <c r="A324" s="115" t="s">
        <v>3322</v>
      </c>
      <c r="B324" s="112">
        <v>11305.6</v>
      </c>
      <c r="C324" s="113"/>
      <c r="D324" s="116">
        <v>65</v>
      </c>
      <c r="E324" s="117"/>
      <c r="H324">
        <v>224</v>
      </c>
      <c r="I324" s="99">
        <f t="shared" si="4"/>
        <v>65</v>
      </c>
    </row>
    <row r="325" spans="1:9" ht="14.45" customHeight="1" x14ac:dyDescent="0.25">
      <c r="A325" s="115" t="s">
        <v>3271</v>
      </c>
      <c r="B325" s="112">
        <v>10718.4</v>
      </c>
      <c r="C325" s="113"/>
      <c r="D325" s="116">
        <v>66</v>
      </c>
      <c r="E325" s="117"/>
      <c r="H325">
        <v>180</v>
      </c>
      <c r="I325" s="99">
        <f t="shared" si="4"/>
        <v>66</v>
      </c>
    </row>
    <row r="326" spans="1:9" ht="14.45" customHeight="1" x14ac:dyDescent="0.25">
      <c r="A326" s="115" t="s">
        <v>3301</v>
      </c>
      <c r="B326" s="112">
        <v>8091</v>
      </c>
      <c r="C326" s="113"/>
      <c r="D326" s="116">
        <v>68</v>
      </c>
      <c r="E326" s="117"/>
      <c r="H326">
        <v>204</v>
      </c>
      <c r="I326" s="99">
        <f t="shared" si="4"/>
        <v>68</v>
      </c>
    </row>
    <row r="327" spans="1:9" ht="14.45" customHeight="1" x14ac:dyDescent="0.25">
      <c r="A327" s="115" t="s">
        <v>3367</v>
      </c>
      <c r="B327" s="112">
        <v>3980.2</v>
      </c>
      <c r="C327" s="113"/>
      <c r="D327" s="116">
        <v>65</v>
      </c>
      <c r="E327" s="117"/>
      <c r="H327">
        <v>262</v>
      </c>
      <c r="I327" s="99">
        <f t="shared" si="4"/>
        <v>65</v>
      </c>
    </row>
    <row r="328" spans="1:9" ht="14.45" customHeight="1" x14ac:dyDescent="0.25">
      <c r="A328" s="115" t="s">
        <v>3345</v>
      </c>
      <c r="B328" s="112">
        <v>11620</v>
      </c>
      <c r="C328" s="113"/>
      <c r="D328" s="116">
        <v>66</v>
      </c>
      <c r="E328" s="117"/>
      <c r="H328">
        <v>232</v>
      </c>
      <c r="I328" s="99">
        <f t="shared" si="4"/>
        <v>66</v>
      </c>
    </row>
    <row r="329" spans="1:9" ht="14.45" customHeight="1" x14ac:dyDescent="0.25">
      <c r="A329" s="115" t="s">
        <v>3275</v>
      </c>
      <c r="B329" s="112">
        <v>12142.1</v>
      </c>
      <c r="C329" s="113"/>
      <c r="D329" s="116">
        <v>68</v>
      </c>
      <c r="E329" s="117"/>
      <c r="H329">
        <v>178</v>
      </c>
      <c r="I329" s="99">
        <f t="shared" si="4"/>
        <v>68</v>
      </c>
    </row>
    <row r="330" spans="1:9" ht="14.45" customHeight="1" x14ac:dyDescent="0.25">
      <c r="A330" s="115" t="s">
        <v>3307</v>
      </c>
      <c r="B330" s="112">
        <v>11158.5</v>
      </c>
      <c r="C330" s="113"/>
      <c r="D330" s="116">
        <v>64</v>
      </c>
      <c r="E330" s="117"/>
      <c r="H330">
        <v>210</v>
      </c>
      <c r="I330" s="99">
        <f t="shared" si="4"/>
        <v>64</v>
      </c>
    </row>
    <row r="331" spans="1:9" ht="14.45" customHeight="1" x14ac:dyDescent="0.25">
      <c r="A331" s="115" t="s">
        <v>3346</v>
      </c>
      <c r="B331" s="112">
        <v>3964.9</v>
      </c>
      <c r="C331" s="113"/>
      <c r="D331" s="116">
        <v>64</v>
      </c>
      <c r="E331" s="117"/>
      <c r="H331">
        <v>237</v>
      </c>
      <c r="I331" s="99">
        <f t="shared" si="4"/>
        <v>64</v>
      </c>
    </row>
    <row r="332" spans="1:9" ht="14.45" customHeight="1" x14ac:dyDescent="0.25">
      <c r="A332" s="115" t="s">
        <v>3281</v>
      </c>
      <c r="B332" s="112">
        <v>11171.4</v>
      </c>
      <c r="C332" s="113"/>
      <c r="D332" s="116">
        <v>64</v>
      </c>
      <c r="E332" s="117"/>
      <c r="H332">
        <v>184</v>
      </c>
      <c r="I332" s="99">
        <f t="shared" si="4"/>
        <v>64</v>
      </c>
    </row>
    <row r="333" spans="1:9" ht="14.45" customHeight="1" x14ac:dyDescent="0.25">
      <c r="A333" s="115" t="s">
        <v>3283</v>
      </c>
      <c r="B333" s="112">
        <v>3991</v>
      </c>
      <c r="C333" s="113"/>
      <c r="D333" s="116">
        <v>65</v>
      </c>
      <c r="E333" s="117"/>
      <c r="H333">
        <v>185</v>
      </c>
      <c r="I333" s="99">
        <f t="shared" ref="I333:I396" si="5">D333</f>
        <v>65</v>
      </c>
    </row>
    <row r="334" spans="1:9" ht="14.45" customHeight="1" x14ac:dyDescent="0.25">
      <c r="A334" s="115" t="s">
        <v>3347</v>
      </c>
      <c r="B334" s="112">
        <v>11875.5</v>
      </c>
      <c r="C334" s="113"/>
      <c r="D334" s="116">
        <v>69</v>
      </c>
      <c r="E334" s="117"/>
      <c r="H334">
        <v>234</v>
      </c>
      <c r="I334" s="99">
        <f t="shared" si="5"/>
        <v>69</v>
      </c>
    </row>
    <row r="335" spans="1:9" ht="14.45" customHeight="1" x14ac:dyDescent="0.25">
      <c r="A335" s="115" t="s">
        <v>3276</v>
      </c>
      <c r="B335" s="112">
        <v>11481</v>
      </c>
      <c r="C335" s="113"/>
      <c r="D335" s="116">
        <v>65</v>
      </c>
      <c r="E335" s="117"/>
      <c r="H335">
        <v>182</v>
      </c>
      <c r="I335" s="99">
        <f t="shared" si="5"/>
        <v>65</v>
      </c>
    </row>
    <row r="336" spans="1:9" ht="14.45" customHeight="1" x14ac:dyDescent="0.25">
      <c r="A336" s="115" t="s">
        <v>3348</v>
      </c>
      <c r="B336" s="112">
        <v>11673.2</v>
      </c>
      <c r="C336" s="113"/>
      <c r="D336" s="116">
        <v>65</v>
      </c>
      <c r="E336" s="117"/>
      <c r="H336">
        <v>239</v>
      </c>
      <c r="I336" s="99">
        <f t="shared" si="5"/>
        <v>65</v>
      </c>
    </row>
    <row r="337" spans="1:9" ht="14.45" customHeight="1" x14ac:dyDescent="0.25">
      <c r="A337" s="115" t="s">
        <v>3274</v>
      </c>
      <c r="B337" s="112">
        <v>12100</v>
      </c>
      <c r="C337" s="113"/>
      <c r="D337" s="116">
        <v>66</v>
      </c>
      <c r="E337" s="117"/>
      <c r="H337">
        <v>177</v>
      </c>
      <c r="I337" s="99">
        <f t="shared" si="5"/>
        <v>66</v>
      </c>
    </row>
    <row r="338" spans="1:9" ht="14.45" customHeight="1" x14ac:dyDescent="0.25">
      <c r="A338" s="115" t="s">
        <v>3909</v>
      </c>
      <c r="B338" s="112">
        <v>11590.3</v>
      </c>
      <c r="C338" s="113"/>
      <c r="D338" s="116">
        <v>64</v>
      </c>
      <c r="E338" s="117"/>
      <c r="H338">
        <v>674</v>
      </c>
      <c r="I338" s="99">
        <f t="shared" si="5"/>
        <v>64</v>
      </c>
    </row>
    <row r="339" spans="1:9" ht="14.45" customHeight="1" x14ac:dyDescent="0.25">
      <c r="A339" s="115" t="s">
        <v>3531</v>
      </c>
      <c r="B339" s="112">
        <v>11980</v>
      </c>
      <c r="C339" s="113"/>
      <c r="D339" s="116">
        <v>70</v>
      </c>
      <c r="E339" s="117"/>
      <c r="H339">
        <v>307</v>
      </c>
      <c r="I339" s="99">
        <f t="shared" si="5"/>
        <v>70</v>
      </c>
    </row>
    <row r="340" spans="1:9" ht="14.45" customHeight="1" x14ac:dyDescent="0.25">
      <c r="A340" s="115" t="s">
        <v>3370</v>
      </c>
      <c r="B340" s="112">
        <v>11470</v>
      </c>
      <c r="C340" s="113"/>
      <c r="D340" s="116">
        <v>67</v>
      </c>
      <c r="E340" s="117"/>
      <c r="H340">
        <v>267</v>
      </c>
      <c r="I340" s="99">
        <f t="shared" si="5"/>
        <v>67</v>
      </c>
    </row>
    <row r="341" spans="1:9" ht="14.45" customHeight="1" x14ac:dyDescent="0.25">
      <c r="A341" s="115" t="s">
        <v>3324</v>
      </c>
      <c r="B341" s="112">
        <v>11038</v>
      </c>
      <c r="C341" s="113"/>
      <c r="D341" s="116">
        <v>68</v>
      </c>
      <c r="E341" s="117"/>
      <c r="H341">
        <v>226</v>
      </c>
      <c r="I341" s="99">
        <f t="shared" si="5"/>
        <v>68</v>
      </c>
    </row>
    <row r="342" spans="1:9" ht="14.45" customHeight="1" x14ac:dyDescent="0.25">
      <c r="A342" s="115" t="s">
        <v>3251</v>
      </c>
      <c r="B342" s="112">
        <v>12467</v>
      </c>
      <c r="C342" s="113"/>
      <c r="D342" s="116">
        <v>71</v>
      </c>
      <c r="E342" s="117"/>
      <c r="H342">
        <v>154</v>
      </c>
      <c r="I342" s="99">
        <f t="shared" si="5"/>
        <v>71</v>
      </c>
    </row>
    <row r="343" spans="1:9" ht="14.45" customHeight="1" x14ac:dyDescent="0.25">
      <c r="A343" s="115" t="s">
        <v>3371</v>
      </c>
      <c r="B343" s="112">
        <v>11547.8</v>
      </c>
      <c r="C343" s="113"/>
      <c r="D343" s="116">
        <v>67</v>
      </c>
      <c r="E343" s="117"/>
      <c r="H343">
        <v>268</v>
      </c>
      <c r="I343" s="99">
        <f t="shared" si="5"/>
        <v>67</v>
      </c>
    </row>
    <row r="344" spans="1:9" ht="14.45" customHeight="1" x14ac:dyDescent="0.25">
      <c r="A344" s="115" t="s">
        <v>3321</v>
      </c>
      <c r="B344" s="112">
        <v>10448.299999999999</v>
      </c>
      <c r="C344" s="113"/>
      <c r="D344" s="116">
        <v>67</v>
      </c>
      <c r="E344" s="117"/>
      <c r="H344">
        <v>223</v>
      </c>
      <c r="I344" s="99">
        <f t="shared" si="5"/>
        <v>67</v>
      </c>
    </row>
    <row r="345" spans="1:9" ht="14.45" customHeight="1" x14ac:dyDescent="0.25">
      <c r="A345" s="115" t="s">
        <v>3280</v>
      </c>
      <c r="B345" s="112">
        <v>11770.5</v>
      </c>
      <c r="C345" s="113"/>
      <c r="D345" s="116">
        <v>63</v>
      </c>
      <c r="E345" s="117"/>
      <c r="H345">
        <v>187</v>
      </c>
      <c r="I345" s="99">
        <f t="shared" si="5"/>
        <v>63</v>
      </c>
    </row>
    <row r="346" spans="1:9" ht="14.45" customHeight="1" x14ac:dyDescent="0.25">
      <c r="A346" s="115" t="s">
        <v>3246</v>
      </c>
      <c r="B346" s="112">
        <v>11792.5</v>
      </c>
      <c r="C346" s="113"/>
      <c r="D346" s="116">
        <v>67</v>
      </c>
      <c r="E346" s="117"/>
      <c r="H346">
        <v>152</v>
      </c>
      <c r="I346" s="99">
        <f t="shared" si="5"/>
        <v>67</v>
      </c>
    </row>
    <row r="347" spans="1:9" ht="14.45" customHeight="1" x14ac:dyDescent="0.25">
      <c r="A347" s="115" t="s">
        <v>3277</v>
      </c>
      <c r="B347" s="112">
        <v>11633.6</v>
      </c>
      <c r="C347" s="113"/>
      <c r="D347" s="116">
        <v>69</v>
      </c>
      <c r="E347" s="117"/>
      <c r="H347">
        <v>179</v>
      </c>
      <c r="I347" s="99">
        <f t="shared" si="5"/>
        <v>69</v>
      </c>
    </row>
    <row r="348" spans="1:9" ht="14.45" customHeight="1" x14ac:dyDescent="0.25">
      <c r="A348" s="115" t="s">
        <v>3374</v>
      </c>
      <c r="B348" s="112">
        <v>11574.8</v>
      </c>
      <c r="C348" s="113"/>
      <c r="D348" s="116">
        <v>68</v>
      </c>
      <c r="E348" s="117"/>
      <c r="H348">
        <v>275</v>
      </c>
      <c r="I348" s="99">
        <f t="shared" si="5"/>
        <v>68</v>
      </c>
    </row>
    <row r="349" spans="1:9" ht="14.45" customHeight="1" x14ac:dyDescent="0.25">
      <c r="A349" s="115" t="s">
        <v>3369</v>
      </c>
      <c r="B349" s="112">
        <v>11602.2</v>
      </c>
      <c r="C349" s="113"/>
      <c r="D349" s="116">
        <v>63</v>
      </c>
      <c r="E349" s="117"/>
      <c r="H349">
        <v>266</v>
      </c>
      <c r="I349" s="99">
        <f t="shared" si="5"/>
        <v>63</v>
      </c>
    </row>
    <row r="350" spans="1:9" ht="14.45" customHeight="1" x14ac:dyDescent="0.25">
      <c r="A350" s="115" t="s">
        <v>3237</v>
      </c>
      <c r="B350" s="112">
        <v>12096</v>
      </c>
      <c r="C350" s="113"/>
      <c r="D350" s="116">
        <v>64</v>
      </c>
      <c r="E350" s="117"/>
      <c r="H350">
        <v>150</v>
      </c>
      <c r="I350" s="99">
        <f t="shared" si="5"/>
        <v>64</v>
      </c>
    </row>
    <row r="351" spans="1:9" ht="14.45" customHeight="1" x14ac:dyDescent="0.25">
      <c r="A351" s="115" t="s">
        <v>3434</v>
      </c>
      <c r="B351" s="112">
        <v>11692</v>
      </c>
      <c r="C351" s="113"/>
      <c r="D351" s="116">
        <v>68</v>
      </c>
      <c r="E351" s="117"/>
      <c r="H351">
        <v>283</v>
      </c>
      <c r="I351" s="99">
        <f t="shared" si="5"/>
        <v>68</v>
      </c>
    </row>
    <row r="352" spans="1:9" ht="14.45" customHeight="1" x14ac:dyDescent="0.25">
      <c r="A352" s="115" t="s">
        <v>3296</v>
      </c>
      <c r="B352" s="112">
        <v>11710.5</v>
      </c>
      <c r="C352" s="113"/>
      <c r="D352" s="116">
        <v>65</v>
      </c>
      <c r="E352" s="117"/>
      <c r="H352">
        <v>203</v>
      </c>
      <c r="I352" s="99">
        <f t="shared" si="5"/>
        <v>65</v>
      </c>
    </row>
    <row r="353" spans="1:9" ht="14.45" customHeight="1" x14ac:dyDescent="0.25">
      <c r="A353" s="115" t="s">
        <v>3910</v>
      </c>
      <c r="B353" s="112">
        <v>13670.1</v>
      </c>
      <c r="C353" s="113"/>
      <c r="D353" s="116">
        <v>65</v>
      </c>
      <c r="E353" s="117"/>
      <c r="H353">
        <v>676</v>
      </c>
      <c r="I353" s="99">
        <f t="shared" si="5"/>
        <v>65</v>
      </c>
    </row>
    <row r="354" spans="1:9" ht="14.45" customHeight="1" x14ac:dyDescent="0.25">
      <c r="A354" s="115" t="s">
        <v>3245</v>
      </c>
      <c r="B354" s="112">
        <v>12024</v>
      </c>
      <c r="C354" s="113"/>
      <c r="D354" s="116">
        <v>64</v>
      </c>
      <c r="E354" s="117"/>
      <c r="H354">
        <v>151</v>
      </c>
      <c r="I354" s="99">
        <f t="shared" si="5"/>
        <v>64</v>
      </c>
    </row>
    <row r="355" spans="1:9" ht="14.45" customHeight="1" x14ac:dyDescent="0.25">
      <c r="A355" s="115" t="s">
        <v>3349</v>
      </c>
      <c r="B355" s="112">
        <v>3797.5</v>
      </c>
      <c r="C355" s="113"/>
      <c r="D355" s="116">
        <v>65</v>
      </c>
      <c r="E355" s="117"/>
      <c r="H355">
        <v>242</v>
      </c>
      <c r="I355" s="99">
        <f t="shared" si="5"/>
        <v>65</v>
      </c>
    </row>
    <row r="356" spans="1:9" ht="14.45" customHeight="1" x14ac:dyDescent="0.25">
      <c r="A356" s="453" t="s">
        <v>3273</v>
      </c>
      <c r="B356" s="450">
        <v>4176</v>
      </c>
      <c r="C356" s="451"/>
      <c r="D356" s="454"/>
      <c r="E356" s="469"/>
      <c r="I356" s="99"/>
    </row>
    <row r="357" spans="1:9" ht="14.45" customHeight="1" x14ac:dyDescent="0.25">
      <c r="A357" s="453" t="s">
        <v>102</v>
      </c>
      <c r="B357" s="450">
        <v>4176</v>
      </c>
      <c r="C357" s="451"/>
      <c r="D357" s="454">
        <v>73</v>
      </c>
      <c r="E357" s="469"/>
      <c r="I357" s="99"/>
    </row>
    <row r="358" spans="1:9" ht="14.45" customHeight="1" x14ac:dyDescent="0.25">
      <c r="A358" s="115" t="s">
        <v>3272</v>
      </c>
      <c r="B358" s="112">
        <v>4176</v>
      </c>
      <c r="C358" s="113"/>
      <c r="D358" s="116">
        <v>73</v>
      </c>
      <c r="E358" s="117"/>
      <c r="H358">
        <v>181</v>
      </c>
      <c r="I358" s="99">
        <f t="shared" si="5"/>
        <v>73</v>
      </c>
    </row>
    <row r="359" spans="1:9" ht="14.45" customHeight="1" x14ac:dyDescent="0.25">
      <c r="A359" s="453" t="s">
        <v>3645</v>
      </c>
      <c r="B359" s="450">
        <v>220001.7</v>
      </c>
      <c r="C359" s="451"/>
      <c r="D359" s="454"/>
      <c r="E359" s="469"/>
      <c r="I359" s="99"/>
    </row>
    <row r="360" spans="1:9" ht="14.45" customHeight="1" x14ac:dyDescent="0.25">
      <c r="A360" s="453" t="s">
        <v>3273</v>
      </c>
      <c r="B360" s="450">
        <v>84291.3</v>
      </c>
      <c r="C360" s="451"/>
      <c r="D360" s="454"/>
      <c r="E360" s="469"/>
      <c r="I360" s="99"/>
    </row>
    <row r="361" spans="1:9" ht="14.45" customHeight="1" x14ac:dyDescent="0.25">
      <c r="A361" s="453" t="s">
        <v>102</v>
      </c>
      <c r="B361" s="450">
        <v>84291.3</v>
      </c>
      <c r="C361" s="451"/>
      <c r="D361" s="454">
        <v>73.3</v>
      </c>
      <c r="E361" s="469"/>
      <c r="I361" s="99"/>
    </row>
    <row r="362" spans="1:9" ht="14.45" customHeight="1" x14ac:dyDescent="0.25">
      <c r="A362" s="115" t="s">
        <v>3709</v>
      </c>
      <c r="B362" s="112">
        <v>12921</v>
      </c>
      <c r="C362" s="113"/>
      <c r="D362" s="116">
        <v>77</v>
      </c>
      <c r="E362" s="117"/>
      <c r="H362">
        <v>500</v>
      </c>
      <c r="I362" s="99">
        <f t="shared" si="5"/>
        <v>77</v>
      </c>
    </row>
    <row r="363" spans="1:9" ht="14.45" customHeight="1" x14ac:dyDescent="0.25">
      <c r="A363" s="115" t="s">
        <v>3976</v>
      </c>
      <c r="B363" s="112">
        <v>13230.3</v>
      </c>
      <c r="C363" s="113"/>
      <c r="D363" s="116">
        <v>73</v>
      </c>
      <c r="E363" s="117"/>
      <c r="H363">
        <v>717</v>
      </c>
      <c r="I363" s="99">
        <f t="shared" si="5"/>
        <v>73</v>
      </c>
    </row>
    <row r="364" spans="1:9" ht="14.45" customHeight="1" x14ac:dyDescent="0.25">
      <c r="A364" s="115" t="s">
        <v>3975</v>
      </c>
      <c r="B364" s="112">
        <v>13705.2</v>
      </c>
      <c r="C364" s="113"/>
      <c r="D364" s="116">
        <v>74</v>
      </c>
      <c r="E364" s="117"/>
      <c r="H364">
        <v>716</v>
      </c>
      <c r="I364" s="99">
        <f t="shared" si="5"/>
        <v>74</v>
      </c>
    </row>
    <row r="365" spans="1:9" ht="14.45" customHeight="1" x14ac:dyDescent="0.25">
      <c r="A365" s="115" t="s">
        <v>4040</v>
      </c>
      <c r="B365" s="112">
        <v>8728.7000000000007</v>
      </c>
      <c r="C365" s="113"/>
      <c r="D365" s="116">
        <v>71</v>
      </c>
      <c r="E365" s="117"/>
      <c r="H365">
        <v>726</v>
      </c>
      <c r="I365" s="99">
        <f t="shared" si="5"/>
        <v>71</v>
      </c>
    </row>
    <row r="366" spans="1:9" ht="14.45" customHeight="1" x14ac:dyDescent="0.25">
      <c r="A366" s="115" t="s">
        <v>3971</v>
      </c>
      <c r="B366" s="112">
        <v>12304.6</v>
      </c>
      <c r="C366" s="113"/>
      <c r="D366" s="116">
        <v>71</v>
      </c>
      <c r="E366" s="117"/>
      <c r="H366">
        <v>712</v>
      </c>
      <c r="I366" s="99">
        <f t="shared" si="5"/>
        <v>71</v>
      </c>
    </row>
    <row r="367" spans="1:9" ht="14.45" customHeight="1" x14ac:dyDescent="0.25">
      <c r="A367" s="115" t="s">
        <v>3972</v>
      </c>
      <c r="B367" s="112">
        <v>12042.6</v>
      </c>
      <c r="C367" s="113"/>
      <c r="D367" s="116">
        <v>74</v>
      </c>
      <c r="E367" s="117"/>
      <c r="H367">
        <v>713</v>
      </c>
      <c r="I367" s="99">
        <f t="shared" si="5"/>
        <v>74</v>
      </c>
    </row>
    <row r="368" spans="1:9" ht="14.45" customHeight="1" x14ac:dyDescent="0.25">
      <c r="A368" s="115" t="s">
        <v>3977</v>
      </c>
      <c r="B368" s="112">
        <v>11359</v>
      </c>
      <c r="C368" s="113"/>
      <c r="D368" s="116">
        <v>73</v>
      </c>
      <c r="E368" s="117"/>
      <c r="H368">
        <v>718</v>
      </c>
      <c r="I368" s="99">
        <f t="shared" si="5"/>
        <v>73</v>
      </c>
    </row>
    <row r="369" spans="1:9" ht="14.45" customHeight="1" x14ac:dyDescent="0.25">
      <c r="A369" s="453" t="s">
        <v>2940</v>
      </c>
      <c r="B369" s="450">
        <v>1185656.5</v>
      </c>
      <c r="C369" s="451"/>
      <c r="D369" s="454"/>
      <c r="E369" s="469"/>
      <c r="I369" s="99"/>
    </row>
    <row r="370" spans="1:9" ht="14.45" customHeight="1" x14ac:dyDescent="0.25">
      <c r="A370" s="453" t="s">
        <v>102</v>
      </c>
      <c r="B370" s="450">
        <v>1185656.5</v>
      </c>
      <c r="C370" s="451"/>
      <c r="D370" s="454">
        <v>55.9</v>
      </c>
      <c r="E370" s="469"/>
      <c r="I370" s="99"/>
    </row>
    <row r="371" spans="1:9" ht="14.45" customHeight="1" x14ac:dyDescent="0.25">
      <c r="A371" s="115" t="s">
        <v>3859</v>
      </c>
      <c r="B371" s="112">
        <v>11867.4</v>
      </c>
      <c r="C371" s="113"/>
      <c r="D371" s="116">
        <v>55</v>
      </c>
      <c r="E371" s="117"/>
      <c r="H371">
        <v>620</v>
      </c>
      <c r="I371" s="99">
        <f t="shared" si="5"/>
        <v>55</v>
      </c>
    </row>
    <row r="372" spans="1:9" ht="14.45" customHeight="1" x14ac:dyDescent="0.25">
      <c r="A372" s="115" t="s">
        <v>3731</v>
      </c>
      <c r="B372" s="112">
        <v>11482.9</v>
      </c>
      <c r="C372" s="113"/>
      <c r="D372" s="116">
        <v>59</v>
      </c>
      <c r="E372" s="117"/>
      <c r="H372">
        <v>537</v>
      </c>
      <c r="I372" s="99">
        <f t="shared" si="5"/>
        <v>59</v>
      </c>
    </row>
    <row r="373" spans="1:9" ht="14.45" customHeight="1" x14ac:dyDescent="0.25">
      <c r="A373" s="115" t="s">
        <v>3911</v>
      </c>
      <c r="B373" s="112">
        <v>12351</v>
      </c>
      <c r="C373" s="113"/>
      <c r="D373" s="116">
        <v>62</v>
      </c>
      <c r="E373" s="117"/>
      <c r="H373">
        <v>651</v>
      </c>
      <c r="I373" s="99">
        <f t="shared" si="5"/>
        <v>62</v>
      </c>
    </row>
    <row r="374" spans="1:9" ht="14.45" customHeight="1" x14ac:dyDescent="0.25">
      <c r="A374" s="115" t="s">
        <v>3825</v>
      </c>
      <c r="B374" s="112">
        <v>11745.5</v>
      </c>
      <c r="C374" s="113"/>
      <c r="D374" s="116">
        <v>50</v>
      </c>
      <c r="E374" s="117"/>
      <c r="H374">
        <v>583</v>
      </c>
      <c r="I374" s="99">
        <f t="shared" si="5"/>
        <v>50</v>
      </c>
    </row>
    <row r="375" spans="1:9" ht="14.45" customHeight="1" x14ac:dyDescent="0.25">
      <c r="A375" s="115" t="s">
        <v>3860</v>
      </c>
      <c r="B375" s="112">
        <v>11686.4</v>
      </c>
      <c r="C375" s="113"/>
      <c r="D375" s="116">
        <v>58</v>
      </c>
      <c r="E375" s="117"/>
      <c r="H375">
        <v>636</v>
      </c>
      <c r="I375" s="99">
        <f t="shared" si="5"/>
        <v>58</v>
      </c>
    </row>
    <row r="376" spans="1:9" ht="14.45" customHeight="1" x14ac:dyDescent="0.25">
      <c r="A376" s="115" t="s">
        <v>3687</v>
      </c>
      <c r="B376" s="112">
        <v>11375.5</v>
      </c>
      <c r="C376" s="113"/>
      <c r="D376" s="116">
        <v>52</v>
      </c>
      <c r="E376" s="117"/>
      <c r="H376">
        <v>519</v>
      </c>
      <c r="I376" s="99">
        <f t="shared" si="5"/>
        <v>52</v>
      </c>
    </row>
    <row r="377" spans="1:9" ht="14.45" customHeight="1" x14ac:dyDescent="0.25">
      <c r="A377" s="115" t="s">
        <v>3734</v>
      </c>
      <c r="B377" s="112">
        <v>11372.3</v>
      </c>
      <c r="C377" s="113"/>
      <c r="D377" s="116">
        <v>57</v>
      </c>
      <c r="E377" s="117"/>
      <c r="H377">
        <v>540</v>
      </c>
      <c r="I377" s="99">
        <f t="shared" si="5"/>
        <v>57</v>
      </c>
    </row>
    <row r="378" spans="1:9" ht="14.45" customHeight="1" x14ac:dyDescent="0.25">
      <c r="A378" s="115" t="s">
        <v>3646</v>
      </c>
      <c r="B378" s="112">
        <v>12404.3</v>
      </c>
      <c r="C378" s="113"/>
      <c r="D378" s="116">
        <v>59</v>
      </c>
      <c r="E378" s="117"/>
      <c r="H378">
        <v>469</v>
      </c>
      <c r="I378" s="99">
        <f t="shared" si="5"/>
        <v>59</v>
      </c>
    </row>
    <row r="379" spans="1:9" ht="14.45" customHeight="1" x14ac:dyDescent="0.25">
      <c r="A379" s="115" t="s">
        <v>3861</v>
      </c>
      <c r="B379" s="112">
        <v>12580</v>
      </c>
      <c r="C379" s="113"/>
      <c r="D379" s="116">
        <v>60</v>
      </c>
      <c r="E379" s="117"/>
      <c r="H379">
        <v>640</v>
      </c>
      <c r="I379" s="99">
        <f t="shared" si="5"/>
        <v>60</v>
      </c>
    </row>
    <row r="380" spans="1:9" ht="14.45" customHeight="1" x14ac:dyDescent="0.25">
      <c r="A380" s="115" t="s">
        <v>3792</v>
      </c>
      <c r="B380" s="112">
        <v>12186</v>
      </c>
      <c r="C380" s="113"/>
      <c r="D380" s="116">
        <v>54</v>
      </c>
      <c r="E380" s="117"/>
      <c r="H380">
        <v>561</v>
      </c>
      <c r="I380" s="99">
        <f t="shared" si="5"/>
        <v>54</v>
      </c>
    </row>
    <row r="381" spans="1:9" ht="14.45" customHeight="1" x14ac:dyDescent="0.25">
      <c r="A381" s="115" t="s">
        <v>3647</v>
      </c>
      <c r="B381" s="112">
        <v>12875</v>
      </c>
      <c r="C381" s="113"/>
      <c r="D381" s="116">
        <v>60</v>
      </c>
      <c r="E381" s="117"/>
      <c r="H381">
        <v>467</v>
      </c>
      <c r="I381" s="99">
        <f t="shared" si="5"/>
        <v>60</v>
      </c>
    </row>
    <row r="382" spans="1:9" ht="14.45" customHeight="1" x14ac:dyDescent="0.25">
      <c r="A382" s="115" t="s">
        <v>3793</v>
      </c>
      <c r="B382" s="112">
        <v>12040</v>
      </c>
      <c r="C382" s="113"/>
      <c r="D382" s="116">
        <v>58</v>
      </c>
      <c r="E382" s="117"/>
      <c r="H382">
        <v>578</v>
      </c>
      <c r="I382" s="99">
        <f t="shared" si="5"/>
        <v>58</v>
      </c>
    </row>
    <row r="383" spans="1:9" ht="14.45" customHeight="1" x14ac:dyDescent="0.25">
      <c r="A383" s="115" t="s">
        <v>3708</v>
      </c>
      <c r="B383" s="112">
        <v>11289.2</v>
      </c>
      <c r="C383" s="113"/>
      <c r="D383" s="116">
        <v>61</v>
      </c>
      <c r="E383" s="117"/>
      <c r="H383">
        <v>499</v>
      </c>
      <c r="I383" s="99">
        <f t="shared" si="5"/>
        <v>61</v>
      </c>
    </row>
    <row r="384" spans="1:9" ht="14.45" customHeight="1" x14ac:dyDescent="0.25">
      <c r="A384" s="115" t="s">
        <v>3674</v>
      </c>
      <c r="B384" s="112">
        <v>11755.8</v>
      </c>
      <c r="C384" s="113"/>
      <c r="D384" s="116">
        <v>62</v>
      </c>
      <c r="E384" s="117"/>
      <c r="H384">
        <v>526</v>
      </c>
      <c r="I384" s="99">
        <f t="shared" si="5"/>
        <v>62</v>
      </c>
    </row>
    <row r="385" spans="1:9" ht="14.45" customHeight="1" x14ac:dyDescent="0.25">
      <c r="A385" s="115" t="s">
        <v>3684</v>
      </c>
      <c r="B385" s="112">
        <v>10803.5</v>
      </c>
      <c r="C385" s="113"/>
      <c r="D385" s="116">
        <v>52</v>
      </c>
      <c r="E385" s="117"/>
      <c r="H385">
        <v>516</v>
      </c>
      <c r="I385" s="99">
        <f t="shared" si="5"/>
        <v>52</v>
      </c>
    </row>
    <row r="386" spans="1:9" ht="14.45" customHeight="1" x14ac:dyDescent="0.25">
      <c r="A386" s="115" t="s">
        <v>3912</v>
      </c>
      <c r="B386" s="112">
        <v>6577.1</v>
      </c>
      <c r="C386" s="113"/>
      <c r="D386" s="116">
        <v>56</v>
      </c>
      <c r="E386" s="117"/>
      <c r="H386">
        <v>663</v>
      </c>
      <c r="I386" s="99">
        <f t="shared" si="5"/>
        <v>56</v>
      </c>
    </row>
    <row r="387" spans="1:9" ht="14.45" customHeight="1" x14ac:dyDescent="0.25">
      <c r="A387" s="115" t="s">
        <v>3723</v>
      </c>
      <c r="B387" s="112">
        <v>11197.2</v>
      </c>
      <c r="C387" s="113"/>
      <c r="D387" s="116">
        <v>53</v>
      </c>
      <c r="E387" s="117"/>
      <c r="H387">
        <v>514</v>
      </c>
      <c r="I387" s="99">
        <f t="shared" si="5"/>
        <v>53</v>
      </c>
    </row>
    <row r="388" spans="1:9" ht="14.45" customHeight="1" x14ac:dyDescent="0.25">
      <c r="A388" s="115" t="s">
        <v>3719</v>
      </c>
      <c r="B388" s="112">
        <v>11585.2</v>
      </c>
      <c r="C388" s="113"/>
      <c r="D388" s="116">
        <v>55</v>
      </c>
      <c r="E388" s="117"/>
      <c r="H388">
        <v>510</v>
      </c>
      <c r="I388" s="99">
        <f t="shared" si="5"/>
        <v>55</v>
      </c>
    </row>
    <row r="389" spans="1:9" ht="14.45" customHeight="1" x14ac:dyDescent="0.25">
      <c r="A389" s="115" t="s">
        <v>3690</v>
      </c>
      <c r="B389" s="112">
        <v>11356.4</v>
      </c>
      <c r="C389" s="113"/>
      <c r="D389" s="116">
        <v>50</v>
      </c>
      <c r="E389" s="117"/>
      <c r="H389">
        <v>522</v>
      </c>
      <c r="I389" s="99">
        <f t="shared" si="5"/>
        <v>50</v>
      </c>
    </row>
    <row r="390" spans="1:9" ht="14.45" customHeight="1" x14ac:dyDescent="0.25">
      <c r="A390" s="115" t="s">
        <v>3735</v>
      </c>
      <c r="B390" s="112">
        <v>12033.5</v>
      </c>
      <c r="C390" s="113"/>
      <c r="D390" s="116">
        <v>61</v>
      </c>
      <c r="E390" s="117"/>
      <c r="H390">
        <v>541</v>
      </c>
      <c r="I390" s="99">
        <f t="shared" si="5"/>
        <v>61</v>
      </c>
    </row>
    <row r="391" spans="1:9" ht="14.45" customHeight="1" x14ac:dyDescent="0.25">
      <c r="A391" s="115" t="s">
        <v>3913</v>
      </c>
      <c r="B391" s="112">
        <v>11419.2</v>
      </c>
      <c r="C391" s="113"/>
      <c r="D391" s="116">
        <v>65</v>
      </c>
      <c r="E391" s="117"/>
      <c r="H391">
        <v>677</v>
      </c>
      <c r="I391" s="99">
        <f t="shared" si="5"/>
        <v>65</v>
      </c>
    </row>
    <row r="392" spans="1:9" ht="14.45" customHeight="1" x14ac:dyDescent="0.25">
      <c r="A392" s="115" t="s">
        <v>3914</v>
      </c>
      <c r="B392" s="112">
        <v>2845.8</v>
      </c>
      <c r="C392" s="113"/>
      <c r="D392" s="116">
        <v>61</v>
      </c>
      <c r="E392" s="117"/>
      <c r="H392">
        <v>668</v>
      </c>
      <c r="I392" s="99">
        <f t="shared" si="5"/>
        <v>61</v>
      </c>
    </row>
    <row r="393" spans="1:9" ht="14.45" customHeight="1" x14ac:dyDescent="0.25">
      <c r="A393" s="115" t="s">
        <v>3683</v>
      </c>
      <c r="B393" s="112">
        <v>11137</v>
      </c>
      <c r="C393" s="113"/>
      <c r="D393" s="116">
        <v>53</v>
      </c>
      <c r="E393" s="117"/>
      <c r="H393">
        <v>515</v>
      </c>
      <c r="I393" s="99">
        <f t="shared" si="5"/>
        <v>53</v>
      </c>
    </row>
    <row r="394" spans="1:9" ht="14.45" customHeight="1" x14ac:dyDescent="0.25">
      <c r="A394" s="115" t="s">
        <v>3689</v>
      </c>
      <c r="B394" s="112">
        <v>11294.1</v>
      </c>
      <c r="C394" s="113"/>
      <c r="D394" s="116">
        <v>50</v>
      </c>
      <c r="E394" s="117"/>
      <c r="H394">
        <v>520</v>
      </c>
      <c r="I394" s="99">
        <f t="shared" si="5"/>
        <v>50</v>
      </c>
    </row>
    <row r="395" spans="1:9" ht="14.45" customHeight="1" x14ac:dyDescent="0.25">
      <c r="A395" s="115" t="s">
        <v>3691</v>
      </c>
      <c r="B395" s="112">
        <v>11964.1</v>
      </c>
      <c r="C395" s="113"/>
      <c r="D395" s="116">
        <v>53</v>
      </c>
      <c r="E395" s="117"/>
      <c r="H395">
        <v>523</v>
      </c>
      <c r="I395" s="99">
        <f t="shared" si="5"/>
        <v>53</v>
      </c>
    </row>
    <row r="396" spans="1:9" ht="14.45" customHeight="1" x14ac:dyDescent="0.25">
      <c r="A396" s="115" t="s">
        <v>3698</v>
      </c>
      <c r="B396" s="112">
        <v>11730.3</v>
      </c>
      <c r="C396" s="113"/>
      <c r="D396" s="116">
        <v>59</v>
      </c>
      <c r="E396" s="117"/>
      <c r="H396">
        <v>547</v>
      </c>
      <c r="I396" s="99">
        <f t="shared" si="5"/>
        <v>59</v>
      </c>
    </row>
    <row r="397" spans="1:9" ht="14.45" customHeight="1" x14ac:dyDescent="0.25">
      <c r="A397" s="115" t="s">
        <v>3718</v>
      </c>
      <c r="B397" s="112">
        <v>11568.1</v>
      </c>
      <c r="C397" s="113"/>
      <c r="D397" s="116">
        <v>51</v>
      </c>
      <c r="E397" s="117"/>
      <c r="H397">
        <v>509</v>
      </c>
      <c r="I397" s="99">
        <f t="shared" ref="I397:I460" si="6">D397</f>
        <v>51</v>
      </c>
    </row>
    <row r="398" spans="1:9" ht="14.45" customHeight="1" x14ac:dyDescent="0.25">
      <c r="A398" s="115" t="s">
        <v>3712</v>
      </c>
      <c r="B398" s="112">
        <v>9817.5</v>
      </c>
      <c r="C398" s="113"/>
      <c r="D398" s="116">
        <v>59</v>
      </c>
      <c r="E398" s="117"/>
      <c r="H398">
        <v>503</v>
      </c>
      <c r="I398" s="99">
        <f t="shared" si="6"/>
        <v>59</v>
      </c>
    </row>
    <row r="399" spans="1:9" ht="14.45" customHeight="1" x14ac:dyDescent="0.25">
      <c r="A399" s="115" t="s">
        <v>3721</v>
      </c>
      <c r="B399" s="112">
        <v>11695.2</v>
      </c>
      <c r="C399" s="113"/>
      <c r="D399" s="116">
        <v>53</v>
      </c>
      <c r="E399" s="117"/>
      <c r="H399">
        <v>512</v>
      </c>
      <c r="I399" s="99">
        <f t="shared" si="6"/>
        <v>53</v>
      </c>
    </row>
    <row r="400" spans="1:9" ht="14.45" customHeight="1" x14ac:dyDescent="0.25">
      <c r="A400" s="115" t="s">
        <v>3831</v>
      </c>
      <c r="B400" s="112">
        <v>11632.3</v>
      </c>
      <c r="C400" s="113"/>
      <c r="D400" s="116">
        <v>53</v>
      </c>
      <c r="E400" s="117"/>
      <c r="H400">
        <v>590</v>
      </c>
      <c r="I400" s="99">
        <f t="shared" si="6"/>
        <v>53</v>
      </c>
    </row>
    <row r="401" spans="1:9" ht="14.45" customHeight="1" x14ac:dyDescent="0.25">
      <c r="A401" s="115" t="s">
        <v>3794</v>
      </c>
      <c r="B401" s="112">
        <v>14345.1</v>
      </c>
      <c r="C401" s="113"/>
      <c r="D401" s="116">
        <v>61</v>
      </c>
      <c r="E401" s="117"/>
      <c r="H401">
        <v>555</v>
      </c>
      <c r="I401" s="99">
        <f t="shared" si="6"/>
        <v>61</v>
      </c>
    </row>
    <row r="402" spans="1:9" ht="14.45" customHeight="1" x14ac:dyDescent="0.25">
      <c r="A402" s="115" t="s">
        <v>3682</v>
      </c>
      <c r="B402" s="112">
        <v>11717.4</v>
      </c>
      <c r="C402" s="113"/>
      <c r="D402" s="116">
        <v>55</v>
      </c>
      <c r="E402" s="117"/>
      <c r="H402">
        <v>498</v>
      </c>
      <c r="I402" s="99">
        <f t="shared" si="6"/>
        <v>55</v>
      </c>
    </row>
    <row r="403" spans="1:9" ht="14.45" customHeight="1" x14ac:dyDescent="0.25">
      <c r="A403" s="115" t="s">
        <v>3795</v>
      </c>
      <c r="B403" s="112">
        <v>12313.2</v>
      </c>
      <c r="C403" s="113"/>
      <c r="D403" s="116">
        <v>48</v>
      </c>
      <c r="E403" s="117"/>
      <c r="H403">
        <v>557</v>
      </c>
      <c r="I403" s="99">
        <f t="shared" si="6"/>
        <v>48</v>
      </c>
    </row>
    <row r="404" spans="1:9" ht="14.45" customHeight="1" x14ac:dyDescent="0.25">
      <c r="A404" s="115" t="s">
        <v>3717</v>
      </c>
      <c r="B404" s="112">
        <v>12040</v>
      </c>
      <c r="C404" s="113"/>
      <c r="D404" s="116">
        <v>53</v>
      </c>
      <c r="E404" s="117"/>
      <c r="H404">
        <v>508</v>
      </c>
      <c r="I404" s="99">
        <f t="shared" si="6"/>
        <v>53</v>
      </c>
    </row>
    <row r="405" spans="1:9" ht="14.45" customHeight="1" x14ac:dyDescent="0.25">
      <c r="A405" s="115" t="s">
        <v>3837</v>
      </c>
      <c r="B405" s="112">
        <v>11965.2</v>
      </c>
      <c r="C405" s="113"/>
      <c r="D405" s="116">
        <v>54</v>
      </c>
      <c r="E405" s="117"/>
      <c r="H405">
        <v>602</v>
      </c>
      <c r="I405" s="99">
        <f t="shared" si="6"/>
        <v>54</v>
      </c>
    </row>
    <row r="406" spans="1:9" ht="14.45" customHeight="1" x14ac:dyDescent="0.25">
      <c r="A406" s="115" t="s">
        <v>3862</v>
      </c>
      <c r="B406" s="112">
        <v>13536</v>
      </c>
      <c r="C406" s="113"/>
      <c r="D406" s="116">
        <v>53</v>
      </c>
      <c r="E406" s="117"/>
      <c r="H406">
        <v>609</v>
      </c>
      <c r="I406" s="99">
        <f t="shared" si="6"/>
        <v>53</v>
      </c>
    </row>
    <row r="407" spans="1:9" ht="14.45" customHeight="1" x14ac:dyDescent="0.25">
      <c r="A407" s="115" t="s">
        <v>3697</v>
      </c>
      <c r="B407" s="112">
        <v>12060.2</v>
      </c>
      <c r="C407" s="113"/>
      <c r="D407" s="116">
        <v>59</v>
      </c>
      <c r="E407" s="117"/>
      <c r="H407">
        <v>545</v>
      </c>
      <c r="I407" s="99">
        <f t="shared" si="6"/>
        <v>59</v>
      </c>
    </row>
    <row r="408" spans="1:9" ht="14.45" customHeight="1" x14ac:dyDescent="0.25">
      <c r="A408" s="115" t="s">
        <v>3648</v>
      </c>
      <c r="B408" s="112">
        <v>11832.4</v>
      </c>
      <c r="C408" s="113"/>
      <c r="D408" s="116">
        <v>56</v>
      </c>
      <c r="E408" s="117"/>
      <c r="H408">
        <v>470</v>
      </c>
      <c r="I408" s="99">
        <f t="shared" si="6"/>
        <v>56</v>
      </c>
    </row>
    <row r="409" spans="1:9" ht="14.45" customHeight="1" x14ac:dyDescent="0.25">
      <c r="A409" s="115" t="s">
        <v>3694</v>
      </c>
      <c r="B409" s="112">
        <v>11812.7</v>
      </c>
      <c r="C409" s="113"/>
      <c r="D409" s="116">
        <v>54</v>
      </c>
      <c r="E409" s="117"/>
      <c r="H409">
        <v>527</v>
      </c>
      <c r="I409" s="99">
        <f t="shared" si="6"/>
        <v>54</v>
      </c>
    </row>
    <row r="410" spans="1:9" ht="14.45" customHeight="1" x14ac:dyDescent="0.25">
      <c r="A410" s="115" t="s">
        <v>3678</v>
      </c>
      <c r="B410" s="112">
        <v>11392.5</v>
      </c>
      <c r="C410" s="113"/>
      <c r="D410" s="116">
        <v>61</v>
      </c>
      <c r="E410" s="117"/>
      <c r="H410">
        <v>495</v>
      </c>
      <c r="I410" s="99">
        <f t="shared" si="6"/>
        <v>61</v>
      </c>
    </row>
    <row r="411" spans="1:9" ht="14.45" customHeight="1" x14ac:dyDescent="0.25">
      <c r="A411" s="115" t="s">
        <v>3722</v>
      </c>
      <c r="B411" s="112">
        <v>11670.2</v>
      </c>
      <c r="C411" s="113"/>
      <c r="D411" s="116">
        <v>53</v>
      </c>
      <c r="E411" s="117"/>
      <c r="H411">
        <v>513</v>
      </c>
      <c r="I411" s="99">
        <f t="shared" si="6"/>
        <v>53</v>
      </c>
    </row>
    <row r="412" spans="1:9" ht="14.45" customHeight="1" x14ac:dyDescent="0.25">
      <c r="A412" s="115" t="s">
        <v>3796</v>
      </c>
      <c r="B412" s="112">
        <v>11911.9</v>
      </c>
      <c r="C412" s="113"/>
      <c r="D412" s="116">
        <v>61</v>
      </c>
      <c r="E412" s="117"/>
      <c r="H412">
        <v>553</v>
      </c>
      <c r="I412" s="99">
        <f t="shared" si="6"/>
        <v>61</v>
      </c>
    </row>
    <row r="413" spans="1:9" ht="14.45" customHeight="1" x14ac:dyDescent="0.25">
      <c r="A413" s="115" t="s">
        <v>3863</v>
      </c>
      <c r="B413" s="112">
        <v>12181.3</v>
      </c>
      <c r="C413" s="113"/>
      <c r="D413" s="116">
        <v>57</v>
      </c>
      <c r="E413" s="117"/>
      <c r="H413">
        <v>622</v>
      </c>
      <c r="I413" s="99">
        <f t="shared" si="6"/>
        <v>57</v>
      </c>
    </row>
    <row r="414" spans="1:9" ht="14.45" customHeight="1" x14ac:dyDescent="0.25">
      <c r="A414" s="115" t="s">
        <v>3834</v>
      </c>
      <c r="B414" s="112">
        <v>11012.4</v>
      </c>
      <c r="C414" s="113"/>
      <c r="D414" s="116">
        <v>51</v>
      </c>
      <c r="E414" s="117"/>
      <c r="H414">
        <v>596</v>
      </c>
      <c r="I414" s="99">
        <f t="shared" si="6"/>
        <v>51</v>
      </c>
    </row>
    <row r="415" spans="1:9" ht="14.45" customHeight="1" x14ac:dyDescent="0.25">
      <c r="A415" s="115" t="s">
        <v>3864</v>
      </c>
      <c r="B415" s="112">
        <v>8381.4</v>
      </c>
      <c r="C415" s="113"/>
      <c r="D415" s="116">
        <v>55</v>
      </c>
      <c r="E415" s="117"/>
      <c r="H415">
        <v>615</v>
      </c>
      <c r="I415" s="99">
        <f t="shared" si="6"/>
        <v>55</v>
      </c>
    </row>
    <row r="416" spans="1:9" ht="14.45" customHeight="1" x14ac:dyDescent="0.25">
      <c r="A416" s="115" t="s">
        <v>3728</v>
      </c>
      <c r="B416" s="112">
        <v>11964.1</v>
      </c>
      <c r="C416" s="113"/>
      <c r="D416" s="116">
        <v>57</v>
      </c>
      <c r="E416" s="117"/>
      <c r="H416">
        <v>534</v>
      </c>
      <c r="I416" s="99">
        <f t="shared" si="6"/>
        <v>57</v>
      </c>
    </row>
    <row r="417" spans="1:9" ht="14.45" customHeight="1" x14ac:dyDescent="0.25">
      <c r="A417" s="115" t="s">
        <v>3725</v>
      </c>
      <c r="B417" s="112">
        <v>12447.6</v>
      </c>
      <c r="C417" s="113"/>
      <c r="D417" s="116">
        <v>59</v>
      </c>
      <c r="E417" s="117"/>
      <c r="H417">
        <v>532</v>
      </c>
      <c r="I417" s="99">
        <f t="shared" si="6"/>
        <v>59</v>
      </c>
    </row>
    <row r="418" spans="1:9" ht="14.45" customHeight="1" x14ac:dyDescent="0.25">
      <c r="A418" s="115" t="s">
        <v>3865</v>
      </c>
      <c r="B418" s="112">
        <v>8741.2999999999993</v>
      </c>
      <c r="C418" s="113"/>
      <c r="D418" s="116">
        <v>58</v>
      </c>
      <c r="E418" s="117"/>
      <c r="H418">
        <v>612</v>
      </c>
      <c r="I418" s="99">
        <f t="shared" si="6"/>
        <v>58</v>
      </c>
    </row>
    <row r="419" spans="1:9" ht="14.45" customHeight="1" x14ac:dyDescent="0.25">
      <c r="A419" s="115" t="s">
        <v>3797</v>
      </c>
      <c r="B419" s="112">
        <v>11775.3</v>
      </c>
      <c r="C419" s="113"/>
      <c r="D419" s="116">
        <v>61</v>
      </c>
      <c r="E419" s="117"/>
      <c r="H419">
        <v>552</v>
      </c>
      <c r="I419" s="99">
        <f t="shared" si="6"/>
        <v>61</v>
      </c>
    </row>
    <row r="420" spans="1:9" ht="14.45" customHeight="1" x14ac:dyDescent="0.25">
      <c r="A420" s="115" t="s">
        <v>3733</v>
      </c>
      <c r="B420" s="112">
        <v>11895.5</v>
      </c>
      <c r="C420" s="113"/>
      <c r="D420" s="116">
        <v>56</v>
      </c>
      <c r="E420" s="117"/>
      <c r="H420">
        <v>539</v>
      </c>
      <c r="I420" s="99">
        <f t="shared" si="6"/>
        <v>56</v>
      </c>
    </row>
    <row r="421" spans="1:9" ht="14.45" customHeight="1" x14ac:dyDescent="0.25">
      <c r="A421" s="115" t="s">
        <v>3826</v>
      </c>
      <c r="B421" s="112">
        <v>11456.2</v>
      </c>
      <c r="C421" s="113"/>
      <c r="D421" s="116">
        <v>51</v>
      </c>
      <c r="E421" s="117"/>
      <c r="H421">
        <v>584</v>
      </c>
      <c r="I421" s="99">
        <f t="shared" si="6"/>
        <v>51</v>
      </c>
    </row>
    <row r="422" spans="1:9" ht="14.45" customHeight="1" x14ac:dyDescent="0.25">
      <c r="A422" s="115" t="s">
        <v>3649</v>
      </c>
      <c r="B422" s="112">
        <v>11418</v>
      </c>
      <c r="C422" s="113"/>
      <c r="D422" s="116">
        <v>60</v>
      </c>
      <c r="E422" s="117"/>
      <c r="H422">
        <v>479</v>
      </c>
      <c r="I422" s="99">
        <f t="shared" si="6"/>
        <v>60</v>
      </c>
    </row>
    <row r="423" spans="1:9" ht="14.45" customHeight="1" x14ac:dyDescent="0.25">
      <c r="A423" s="115" t="s">
        <v>3915</v>
      </c>
      <c r="B423" s="112">
        <v>12580</v>
      </c>
      <c r="C423" s="113"/>
      <c r="D423" s="116">
        <v>58</v>
      </c>
      <c r="E423" s="117"/>
      <c r="H423">
        <v>657</v>
      </c>
      <c r="I423" s="99">
        <f t="shared" si="6"/>
        <v>58</v>
      </c>
    </row>
    <row r="424" spans="1:9" ht="14.45" customHeight="1" x14ac:dyDescent="0.25">
      <c r="A424" s="115" t="s">
        <v>3824</v>
      </c>
      <c r="B424" s="112">
        <v>11517</v>
      </c>
      <c r="C424" s="113"/>
      <c r="D424" s="116">
        <v>51</v>
      </c>
      <c r="E424" s="117"/>
      <c r="H424">
        <v>582</v>
      </c>
      <c r="I424" s="99">
        <f t="shared" si="6"/>
        <v>51</v>
      </c>
    </row>
    <row r="425" spans="1:9" ht="14.45" customHeight="1" x14ac:dyDescent="0.25">
      <c r="A425" s="115" t="s">
        <v>3693</v>
      </c>
      <c r="B425" s="112">
        <v>11547.8</v>
      </c>
      <c r="C425" s="113"/>
      <c r="D425" s="116">
        <v>55</v>
      </c>
      <c r="E425" s="117"/>
      <c r="H425">
        <v>525</v>
      </c>
      <c r="I425" s="99">
        <f t="shared" si="6"/>
        <v>55</v>
      </c>
    </row>
    <row r="426" spans="1:9" ht="14.45" customHeight="1" x14ac:dyDescent="0.25">
      <c r="A426" s="115" t="s">
        <v>3832</v>
      </c>
      <c r="B426" s="112">
        <v>11294.6</v>
      </c>
      <c r="C426" s="113"/>
      <c r="D426" s="116">
        <v>50</v>
      </c>
      <c r="E426" s="117"/>
      <c r="H426">
        <v>591</v>
      </c>
      <c r="I426" s="99">
        <f t="shared" si="6"/>
        <v>50</v>
      </c>
    </row>
    <row r="427" spans="1:9" ht="14.45" customHeight="1" x14ac:dyDescent="0.25">
      <c r="A427" s="115" t="s">
        <v>3916</v>
      </c>
      <c r="B427" s="112">
        <v>12956</v>
      </c>
      <c r="C427" s="113"/>
      <c r="D427" s="116">
        <v>59</v>
      </c>
      <c r="E427" s="117"/>
      <c r="H427">
        <v>655</v>
      </c>
      <c r="I427" s="99">
        <f t="shared" si="6"/>
        <v>59</v>
      </c>
    </row>
    <row r="428" spans="1:9" ht="14.45" customHeight="1" x14ac:dyDescent="0.25">
      <c r="A428" s="115" t="s">
        <v>3798</v>
      </c>
      <c r="B428" s="112">
        <v>11679</v>
      </c>
      <c r="C428" s="113"/>
      <c r="D428" s="116">
        <v>46</v>
      </c>
      <c r="E428" s="117"/>
      <c r="H428">
        <v>558</v>
      </c>
      <c r="I428" s="99">
        <f t="shared" si="6"/>
        <v>46</v>
      </c>
    </row>
    <row r="429" spans="1:9" ht="14.45" customHeight="1" x14ac:dyDescent="0.25">
      <c r="A429" s="115" t="s">
        <v>3696</v>
      </c>
      <c r="B429" s="112">
        <v>11270</v>
      </c>
      <c r="C429" s="113"/>
      <c r="D429" s="116">
        <v>51</v>
      </c>
      <c r="E429" s="117"/>
      <c r="H429">
        <v>529</v>
      </c>
      <c r="I429" s="99">
        <f t="shared" si="6"/>
        <v>51</v>
      </c>
    </row>
    <row r="430" spans="1:9" ht="14.45" customHeight="1" x14ac:dyDescent="0.25">
      <c r="A430" s="115" t="s">
        <v>3917</v>
      </c>
      <c r="B430" s="112">
        <v>12619.5</v>
      </c>
      <c r="C430" s="113"/>
      <c r="D430" s="116">
        <v>62</v>
      </c>
      <c r="E430" s="117"/>
      <c r="H430">
        <v>647</v>
      </c>
      <c r="I430" s="99">
        <f t="shared" si="6"/>
        <v>62</v>
      </c>
    </row>
    <row r="431" spans="1:9" ht="14.45" customHeight="1" x14ac:dyDescent="0.25">
      <c r="A431" s="115" t="s">
        <v>3716</v>
      </c>
      <c r="B431" s="112">
        <v>13304.1</v>
      </c>
      <c r="C431" s="113"/>
      <c r="D431" s="116">
        <v>56</v>
      </c>
      <c r="E431" s="117"/>
      <c r="H431">
        <v>507</v>
      </c>
      <c r="I431" s="99">
        <f t="shared" si="6"/>
        <v>56</v>
      </c>
    </row>
    <row r="432" spans="1:9" ht="14.45" customHeight="1" x14ac:dyDescent="0.25">
      <c r="A432" s="115" t="s">
        <v>3918</v>
      </c>
      <c r="B432" s="112">
        <v>10171.700000000001</v>
      </c>
      <c r="C432" s="113"/>
      <c r="D432" s="116">
        <v>62</v>
      </c>
      <c r="E432" s="117"/>
      <c r="H432">
        <v>659</v>
      </c>
      <c r="I432" s="99">
        <f t="shared" si="6"/>
        <v>62</v>
      </c>
    </row>
    <row r="433" spans="1:9" ht="14.45" customHeight="1" x14ac:dyDescent="0.25">
      <c r="A433" s="115" t="s">
        <v>3729</v>
      </c>
      <c r="B433" s="112">
        <v>11540.4</v>
      </c>
      <c r="C433" s="113"/>
      <c r="D433" s="116">
        <v>58</v>
      </c>
      <c r="E433" s="117"/>
      <c r="H433">
        <v>535</v>
      </c>
      <c r="I433" s="99">
        <f t="shared" si="6"/>
        <v>58</v>
      </c>
    </row>
    <row r="434" spans="1:9" ht="14.45" customHeight="1" x14ac:dyDescent="0.25">
      <c r="A434" s="115" t="s">
        <v>3738</v>
      </c>
      <c r="B434" s="112">
        <v>12154.5</v>
      </c>
      <c r="C434" s="113"/>
      <c r="D434" s="116">
        <v>56</v>
      </c>
      <c r="E434" s="117"/>
      <c r="H434">
        <v>544</v>
      </c>
      <c r="I434" s="99">
        <f t="shared" si="6"/>
        <v>56</v>
      </c>
    </row>
    <row r="435" spans="1:9" ht="14.45" customHeight="1" x14ac:dyDescent="0.25">
      <c r="A435" s="115" t="s">
        <v>3866</v>
      </c>
      <c r="B435" s="112">
        <v>11868</v>
      </c>
      <c r="C435" s="113"/>
      <c r="D435" s="116">
        <v>57</v>
      </c>
      <c r="E435" s="117"/>
      <c r="H435">
        <v>624</v>
      </c>
      <c r="I435" s="99">
        <f t="shared" si="6"/>
        <v>57</v>
      </c>
    </row>
    <row r="436" spans="1:9" ht="14.45" customHeight="1" x14ac:dyDescent="0.25">
      <c r="A436" s="115" t="s">
        <v>3841</v>
      </c>
      <c r="B436" s="112">
        <v>9812</v>
      </c>
      <c r="C436" s="113"/>
      <c r="D436" s="116">
        <v>59</v>
      </c>
      <c r="E436" s="117"/>
      <c r="H436">
        <v>603</v>
      </c>
      <c r="I436" s="99">
        <f t="shared" si="6"/>
        <v>59</v>
      </c>
    </row>
    <row r="437" spans="1:9" ht="14.45" customHeight="1" x14ac:dyDescent="0.25">
      <c r="A437" s="115" t="s">
        <v>3919</v>
      </c>
      <c r="B437" s="112">
        <v>12903</v>
      </c>
      <c r="C437" s="113"/>
      <c r="D437" s="116">
        <v>61</v>
      </c>
      <c r="E437" s="117"/>
      <c r="H437">
        <v>648</v>
      </c>
      <c r="I437" s="99">
        <f t="shared" si="6"/>
        <v>61</v>
      </c>
    </row>
    <row r="438" spans="1:9" ht="14.45" customHeight="1" x14ac:dyDescent="0.25">
      <c r="A438" s="115" t="s">
        <v>3920</v>
      </c>
      <c r="B438" s="112">
        <v>12306.8</v>
      </c>
      <c r="C438" s="113"/>
      <c r="D438" s="116">
        <v>59</v>
      </c>
      <c r="E438" s="117"/>
      <c r="H438">
        <v>687</v>
      </c>
      <c r="I438" s="99">
        <f t="shared" si="6"/>
        <v>59</v>
      </c>
    </row>
    <row r="439" spans="1:9" ht="14.45" customHeight="1" x14ac:dyDescent="0.25">
      <c r="A439" s="115" t="s">
        <v>3677</v>
      </c>
      <c r="B439" s="112">
        <v>12620.4</v>
      </c>
      <c r="C439" s="113"/>
      <c r="D439" s="116">
        <v>52</v>
      </c>
      <c r="E439" s="117"/>
      <c r="H439">
        <v>494</v>
      </c>
      <c r="I439" s="99">
        <f t="shared" si="6"/>
        <v>52</v>
      </c>
    </row>
    <row r="440" spans="1:9" ht="14.45" customHeight="1" x14ac:dyDescent="0.25">
      <c r="A440" s="115" t="s">
        <v>3835</v>
      </c>
      <c r="B440" s="112">
        <v>11882.6</v>
      </c>
      <c r="C440" s="113"/>
      <c r="D440" s="116">
        <v>55</v>
      </c>
      <c r="E440" s="117"/>
      <c r="H440">
        <v>600</v>
      </c>
      <c r="I440" s="99">
        <f t="shared" si="6"/>
        <v>55</v>
      </c>
    </row>
    <row r="441" spans="1:9" ht="14.45" customHeight="1" x14ac:dyDescent="0.25">
      <c r="A441" s="115" t="s">
        <v>3726</v>
      </c>
      <c r="B441" s="112">
        <v>11969.5</v>
      </c>
      <c r="C441" s="113"/>
      <c r="D441" s="116">
        <v>58</v>
      </c>
      <c r="E441" s="117"/>
      <c r="H441">
        <v>531</v>
      </c>
      <c r="I441" s="99">
        <f t="shared" si="6"/>
        <v>58</v>
      </c>
    </row>
    <row r="442" spans="1:9" ht="14.45" customHeight="1" x14ac:dyDescent="0.25">
      <c r="A442" s="115" t="s">
        <v>3686</v>
      </c>
      <c r="B442" s="112">
        <v>11556.9</v>
      </c>
      <c r="C442" s="113"/>
      <c r="D442" s="116">
        <v>55</v>
      </c>
      <c r="E442" s="117"/>
      <c r="H442">
        <v>518</v>
      </c>
      <c r="I442" s="99">
        <f t="shared" si="6"/>
        <v>55</v>
      </c>
    </row>
    <row r="443" spans="1:9" ht="14.45" customHeight="1" x14ac:dyDescent="0.25">
      <c r="A443" s="115" t="s">
        <v>3829</v>
      </c>
      <c r="B443" s="112">
        <v>11651.6</v>
      </c>
      <c r="C443" s="113"/>
      <c r="D443" s="116">
        <v>53</v>
      </c>
      <c r="E443" s="117"/>
      <c r="H443">
        <v>588</v>
      </c>
      <c r="I443" s="99">
        <f t="shared" si="6"/>
        <v>53</v>
      </c>
    </row>
    <row r="444" spans="1:9" ht="14.45" customHeight="1" x14ac:dyDescent="0.25">
      <c r="A444" s="115" t="s">
        <v>3828</v>
      </c>
      <c r="B444" s="112">
        <v>11623.2</v>
      </c>
      <c r="C444" s="113"/>
      <c r="D444" s="116">
        <v>55</v>
      </c>
      <c r="E444" s="117"/>
      <c r="H444">
        <v>586</v>
      </c>
      <c r="I444" s="99">
        <f t="shared" si="6"/>
        <v>55</v>
      </c>
    </row>
    <row r="445" spans="1:9" ht="14.45" customHeight="1" x14ac:dyDescent="0.25">
      <c r="A445" s="115" t="s">
        <v>3699</v>
      </c>
      <c r="B445" s="112">
        <v>11648</v>
      </c>
      <c r="C445" s="113"/>
      <c r="D445" s="116">
        <v>59</v>
      </c>
      <c r="E445" s="117"/>
      <c r="H445">
        <v>549</v>
      </c>
      <c r="I445" s="99">
        <f t="shared" si="6"/>
        <v>59</v>
      </c>
    </row>
    <row r="446" spans="1:9" ht="14.45" customHeight="1" x14ac:dyDescent="0.25">
      <c r="A446" s="115" t="s">
        <v>3732</v>
      </c>
      <c r="B446" s="112">
        <v>11846.5</v>
      </c>
      <c r="C446" s="113"/>
      <c r="D446" s="116">
        <v>60</v>
      </c>
      <c r="E446" s="117"/>
      <c r="H446">
        <v>538</v>
      </c>
      <c r="I446" s="99">
        <f t="shared" si="6"/>
        <v>60</v>
      </c>
    </row>
    <row r="447" spans="1:9" ht="14.45" customHeight="1" x14ac:dyDescent="0.25">
      <c r="A447" s="115" t="s">
        <v>3688</v>
      </c>
      <c r="B447" s="112">
        <v>11261.3</v>
      </c>
      <c r="C447" s="113"/>
      <c r="D447" s="116">
        <v>53</v>
      </c>
      <c r="E447" s="117"/>
      <c r="H447">
        <v>521</v>
      </c>
      <c r="I447" s="99">
        <f t="shared" si="6"/>
        <v>53</v>
      </c>
    </row>
    <row r="448" spans="1:9" ht="14.45" customHeight="1" x14ac:dyDescent="0.25">
      <c r="A448" s="115" t="s">
        <v>3737</v>
      </c>
      <c r="B448" s="112">
        <v>11456</v>
      </c>
      <c r="C448" s="113"/>
      <c r="D448" s="116">
        <v>57</v>
      </c>
      <c r="E448" s="117"/>
      <c r="H448">
        <v>543</v>
      </c>
      <c r="I448" s="99">
        <f t="shared" si="6"/>
        <v>57</v>
      </c>
    </row>
    <row r="449" spans="1:9" ht="14.45" customHeight="1" x14ac:dyDescent="0.25">
      <c r="A449" s="115" t="s">
        <v>3701</v>
      </c>
      <c r="B449" s="112">
        <v>12059.7</v>
      </c>
      <c r="C449" s="113"/>
      <c r="D449" s="116">
        <v>60</v>
      </c>
      <c r="E449" s="117"/>
      <c r="H449">
        <v>551</v>
      </c>
      <c r="I449" s="99">
        <f t="shared" si="6"/>
        <v>60</v>
      </c>
    </row>
    <row r="450" spans="1:9" ht="14.45" customHeight="1" x14ac:dyDescent="0.25">
      <c r="A450" s="115" t="s">
        <v>3867</v>
      </c>
      <c r="B450" s="112">
        <v>12534.3</v>
      </c>
      <c r="C450" s="113"/>
      <c r="D450" s="116">
        <v>58</v>
      </c>
      <c r="E450" s="117"/>
      <c r="H450">
        <v>631</v>
      </c>
      <c r="I450" s="99">
        <f t="shared" si="6"/>
        <v>58</v>
      </c>
    </row>
    <row r="451" spans="1:9" ht="14.45" customHeight="1" x14ac:dyDescent="0.25">
      <c r="A451" s="115" t="s">
        <v>3650</v>
      </c>
      <c r="B451" s="112">
        <v>11628.8</v>
      </c>
      <c r="C451" s="113"/>
      <c r="D451" s="116">
        <v>55</v>
      </c>
      <c r="E451" s="117"/>
      <c r="H451">
        <v>475</v>
      </c>
      <c r="I451" s="99">
        <f t="shared" si="6"/>
        <v>55</v>
      </c>
    </row>
    <row r="452" spans="1:9" ht="14.45" customHeight="1" x14ac:dyDescent="0.25">
      <c r="A452" s="115" t="s">
        <v>3921</v>
      </c>
      <c r="B452" s="112">
        <v>11572.4</v>
      </c>
      <c r="C452" s="113"/>
      <c r="D452" s="116">
        <v>60</v>
      </c>
      <c r="E452" s="117"/>
      <c r="H452">
        <v>680</v>
      </c>
      <c r="I452" s="99">
        <f t="shared" si="6"/>
        <v>60</v>
      </c>
    </row>
    <row r="453" spans="1:9" ht="14.45" customHeight="1" x14ac:dyDescent="0.25">
      <c r="A453" s="115" t="s">
        <v>3922</v>
      </c>
      <c r="B453" s="112">
        <v>12755.1</v>
      </c>
      <c r="C453" s="113"/>
      <c r="D453" s="116">
        <v>60</v>
      </c>
      <c r="E453" s="117"/>
      <c r="H453">
        <v>644</v>
      </c>
      <c r="I453" s="99">
        <f t="shared" si="6"/>
        <v>60</v>
      </c>
    </row>
    <row r="454" spans="1:9" ht="14.45" customHeight="1" x14ac:dyDescent="0.25">
      <c r="A454" s="115" t="s">
        <v>3692</v>
      </c>
      <c r="B454" s="112">
        <v>11883.9</v>
      </c>
      <c r="C454" s="113"/>
      <c r="D454" s="116">
        <v>55</v>
      </c>
      <c r="E454" s="117"/>
      <c r="H454">
        <v>524</v>
      </c>
      <c r="I454" s="99">
        <f t="shared" si="6"/>
        <v>55</v>
      </c>
    </row>
    <row r="455" spans="1:9" ht="14.45" customHeight="1" x14ac:dyDescent="0.25">
      <c r="A455" s="115" t="s">
        <v>3868</v>
      </c>
      <c r="B455" s="112">
        <v>7956.2</v>
      </c>
      <c r="C455" s="113"/>
      <c r="D455" s="116">
        <v>57</v>
      </c>
      <c r="E455" s="117"/>
      <c r="H455">
        <v>617</v>
      </c>
      <c r="I455" s="99">
        <f t="shared" si="6"/>
        <v>57</v>
      </c>
    </row>
    <row r="456" spans="1:9" ht="14.45" customHeight="1" x14ac:dyDescent="0.25">
      <c r="A456" s="115" t="s">
        <v>3923</v>
      </c>
      <c r="B456" s="112">
        <v>12506</v>
      </c>
      <c r="C456" s="113"/>
      <c r="D456" s="116">
        <v>59</v>
      </c>
      <c r="E456" s="117"/>
      <c r="H456">
        <v>686</v>
      </c>
      <c r="I456" s="99">
        <f t="shared" si="6"/>
        <v>59</v>
      </c>
    </row>
    <row r="457" spans="1:9" ht="14.45" customHeight="1" x14ac:dyDescent="0.25">
      <c r="A457" s="115" t="s">
        <v>3869</v>
      </c>
      <c r="B457" s="112">
        <v>8399.7000000000007</v>
      </c>
      <c r="C457" s="113"/>
      <c r="D457" s="116">
        <v>57</v>
      </c>
      <c r="E457" s="117"/>
      <c r="H457">
        <v>613</v>
      </c>
      <c r="I457" s="99">
        <f t="shared" si="6"/>
        <v>57</v>
      </c>
    </row>
    <row r="458" spans="1:9" ht="14.45" customHeight="1" x14ac:dyDescent="0.25">
      <c r="A458" s="115" t="s">
        <v>3924</v>
      </c>
      <c r="B458" s="112">
        <v>12080.2</v>
      </c>
      <c r="C458" s="113"/>
      <c r="D458" s="116">
        <v>59</v>
      </c>
      <c r="E458" s="117"/>
      <c r="H458">
        <v>683</v>
      </c>
      <c r="I458" s="99">
        <f t="shared" si="6"/>
        <v>59</v>
      </c>
    </row>
    <row r="459" spans="1:9" ht="14.45" customHeight="1" x14ac:dyDescent="0.25">
      <c r="A459" s="115" t="s">
        <v>3730</v>
      </c>
      <c r="B459" s="112">
        <v>10950.5</v>
      </c>
      <c r="C459" s="113"/>
      <c r="D459" s="116">
        <v>57</v>
      </c>
      <c r="E459" s="117"/>
      <c r="H459">
        <v>536</v>
      </c>
      <c r="I459" s="99">
        <f t="shared" si="6"/>
        <v>57</v>
      </c>
    </row>
    <row r="460" spans="1:9" ht="14.45" customHeight="1" x14ac:dyDescent="0.25">
      <c r="A460" s="115" t="s">
        <v>3685</v>
      </c>
      <c r="B460" s="112">
        <v>10844.4</v>
      </c>
      <c r="C460" s="113"/>
      <c r="D460" s="116">
        <v>51</v>
      </c>
      <c r="E460" s="117"/>
      <c r="H460">
        <v>517</v>
      </c>
      <c r="I460" s="99">
        <f t="shared" si="6"/>
        <v>51</v>
      </c>
    </row>
    <row r="461" spans="1:9" ht="14.45" customHeight="1" x14ac:dyDescent="0.25">
      <c r="A461" s="115" t="s">
        <v>3799</v>
      </c>
      <c r="B461" s="112">
        <v>11133.8</v>
      </c>
      <c r="C461" s="113"/>
      <c r="D461" s="116">
        <v>56</v>
      </c>
      <c r="E461" s="117"/>
      <c r="H461">
        <v>562</v>
      </c>
      <c r="I461" s="99">
        <f t="shared" ref="I461:I524" si="7">D461</f>
        <v>56</v>
      </c>
    </row>
    <row r="462" spans="1:9" ht="14.45" customHeight="1" x14ac:dyDescent="0.25">
      <c r="A462" s="115" t="s">
        <v>3925</v>
      </c>
      <c r="B462" s="112">
        <v>12913</v>
      </c>
      <c r="C462" s="113"/>
      <c r="D462" s="116">
        <v>59</v>
      </c>
      <c r="E462" s="117"/>
      <c r="H462">
        <v>646</v>
      </c>
      <c r="I462" s="99">
        <f t="shared" si="7"/>
        <v>59</v>
      </c>
    </row>
    <row r="463" spans="1:9" ht="14.45" customHeight="1" x14ac:dyDescent="0.25">
      <c r="A463" s="115" t="s">
        <v>4036</v>
      </c>
      <c r="B463" s="112">
        <v>13200</v>
      </c>
      <c r="C463" s="113"/>
      <c r="D463" s="116">
        <v>47</v>
      </c>
      <c r="E463" s="117"/>
      <c r="H463">
        <v>721</v>
      </c>
      <c r="I463" s="99">
        <f t="shared" si="7"/>
        <v>47</v>
      </c>
    </row>
    <row r="464" spans="1:9" ht="14.45" customHeight="1" x14ac:dyDescent="0.25">
      <c r="A464" s="115" t="s">
        <v>4037</v>
      </c>
      <c r="B464" s="112">
        <v>9467</v>
      </c>
      <c r="C464" s="113"/>
      <c r="D464" s="116">
        <v>46</v>
      </c>
      <c r="E464" s="117"/>
      <c r="H464">
        <v>722</v>
      </c>
      <c r="I464" s="99">
        <f t="shared" si="7"/>
        <v>46</v>
      </c>
    </row>
    <row r="465" spans="1:9" ht="14.45" customHeight="1" x14ac:dyDescent="0.25">
      <c r="A465" s="115" t="s">
        <v>4034</v>
      </c>
      <c r="B465" s="112">
        <v>9898</v>
      </c>
      <c r="C465" s="113"/>
      <c r="D465" s="116">
        <v>46</v>
      </c>
      <c r="E465" s="117"/>
      <c r="H465">
        <v>723</v>
      </c>
      <c r="I465" s="99">
        <f t="shared" si="7"/>
        <v>46</v>
      </c>
    </row>
    <row r="466" spans="1:9" ht="14.45" customHeight="1" x14ac:dyDescent="0.25">
      <c r="A466" s="115" t="s">
        <v>4035</v>
      </c>
      <c r="B466" s="112">
        <v>11961</v>
      </c>
      <c r="C466" s="113"/>
      <c r="D466" s="116">
        <v>50</v>
      </c>
      <c r="E466" s="117"/>
      <c r="H466">
        <v>724</v>
      </c>
      <c r="I466" s="99">
        <f t="shared" si="7"/>
        <v>50</v>
      </c>
    </row>
    <row r="467" spans="1:9" ht="14.45" customHeight="1" x14ac:dyDescent="0.25">
      <c r="A467" s="115" t="s">
        <v>3727</v>
      </c>
      <c r="B467" s="112">
        <v>12052.8</v>
      </c>
      <c r="C467" s="113"/>
      <c r="D467" s="116">
        <v>60</v>
      </c>
      <c r="E467" s="117"/>
      <c r="H467">
        <v>533</v>
      </c>
      <c r="I467" s="99">
        <f t="shared" si="7"/>
        <v>60</v>
      </c>
    </row>
    <row r="468" spans="1:9" ht="14.45" customHeight="1" x14ac:dyDescent="0.25">
      <c r="A468" s="115" t="s">
        <v>3926</v>
      </c>
      <c r="B468" s="112">
        <v>12642.9</v>
      </c>
      <c r="C468" s="113"/>
      <c r="D468" s="116">
        <v>61</v>
      </c>
      <c r="E468" s="117"/>
      <c r="H468">
        <v>642</v>
      </c>
      <c r="I468" s="99">
        <f t="shared" si="7"/>
        <v>61</v>
      </c>
    </row>
    <row r="469" spans="1:9" ht="14.45" customHeight="1" x14ac:dyDescent="0.25">
      <c r="A469" s="115" t="s">
        <v>3695</v>
      </c>
      <c r="B469" s="112">
        <v>12081.8</v>
      </c>
      <c r="C469" s="113"/>
      <c r="D469" s="116">
        <v>51</v>
      </c>
      <c r="E469" s="117"/>
      <c r="H469">
        <v>528</v>
      </c>
      <c r="I469" s="99">
        <f t="shared" si="7"/>
        <v>51</v>
      </c>
    </row>
    <row r="470" spans="1:9" ht="14.45" customHeight="1" x14ac:dyDescent="0.25">
      <c r="A470" s="115" t="s">
        <v>3800</v>
      </c>
      <c r="B470" s="112">
        <v>9834.5</v>
      </c>
      <c r="C470" s="113"/>
      <c r="D470" s="116">
        <v>48</v>
      </c>
      <c r="E470" s="117"/>
      <c r="H470">
        <v>564</v>
      </c>
      <c r="I470" s="99">
        <f t="shared" si="7"/>
        <v>48</v>
      </c>
    </row>
    <row r="471" spans="1:9" ht="14.45" customHeight="1" x14ac:dyDescent="0.25">
      <c r="A471" s="115" t="s">
        <v>3720</v>
      </c>
      <c r="B471" s="112">
        <v>11686.4</v>
      </c>
      <c r="C471" s="113"/>
      <c r="D471" s="116">
        <v>54</v>
      </c>
      <c r="E471" s="117"/>
      <c r="H471">
        <v>511</v>
      </c>
      <c r="I471" s="99">
        <f t="shared" si="7"/>
        <v>54</v>
      </c>
    </row>
    <row r="472" spans="1:9" ht="14.45" customHeight="1" x14ac:dyDescent="0.25">
      <c r="A472" s="115" t="s">
        <v>3736</v>
      </c>
      <c r="B472" s="112">
        <v>11393.4</v>
      </c>
      <c r="C472" s="113"/>
      <c r="D472" s="116">
        <v>55</v>
      </c>
      <c r="E472" s="117"/>
      <c r="H472">
        <v>542</v>
      </c>
      <c r="I472" s="99">
        <f t="shared" si="7"/>
        <v>55</v>
      </c>
    </row>
    <row r="473" spans="1:9" ht="14.45" customHeight="1" x14ac:dyDescent="0.25">
      <c r="A473" s="115" t="s">
        <v>3724</v>
      </c>
      <c r="B473" s="112">
        <v>11644</v>
      </c>
      <c r="C473" s="113"/>
      <c r="D473" s="116">
        <v>56</v>
      </c>
      <c r="E473" s="117"/>
      <c r="H473">
        <v>530</v>
      </c>
      <c r="I473" s="99">
        <f t="shared" si="7"/>
        <v>56</v>
      </c>
    </row>
    <row r="474" spans="1:9" ht="14.45" customHeight="1" x14ac:dyDescent="0.25">
      <c r="A474" s="453" t="s">
        <v>3230</v>
      </c>
      <c r="B474" s="450">
        <v>220001.7</v>
      </c>
      <c r="C474" s="451"/>
      <c r="D474" s="454"/>
      <c r="E474" s="469"/>
      <c r="I474" s="99"/>
    </row>
    <row r="475" spans="1:9" ht="14.45" customHeight="1" x14ac:dyDescent="0.25">
      <c r="A475" s="453" t="s">
        <v>102</v>
      </c>
      <c r="B475" s="450">
        <v>220001.7</v>
      </c>
      <c r="C475" s="451"/>
      <c r="D475" s="454">
        <v>66.099999999999994</v>
      </c>
      <c r="E475" s="469"/>
      <c r="I475" s="99"/>
    </row>
    <row r="476" spans="1:9" ht="14.45" customHeight="1" x14ac:dyDescent="0.25">
      <c r="A476" s="115" t="s">
        <v>3927</v>
      </c>
      <c r="B476" s="112">
        <v>12070.9</v>
      </c>
      <c r="C476" s="113"/>
      <c r="D476" s="116">
        <v>65</v>
      </c>
      <c r="E476" s="117"/>
      <c r="H476">
        <v>692</v>
      </c>
      <c r="I476" s="99">
        <f t="shared" si="7"/>
        <v>65</v>
      </c>
    </row>
    <row r="477" spans="1:9" ht="14.45" customHeight="1" x14ac:dyDescent="0.25">
      <c r="A477" s="115" t="s">
        <v>3928</v>
      </c>
      <c r="B477" s="112">
        <v>12434.1</v>
      </c>
      <c r="C477" s="113"/>
      <c r="D477" s="116">
        <v>67</v>
      </c>
      <c r="E477" s="117"/>
      <c r="H477">
        <v>697</v>
      </c>
      <c r="I477" s="99">
        <f t="shared" si="7"/>
        <v>67</v>
      </c>
    </row>
    <row r="478" spans="1:9" ht="14.45" customHeight="1" x14ac:dyDescent="0.25">
      <c r="A478" s="115" t="s">
        <v>3929</v>
      </c>
      <c r="B478" s="112">
        <v>14513.6</v>
      </c>
      <c r="C478" s="113"/>
      <c r="D478" s="116">
        <v>68</v>
      </c>
      <c r="E478" s="117"/>
      <c r="H478">
        <v>701</v>
      </c>
      <c r="I478" s="99">
        <f t="shared" si="7"/>
        <v>68</v>
      </c>
    </row>
    <row r="479" spans="1:9" ht="14.45" customHeight="1" x14ac:dyDescent="0.25">
      <c r="A479" s="115" t="s">
        <v>3970</v>
      </c>
      <c r="B479" s="112">
        <v>13742.8</v>
      </c>
      <c r="C479" s="113"/>
      <c r="D479" s="116">
        <v>69</v>
      </c>
      <c r="E479" s="117"/>
      <c r="H479">
        <v>711</v>
      </c>
      <c r="I479" s="99">
        <f t="shared" si="7"/>
        <v>69</v>
      </c>
    </row>
    <row r="480" spans="1:9" ht="14.45" customHeight="1" x14ac:dyDescent="0.25">
      <c r="A480" s="115" t="s">
        <v>3680</v>
      </c>
      <c r="B480" s="112">
        <v>10950.9</v>
      </c>
      <c r="C480" s="113"/>
      <c r="D480" s="116">
        <v>64</v>
      </c>
      <c r="E480" s="117"/>
      <c r="H480">
        <v>496</v>
      </c>
      <c r="I480" s="99">
        <f t="shared" si="7"/>
        <v>64</v>
      </c>
    </row>
    <row r="481" spans="1:9" ht="14.45" customHeight="1" x14ac:dyDescent="0.25">
      <c r="A481" s="115" t="s">
        <v>3930</v>
      </c>
      <c r="B481" s="112">
        <v>12539.6</v>
      </c>
      <c r="C481" s="113"/>
      <c r="D481" s="116">
        <v>67</v>
      </c>
      <c r="E481" s="117"/>
      <c r="H481">
        <v>698</v>
      </c>
      <c r="I481" s="99">
        <f t="shared" si="7"/>
        <v>67</v>
      </c>
    </row>
    <row r="482" spans="1:9" ht="14.45" customHeight="1" x14ac:dyDescent="0.25">
      <c r="A482" s="115" t="s">
        <v>3931</v>
      </c>
      <c r="B482" s="112">
        <v>12538.4</v>
      </c>
      <c r="C482" s="113"/>
      <c r="D482" s="116">
        <v>64</v>
      </c>
      <c r="E482" s="117"/>
      <c r="H482">
        <v>691</v>
      </c>
      <c r="I482" s="99">
        <f t="shared" si="7"/>
        <v>64</v>
      </c>
    </row>
    <row r="483" spans="1:9" ht="14.45" customHeight="1" x14ac:dyDescent="0.25">
      <c r="A483" s="115" t="s">
        <v>3932</v>
      </c>
      <c r="B483" s="112">
        <v>12145.2</v>
      </c>
      <c r="C483" s="113"/>
      <c r="D483" s="116">
        <v>69</v>
      </c>
      <c r="E483" s="117"/>
      <c r="H483">
        <v>707</v>
      </c>
      <c r="I483" s="99">
        <f t="shared" si="7"/>
        <v>69</v>
      </c>
    </row>
    <row r="484" spans="1:9" ht="14.45" customHeight="1" x14ac:dyDescent="0.25">
      <c r="A484" s="115" t="s">
        <v>3968</v>
      </c>
      <c r="B484" s="112">
        <v>12203.1</v>
      </c>
      <c r="C484" s="113"/>
      <c r="D484" s="116">
        <v>65</v>
      </c>
      <c r="E484" s="117"/>
      <c r="H484">
        <v>709</v>
      </c>
      <c r="I484" s="99">
        <f t="shared" si="7"/>
        <v>65</v>
      </c>
    </row>
    <row r="485" spans="1:9" ht="14.45" customHeight="1" x14ac:dyDescent="0.25">
      <c r="A485" s="115" t="s">
        <v>3933</v>
      </c>
      <c r="B485" s="112">
        <v>12820.5</v>
      </c>
      <c r="C485" s="113"/>
      <c r="D485" s="116">
        <v>64</v>
      </c>
      <c r="E485" s="117"/>
      <c r="H485">
        <v>653</v>
      </c>
      <c r="I485" s="99">
        <f t="shared" si="7"/>
        <v>64</v>
      </c>
    </row>
    <row r="486" spans="1:9" ht="14.45" customHeight="1" x14ac:dyDescent="0.25">
      <c r="A486" s="115" t="s">
        <v>4041</v>
      </c>
      <c r="B486" s="112">
        <v>12960</v>
      </c>
      <c r="C486" s="113"/>
      <c r="D486" s="116">
        <v>67</v>
      </c>
      <c r="E486" s="117"/>
      <c r="H486">
        <v>720</v>
      </c>
      <c r="I486" s="99">
        <f t="shared" si="7"/>
        <v>67</v>
      </c>
    </row>
    <row r="487" spans="1:9" ht="14.45" customHeight="1" x14ac:dyDescent="0.25">
      <c r="A487" s="115" t="s">
        <v>3934</v>
      </c>
      <c r="B487" s="112">
        <v>12283.5</v>
      </c>
      <c r="C487" s="113"/>
      <c r="D487" s="116">
        <v>64</v>
      </c>
      <c r="E487" s="117"/>
      <c r="H487">
        <v>694</v>
      </c>
      <c r="I487" s="99">
        <f t="shared" si="7"/>
        <v>64</v>
      </c>
    </row>
    <row r="488" spans="1:9" ht="14.45" customHeight="1" x14ac:dyDescent="0.25">
      <c r="A488" s="115" t="s">
        <v>3935</v>
      </c>
      <c r="B488" s="112">
        <v>12162.4</v>
      </c>
      <c r="C488" s="113"/>
      <c r="D488" s="116">
        <v>64</v>
      </c>
      <c r="E488" s="117"/>
      <c r="H488">
        <v>700</v>
      </c>
      <c r="I488" s="99">
        <f t="shared" si="7"/>
        <v>64</v>
      </c>
    </row>
    <row r="489" spans="1:9" ht="14.45" customHeight="1" x14ac:dyDescent="0.25">
      <c r="A489" s="115" t="s">
        <v>3936</v>
      </c>
      <c r="B489" s="112">
        <v>12020.4</v>
      </c>
      <c r="C489" s="113"/>
      <c r="D489" s="116">
        <v>66</v>
      </c>
      <c r="E489" s="117"/>
      <c r="H489">
        <v>706</v>
      </c>
      <c r="I489" s="99">
        <f t="shared" si="7"/>
        <v>66</v>
      </c>
    </row>
    <row r="490" spans="1:9" ht="14.45" customHeight="1" x14ac:dyDescent="0.25">
      <c r="A490" s="115" t="s">
        <v>3937</v>
      </c>
      <c r="B490" s="112">
        <v>12472.3</v>
      </c>
      <c r="C490" s="113"/>
      <c r="D490" s="116">
        <v>68</v>
      </c>
      <c r="E490" s="117"/>
      <c r="H490">
        <v>681</v>
      </c>
      <c r="I490" s="99">
        <f t="shared" si="7"/>
        <v>68</v>
      </c>
    </row>
    <row r="491" spans="1:9" ht="14.45" customHeight="1" x14ac:dyDescent="0.25">
      <c r="A491" s="115" t="s">
        <v>3938</v>
      </c>
      <c r="B491" s="112">
        <v>11444.8</v>
      </c>
      <c r="C491" s="113"/>
      <c r="D491" s="116">
        <v>66</v>
      </c>
      <c r="E491" s="117"/>
      <c r="H491">
        <v>704</v>
      </c>
      <c r="I491" s="99">
        <f t="shared" si="7"/>
        <v>66</v>
      </c>
    </row>
    <row r="492" spans="1:9" ht="14.45" customHeight="1" x14ac:dyDescent="0.25">
      <c r="A492" s="115" t="s">
        <v>3711</v>
      </c>
      <c r="B492" s="112">
        <v>13166.9</v>
      </c>
      <c r="C492" s="113"/>
      <c r="D492" s="116">
        <v>64</v>
      </c>
      <c r="E492" s="117"/>
      <c r="H492">
        <v>502</v>
      </c>
      <c r="I492" s="99">
        <f t="shared" si="7"/>
        <v>64</v>
      </c>
    </row>
    <row r="493" spans="1:9" ht="14.45" customHeight="1" x14ac:dyDescent="0.25">
      <c r="A493" s="115" t="s">
        <v>3681</v>
      </c>
      <c r="B493" s="112">
        <v>7532.5</v>
      </c>
      <c r="C493" s="113"/>
      <c r="D493" s="116">
        <v>69</v>
      </c>
      <c r="E493" s="117"/>
      <c r="H493">
        <v>497</v>
      </c>
      <c r="I493" s="99">
        <f t="shared" si="7"/>
        <v>69</v>
      </c>
    </row>
    <row r="494" spans="1:9" ht="14.45" customHeight="1" x14ac:dyDescent="0.25">
      <c r="A494" s="453" t="s">
        <v>3464</v>
      </c>
      <c r="B494" s="450">
        <v>82749.2</v>
      </c>
      <c r="C494" s="451"/>
      <c r="D494" s="454"/>
      <c r="E494" s="469"/>
      <c r="I494" s="99"/>
    </row>
    <row r="495" spans="1:9" ht="14.45" customHeight="1" x14ac:dyDescent="0.25">
      <c r="A495" s="453" t="s">
        <v>3230</v>
      </c>
      <c r="B495" s="450">
        <v>454767.9</v>
      </c>
      <c r="C495" s="451"/>
      <c r="D495" s="454"/>
      <c r="E495" s="469"/>
      <c r="I495" s="99"/>
    </row>
    <row r="496" spans="1:9" ht="14.45" customHeight="1" x14ac:dyDescent="0.25">
      <c r="A496" s="453" t="s">
        <v>102</v>
      </c>
      <c r="B496" s="450">
        <v>454767.9</v>
      </c>
      <c r="C496" s="451"/>
      <c r="D496" s="454">
        <v>63.5</v>
      </c>
      <c r="E496" s="469"/>
      <c r="I496" s="99"/>
    </row>
    <row r="497" spans="1:9" ht="14.45" customHeight="1" x14ac:dyDescent="0.25">
      <c r="A497" s="115" t="s">
        <v>3673</v>
      </c>
      <c r="B497" s="112">
        <v>12768.3</v>
      </c>
      <c r="C497" s="113"/>
      <c r="D497" s="116">
        <v>69</v>
      </c>
      <c r="E497" s="117"/>
      <c r="H497">
        <v>490</v>
      </c>
      <c r="I497" s="99">
        <f t="shared" si="7"/>
        <v>69</v>
      </c>
    </row>
    <row r="498" spans="1:9" ht="14.45" customHeight="1" x14ac:dyDescent="0.25">
      <c r="A498" s="115" t="s">
        <v>3500</v>
      </c>
      <c r="B498" s="112">
        <v>11200</v>
      </c>
      <c r="C498" s="113"/>
      <c r="D498" s="116">
        <v>66</v>
      </c>
      <c r="E498" s="117"/>
      <c r="H498">
        <v>405</v>
      </c>
      <c r="I498" s="99">
        <f t="shared" si="7"/>
        <v>66</v>
      </c>
    </row>
    <row r="499" spans="1:9" ht="14.45" customHeight="1" x14ac:dyDescent="0.25">
      <c r="A499" s="115" t="s">
        <v>3501</v>
      </c>
      <c r="B499" s="112">
        <v>12023.1</v>
      </c>
      <c r="C499" s="113"/>
      <c r="D499" s="116">
        <v>65</v>
      </c>
      <c r="E499" s="117"/>
      <c r="H499">
        <v>389</v>
      </c>
      <c r="I499" s="99">
        <f t="shared" si="7"/>
        <v>65</v>
      </c>
    </row>
    <row r="500" spans="1:9" ht="14.45" customHeight="1" x14ac:dyDescent="0.25">
      <c r="A500" s="115" t="s">
        <v>3705</v>
      </c>
      <c r="B500" s="112">
        <v>12191.5</v>
      </c>
      <c r="C500" s="113"/>
      <c r="D500" s="116">
        <v>66</v>
      </c>
      <c r="E500" s="117"/>
      <c r="H500">
        <v>484</v>
      </c>
      <c r="I500" s="99">
        <f t="shared" si="7"/>
        <v>66</v>
      </c>
    </row>
    <row r="501" spans="1:9" ht="14.45" customHeight="1" x14ac:dyDescent="0.25">
      <c r="A501" s="115" t="s">
        <v>3603</v>
      </c>
      <c r="B501" s="112">
        <v>15365.9</v>
      </c>
      <c r="C501" s="113"/>
      <c r="D501" s="116">
        <v>70</v>
      </c>
      <c r="E501" s="117"/>
      <c r="H501">
        <v>440</v>
      </c>
      <c r="I501" s="99">
        <f t="shared" si="7"/>
        <v>70</v>
      </c>
    </row>
    <row r="502" spans="1:9" ht="14.45" customHeight="1" x14ac:dyDescent="0.25">
      <c r="A502" s="115" t="s">
        <v>3672</v>
      </c>
      <c r="B502" s="112">
        <v>11587.8</v>
      </c>
      <c r="C502" s="113"/>
      <c r="D502" s="116">
        <v>68</v>
      </c>
      <c r="E502" s="117"/>
      <c r="H502">
        <v>489</v>
      </c>
      <c r="I502" s="99">
        <f t="shared" si="7"/>
        <v>68</v>
      </c>
    </row>
    <row r="503" spans="1:9" ht="14.45" customHeight="1" x14ac:dyDescent="0.25">
      <c r="A503" s="115" t="s">
        <v>3502</v>
      </c>
      <c r="B503" s="112">
        <v>11846.5</v>
      </c>
      <c r="C503" s="113"/>
      <c r="D503" s="116">
        <v>66</v>
      </c>
      <c r="E503" s="117"/>
      <c r="H503">
        <v>400</v>
      </c>
      <c r="I503" s="99">
        <f t="shared" si="7"/>
        <v>66</v>
      </c>
    </row>
    <row r="504" spans="1:9" ht="14.45" customHeight="1" x14ac:dyDescent="0.25">
      <c r="A504" s="115" t="s">
        <v>3503</v>
      </c>
      <c r="B504" s="112">
        <v>11849.3</v>
      </c>
      <c r="C504" s="113"/>
      <c r="D504" s="116">
        <v>65</v>
      </c>
      <c r="E504" s="117"/>
      <c r="H504">
        <v>404</v>
      </c>
      <c r="I504" s="99">
        <f t="shared" si="7"/>
        <v>65</v>
      </c>
    </row>
    <row r="505" spans="1:9" ht="14.45" customHeight="1" x14ac:dyDescent="0.25">
      <c r="A505" s="115" t="s">
        <v>3504</v>
      </c>
      <c r="B505" s="112">
        <v>12398.1</v>
      </c>
      <c r="C505" s="113"/>
      <c r="D505" s="116">
        <v>63</v>
      </c>
      <c r="E505" s="117"/>
      <c r="H505">
        <v>393</v>
      </c>
      <c r="I505" s="99">
        <f t="shared" si="7"/>
        <v>63</v>
      </c>
    </row>
    <row r="506" spans="1:9" ht="14.45" customHeight="1" x14ac:dyDescent="0.25">
      <c r="A506" s="115" t="s">
        <v>3598</v>
      </c>
      <c r="B506" s="112">
        <v>12134.8</v>
      </c>
      <c r="C506" s="113"/>
      <c r="D506" s="116">
        <v>64</v>
      </c>
      <c r="E506" s="117"/>
      <c r="H506">
        <v>436</v>
      </c>
      <c r="I506" s="99">
        <f t="shared" si="7"/>
        <v>64</v>
      </c>
    </row>
    <row r="507" spans="1:9" ht="14.45" customHeight="1" x14ac:dyDescent="0.25">
      <c r="A507" s="115" t="s">
        <v>3505</v>
      </c>
      <c r="B507" s="112">
        <v>11068.2</v>
      </c>
      <c r="C507" s="113"/>
      <c r="D507" s="116">
        <v>65</v>
      </c>
      <c r="E507" s="117"/>
      <c r="H507">
        <v>402</v>
      </c>
      <c r="I507" s="99">
        <f t="shared" si="7"/>
        <v>65</v>
      </c>
    </row>
    <row r="508" spans="1:9" ht="14.45" customHeight="1" x14ac:dyDescent="0.25">
      <c r="A508" s="115" t="s">
        <v>3599</v>
      </c>
      <c r="B508" s="112">
        <v>12191.8</v>
      </c>
      <c r="C508" s="113"/>
      <c r="D508" s="116">
        <v>64</v>
      </c>
      <c r="E508" s="117"/>
      <c r="H508">
        <v>434</v>
      </c>
      <c r="I508" s="99">
        <f t="shared" si="7"/>
        <v>64</v>
      </c>
    </row>
    <row r="509" spans="1:9" ht="14.45" customHeight="1" x14ac:dyDescent="0.25">
      <c r="A509" s="115" t="s">
        <v>3506</v>
      </c>
      <c r="B509" s="112">
        <v>11871</v>
      </c>
      <c r="C509" s="113"/>
      <c r="D509" s="116">
        <v>63</v>
      </c>
      <c r="E509" s="117"/>
      <c r="H509">
        <v>369</v>
      </c>
      <c r="I509" s="99">
        <f t="shared" si="7"/>
        <v>63</v>
      </c>
    </row>
    <row r="510" spans="1:9" ht="14.45" customHeight="1" x14ac:dyDescent="0.25">
      <c r="A510" s="115" t="s">
        <v>3703</v>
      </c>
      <c r="B510" s="112">
        <v>11461.3</v>
      </c>
      <c r="C510" s="113"/>
      <c r="D510" s="116">
        <v>66</v>
      </c>
      <c r="E510" s="117"/>
      <c r="H510">
        <v>482</v>
      </c>
      <c r="I510" s="99">
        <f t="shared" si="7"/>
        <v>66</v>
      </c>
    </row>
    <row r="511" spans="1:9" ht="14.45" customHeight="1" x14ac:dyDescent="0.25">
      <c r="A511" s="115" t="s">
        <v>3671</v>
      </c>
      <c r="B511" s="112">
        <v>12455.1</v>
      </c>
      <c r="C511" s="113"/>
      <c r="D511" s="116">
        <v>69</v>
      </c>
      <c r="E511" s="117"/>
      <c r="H511">
        <v>488</v>
      </c>
      <c r="I511" s="99">
        <f t="shared" si="7"/>
        <v>69</v>
      </c>
    </row>
    <row r="512" spans="1:9" ht="14.45" customHeight="1" x14ac:dyDescent="0.25">
      <c r="A512" s="115" t="s">
        <v>3706</v>
      </c>
      <c r="B512" s="112">
        <v>12313.4</v>
      </c>
      <c r="C512" s="113"/>
      <c r="D512" s="116">
        <v>64</v>
      </c>
      <c r="E512" s="117"/>
      <c r="H512">
        <v>485</v>
      </c>
      <c r="I512" s="99">
        <f t="shared" si="7"/>
        <v>64</v>
      </c>
    </row>
    <row r="513" spans="1:9" ht="14.45" customHeight="1" x14ac:dyDescent="0.25">
      <c r="A513" s="115" t="s">
        <v>3593</v>
      </c>
      <c r="B513" s="112">
        <v>12510.3</v>
      </c>
      <c r="C513" s="113"/>
      <c r="D513" s="116">
        <v>65</v>
      </c>
      <c r="E513" s="117"/>
      <c r="H513">
        <v>432</v>
      </c>
      <c r="I513" s="99">
        <f t="shared" si="7"/>
        <v>65</v>
      </c>
    </row>
    <row r="514" spans="1:9" ht="14.45" customHeight="1" x14ac:dyDescent="0.25">
      <c r="A514" s="115" t="s">
        <v>3507</v>
      </c>
      <c r="B514" s="112">
        <v>11900.7</v>
      </c>
      <c r="C514" s="113"/>
      <c r="D514" s="116">
        <v>65</v>
      </c>
      <c r="E514" s="117"/>
      <c r="H514">
        <v>367</v>
      </c>
      <c r="I514" s="99">
        <f t="shared" si="7"/>
        <v>65</v>
      </c>
    </row>
    <row r="515" spans="1:9" ht="14.45" customHeight="1" x14ac:dyDescent="0.25">
      <c r="A515" s="115" t="s">
        <v>3801</v>
      </c>
      <c r="B515" s="112">
        <v>16194</v>
      </c>
      <c r="C515" s="113"/>
      <c r="D515" s="116"/>
      <c r="E515" s="117"/>
      <c r="H515">
        <v>567</v>
      </c>
      <c r="I515" s="99">
        <f t="shared" si="7"/>
        <v>0</v>
      </c>
    </row>
    <row r="516" spans="1:9" ht="14.45" customHeight="1" x14ac:dyDescent="0.25">
      <c r="A516" s="115" t="s">
        <v>3802</v>
      </c>
      <c r="B516" s="112">
        <v>15818</v>
      </c>
      <c r="C516" s="113"/>
      <c r="D516" s="116">
        <v>65</v>
      </c>
      <c r="E516" s="117"/>
      <c r="H516">
        <v>568</v>
      </c>
      <c r="I516" s="99">
        <f t="shared" si="7"/>
        <v>65</v>
      </c>
    </row>
    <row r="517" spans="1:9" ht="14.45" customHeight="1" x14ac:dyDescent="0.25">
      <c r="A517" s="115" t="s">
        <v>3803</v>
      </c>
      <c r="B517" s="112">
        <v>16029</v>
      </c>
      <c r="C517" s="113"/>
      <c r="D517" s="116">
        <v>66</v>
      </c>
      <c r="E517" s="117"/>
      <c r="H517">
        <v>569</v>
      </c>
      <c r="I517" s="99">
        <f t="shared" si="7"/>
        <v>66</v>
      </c>
    </row>
    <row r="518" spans="1:9" ht="14.45" customHeight="1" x14ac:dyDescent="0.25">
      <c r="A518" s="115" t="s">
        <v>3870</v>
      </c>
      <c r="B518" s="112">
        <v>13796</v>
      </c>
      <c r="C518" s="113"/>
      <c r="D518" s="116">
        <v>65</v>
      </c>
      <c r="E518" s="117"/>
      <c r="H518">
        <v>570</v>
      </c>
      <c r="I518" s="99">
        <f t="shared" si="7"/>
        <v>65</v>
      </c>
    </row>
    <row r="519" spans="1:9" ht="14.45" customHeight="1" x14ac:dyDescent="0.25">
      <c r="A519" s="115" t="s">
        <v>3804</v>
      </c>
      <c r="B519" s="112">
        <v>11701</v>
      </c>
      <c r="C519" s="113"/>
      <c r="D519" s="116">
        <v>65</v>
      </c>
      <c r="E519" s="117"/>
      <c r="H519">
        <v>571</v>
      </c>
      <c r="I519" s="99">
        <f t="shared" si="7"/>
        <v>65</v>
      </c>
    </row>
    <row r="520" spans="1:9" ht="14.45" customHeight="1" x14ac:dyDescent="0.25">
      <c r="A520" s="115" t="s">
        <v>3805</v>
      </c>
      <c r="B520" s="112">
        <v>11726</v>
      </c>
      <c r="C520" s="113"/>
      <c r="D520" s="116">
        <v>65</v>
      </c>
      <c r="E520" s="117"/>
      <c r="H520">
        <v>572</v>
      </c>
      <c r="I520" s="99">
        <f t="shared" si="7"/>
        <v>65</v>
      </c>
    </row>
    <row r="521" spans="1:9" ht="14.45" customHeight="1" x14ac:dyDescent="0.25">
      <c r="A521" s="115" t="s">
        <v>3806</v>
      </c>
      <c r="B521" s="112">
        <v>12355</v>
      </c>
      <c r="C521" s="113"/>
      <c r="D521" s="116">
        <v>63</v>
      </c>
      <c r="E521" s="117"/>
      <c r="H521">
        <v>573</v>
      </c>
      <c r="I521" s="99">
        <f t="shared" si="7"/>
        <v>63</v>
      </c>
    </row>
    <row r="522" spans="1:9" ht="14.45" customHeight="1" x14ac:dyDescent="0.25">
      <c r="A522" s="115" t="s">
        <v>3807</v>
      </c>
      <c r="B522" s="112">
        <v>11966</v>
      </c>
      <c r="C522" s="113"/>
      <c r="D522" s="116">
        <v>62</v>
      </c>
      <c r="E522" s="117"/>
      <c r="H522">
        <v>574</v>
      </c>
      <c r="I522" s="99">
        <f t="shared" si="7"/>
        <v>62</v>
      </c>
    </row>
    <row r="523" spans="1:9" ht="14.45" customHeight="1" x14ac:dyDescent="0.25">
      <c r="A523" s="115" t="s">
        <v>3842</v>
      </c>
      <c r="B523" s="112">
        <v>14620</v>
      </c>
      <c r="C523" s="113"/>
      <c r="D523" s="116">
        <v>66</v>
      </c>
      <c r="E523" s="117"/>
      <c r="H523">
        <v>594</v>
      </c>
      <c r="I523" s="99">
        <f t="shared" si="7"/>
        <v>66</v>
      </c>
    </row>
    <row r="524" spans="1:9" ht="14.45" customHeight="1" x14ac:dyDescent="0.25">
      <c r="A524" s="115" t="s">
        <v>3843</v>
      </c>
      <c r="B524" s="112">
        <v>15410</v>
      </c>
      <c r="C524" s="113"/>
      <c r="D524" s="116">
        <v>67</v>
      </c>
      <c r="E524" s="117"/>
      <c r="H524">
        <v>595</v>
      </c>
      <c r="I524" s="99">
        <f t="shared" si="7"/>
        <v>67</v>
      </c>
    </row>
    <row r="525" spans="1:9" ht="14.45" customHeight="1" x14ac:dyDescent="0.25">
      <c r="A525" s="115" t="s">
        <v>3844</v>
      </c>
      <c r="B525" s="112">
        <v>13724</v>
      </c>
      <c r="C525" s="113"/>
      <c r="D525" s="116">
        <v>65</v>
      </c>
      <c r="E525" s="117"/>
      <c r="H525">
        <v>597</v>
      </c>
      <c r="I525" s="99">
        <f t="shared" ref="I525:I588" si="8">D525</f>
        <v>65</v>
      </c>
    </row>
    <row r="526" spans="1:9" ht="14.45" customHeight="1" x14ac:dyDescent="0.25">
      <c r="A526" s="115" t="s">
        <v>3845</v>
      </c>
      <c r="B526" s="112">
        <v>15990</v>
      </c>
      <c r="C526" s="113"/>
      <c r="D526" s="116">
        <v>65</v>
      </c>
      <c r="E526" s="117"/>
      <c r="H526">
        <v>606</v>
      </c>
      <c r="I526" s="99">
        <f t="shared" si="8"/>
        <v>65</v>
      </c>
    </row>
    <row r="527" spans="1:9" ht="14.45" customHeight="1" x14ac:dyDescent="0.25">
      <c r="A527" s="115" t="s">
        <v>3846</v>
      </c>
      <c r="B527" s="112">
        <v>14465</v>
      </c>
      <c r="C527" s="113"/>
      <c r="D527" s="116">
        <v>66</v>
      </c>
      <c r="E527" s="117"/>
      <c r="H527">
        <v>607</v>
      </c>
      <c r="I527" s="99">
        <f t="shared" si="8"/>
        <v>66</v>
      </c>
    </row>
    <row r="528" spans="1:9" ht="14.45" customHeight="1" x14ac:dyDescent="0.25">
      <c r="A528" s="115" t="s">
        <v>3847</v>
      </c>
      <c r="B528" s="112">
        <v>12392</v>
      </c>
      <c r="C528" s="113"/>
      <c r="D528" s="116">
        <v>65</v>
      </c>
      <c r="E528" s="117"/>
      <c r="H528">
        <v>608</v>
      </c>
      <c r="I528" s="99">
        <f t="shared" si="8"/>
        <v>65</v>
      </c>
    </row>
    <row r="529" spans="1:9" ht="14.45" customHeight="1" x14ac:dyDescent="0.25">
      <c r="A529" s="115" t="s">
        <v>3871</v>
      </c>
      <c r="B529" s="112">
        <v>11661</v>
      </c>
      <c r="C529" s="113"/>
      <c r="D529" s="116">
        <v>64</v>
      </c>
      <c r="E529" s="117"/>
      <c r="H529">
        <v>626</v>
      </c>
      <c r="I529" s="99">
        <f t="shared" si="8"/>
        <v>64</v>
      </c>
    </row>
    <row r="530" spans="1:9" ht="14.45" customHeight="1" x14ac:dyDescent="0.25">
      <c r="A530" s="115" t="s">
        <v>3872</v>
      </c>
      <c r="B530" s="112">
        <v>11853</v>
      </c>
      <c r="C530" s="113"/>
      <c r="D530" s="116">
        <v>63</v>
      </c>
      <c r="E530" s="117"/>
      <c r="H530">
        <v>629</v>
      </c>
      <c r="I530" s="99">
        <f t="shared" si="8"/>
        <v>63</v>
      </c>
    </row>
    <row r="531" spans="1:9" ht="14.45" customHeight="1" x14ac:dyDescent="0.25">
      <c r="A531" s="115" t="s">
        <v>3873</v>
      </c>
      <c r="B531" s="112">
        <v>15931</v>
      </c>
      <c r="C531" s="113"/>
      <c r="D531" s="116">
        <v>66</v>
      </c>
      <c r="E531" s="117"/>
      <c r="H531">
        <v>635</v>
      </c>
      <c r="I531" s="99">
        <f t="shared" si="8"/>
        <v>66</v>
      </c>
    </row>
    <row r="532" spans="1:9" ht="14.45" customHeight="1" x14ac:dyDescent="0.25">
      <c r="A532" s="453" t="s">
        <v>2940</v>
      </c>
      <c r="B532" s="450">
        <v>720471.7</v>
      </c>
      <c r="C532" s="451"/>
      <c r="D532" s="454"/>
      <c r="E532" s="469"/>
      <c r="I532" s="99"/>
    </row>
    <row r="533" spans="1:9" ht="14.45" customHeight="1" x14ac:dyDescent="0.25">
      <c r="A533" s="453" t="s">
        <v>102</v>
      </c>
      <c r="B533" s="450">
        <v>720471.7</v>
      </c>
      <c r="C533" s="451"/>
      <c r="D533" s="454">
        <v>56.9</v>
      </c>
      <c r="E533" s="469"/>
      <c r="I533" s="99"/>
    </row>
    <row r="534" spans="1:9" ht="14.45" customHeight="1" x14ac:dyDescent="0.25">
      <c r="A534" s="115" t="s">
        <v>3465</v>
      </c>
      <c r="B534" s="112">
        <v>12200.8</v>
      </c>
      <c r="C534" s="113"/>
      <c r="D534" s="116">
        <v>58</v>
      </c>
      <c r="E534" s="117"/>
      <c r="H534">
        <v>374</v>
      </c>
      <c r="I534" s="99">
        <f t="shared" si="8"/>
        <v>58</v>
      </c>
    </row>
    <row r="535" spans="1:9" ht="14.45" customHeight="1" x14ac:dyDescent="0.25">
      <c r="A535" s="115" t="s">
        <v>3466</v>
      </c>
      <c r="B535" s="112">
        <v>14658.3</v>
      </c>
      <c r="C535" s="113"/>
      <c r="D535" s="116">
        <v>63</v>
      </c>
      <c r="E535" s="117"/>
      <c r="H535">
        <v>390</v>
      </c>
      <c r="I535" s="99">
        <f t="shared" si="8"/>
        <v>63</v>
      </c>
    </row>
    <row r="536" spans="1:9" ht="14.45" customHeight="1" x14ac:dyDescent="0.25">
      <c r="A536" s="115" t="s">
        <v>3739</v>
      </c>
      <c r="B536" s="112">
        <v>16018</v>
      </c>
      <c r="C536" s="113"/>
      <c r="D536" s="116">
        <v>62</v>
      </c>
      <c r="E536" s="117"/>
      <c r="H536">
        <v>550</v>
      </c>
      <c r="I536" s="99">
        <f t="shared" si="8"/>
        <v>62</v>
      </c>
    </row>
    <row r="537" spans="1:9" ht="14.45" customHeight="1" x14ac:dyDescent="0.25">
      <c r="A537" s="115" t="s">
        <v>3556</v>
      </c>
      <c r="B537" s="112">
        <v>11497.5</v>
      </c>
      <c r="C537" s="113"/>
      <c r="D537" s="116">
        <v>60</v>
      </c>
      <c r="E537" s="117"/>
      <c r="H537">
        <v>415</v>
      </c>
      <c r="I537" s="99">
        <f t="shared" si="8"/>
        <v>60</v>
      </c>
    </row>
    <row r="538" spans="1:9" ht="14.45" customHeight="1" x14ac:dyDescent="0.25">
      <c r="A538" s="115" t="s">
        <v>3467</v>
      </c>
      <c r="B538" s="112">
        <v>11028.7</v>
      </c>
      <c r="C538" s="113"/>
      <c r="D538" s="116">
        <v>59</v>
      </c>
      <c r="E538" s="117"/>
      <c r="H538">
        <v>378</v>
      </c>
      <c r="I538" s="99">
        <f t="shared" si="8"/>
        <v>59</v>
      </c>
    </row>
    <row r="539" spans="1:9" ht="14.45" customHeight="1" x14ac:dyDescent="0.25">
      <c r="A539" s="115" t="s">
        <v>3636</v>
      </c>
      <c r="B539" s="112">
        <v>11572.4</v>
      </c>
      <c r="C539" s="113"/>
      <c r="D539" s="116">
        <v>58</v>
      </c>
      <c r="E539" s="117"/>
      <c r="H539">
        <v>474</v>
      </c>
      <c r="I539" s="99">
        <f t="shared" si="8"/>
        <v>58</v>
      </c>
    </row>
    <row r="540" spans="1:9" ht="14.45" customHeight="1" x14ac:dyDescent="0.25">
      <c r="A540" s="115" t="s">
        <v>3468</v>
      </c>
      <c r="B540" s="112">
        <v>11657.1</v>
      </c>
      <c r="C540" s="113"/>
      <c r="D540" s="116">
        <v>57</v>
      </c>
      <c r="E540" s="117"/>
      <c r="H540">
        <v>360</v>
      </c>
      <c r="I540" s="99">
        <f t="shared" si="8"/>
        <v>57</v>
      </c>
    </row>
    <row r="541" spans="1:9" ht="14.45" customHeight="1" x14ac:dyDescent="0.25">
      <c r="A541" s="115" t="s">
        <v>3469</v>
      </c>
      <c r="B541" s="112">
        <v>3562.1</v>
      </c>
      <c r="C541" s="113"/>
      <c r="D541" s="116">
        <v>53</v>
      </c>
      <c r="E541" s="117"/>
      <c r="H541">
        <v>352</v>
      </c>
      <c r="I541" s="99">
        <f t="shared" si="8"/>
        <v>53</v>
      </c>
    </row>
    <row r="542" spans="1:9" ht="14.45" customHeight="1" x14ac:dyDescent="0.25">
      <c r="A542" s="115" t="s">
        <v>3470</v>
      </c>
      <c r="B542" s="112">
        <v>3902.5</v>
      </c>
      <c r="C542" s="113"/>
      <c r="D542" s="116">
        <v>50</v>
      </c>
      <c r="E542" s="117"/>
      <c r="H542">
        <v>349</v>
      </c>
      <c r="I542" s="99">
        <f t="shared" si="8"/>
        <v>50</v>
      </c>
    </row>
    <row r="543" spans="1:9" ht="14.45" customHeight="1" x14ac:dyDescent="0.25">
      <c r="A543" s="115" t="s">
        <v>3586</v>
      </c>
      <c r="B543" s="112">
        <v>12071.2</v>
      </c>
      <c r="C543" s="113"/>
      <c r="D543" s="116">
        <v>60</v>
      </c>
      <c r="E543" s="117"/>
      <c r="H543">
        <v>426</v>
      </c>
      <c r="I543" s="99">
        <f t="shared" si="8"/>
        <v>60</v>
      </c>
    </row>
    <row r="544" spans="1:9" ht="14.45" customHeight="1" x14ac:dyDescent="0.25">
      <c r="A544" s="115" t="s">
        <v>3471</v>
      </c>
      <c r="B544" s="112">
        <v>11958.7</v>
      </c>
      <c r="C544" s="113"/>
      <c r="D544" s="116">
        <v>61</v>
      </c>
      <c r="E544" s="117"/>
      <c r="H544">
        <v>380</v>
      </c>
      <c r="I544" s="99">
        <f t="shared" si="8"/>
        <v>61</v>
      </c>
    </row>
    <row r="545" spans="1:9" ht="14.45" customHeight="1" x14ac:dyDescent="0.25">
      <c r="A545" s="115" t="s">
        <v>3472</v>
      </c>
      <c r="B545" s="112">
        <v>3659.3</v>
      </c>
      <c r="C545" s="113"/>
      <c r="D545" s="116">
        <v>44</v>
      </c>
      <c r="E545" s="117"/>
      <c r="H545">
        <v>347</v>
      </c>
      <c r="I545" s="99">
        <f t="shared" si="8"/>
        <v>44</v>
      </c>
    </row>
    <row r="546" spans="1:9" ht="14.45" customHeight="1" x14ac:dyDescent="0.25">
      <c r="A546" s="115" t="s">
        <v>3637</v>
      </c>
      <c r="B546" s="112">
        <v>8394.4</v>
      </c>
      <c r="C546" s="113"/>
      <c r="D546" s="116">
        <v>55</v>
      </c>
      <c r="E546" s="117"/>
      <c r="H546">
        <v>460</v>
      </c>
      <c r="I546" s="99">
        <f t="shared" si="8"/>
        <v>55</v>
      </c>
    </row>
    <row r="547" spans="1:9" ht="14.45" customHeight="1" x14ac:dyDescent="0.25">
      <c r="A547" s="115" t="s">
        <v>3582</v>
      </c>
      <c r="B547" s="112">
        <v>11716.2</v>
      </c>
      <c r="C547" s="113"/>
      <c r="D547" s="116">
        <v>58</v>
      </c>
      <c r="E547" s="117"/>
      <c r="H547">
        <v>421</v>
      </c>
      <c r="I547" s="99">
        <f t="shared" si="8"/>
        <v>58</v>
      </c>
    </row>
    <row r="548" spans="1:9" ht="14.45" customHeight="1" x14ac:dyDescent="0.25">
      <c r="A548" s="115" t="s">
        <v>3473</v>
      </c>
      <c r="B548" s="112">
        <v>3796.2</v>
      </c>
      <c r="C548" s="113"/>
      <c r="D548" s="116">
        <v>47</v>
      </c>
      <c r="E548" s="117"/>
      <c r="H548">
        <v>354</v>
      </c>
      <c r="I548" s="99">
        <f t="shared" si="8"/>
        <v>47</v>
      </c>
    </row>
    <row r="549" spans="1:9" ht="14.45" customHeight="1" x14ac:dyDescent="0.25">
      <c r="A549" s="115" t="s">
        <v>3474</v>
      </c>
      <c r="B549" s="112">
        <v>11357.5</v>
      </c>
      <c r="C549" s="113"/>
      <c r="D549" s="116">
        <v>59</v>
      </c>
      <c r="E549" s="117"/>
      <c r="H549">
        <v>410</v>
      </c>
      <c r="I549" s="99">
        <f t="shared" si="8"/>
        <v>59</v>
      </c>
    </row>
    <row r="550" spans="1:9" ht="14.45" customHeight="1" x14ac:dyDescent="0.25">
      <c r="A550" s="115" t="s">
        <v>3475</v>
      </c>
      <c r="B550" s="112">
        <v>7902.9</v>
      </c>
      <c r="C550" s="113"/>
      <c r="D550" s="116">
        <v>59</v>
      </c>
      <c r="E550" s="117"/>
      <c r="H550">
        <v>371</v>
      </c>
      <c r="I550" s="99">
        <f t="shared" si="8"/>
        <v>59</v>
      </c>
    </row>
    <row r="551" spans="1:9" ht="14.45" customHeight="1" x14ac:dyDescent="0.25">
      <c r="A551" s="115" t="s">
        <v>3476</v>
      </c>
      <c r="B551" s="112">
        <v>11628.8</v>
      </c>
      <c r="C551" s="113"/>
      <c r="D551" s="116">
        <v>59</v>
      </c>
      <c r="E551" s="117"/>
      <c r="H551">
        <v>412</v>
      </c>
      <c r="I551" s="99">
        <f t="shared" si="8"/>
        <v>59</v>
      </c>
    </row>
    <row r="552" spans="1:9" ht="14.45" customHeight="1" x14ac:dyDescent="0.25">
      <c r="A552" s="115" t="s">
        <v>3577</v>
      </c>
      <c r="B552" s="112">
        <v>12105.5</v>
      </c>
      <c r="C552" s="113"/>
      <c r="D552" s="116">
        <v>63</v>
      </c>
      <c r="E552" s="117"/>
      <c r="H552">
        <v>416</v>
      </c>
      <c r="I552" s="99">
        <f t="shared" si="8"/>
        <v>63</v>
      </c>
    </row>
    <row r="553" spans="1:9" ht="14.45" customHeight="1" x14ac:dyDescent="0.25">
      <c r="A553" s="115" t="s">
        <v>3477</v>
      </c>
      <c r="B553" s="112">
        <v>11708.6</v>
      </c>
      <c r="C553" s="113"/>
      <c r="D553" s="116">
        <v>60</v>
      </c>
      <c r="E553" s="117"/>
      <c r="H553">
        <v>413</v>
      </c>
      <c r="I553" s="99">
        <f t="shared" si="8"/>
        <v>60</v>
      </c>
    </row>
    <row r="554" spans="1:9" ht="14.45" customHeight="1" x14ac:dyDescent="0.25">
      <c r="A554" s="115" t="s">
        <v>3617</v>
      </c>
      <c r="B554" s="112">
        <v>7260</v>
      </c>
      <c r="C554" s="113"/>
      <c r="D554" s="116">
        <v>53</v>
      </c>
      <c r="E554" s="117"/>
      <c r="H554">
        <v>453</v>
      </c>
      <c r="I554" s="99">
        <f t="shared" si="8"/>
        <v>53</v>
      </c>
    </row>
    <row r="555" spans="1:9" ht="14.45" customHeight="1" x14ac:dyDescent="0.25">
      <c r="A555" s="115" t="s">
        <v>3478</v>
      </c>
      <c r="B555" s="112">
        <v>12154.5</v>
      </c>
      <c r="C555" s="113"/>
      <c r="D555" s="116">
        <v>59</v>
      </c>
      <c r="E555" s="117"/>
      <c r="H555">
        <v>388</v>
      </c>
      <c r="I555" s="99">
        <f t="shared" si="8"/>
        <v>59</v>
      </c>
    </row>
    <row r="556" spans="1:9" ht="14.45" customHeight="1" x14ac:dyDescent="0.25">
      <c r="A556" s="115" t="s">
        <v>3579</v>
      </c>
      <c r="B556" s="112">
        <v>12064.6</v>
      </c>
      <c r="C556" s="113"/>
      <c r="D556" s="116">
        <v>59</v>
      </c>
      <c r="E556" s="117"/>
      <c r="H556">
        <v>418</v>
      </c>
      <c r="I556" s="99">
        <f t="shared" si="8"/>
        <v>59</v>
      </c>
    </row>
    <row r="557" spans="1:9" ht="14.45" customHeight="1" x14ac:dyDescent="0.25">
      <c r="A557" s="115" t="s">
        <v>3584</v>
      </c>
      <c r="B557" s="112">
        <v>14682.1</v>
      </c>
      <c r="C557" s="113"/>
      <c r="D557" s="116">
        <v>60</v>
      </c>
      <c r="E557" s="117"/>
      <c r="H557">
        <v>423</v>
      </c>
      <c r="I557" s="99">
        <f t="shared" si="8"/>
        <v>60</v>
      </c>
    </row>
    <row r="558" spans="1:9" ht="14.45" customHeight="1" x14ac:dyDescent="0.25">
      <c r="A558" s="115" t="s">
        <v>3479</v>
      </c>
      <c r="B558" s="112">
        <v>11389.9</v>
      </c>
      <c r="C558" s="113"/>
      <c r="D558" s="116">
        <v>54</v>
      </c>
      <c r="E558" s="117"/>
      <c r="H558">
        <v>351</v>
      </c>
      <c r="I558" s="99">
        <f t="shared" si="8"/>
        <v>54</v>
      </c>
    </row>
    <row r="559" spans="1:9" ht="14.45" customHeight="1" x14ac:dyDescent="0.25">
      <c r="A559" s="115" t="s">
        <v>3638</v>
      </c>
      <c r="B559" s="112">
        <v>7882.5</v>
      </c>
      <c r="C559" s="113"/>
      <c r="D559" s="116">
        <v>54</v>
      </c>
      <c r="E559" s="117"/>
      <c r="H559">
        <v>458</v>
      </c>
      <c r="I559" s="99">
        <f t="shared" si="8"/>
        <v>54</v>
      </c>
    </row>
    <row r="560" spans="1:9" ht="14.45" customHeight="1" x14ac:dyDescent="0.25">
      <c r="A560" s="115" t="s">
        <v>3639</v>
      </c>
      <c r="B560" s="112">
        <v>11556.9</v>
      </c>
      <c r="C560" s="113"/>
      <c r="D560" s="116">
        <v>62</v>
      </c>
      <c r="E560" s="117"/>
      <c r="H560">
        <v>478</v>
      </c>
      <c r="I560" s="99">
        <f t="shared" si="8"/>
        <v>62</v>
      </c>
    </row>
    <row r="561" spans="1:9" ht="14.45" customHeight="1" x14ac:dyDescent="0.25">
      <c r="A561" s="115" t="s">
        <v>3590</v>
      </c>
      <c r="B561" s="112">
        <v>11149.2</v>
      </c>
      <c r="C561" s="113"/>
      <c r="D561" s="116">
        <v>62</v>
      </c>
      <c r="E561" s="117"/>
      <c r="H561">
        <v>429</v>
      </c>
      <c r="I561" s="99">
        <f t="shared" si="8"/>
        <v>62</v>
      </c>
    </row>
    <row r="562" spans="1:9" ht="14.45" customHeight="1" x14ac:dyDescent="0.25">
      <c r="A562" s="115" t="s">
        <v>3615</v>
      </c>
      <c r="B562" s="112">
        <v>7199.4</v>
      </c>
      <c r="C562" s="113"/>
      <c r="D562" s="116">
        <v>55</v>
      </c>
      <c r="E562" s="117"/>
      <c r="H562">
        <v>456</v>
      </c>
      <c r="I562" s="99">
        <f t="shared" si="8"/>
        <v>55</v>
      </c>
    </row>
    <row r="563" spans="1:9" ht="14.45" customHeight="1" x14ac:dyDescent="0.25">
      <c r="A563" s="115" t="s">
        <v>3587</v>
      </c>
      <c r="B563" s="112">
        <v>11706.6</v>
      </c>
      <c r="C563" s="113"/>
      <c r="D563" s="116">
        <v>62</v>
      </c>
      <c r="E563" s="117"/>
      <c r="H563">
        <v>425</v>
      </c>
      <c r="I563" s="99">
        <f t="shared" si="8"/>
        <v>62</v>
      </c>
    </row>
    <row r="564" spans="1:9" ht="14.45" customHeight="1" x14ac:dyDescent="0.25">
      <c r="A564" s="115" t="s">
        <v>3480</v>
      </c>
      <c r="B564" s="112">
        <v>11132.6</v>
      </c>
      <c r="C564" s="113"/>
      <c r="D564" s="116">
        <v>59</v>
      </c>
      <c r="E564" s="117"/>
      <c r="H564">
        <v>362</v>
      </c>
      <c r="I564" s="99">
        <f t="shared" si="8"/>
        <v>59</v>
      </c>
    </row>
    <row r="565" spans="1:9" ht="14.45" customHeight="1" x14ac:dyDescent="0.25">
      <c r="A565" s="115" t="s">
        <v>3481</v>
      </c>
      <c r="B565" s="112">
        <v>11730.4</v>
      </c>
      <c r="C565" s="113"/>
      <c r="D565" s="116">
        <v>58</v>
      </c>
      <c r="E565" s="117"/>
      <c r="H565">
        <v>398</v>
      </c>
      <c r="I565" s="99">
        <f t="shared" si="8"/>
        <v>58</v>
      </c>
    </row>
    <row r="566" spans="1:9" ht="14.45" customHeight="1" x14ac:dyDescent="0.25">
      <c r="A566" s="115" t="s">
        <v>3482</v>
      </c>
      <c r="B566" s="112">
        <v>12078</v>
      </c>
      <c r="C566" s="113"/>
      <c r="D566" s="116">
        <v>59</v>
      </c>
      <c r="E566" s="117"/>
      <c r="H566">
        <v>399</v>
      </c>
      <c r="I566" s="99">
        <f t="shared" si="8"/>
        <v>59</v>
      </c>
    </row>
    <row r="567" spans="1:9" ht="14.45" customHeight="1" x14ac:dyDescent="0.25">
      <c r="A567" s="115" t="s">
        <v>3483</v>
      </c>
      <c r="B567" s="112">
        <v>11106.4</v>
      </c>
      <c r="C567" s="113"/>
      <c r="D567" s="116">
        <v>53</v>
      </c>
      <c r="E567" s="117"/>
      <c r="H567">
        <v>350</v>
      </c>
      <c r="I567" s="99">
        <f t="shared" si="8"/>
        <v>53</v>
      </c>
    </row>
    <row r="568" spans="1:9" ht="14.45" customHeight="1" x14ac:dyDescent="0.25">
      <c r="A568" s="115" t="s">
        <v>3591</v>
      </c>
      <c r="B568" s="112">
        <v>11846.5</v>
      </c>
      <c r="C568" s="113"/>
      <c r="D568" s="116">
        <v>60</v>
      </c>
      <c r="E568" s="117"/>
      <c r="H568">
        <v>430</v>
      </c>
      <c r="I568" s="99">
        <f t="shared" si="8"/>
        <v>60</v>
      </c>
    </row>
    <row r="569" spans="1:9" ht="14.45" customHeight="1" x14ac:dyDescent="0.25">
      <c r="A569" s="115" t="s">
        <v>3484</v>
      </c>
      <c r="B569" s="112">
        <v>11665.5</v>
      </c>
      <c r="C569" s="113"/>
      <c r="D569" s="116">
        <v>59</v>
      </c>
      <c r="E569" s="117"/>
      <c r="H569">
        <v>382</v>
      </c>
      <c r="I569" s="99">
        <f t="shared" si="8"/>
        <v>59</v>
      </c>
    </row>
    <row r="570" spans="1:9" ht="14.45" customHeight="1" x14ac:dyDescent="0.25">
      <c r="A570" s="115" t="s">
        <v>3640</v>
      </c>
      <c r="B570" s="112">
        <v>7620.6</v>
      </c>
      <c r="C570" s="113"/>
      <c r="D570" s="116">
        <v>59</v>
      </c>
      <c r="E570" s="117"/>
      <c r="H570">
        <v>464</v>
      </c>
      <c r="I570" s="99">
        <f t="shared" si="8"/>
        <v>59</v>
      </c>
    </row>
    <row r="571" spans="1:9" ht="14.45" customHeight="1" x14ac:dyDescent="0.25">
      <c r="A571" s="115" t="s">
        <v>3485</v>
      </c>
      <c r="B571" s="112">
        <v>12028.8</v>
      </c>
      <c r="C571" s="113"/>
      <c r="D571" s="116">
        <v>59</v>
      </c>
      <c r="E571" s="117"/>
      <c r="H571">
        <v>395</v>
      </c>
      <c r="I571" s="99">
        <f t="shared" si="8"/>
        <v>59</v>
      </c>
    </row>
    <row r="572" spans="1:9" ht="14.45" customHeight="1" x14ac:dyDescent="0.25">
      <c r="A572" s="115" t="s">
        <v>3641</v>
      </c>
      <c r="B572" s="112">
        <v>11805.1</v>
      </c>
      <c r="C572" s="113"/>
      <c r="D572" s="116">
        <v>60</v>
      </c>
      <c r="E572" s="117"/>
      <c r="H572">
        <v>472</v>
      </c>
      <c r="I572" s="99">
        <f t="shared" si="8"/>
        <v>60</v>
      </c>
    </row>
    <row r="573" spans="1:9" ht="14.45" customHeight="1" x14ac:dyDescent="0.25">
      <c r="A573" s="115" t="s">
        <v>3642</v>
      </c>
      <c r="B573" s="112">
        <v>11363.4</v>
      </c>
      <c r="C573" s="113"/>
      <c r="D573" s="116">
        <v>59</v>
      </c>
      <c r="E573" s="117"/>
      <c r="H573">
        <v>476</v>
      </c>
      <c r="I573" s="99">
        <f t="shared" si="8"/>
        <v>59</v>
      </c>
    </row>
    <row r="574" spans="1:9" ht="14.45" customHeight="1" x14ac:dyDescent="0.25">
      <c r="A574" s="115" t="s">
        <v>3616</v>
      </c>
      <c r="B574" s="112">
        <v>7207.9</v>
      </c>
      <c r="C574" s="113"/>
      <c r="D574" s="116">
        <v>56</v>
      </c>
      <c r="E574" s="117"/>
      <c r="H574">
        <v>452</v>
      </c>
      <c r="I574" s="99">
        <f t="shared" si="8"/>
        <v>56</v>
      </c>
    </row>
    <row r="575" spans="1:9" ht="14.45" customHeight="1" x14ac:dyDescent="0.25">
      <c r="A575" s="115" t="s">
        <v>3486</v>
      </c>
      <c r="B575" s="112">
        <v>10911.6</v>
      </c>
      <c r="C575" s="113"/>
      <c r="D575" s="116">
        <v>54</v>
      </c>
      <c r="E575" s="117"/>
      <c r="H575">
        <v>356</v>
      </c>
      <c r="I575" s="99">
        <f t="shared" si="8"/>
        <v>54</v>
      </c>
    </row>
    <row r="576" spans="1:9" ht="14.45" customHeight="1" x14ac:dyDescent="0.25">
      <c r="A576" s="115" t="s">
        <v>3487</v>
      </c>
      <c r="B576" s="112">
        <v>11647.4</v>
      </c>
      <c r="C576" s="113"/>
      <c r="D576" s="116">
        <v>61</v>
      </c>
      <c r="E576" s="117"/>
      <c r="H576">
        <v>386</v>
      </c>
      <c r="I576" s="99">
        <f t="shared" si="8"/>
        <v>61</v>
      </c>
    </row>
    <row r="577" spans="1:9" ht="14.45" customHeight="1" x14ac:dyDescent="0.25">
      <c r="A577" s="115" t="s">
        <v>3488</v>
      </c>
      <c r="B577" s="112">
        <v>10942.2</v>
      </c>
      <c r="C577" s="113"/>
      <c r="D577" s="116">
        <v>56</v>
      </c>
      <c r="E577" s="117"/>
      <c r="H577">
        <v>355</v>
      </c>
      <c r="I577" s="99">
        <f t="shared" si="8"/>
        <v>56</v>
      </c>
    </row>
    <row r="578" spans="1:9" ht="14.45" customHeight="1" x14ac:dyDescent="0.25">
      <c r="A578" s="115" t="s">
        <v>3489</v>
      </c>
      <c r="B578" s="112">
        <v>11002.8</v>
      </c>
      <c r="C578" s="113"/>
      <c r="D578" s="116">
        <v>56</v>
      </c>
      <c r="E578" s="117"/>
      <c r="H578">
        <v>353</v>
      </c>
      <c r="I578" s="99">
        <f t="shared" si="8"/>
        <v>56</v>
      </c>
    </row>
    <row r="579" spans="1:9" ht="14.45" customHeight="1" x14ac:dyDescent="0.25">
      <c r="A579" s="115" t="s">
        <v>3490</v>
      </c>
      <c r="B579" s="112">
        <v>11054.7</v>
      </c>
      <c r="C579" s="113"/>
      <c r="D579" s="116">
        <v>69</v>
      </c>
      <c r="E579" s="117"/>
      <c r="H579">
        <v>406</v>
      </c>
      <c r="I579" s="99">
        <f t="shared" si="8"/>
        <v>69</v>
      </c>
    </row>
    <row r="580" spans="1:9" ht="14.45" customHeight="1" x14ac:dyDescent="0.25">
      <c r="A580" s="115" t="s">
        <v>3491</v>
      </c>
      <c r="B580" s="112">
        <v>11360.2</v>
      </c>
      <c r="C580" s="113"/>
      <c r="D580" s="116">
        <v>45</v>
      </c>
      <c r="E580" s="117"/>
      <c r="H580">
        <v>345</v>
      </c>
      <c r="I580" s="99">
        <f t="shared" si="8"/>
        <v>45</v>
      </c>
    </row>
    <row r="581" spans="1:9" ht="14.45" customHeight="1" x14ac:dyDescent="0.25">
      <c r="A581" s="115" t="s">
        <v>3643</v>
      </c>
      <c r="B581" s="112">
        <v>7831.3</v>
      </c>
      <c r="C581" s="113"/>
      <c r="D581" s="116">
        <v>55</v>
      </c>
      <c r="E581" s="117"/>
      <c r="H581">
        <v>465</v>
      </c>
      <c r="I581" s="99">
        <f t="shared" si="8"/>
        <v>55</v>
      </c>
    </row>
    <row r="582" spans="1:9" ht="14.45" customHeight="1" x14ac:dyDescent="0.25">
      <c r="A582" s="115" t="s">
        <v>3492</v>
      </c>
      <c r="B582" s="112">
        <v>11679.8</v>
      </c>
      <c r="C582" s="113"/>
      <c r="D582" s="116">
        <v>62</v>
      </c>
      <c r="E582" s="117"/>
      <c r="H582">
        <v>364</v>
      </c>
      <c r="I582" s="99">
        <f t="shared" si="8"/>
        <v>62</v>
      </c>
    </row>
    <row r="583" spans="1:9" ht="14.45" customHeight="1" x14ac:dyDescent="0.25">
      <c r="A583" s="115" t="s">
        <v>3493</v>
      </c>
      <c r="B583" s="112">
        <v>11464.9</v>
      </c>
      <c r="C583" s="113"/>
      <c r="D583" s="116">
        <v>57</v>
      </c>
      <c r="E583" s="117"/>
      <c r="H583">
        <v>377</v>
      </c>
      <c r="I583" s="99">
        <f t="shared" si="8"/>
        <v>57</v>
      </c>
    </row>
    <row r="584" spans="1:9" ht="14.45" customHeight="1" x14ac:dyDescent="0.25">
      <c r="A584" s="115" t="s">
        <v>3494</v>
      </c>
      <c r="B584" s="112">
        <v>11599.2</v>
      </c>
      <c r="C584" s="113"/>
      <c r="D584" s="116">
        <v>59</v>
      </c>
      <c r="E584" s="117"/>
      <c r="H584">
        <v>407</v>
      </c>
      <c r="I584" s="99">
        <f t="shared" si="8"/>
        <v>59</v>
      </c>
    </row>
    <row r="585" spans="1:9" ht="14.45" customHeight="1" x14ac:dyDescent="0.25">
      <c r="A585" s="115" t="s">
        <v>3495</v>
      </c>
      <c r="B585" s="112">
        <v>11620.7</v>
      </c>
      <c r="C585" s="113"/>
      <c r="D585" s="116">
        <v>56</v>
      </c>
      <c r="E585" s="117"/>
      <c r="H585">
        <v>357</v>
      </c>
      <c r="I585" s="99">
        <f t="shared" si="8"/>
        <v>56</v>
      </c>
    </row>
    <row r="586" spans="1:9" ht="14.45" customHeight="1" x14ac:dyDescent="0.25">
      <c r="A586" s="115" t="s">
        <v>3496</v>
      </c>
      <c r="B586" s="112">
        <v>11339.7</v>
      </c>
      <c r="C586" s="113"/>
      <c r="D586" s="116">
        <v>57</v>
      </c>
      <c r="E586" s="117"/>
      <c r="H586">
        <v>383</v>
      </c>
      <c r="I586" s="99">
        <f t="shared" si="8"/>
        <v>57</v>
      </c>
    </row>
    <row r="587" spans="1:9" ht="14.45" customHeight="1" x14ac:dyDescent="0.25">
      <c r="A587" s="115" t="s">
        <v>3497</v>
      </c>
      <c r="B587" s="112">
        <v>11567</v>
      </c>
      <c r="C587" s="113"/>
      <c r="D587" s="116">
        <v>60</v>
      </c>
      <c r="E587" s="117"/>
      <c r="H587">
        <v>409</v>
      </c>
      <c r="I587" s="99">
        <f t="shared" si="8"/>
        <v>60</v>
      </c>
    </row>
    <row r="588" spans="1:9" ht="14.45" customHeight="1" x14ac:dyDescent="0.25">
      <c r="A588" s="115" t="s">
        <v>3608</v>
      </c>
      <c r="B588" s="112">
        <v>8278.7999999999993</v>
      </c>
      <c r="C588" s="113"/>
      <c r="D588" s="116">
        <v>57</v>
      </c>
      <c r="E588" s="117"/>
      <c r="H588">
        <v>444</v>
      </c>
      <c r="I588" s="99">
        <f t="shared" si="8"/>
        <v>57</v>
      </c>
    </row>
    <row r="589" spans="1:9" ht="14.45" customHeight="1" x14ac:dyDescent="0.25">
      <c r="A589" s="115" t="s">
        <v>3848</v>
      </c>
      <c r="B589" s="112">
        <v>12305</v>
      </c>
      <c r="C589" s="113"/>
      <c r="D589" s="116">
        <v>54</v>
      </c>
      <c r="E589" s="117"/>
      <c r="H589">
        <v>598</v>
      </c>
      <c r="I589" s="99">
        <f t="shared" ref="I589:I652" si="9">D589</f>
        <v>54</v>
      </c>
    </row>
    <row r="590" spans="1:9" ht="14.45" customHeight="1" x14ac:dyDescent="0.25">
      <c r="A590" s="115" t="s">
        <v>3849</v>
      </c>
      <c r="B590" s="112">
        <v>11387</v>
      </c>
      <c r="C590" s="113"/>
      <c r="D590" s="116"/>
      <c r="E590" s="117"/>
      <c r="H590">
        <v>599</v>
      </c>
      <c r="I590" s="99">
        <f t="shared" si="9"/>
        <v>0</v>
      </c>
    </row>
    <row r="591" spans="1:9" ht="14.45" customHeight="1" x14ac:dyDescent="0.25">
      <c r="A591" s="115" t="s">
        <v>3874</v>
      </c>
      <c r="B591" s="112">
        <v>11730</v>
      </c>
      <c r="C591" s="113"/>
      <c r="D591" s="116">
        <v>56</v>
      </c>
      <c r="E591" s="117"/>
      <c r="H591">
        <v>611</v>
      </c>
      <c r="I591" s="99">
        <f t="shared" si="9"/>
        <v>56</v>
      </c>
    </row>
    <row r="592" spans="1:9" ht="14.45" customHeight="1" x14ac:dyDescent="0.25">
      <c r="A592" s="115" t="s">
        <v>3875</v>
      </c>
      <c r="B592" s="112">
        <v>12184</v>
      </c>
      <c r="C592" s="113"/>
      <c r="D592" s="116">
        <v>54</v>
      </c>
      <c r="E592" s="117"/>
      <c r="H592">
        <v>625</v>
      </c>
      <c r="I592" s="99">
        <f t="shared" si="9"/>
        <v>54</v>
      </c>
    </row>
    <row r="593" spans="1:9" ht="14.45" customHeight="1" x14ac:dyDescent="0.25">
      <c r="A593" s="115" t="s">
        <v>3876</v>
      </c>
      <c r="B593" s="112">
        <v>11997</v>
      </c>
      <c r="C593" s="113"/>
      <c r="D593" s="116">
        <v>62</v>
      </c>
      <c r="E593" s="117"/>
      <c r="H593">
        <v>628</v>
      </c>
      <c r="I593" s="99">
        <f t="shared" si="9"/>
        <v>62</v>
      </c>
    </row>
    <row r="594" spans="1:9" ht="14.45" customHeight="1" x14ac:dyDescent="0.25">
      <c r="A594" s="115" t="s">
        <v>3877</v>
      </c>
      <c r="B594" s="112">
        <v>11992</v>
      </c>
      <c r="C594" s="113"/>
      <c r="D594" s="116">
        <v>62</v>
      </c>
      <c r="E594" s="117"/>
      <c r="H594">
        <v>630</v>
      </c>
      <c r="I594" s="99">
        <f t="shared" si="9"/>
        <v>62</v>
      </c>
    </row>
    <row r="595" spans="1:9" ht="14.45" customHeight="1" x14ac:dyDescent="0.25">
      <c r="A595" s="115" t="s">
        <v>3878</v>
      </c>
      <c r="B595" s="112">
        <v>11791</v>
      </c>
      <c r="C595" s="113"/>
      <c r="D595" s="116">
        <v>59</v>
      </c>
      <c r="E595" s="117"/>
      <c r="H595">
        <v>632</v>
      </c>
      <c r="I595" s="99">
        <f t="shared" si="9"/>
        <v>59</v>
      </c>
    </row>
    <row r="596" spans="1:9" ht="14.45" customHeight="1" x14ac:dyDescent="0.25">
      <c r="A596" s="115" t="s">
        <v>3879</v>
      </c>
      <c r="B596" s="112">
        <v>12079</v>
      </c>
      <c r="C596" s="113"/>
      <c r="D596" s="116">
        <v>51</v>
      </c>
      <c r="E596" s="117"/>
      <c r="H596">
        <v>633</v>
      </c>
      <c r="I596" s="99">
        <f t="shared" si="9"/>
        <v>51</v>
      </c>
    </row>
    <row r="597" spans="1:9" ht="14.45" customHeight="1" x14ac:dyDescent="0.25">
      <c r="A597" s="115" t="s">
        <v>3880</v>
      </c>
      <c r="B597" s="112">
        <v>12078</v>
      </c>
      <c r="C597" s="113"/>
      <c r="D597" s="116">
        <v>60</v>
      </c>
      <c r="E597" s="117"/>
      <c r="H597">
        <v>634</v>
      </c>
      <c r="I597" s="99">
        <f t="shared" si="9"/>
        <v>60</v>
      </c>
    </row>
    <row r="598" spans="1:9" ht="14.45" customHeight="1" x14ac:dyDescent="0.25">
      <c r="A598" s="115" t="s">
        <v>3644</v>
      </c>
      <c r="B598" s="112">
        <v>7885</v>
      </c>
      <c r="C598" s="113"/>
      <c r="D598" s="116">
        <v>59</v>
      </c>
      <c r="E598" s="117"/>
      <c r="H598">
        <v>462</v>
      </c>
      <c r="I598" s="99">
        <f t="shared" si="9"/>
        <v>59</v>
      </c>
    </row>
    <row r="599" spans="1:9" ht="14.45" customHeight="1" x14ac:dyDescent="0.25">
      <c r="A599" s="115" t="s">
        <v>3498</v>
      </c>
      <c r="B599" s="112">
        <v>11739.5</v>
      </c>
      <c r="C599" s="113"/>
      <c r="D599" s="116">
        <v>60</v>
      </c>
      <c r="E599" s="117"/>
      <c r="H599">
        <v>384</v>
      </c>
      <c r="I599" s="99">
        <f t="shared" si="9"/>
        <v>60</v>
      </c>
    </row>
    <row r="600" spans="1:9" ht="14.45" customHeight="1" x14ac:dyDescent="0.25">
      <c r="A600" s="115" t="s">
        <v>3499</v>
      </c>
      <c r="B600" s="112">
        <v>11977.4</v>
      </c>
      <c r="C600" s="113"/>
      <c r="D600" s="116">
        <v>62</v>
      </c>
      <c r="E600" s="117"/>
      <c r="H600">
        <v>394</v>
      </c>
      <c r="I600" s="99">
        <f t="shared" si="9"/>
        <v>62</v>
      </c>
    </row>
    <row r="601" spans="1:9" ht="14.45" customHeight="1" x14ac:dyDescent="0.25">
      <c r="A601" s="453" t="s">
        <v>3273</v>
      </c>
      <c r="B601" s="450">
        <v>82749.2</v>
      </c>
      <c r="C601" s="451"/>
      <c r="D601" s="454"/>
      <c r="E601" s="469"/>
      <c r="I601" s="99"/>
    </row>
    <row r="602" spans="1:9" ht="14.45" customHeight="1" x14ac:dyDescent="0.25">
      <c r="A602" s="453" t="s">
        <v>102</v>
      </c>
      <c r="B602" s="450">
        <v>82749.2</v>
      </c>
      <c r="C602" s="451"/>
      <c r="D602" s="454">
        <v>76.2</v>
      </c>
      <c r="E602" s="469"/>
      <c r="I602" s="99"/>
    </row>
    <row r="603" spans="1:9" ht="14.45" customHeight="1" x14ac:dyDescent="0.25">
      <c r="A603" s="115" t="s">
        <v>3675</v>
      </c>
      <c r="B603" s="112">
        <v>12644.2</v>
      </c>
      <c r="C603" s="113"/>
      <c r="D603" s="116">
        <v>74</v>
      </c>
      <c r="E603" s="117"/>
      <c r="H603">
        <v>491</v>
      </c>
      <c r="I603" s="99">
        <f t="shared" si="9"/>
        <v>74</v>
      </c>
    </row>
    <row r="604" spans="1:9" ht="14.45" customHeight="1" x14ac:dyDescent="0.25">
      <c r="A604" s="115" t="s">
        <v>3713</v>
      </c>
      <c r="B604" s="112">
        <v>14544.5</v>
      </c>
      <c r="C604" s="113"/>
      <c r="D604" s="116">
        <v>77</v>
      </c>
      <c r="E604" s="117"/>
      <c r="H604">
        <v>504</v>
      </c>
      <c r="I604" s="99">
        <f t="shared" si="9"/>
        <v>77</v>
      </c>
    </row>
    <row r="605" spans="1:9" ht="14.45" customHeight="1" x14ac:dyDescent="0.25">
      <c r="A605" s="115" t="s">
        <v>3710</v>
      </c>
      <c r="B605" s="112">
        <v>14439.6</v>
      </c>
      <c r="C605" s="113"/>
      <c r="D605" s="116">
        <v>75</v>
      </c>
      <c r="E605" s="117"/>
      <c r="H605">
        <v>501</v>
      </c>
      <c r="I605" s="99">
        <f t="shared" si="9"/>
        <v>75</v>
      </c>
    </row>
    <row r="606" spans="1:9" ht="14.45" customHeight="1" x14ac:dyDescent="0.25">
      <c r="A606" s="115" t="s">
        <v>3676</v>
      </c>
      <c r="B606" s="112">
        <v>12080.7</v>
      </c>
      <c r="C606" s="113"/>
      <c r="D606" s="116">
        <v>74</v>
      </c>
      <c r="E606" s="117"/>
      <c r="H606">
        <v>492</v>
      </c>
      <c r="I606" s="99">
        <f t="shared" si="9"/>
        <v>74</v>
      </c>
    </row>
    <row r="607" spans="1:9" ht="14.45" customHeight="1" x14ac:dyDescent="0.25">
      <c r="A607" s="115" t="s">
        <v>3714</v>
      </c>
      <c r="B607" s="112">
        <v>14430.1</v>
      </c>
      <c r="C607" s="113"/>
      <c r="D607" s="116">
        <v>77</v>
      </c>
      <c r="E607" s="117"/>
      <c r="H607">
        <v>505</v>
      </c>
      <c r="I607" s="99">
        <f t="shared" si="9"/>
        <v>77</v>
      </c>
    </row>
    <row r="608" spans="1:9" ht="14.45" customHeight="1" x14ac:dyDescent="0.25">
      <c r="A608" s="115" t="s">
        <v>3715</v>
      </c>
      <c r="B608" s="112">
        <v>14610.1</v>
      </c>
      <c r="C608" s="113"/>
      <c r="D608" s="116">
        <v>80</v>
      </c>
      <c r="E608" s="117"/>
      <c r="H608">
        <v>506</v>
      </c>
      <c r="I608" s="99">
        <f t="shared" si="9"/>
        <v>80</v>
      </c>
    </row>
    <row r="609" spans="1:9" ht="14.45" customHeight="1" x14ac:dyDescent="0.25">
      <c r="A609" s="453" t="s">
        <v>3375</v>
      </c>
      <c r="B609" s="450">
        <v>2075.6999999999998</v>
      </c>
      <c r="C609" s="451"/>
      <c r="D609" s="454"/>
      <c r="E609" s="469"/>
      <c r="I609" s="99"/>
    </row>
    <row r="610" spans="1:9" ht="14.45" customHeight="1" x14ac:dyDescent="0.25">
      <c r="A610" s="453" t="s">
        <v>2940</v>
      </c>
      <c r="B610" s="450">
        <v>692042.1</v>
      </c>
      <c r="C610" s="451"/>
      <c r="D610" s="454"/>
      <c r="E610" s="469"/>
      <c r="I610" s="99"/>
    </row>
    <row r="611" spans="1:9" ht="14.45" customHeight="1" x14ac:dyDescent="0.25">
      <c r="A611" s="453" t="s">
        <v>102</v>
      </c>
      <c r="B611" s="450">
        <v>692042.1</v>
      </c>
      <c r="C611" s="451"/>
      <c r="D611" s="454">
        <v>55.9</v>
      </c>
      <c r="E611" s="469"/>
      <c r="I611" s="99"/>
    </row>
    <row r="612" spans="1:9" ht="14.45" customHeight="1" x14ac:dyDescent="0.25">
      <c r="A612" s="115" t="s">
        <v>3850</v>
      </c>
      <c r="B612" s="112">
        <v>10192.5</v>
      </c>
      <c r="C612" s="113"/>
      <c r="D612" s="116">
        <v>59</v>
      </c>
      <c r="E612" s="117"/>
      <c r="H612">
        <v>605</v>
      </c>
      <c r="I612" s="99">
        <f t="shared" si="9"/>
        <v>59</v>
      </c>
    </row>
    <row r="613" spans="1:9" ht="14.45" customHeight="1" x14ac:dyDescent="0.25">
      <c r="A613" s="115" t="s">
        <v>3437</v>
      </c>
      <c r="B613" s="112">
        <v>3878.5</v>
      </c>
      <c r="C613" s="113"/>
      <c r="D613" s="116">
        <v>42</v>
      </c>
      <c r="E613" s="117"/>
      <c r="H613">
        <v>346</v>
      </c>
      <c r="I613" s="99">
        <f t="shared" si="9"/>
        <v>42</v>
      </c>
    </row>
    <row r="614" spans="1:9" ht="14.45" customHeight="1" x14ac:dyDescent="0.25">
      <c r="A614" s="115" t="s">
        <v>3939</v>
      </c>
      <c r="B614" s="112">
        <v>3991.1</v>
      </c>
      <c r="C614" s="113"/>
      <c r="D614" s="116">
        <v>59</v>
      </c>
      <c r="E614" s="117"/>
      <c r="H614">
        <v>649</v>
      </c>
      <c r="I614" s="99">
        <f t="shared" si="9"/>
        <v>59</v>
      </c>
    </row>
    <row r="615" spans="1:9" ht="14.45" customHeight="1" x14ac:dyDescent="0.25">
      <c r="A615" s="115" t="s">
        <v>3604</v>
      </c>
      <c r="B615" s="112">
        <v>8199.2999999999993</v>
      </c>
      <c r="C615" s="113"/>
      <c r="D615" s="116">
        <v>60</v>
      </c>
      <c r="E615" s="117"/>
      <c r="H615">
        <v>441</v>
      </c>
      <c r="I615" s="99">
        <f t="shared" si="9"/>
        <v>60</v>
      </c>
    </row>
    <row r="616" spans="1:9" ht="14.45" customHeight="1" x14ac:dyDescent="0.25">
      <c r="A616" s="115" t="s">
        <v>3438</v>
      </c>
      <c r="B616" s="112">
        <v>4197.6000000000004</v>
      </c>
      <c r="C616" s="113"/>
      <c r="D616" s="116">
        <v>55</v>
      </c>
      <c r="E616" s="117"/>
      <c r="H616">
        <v>403</v>
      </c>
      <c r="I616" s="99">
        <f t="shared" si="9"/>
        <v>55</v>
      </c>
    </row>
    <row r="617" spans="1:9" ht="14.45" customHeight="1" x14ac:dyDescent="0.25">
      <c r="A617" s="115" t="s">
        <v>3808</v>
      </c>
      <c r="B617" s="112">
        <v>4108.3999999999996</v>
      </c>
      <c r="C617" s="113"/>
      <c r="D617" s="116">
        <v>55</v>
      </c>
      <c r="E617" s="117"/>
      <c r="H617">
        <v>546</v>
      </c>
      <c r="I617" s="99">
        <f t="shared" si="9"/>
        <v>55</v>
      </c>
    </row>
    <row r="618" spans="1:9" ht="14.45" customHeight="1" x14ac:dyDescent="0.25">
      <c r="A618" s="115" t="s">
        <v>3881</v>
      </c>
      <c r="B618" s="112">
        <v>11103.3</v>
      </c>
      <c r="C618" s="113"/>
      <c r="D618" s="116">
        <v>50</v>
      </c>
      <c r="E618" s="117"/>
      <c r="H618">
        <v>621</v>
      </c>
      <c r="I618" s="99">
        <f t="shared" si="9"/>
        <v>50</v>
      </c>
    </row>
    <row r="619" spans="1:9" ht="14.45" customHeight="1" x14ac:dyDescent="0.25">
      <c r="A619" s="115" t="s">
        <v>4042</v>
      </c>
      <c r="B619" s="112">
        <v>10316.9</v>
      </c>
      <c r="C619" s="113"/>
      <c r="D619" s="116">
        <v>61</v>
      </c>
      <c r="E619" s="117"/>
      <c r="H619">
        <v>719</v>
      </c>
      <c r="I619" s="99">
        <f t="shared" si="9"/>
        <v>61</v>
      </c>
    </row>
    <row r="620" spans="1:9" ht="14.45" customHeight="1" x14ac:dyDescent="0.25">
      <c r="A620" s="115" t="s">
        <v>3940</v>
      </c>
      <c r="B620" s="112">
        <v>4090.6</v>
      </c>
      <c r="C620" s="113"/>
      <c r="D620" s="116">
        <v>56</v>
      </c>
      <c r="E620" s="117"/>
      <c r="H620">
        <v>643</v>
      </c>
      <c r="I620" s="99">
        <f t="shared" si="9"/>
        <v>56</v>
      </c>
    </row>
    <row r="621" spans="1:9" ht="14.45" customHeight="1" x14ac:dyDescent="0.25">
      <c r="A621" s="115" t="s">
        <v>3836</v>
      </c>
      <c r="B621" s="112">
        <v>11422.8</v>
      </c>
      <c r="C621" s="113"/>
      <c r="D621" s="116">
        <v>56</v>
      </c>
      <c r="E621" s="117"/>
      <c r="H621">
        <v>601</v>
      </c>
      <c r="I621" s="99">
        <f t="shared" si="9"/>
        <v>56</v>
      </c>
    </row>
    <row r="622" spans="1:9" ht="14.45" customHeight="1" x14ac:dyDescent="0.25">
      <c r="A622" s="115" t="s">
        <v>3439</v>
      </c>
      <c r="B622" s="112">
        <v>3927.1</v>
      </c>
      <c r="C622" s="113"/>
      <c r="D622" s="116">
        <v>51</v>
      </c>
      <c r="E622" s="117"/>
      <c r="H622">
        <v>368</v>
      </c>
      <c r="I622" s="99">
        <f t="shared" si="9"/>
        <v>51</v>
      </c>
    </row>
    <row r="623" spans="1:9" ht="14.45" customHeight="1" x14ac:dyDescent="0.25">
      <c r="A623" s="115" t="s">
        <v>3823</v>
      </c>
      <c r="B623" s="112">
        <v>10601.9</v>
      </c>
      <c r="C623" s="113"/>
      <c r="D623" s="116">
        <v>59</v>
      </c>
      <c r="E623" s="117"/>
      <c r="H623">
        <v>587</v>
      </c>
      <c r="I623" s="99">
        <f t="shared" si="9"/>
        <v>59</v>
      </c>
    </row>
    <row r="624" spans="1:9" ht="14.45" customHeight="1" x14ac:dyDescent="0.25">
      <c r="A624" s="115" t="s">
        <v>3809</v>
      </c>
      <c r="B624" s="112">
        <v>7587</v>
      </c>
      <c r="C624" s="113"/>
      <c r="D624" s="116">
        <v>57</v>
      </c>
      <c r="E624" s="117"/>
      <c r="H624">
        <v>559</v>
      </c>
      <c r="I624" s="99">
        <f t="shared" si="9"/>
        <v>57</v>
      </c>
    </row>
    <row r="625" spans="1:9" ht="14.45" customHeight="1" x14ac:dyDescent="0.25">
      <c r="A625" s="115" t="s">
        <v>3810</v>
      </c>
      <c r="B625" s="112">
        <v>7231.4</v>
      </c>
      <c r="C625" s="113"/>
      <c r="D625" s="116">
        <v>59</v>
      </c>
      <c r="E625" s="117"/>
      <c r="H625">
        <v>565</v>
      </c>
      <c r="I625" s="99">
        <f t="shared" si="9"/>
        <v>59</v>
      </c>
    </row>
    <row r="626" spans="1:9" ht="14.45" customHeight="1" x14ac:dyDescent="0.25">
      <c r="A626" s="115" t="s">
        <v>3830</v>
      </c>
      <c r="B626" s="112">
        <v>10152.5</v>
      </c>
      <c r="C626" s="113"/>
      <c r="D626" s="116">
        <v>55</v>
      </c>
      <c r="E626" s="117"/>
      <c r="H626">
        <v>589</v>
      </c>
      <c r="I626" s="99">
        <f t="shared" si="9"/>
        <v>55</v>
      </c>
    </row>
    <row r="627" spans="1:9" ht="14.45" customHeight="1" x14ac:dyDescent="0.25">
      <c r="A627" s="115" t="s">
        <v>3607</v>
      </c>
      <c r="B627" s="112">
        <v>15698.3</v>
      </c>
      <c r="C627" s="113"/>
      <c r="D627" s="116">
        <v>61</v>
      </c>
      <c r="E627" s="117"/>
      <c r="H627">
        <v>447</v>
      </c>
      <c r="I627" s="99">
        <f t="shared" si="9"/>
        <v>61</v>
      </c>
    </row>
    <row r="628" spans="1:9" ht="14.45" customHeight="1" x14ac:dyDescent="0.25">
      <c r="A628" s="115" t="s">
        <v>3941</v>
      </c>
      <c r="B628" s="112">
        <v>11532.6</v>
      </c>
      <c r="C628" s="113"/>
      <c r="D628" s="116">
        <v>58</v>
      </c>
      <c r="E628" s="117"/>
      <c r="H628">
        <v>684</v>
      </c>
      <c r="I628" s="99">
        <f t="shared" si="9"/>
        <v>58</v>
      </c>
    </row>
    <row r="629" spans="1:9" ht="14.45" customHeight="1" x14ac:dyDescent="0.25">
      <c r="A629" s="115" t="s">
        <v>3578</v>
      </c>
      <c r="B629" s="112">
        <v>3861.7</v>
      </c>
      <c r="C629" s="113"/>
      <c r="D629" s="116">
        <v>59</v>
      </c>
      <c r="E629" s="117"/>
      <c r="H629">
        <v>417</v>
      </c>
      <c r="I629" s="99">
        <f t="shared" si="9"/>
        <v>59</v>
      </c>
    </row>
    <row r="630" spans="1:9" ht="14.45" customHeight="1" x14ac:dyDescent="0.25">
      <c r="A630" s="115" t="s">
        <v>3440</v>
      </c>
      <c r="B630" s="112">
        <v>9636.1</v>
      </c>
      <c r="C630" s="113"/>
      <c r="D630" s="116">
        <v>53</v>
      </c>
      <c r="E630" s="117"/>
      <c r="H630">
        <v>408</v>
      </c>
      <c r="I630" s="99">
        <f t="shared" si="9"/>
        <v>53</v>
      </c>
    </row>
    <row r="631" spans="1:9" ht="14.45" customHeight="1" x14ac:dyDescent="0.25">
      <c r="A631" s="115" t="s">
        <v>3882</v>
      </c>
      <c r="B631" s="112">
        <v>11043.3</v>
      </c>
      <c r="C631" s="113"/>
      <c r="D631" s="116">
        <v>53</v>
      </c>
      <c r="E631" s="117"/>
      <c r="H631">
        <v>623</v>
      </c>
      <c r="I631" s="99">
        <f t="shared" si="9"/>
        <v>53</v>
      </c>
    </row>
    <row r="632" spans="1:9" ht="14.45" customHeight="1" x14ac:dyDescent="0.25">
      <c r="A632" s="115" t="s">
        <v>3811</v>
      </c>
      <c r="B632" s="112">
        <v>12515</v>
      </c>
      <c r="C632" s="113"/>
      <c r="D632" s="116">
        <v>60</v>
      </c>
      <c r="E632" s="117"/>
      <c r="H632">
        <v>579</v>
      </c>
      <c r="I632" s="99">
        <f t="shared" si="9"/>
        <v>60</v>
      </c>
    </row>
    <row r="633" spans="1:9" ht="14.45" customHeight="1" x14ac:dyDescent="0.25">
      <c r="A633" s="115" t="s">
        <v>3883</v>
      </c>
      <c r="B633" s="112">
        <v>11610.3</v>
      </c>
      <c r="C633" s="113"/>
      <c r="D633" s="116">
        <v>50</v>
      </c>
      <c r="E633" s="117"/>
      <c r="H633">
        <v>637</v>
      </c>
      <c r="I633" s="99">
        <f t="shared" si="9"/>
        <v>50</v>
      </c>
    </row>
    <row r="634" spans="1:9" ht="14.45" customHeight="1" x14ac:dyDescent="0.25">
      <c r="A634" s="115" t="s">
        <v>3441</v>
      </c>
      <c r="B634" s="112">
        <v>7997.5</v>
      </c>
      <c r="C634" s="113"/>
      <c r="D634" s="116">
        <v>57</v>
      </c>
      <c r="E634" s="117"/>
      <c r="H634">
        <v>401</v>
      </c>
      <c r="I634" s="99">
        <f t="shared" si="9"/>
        <v>57</v>
      </c>
    </row>
    <row r="635" spans="1:9" ht="14.45" customHeight="1" x14ac:dyDescent="0.25">
      <c r="A635" s="115" t="s">
        <v>3833</v>
      </c>
      <c r="B635" s="112">
        <v>11052.6</v>
      </c>
      <c r="C635" s="113"/>
      <c r="D635" s="116">
        <v>57</v>
      </c>
      <c r="E635" s="117"/>
      <c r="H635">
        <v>593</v>
      </c>
      <c r="I635" s="99">
        <f t="shared" si="9"/>
        <v>57</v>
      </c>
    </row>
    <row r="636" spans="1:9" ht="14.45" customHeight="1" x14ac:dyDescent="0.25">
      <c r="A636" s="115" t="s">
        <v>3442</v>
      </c>
      <c r="B636" s="112">
        <v>3726</v>
      </c>
      <c r="C636" s="113"/>
      <c r="D636" s="116">
        <v>47</v>
      </c>
      <c r="E636" s="117"/>
      <c r="H636">
        <v>387</v>
      </c>
      <c r="I636" s="99">
        <f t="shared" si="9"/>
        <v>47</v>
      </c>
    </row>
    <row r="637" spans="1:9" ht="14.45" customHeight="1" x14ac:dyDescent="0.25">
      <c r="A637" s="115" t="s">
        <v>3443</v>
      </c>
      <c r="B637" s="112">
        <v>8234</v>
      </c>
      <c r="C637" s="113"/>
      <c r="D637" s="116">
        <v>52</v>
      </c>
      <c r="E637" s="117"/>
      <c r="H637">
        <v>391</v>
      </c>
      <c r="I637" s="99">
        <f t="shared" si="9"/>
        <v>52</v>
      </c>
    </row>
    <row r="638" spans="1:9" ht="14.45" customHeight="1" x14ac:dyDescent="0.25">
      <c r="A638" s="115" t="s">
        <v>3444</v>
      </c>
      <c r="B638" s="112">
        <v>4026.8</v>
      </c>
      <c r="C638" s="113"/>
      <c r="D638" s="116">
        <v>58</v>
      </c>
      <c r="E638" s="117"/>
      <c r="H638">
        <v>411</v>
      </c>
      <c r="I638" s="99">
        <f t="shared" si="9"/>
        <v>58</v>
      </c>
    </row>
    <row r="639" spans="1:9" ht="14.45" customHeight="1" x14ac:dyDescent="0.25">
      <c r="A639" s="115" t="s">
        <v>3585</v>
      </c>
      <c r="B639" s="112">
        <v>3946.2</v>
      </c>
      <c r="C639" s="113"/>
      <c r="D639" s="116">
        <v>56</v>
      </c>
      <c r="E639" s="117"/>
      <c r="H639">
        <v>424</v>
      </c>
      <c r="I639" s="99">
        <f t="shared" si="9"/>
        <v>56</v>
      </c>
    </row>
    <row r="640" spans="1:9" ht="14.45" customHeight="1" x14ac:dyDescent="0.25">
      <c r="A640" s="115" t="s">
        <v>3588</v>
      </c>
      <c r="B640" s="112">
        <v>8179.1</v>
      </c>
      <c r="C640" s="113"/>
      <c r="D640" s="116">
        <v>62</v>
      </c>
      <c r="E640" s="117"/>
      <c r="H640">
        <v>427</v>
      </c>
      <c r="I640" s="99">
        <f t="shared" si="9"/>
        <v>62</v>
      </c>
    </row>
    <row r="641" spans="1:9" ht="14.45" customHeight="1" x14ac:dyDescent="0.25">
      <c r="A641" s="115" t="s">
        <v>3445</v>
      </c>
      <c r="B641" s="112">
        <v>3895.8</v>
      </c>
      <c r="C641" s="113"/>
      <c r="D641" s="116">
        <v>54</v>
      </c>
      <c r="E641" s="117"/>
      <c r="H641">
        <v>397</v>
      </c>
      <c r="I641" s="99">
        <f t="shared" si="9"/>
        <v>54</v>
      </c>
    </row>
    <row r="642" spans="1:9" ht="14.45" customHeight="1" x14ac:dyDescent="0.25">
      <c r="A642" s="115" t="s">
        <v>3446</v>
      </c>
      <c r="B642" s="112">
        <v>11369.2</v>
      </c>
      <c r="C642" s="113"/>
      <c r="D642" s="116">
        <v>53</v>
      </c>
      <c r="E642" s="117"/>
      <c r="H642">
        <v>359</v>
      </c>
      <c r="I642" s="99">
        <f t="shared" si="9"/>
        <v>53</v>
      </c>
    </row>
    <row r="643" spans="1:9" ht="14.45" customHeight="1" x14ac:dyDescent="0.25">
      <c r="A643" s="115" t="s">
        <v>3447</v>
      </c>
      <c r="B643" s="112">
        <v>12148.5</v>
      </c>
      <c r="C643" s="113"/>
      <c r="D643" s="116">
        <v>53</v>
      </c>
      <c r="E643" s="117"/>
      <c r="H643">
        <v>361</v>
      </c>
      <c r="I643" s="99">
        <f t="shared" si="9"/>
        <v>53</v>
      </c>
    </row>
    <row r="644" spans="1:9" ht="14.45" customHeight="1" x14ac:dyDescent="0.25">
      <c r="A644" s="115" t="s">
        <v>3594</v>
      </c>
      <c r="B644" s="112">
        <v>4309.6000000000004</v>
      </c>
      <c r="C644" s="113"/>
      <c r="D644" s="116">
        <v>59</v>
      </c>
      <c r="E644" s="117"/>
      <c r="H644">
        <v>438</v>
      </c>
      <c r="I644" s="99">
        <f t="shared" si="9"/>
        <v>59</v>
      </c>
    </row>
    <row r="645" spans="1:9" ht="14.45" customHeight="1" x14ac:dyDescent="0.25">
      <c r="A645" s="115" t="s">
        <v>3606</v>
      </c>
      <c r="B645" s="112">
        <v>8023.8</v>
      </c>
      <c r="C645" s="113"/>
      <c r="D645" s="116">
        <v>62</v>
      </c>
      <c r="E645" s="117"/>
      <c r="H645">
        <v>443</v>
      </c>
      <c r="I645" s="99">
        <f t="shared" si="9"/>
        <v>62</v>
      </c>
    </row>
    <row r="646" spans="1:9" ht="14.45" customHeight="1" x14ac:dyDescent="0.25">
      <c r="A646" s="115" t="s">
        <v>3812</v>
      </c>
      <c r="B646" s="112">
        <v>7310.1</v>
      </c>
      <c r="C646" s="113"/>
      <c r="D646" s="116">
        <v>53</v>
      </c>
      <c r="E646" s="117"/>
      <c r="H646">
        <v>563</v>
      </c>
      <c r="I646" s="99">
        <f t="shared" si="9"/>
        <v>53</v>
      </c>
    </row>
    <row r="647" spans="1:9" ht="14.45" customHeight="1" x14ac:dyDescent="0.25">
      <c r="A647" s="115" t="s">
        <v>3813</v>
      </c>
      <c r="B647" s="112">
        <v>5727</v>
      </c>
      <c r="C647" s="113"/>
      <c r="D647" s="116">
        <v>59</v>
      </c>
      <c r="E647" s="117"/>
      <c r="H647">
        <v>576</v>
      </c>
      <c r="I647" s="99">
        <f t="shared" si="9"/>
        <v>59</v>
      </c>
    </row>
    <row r="648" spans="1:9" ht="14.45" customHeight="1" x14ac:dyDescent="0.25">
      <c r="A648" s="115" t="s">
        <v>3851</v>
      </c>
      <c r="B648" s="112">
        <v>12510</v>
      </c>
      <c r="C648" s="113"/>
      <c r="D648" s="116">
        <v>62</v>
      </c>
      <c r="E648" s="117"/>
      <c r="H648">
        <v>592</v>
      </c>
      <c r="I648" s="99">
        <f t="shared" si="9"/>
        <v>62</v>
      </c>
    </row>
    <row r="649" spans="1:9" ht="14.45" customHeight="1" x14ac:dyDescent="0.25">
      <c r="A649" s="115" t="s">
        <v>3611</v>
      </c>
      <c r="B649" s="112">
        <v>14855.1</v>
      </c>
      <c r="C649" s="113"/>
      <c r="D649" s="116">
        <v>62</v>
      </c>
      <c r="E649" s="117"/>
      <c r="H649">
        <v>448</v>
      </c>
      <c r="I649" s="99">
        <f t="shared" si="9"/>
        <v>62</v>
      </c>
    </row>
    <row r="650" spans="1:9" ht="14.45" customHeight="1" x14ac:dyDescent="0.25">
      <c r="A650" s="115" t="s">
        <v>3595</v>
      </c>
      <c r="B650" s="112">
        <v>3873.1</v>
      </c>
      <c r="C650" s="113"/>
      <c r="D650" s="116">
        <v>55</v>
      </c>
      <c r="E650" s="117"/>
      <c r="H650">
        <v>435</v>
      </c>
      <c r="I650" s="99">
        <f t="shared" si="9"/>
        <v>55</v>
      </c>
    </row>
    <row r="651" spans="1:9" ht="14.45" customHeight="1" x14ac:dyDescent="0.25">
      <c r="A651" s="115" t="s">
        <v>3353</v>
      </c>
      <c r="B651" s="112">
        <v>10281.6</v>
      </c>
      <c r="C651" s="113"/>
      <c r="D651" s="116">
        <v>61</v>
      </c>
      <c r="E651" s="117"/>
      <c r="H651">
        <v>254</v>
      </c>
      <c r="I651" s="99">
        <f t="shared" si="9"/>
        <v>61</v>
      </c>
    </row>
    <row r="652" spans="1:9" ht="14.45" customHeight="1" x14ac:dyDescent="0.25">
      <c r="A652" s="115" t="s">
        <v>3827</v>
      </c>
      <c r="B652" s="112">
        <v>10260.5</v>
      </c>
      <c r="C652" s="113"/>
      <c r="D652" s="116">
        <v>55</v>
      </c>
      <c r="E652" s="117"/>
      <c r="H652">
        <v>585</v>
      </c>
      <c r="I652" s="99">
        <f t="shared" si="9"/>
        <v>55</v>
      </c>
    </row>
    <row r="653" spans="1:9" ht="14.45" customHeight="1" x14ac:dyDescent="0.25">
      <c r="A653" s="115" t="s">
        <v>3596</v>
      </c>
      <c r="B653" s="112">
        <v>3914.4</v>
      </c>
      <c r="C653" s="113"/>
      <c r="D653" s="116">
        <v>58</v>
      </c>
      <c r="E653" s="117"/>
      <c r="H653">
        <v>437</v>
      </c>
      <c r="I653" s="99">
        <f t="shared" ref="I653:I716" si="10">D653</f>
        <v>58</v>
      </c>
    </row>
    <row r="654" spans="1:9" ht="14.45" customHeight="1" x14ac:dyDescent="0.25">
      <c r="A654" s="115" t="s">
        <v>3942</v>
      </c>
      <c r="B654" s="112">
        <v>13203.5</v>
      </c>
      <c r="C654" s="113"/>
      <c r="D654" s="116">
        <v>59</v>
      </c>
      <c r="E654" s="117"/>
      <c r="H654">
        <v>679</v>
      </c>
      <c r="I654" s="99">
        <f t="shared" si="10"/>
        <v>59</v>
      </c>
    </row>
    <row r="655" spans="1:9" ht="14.45" customHeight="1" x14ac:dyDescent="0.25">
      <c r="A655" s="115" t="s">
        <v>3448</v>
      </c>
      <c r="B655" s="112">
        <v>7644</v>
      </c>
      <c r="C655" s="113"/>
      <c r="D655" s="116">
        <v>56</v>
      </c>
      <c r="E655" s="117"/>
      <c r="H655">
        <v>414</v>
      </c>
      <c r="I655" s="99">
        <f t="shared" si="10"/>
        <v>56</v>
      </c>
    </row>
    <row r="656" spans="1:9" ht="14.45" customHeight="1" x14ac:dyDescent="0.25">
      <c r="A656" s="115" t="s">
        <v>3943</v>
      </c>
      <c r="B656" s="112">
        <v>3892.5</v>
      </c>
      <c r="C656" s="113"/>
      <c r="D656" s="116">
        <v>58</v>
      </c>
      <c r="E656" s="117"/>
      <c r="H656">
        <v>652</v>
      </c>
      <c r="I656" s="99">
        <f t="shared" si="10"/>
        <v>58</v>
      </c>
    </row>
    <row r="657" spans="1:9" ht="14.45" customHeight="1" x14ac:dyDescent="0.25">
      <c r="A657" s="115" t="s">
        <v>3449</v>
      </c>
      <c r="B657" s="112">
        <v>3751.6</v>
      </c>
      <c r="C657" s="113"/>
      <c r="D657" s="116">
        <v>51</v>
      </c>
      <c r="E657" s="117"/>
      <c r="H657">
        <v>366</v>
      </c>
      <c r="I657" s="99">
        <f t="shared" si="10"/>
        <v>51</v>
      </c>
    </row>
    <row r="658" spans="1:9" ht="14.45" customHeight="1" x14ac:dyDescent="0.25">
      <c r="A658" s="115" t="s">
        <v>3450</v>
      </c>
      <c r="B658" s="112">
        <v>7940.7</v>
      </c>
      <c r="C658" s="113"/>
      <c r="D658" s="116">
        <v>53</v>
      </c>
      <c r="E658" s="117"/>
      <c r="H658">
        <v>396</v>
      </c>
      <c r="I658" s="99">
        <f t="shared" si="10"/>
        <v>53</v>
      </c>
    </row>
    <row r="659" spans="1:9" ht="14.45" customHeight="1" x14ac:dyDescent="0.25">
      <c r="A659" s="115" t="s">
        <v>3610</v>
      </c>
      <c r="B659" s="112">
        <v>4108.1000000000004</v>
      </c>
      <c r="C659" s="113"/>
      <c r="D659" s="116">
        <v>63</v>
      </c>
      <c r="E659" s="117"/>
      <c r="H659">
        <v>446</v>
      </c>
      <c r="I659" s="99">
        <f t="shared" si="10"/>
        <v>63</v>
      </c>
    </row>
    <row r="660" spans="1:9" ht="14.45" customHeight="1" x14ac:dyDescent="0.25">
      <c r="A660" s="115" t="s">
        <v>3614</v>
      </c>
      <c r="B660" s="112">
        <v>4053.5</v>
      </c>
      <c r="C660" s="113"/>
      <c r="D660" s="116">
        <v>61</v>
      </c>
      <c r="E660" s="117"/>
      <c r="H660">
        <v>451</v>
      </c>
      <c r="I660" s="99">
        <f t="shared" si="10"/>
        <v>61</v>
      </c>
    </row>
    <row r="661" spans="1:9" ht="14.45" customHeight="1" x14ac:dyDescent="0.25">
      <c r="A661" s="115" t="s">
        <v>3814</v>
      </c>
      <c r="B661" s="112">
        <v>3776.9</v>
      </c>
      <c r="C661" s="113"/>
      <c r="D661" s="116">
        <v>53</v>
      </c>
      <c r="E661" s="117"/>
      <c r="H661">
        <v>560</v>
      </c>
      <c r="I661" s="99">
        <f t="shared" si="10"/>
        <v>53</v>
      </c>
    </row>
    <row r="662" spans="1:9" ht="14.45" customHeight="1" x14ac:dyDescent="0.25">
      <c r="A662" s="115" t="s">
        <v>3884</v>
      </c>
      <c r="B662" s="112">
        <v>11918.9</v>
      </c>
      <c r="C662" s="113"/>
      <c r="D662" s="116">
        <v>59</v>
      </c>
      <c r="E662" s="117"/>
      <c r="H662">
        <v>616</v>
      </c>
      <c r="I662" s="99">
        <f t="shared" si="10"/>
        <v>59</v>
      </c>
    </row>
    <row r="663" spans="1:9" ht="14.45" customHeight="1" x14ac:dyDescent="0.25">
      <c r="A663" s="115" t="s">
        <v>3944</v>
      </c>
      <c r="B663" s="112">
        <v>11777.5</v>
      </c>
      <c r="C663" s="113"/>
      <c r="D663" s="116">
        <v>59</v>
      </c>
      <c r="E663" s="117"/>
      <c r="H663">
        <v>650</v>
      </c>
      <c r="I663" s="99">
        <f t="shared" si="10"/>
        <v>59</v>
      </c>
    </row>
    <row r="664" spans="1:9" ht="14.45" customHeight="1" x14ac:dyDescent="0.25">
      <c r="A664" s="115" t="s">
        <v>3451</v>
      </c>
      <c r="B664" s="112">
        <v>3710.7</v>
      </c>
      <c r="C664" s="113"/>
      <c r="D664" s="116">
        <v>52</v>
      </c>
      <c r="E664" s="117"/>
      <c r="H664">
        <v>358</v>
      </c>
      <c r="I664" s="99">
        <f t="shared" si="10"/>
        <v>52</v>
      </c>
    </row>
    <row r="665" spans="1:9" ht="14.45" customHeight="1" x14ac:dyDescent="0.25">
      <c r="A665" s="115" t="s">
        <v>3815</v>
      </c>
      <c r="B665" s="112">
        <v>7672.6</v>
      </c>
      <c r="C665" s="113"/>
      <c r="D665" s="116">
        <v>54</v>
      </c>
      <c r="E665" s="117"/>
      <c r="H665">
        <v>580</v>
      </c>
      <c r="I665" s="99">
        <f t="shared" si="10"/>
        <v>54</v>
      </c>
    </row>
    <row r="666" spans="1:9" ht="14.45" customHeight="1" x14ac:dyDescent="0.25">
      <c r="A666" s="115" t="s">
        <v>3816</v>
      </c>
      <c r="B666" s="112">
        <v>6431.3</v>
      </c>
      <c r="C666" s="113"/>
      <c r="D666" s="116">
        <v>59</v>
      </c>
      <c r="E666" s="117"/>
      <c r="H666">
        <v>575</v>
      </c>
      <c r="I666" s="99">
        <f t="shared" si="10"/>
        <v>59</v>
      </c>
    </row>
    <row r="667" spans="1:9" ht="14.45" customHeight="1" x14ac:dyDescent="0.25">
      <c r="A667" s="115" t="s">
        <v>3885</v>
      </c>
      <c r="B667" s="112">
        <v>12032.3</v>
      </c>
      <c r="C667" s="113"/>
      <c r="D667" s="116">
        <v>60</v>
      </c>
      <c r="E667" s="117"/>
      <c r="H667">
        <v>618</v>
      </c>
      <c r="I667" s="99">
        <f t="shared" si="10"/>
        <v>60</v>
      </c>
    </row>
    <row r="668" spans="1:9" ht="14.45" customHeight="1" x14ac:dyDescent="0.25">
      <c r="A668" s="115" t="s">
        <v>3634</v>
      </c>
      <c r="B668" s="112">
        <v>12471.4</v>
      </c>
      <c r="C668" s="113"/>
      <c r="D668" s="116">
        <v>62</v>
      </c>
      <c r="E668" s="117"/>
      <c r="H668">
        <v>457</v>
      </c>
      <c r="I668" s="99">
        <f t="shared" si="10"/>
        <v>62</v>
      </c>
    </row>
    <row r="669" spans="1:9" ht="14.45" customHeight="1" x14ac:dyDescent="0.25">
      <c r="A669" s="115" t="s">
        <v>3589</v>
      </c>
      <c r="B669" s="112">
        <v>4013.9</v>
      </c>
      <c r="C669" s="113"/>
      <c r="D669" s="116">
        <v>55</v>
      </c>
      <c r="E669" s="117"/>
      <c r="H669">
        <v>428</v>
      </c>
      <c r="I669" s="99">
        <f t="shared" si="10"/>
        <v>55</v>
      </c>
    </row>
    <row r="670" spans="1:9" ht="14.45" customHeight="1" x14ac:dyDescent="0.25">
      <c r="A670" s="115" t="s">
        <v>3817</v>
      </c>
      <c r="B670" s="112">
        <v>6882.8</v>
      </c>
      <c r="C670" s="113"/>
      <c r="D670" s="116">
        <v>59</v>
      </c>
      <c r="E670" s="117"/>
      <c r="H670">
        <v>554</v>
      </c>
      <c r="I670" s="99">
        <f t="shared" si="10"/>
        <v>59</v>
      </c>
    </row>
    <row r="671" spans="1:9" ht="14.45" customHeight="1" x14ac:dyDescent="0.25">
      <c r="A671" s="115" t="s">
        <v>3452</v>
      </c>
      <c r="B671" s="112">
        <v>4025</v>
      </c>
      <c r="C671" s="113"/>
      <c r="D671" s="116">
        <v>48</v>
      </c>
      <c r="E671" s="117"/>
      <c r="H671">
        <v>392</v>
      </c>
      <c r="I671" s="99">
        <f t="shared" si="10"/>
        <v>48</v>
      </c>
    </row>
    <row r="672" spans="1:9" ht="14.45" customHeight="1" x14ac:dyDescent="0.25">
      <c r="A672" s="115" t="s">
        <v>3453</v>
      </c>
      <c r="B672" s="112">
        <v>4027.5</v>
      </c>
      <c r="C672" s="113"/>
      <c r="D672" s="116">
        <v>54</v>
      </c>
      <c r="E672" s="117"/>
      <c r="H672">
        <v>379</v>
      </c>
      <c r="I672" s="99">
        <f t="shared" si="10"/>
        <v>54</v>
      </c>
    </row>
    <row r="673" spans="1:9" ht="14.45" customHeight="1" x14ac:dyDescent="0.25">
      <c r="A673" s="115" t="s">
        <v>3454</v>
      </c>
      <c r="B673" s="112">
        <v>3352.5</v>
      </c>
      <c r="C673" s="113"/>
      <c r="D673" s="116">
        <v>52</v>
      </c>
      <c r="E673" s="117"/>
      <c r="H673">
        <v>370</v>
      </c>
      <c r="I673" s="99">
        <f t="shared" si="10"/>
        <v>52</v>
      </c>
    </row>
    <row r="674" spans="1:9" ht="14.45" customHeight="1" x14ac:dyDescent="0.25">
      <c r="A674" s="115" t="s">
        <v>3852</v>
      </c>
      <c r="B674" s="112">
        <v>10832.9</v>
      </c>
      <c r="C674" s="113"/>
      <c r="D674" s="116">
        <v>57</v>
      </c>
      <c r="E674" s="117"/>
      <c r="H674">
        <v>604</v>
      </c>
      <c r="I674" s="99">
        <f t="shared" si="10"/>
        <v>57</v>
      </c>
    </row>
    <row r="675" spans="1:9" ht="14.45" customHeight="1" x14ac:dyDescent="0.25">
      <c r="A675" s="115" t="s">
        <v>3455</v>
      </c>
      <c r="B675" s="112">
        <v>1680.2</v>
      </c>
      <c r="C675" s="113"/>
      <c r="D675" s="116">
        <v>47</v>
      </c>
      <c r="E675" s="117"/>
      <c r="H675">
        <v>348</v>
      </c>
      <c r="I675" s="99">
        <f t="shared" si="10"/>
        <v>47</v>
      </c>
    </row>
    <row r="676" spans="1:9" ht="14.45" customHeight="1" x14ac:dyDescent="0.25">
      <c r="A676" s="115" t="s">
        <v>3945</v>
      </c>
      <c r="B676" s="112">
        <v>11257.8</v>
      </c>
      <c r="C676" s="113"/>
      <c r="D676" s="116">
        <v>59</v>
      </c>
      <c r="E676" s="117"/>
      <c r="H676">
        <v>678</v>
      </c>
      <c r="I676" s="99">
        <f t="shared" si="10"/>
        <v>59</v>
      </c>
    </row>
    <row r="677" spans="1:9" ht="14.45" customHeight="1" x14ac:dyDescent="0.25">
      <c r="A677" s="115" t="s">
        <v>3456</v>
      </c>
      <c r="B677" s="112">
        <v>3821.9</v>
      </c>
      <c r="C677" s="113"/>
      <c r="D677" s="116">
        <v>52</v>
      </c>
      <c r="E677" s="117"/>
      <c r="H677">
        <v>375</v>
      </c>
      <c r="I677" s="99">
        <f t="shared" si="10"/>
        <v>52</v>
      </c>
    </row>
    <row r="678" spans="1:9" ht="14.45" customHeight="1" x14ac:dyDescent="0.25">
      <c r="A678" s="115" t="s">
        <v>3700</v>
      </c>
      <c r="B678" s="112">
        <v>3440.8</v>
      </c>
      <c r="C678" s="113"/>
      <c r="D678" s="116">
        <v>59</v>
      </c>
      <c r="E678" s="117"/>
      <c r="H678">
        <v>548</v>
      </c>
      <c r="I678" s="99">
        <f t="shared" si="10"/>
        <v>59</v>
      </c>
    </row>
    <row r="679" spans="1:9" ht="14.45" customHeight="1" x14ac:dyDescent="0.25">
      <c r="A679" s="115" t="s">
        <v>3583</v>
      </c>
      <c r="B679" s="112">
        <v>7490</v>
      </c>
      <c r="C679" s="113"/>
      <c r="D679" s="116">
        <v>57</v>
      </c>
      <c r="E679" s="117"/>
      <c r="H679">
        <v>422</v>
      </c>
      <c r="I679" s="99">
        <f t="shared" si="10"/>
        <v>57</v>
      </c>
    </row>
    <row r="680" spans="1:9" ht="14.45" customHeight="1" x14ac:dyDescent="0.25">
      <c r="A680" s="115" t="s">
        <v>3605</v>
      </c>
      <c r="B680" s="112">
        <v>4071</v>
      </c>
      <c r="C680" s="113"/>
      <c r="D680" s="116">
        <v>61</v>
      </c>
      <c r="E680" s="117"/>
      <c r="H680">
        <v>442</v>
      </c>
      <c r="I680" s="99">
        <f t="shared" si="10"/>
        <v>61</v>
      </c>
    </row>
    <row r="681" spans="1:9" ht="14.45" customHeight="1" x14ac:dyDescent="0.25">
      <c r="A681" s="115" t="s">
        <v>3886</v>
      </c>
      <c r="B681" s="112">
        <v>8043.2</v>
      </c>
      <c r="C681" s="113"/>
      <c r="D681" s="116">
        <v>52</v>
      </c>
      <c r="E681" s="117"/>
      <c r="H681">
        <v>639</v>
      </c>
      <c r="I681" s="99">
        <f t="shared" si="10"/>
        <v>52</v>
      </c>
    </row>
    <row r="682" spans="1:9" ht="14.45" customHeight="1" x14ac:dyDescent="0.25">
      <c r="A682" s="115" t="s">
        <v>3818</v>
      </c>
      <c r="B682" s="112">
        <v>3382.3</v>
      </c>
      <c r="C682" s="113"/>
      <c r="D682" s="116">
        <v>55</v>
      </c>
      <c r="E682" s="117"/>
      <c r="H682">
        <v>556</v>
      </c>
      <c r="I682" s="99">
        <f t="shared" si="10"/>
        <v>55</v>
      </c>
    </row>
    <row r="683" spans="1:9" ht="14.45" customHeight="1" x14ac:dyDescent="0.25">
      <c r="A683" s="115" t="s">
        <v>3580</v>
      </c>
      <c r="B683" s="112">
        <v>8108.7</v>
      </c>
      <c r="C683" s="113"/>
      <c r="D683" s="116">
        <v>61</v>
      </c>
      <c r="E683" s="117"/>
      <c r="H683">
        <v>419</v>
      </c>
      <c r="I683" s="99">
        <f t="shared" si="10"/>
        <v>61</v>
      </c>
    </row>
    <row r="684" spans="1:9" ht="14.45" customHeight="1" x14ac:dyDescent="0.25">
      <c r="A684" s="115" t="s">
        <v>3946</v>
      </c>
      <c r="B684" s="112">
        <v>5836.3</v>
      </c>
      <c r="C684" s="113"/>
      <c r="D684" s="116">
        <v>58</v>
      </c>
      <c r="E684" s="117"/>
      <c r="H684">
        <v>656</v>
      </c>
      <c r="I684" s="99">
        <f t="shared" si="10"/>
        <v>58</v>
      </c>
    </row>
    <row r="685" spans="1:9" ht="14.45" customHeight="1" x14ac:dyDescent="0.25">
      <c r="A685" s="115" t="s">
        <v>3887</v>
      </c>
      <c r="B685" s="112">
        <v>11288.3</v>
      </c>
      <c r="C685" s="113"/>
      <c r="D685" s="116">
        <v>51</v>
      </c>
      <c r="E685" s="117"/>
      <c r="H685">
        <v>627</v>
      </c>
      <c r="I685" s="99">
        <f t="shared" si="10"/>
        <v>51</v>
      </c>
    </row>
    <row r="686" spans="1:9" ht="14.45" customHeight="1" x14ac:dyDescent="0.25">
      <c r="A686" s="115" t="s">
        <v>3609</v>
      </c>
      <c r="B686" s="112">
        <v>11840.9</v>
      </c>
      <c r="C686" s="113"/>
      <c r="D686" s="116">
        <v>59</v>
      </c>
      <c r="E686" s="117"/>
      <c r="H686">
        <v>445</v>
      </c>
      <c r="I686" s="99">
        <f t="shared" si="10"/>
        <v>59</v>
      </c>
    </row>
    <row r="687" spans="1:9" ht="14.45" customHeight="1" x14ac:dyDescent="0.25">
      <c r="A687" s="115" t="s">
        <v>3457</v>
      </c>
      <c r="B687" s="112">
        <v>11314.3</v>
      </c>
      <c r="C687" s="113"/>
      <c r="D687" s="116">
        <v>51</v>
      </c>
      <c r="E687" s="117"/>
      <c r="H687">
        <v>365</v>
      </c>
      <c r="I687" s="99">
        <f t="shared" si="10"/>
        <v>51</v>
      </c>
    </row>
    <row r="688" spans="1:9" ht="14.45" customHeight="1" x14ac:dyDescent="0.25">
      <c r="A688" s="115" t="s">
        <v>3458</v>
      </c>
      <c r="B688" s="112">
        <v>12040.8</v>
      </c>
      <c r="C688" s="113"/>
      <c r="D688" s="116">
        <v>57</v>
      </c>
      <c r="E688" s="117"/>
      <c r="H688">
        <v>363</v>
      </c>
      <c r="I688" s="99">
        <f t="shared" si="10"/>
        <v>57</v>
      </c>
    </row>
    <row r="689" spans="1:9" ht="14.45" customHeight="1" x14ac:dyDescent="0.25">
      <c r="A689" s="115" t="s">
        <v>3459</v>
      </c>
      <c r="B689" s="112">
        <v>8090.7</v>
      </c>
      <c r="C689" s="113"/>
      <c r="D689" s="116">
        <v>51</v>
      </c>
      <c r="E689" s="117"/>
      <c r="H689">
        <v>372</v>
      </c>
      <c r="I689" s="99">
        <f t="shared" si="10"/>
        <v>51</v>
      </c>
    </row>
    <row r="690" spans="1:9" ht="14.45" customHeight="1" x14ac:dyDescent="0.25">
      <c r="A690" s="115" t="s">
        <v>3460</v>
      </c>
      <c r="B690" s="112">
        <v>7932.1</v>
      </c>
      <c r="C690" s="113"/>
      <c r="D690" s="116">
        <v>52</v>
      </c>
      <c r="E690" s="117"/>
      <c r="H690">
        <v>385</v>
      </c>
      <c r="I690" s="99">
        <f t="shared" si="10"/>
        <v>52</v>
      </c>
    </row>
    <row r="691" spans="1:9" ht="14.45" customHeight="1" x14ac:dyDescent="0.25">
      <c r="A691" s="115" t="s">
        <v>3888</v>
      </c>
      <c r="B691" s="112">
        <v>12508.1</v>
      </c>
      <c r="C691" s="113"/>
      <c r="D691" s="116">
        <v>55</v>
      </c>
      <c r="E691" s="117"/>
      <c r="H691">
        <v>641</v>
      </c>
      <c r="I691" s="99">
        <f t="shared" si="10"/>
        <v>55</v>
      </c>
    </row>
    <row r="692" spans="1:9" ht="14.45" customHeight="1" x14ac:dyDescent="0.25">
      <c r="A692" s="115" t="s">
        <v>3581</v>
      </c>
      <c r="B692" s="112">
        <v>4054.4</v>
      </c>
      <c r="C692" s="113"/>
      <c r="D692" s="116">
        <v>60</v>
      </c>
      <c r="E692" s="117"/>
      <c r="H692">
        <v>420</v>
      </c>
      <c r="I692" s="99">
        <f t="shared" si="10"/>
        <v>60</v>
      </c>
    </row>
    <row r="693" spans="1:9" ht="14.45" customHeight="1" x14ac:dyDescent="0.25">
      <c r="A693" s="115" t="s">
        <v>3461</v>
      </c>
      <c r="B693" s="112">
        <v>3574.2</v>
      </c>
      <c r="C693" s="113"/>
      <c r="D693" s="116">
        <v>55</v>
      </c>
      <c r="E693" s="117"/>
      <c r="H693">
        <v>376</v>
      </c>
      <c r="I693" s="99">
        <f t="shared" si="10"/>
        <v>55</v>
      </c>
    </row>
    <row r="694" spans="1:9" ht="14.45" customHeight="1" x14ac:dyDescent="0.25">
      <c r="A694" s="115" t="s">
        <v>3889</v>
      </c>
      <c r="B694" s="112">
        <v>13514.2</v>
      </c>
      <c r="C694" s="113"/>
      <c r="D694" s="116">
        <v>60</v>
      </c>
      <c r="E694" s="117"/>
      <c r="H694">
        <v>610</v>
      </c>
      <c r="I694" s="99">
        <f t="shared" si="10"/>
        <v>60</v>
      </c>
    </row>
    <row r="695" spans="1:9" ht="14.45" customHeight="1" x14ac:dyDescent="0.25">
      <c r="A695" s="115" t="s">
        <v>3462</v>
      </c>
      <c r="B695" s="112">
        <v>3682.4</v>
      </c>
      <c r="C695" s="113"/>
      <c r="D695" s="116">
        <v>51</v>
      </c>
      <c r="E695" s="117"/>
      <c r="H695">
        <v>373</v>
      </c>
      <c r="I695" s="99">
        <f t="shared" si="10"/>
        <v>51</v>
      </c>
    </row>
    <row r="696" spans="1:9" ht="14.45" customHeight="1" x14ac:dyDescent="0.25">
      <c r="A696" s="115" t="s">
        <v>3819</v>
      </c>
      <c r="B696" s="112">
        <v>3607.1</v>
      </c>
      <c r="C696" s="113"/>
      <c r="D696" s="116">
        <v>50</v>
      </c>
      <c r="E696" s="117"/>
      <c r="H696">
        <v>566</v>
      </c>
      <c r="I696" s="99">
        <f t="shared" si="10"/>
        <v>50</v>
      </c>
    </row>
    <row r="697" spans="1:9" ht="14.45" customHeight="1" x14ac:dyDescent="0.25">
      <c r="A697" s="115" t="s">
        <v>3890</v>
      </c>
      <c r="B697" s="112">
        <v>3890.3</v>
      </c>
      <c r="C697" s="113"/>
      <c r="D697" s="116">
        <v>49</v>
      </c>
      <c r="E697" s="117"/>
      <c r="H697">
        <v>638</v>
      </c>
      <c r="I697" s="99">
        <f t="shared" si="10"/>
        <v>49</v>
      </c>
    </row>
    <row r="698" spans="1:9" ht="14.45" customHeight="1" x14ac:dyDescent="0.25">
      <c r="A698" s="115" t="s">
        <v>3702</v>
      </c>
      <c r="B698" s="112">
        <v>3894.8</v>
      </c>
      <c r="C698" s="113"/>
      <c r="D698" s="116">
        <v>59</v>
      </c>
      <c r="E698" s="117"/>
      <c r="H698">
        <v>481</v>
      </c>
      <c r="I698" s="99">
        <f t="shared" si="10"/>
        <v>59</v>
      </c>
    </row>
    <row r="699" spans="1:9" ht="14.45" customHeight="1" x14ac:dyDescent="0.25">
      <c r="A699" s="115" t="s">
        <v>3891</v>
      </c>
      <c r="B699" s="112">
        <v>11938.7</v>
      </c>
      <c r="C699" s="113"/>
      <c r="D699" s="116">
        <v>50</v>
      </c>
      <c r="E699" s="117"/>
      <c r="H699">
        <v>619</v>
      </c>
      <c r="I699" s="99">
        <f t="shared" si="10"/>
        <v>50</v>
      </c>
    </row>
    <row r="700" spans="1:9" ht="14.45" customHeight="1" x14ac:dyDescent="0.25">
      <c r="A700" s="115" t="s">
        <v>3820</v>
      </c>
      <c r="B700" s="112">
        <v>6003</v>
      </c>
      <c r="C700" s="113"/>
      <c r="D700" s="116">
        <v>59</v>
      </c>
      <c r="E700" s="117"/>
      <c r="H700">
        <v>577</v>
      </c>
      <c r="I700" s="99">
        <f t="shared" si="10"/>
        <v>59</v>
      </c>
    </row>
    <row r="701" spans="1:9" ht="14.45" customHeight="1" x14ac:dyDescent="0.25">
      <c r="A701" s="115" t="s">
        <v>3463</v>
      </c>
      <c r="B701" s="112">
        <v>3780</v>
      </c>
      <c r="C701" s="113"/>
      <c r="D701" s="116">
        <v>53</v>
      </c>
      <c r="E701" s="117"/>
      <c r="H701">
        <v>381</v>
      </c>
      <c r="I701" s="99">
        <f t="shared" si="10"/>
        <v>53</v>
      </c>
    </row>
    <row r="702" spans="1:9" ht="14.45" customHeight="1" x14ac:dyDescent="0.25">
      <c r="A702" s="115" t="s">
        <v>3947</v>
      </c>
      <c r="B702" s="112">
        <v>4222.3999999999996</v>
      </c>
      <c r="C702" s="113"/>
      <c r="D702" s="116">
        <v>61</v>
      </c>
      <c r="E702" s="117"/>
      <c r="H702">
        <v>685</v>
      </c>
      <c r="I702" s="99">
        <f t="shared" si="10"/>
        <v>61</v>
      </c>
    </row>
    <row r="703" spans="1:9" ht="14.45" customHeight="1" x14ac:dyDescent="0.25">
      <c r="A703" s="115" t="s">
        <v>3822</v>
      </c>
      <c r="B703" s="112">
        <v>7675.5</v>
      </c>
      <c r="C703" s="113"/>
      <c r="D703" s="116">
        <v>53</v>
      </c>
      <c r="E703" s="117"/>
      <c r="H703">
        <v>581</v>
      </c>
      <c r="I703" s="99">
        <f t="shared" si="10"/>
        <v>53</v>
      </c>
    </row>
    <row r="704" spans="1:9" ht="14.45" customHeight="1" x14ac:dyDescent="0.25">
      <c r="A704" s="453" t="s">
        <v>3230</v>
      </c>
      <c r="B704" s="450">
        <v>345008.8</v>
      </c>
      <c r="C704" s="451"/>
      <c r="D704" s="454"/>
      <c r="E704" s="469"/>
      <c r="I704" s="99"/>
    </row>
    <row r="705" spans="1:9" ht="14.45" customHeight="1" x14ac:dyDescent="0.25">
      <c r="A705" s="453" t="s">
        <v>102</v>
      </c>
      <c r="B705" s="450">
        <v>345008.8</v>
      </c>
      <c r="C705" s="451"/>
      <c r="D705" s="454">
        <v>66.599999999999994</v>
      </c>
      <c r="E705" s="469"/>
      <c r="I705" s="99"/>
    </row>
    <row r="706" spans="1:9" ht="14.45" customHeight="1" x14ac:dyDescent="0.25">
      <c r="A706" s="115" t="s">
        <v>3626</v>
      </c>
      <c r="B706" s="112">
        <v>9301.2000000000007</v>
      </c>
      <c r="C706" s="113"/>
      <c r="D706" s="116">
        <v>67</v>
      </c>
      <c r="E706" s="117"/>
      <c r="H706">
        <v>461</v>
      </c>
      <c r="I706" s="99">
        <f t="shared" si="10"/>
        <v>67</v>
      </c>
    </row>
    <row r="707" spans="1:9" ht="14.45" customHeight="1" x14ac:dyDescent="0.25">
      <c r="A707" s="115" t="s">
        <v>3627</v>
      </c>
      <c r="B707" s="112">
        <v>8162.6</v>
      </c>
      <c r="C707" s="113"/>
      <c r="D707" s="116">
        <v>70</v>
      </c>
      <c r="E707" s="117"/>
      <c r="H707">
        <v>471</v>
      </c>
      <c r="I707" s="99">
        <f t="shared" si="10"/>
        <v>70</v>
      </c>
    </row>
    <row r="708" spans="1:9" ht="14.45" customHeight="1" x14ac:dyDescent="0.25">
      <c r="A708" s="115" t="s">
        <v>3597</v>
      </c>
      <c r="B708" s="112">
        <v>6780.3</v>
      </c>
      <c r="C708" s="113"/>
      <c r="D708" s="116">
        <v>66</v>
      </c>
      <c r="E708" s="117"/>
      <c r="H708">
        <v>433</v>
      </c>
      <c r="I708" s="99">
        <f t="shared" si="10"/>
        <v>66</v>
      </c>
    </row>
    <row r="709" spans="1:9" ht="14.45" customHeight="1" x14ac:dyDescent="0.25">
      <c r="A709" s="115" t="s">
        <v>3628</v>
      </c>
      <c r="B709" s="112">
        <v>9879.4</v>
      </c>
      <c r="C709" s="113"/>
      <c r="D709" s="116">
        <v>69</v>
      </c>
      <c r="E709" s="117"/>
      <c r="H709">
        <v>459</v>
      </c>
      <c r="I709" s="99">
        <f t="shared" si="10"/>
        <v>69</v>
      </c>
    </row>
    <row r="710" spans="1:9" ht="14.45" customHeight="1" x14ac:dyDescent="0.25">
      <c r="A710" s="115" t="s">
        <v>3948</v>
      </c>
      <c r="B710" s="112">
        <v>12057.5</v>
      </c>
      <c r="C710" s="113"/>
      <c r="D710" s="116">
        <v>70</v>
      </c>
      <c r="E710" s="117"/>
      <c r="H710">
        <v>695</v>
      </c>
      <c r="I710" s="99">
        <f t="shared" si="10"/>
        <v>70</v>
      </c>
    </row>
    <row r="711" spans="1:9" ht="14.45" customHeight="1" x14ac:dyDescent="0.25">
      <c r="A711" s="115" t="s">
        <v>3629</v>
      </c>
      <c r="B711" s="112">
        <v>12431.5</v>
      </c>
      <c r="C711" s="113"/>
      <c r="D711" s="116">
        <v>64</v>
      </c>
      <c r="E711" s="117"/>
      <c r="H711">
        <v>463</v>
      </c>
      <c r="I711" s="99">
        <f t="shared" si="10"/>
        <v>64</v>
      </c>
    </row>
    <row r="712" spans="1:9" ht="14.45" customHeight="1" x14ac:dyDescent="0.25">
      <c r="A712" s="115" t="s">
        <v>3949</v>
      </c>
      <c r="B712" s="112">
        <v>12079.6</v>
      </c>
      <c r="C712" s="113"/>
      <c r="D712" s="116">
        <v>70</v>
      </c>
      <c r="E712" s="117"/>
      <c r="H712">
        <v>699</v>
      </c>
      <c r="I712" s="99">
        <f t="shared" si="10"/>
        <v>70</v>
      </c>
    </row>
    <row r="713" spans="1:9" ht="14.45" customHeight="1" x14ac:dyDescent="0.25">
      <c r="A713" s="115" t="s">
        <v>3612</v>
      </c>
      <c r="B713" s="112">
        <v>3857.9</v>
      </c>
      <c r="C713" s="113"/>
      <c r="D713" s="116">
        <v>67</v>
      </c>
      <c r="E713" s="117"/>
      <c r="H713">
        <v>449</v>
      </c>
      <c r="I713" s="99">
        <f t="shared" si="10"/>
        <v>67</v>
      </c>
    </row>
    <row r="714" spans="1:9" ht="14.45" customHeight="1" x14ac:dyDescent="0.25">
      <c r="A714" s="115" t="s">
        <v>4043</v>
      </c>
      <c r="B714" s="112">
        <v>12682.5</v>
      </c>
      <c r="C714" s="113"/>
      <c r="D714" s="116">
        <v>69</v>
      </c>
      <c r="E714" s="117"/>
      <c r="H714">
        <v>728</v>
      </c>
      <c r="I714" s="99">
        <f t="shared" si="10"/>
        <v>69</v>
      </c>
    </row>
    <row r="715" spans="1:9" ht="14.45" customHeight="1" x14ac:dyDescent="0.25">
      <c r="A715" s="115" t="s">
        <v>3619</v>
      </c>
      <c r="B715" s="112">
        <v>16659.2</v>
      </c>
      <c r="C715" s="113"/>
      <c r="D715" s="116">
        <v>63</v>
      </c>
      <c r="E715" s="117"/>
      <c r="H715">
        <v>455</v>
      </c>
      <c r="I715" s="99">
        <f t="shared" si="10"/>
        <v>63</v>
      </c>
    </row>
    <row r="716" spans="1:9" ht="14.45" customHeight="1" x14ac:dyDescent="0.25">
      <c r="A716" s="115" t="s">
        <v>3613</v>
      </c>
      <c r="B716" s="112">
        <v>16000.4</v>
      </c>
      <c r="C716" s="113"/>
      <c r="D716" s="116">
        <v>67</v>
      </c>
      <c r="E716" s="117"/>
      <c r="H716">
        <v>450</v>
      </c>
      <c r="I716" s="99">
        <f t="shared" si="10"/>
        <v>67</v>
      </c>
    </row>
    <row r="717" spans="1:9" ht="14.45" customHeight="1" x14ac:dyDescent="0.25">
      <c r="A717" s="115" t="s">
        <v>3592</v>
      </c>
      <c r="B717" s="112">
        <v>8090.7</v>
      </c>
      <c r="C717" s="113"/>
      <c r="D717" s="116">
        <v>65</v>
      </c>
      <c r="E717" s="117"/>
      <c r="H717">
        <v>431</v>
      </c>
      <c r="I717" s="99">
        <f t="shared" ref="I717:I744" si="11">D717</f>
        <v>65</v>
      </c>
    </row>
    <row r="718" spans="1:9" ht="14.45" customHeight="1" x14ac:dyDescent="0.25">
      <c r="A718" s="115" t="s">
        <v>3950</v>
      </c>
      <c r="B718" s="112">
        <v>11798.6</v>
      </c>
      <c r="C718" s="113"/>
      <c r="D718" s="116">
        <v>64</v>
      </c>
      <c r="E718" s="117"/>
      <c r="H718">
        <v>689</v>
      </c>
      <c r="I718" s="99">
        <f t="shared" si="11"/>
        <v>64</v>
      </c>
    </row>
    <row r="719" spans="1:9" ht="14.45" customHeight="1" x14ac:dyDescent="0.25">
      <c r="A719" s="115" t="s">
        <v>3974</v>
      </c>
      <c r="B719" s="112">
        <v>11400.9</v>
      </c>
      <c r="C719" s="113"/>
      <c r="D719" s="116">
        <v>66</v>
      </c>
      <c r="E719" s="117"/>
      <c r="H719">
        <v>715</v>
      </c>
      <c r="I719" s="99">
        <f t="shared" si="11"/>
        <v>66</v>
      </c>
    </row>
    <row r="720" spans="1:9" ht="14.45" customHeight="1" x14ac:dyDescent="0.25">
      <c r="A720" s="115" t="s">
        <v>4044</v>
      </c>
      <c r="B720" s="112">
        <v>10732.5</v>
      </c>
      <c r="C720" s="113"/>
      <c r="D720" s="116">
        <v>65</v>
      </c>
      <c r="E720" s="117"/>
      <c r="H720">
        <v>727</v>
      </c>
      <c r="I720" s="99">
        <f t="shared" si="11"/>
        <v>65</v>
      </c>
    </row>
    <row r="721" spans="1:9" ht="14.45" customHeight="1" x14ac:dyDescent="0.25">
      <c r="A721" s="115" t="s">
        <v>3969</v>
      </c>
      <c r="B721" s="112">
        <v>11462.5</v>
      </c>
      <c r="C721" s="113"/>
      <c r="D721" s="116">
        <v>67</v>
      </c>
      <c r="E721" s="117"/>
      <c r="H721">
        <v>710</v>
      </c>
      <c r="I721" s="99">
        <f t="shared" si="11"/>
        <v>67</v>
      </c>
    </row>
    <row r="722" spans="1:9" ht="14.45" customHeight="1" x14ac:dyDescent="0.25">
      <c r="A722" s="115" t="s">
        <v>3951</v>
      </c>
      <c r="B722" s="112">
        <v>3907.1</v>
      </c>
      <c r="C722" s="113"/>
      <c r="D722" s="116">
        <v>70</v>
      </c>
      <c r="E722" s="117"/>
      <c r="H722">
        <v>696</v>
      </c>
      <c r="I722" s="99">
        <f t="shared" si="11"/>
        <v>70</v>
      </c>
    </row>
    <row r="723" spans="1:9" ht="14.45" customHeight="1" x14ac:dyDescent="0.25">
      <c r="A723" s="115" t="s">
        <v>3669</v>
      </c>
      <c r="B723" s="112">
        <v>4032</v>
      </c>
      <c r="C723" s="113"/>
      <c r="D723" s="116">
        <v>65</v>
      </c>
      <c r="E723" s="117"/>
      <c r="H723">
        <v>487</v>
      </c>
      <c r="I723" s="99">
        <f t="shared" si="11"/>
        <v>65</v>
      </c>
    </row>
    <row r="724" spans="1:9" ht="14.45" customHeight="1" x14ac:dyDescent="0.25">
      <c r="A724" s="115" t="s">
        <v>3973</v>
      </c>
      <c r="B724" s="112">
        <v>12729.2</v>
      </c>
      <c r="C724" s="113"/>
      <c r="D724" s="116">
        <v>70</v>
      </c>
      <c r="E724" s="117"/>
      <c r="H724">
        <v>714</v>
      </c>
      <c r="I724" s="99">
        <f t="shared" si="11"/>
        <v>70</v>
      </c>
    </row>
    <row r="725" spans="1:9" ht="14.45" customHeight="1" x14ac:dyDescent="0.25">
      <c r="A725" s="115" t="s">
        <v>3630</v>
      </c>
      <c r="B725" s="112">
        <v>7969.7</v>
      </c>
      <c r="C725" s="113"/>
      <c r="D725" s="116">
        <v>65</v>
      </c>
      <c r="E725" s="117"/>
      <c r="H725">
        <v>466</v>
      </c>
      <c r="I725" s="99">
        <f t="shared" si="11"/>
        <v>65</v>
      </c>
    </row>
    <row r="726" spans="1:9" ht="14.45" customHeight="1" x14ac:dyDescent="0.25">
      <c r="A726" s="115" t="s">
        <v>3952</v>
      </c>
      <c r="B726" s="112">
        <v>11211.5</v>
      </c>
      <c r="C726" s="113"/>
      <c r="D726" s="116">
        <v>64</v>
      </c>
      <c r="E726" s="117"/>
      <c r="H726">
        <v>682</v>
      </c>
      <c r="I726" s="99">
        <f t="shared" si="11"/>
        <v>64</v>
      </c>
    </row>
    <row r="727" spans="1:9" ht="14.45" customHeight="1" x14ac:dyDescent="0.25">
      <c r="A727" s="115" t="s">
        <v>3631</v>
      </c>
      <c r="B727" s="112">
        <v>6265.4</v>
      </c>
      <c r="C727" s="113"/>
      <c r="D727" s="116">
        <v>68</v>
      </c>
      <c r="E727" s="117"/>
      <c r="H727">
        <v>468</v>
      </c>
      <c r="I727" s="99">
        <f t="shared" si="11"/>
        <v>68</v>
      </c>
    </row>
    <row r="728" spans="1:9" ht="14.45" customHeight="1" x14ac:dyDescent="0.25">
      <c r="A728" s="115" t="s">
        <v>3953</v>
      </c>
      <c r="B728" s="112">
        <v>12389.2</v>
      </c>
      <c r="C728" s="113"/>
      <c r="D728" s="116">
        <v>71</v>
      </c>
      <c r="E728" s="117"/>
      <c r="H728">
        <v>705</v>
      </c>
      <c r="I728" s="99">
        <f t="shared" si="11"/>
        <v>71</v>
      </c>
    </row>
    <row r="729" spans="1:9" ht="14.45" customHeight="1" x14ac:dyDescent="0.25">
      <c r="A729" s="115" t="s">
        <v>3954</v>
      </c>
      <c r="B729" s="112">
        <v>11756.8</v>
      </c>
      <c r="C729" s="113"/>
      <c r="D729" s="116">
        <v>64</v>
      </c>
      <c r="E729" s="117"/>
      <c r="H729">
        <v>703</v>
      </c>
      <c r="I729" s="99">
        <f t="shared" si="11"/>
        <v>64</v>
      </c>
    </row>
    <row r="730" spans="1:9" ht="14.45" customHeight="1" x14ac:dyDescent="0.25">
      <c r="A730" s="115" t="s">
        <v>3955</v>
      </c>
      <c r="B730" s="112">
        <v>11575.6</v>
      </c>
      <c r="C730" s="113"/>
      <c r="D730" s="116">
        <v>64</v>
      </c>
      <c r="E730" s="117"/>
      <c r="H730">
        <v>693</v>
      </c>
      <c r="I730" s="99">
        <f t="shared" si="11"/>
        <v>64</v>
      </c>
    </row>
    <row r="731" spans="1:9" ht="14.45" customHeight="1" x14ac:dyDescent="0.25">
      <c r="A731" s="115" t="s">
        <v>3956</v>
      </c>
      <c r="B731" s="112">
        <v>11149.6</v>
      </c>
      <c r="C731" s="113"/>
      <c r="D731" s="116">
        <v>66</v>
      </c>
      <c r="E731" s="117"/>
      <c r="H731">
        <v>708</v>
      </c>
      <c r="I731" s="99">
        <f t="shared" si="11"/>
        <v>66</v>
      </c>
    </row>
    <row r="732" spans="1:9" ht="14.45" customHeight="1" x14ac:dyDescent="0.25">
      <c r="A732" s="115" t="s">
        <v>3632</v>
      </c>
      <c r="B732" s="112">
        <v>11420.4</v>
      </c>
      <c r="C732" s="113"/>
      <c r="D732" s="116">
        <v>68</v>
      </c>
      <c r="E732" s="117"/>
      <c r="H732">
        <v>477</v>
      </c>
      <c r="I732" s="99">
        <f t="shared" si="11"/>
        <v>68</v>
      </c>
    </row>
    <row r="733" spans="1:9" ht="14.45" customHeight="1" x14ac:dyDescent="0.25">
      <c r="A733" s="115" t="s">
        <v>3957</v>
      </c>
      <c r="B733" s="112">
        <v>12046.7</v>
      </c>
      <c r="C733" s="113"/>
      <c r="D733" s="116">
        <v>65</v>
      </c>
      <c r="E733" s="117"/>
      <c r="H733">
        <v>654</v>
      </c>
      <c r="I733" s="99">
        <f t="shared" si="11"/>
        <v>65</v>
      </c>
    </row>
    <row r="734" spans="1:9" ht="14.45" customHeight="1" x14ac:dyDescent="0.25">
      <c r="A734" s="115" t="s">
        <v>3602</v>
      </c>
      <c r="B734" s="112">
        <v>8269.7999999999993</v>
      </c>
      <c r="C734" s="113"/>
      <c r="D734" s="116">
        <v>65</v>
      </c>
      <c r="E734" s="117"/>
      <c r="H734">
        <v>439</v>
      </c>
      <c r="I734" s="99">
        <f t="shared" si="11"/>
        <v>65</v>
      </c>
    </row>
    <row r="735" spans="1:9" ht="14.45" customHeight="1" x14ac:dyDescent="0.25">
      <c r="A735" s="115" t="s">
        <v>3618</v>
      </c>
      <c r="B735" s="112">
        <v>15440.3</v>
      </c>
      <c r="C735" s="113"/>
      <c r="D735" s="116">
        <v>67</v>
      </c>
      <c r="E735" s="117"/>
      <c r="H735">
        <v>454</v>
      </c>
      <c r="I735" s="99">
        <f t="shared" si="11"/>
        <v>67</v>
      </c>
    </row>
    <row r="736" spans="1:9" ht="14.45" customHeight="1" x14ac:dyDescent="0.25">
      <c r="A736" s="115" t="s">
        <v>3958</v>
      </c>
      <c r="B736" s="112">
        <v>4039.2</v>
      </c>
      <c r="C736" s="113"/>
      <c r="D736" s="116">
        <v>66</v>
      </c>
      <c r="E736" s="117"/>
      <c r="H736">
        <v>702</v>
      </c>
      <c r="I736" s="99">
        <f t="shared" si="11"/>
        <v>66</v>
      </c>
    </row>
    <row r="737" spans="1:9" ht="14.45" customHeight="1" x14ac:dyDescent="0.25">
      <c r="A737" s="115" t="s">
        <v>3704</v>
      </c>
      <c r="B737" s="112">
        <v>3632.6</v>
      </c>
      <c r="C737" s="113"/>
      <c r="D737" s="116">
        <v>66</v>
      </c>
      <c r="E737" s="117"/>
      <c r="H737">
        <v>483</v>
      </c>
      <c r="I737" s="99">
        <f t="shared" si="11"/>
        <v>66</v>
      </c>
    </row>
    <row r="738" spans="1:9" ht="14.45" customHeight="1" x14ac:dyDescent="0.25">
      <c r="A738" s="115" t="s">
        <v>3959</v>
      </c>
      <c r="B738" s="112">
        <v>12208.5</v>
      </c>
      <c r="C738" s="113"/>
      <c r="D738" s="116">
        <v>65</v>
      </c>
      <c r="E738" s="117"/>
      <c r="H738">
        <v>688</v>
      </c>
      <c r="I738" s="99">
        <f t="shared" si="11"/>
        <v>65</v>
      </c>
    </row>
    <row r="739" spans="1:9" ht="14.45" customHeight="1" x14ac:dyDescent="0.25">
      <c r="A739" s="115" t="s">
        <v>3960</v>
      </c>
      <c r="B739" s="112">
        <v>3942.7</v>
      </c>
      <c r="C739" s="113"/>
      <c r="D739" s="116">
        <v>66</v>
      </c>
      <c r="E739" s="117"/>
      <c r="H739">
        <v>690</v>
      </c>
      <c r="I739" s="99">
        <f t="shared" si="11"/>
        <v>66</v>
      </c>
    </row>
    <row r="740" spans="1:9" ht="14.45" customHeight="1" x14ac:dyDescent="0.25">
      <c r="A740" s="115" t="s">
        <v>3633</v>
      </c>
      <c r="B740" s="112">
        <v>3569</v>
      </c>
      <c r="C740" s="113"/>
      <c r="D740" s="116">
        <v>65</v>
      </c>
      <c r="E740" s="117"/>
      <c r="H740">
        <v>480</v>
      </c>
      <c r="I740" s="99">
        <f t="shared" si="11"/>
        <v>65</v>
      </c>
    </row>
    <row r="741" spans="1:9" ht="14.45" customHeight="1" x14ac:dyDescent="0.25">
      <c r="A741" s="115" t="s">
        <v>3707</v>
      </c>
      <c r="B741" s="112">
        <v>4076.6</v>
      </c>
      <c r="C741" s="113"/>
      <c r="D741" s="116">
        <v>67</v>
      </c>
      <c r="E741" s="117"/>
      <c r="H741">
        <v>486</v>
      </c>
      <c r="I741" s="99">
        <f t="shared" si="11"/>
        <v>67</v>
      </c>
    </row>
    <row r="742" spans="1:9" ht="14.45" customHeight="1" x14ac:dyDescent="0.25">
      <c r="A742" s="453" t="s">
        <v>3273</v>
      </c>
      <c r="B742" s="450">
        <v>2075.6999999999998</v>
      </c>
      <c r="C742" s="451"/>
      <c r="D742" s="454"/>
      <c r="E742" s="469"/>
      <c r="I742" s="99"/>
    </row>
    <row r="743" spans="1:9" ht="14.45" customHeight="1" x14ac:dyDescent="0.25">
      <c r="A743" s="453" t="s">
        <v>102</v>
      </c>
      <c r="B743" s="450">
        <v>2075.6999999999998</v>
      </c>
      <c r="C743" s="451"/>
      <c r="D743" s="454">
        <v>74</v>
      </c>
      <c r="E743" s="469"/>
      <c r="I743" s="99"/>
    </row>
    <row r="744" spans="1:9" ht="14.45" customHeight="1" x14ac:dyDescent="0.25">
      <c r="A744" s="115" t="s">
        <v>3635</v>
      </c>
      <c r="B744" s="112">
        <v>2075.6999999999998</v>
      </c>
      <c r="C744" s="113"/>
      <c r="D744" s="116">
        <v>74</v>
      </c>
      <c r="E744" s="117"/>
      <c r="H744">
        <v>473</v>
      </c>
      <c r="I744" s="99">
        <f t="shared" si="11"/>
        <v>74</v>
      </c>
    </row>
  </sheetData>
  <autoFilter ref="H11:I582" xr:uid="{D4660134-2933-41BB-827E-C02B97B66769}"/>
  <mergeCells count="6">
    <mergeCell ref="A2:E2"/>
    <mergeCell ref="A4:E4"/>
    <mergeCell ref="B5:B8"/>
    <mergeCell ref="C5:C8"/>
    <mergeCell ref="D5:D8"/>
    <mergeCell ref="E5:E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0134-2933-41BB-827E-C02B97B66769}">
  <sheetPr codeName="Лист7"/>
  <dimension ref="A1:I584"/>
  <sheetViews>
    <sheetView topLeftCell="A496" workbookViewId="0">
      <selection activeCell="F515" sqref="F515"/>
    </sheetView>
  </sheetViews>
  <sheetFormatPr defaultRowHeight="15" x14ac:dyDescent="0.25"/>
  <cols>
    <col min="1" max="1" width="44.140625" customWidth="1"/>
    <col min="2" max="2" width="10.42578125" customWidth="1"/>
    <col min="3" max="3" width="13.85546875" customWidth="1"/>
    <col min="4" max="4" width="14.5703125" customWidth="1"/>
    <col min="5" max="5" width="12.28515625" customWidth="1"/>
    <col min="6" max="7" width="9" customWidth="1"/>
    <col min="8" max="8" width="13.28515625" customWidth="1"/>
    <col min="9" max="9" width="12.7109375" customWidth="1"/>
    <col min="10" max="10" width="8.85546875" customWidth="1"/>
    <col min="224" max="224" width="48.5703125" customWidth="1"/>
    <col min="225" max="225" width="11.5703125" customWidth="1"/>
    <col min="226" max="226" width="15.28515625" customWidth="1"/>
    <col min="227" max="227" width="16" customWidth="1"/>
    <col min="228" max="228" width="13.5703125" customWidth="1"/>
    <col min="229" max="236" width="9" customWidth="1"/>
    <col min="480" max="480" width="48.5703125" customWidth="1"/>
    <col min="481" max="481" width="11.5703125" customWidth="1"/>
    <col min="482" max="482" width="15.28515625" customWidth="1"/>
    <col min="483" max="483" width="16" customWidth="1"/>
    <col min="484" max="484" width="13.5703125" customWidth="1"/>
    <col min="485" max="492" width="9" customWidth="1"/>
    <col min="736" max="736" width="48.5703125" customWidth="1"/>
    <col min="737" max="737" width="11.5703125" customWidth="1"/>
    <col min="738" max="738" width="15.28515625" customWidth="1"/>
    <col min="739" max="739" width="16" customWidth="1"/>
    <col min="740" max="740" width="13.5703125" customWidth="1"/>
    <col min="741" max="748" width="9" customWidth="1"/>
    <col min="992" max="992" width="48.5703125" customWidth="1"/>
    <col min="993" max="993" width="11.5703125" customWidth="1"/>
    <col min="994" max="994" width="15.28515625" customWidth="1"/>
    <col min="995" max="995" width="16" customWidth="1"/>
    <col min="996" max="996" width="13.5703125" customWidth="1"/>
    <col min="997" max="1004" width="9" customWidth="1"/>
    <col min="1248" max="1248" width="48.5703125" customWidth="1"/>
    <col min="1249" max="1249" width="11.5703125" customWidth="1"/>
    <col min="1250" max="1250" width="15.28515625" customWidth="1"/>
    <col min="1251" max="1251" width="16" customWidth="1"/>
    <col min="1252" max="1252" width="13.5703125" customWidth="1"/>
    <col min="1253" max="1260" width="9" customWidth="1"/>
    <col min="1504" max="1504" width="48.5703125" customWidth="1"/>
    <col min="1505" max="1505" width="11.5703125" customWidth="1"/>
    <col min="1506" max="1506" width="15.28515625" customWidth="1"/>
    <col min="1507" max="1507" width="16" customWidth="1"/>
    <col min="1508" max="1508" width="13.5703125" customWidth="1"/>
    <col min="1509" max="1516" width="9" customWidth="1"/>
    <col min="1760" max="1760" width="48.5703125" customWidth="1"/>
    <col min="1761" max="1761" width="11.5703125" customWidth="1"/>
    <col min="1762" max="1762" width="15.28515625" customWidth="1"/>
    <col min="1763" max="1763" width="16" customWidth="1"/>
    <col min="1764" max="1764" width="13.5703125" customWidth="1"/>
    <col min="1765" max="1772" width="9" customWidth="1"/>
    <col min="2016" max="2016" width="48.5703125" customWidth="1"/>
    <col min="2017" max="2017" width="11.5703125" customWidth="1"/>
    <col min="2018" max="2018" width="15.28515625" customWidth="1"/>
    <col min="2019" max="2019" width="16" customWidth="1"/>
    <col min="2020" max="2020" width="13.5703125" customWidth="1"/>
    <col min="2021" max="2028" width="9" customWidth="1"/>
    <col min="2272" max="2272" width="48.5703125" customWidth="1"/>
    <col min="2273" max="2273" width="11.5703125" customWidth="1"/>
    <col min="2274" max="2274" width="15.28515625" customWidth="1"/>
    <col min="2275" max="2275" width="16" customWidth="1"/>
    <col min="2276" max="2276" width="13.5703125" customWidth="1"/>
    <col min="2277" max="2284" width="9" customWidth="1"/>
    <col min="2528" max="2528" width="48.5703125" customWidth="1"/>
    <col min="2529" max="2529" width="11.5703125" customWidth="1"/>
    <col min="2530" max="2530" width="15.28515625" customWidth="1"/>
    <col min="2531" max="2531" width="16" customWidth="1"/>
    <col min="2532" max="2532" width="13.5703125" customWidth="1"/>
    <col min="2533" max="2540" width="9" customWidth="1"/>
    <col min="2784" max="2784" width="48.5703125" customWidth="1"/>
    <col min="2785" max="2785" width="11.5703125" customWidth="1"/>
    <col min="2786" max="2786" width="15.28515625" customWidth="1"/>
    <col min="2787" max="2787" width="16" customWidth="1"/>
    <col min="2788" max="2788" width="13.5703125" customWidth="1"/>
    <col min="2789" max="2796" width="9" customWidth="1"/>
    <col min="3040" max="3040" width="48.5703125" customWidth="1"/>
    <col min="3041" max="3041" width="11.5703125" customWidth="1"/>
    <col min="3042" max="3042" width="15.28515625" customWidth="1"/>
    <col min="3043" max="3043" width="16" customWidth="1"/>
    <col min="3044" max="3044" width="13.5703125" customWidth="1"/>
    <col min="3045" max="3052" width="9" customWidth="1"/>
    <col min="3296" max="3296" width="48.5703125" customWidth="1"/>
    <col min="3297" max="3297" width="11.5703125" customWidth="1"/>
    <col min="3298" max="3298" width="15.28515625" customWidth="1"/>
    <col min="3299" max="3299" width="16" customWidth="1"/>
    <col min="3300" max="3300" width="13.5703125" customWidth="1"/>
    <col min="3301" max="3308" width="9" customWidth="1"/>
    <col min="3552" max="3552" width="48.5703125" customWidth="1"/>
    <col min="3553" max="3553" width="11.5703125" customWidth="1"/>
    <col min="3554" max="3554" width="15.28515625" customWidth="1"/>
    <col min="3555" max="3555" width="16" customWidth="1"/>
    <col min="3556" max="3556" width="13.5703125" customWidth="1"/>
    <col min="3557" max="3564" width="9" customWidth="1"/>
    <col min="3808" max="3808" width="48.5703125" customWidth="1"/>
    <col min="3809" max="3809" width="11.5703125" customWidth="1"/>
    <col min="3810" max="3810" width="15.28515625" customWidth="1"/>
    <col min="3811" max="3811" width="16" customWidth="1"/>
    <col min="3812" max="3812" width="13.5703125" customWidth="1"/>
    <col min="3813" max="3820" width="9" customWidth="1"/>
    <col min="4064" max="4064" width="48.5703125" customWidth="1"/>
    <col min="4065" max="4065" width="11.5703125" customWidth="1"/>
    <col min="4066" max="4066" width="15.28515625" customWidth="1"/>
    <col min="4067" max="4067" width="16" customWidth="1"/>
    <col min="4068" max="4068" width="13.5703125" customWidth="1"/>
    <col min="4069" max="4076" width="9" customWidth="1"/>
    <col min="4320" max="4320" width="48.5703125" customWidth="1"/>
    <col min="4321" max="4321" width="11.5703125" customWidth="1"/>
    <col min="4322" max="4322" width="15.28515625" customWidth="1"/>
    <col min="4323" max="4323" width="16" customWidth="1"/>
    <col min="4324" max="4324" width="13.5703125" customWidth="1"/>
    <col min="4325" max="4332" width="9" customWidth="1"/>
    <col min="4576" max="4576" width="48.5703125" customWidth="1"/>
    <col min="4577" max="4577" width="11.5703125" customWidth="1"/>
    <col min="4578" max="4578" width="15.28515625" customWidth="1"/>
    <col min="4579" max="4579" width="16" customWidth="1"/>
    <col min="4580" max="4580" width="13.5703125" customWidth="1"/>
    <col min="4581" max="4588" width="9" customWidth="1"/>
    <col min="4832" max="4832" width="48.5703125" customWidth="1"/>
    <col min="4833" max="4833" width="11.5703125" customWidth="1"/>
    <col min="4834" max="4834" width="15.28515625" customWidth="1"/>
    <col min="4835" max="4835" width="16" customWidth="1"/>
    <col min="4836" max="4836" width="13.5703125" customWidth="1"/>
    <col min="4837" max="4844" width="9" customWidth="1"/>
    <col min="5088" max="5088" width="48.5703125" customWidth="1"/>
    <col min="5089" max="5089" width="11.5703125" customWidth="1"/>
    <col min="5090" max="5090" width="15.28515625" customWidth="1"/>
    <col min="5091" max="5091" width="16" customWidth="1"/>
    <col min="5092" max="5092" width="13.5703125" customWidth="1"/>
    <col min="5093" max="5100" width="9" customWidth="1"/>
    <col min="5344" max="5344" width="48.5703125" customWidth="1"/>
    <col min="5345" max="5345" width="11.5703125" customWidth="1"/>
    <col min="5346" max="5346" width="15.28515625" customWidth="1"/>
    <col min="5347" max="5347" width="16" customWidth="1"/>
    <col min="5348" max="5348" width="13.5703125" customWidth="1"/>
    <col min="5349" max="5356" width="9" customWidth="1"/>
    <col min="5600" max="5600" width="48.5703125" customWidth="1"/>
    <col min="5601" max="5601" width="11.5703125" customWidth="1"/>
    <col min="5602" max="5602" width="15.28515625" customWidth="1"/>
    <col min="5603" max="5603" width="16" customWidth="1"/>
    <col min="5604" max="5604" width="13.5703125" customWidth="1"/>
    <col min="5605" max="5612" width="9" customWidth="1"/>
    <col min="5856" max="5856" width="48.5703125" customWidth="1"/>
    <col min="5857" max="5857" width="11.5703125" customWidth="1"/>
    <col min="5858" max="5858" width="15.28515625" customWidth="1"/>
    <col min="5859" max="5859" width="16" customWidth="1"/>
    <col min="5860" max="5860" width="13.5703125" customWidth="1"/>
    <col min="5861" max="5868" width="9" customWidth="1"/>
    <col min="6112" max="6112" width="48.5703125" customWidth="1"/>
    <col min="6113" max="6113" width="11.5703125" customWidth="1"/>
    <col min="6114" max="6114" width="15.28515625" customWidth="1"/>
    <col min="6115" max="6115" width="16" customWidth="1"/>
    <col min="6116" max="6116" width="13.5703125" customWidth="1"/>
    <col min="6117" max="6124" width="9" customWidth="1"/>
    <col min="6368" max="6368" width="48.5703125" customWidth="1"/>
    <col min="6369" max="6369" width="11.5703125" customWidth="1"/>
    <col min="6370" max="6370" width="15.28515625" customWidth="1"/>
    <col min="6371" max="6371" width="16" customWidth="1"/>
    <col min="6372" max="6372" width="13.5703125" customWidth="1"/>
    <col min="6373" max="6380" width="9" customWidth="1"/>
    <col min="6624" max="6624" width="48.5703125" customWidth="1"/>
    <col min="6625" max="6625" width="11.5703125" customWidth="1"/>
    <col min="6626" max="6626" width="15.28515625" customWidth="1"/>
    <col min="6627" max="6627" width="16" customWidth="1"/>
    <col min="6628" max="6628" width="13.5703125" customWidth="1"/>
    <col min="6629" max="6636" width="9" customWidth="1"/>
    <col min="6880" max="6880" width="48.5703125" customWidth="1"/>
    <col min="6881" max="6881" width="11.5703125" customWidth="1"/>
    <col min="6882" max="6882" width="15.28515625" customWidth="1"/>
    <col min="6883" max="6883" width="16" customWidth="1"/>
    <col min="6884" max="6884" width="13.5703125" customWidth="1"/>
    <col min="6885" max="6892" width="9" customWidth="1"/>
    <col min="7136" max="7136" width="48.5703125" customWidth="1"/>
    <col min="7137" max="7137" width="11.5703125" customWidth="1"/>
    <col min="7138" max="7138" width="15.28515625" customWidth="1"/>
    <col min="7139" max="7139" width="16" customWidth="1"/>
    <col min="7140" max="7140" width="13.5703125" customWidth="1"/>
    <col min="7141" max="7148" width="9" customWidth="1"/>
    <col min="7392" max="7392" width="48.5703125" customWidth="1"/>
    <col min="7393" max="7393" width="11.5703125" customWidth="1"/>
    <col min="7394" max="7394" width="15.28515625" customWidth="1"/>
    <col min="7395" max="7395" width="16" customWidth="1"/>
    <col min="7396" max="7396" width="13.5703125" customWidth="1"/>
    <col min="7397" max="7404" width="9" customWidth="1"/>
    <col min="7648" max="7648" width="48.5703125" customWidth="1"/>
    <col min="7649" max="7649" width="11.5703125" customWidth="1"/>
    <col min="7650" max="7650" width="15.28515625" customWidth="1"/>
    <col min="7651" max="7651" width="16" customWidth="1"/>
    <col min="7652" max="7652" width="13.5703125" customWidth="1"/>
    <col min="7653" max="7660" width="9" customWidth="1"/>
    <col min="7904" max="7904" width="48.5703125" customWidth="1"/>
    <col min="7905" max="7905" width="11.5703125" customWidth="1"/>
    <col min="7906" max="7906" width="15.28515625" customWidth="1"/>
    <col min="7907" max="7907" width="16" customWidth="1"/>
    <col min="7908" max="7908" width="13.5703125" customWidth="1"/>
    <col min="7909" max="7916" width="9" customWidth="1"/>
    <col min="8160" max="8160" width="48.5703125" customWidth="1"/>
    <col min="8161" max="8161" width="11.5703125" customWidth="1"/>
    <col min="8162" max="8162" width="15.28515625" customWidth="1"/>
    <col min="8163" max="8163" width="16" customWidth="1"/>
    <col min="8164" max="8164" width="13.5703125" customWidth="1"/>
    <col min="8165" max="8172" width="9" customWidth="1"/>
    <col min="8416" max="8416" width="48.5703125" customWidth="1"/>
    <col min="8417" max="8417" width="11.5703125" customWidth="1"/>
    <col min="8418" max="8418" width="15.28515625" customWidth="1"/>
    <col min="8419" max="8419" width="16" customWidth="1"/>
    <col min="8420" max="8420" width="13.5703125" customWidth="1"/>
    <col min="8421" max="8428" width="9" customWidth="1"/>
    <col min="8672" max="8672" width="48.5703125" customWidth="1"/>
    <col min="8673" max="8673" width="11.5703125" customWidth="1"/>
    <col min="8674" max="8674" width="15.28515625" customWidth="1"/>
    <col min="8675" max="8675" width="16" customWidth="1"/>
    <col min="8676" max="8676" width="13.5703125" customWidth="1"/>
    <col min="8677" max="8684" width="9" customWidth="1"/>
    <col min="8928" max="8928" width="48.5703125" customWidth="1"/>
    <col min="8929" max="8929" width="11.5703125" customWidth="1"/>
    <col min="8930" max="8930" width="15.28515625" customWidth="1"/>
    <col min="8931" max="8931" width="16" customWidth="1"/>
    <col min="8932" max="8932" width="13.5703125" customWidth="1"/>
    <col min="8933" max="8940" width="9" customWidth="1"/>
    <col min="9184" max="9184" width="48.5703125" customWidth="1"/>
    <col min="9185" max="9185" width="11.5703125" customWidth="1"/>
    <col min="9186" max="9186" width="15.28515625" customWidth="1"/>
    <col min="9187" max="9187" width="16" customWidth="1"/>
    <col min="9188" max="9188" width="13.5703125" customWidth="1"/>
    <col min="9189" max="9196" width="9" customWidth="1"/>
    <col min="9440" max="9440" width="48.5703125" customWidth="1"/>
    <col min="9441" max="9441" width="11.5703125" customWidth="1"/>
    <col min="9442" max="9442" width="15.28515625" customWidth="1"/>
    <col min="9443" max="9443" width="16" customWidth="1"/>
    <col min="9444" max="9444" width="13.5703125" customWidth="1"/>
    <col min="9445" max="9452" width="9" customWidth="1"/>
    <col min="9696" max="9696" width="48.5703125" customWidth="1"/>
    <col min="9697" max="9697" width="11.5703125" customWidth="1"/>
    <col min="9698" max="9698" width="15.28515625" customWidth="1"/>
    <col min="9699" max="9699" width="16" customWidth="1"/>
    <col min="9700" max="9700" width="13.5703125" customWidth="1"/>
    <col min="9701" max="9708" width="9" customWidth="1"/>
    <col min="9952" max="9952" width="48.5703125" customWidth="1"/>
    <col min="9953" max="9953" width="11.5703125" customWidth="1"/>
    <col min="9954" max="9954" width="15.28515625" customWidth="1"/>
    <col min="9955" max="9955" width="16" customWidth="1"/>
    <col min="9956" max="9956" width="13.5703125" customWidth="1"/>
    <col min="9957" max="9964" width="9" customWidth="1"/>
    <col min="10208" max="10208" width="48.5703125" customWidth="1"/>
    <col min="10209" max="10209" width="11.5703125" customWidth="1"/>
    <col min="10210" max="10210" width="15.28515625" customWidth="1"/>
    <col min="10211" max="10211" width="16" customWidth="1"/>
    <col min="10212" max="10212" width="13.5703125" customWidth="1"/>
    <col min="10213" max="10220" width="9" customWidth="1"/>
    <col min="10464" max="10464" width="48.5703125" customWidth="1"/>
    <col min="10465" max="10465" width="11.5703125" customWidth="1"/>
    <col min="10466" max="10466" width="15.28515625" customWidth="1"/>
    <col min="10467" max="10467" width="16" customWidth="1"/>
    <col min="10468" max="10468" width="13.5703125" customWidth="1"/>
    <col min="10469" max="10476" width="9" customWidth="1"/>
    <col min="10720" max="10720" width="48.5703125" customWidth="1"/>
    <col min="10721" max="10721" width="11.5703125" customWidth="1"/>
    <col min="10722" max="10722" width="15.28515625" customWidth="1"/>
    <col min="10723" max="10723" width="16" customWidth="1"/>
    <col min="10724" max="10724" width="13.5703125" customWidth="1"/>
    <col min="10725" max="10732" width="9" customWidth="1"/>
    <col min="10976" max="10976" width="48.5703125" customWidth="1"/>
    <col min="10977" max="10977" width="11.5703125" customWidth="1"/>
    <col min="10978" max="10978" width="15.28515625" customWidth="1"/>
    <col min="10979" max="10979" width="16" customWidth="1"/>
    <col min="10980" max="10980" width="13.5703125" customWidth="1"/>
    <col min="10981" max="10988" width="9" customWidth="1"/>
    <col min="11232" max="11232" width="48.5703125" customWidth="1"/>
    <col min="11233" max="11233" width="11.5703125" customWidth="1"/>
    <col min="11234" max="11234" width="15.28515625" customWidth="1"/>
    <col min="11235" max="11235" width="16" customWidth="1"/>
    <col min="11236" max="11236" width="13.5703125" customWidth="1"/>
    <col min="11237" max="11244" width="9" customWidth="1"/>
    <col min="11488" max="11488" width="48.5703125" customWidth="1"/>
    <col min="11489" max="11489" width="11.5703125" customWidth="1"/>
    <col min="11490" max="11490" width="15.28515625" customWidth="1"/>
    <col min="11491" max="11491" width="16" customWidth="1"/>
    <col min="11492" max="11492" width="13.5703125" customWidth="1"/>
    <col min="11493" max="11500" width="9" customWidth="1"/>
    <col min="11744" max="11744" width="48.5703125" customWidth="1"/>
    <col min="11745" max="11745" width="11.5703125" customWidth="1"/>
    <col min="11746" max="11746" width="15.28515625" customWidth="1"/>
    <col min="11747" max="11747" width="16" customWidth="1"/>
    <col min="11748" max="11748" width="13.5703125" customWidth="1"/>
    <col min="11749" max="11756" width="9" customWidth="1"/>
    <col min="12000" max="12000" width="48.5703125" customWidth="1"/>
    <col min="12001" max="12001" width="11.5703125" customWidth="1"/>
    <col min="12002" max="12002" width="15.28515625" customWidth="1"/>
    <col min="12003" max="12003" width="16" customWidth="1"/>
    <col min="12004" max="12004" width="13.5703125" customWidth="1"/>
    <col min="12005" max="12012" width="9" customWidth="1"/>
    <col min="12256" max="12256" width="48.5703125" customWidth="1"/>
    <col min="12257" max="12257" width="11.5703125" customWidth="1"/>
    <col min="12258" max="12258" width="15.28515625" customWidth="1"/>
    <col min="12259" max="12259" width="16" customWidth="1"/>
    <col min="12260" max="12260" width="13.5703125" customWidth="1"/>
    <col min="12261" max="12268" width="9" customWidth="1"/>
    <col min="12512" max="12512" width="48.5703125" customWidth="1"/>
    <col min="12513" max="12513" width="11.5703125" customWidth="1"/>
    <col min="12514" max="12514" width="15.28515625" customWidth="1"/>
    <col min="12515" max="12515" width="16" customWidth="1"/>
    <col min="12516" max="12516" width="13.5703125" customWidth="1"/>
    <col min="12517" max="12524" width="9" customWidth="1"/>
    <col min="12768" max="12768" width="48.5703125" customWidth="1"/>
    <col min="12769" max="12769" width="11.5703125" customWidth="1"/>
    <col min="12770" max="12770" width="15.28515625" customWidth="1"/>
    <col min="12771" max="12771" width="16" customWidth="1"/>
    <col min="12772" max="12772" width="13.5703125" customWidth="1"/>
    <col min="12773" max="12780" width="9" customWidth="1"/>
    <col min="13024" max="13024" width="48.5703125" customWidth="1"/>
    <col min="13025" max="13025" width="11.5703125" customWidth="1"/>
    <col min="13026" max="13026" width="15.28515625" customWidth="1"/>
    <col min="13027" max="13027" width="16" customWidth="1"/>
    <col min="13028" max="13028" width="13.5703125" customWidth="1"/>
    <col min="13029" max="13036" width="9" customWidth="1"/>
    <col min="13280" max="13280" width="48.5703125" customWidth="1"/>
    <col min="13281" max="13281" width="11.5703125" customWidth="1"/>
    <col min="13282" max="13282" width="15.28515625" customWidth="1"/>
    <col min="13283" max="13283" width="16" customWidth="1"/>
    <col min="13284" max="13284" width="13.5703125" customWidth="1"/>
    <col min="13285" max="13292" width="9" customWidth="1"/>
    <col min="13536" max="13536" width="48.5703125" customWidth="1"/>
    <col min="13537" max="13537" width="11.5703125" customWidth="1"/>
    <col min="13538" max="13538" width="15.28515625" customWidth="1"/>
    <col min="13539" max="13539" width="16" customWidth="1"/>
    <col min="13540" max="13540" width="13.5703125" customWidth="1"/>
    <col min="13541" max="13548" width="9" customWidth="1"/>
    <col min="13792" max="13792" width="48.5703125" customWidth="1"/>
    <col min="13793" max="13793" width="11.5703125" customWidth="1"/>
    <col min="13794" max="13794" width="15.28515625" customWidth="1"/>
    <col min="13795" max="13795" width="16" customWidth="1"/>
    <col min="13796" max="13796" width="13.5703125" customWidth="1"/>
    <col min="13797" max="13804" width="9" customWidth="1"/>
    <col min="14048" max="14048" width="48.5703125" customWidth="1"/>
    <col min="14049" max="14049" width="11.5703125" customWidth="1"/>
    <col min="14050" max="14050" width="15.28515625" customWidth="1"/>
    <col min="14051" max="14051" width="16" customWidth="1"/>
    <col min="14052" max="14052" width="13.5703125" customWidth="1"/>
    <col min="14053" max="14060" width="9" customWidth="1"/>
    <col min="14304" max="14304" width="48.5703125" customWidth="1"/>
    <col min="14305" max="14305" width="11.5703125" customWidth="1"/>
    <col min="14306" max="14306" width="15.28515625" customWidth="1"/>
    <col min="14307" max="14307" width="16" customWidth="1"/>
    <col min="14308" max="14308" width="13.5703125" customWidth="1"/>
    <col min="14309" max="14316" width="9" customWidth="1"/>
    <col min="14560" max="14560" width="48.5703125" customWidth="1"/>
    <col min="14561" max="14561" width="11.5703125" customWidth="1"/>
    <col min="14562" max="14562" width="15.28515625" customWidth="1"/>
    <col min="14563" max="14563" width="16" customWidth="1"/>
    <col min="14564" max="14564" width="13.5703125" customWidth="1"/>
    <col min="14565" max="14572" width="9" customWidth="1"/>
    <col min="14816" max="14816" width="48.5703125" customWidth="1"/>
    <col min="14817" max="14817" width="11.5703125" customWidth="1"/>
    <col min="14818" max="14818" width="15.28515625" customWidth="1"/>
    <col min="14819" max="14819" width="16" customWidth="1"/>
    <col min="14820" max="14820" width="13.5703125" customWidth="1"/>
    <col min="14821" max="14828" width="9" customWidth="1"/>
    <col min="15072" max="15072" width="48.5703125" customWidth="1"/>
    <col min="15073" max="15073" width="11.5703125" customWidth="1"/>
    <col min="15074" max="15074" width="15.28515625" customWidth="1"/>
    <col min="15075" max="15075" width="16" customWidth="1"/>
    <col min="15076" max="15076" width="13.5703125" customWidth="1"/>
    <col min="15077" max="15084" width="9" customWidth="1"/>
    <col min="15328" max="15328" width="48.5703125" customWidth="1"/>
    <col min="15329" max="15329" width="11.5703125" customWidth="1"/>
    <col min="15330" max="15330" width="15.28515625" customWidth="1"/>
    <col min="15331" max="15331" width="16" customWidth="1"/>
    <col min="15332" max="15332" width="13.5703125" customWidth="1"/>
    <col min="15333" max="15340" width="9" customWidth="1"/>
    <col min="15584" max="15584" width="48.5703125" customWidth="1"/>
    <col min="15585" max="15585" width="11.5703125" customWidth="1"/>
    <col min="15586" max="15586" width="15.28515625" customWidth="1"/>
    <col min="15587" max="15587" width="16" customWidth="1"/>
    <col min="15588" max="15588" width="13.5703125" customWidth="1"/>
    <col min="15589" max="15596" width="9" customWidth="1"/>
    <col min="15840" max="15840" width="48.5703125" customWidth="1"/>
    <col min="15841" max="15841" width="11.5703125" customWidth="1"/>
    <col min="15842" max="15842" width="15.28515625" customWidth="1"/>
    <col min="15843" max="15843" width="16" customWidth="1"/>
    <col min="15844" max="15844" width="13.5703125" customWidth="1"/>
    <col min="15845" max="15852" width="9" customWidth="1"/>
    <col min="16096" max="16096" width="48.5703125" customWidth="1"/>
    <col min="16097" max="16097" width="11.5703125" customWidth="1"/>
    <col min="16098" max="16098" width="15.28515625" customWidth="1"/>
    <col min="16099" max="16099" width="16" customWidth="1"/>
    <col min="16100" max="16100" width="13.5703125" customWidth="1"/>
    <col min="16101" max="16108" width="9" customWidth="1"/>
  </cols>
  <sheetData>
    <row r="1" spans="1:9" s="98" customFormat="1" ht="3" customHeight="1" x14ac:dyDescent="0.25"/>
    <row r="2" spans="1:9" s="98" customFormat="1" ht="12.75" customHeight="1" x14ac:dyDescent="0.25">
      <c r="A2" s="105" t="s">
        <v>1559</v>
      </c>
      <c r="B2" s="105"/>
      <c r="C2" s="105"/>
      <c r="D2" s="105"/>
      <c r="E2" s="105"/>
      <c r="F2" s="105"/>
      <c r="G2" s="105"/>
      <c r="H2" s="105"/>
      <c r="I2" s="105"/>
    </row>
    <row r="3" spans="1:9" s="98" customFormat="1" ht="3" customHeight="1" x14ac:dyDescent="0.25"/>
    <row r="4" spans="1:9" s="98" customFormat="1" ht="14.25" customHeight="1" x14ac:dyDescent="0.25">
      <c r="A4" s="105" t="s">
        <v>823</v>
      </c>
    </row>
    <row r="5" spans="1:9" s="98" customFormat="1" ht="18.75" customHeight="1" x14ac:dyDescent="0.25">
      <c r="A5" s="118" t="s">
        <v>1248</v>
      </c>
      <c r="B5" s="118"/>
      <c r="C5" s="118"/>
      <c r="D5" s="118"/>
      <c r="E5" s="118"/>
    </row>
    <row r="6" spans="1:9" ht="12.75" customHeight="1" x14ac:dyDescent="0.25">
      <c r="A6" s="107" t="s">
        <v>824</v>
      </c>
      <c r="B6" s="108" t="s">
        <v>86</v>
      </c>
      <c r="C6" s="108" t="s">
        <v>825</v>
      </c>
      <c r="D6" s="108" t="s">
        <v>826</v>
      </c>
      <c r="E6" s="108" t="s">
        <v>827</v>
      </c>
    </row>
    <row r="7" spans="1:9" ht="12.75" customHeight="1" x14ac:dyDescent="0.25">
      <c r="A7" s="107" t="s">
        <v>828</v>
      </c>
      <c r="B7" s="109"/>
      <c r="C7" s="109"/>
      <c r="D7" s="109"/>
      <c r="E7" s="109"/>
    </row>
    <row r="8" spans="1:9" ht="12.75" customHeight="1" x14ac:dyDescent="0.25">
      <c r="A8" s="107" t="s">
        <v>85</v>
      </c>
      <c r="B8" s="109"/>
      <c r="C8" s="109"/>
      <c r="D8" s="109"/>
      <c r="E8" s="109"/>
    </row>
    <row r="9" spans="1:9" ht="12" customHeight="1" x14ac:dyDescent="0.25">
      <c r="A9" s="107" t="s">
        <v>66</v>
      </c>
      <c r="B9" s="110"/>
      <c r="C9" s="110"/>
      <c r="D9" s="110"/>
      <c r="E9" s="110"/>
    </row>
    <row r="10" spans="1:9" ht="12.75" customHeight="1" x14ac:dyDescent="0.25">
      <c r="A10" s="111" t="s">
        <v>82</v>
      </c>
      <c r="B10" s="112">
        <v>483747.3</v>
      </c>
      <c r="C10" s="113"/>
      <c r="D10" s="113"/>
      <c r="E10" s="114"/>
    </row>
    <row r="11" spans="1:9" ht="12.75" customHeight="1" x14ac:dyDescent="0.25">
      <c r="A11" s="115" t="s">
        <v>550</v>
      </c>
      <c r="B11" s="112">
        <v>1302687</v>
      </c>
      <c r="C11" s="113"/>
      <c r="D11" s="113"/>
      <c r="E11" s="114"/>
    </row>
    <row r="12" spans="1:9" ht="12.75" customHeight="1" x14ac:dyDescent="0.25">
      <c r="A12" s="115" t="s">
        <v>102</v>
      </c>
      <c r="B12" s="112">
        <v>1302687</v>
      </c>
      <c r="C12" s="113"/>
      <c r="D12" s="116">
        <v>66.400000000000006</v>
      </c>
      <c r="E12" s="114"/>
      <c r="H12" t="s">
        <v>865</v>
      </c>
      <c r="I12" t="s">
        <v>65</v>
      </c>
    </row>
    <row r="13" spans="1:9" ht="24.75" customHeight="1" x14ac:dyDescent="0.25">
      <c r="A13" s="115" t="s">
        <v>940</v>
      </c>
      <c r="B13" s="112">
        <v>12080.7</v>
      </c>
      <c r="C13" s="113"/>
      <c r="D13" s="116">
        <v>70</v>
      </c>
      <c r="E13" s="117"/>
      <c r="H13">
        <v>340</v>
      </c>
      <c r="I13" s="99">
        <f>D13</f>
        <v>70</v>
      </c>
    </row>
    <row r="14" spans="1:9" ht="24.75" customHeight="1" x14ac:dyDescent="0.25">
      <c r="A14" s="115" t="s">
        <v>866</v>
      </c>
      <c r="B14" s="112">
        <v>3712.6</v>
      </c>
      <c r="C14" s="113"/>
      <c r="D14" s="116">
        <v>65</v>
      </c>
      <c r="E14" s="117"/>
      <c r="H14">
        <v>331</v>
      </c>
      <c r="I14" s="99">
        <f t="shared" ref="I14:I78" si="0">D14</f>
        <v>65</v>
      </c>
    </row>
    <row r="15" spans="1:9" ht="24.75" customHeight="1" x14ac:dyDescent="0.25">
      <c r="A15" s="115" t="s">
        <v>808</v>
      </c>
      <c r="B15" s="112">
        <v>12071.4</v>
      </c>
      <c r="C15" s="113"/>
      <c r="D15" s="116">
        <v>68</v>
      </c>
      <c r="E15" s="117"/>
      <c r="H15">
        <v>284</v>
      </c>
      <c r="I15" s="99">
        <f t="shared" si="0"/>
        <v>68</v>
      </c>
    </row>
    <row r="16" spans="1:9" ht="24.75" customHeight="1" x14ac:dyDescent="0.25">
      <c r="A16" s="115" t="s">
        <v>1490</v>
      </c>
      <c r="B16" s="112">
        <v>12293.2</v>
      </c>
      <c r="C16" s="113"/>
      <c r="D16" s="116">
        <v>68</v>
      </c>
      <c r="E16" s="117"/>
      <c r="H16" t="s">
        <v>1520</v>
      </c>
      <c r="I16" s="99">
        <f t="shared" si="0"/>
        <v>68</v>
      </c>
    </row>
    <row r="17" spans="1:9" ht="24.75" customHeight="1" x14ac:dyDescent="0.25">
      <c r="A17" s="115" t="s">
        <v>1527</v>
      </c>
      <c r="B17" s="112">
        <v>11251.8</v>
      </c>
      <c r="C17" s="113"/>
      <c r="D17" s="116">
        <v>67</v>
      </c>
      <c r="E17" s="117"/>
      <c r="H17" t="s">
        <v>1537</v>
      </c>
      <c r="I17" s="99">
        <f t="shared" si="0"/>
        <v>67</v>
      </c>
    </row>
    <row r="18" spans="1:9" ht="24.75" customHeight="1" x14ac:dyDescent="0.25">
      <c r="A18" s="115" t="s">
        <v>932</v>
      </c>
      <c r="B18" s="112">
        <v>11675.4</v>
      </c>
      <c r="C18" s="113"/>
      <c r="D18" s="116">
        <v>66</v>
      </c>
      <c r="E18" s="117"/>
      <c r="H18">
        <v>410</v>
      </c>
      <c r="I18" s="99">
        <f t="shared" si="0"/>
        <v>66</v>
      </c>
    </row>
    <row r="19" spans="1:9" ht="24.75" customHeight="1" x14ac:dyDescent="0.25">
      <c r="A19" s="115" t="s">
        <v>964</v>
      </c>
      <c r="B19" s="112">
        <v>12321.4</v>
      </c>
      <c r="C19" s="113"/>
      <c r="D19" s="116">
        <v>69</v>
      </c>
      <c r="E19" s="117"/>
      <c r="H19">
        <v>382</v>
      </c>
      <c r="I19" s="99">
        <f t="shared" si="0"/>
        <v>69</v>
      </c>
    </row>
    <row r="20" spans="1:9" ht="24.75" customHeight="1" x14ac:dyDescent="0.25">
      <c r="A20" s="115" t="s">
        <v>1164</v>
      </c>
      <c r="B20" s="112">
        <v>13999.5</v>
      </c>
      <c r="C20" s="113"/>
      <c r="D20" s="116">
        <v>69</v>
      </c>
      <c r="E20" s="117"/>
      <c r="H20" t="s">
        <v>1213</v>
      </c>
      <c r="I20" s="99">
        <f t="shared" si="0"/>
        <v>69</v>
      </c>
    </row>
    <row r="21" spans="1:9" ht="24.75" customHeight="1" x14ac:dyDescent="0.25">
      <c r="A21" s="115" t="s">
        <v>1161</v>
      </c>
      <c r="B21" s="112">
        <v>12124.3</v>
      </c>
      <c r="C21" s="113"/>
      <c r="D21" s="116">
        <v>70</v>
      </c>
      <c r="E21" s="117"/>
      <c r="H21" t="s">
        <v>1210</v>
      </c>
      <c r="I21" s="99">
        <f t="shared" si="0"/>
        <v>70</v>
      </c>
    </row>
    <row r="22" spans="1:9" ht="24.75" customHeight="1" x14ac:dyDescent="0.25">
      <c r="A22" s="115" t="s">
        <v>777</v>
      </c>
      <c r="B22" s="112">
        <v>11676.8</v>
      </c>
      <c r="C22" s="113"/>
      <c r="D22" s="116">
        <v>62</v>
      </c>
      <c r="E22" s="117"/>
      <c r="H22">
        <v>258</v>
      </c>
      <c r="I22" s="99">
        <f t="shared" si="0"/>
        <v>62</v>
      </c>
    </row>
    <row r="23" spans="1:9" ht="24.75" customHeight="1" x14ac:dyDescent="0.25">
      <c r="A23" s="115" t="s">
        <v>1123</v>
      </c>
      <c r="B23" s="112">
        <v>12360.6</v>
      </c>
      <c r="C23" s="113"/>
      <c r="D23" s="116">
        <v>68</v>
      </c>
      <c r="E23" s="117"/>
      <c r="H23" t="s">
        <v>1146</v>
      </c>
      <c r="I23" s="99">
        <f t="shared" si="0"/>
        <v>68</v>
      </c>
    </row>
    <row r="24" spans="1:9" ht="24.75" customHeight="1" x14ac:dyDescent="0.25">
      <c r="A24" s="115" t="s">
        <v>1158</v>
      </c>
      <c r="B24" s="112">
        <v>11611.3</v>
      </c>
      <c r="C24" s="113"/>
      <c r="D24" s="116">
        <v>64</v>
      </c>
      <c r="E24" s="117"/>
      <c r="H24" t="s">
        <v>1207</v>
      </c>
      <c r="I24" s="99">
        <f t="shared" si="0"/>
        <v>64</v>
      </c>
    </row>
    <row r="25" spans="1:9" ht="24.75" customHeight="1" x14ac:dyDescent="0.25">
      <c r="A25" s="115" t="s">
        <v>1484</v>
      </c>
      <c r="B25" s="112">
        <v>10873.2</v>
      </c>
      <c r="C25" s="113"/>
      <c r="D25" s="116">
        <v>65</v>
      </c>
      <c r="E25" s="117"/>
      <c r="H25" t="s">
        <v>1515</v>
      </c>
      <c r="I25" s="99">
        <f t="shared" si="0"/>
        <v>65</v>
      </c>
    </row>
    <row r="26" spans="1:9" ht="24.75" customHeight="1" x14ac:dyDescent="0.25">
      <c r="A26" s="115" t="s">
        <v>1120</v>
      </c>
      <c r="B26" s="112">
        <v>12267.2</v>
      </c>
      <c r="C26" s="113"/>
      <c r="D26" s="116">
        <v>65</v>
      </c>
      <c r="E26" s="117"/>
      <c r="H26" t="s">
        <v>1143</v>
      </c>
      <c r="I26" s="99">
        <f t="shared" si="0"/>
        <v>65</v>
      </c>
    </row>
    <row r="27" spans="1:9" ht="24.75" customHeight="1" x14ac:dyDescent="0.25">
      <c r="A27" s="115" t="s">
        <v>801</v>
      </c>
      <c r="B27" s="112">
        <v>12617.8</v>
      </c>
      <c r="C27" s="113"/>
      <c r="D27" s="116">
        <v>72</v>
      </c>
      <c r="E27" s="117"/>
      <c r="H27">
        <v>278</v>
      </c>
      <c r="I27" s="99">
        <f t="shared" si="0"/>
        <v>72</v>
      </c>
    </row>
    <row r="28" spans="1:9" ht="24.75" customHeight="1" x14ac:dyDescent="0.25">
      <c r="A28" s="115" t="s">
        <v>1004</v>
      </c>
      <c r="B28" s="112">
        <v>5830.1</v>
      </c>
      <c r="C28" s="113"/>
      <c r="D28" s="116">
        <v>66</v>
      </c>
      <c r="E28" s="117"/>
      <c r="H28">
        <v>457</v>
      </c>
      <c r="I28" s="99">
        <f t="shared" si="0"/>
        <v>66</v>
      </c>
    </row>
    <row r="29" spans="1:9" ht="24.75" customHeight="1" x14ac:dyDescent="0.25">
      <c r="A29" s="115" t="s">
        <v>1174</v>
      </c>
      <c r="B29" s="112">
        <v>11837.1</v>
      </c>
      <c r="C29" s="113"/>
      <c r="D29" s="116">
        <v>65</v>
      </c>
      <c r="E29" s="117"/>
      <c r="H29" t="s">
        <v>1221</v>
      </c>
      <c r="I29" s="99">
        <f t="shared" si="0"/>
        <v>65</v>
      </c>
    </row>
    <row r="30" spans="1:9" ht="24.75" customHeight="1" x14ac:dyDescent="0.25">
      <c r="A30" s="115" t="s">
        <v>926</v>
      </c>
      <c r="B30" s="112">
        <v>12395.7</v>
      </c>
      <c r="C30" s="113"/>
      <c r="D30" s="116">
        <v>66</v>
      </c>
      <c r="E30" s="117"/>
      <c r="H30">
        <v>404</v>
      </c>
      <c r="I30" s="99">
        <f t="shared" si="0"/>
        <v>66</v>
      </c>
    </row>
    <row r="31" spans="1:9" ht="24.75" customHeight="1" x14ac:dyDescent="0.25">
      <c r="A31" s="115" t="s">
        <v>1042</v>
      </c>
      <c r="B31" s="112">
        <v>5818.7</v>
      </c>
      <c r="C31" s="113"/>
      <c r="D31" s="116">
        <v>69</v>
      </c>
      <c r="E31" s="117"/>
      <c r="H31">
        <v>434</v>
      </c>
      <c r="I31" s="99">
        <f t="shared" si="0"/>
        <v>69</v>
      </c>
    </row>
    <row r="32" spans="1:9" ht="24.75" customHeight="1" x14ac:dyDescent="0.25">
      <c r="A32" s="115" t="s">
        <v>831</v>
      </c>
      <c r="B32" s="112">
        <v>7780.5</v>
      </c>
      <c r="C32" s="113"/>
      <c r="D32" s="116">
        <v>70</v>
      </c>
      <c r="E32" s="117"/>
      <c r="H32">
        <v>301</v>
      </c>
      <c r="I32" s="99">
        <f t="shared" si="0"/>
        <v>70</v>
      </c>
    </row>
    <row r="33" spans="1:9" ht="24.75" customHeight="1" x14ac:dyDescent="0.25">
      <c r="A33" s="115" t="s">
        <v>797</v>
      </c>
      <c r="B33" s="112">
        <v>10710.7</v>
      </c>
      <c r="C33" s="113"/>
      <c r="D33" s="116">
        <v>64</v>
      </c>
      <c r="E33" s="117"/>
      <c r="H33">
        <v>275</v>
      </c>
      <c r="I33" s="99">
        <f t="shared" si="0"/>
        <v>64</v>
      </c>
    </row>
    <row r="34" spans="1:9" ht="24.75" customHeight="1" x14ac:dyDescent="0.25">
      <c r="A34" s="115" t="s">
        <v>1549</v>
      </c>
      <c r="B34" s="112">
        <v>9163.5</v>
      </c>
      <c r="C34" s="113"/>
      <c r="D34" s="116">
        <v>64</v>
      </c>
      <c r="E34" s="117"/>
      <c r="H34" t="s">
        <v>1555</v>
      </c>
      <c r="I34" s="99">
        <f t="shared" si="0"/>
        <v>64</v>
      </c>
    </row>
    <row r="35" spans="1:9" ht="24.75" customHeight="1" x14ac:dyDescent="0.25">
      <c r="A35" s="115" t="s">
        <v>780</v>
      </c>
      <c r="B35" s="112">
        <v>5495.8</v>
      </c>
      <c r="C35" s="113"/>
      <c r="D35" s="116">
        <v>60</v>
      </c>
      <c r="E35" s="117"/>
      <c r="H35">
        <v>261</v>
      </c>
      <c r="I35" s="99">
        <f t="shared" si="0"/>
        <v>60</v>
      </c>
    </row>
    <row r="36" spans="1:9" ht="24.75" customHeight="1" x14ac:dyDescent="0.25">
      <c r="A36" s="115" t="s">
        <v>961</v>
      </c>
      <c r="B36" s="112">
        <v>12439.7</v>
      </c>
      <c r="C36" s="113"/>
      <c r="D36" s="116">
        <v>69</v>
      </c>
      <c r="E36" s="117"/>
      <c r="H36">
        <v>379</v>
      </c>
      <c r="I36" s="99">
        <f t="shared" si="0"/>
        <v>69</v>
      </c>
    </row>
    <row r="37" spans="1:9" ht="24.75" customHeight="1" x14ac:dyDescent="0.25">
      <c r="A37" s="115" t="s">
        <v>803</v>
      </c>
      <c r="B37" s="112">
        <v>6534</v>
      </c>
      <c r="C37" s="113"/>
      <c r="D37" s="116">
        <v>63</v>
      </c>
      <c r="E37" s="117"/>
      <c r="H37">
        <v>280</v>
      </c>
      <c r="I37" s="99">
        <f t="shared" si="0"/>
        <v>63</v>
      </c>
    </row>
    <row r="38" spans="1:9" ht="24.75" customHeight="1" x14ac:dyDescent="0.25">
      <c r="A38" s="115" t="s">
        <v>968</v>
      </c>
      <c r="B38" s="112">
        <v>11132.1</v>
      </c>
      <c r="C38" s="113"/>
      <c r="D38" s="116">
        <v>64</v>
      </c>
      <c r="E38" s="117"/>
      <c r="H38">
        <v>385</v>
      </c>
      <c r="I38" s="99">
        <f t="shared" si="0"/>
        <v>64</v>
      </c>
    </row>
    <row r="39" spans="1:9" ht="24.75" customHeight="1" x14ac:dyDescent="0.25">
      <c r="A39" s="115" t="s">
        <v>1463</v>
      </c>
      <c r="B39" s="112">
        <v>12087.1</v>
      </c>
      <c r="C39" s="113"/>
      <c r="D39" s="116">
        <v>68</v>
      </c>
      <c r="E39" s="117"/>
      <c r="H39" t="s">
        <v>1494</v>
      </c>
      <c r="I39" s="99">
        <f t="shared" si="0"/>
        <v>68</v>
      </c>
    </row>
    <row r="40" spans="1:9" ht="24.75" customHeight="1" x14ac:dyDescent="0.25">
      <c r="A40" s="115" t="s">
        <v>775</v>
      </c>
      <c r="B40" s="112">
        <v>14977.6</v>
      </c>
      <c r="C40" s="113"/>
      <c r="D40" s="116">
        <v>62</v>
      </c>
      <c r="E40" s="117"/>
      <c r="H40">
        <v>256</v>
      </c>
      <c r="I40" s="99">
        <f t="shared" si="0"/>
        <v>62</v>
      </c>
    </row>
    <row r="41" spans="1:9" ht="24.75" customHeight="1" x14ac:dyDescent="0.25">
      <c r="A41" s="115" t="s">
        <v>1119</v>
      </c>
      <c r="B41" s="112">
        <v>12164.3</v>
      </c>
      <c r="C41" s="113"/>
      <c r="D41" s="116">
        <v>65</v>
      </c>
      <c r="E41" s="117"/>
      <c r="H41" t="s">
        <v>1142</v>
      </c>
      <c r="I41" s="99">
        <f t="shared" si="0"/>
        <v>65</v>
      </c>
    </row>
    <row r="42" spans="1:9" ht="24.75" customHeight="1" x14ac:dyDescent="0.25">
      <c r="A42" s="115" t="s">
        <v>1039</v>
      </c>
      <c r="B42" s="112">
        <v>6130.7</v>
      </c>
      <c r="C42" s="113"/>
      <c r="D42" s="116">
        <v>69</v>
      </c>
      <c r="E42" s="117"/>
      <c r="H42">
        <v>430</v>
      </c>
      <c r="I42" s="99">
        <f t="shared" si="0"/>
        <v>69</v>
      </c>
    </row>
    <row r="43" spans="1:9" ht="24.75" customHeight="1" x14ac:dyDescent="0.25">
      <c r="A43" s="115" t="s">
        <v>867</v>
      </c>
      <c r="B43" s="112">
        <v>11518.6</v>
      </c>
      <c r="C43" s="113"/>
      <c r="D43" s="116">
        <v>70</v>
      </c>
      <c r="E43" s="117"/>
      <c r="H43">
        <v>324</v>
      </c>
      <c r="I43" s="99">
        <f t="shared" si="0"/>
        <v>70</v>
      </c>
    </row>
    <row r="44" spans="1:9" ht="24.75" customHeight="1" x14ac:dyDescent="0.25">
      <c r="A44" s="115" t="s">
        <v>1159</v>
      </c>
      <c r="B44" s="112">
        <v>11666.2</v>
      </c>
      <c r="C44" s="113"/>
      <c r="D44" s="116">
        <v>66</v>
      </c>
      <c r="E44" s="117"/>
      <c r="H44" t="s">
        <v>1208</v>
      </c>
      <c r="I44" s="99">
        <f t="shared" si="0"/>
        <v>66</v>
      </c>
    </row>
    <row r="45" spans="1:9" ht="24.75" customHeight="1" x14ac:dyDescent="0.25">
      <c r="A45" s="115" t="s">
        <v>859</v>
      </c>
      <c r="B45" s="112">
        <v>11382.1</v>
      </c>
      <c r="C45" s="113"/>
      <c r="D45" s="116">
        <v>68</v>
      </c>
      <c r="E45" s="117"/>
      <c r="H45">
        <v>306</v>
      </c>
      <c r="I45" s="99">
        <f t="shared" si="0"/>
        <v>68</v>
      </c>
    </row>
    <row r="46" spans="1:9" ht="24.75" customHeight="1" x14ac:dyDescent="0.25">
      <c r="A46" s="115" t="s">
        <v>1121</v>
      </c>
      <c r="B46" s="112">
        <v>12455.1</v>
      </c>
      <c r="C46" s="113"/>
      <c r="D46" s="116">
        <v>68</v>
      </c>
      <c r="E46" s="117"/>
      <c r="H46" t="s">
        <v>1144</v>
      </c>
      <c r="I46" s="99">
        <f t="shared" si="0"/>
        <v>68</v>
      </c>
    </row>
    <row r="47" spans="1:9" ht="24.75" customHeight="1" x14ac:dyDescent="0.25">
      <c r="A47" s="115" t="s">
        <v>921</v>
      </c>
      <c r="B47" s="112">
        <v>11854.8</v>
      </c>
      <c r="C47" s="113"/>
      <c r="D47" s="116">
        <v>63</v>
      </c>
      <c r="E47" s="117"/>
      <c r="H47">
        <v>399</v>
      </c>
      <c r="I47" s="99">
        <f t="shared" si="0"/>
        <v>63</v>
      </c>
    </row>
    <row r="48" spans="1:9" ht="24.75" customHeight="1" x14ac:dyDescent="0.25">
      <c r="A48" s="115" t="s">
        <v>794</v>
      </c>
      <c r="B48" s="112">
        <v>12074.4</v>
      </c>
      <c r="C48" s="113"/>
      <c r="D48" s="116">
        <v>65</v>
      </c>
      <c r="E48" s="117"/>
      <c r="H48">
        <v>273</v>
      </c>
      <c r="I48" s="99">
        <f t="shared" si="0"/>
        <v>65</v>
      </c>
    </row>
    <row r="49" spans="1:9" ht="24.75" customHeight="1" x14ac:dyDescent="0.25">
      <c r="A49" s="115" t="s">
        <v>1172</v>
      </c>
      <c r="B49" s="112">
        <v>12067.6</v>
      </c>
      <c r="C49" s="113"/>
      <c r="D49" s="116">
        <v>65</v>
      </c>
      <c r="E49" s="117"/>
      <c r="H49" t="s">
        <v>1219</v>
      </c>
      <c r="I49" s="99">
        <f t="shared" si="0"/>
        <v>65</v>
      </c>
    </row>
    <row r="50" spans="1:9" ht="24.75" customHeight="1" x14ac:dyDescent="0.25">
      <c r="A50" s="115" t="s">
        <v>868</v>
      </c>
      <c r="B50" s="112">
        <v>15083.2</v>
      </c>
      <c r="C50" s="113"/>
      <c r="D50" s="116">
        <v>68</v>
      </c>
      <c r="E50" s="117"/>
      <c r="H50">
        <v>310</v>
      </c>
      <c r="I50" s="99">
        <f t="shared" si="0"/>
        <v>68</v>
      </c>
    </row>
    <row r="51" spans="1:9" ht="24.75" customHeight="1" x14ac:dyDescent="0.25">
      <c r="A51" s="115" t="s">
        <v>1002</v>
      </c>
      <c r="B51" s="112">
        <v>5668.6</v>
      </c>
      <c r="C51" s="113"/>
      <c r="D51" s="116">
        <v>68</v>
      </c>
      <c r="E51" s="117"/>
      <c r="H51">
        <v>455</v>
      </c>
      <c r="I51" s="99">
        <f t="shared" si="0"/>
        <v>68</v>
      </c>
    </row>
    <row r="52" spans="1:9" ht="24.75" customHeight="1" x14ac:dyDescent="0.25">
      <c r="A52" s="115" t="s">
        <v>930</v>
      </c>
      <c r="B52" s="112">
        <v>12361.6</v>
      </c>
      <c r="C52" s="113"/>
      <c r="D52" s="116">
        <v>68</v>
      </c>
      <c r="E52" s="117"/>
      <c r="H52">
        <v>408</v>
      </c>
      <c r="I52" s="99">
        <f t="shared" si="0"/>
        <v>68</v>
      </c>
    </row>
    <row r="53" spans="1:9" ht="24.75" customHeight="1" x14ac:dyDescent="0.25">
      <c r="A53" s="115" t="s">
        <v>938</v>
      </c>
      <c r="B53" s="112">
        <v>12112.5</v>
      </c>
      <c r="C53" s="113"/>
      <c r="D53" s="116">
        <v>67</v>
      </c>
      <c r="E53" s="117"/>
      <c r="H53">
        <v>338</v>
      </c>
      <c r="I53" s="99">
        <f t="shared" si="0"/>
        <v>67</v>
      </c>
    </row>
    <row r="54" spans="1:9" ht="24.75" customHeight="1" x14ac:dyDescent="0.25">
      <c r="A54" s="115" t="s">
        <v>549</v>
      </c>
      <c r="B54" s="112">
        <v>4058.7</v>
      </c>
      <c r="C54" s="113"/>
      <c r="D54" s="116">
        <v>64</v>
      </c>
      <c r="E54" s="117"/>
      <c r="H54">
        <v>187</v>
      </c>
      <c r="I54" s="99">
        <f t="shared" si="0"/>
        <v>64</v>
      </c>
    </row>
    <row r="55" spans="1:9" ht="24.75" customHeight="1" x14ac:dyDescent="0.25">
      <c r="A55" s="115" t="s">
        <v>977</v>
      </c>
      <c r="B55" s="112">
        <v>11756.8</v>
      </c>
      <c r="C55" s="113"/>
      <c r="D55" s="116">
        <v>56</v>
      </c>
      <c r="E55" s="117"/>
      <c r="H55">
        <v>393</v>
      </c>
      <c r="I55" s="99">
        <f t="shared" si="0"/>
        <v>56</v>
      </c>
    </row>
    <row r="56" spans="1:9" ht="24.75" customHeight="1" x14ac:dyDescent="0.25">
      <c r="A56" s="115" t="s">
        <v>917</v>
      </c>
      <c r="B56" s="112">
        <v>12021.1</v>
      </c>
      <c r="C56" s="113"/>
      <c r="D56" s="116">
        <v>65</v>
      </c>
      <c r="E56" s="117"/>
      <c r="H56">
        <v>395</v>
      </c>
      <c r="I56" s="99">
        <f t="shared" si="0"/>
        <v>65</v>
      </c>
    </row>
    <row r="57" spans="1:9" ht="24.75" customHeight="1" x14ac:dyDescent="0.25">
      <c r="A57" s="115" t="s">
        <v>923</v>
      </c>
      <c r="B57" s="112">
        <v>11180</v>
      </c>
      <c r="C57" s="113"/>
      <c r="D57" s="116">
        <v>65</v>
      </c>
      <c r="E57" s="117"/>
      <c r="H57">
        <v>401</v>
      </c>
      <c r="I57" s="99">
        <f t="shared" si="0"/>
        <v>65</v>
      </c>
    </row>
    <row r="58" spans="1:9" ht="24.75" customHeight="1" x14ac:dyDescent="0.25">
      <c r="A58" s="115" t="s">
        <v>1177</v>
      </c>
      <c r="B58" s="112">
        <v>11973.1</v>
      </c>
      <c r="C58" s="113"/>
      <c r="D58" s="116">
        <v>65</v>
      </c>
      <c r="E58" s="117"/>
      <c r="H58" t="s">
        <v>1224</v>
      </c>
      <c r="I58" s="99">
        <f t="shared" si="0"/>
        <v>65</v>
      </c>
    </row>
    <row r="59" spans="1:9" ht="24.75" customHeight="1" x14ac:dyDescent="0.25">
      <c r="A59" s="115" t="s">
        <v>929</v>
      </c>
      <c r="B59" s="112">
        <v>11570</v>
      </c>
      <c r="C59" s="113"/>
      <c r="D59" s="116">
        <v>66</v>
      </c>
      <c r="E59" s="117"/>
      <c r="H59">
        <v>407</v>
      </c>
      <c r="I59" s="99">
        <f t="shared" si="0"/>
        <v>66</v>
      </c>
    </row>
    <row r="60" spans="1:9" ht="24.75" customHeight="1" x14ac:dyDescent="0.25">
      <c r="A60" s="115" t="s">
        <v>793</v>
      </c>
      <c r="B60" s="112">
        <v>12406.6</v>
      </c>
      <c r="C60" s="113"/>
      <c r="D60" s="116">
        <v>67</v>
      </c>
      <c r="E60" s="117"/>
      <c r="H60">
        <v>272</v>
      </c>
      <c r="I60" s="99">
        <f t="shared" si="0"/>
        <v>67</v>
      </c>
    </row>
    <row r="61" spans="1:9" ht="24.75" customHeight="1" x14ac:dyDescent="0.25">
      <c r="A61" s="115" t="s">
        <v>942</v>
      </c>
      <c r="B61" s="112">
        <v>11941.2</v>
      </c>
      <c r="C61" s="113"/>
      <c r="D61" s="116">
        <v>65</v>
      </c>
      <c r="E61" s="117"/>
      <c r="H61">
        <v>342</v>
      </c>
      <c r="I61" s="99">
        <f t="shared" si="0"/>
        <v>65</v>
      </c>
    </row>
    <row r="62" spans="1:9" ht="24.75" customHeight="1" x14ac:dyDescent="0.25">
      <c r="A62" s="115" t="s">
        <v>1531</v>
      </c>
      <c r="B62" s="112">
        <v>12071.2</v>
      </c>
      <c r="C62" s="113"/>
      <c r="D62" s="116">
        <v>69</v>
      </c>
      <c r="E62" s="117"/>
      <c r="H62" t="s">
        <v>1540</v>
      </c>
      <c r="I62" s="99">
        <f t="shared" si="0"/>
        <v>69</v>
      </c>
    </row>
    <row r="63" spans="1:9" ht="24.75" customHeight="1" x14ac:dyDescent="0.25">
      <c r="A63" s="115" t="s">
        <v>1176</v>
      </c>
      <c r="B63" s="112">
        <v>11793.7</v>
      </c>
      <c r="C63" s="113"/>
      <c r="D63" s="116">
        <v>65</v>
      </c>
      <c r="E63" s="117"/>
      <c r="H63" t="s">
        <v>1223</v>
      </c>
      <c r="I63" s="99">
        <f t="shared" si="0"/>
        <v>65</v>
      </c>
    </row>
    <row r="64" spans="1:9" ht="24.75" customHeight="1" x14ac:dyDescent="0.25">
      <c r="A64" s="115" t="s">
        <v>798</v>
      </c>
      <c r="B64" s="112">
        <v>9778.2000000000007</v>
      </c>
      <c r="C64" s="113"/>
      <c r="D64" s="116">
        <v>68</v>
      </c>
      <c r="E64" s="117"/>
      <c r="H64">
        <v>276</v>
      </c>
      <c r="I64" s="99">
        <f t="shared" si="0"/>
        <v>68</v>
      </c>
    </row>
    <row r="65" spans="1:9" ht="24.75" customHeight="1" x14ac:dyDescent="0.25">
      <c r="A65" s="115" t="s">
        <v>1529</v>
      </c>
      <c r="B65" s="112">
        <v>11581.3</v>
      </c>
      <c r="C65" s="113"/>
      <c r="D65" s="116">
        <v>68</v>
      </c>
      <c r="E65" s="117"/>
      <c r="H65" t="s">
        <v>1539</v>
      </c>
      <c r="I65" s="99">
        <f t="shared" si="0"/>
        <v>68</v>
      </c>
    </row>
    <row r="66" spans="1:9" ht="24.75" customHeight="1" x14ac:dyDescent="0.25">
      <c r="A66" s="115" t="s">
        <v>869</v>
      </c>
      <c r="B66" s="112">
        <v>7878.1</v>
      </c>
      <c r="C66" s="113"/>
      <c r="D66" s="116">
        <v>64</v>
      </c>
      <c r="E66" s="117"/>
      <c r="H66">
        <v>320</v>
      </c>
      <c r="I66" s="99">
        <f t="shared" si="0"/>
        <v>64</v>
      </c>
    </row>
    <row r="67" spans="1:9" ht="24.75" customHeight="1" x14ac:dyDescent="0.25">
      <c r="A67" s="115" t="s">
        <v>1118</v>
      </c>
      <c r="B67" s="112">
        <v>12398.4</v>
      </c>
      <c r="C67" s="113"/>
      <c r="D67" s="116">
        <v>65</v>
      </c>
      <c r="E67" s="117"/>
      <c r="H67" t="s">
        <v>1141</v>
      </c>
      <c r="I67" s="99">
        <f t="shared" si="0"/>
        <v>65</v>
      </c>
    </row>
    <row r="68" spans="1:9" ht="24.75" customHeight="1" x14ac:dyDescent="0.25">
      <c r="A68" s="115" t="s">
        <v>1027</v>
      </c>
      <c r="B68" s="112">
        <v>6069.7</v>
      </c>
      <c r="C68" s="113"/>
      <c r="D68" s="116">
        <v>72</v>
      </c>
      <c r="E68" s="117"/>
      <c r="H68">
        <v>418</v>
      </c>
      <c r="I68" s="99">
        <f t="shared" si="0"/>
        <v>72</v>
      </c>
    </row>
    <row r="69" spans="1:9" ht="24.75" customHeight="1" x14ac:dyDescent="0.25">
      <c r="A69" s="115" t="s">
        <v>814</v>
      </c>
      <c r="B69" s="112">
        <v>13406.7</v>
      </c>
      <c r="C69" s="113"/>
      <c r="D69" s="116">
        <v>64</v>
      </c>
      <c r="E69" s="117"/>
      <c r="H69">
        <v>290</v>
      </c>
      <c r="I69" s="99">
        <f t="shared" si="0"/>
        <v>64</v>
      </c>
    </row>
    <row r="70" spans="1:9" ht="24.75" customHeight="1" x14ac:dyDescent="0.25">
      <c r="A70" s="115" t="s">
        <v>870</v>
      </c>
      <c r="B70" s="112">
        <v>12326.1</v>
      </c>
      <c r="C70" s="113"/>
      <c r="D70" s="116">
        <v>68</v>
      </c>
      <c r="E70" s="117"/>
      <c r="H70">
        <v>332</v>
      </c>
      <c r="I70" s="99">
        <f t="shared" si="0"/>
        <v>68</v>
      </c>
    </row>
    <row r="71" spans="1:9" ht="24.75" customHeight="1" x14ac:dyDescent="0.25">
      <c r="A71" s="115" t="s">
        <v>871</v>
      </c>
      <c r="B71" s="112">
        <v>11554.4</v>
      </c>
      <c r="C71" s="113"/>
      <c r="D71" s="116">
        <v>69</v>
      </c>
      <c r="E71" s="117"/>
      <c r="H71">
        <v>330</v>
      </c>
      <c r="I71" s="99">
        <f t="shared" si="0"/>
        <v>69</v>
      </c>
    </row>
    <row r="72" spans="1:9" ht="24.75" customHeight="1" x14ac:dyDescent="0.25">
      <c r="A72" s="115" t="s">
        <v>1035</v>
      </c>
      <c r="B72" s="112">
        <v>11683.5</v>
      </c>
      <c r="C72" s="113"/>
      <c r="D72" s="116">
        <v>71</v>
      </c>
      <c r="E72" s="117"/>
      <c r="H72">
        <v>426</v>
      </c>
      <c r="I72" s="99">
        <f t="shared" si="0"/>
        <v>71</v>
      </c>
    </row>
    <row r="73" spans="1:9" ht="24.75" customHeight="1" x14ac:dyDescent="0.25">
      <c r="A73" s="115" t="s">
        <v>937</v>
      </c>
      <c r="B73" s="112">
        <v>11611.1</v>
      </c>
      <c r="C73" s="113"/>
      <c r="D73" s="116">
        <v>64</v>
      </c>
      <c r="E73" s="117"/>
      <c r="H73">
        <v>337</v>
      </c>
      <c r="I73" s="99">
        <f t="shared" si="0"/>
        <v>64</v>
      </c>
    </row>
    <row r="74" spans="1:9" ht="24.75" customHeight="1" x14ac:dyDescent="0.25">
      <c r="A74" s="115" t="s">
        <v>1031</v>
      </c>
      <c r="B74" s="112">
        <v>12182.2</v>
      </c>
      <c r="C74" s="113"/>
      <c r="D74" s="116">
        <v>69</v>
      </c>
      <c r="E74" s="117"/>
      <c r="H74">
        <v>422</v>
      </c>
      <c r="I74" s="99">
        <f t="shared" si="0"/>
        <v>69</v>
      </c>
    </row>
    <row r="75" spans="1:9" ht="24.75" customHeight="1" x14ac:dyDescent="0.25">
      <c r="A75" s="115" t="s">
        <v>1550</v>
      </c>
      <c r="B75" s="112">
        <v>10522.6</v>
      </c>
      <c r="C75" s="113"/>
      <c r="D75" s="116">
        <v>68</v>
      </c>
      <c r="E75" s="117"/>
      <c r="H75" t="s">
        <v>1556</v>
      </c>
      <c r="I75" s="99">
        <f t="shared" si="0"/>
        <v>68</v>
      </c>
    </row>
    <row r="76" spans="1:9" ht="24.75" customHeight="1" x14ac:dyDescent="0.25">
      <c r="A76" s="115" t="s">
        <v>1026</v>
      </c>
      <c r="B76" s="112">
        <v>11997.2</v>
      </c>
      <c r="C76" s="113"/>
      <c r="D76" s="116">
        <v>67</v>
      </c>
      <c r="E76" s="117"/>
      <c r="H76">
        <v>417</v>
      </c>
      <c r="I76" s="99">
        <f t="shared" si="0"/>
        <v>67</v>
      </c>
    </row>
    <row r="77" spans="1:9" ht="24.75" customHeight="1" x14ac:dyDescent="0.25">
      <c r="A77" s="115" t="s">
        <v>972</v>
      </c>
      <c r="B77" s="112">
        <v>12342</v>
      </c>
      <c r="C77" s="113"/>
      <c r="D77" s="116">
        <v>69</v>
      </c>
      <c r="E77" s="117"/>
      <c r="H77">
        <v>388</v>
      </c>
      <c r="I77" s="99">
        <f t="shared" si="0"/>
        <v>69</v>
      </c>
    </row>
    <row r="78" spans="1:9" ht="24.75" customHeight="1" x14ac:dyDescent="0.25">
      <c r="A78" s="115" t="s">
        <v>832</v>
      </c>
      <c r="B78" s="112">
        <v>11113.2</v>
      </c>
      <c r="C78" s="113"/>
      <c r="D78" s="116">
        <v>65</v>
      </c>
      <c r="E78" s="117"/>
      <c r="H78">
        <v>300</v>
      </c>
      <c r="I78" s="99">
        <f t="shared" si="0"/>
        <v>65</v>
      </c>
    </row>
    <row r="79" spans="1:9" ht="24.75" customHeight="1" x14ac:dyDescent="0.25">
      <c r="A79" s="115" t="s">
        <v>1552</v>
      </c>
      <c r="B79" s="112">
        <v>10744.8</v>
      </c>
      <c r="C79" s="113"/>
      <c r="D79" s="116">
        <v>64</v>
      </c>
      <c r="E79" s="117"/>
      <c r="H79" t="s">
        <v>1558</v>
      </c>
      <c r="I79" s="99">
        <f t="shared" ref="I79:I142" si="1">D79</f>
        <v>64</v>
      </c>
    </row>
    <row r="80" spans="1:9" ht="24.75" customHeight="1" x14ac:dyDescent="0.25">
      <c r="A80" s="115" t="s">
        <v>809</v>
      </c>
      <c r="B80" s="112">
        <v>11516.8</v>
      </c>
      <c r="C80" s="113"/>
      <c r="D80" s="116">
        <v>68</v>
      </c>
      <c r="E80" s="117"/>
      <c r="H80">
        <v>285</v>
      </c>
      <c r="I80" s="99">
        <f t="shared" si="1"/>
        <v>68</v>
      </c>
    </row>
    <row r="81" spans="1:9" ht="24.75" customHeight="1" x14ac:dyDescent="0.25">
      <c r="A81" s="115" t="s">
        <v>872</v>
      </c>
      <c r="B81" s="112">
        <v>3906</v>
      </c>
      <c r="C81" s="113"/>
      <c r="D81" s="116">
        <v>64</v>
      </c>
      <c r="E81" s="117"/>
      <c r="H81">
        <v>336</v>
      </c>
      <c r="I81" s="99">
        <f t="shared" si="1"/>
        <v>64</v>
      </c>
    </row>
    <row r="82" spans="1:9" ht="24.75" customHeight="1" x14ac:dyDescent="0.25">
      <c r="A82" s="115" t="s">
        <v>1032</v>
      </c>
      <c r="B82" s="112">
        <v>11784.5</v>
      </c>
      <c r="C82" s="113"/>
      <c r="D82" s="116">
        <v>70</v>
      </c>
      <c r="E82" s="117"/>
      <c r="H82">
        <v>423</v>
      </c>
      <c r="I82" s="99">
        <f t="shared" si="1"/>
        <v>70</v>
      </c>
    </row>
    <row r="83" spans="1:9" ht="24.75" customHeight="1" x14ac:dyDescent="0.25">
      <c r="A83" s="115" t="s">
        <v>924</v>
      </c>
      <c r="B83" s="112">
        <v>12150</v>
      </c>
      <c r="C83" s="113"/>
      <c r="D83" s="116">
        <v>64</v>
      </c>
      <c r="E83" s="117"/>
      <c r="H83">
        <v>402</v>
      </c>
      <c r="I83" s="99">
        <f t="shared" si="1"/>
        <v>64</v>
      </c>
    </row>
    <row r="84" spans="1:9" ht="24.75" customHeight="1" x14ac:dyDescent="0.25">
      <c r="A84" s="115" t="s">
        <v>873</v>
      </c>
      <c r="B84" s="112">
        <v>6442.1</v>
      </c>
      <c r="C84" s="113"/>
      <c r="D84" s="116">
        <v>65</v>
      </c>
      <c r="E84" s="117"/>
      <c r="H84">
        <v>319</v>
      </c>
      <c r="I84" s="99">
        <f t="shared" si="1"/>
        <v>65</v>
      </c>
    </row>
    <row r="85" spans="1:9" ht="24.75" customHeight="1" x14ac:dyDescent="0.25">
      <c r="A85" s="115" t="s">
        <v>1523</v>
      </c>
      <c r="B85" s="112">
        <v>12768.9</v>
      </c>
      <c r="C85" s="113"/>
      <c r="D85" s="116">
        <v>66</v>
      </c>
      <c r="E85" s="117"/>
      <c r="H85" t="s">
        <v>1533</v>
      </c>
      <c r="I85" s="99">
        <f t="shared" si="1"/>
        <v>66</v>
      </c>
    </row>
    <row r="86" spans="1:9" ht="24.75" customHeight="1" x14ac:dyDescent="0.25">
      <c r="A86" s="115" t="s">
        <v>874</v>
      </c>
      <c r="B86" s="112">
        <v>11961</v>
      </c>
      <c r="C86" s="113"/>
      <c r="D86" s="116">
        <v>66</v>
      </c>
      <c r="E86" s="117"/>
      <c r="H86">
        <v>333</v>
      </c>
      <c r="I86" s="99">
        <f t="shared" si="1"/>
        <v>66</v>
      </c>
    </row>
    <row r="87" spans="1:9" ht="24.75" customHeight="1" x14ac:dyDescent="0.25">
      <c r="A87" s="115" t="s">
        <v>1160</v>
      </c>
      <c r="B87" s="112">
        <v>11608.1</v>
      </c>
      <c r="C87" s="113"/>
      <c r="D87" s="116">
        <v>65</v>
      </c>
      <c r="E87" s="117"/>
      <c r="H87" t="s">
        <v>1209</v>
      </c>
      <c r="I87" s="99">
        <f t="shared" si="1"/>
        <v>65</v>
      </c>
    </row>
    <row r="88" spans="1:9" ht="24.75" customHeight="1" x14ac:dyDescent="0.25">
      <c r="A88" s="115" t="s">
        <v>919</v>
      </c>
      <c r="B88" s="112">
        <v>11345.8</v>
      </c>
      <c r="C88" s="113"/>
      <c r="D88" s="116">
        <v>65</v>
      </c>
      <c r="E88" s="117"/>
      <c r="H88">
        <v>397</v>
      </c>
      <c r="I88" s="99">
        <f t="shared" si="1"/>
        <v>65</v>
      </c>
    </row>
    <row r="89" spans="1:9" ht="24.75" customHeight="1" x14ac:dyDescent="0.25">
      <c r="A89" s="115" t="s">
        <v>1170</v>
      </c>
      <c r="B89" s="112">
        <v>12239.1</v>
      </c>
      <c r="C89" s="113"/>
      <c r="D89" s="116">
        <v>63</v>
      </c>
      <c r="E89" s="117"/>
      <c r="H89" t="s">
        <v>1217</v>
      </c>
      <c r="I89" s="99">
        <f t="shared" si="1"/>
        <v>63</v>
      </c>
    </row>
    <row r="90" spans="1:9" ht="24.75" customHeight="1" x14ac:dyDescent="0.25">
      <c r="A90" s="115" t="s">
        <v>971</v>
      </c>
      <c r="B90" s="112">
        <v>11982.2</v>
      </c>
      <c r="C90" s="113"/>
      <c r="D90" s="116">
        <v>67</v>
      </c>
      <c r="E90" s="117"/>
      <c r="H90">
        <v>387</v>
      </c>
      <c r="I90" s="99">
        <f t="shared" si="1"/>
        <v>67</v>
      </c>
    </row>
    <row r="91" spans="1:9" ht="24.75" customHeight="1" x14ac:dyDescent="0.25">
      <c r="A91" s="115" t="s">
        <v>774</v>
      </c>
      <c r="B91" s="112">
        <v>3348.3</v>
      </c>
      <c r="C91" s="113"/>
      <c r="D91" s="116">
        <v>67</v>
      </c>
      <c r="E91" s="117"/>
      <c r="H91">
        <v>255</v>
      </c>
      <c r="I91" s="99">
        <f t="shared" si="1"/>
        <v>67</v>
      </c>
    </row>
    <row r="92" spans="1:9" ht="24.75" customHeight="1" x14ac:dyDescent="0.25">
      <c r="A92" s="115" t="s">
        <v>1543</v>
      </c>
      <c r="B92" s="112">
        <v>12023.1</v>
      </c>
      <c r="C92" s="113"/>
      <c r="D92" s="116">
        <v>72</v>
      </c>
      <c r="E92" s="117"/>
      <c r="H92" t="s">
        <v>1542</v>
      </c>
      <c r="I92" s="99">
        <f t="shared" si="1"/>
        <v>72</v>
      </c>
    </row>
    <row r="93" spans="1:9" ht="24.75" customHeight="1" x14ac:dyDescent="0.25">
      <c r="A93" s="115" t="s">
        <v>1175</v>
      </c>
      <c r="B93" s="112">
        <v>11673.5</v>
      </c>
      <c r="C93" s="113"/>
      <c r="D93" s="116">
        <v>64</v>
      </c>
      <c r="E93" s="117"/>
      <c r="H93" t="s">
        <v>1222</v>
      </c>
      <c r="I93" s="99">
        <f t="shared" si="1"/>
        <v>64</v>
      </c>
    </row>
    <row r="94" spans="1:9" ht="24.75" customHeight="1" x14ac:dyDescent="0.25">
      <c r="A94" s="115" t="s">
        <v>1153</v>
      </c>
      <c r="B94" s="112">
        <v>11730.3</v>
      </c>
      <c r="C94" s="113"/>
      <c r="D94" s="116">
        <v>60</v>
      </c>
      <c r="E94" s="117"/>
      <c r="H94" t="s">
        <v>1202</v>
      </c>
      <c r="I94" s="99">
        <f t="shared" si="1"/>
        <v>60</v>
      </c>
    </row>
    <row r="95" spans="1:9" ht="24.75" customHeight="1" x14ac:dyDescent="0.25">
      <c r="A95" s="115" t="s">
        <v>973</v>
      </c>
      <c r="B95" s="112">
        <v>12444.8</v>
      </c>
      <c r="C95" s="113"/>
      <c r="D95" s="116">
        <v>65</v>
      </c>
      <c r="E95" s="117"/>
      <c r="H95">
        <v>389</v>
      </c>
      <c r="I95" s="99">
        <f t="shared" si="1"/>
        <v>65</v>
      </c>
    </row>
    <row r="96" spans="1:9" ht="24.75" customHeight="1" x14ac:dyDescent="0.25">
      <c r="A96" s="115" t="s">
        <v>1528</v>
      </c>
      <c r="B96" s="112">
        <v>11094.8</v>
      </c>
      <c r="C96" s="113"/>
      <c r="D96" s="116">
        <v>66</v>
      </c>
      <c r="E96" s="117"/>
      <c r="H96" t="s">
        <v>1538</v>
      </c>
      <c r="I96" s="99">
        <f t="shared" si="1"/>
        <v>66</v>
      </c>
    </row>
    <row r="97" spans="1:9" ht="24.75" customHeight="1" x14ac:dyDescent="0.25">
      <c r="A97" s="115" t="s">
        <v>875</v>
      </c>
      <c r="B97" s="112">
        <v>3812.7</v>
      </c>
      <c r="C97" s="113"/>
      <c r="D97" s="116">
        <v>67</v>
      </c>
      <c r="E97" s="117"/>
      <c r="H97">
        <v>325</v>
      </c>
      <c r="I97" s="99">
        <f t="shared" si="1"/>
        <v>67</v>
      </c>
    </row>
    <row r="98" spans="1:9" ht="24.75" customHeight="1" x14ac:dyDescent="0.25">
      <c r="A98" s="115" t="s">
        <v>915</v>
      </c>
      <c r="B98" s="112">
        <v>11854.8</v>
      </c>
      <c r="C98" s="113"/>
      <c r="D98" s="116">
        <v>63</v>
      </c>
      <c r="E98" s="117"/>
      <c r="H98">
        <v>394</v>
      </c>
      <c r="I98" s="99">
        <f t="shared" si="1"/>
        <v>63</v>
      </c>
    </row>
    <row r="99" spans="1:9" ht="24.75" customHeight="1" x14ac:dyDescent="0.25">
      <c r="A99" s="115" t="s">
        <v>1155</v>
      </c>
      <c r="B99" s="112">
        <v>11752.9</v>
      </c>
      <c r="C99" s="113"/>
      <c r="D99" s="116">
        <v>68</v>
      </c>
      <c r="E99" s="117"/>
      <c r="H99" t="s">
        <v>1204</v>
      </c>
      <c r="I99" s="99">
        <f t="shared" si="1"/>
        <v>68</v>
      </c>
    </row>
    <row r="100" spans="1:9" ht="24.75" customHeight="1" x14ac:dyDescent="0.25">
      <c r="A100" s="115" t="s">
        <v>925</v>
      </c>
      <c r="B100" s="112">
        <v>11693.5</v>
      </c>
      <c r="C100" s="113"/>
      <c r="D100" s="116">
        <v>67</v>
      </c>
      <c r="E100" s="117"/>
      <c r="H100">
        <v>403</v>
      </c>
      <c r="I100" s="99">
        <f t="shared" si="1"/>
        <v>67</v>
      </c>
    </row>
    <row r="101" spans="1:9" ht="24.75" customHeight="1" x14ac:dyDescent="0.25">
      <c r="A101" s="115" t="s">
        <v>1030</v>
      </c>
      <c r="B101" s="112">
        <v>12276.5</v>
      </c>
      <c r="C101" s="113"/>
      <c r="D101" s="116">
        <v>68</v>
      </c>
      <c r="E101" s="117"/>
      <c r="H101">
        <v>421</v>
      </c>
      <c r="I101" s="99">
        <f t="shared" si="1"/>
        <v>68</v>
      </c>
    </row>
    <row r="102" spans="1:9" ht="24.75" customHeight="1" x14ac:dyDescent="0.25">
      <c r="A102" s="115" t="s">
        <v>862</v>
      </c>
      <c r="B102" s="112">
        <v>11035.1</v>
      </c>
      <c r="C102" s="113"/>
      <c r="D102" s="116">
        <v>68</v>
      </c>
      <c r="E102" s="117"/>
      <c r="H102">
        <v>309</v>
      </c>
      <c r="I102" s="99">
        <f t="shared" si="1"/>
        <v>68</v>
      </c>
    </row>
    <row r="103" spans="1:9" ht="24.75" customHeight="1" x14ac:dyDescent="0.25">
      <c r="A103" s="115" t="s">
        <v>776</v>
      </c>
      <c r="B103" s="112">
        <v>10897.9</v>
      </c>
      <c r="C103" s="113"/>
      <c r="D103" s="116">
        <v>62</v>
      </c>
      <c r="E103" s="117"/>
      <c r="H103">
        <v>257</v>
      </c>
      <c r="I103" s="99">
        <f t="shared" si="1"/>
        <v>62</v>
      </c>
    </row>
    <row r="104" spans="1:9" ht="24.75" customHeight="1" x14ac:dyDescent="0.25">
      <c r="A104" s="115" t="s">
        <v>1125</v>
      </c>
      <c r="B104" s="112">
        <v>12351.3</v>
      </c>
      <c r="C104" s="113"/>
      <c r="D104" s="116">
        <v>67</v>
      </c>
      <c r="E104" s="117"/>
      <c r="H104" t="s">
        <v>1148</v>
      </c>
      <c r="I104" s="99">
        <f t="shared" si="1"/>
        <v>67</v>
      </c>
    </row>
    <row r="105" spans="1:9" ht="24.75" customHeight="1" x14ac:dyDescent="0.25">
      <c r="A105" s="115" t="s">
        <v>927</v>
      </c>
      <c r="B105" s="112">
        <v>11900</v>
      </c>
      <c r="C105" s="113"/>
      <c r="D105" s="116">
        <v>64</v>
      </c>
      <c r="E105" s="117"/>
      <c r="H105">
        <v>405</v>
      </c>
      <c r="I105" s="99">
        <f t="shared" si="1"/>
        <v>64</v>
      </c>
    </row>
    <row r="106" spans="1:9" ht="24.75" customHeight="1" x14ac:dyDescent="0.25">
      <c r="A106" s="115" t="s">
        <v>969</v>
      </c>
      <c r="B106" s="112">
        <v>6161.6</v>
      </c>
      <c r="C106" s="113"/>
      <c r="D106" s="116">
        <v>63</v>
      </c>
      <c r="E106" s="117"/>
      <c r="H106">
        <v>386</v>
      </c>
      <c r="I106" s="99">
        <f t="shared" si="1"/>
        <v>63</v>
      </c>
    </row>
    <row r="107" spans="1:9" ht="24.75" customHeight="1" x14ac:dyDescent="0.25">
      <c r="A107" s="115" t="s">
        <v>939</v>
      </c>
      <c r="B107" s="112">
        <v>11647.2</v>
      </c>
      <c r="C107" s="113"/>
      <c r="D107" s="116">
        <v>67</v>
      </c>
      <c r="E107" s="117"/>
      <c r="H107">
        <v>339</v>
      </c>
      <c r="I107" s="99">
        <f t="shared" si="1"/>
        <v>67</v>
      </c>
    </row>
    <row r="108" spans="1:9" ht="24.75" customHeight="1" x14ac:dyDescent="0.25">
      <c r="A108" s="115" t="s">
        <v>860</v>
      </c>
      <c r="B108" s="112">
        <v>8096.8</v>
      </c>
      <c r="C108" s="113"/>
      <c r="D108" s="116">
        <v>69</v>
      </c>
      <c r="E108" s="117"/>
      <c r="H108">
        <v>307</v>
      </c>
      <c r="I108" s="99">
        <f t="shared" si="1"/>
        <v>69</v>
      </c>
    </row>
    <row r="109" spans="1:9" ht="24.75" customHeight="1" x14ac:dyDescent="0.25">
      <c r="A109" s="115" t="s">
        <v>941</v>
      </c>
      <c r="B109" s="112">
        <v>11618.4</v>
      </c>
      <c r="C109" s="113"/>
      <c r="D109" s="116">
        <v>66</v>
      </c>
      <c r="E109" s="117"/>
      <c r="H109">
        <v>341</v>
      </c>
      <c r="I109" s="99">
        <f t="shared" si="1"/>
        <v>66</v>
      </c>
    </row>
    <row r="110" spans="1:9" ht="24.75" customHeight="1" x14ac:dyDescent="0.25">
      <c r="A110" s="115" t="s">
        <v>931</v>
      </c>
      <c r="B110" s="112">
        <v>12103</v>
      </c>
      <c r="C110" s="113"/>
      <c r="D110" s="116">
        <v>69</v>
      </c>
      <c r="E110" s="117"/>
      <c r="H110">
        <v>409</v>
      </c>
      <c r="I110" s="99">
        <f t="shared" si="1"/>
        <v>69</v>
      </c>
    </row>
    <row r="111" spans="1:9" ht="24.75" customHeight="1" x14ac:dyDescent="0.25">
      <c r="A111" s="115" t="s">
        <v>1029</v>
      </c>
      <c r="B111" s="112">
        <v>12374</v>
      </c>
      <c r="C111" s="113"/>
      <c r="D111" s="116">
        <v>71</v>
      </c>
      <c r="E111" s="117"/>
      <c r="H111">
        <v>420</v>
      </c>
      <c r="I111" s="99">
        <f t="shared" si="1"/>
        <v>71</v>
      </c>
    </row>
    <row r="112" spans="1:9" ht="24.75" customHeight="1" x14ac:dyDescent="0.25">
      <c r="A112" s="115" t="s">
        <v>876</v>
      </c>
      <c r="B112" s="112">
        <v>3989.7</v>
      </c>
      <c r="C112" s="113"/>
      <c r="D112" s="116">
        <v>68</v>
      </c>
      <c r="E112" s="117"/>
      <c r="H112">
        <v>329</v>
      </c>
      <c r="I112" s="99">
        <f t="shared" si="1"/>
        <v>68</v>
      </c>
    </row>
    <row r="113" spans="1:9" ht="24.75" customHeight="1" x14ac:dyDescent="0.25">
      <c r="A113" s="115" t="s">
        <v>1464</v>
      </c>
      <c r="B113" s="112">
        <v>12173</v>
      </c>
      <c r="C113" s="113"/>
      <c r="D113" s="116">
        <v>68</v>
      </c>
      <c r="E113" s="117"/>
      <c r="H113" t="s">
        <v>1495</v>
      </c>
      <c r="I113" s="99">
        <f t="shared" si="1"/>
        <v>68</v>
      </c>
    </row>
    <row r="114" spans="1:9" ht="24.75" customHeight="1" x14ac:dyDescent="0.25">
      <c r="A114" s="115" t="s">
        <v>1117</v>
      </c>
      <c r="B114" s="112">
        <v>12313.9</v>
      </c>
      <c r="C114" s="113"/>
      <c r="D114" s="116">
        <v>65</v>
      </c>
      <c r="E114" s="117"/>
      <c r="H114" t="s">
        <v>1140</v>
      </c>
      <c r="I114" s="99">
        <f t="shared" si="1"/>
        <v>65</v>
      </c>
    </row>
    <row r="115" spans="1:9" ht="24.75" customHeight="1" x14ac:dyDescent="0.25">
      <c r="A115" s="115" t="s">
        <v>1173</v>
      </c>
      <c r="B115" s="112">
        <v>12506.4</v>
      </c>
      <c r="C115" s="113"/>
      <c r="D115" s="116">
        <v>66</v>
      </c>
      <c r="E115" s="117"/>
      <c r="H115" t="s">
        <v>1220</v>
      </c>
      <c r="I115" s="99">
        <f t="shared" si="1"/>
        <v>66</v>
      </c>
    </row>
    <row r="116" spans="1:9" ht="24.75" customHeight="1" x14ac:dyDescent="0.25">
      <c r="A116" s="115" t="s">
        <v>928</v>
      </c>
      <c r="B116" s="112">
        <v>11331.5</v>
      </c>
      <c r="C116" s="113"/>
      <c r="D116" s="116">
        <v>67</v>
      </c>
      <c r="E116" s="117"/>
      <c r="H116">
        <v>406</v>
      </c>
      <c r="I116" s="99">
        <f t="shared" si="1"/>
        <v>67</v>
      </c>
    </row>
    <row r="117" spans="1:9" ht="24.75" customHeight="1" x14ac:dyDescent="0.25">
      <c r="A117" s="115" t="s">
        <v>851</v>
      </c>
      <c r="B117" s="112">
        <v>3712.6</v>
      </c>
      <c r="C117" s="113"/>
      <c r="D117" s="116">
        <v>67</v>
      </c>
      <c r="E117" s="117"/>
      <c r="H117">
        <v>302</v>
      </c>
      <c r="I117" s="99">
        <f t="shared" si="1"/>
        <v>67</v>
      </c>
    </row>
    <row r="118" spans="1:9" ht="24.75" customHeight="1" x14ac:dyDescent="0.25">
      <c r="A118" s="115" t="s">
        <v>1034</v>
      </c>
      <c r="B118" s="112">
        <v>11755.9</v>
      </c>
      <c r="C118" s="113"/>
      <c r="D118" s="116">
        <v>72</v>
      </c>
      <c r="E118" s="117"/>
      <c r="H118">
        <v>425</v>
      </c>
      <c r="I118" s="99">
        <f t="shared" si="1"/>
        <v>72</v>
      </c>
    </row>
    <row r="119" spans="1:9" ht="24.75" customHeight="1" x14ac:dyDescent="0.25">
      <c r="A119" s="115" t="s">
        <v>802</v>
      </c>
      <c r="B119" s="112">
        <v>6258.6</v>
      </c>
      <c r="C119" s="113"/>
      <c r="D119" s="116">
        <v>69</v>
      </c>
      <c r="E119" s="117"/>
      <c r="H119">
        <v>279</v>
      </c>
      <c r="I119" s="99">
        <f t="shared" si="1"/>
        <v>69</v>
      </c>
    </row>
    <row r="120" spans="1:9" ht="24.75" customHeight="1" x14ac:dyDescent="0.25">
      <c r="A120" s="115" t="s">
        <v>877</v>
      </c>
      <c r="B120" s="112">
        <v>9131.7000000000007</v>
      </c>
      <c r="C120" s="113"/>
      <c r="D120" s="116">
        <v>70</v>
      </c>
      <c r="E120" s="117"/>
      <c r="H120">
        <v>312</v>
      </c>
      <c r="I120" s="99">
        <f t="shared" si="1"/>
        <v>70</v>
      </c>
    </row>
    <row r="121" spans="1:9" ht="24.75" customHeight="1" x14ac:dyDescent="0.25">
      <c r="A121" s="115" t="s">
        <v>878</v>
      </c>
      <c r="B121" s="112">
        <v>11257.2</v>
      </c>
      <c r="C121" s="113"/>
      <c r="D121" s="116">
        <v>66</v>
      </c>
      <c r="E121" s="117"/>
      <c r="H121">
        <v>327</v>
      </c>
      <c r="I121" s="99">
        <f t="shared" si="1"/>
        <v>66</v>
      </c>
    </row>
    <row r="122" spans="1:9" ht="24.75" customHeight="1" x14ac:dyDescent="0.25">
      <c r="A122" s="115" t="s">
        <v>1047</v>
      </c>
      <c r="B122" s="112">
        <v>11805.9</v>
      </c>
      <c r="C122" s="113"/>
      <c r="D122" s="116">
        <v>54</v>
      </c>
      <c r="E122" s="117"/>
      <c r="H122">
        <v>356</v>
      </c>
      <c r="I122" s="99">
        <f t="shared" si="1"/>
        <v>54</v>
      </c>
    </row>
    <row r="123" spans="1:9" ht="24.75" customHeight="1" x14ac:dyDescent="0.25">
      <c r="A123" s="115" t="s">
        <v>1154</v>
      </c>
      <c r="B123" s="112">
        <v>11785.2</v>
      </c>
      <c r="C123" s="113"/>
      <c r="D123" s="116">
        <v>66</v>
      </c>
      <c r="E123" s="117"/>
      <c r="H123" t="s">
        <v>1203</v>
      </c>
      <c r="I123" s="99">
        <f t="shared" si="1"/>
        <v>66</v>
      </c>
    </row>
    <row r="124" spans="1:9" ht="24.75" customHeight="1" x14ac:dyDescent="0.25">
      <c r="A124" s="115" t="s">
        <v>778</v>
      </c>
      <c r="B124" s="112">
        <v>4099.6000000000004</v>
      </c>
      <c r="C124" s="113"/>
      <c r="D124" s="116">
        <v>67</v>
      </c>
      <c r="E124" s="117"/>
      <c r="H124">
        <v>259</v>
      </c>
      <c r="I124" s="99">
        <f t="shared" si="1"/>
        <v>67</v>
      </c>
    </row>
    <row r="125" spans="1:9" ht="24.75" customHeight="1" x14ac:dyDescent="0.25">
      <c r="A125" s="115" t="s">
        <v>1043</v>
      </c>
      <c r="B125" s="112">
        <v>11885.6</v>
      </c>
      <c r="C125" s="113"/>
      <c r="D125" s="116">
        <v>68</v>
      </c>
      <c r="E125" s="117"/>
      <c r="H125">
        <v>435</v>
      </c>
      <c r="I125" s="99">
        <f t="shared" si="1"/>
        <v>68</v>
      </c>
    </row>
    <row r="126" spans="1:9" ht="24.75" customHeight="1" x14ac:dyDescent="0.25">
      <c r="A126" s="115" t="s">
        <v>1126</v>
      </c>
      <c r="B126" s="112">
        <v>12155</v>
      </c>
      <c r="C126" s="113"/>
      <c r="D126" s="116">
        <v>70</v>
      </c>
      <c r="E126" s="117"/>
      <c r="H126" t="s">
        <v>1149</v>
      </c>
      <c r="I126" s="99">
        <f t="shared" si="1"/>
        <v>70</v>
      </c>
    </row>
    <row r="127" spans="1:9" ht="24.75" customHeight="1" x14ac:dyDescent="0.25">
      <c r="A127" s="115" t="s">
        <v>552</v>
      </c>
      <c r="B127" s="112">
        <v>4149.6000000000004</v>
      </c>
      <c r="C127" s="113"/>
      <c r="D127" s="116">
        <v>64</v>
      </c>
      <c r="E127" s="117"/>
      <c r="H127">
        <v>189</v>
      </c>
      <c r="I127" s="99">
        <f t="shared" si="1"/>
        <v>64</v>
      </c>
    </row>
    <row r="128" spans="1:9" ht="24.75" customHeight="1" x14ac:dyDescent="0.25">
      <c r="A128" s="115" t="s">
        <v>1028</v>
      </c>
      <c r="B128" s="112">
        <v>6148.8</v>
      </c>
      <c r="C128" s="113"/>
      <c r="D128" s="116">
        <v>64</v>
      </c>
      <c r="E128" s="117"/>
      <c r="H128">
        <v>419</v>
      </c>
      <c r="I128" s="99">
        <f t="shared" si="1"/>
        <v>64</v>
      </c>
    </row>
    <row r="129" spans="1:9" ht="24.75" customHeight="1" x14ac:dyDescent="0.25">
      <c r="A129" s="115" t="s">
        <v>1040</v>
      </c>
      <c r="B129" s="112">
        <v>5685.7</v>
      </c>
      <c r="C129" s="113"/>
      <c r="D129" s="116">
        <v>64</v>
      </c>
      <c r="E129" s="117"/>
      <c r="H129">
        <v>431</v>
      </c>
      <c r="I129" s="99">
        <f t="shared" si="1"/>
        <v>64</v>
      </c>
    </row>
    <row r="130" spans="1:9" ht="24.75" customHeight="1" x14ac:dyDescent="0.25">
      <c r="A130" s="115" t="s">
        <v>879</v>
      </c>
      <c r="B130" s="112">
        <v>12188</v>
      </c>
      <c r="C130" s="113"/>
      <c r="D130" s="116">
        <v>68</v>
      </c>
      <c r="E130" s="117"/>
      <c r="H130">
        <v>328</v>
      </c>
      <c r="I130" s="99">
        <f t="shared" si="1"/>
        <v>68</v>
      </c>
    </row>
    <row r="131" spans="1:9" ht="24.75" customHeight="1" x14ac:dyDescent="0.25">
      <c r="A131" s="115" t="s">
        <v>1003</v>
      </c>
      <c r="B131" s="112">
        <v>6151.2</v>
      </c>
      <c r="C131" s="113"/>
      <c r="D131" s="116">
        <v>68</v>
      </c>
      <c r="E131" s="117"/>
      <c r="H131">
        <v>456</v>
      </c>
      <c r="I131" s="99">
        <f t="shared" si="1"/>
        <v>68</v>
      </c>
    </row>
    <row r="132" spans="1:9" ht="24.75" customHeight="1" x14ac:dyDescent="0.25">
      <c r="A132" s="115" t="s">
        <v>880</v>
      </c>
      <c r="B132" s="112">
        <v>12618</v>
      </c>
      <c r="C132" s="113"/>
      <c r="D132" s="116">
        <v>65</v>
      </c>
      <c r="E132" s="117"/>
      <c r="H132">
        <v>316</v>
      </c>
      <c r="I132" s="99">
        <f t="shared" si="1"/>
        <v>65</v>
      </c>
    </row>
    <row r="133" spans="1:9" ht="24.75" customHeight="1" x14ac:dyDescent="0.25">
      <c r="A133" s="115" t="s">
        <v>1122</v>
      </c>
      <c r="B133" s="112">
        <v>12852</v>
      </c>
      <c r="C133" s="113"/>
      <c r="D133" s="116">
        <v>69</v>
      </c>
      <c r="E133" s="117"/>
      <c r="H133" t="s">
        <v>1145</v>
      </c>
      <c r="I133" s="99">
        <f t="shared" si="1"/>
        <v>69</v>
      </c>
    </row>
    <row r="134" spans="1:9" ht="24.75" customHeight="1" x14ac:dyDescent="0.25">
      <c r="A134" s="115" t="s">
        <v>1033</v>
      </c>
      <c r="B134" s="112">
        <v>12229.5</v>
      </c>
      <c r="C134" s="113"/>
      <c r="D134" s="116">
        <v>72</v>
      </c>
      <c r="E134" s="117"/>
      <c r="H134">
        <v>424</v>
      </c>
      <c r="I134" s="99">
        <f t="shared" si="1"/>
        <v>72</v>
      </c>
    </row>
    <row r="135" spans="1:9" ht="24.75" customHeight="1" x14ac:dyDescent="0.25">
      <c r="A135" s="115" t="s">
        <v>1156</v>
      </c>
      <c r="B135" s="112">
        <v>11266</v>
      </c>
      <c r="C135" s="113"/>
      <c r="D135" s="116">
        <v>66</v>
      </c>
      <c r="E135" s="117"/>
      <c r="H135" t="s">
        <v>1205</v>
      </c>
      <c r="I135" s="99">
        <f t="shared" si="1"/>
        <v>66</v>
      </c>
    </row>
    <row r="136" spans="1:9" ht="24.75" customHeight="1" x14ac:dyDescent="0.25">
      <c r="A136" s="115" t="s">
        <v>511</v>
      </c>
      <c r="B136" s="112">
        <v>4008257.1</v>
      </c>
      <c r="C136" s="113"/>
      <c r="D136" s="113"/>
      <c r="E136" s="114"/>
      <c r="I136" s="99"/>
    </row>
    <row r="137" spans="1:9" ht="24.75" customHeight="1" x14ac:dyDescent="0.25">
      <c r="A137" s="115" t="s">
        <v>102</v>
      </c>
      <c r="B137" s="112">
        <v>4008257.1</v>
      </c>
      <c r="C137" s="113"/>
      <c r="D137" s="116">
        <v>49.3</v>
      </c>
      <c r="E137" s="114"/>
      <c r="I137" s="99">
        <f t="shared" si="1"/>
        <v>49.3</v>
      </c>
    </row>
    <row r="138" spans="1:9" ht="24.75" customHeight="1" x14ac:dyDescent="0.25">
      <c r="A138" s="115" t="s">
        <v>830</v>
      </c>
      <c r="B138" s="112">
        <v>12975.8</v>
      </c>
      <c r="C138" s="113"/>
      <c r="D138" s="117"/>
      <c r="E138" s="117"/>
      <c r="H138">
        <v>298</v>
      </c>
      <c r="I138" s="99"/>
    </row>
    <row r="139" spans="1:9" ht="24.75" customHeight="1" x14ac:dyDescent="0.25">
      <c r="A139" s="115" t="s">
        <v>962</v>
      </c>
      <c r="B139" s="112">
        <v>11144</v>
      </c>
      <c r="C139" s="113"/>
      <c r="D139" s="116">
        <v>51</v>
      </c>
      <c r="E139" s="117"/>
      <c r="H139">
        <v>380</v>
      </c>
      <c r="I139" s="99">
        <f t="shared" si="1"/>
        <v>51</v>
      </c>
    </row>
    <row r="140" spans="1:9" ht="24.75" customHeight="1" x14ac:dyDescent="0.25">
      <c r="A140" s="115" t="s">
        <v>384</v>
      </c>
      <c r="B140" s="112">
        <v>3182</v>
      </c>
      <c r="C140" s="113"/>
      <c r="D140" s="116">
        <v>50</v>
      </c>
      <c r="E140" s="117"/>
      <c r="H140">
        <v>84</v>
      </c>
      <c r="I140" s="99">
        <f t="shared" si="1"/>
        <v>50</v>
      </c>
    </row>
    <row r="141" spans="1:9" ht="24.75" customHeight="1" x14ac:dyDescent="0.25">
      <c r="A141" s="115" t="s">
        <v>945</v>
      </c>
      <c r="B141" s="112">
        <v>10478.1</v>
      </c>
      <c r="C141" s="113"/>
      <c r="D141" s="116">
        <v>53</v>
      </c>
      <c r="E141" s="117"/>
      <c r="H141">
        <v>345</v>
      </c>
      <c r="I141" s="99">
        <f t="shared" si="1"/>
        <v>53</v>
      </c>
    </row>
    <row r="142" spans="1:9" ht="24.75" customHeight="1" x14ac:dyDescent="0.25">
      <c r="A142" s="115" t="s">
        <v>773</v>
      </c>
      <c r="B142" s="112">
        <v>11313.5</v>
      </c>
      <c r="C142" s="113"/>
      <c r="D142" s="116">
        <v>65</v>
      </c>
      <c r="E142" s="117"/>
      <c r="H142">
        <v>254</v>
      </c>
      <c r="I142" s="99">
        <f t="shared" si="1"/>
        <v>65</v>
      </c>
    </row>
    <row r="143" spans="1:9" ht="24.75" customHeight="1" x14ac:dyDescent="0.25">
      <c r="A143" s="115" t="s">
        <v>1113</v>
      </c>
      <c r="B143" s="112">
        <v>12644.7</v>
      </c>
      <c r="C143" s="113"/>
      <c r="D143" s="116">
        <v>58</v>
      </c>
      <c r="E143" s="117"/>
      <c r="H143" t="s">
        <v>1136</v>
      </c>
      <c r="I143" s="99">
        <f t="shared" ref="I143:I206" si="2">D143</f>
        <v>58</v>
      </c>
    </row>
    <row r="144" spans="1:9" ht="24.75" customHeight="1" x14ac:dyDescent="0.25">
      <c r="A144" s="115" t="s">
        <v>1526</v>
      </c>
      <c r="B144" s="112">
        <v>10925.8</v>
      </c>
      <c r="C144" s="113"/>
      <c r="D144" s="116">
        <v>62</v>
      </c>
      <c r="E144" s="117"/>
      <c r="H144" t="s">
        <v>1536</v>
      </c>
      <c r="I144" s="99">
        <f t="shared" si="2"/>
        <v>62</v>
      </c>
    </row>
    <row r="145" spans="1:9" ht="24.75" customHeight="1" x14ac:dyDescent="0.25">
      <c r="A145" s="115" t="s">
        <v>1361</v>
      </c>
      <c r="B145" s="112">
        <v>11901.6</v>
      </c>
      <c r="C145" s="113"/>
      <c r="D145" s="116">
        <v>55</v>
      </c>
      <c r="E145" s="117"/>
      <c r="H145" t="s">
        <v>1380</v>
      </c>
      <c r="I145" s="99">
        <f t="shared" si="2"/>
        <v>55</v>
      </c>
    </row>
    <row r="146" spans="1:9" ht="24.75" customHeight="1" x14ac:dyDescent="0.25">
      <c r="A146" s="115" t="s">
        <v>367</v>
      </c>
      <c r="B146" s="112">
        <v>10519.7</v>
      </c>
      <c r="C146" s="113"/>
      <c r="D146" s="116">
        <v>44</v>
      </c>
      <c r="E146" s="117"/>
      <c r="H146">
        <v>55</v>
      </c>
      <c r="I146" s="99">
        <f t="shared" si="2"/>
        <v>44</v>
      </c>
    </row>
    <row r="147" spans="1:9" ht="24.75" customHeight="1" x14ac:dyDescent="0.25">
      <c r="A147" s="115" t="s">
        <v>815</v>
      </c>
      <c r="B147" s="112">
        <v>11105.4</v>
      </c>
      <c r="C147" s="113"/>
      <c r="D147" s="117"/>
      <c r="E147" s="117"/>
      <c r="H147">
        <v>291</v>
      </c>
      <c r="I147" s="99"/>
    </row>
    <row r="148" spans="1:9" ht="24.75" customHeight="1" x14ac:dyDescent="0.25">
      <c r="A148" s="115" t="s">
        <v>1426</v>
      </c>
      <c r="B148" s="112">
        <v>11202.3</v>
      </c>
      <c r="C148" s="113"/>
      <c r="D148" s="116">
        <v>53</v>
      </c>
      <c r="E148" s="117"/>
      <c r="H148" t="s">
        <v>1444</v>
      </c>
      <c r="I148" s="99">
        <f t="shared" si="2"/>
        <v>53</v>
      </c>
    </row>
    <row r="149" spans="1:9" ht="24.75" customHeight="1" x14ac:dyDescent="0.25">
      <c r="A149" s="115" t="s">
        <v>1180</v>
      </c>
      <c r="B149" s="112">
        <v>9975.6</v>
      </c>
      <c r="C149" s="113"/>
      <c r="D149" s="116">
        <v>42</v>
      </c>
      <c r="E149" s="117"/>
      <c r="H149" t="s">
        <v>1227</v>
      </c>
      <c r="I149" s="99">
        <f t="shared" si="2"/>
        <v>42</v>
      </c>
    </row>
    <row r="150" spans="1:9" ht="24.75" customHeight="1" x14ac:dyDescent="0.25">
      <c r="A150" s="115" t="s">
        <v>810</v>
      </c>
      <c r="B150" s="112">
        <v>6570.9</v>
      </c>
      <c r="C150" s="113"/>
      <c r="D150" s="116">
        <v>60</v>
      </c>
      <c r="E150" s="117"/>
      <c r="H150">
        <v>286</v>
      </c>
      <c r="I150" s="99">
        <f t="shared" si="2"/>
        <v>60</v>
      </c>
    </row>
    <row r="151" spans="1:9" ht="24.75" customHeight="1" x14ac:dyDescent="0.25">
      <c r="A151" s="115" t="s">
        <v>1332</v>
      </c>
      <c r="B151" s="112">
        <v>6240</v>
      </c>
      <c r="C151" s="113"/>
      <c r="D151" s="116">
        <v>53</v>
      </c>
      <c r="E151" s="117"/>
      <c r="H151" t="s">
        <v>1350</v>
      </c>
      <c r="I151" s="99">
        <f t="shared" si="2"/>
        <v>53</v>
      </c>
    </row>
    <row r="152" spans="1:9" ht="24.75" customHeight="1" x14ac:dyDescent="0.25">
      <c r="A152" s="115" t="s">
        <v>370</v>
      </c>
      <c r="B152" s="112">
        <v>10150</v>
      </c>
      <c r="C152" s="113"/>
      <c r="D152" s="116">
        <v>45</v>
      </c>
      <c r="E152" s="117"/>
      <c r="H152">
        <v>58</v>
      </c>
      <c r="I152" s="99">
        <f t="shared" si="2"/>
        <v>45</v>
      </c>
    </row>
    <row r="153" spans="1:9" ht="24.75" customHeight="1" x14ac:dyDescent="0.25">
      <c r="A153" s="115" t="s">
        <v>955</v>
      </c>
      <c r="B153" s="112">
        <v>10978.9</v>
      </c>
      <c r="C153" s="113"/>
      <c r="D153" s="116">
        <v>46</v>
      </c>
      <c r="E153" s="117"/>
      <c r="H153">
        <v>374</v>
      </c>
      <c r="I153" s="99">
        <f t="shared" si="2"/>
        <v>46</v>
      </c>
    </row>
    <row r="154" spans="1:9" ht="24.75" customHeight="1" x14ac:dyDescent="0.25">
      <c r="A154" s="115" t="s">
        <v>952</v>
      </c>
      <c r="B154" s="112">
        <v>12003.2</v>
      </c>
      <c r="C154" s="113"/>
      <c r="D154" s="116">
        <v>53</v>
      </c>
      <c r="E154" s="117"/>
      <c r="H154">
        <v>352</v>
      </c>
      <c r="I154" s="99">
        <f t="shared" si="2"/>
        <v>53</v>
      </c>
    </row>
    <row r="155" spans="1:9" ht="24.75" customHeight="1" x14ac:dyDescent="0.25">
      <c r="A155" s="115" t="s">
        <v>371</v>
      </c>
      <c r="B155" s="112">
        <v>9653</v>
      </c>
      <c r="C155" s="113"/>
      <c r="D155" s="116">
        <v>45</v>
      </c>
      <c r="E155" s="117"/>
      <c r="H155">
        <v>59</v>
      </c>
      <c r="I155" s="99">
        <f t="shared" si="2"/>
        <v>45</v>
      </c>
    </row>
    <row r="156" spans="1:9" ht="24.75" customHeight="1" x14ac:dyDescent="0.25">
      <c r="A156" s="115" t="s">
        <v>1286</v>
      </c>
      <c r="B156" s="112">
        <v>11314.2</v>
      </c>
      <c r="C156" s="113"/>
      <c r="D156" s="116">
        <v>49</v>
      </c>
      <c r="E156" s="117"/>
      <c r="H156" t="s">
        <v>1302</v>
      </c>
      <c r="I156" s="99">
        <f t="shared" si="2"/>
        <v>49</v>
      </c>
    </row>
    <row r="157" spans="1:9" ht="24.75" customHeight="1" x14ac:dyDescent="0.25">
      <c r="A157" s="115" t="s">
        <v>1188</v>
      </c>
      <c r="B157" s="112">
        <v>11437.2</v>
      </c>
      <c r="C157" s="113"/>
      <c r="D157" s="116">
        <v>49</v>
      </c>
      <c r="E157" s="117"/>
      <c r="H157" t="s">
        <v>1233</v>
      </c>
      <c r="I157" s="99">
        <f t="shared" si="2"/>
        <v>49</v>
      </c>
    </row>
    <row r="158" spans="1:9" ht="24.75" customHeight="1" x14ac:dyDescent="0.25">
      <c r="A158" s="115" t="s">
        <v>1480</v>
      </c>
      <c r="B158" s="112">
        <v>12411</v>
      </c>
      <c r="C158" s="113"/>
      <c r="D158" s="116">
        <v>54</v>
      </c>
      <c r="E158" s="117"/>
      <c r="H158" t="s">
        <v>1511</v>
      </c>
      <c r="I158" s="99">
        <f t="shared" si="2"/>
        <v>54</v>
      </c>
    </row>
    <row r="159" spans="1:9" ht="24.75" customHeight="1" x14ac:dyDescent="0.25">
      <c r="A159" s="115" t="s">
        <v>1423</v>
      </c>
      <c r="B159" s="112">
        <v>10506.6</v>
      </c>
      <c r="C159" s="113"/>
      <c r="D159" s="116">
        <v>50</v>
      </c>
      <c r="E159" s="117"/>
      <c r="H159" t="s">
        <v>1424</v>
      </c>
      <c r="I159" s="99">
        <f t="shared" si="2"/>
        <v>50</v>
      </c>
    </row>
    <row r="160" spans="1:9" ht="24.75" customHeight="1" x14ac:dyDescent="0.25">
      <c r="A160" s="115" t="s">
        <v>866</v>
      </c>
      <c r="B160" s="112">
        <v>3083.3</v>
      </c>
      <c r="C160" s="113"/>
      <c r="D160" s="116">
        <v>41</v>
      </c>
      <c r="E160" s="117"/>
      <c r="H160">
        <v>331</v>
      </c>
      <c r="I160" s="99">
        <f t="shared" si="2"/>
        <v>41</v>
      </c>
    </row>
    <row r="161" spans="1:9" ht="24.75" customHeight="1" x14ac:dyDescent="0.25">
      <c r="A161" s="115" t="s">
        <v>566</v>
      </c>
      <c r="B161" s="112">
        <v>6780</v>
      </c>
      <c r="C161" s="113"/>
      <c r="D161" s="116">
        <v>60</v>
      </c>
      <c r="E161" s="117"/>
      <c r="H161">
        <v>198</v>
      </c>
      <c r="I161" s="99">
        <f t="shared" si="2"/>
        <v>60</v>
      </c>
    </row>
    <row r="162" spans="1:9" ht="24.75" customHeight="1" x14ac:dyDescent="0.25">
      <c r="A162" s="115" t="s">
        <v>522</v>
      </c>
      <c r="B162" s="112">
        <v>4059</v>
      </c>
      <c r="C162" s="113"/>
      <c r="D162" s="116">
        <v>59</v>
      </c>
      <c r="E162" s="117"/>
      <c r="H162">
        <v>205</v>
      </c>
      <c r="I162" s="99">
        <f t="shared" si="2"/>
        <v>59</v>
      </c>
    </row>
    <row r="163" spans="1:9" ht="24.75" customHeight="1" x14ac:dyDescent="0.25">
      <c r="A163" s="115" t="s">
        <v>1085</v>
      </c>
      <c r="B163" s="112">
        <v>11803</v>
      </c>
      <c r="C163" s="113"/>
      <c r="D163" s="116">
        <v>55</v>
      </c>
      <c r="E163" s="117"/>
      <c r="H163" t="s">
        <v>1098</v>
      </c>
      <c r="I163" s="99">
        <f t="shared" si="2"/>
        <v>55</v>
      </c>
    </row>
    <row r="164" spans="1:9" ht="24.75" customHeight="1" x14ac:dyDescent="0.25">
      <c r="A164" s="115" t="s">
        <v>667</v>
      </c>
      <c r="B164" s="112">
        <v>10413.200000000001</v>
      </c>
      <c r="C164" s="113"/>
      <c r="D164" s="117"/>
      <c r="E164" s="117"/>
      <c r="H164">
        <v>220</v>
      </c>
      <c r="I164" s="99"/>
    </row>
    <row r="165" spans="1:9" ht="24.75" customHeight="1" x14ac:dyDescent="0.25">
      <c r="A165" s="115" t="s">
        <v>362</v>
      </c>
      <c r="B165" s="112">
        <v>11099.5</v>
      </c>
      <c r="C165" s="113"/>
      <c r="D165" s="116">
        <v>41</v>
      </c>
      <c r="E165" s="117"/>
      <c r="H165">
        <v>48</v>
      </c>
      <c r="I165" s="99">
        <f t="shared" si="2"/>
        <v>41</v>
      </c>
    </row>
    <row r="166" spans="1:9" ht="24.75" customHeight="1" x14ac:dyDescent="0.25">
      <c r="A166" s="115" t="s">
        <v>981</v>
      </c>
      <c r="B166" s="112">
        <v>10514.9</v>
      </c>
      <c r="C166" s="113"/>
      <c r="D166" s="116">
        <v>48</v>
      </c>
      <c r="E166" s="117"/>
      <c r="H166">
        <v>439</v>
      </c>
      <c r="I166" s="99">
        <f t="shared" si="2"/>
        <v>48</v>
      </c>
    </row>
    <row r="167" spans="1:9" ht="24.75" customHeight="1" x14ac:dyDescent="0.25">
      <c r="A167" s="115" t="s">
        <v>1198</v>
      </c>
      <c r="B167" s="112">
        <v>11191.9</v>
      </c>
      <c r="C167" s="113"/>
      <c r="D167" s="116">
        <v>50</v>
      </c>
      <c r="E167" s="117"/>
      <c r="H167" t="s">
        <v>1243</v>
      </c>
      <c r="I167" s="99">
        <f t="shared" si="2"/>
        <v>50</v>
      </c>
    </row>
    <row r="168" spans="1:9" ht="12.75" customHeight="1" x14ac:dyDescent="0.25">
      <c r="A168" s="115" t="s">
        <v>910</v>
      </c>
      <c r="B168" s="112">
        <v>11725</v>
      </c>
      <c r="C168" s="113"/>
      <c r="D168" s="116">
        <v>57</v>
      </c>
      <c r="E168" s="117"/>
      <c r="H168">
        <v>368</v>
      </c>
      <c r="I168" s="99">
        <f t="shared" si="2"/>
        <v>57</v>
      </c>
    </row>
    <row r="169" spans="1:9" ht="24.75" customHeight="1" x14ac:dyDescent="0.25">
      <c r="A169" s="115" t="s">
        <v>541</v>
      </c>
      <c r="B169" s="112">
        <v>11409.3</v>
      </c>
      <c r="C169" s="113"/>
      <c r="D169" s="116">
        <v>62</v>
      </c>
      <c r="E169" s="117"/>
      <c r="H169">
        <v>179</v>
      </c>
      <c r="I169" s="99">
        <f t="shared" si="2"/>
        <v>62</v>
      </c>
    </row>
    <row r="170" spans="1:9" ht="24.75" customHeight="1" x14ac:dyDescent="0.25">
      <c r="A170" s="115" t="s">
        <v>1051</v>
      </c>
      <c r="B170" s="112">
        <v>11964.1</v>
      </c>
      <c r="C170" s="113"/>
      <c r="D170" s="116">
        <v>58</v>
      </c>
      <c r="E170" s="117"/>
      <c r="H170">
        <v>360</v>
      </c>
      <c r="I170" s="99">
        <f t="shared" si="2"/>
        <v>58</v>
      </c>
    </row>
    <row r="171" spans="1:9" ht="24.75" customHeight="1" x14ac:dyDescent="0.25">
      <c r="A171" s="115" t="s">
        <v>1195</v>
      </c>
      <c r="B171" s="112">
        <v>10980.9</v>
      </c>
      <c r="C171" s="113"/>
      <c r="D171" s="116">
        <v>49</v>
      </c>
      <c r="E171" s="117"/>
      <c r="H171" t="s">
        <v>1240</v>
      </c>
      <c r="I171" s="99">
        <f t="shared" si="2"/>
        <v>49</v>
      </c>
    </row>
    <row r="172" spans="1:9" ht="24.75" customHeight="1" x14ac:dyDescent="0.25">
      <c r="A172" s="115" t="s">
        <v>660</v>
      </c>
      <c r="B172" s="112">
        <v>11393.2</v>
      </c>
      <c r="C172" s="113"/>
      <c r="D172" s="116">
        <v>54</v>
      </c>
      <c r="E172" s="117"/>
      <c r="H172">
        <v>213</v>
      </c>
      <c r="I172" s="99">
        <f t="shared" si="2"/>
        <v>54</v>
      </c>
    </row>
    <row r="173" spans="1:9" ht="24.75" customHeight="1" x14ac:dyDescent="0.25">
      <c r="A173" s="115" t="s">
        <v>817</v>
      </c>
      <c r="B173" s="112">
        <v>12544.9</v>
      </c>
      <c r="C173" s="113"/>
      <c r="D173" s="117"/>
      <c r="E173" s="117"/>
      <c r="H173">
        <v>293</v>
      </c>
      <c r="I173" s="99"/>
    </row>
    <row r="174" spans="1:9" ht="24.75" customHeight="1" x14ac:dyDescent="0.25">
      <c r="A174" s="115" t="s">
        <v>1435</v>
      </c>
      <c r="B174" s="112">
        <v>11955</v>
      </c>
      <c r="C174" s="113"/>
      <c r="D174" s="116">
        <v>59</v>
      </c>
      <c r="E174" s="117"/>
      <c r="H174" t="s">
        <v>1453</v>
      </c>
      <c r="I174" s="99">
        <f t="shared" si="2"/>
        <v>59</v>
      </c>
    </row>
    <row r="175" spans="1:9" ht="24.75" customHeight="1" x14ac:dyDescent="0.25">
      <c r="A175" s="115" t="s">
        <v>561</v>
      </c>
      <c r="B175" s="112">
        <v>11797</v>
      </c>
      <c r="C175" s="113"/>
      <c r="D175" s="116">
        <v>62</v>
      </c>
      <c r="E175" s="117"/>
      <c r="H175">
        <v>196</v>
      </c>
      <c r="I175" s="99">
        <f t="shared" si="2"/>
        <v>62</v>
      </c>
    </row>
    <row r="176" spans="1:9" ht="24.75" customHeight="1" x14ac:dyDescent="0.25">
      <c r="A176" s="115" t="s">
        <v>548</v>
      </c>
      <c r="B176" s="112">
        <v>4001.6</v>
      </c>
      <c r="C176" s="113"/>
      <c r="D176" s="116">
        <v>61</v>
      </c>
      <c r="E176" s="117"/>
      <c r="H176">
        <v>186</v>
      </c>
      <c r="I176" s="99">
        <f t="shared" si="2"/>
        <v>61</v>
      </c>
    </row>
    <row r="177" spans="1:9" ht="24.75" customHeight="1" x14ac:dyDescent="0.25">
      <c r="A177" s="115" t="s">
        <v>560</v>
      </c>
      <c r="B177" s="112">
        <v>12716</v>
      </c>
      <c r="C177" s="113"/>
      <c r="D177" s="117"/>
      <c r="E177" s="117"/>
      <c r="H177">
        <v>195</v>
      </c>
      <c r="I177" s="99"/>
    </row>
    <row r="178" spans="1:9" ht="24.75" customHeight="1" x14ac:dyDescent="0.25">
      <c r="A178" s="115" t="s">
        <v>438</v>
      </c>
      <c r="B178" s="112">
        <v>10251</v>
      </c>
      <c r="C178" s="113"/>
      <c r="D178" s="117"/>
      <c r="E178" s="117"/>
      <c r="H178">
        <v>151</v>
      </c>
      <c r="I178" s="99"/>
    </row>
    <row r="179" spans="1:9" ht="24.75" customHeight="1" x14ac:dyDescent="0.25">
      <c r="A179" s="115" t="s">
        <v>752</v>
      </c>
      <c r="B179" s="112">
        <v>11149.2</v>
      </c>
      <c r="C179" s="113"/>
      <c r="D179" s="116">
        <v>59</v>
      </c>
      <c r="E179" s="117"/>
      <c r="H179">
        <v>239</v>
      </c>
      <c r="I179" s="99">
        <f t="shared" si="2"/>
        <v>59</v>
      </c>
    </row>
    <row r="180" spans="1:9" ht="24.75" customHeight="1" x14ac:dyDescent="0.25">
      <c r="A180" s="115" t="s">
        <v>1434</v>
      </c>
      <c r="B180" s="112">
        <v>4799.6000000000004</v>
      </c>
      <c r="C180" s="113"/>
      <c r="D180" s="116">
        <v>54</v>
      </c>
      <c r="E180" s="117"/>
      <c r="H180" t="s">
        <v>1452</v>
      </c>
      <c r="I180" s="99">
        <f t="shared" si="2"/>
        <v>54</v>
      </c>
    </row>
    <row r="181" spans="1:9" ht="24.75" customHeight="1" x14ac:dyDescent="0.25">
      <c r="A181" s="115" t="s">
        <v>429</v>
      </c>
      <c r="B181" s="112">
        <v>11508</v>
      </c>
      <c r="C181" s="113"/>
      <c r="D181" s="116">
        <v>55</v>
      </c>
      <c r="E181" s="117"/>
      <c r="H181">
        <v>142</v>
      </c>
      <c r="I181" s="99">
        <f t="shared" si="2"/>
        <v>55</v>
      </c>
    </row>
    <row r="182" spans="1:9" ht="24.75" customHeight="1" x14ac:dyDescent="0.25">
      <c r="A182" s="115" t="s">
        <v>818</v>
      </c>
      <c r="B182" s="112">
        <v>10697.5</v>
      </c>
      <c r="C182" s="113"/>
      <c r="D182" s="117"/>
      <c r="E182" s="117"/>
      <c r="H182">
        <v>294</v>
      </c>
      <c r="I182" s="99"/>
    </row>
    <row r="183" spans="1:9" ht="24.75" customHeight="1" x14ac:dyDescent="0.25">
      <c r="A183" s="115" t="s">
        <v>401</v>
      </c>
      <c r="B183" s="112">
        <v>9796</v>
      </c>
      <c r="C183" s="113"/>
      <c r="D183" s="116">
        <v>50</v>
      </c>
      <c r="E183" s="117"/>
      <c r="H183">
        <v>102</v>
      </c>
      <c r="I183" s="99">
        <f t="shared" si="2"/>
        <v>50</v>
      </c>
    </row>
    <row r="184" spans="1:9" ht="24.75" customHeight="1" x14ac:dyDescent="0.25">
      <c r="A184" s="115" t="s">
        <v>789</v>
      </c>
      <c r="B184" s="112">
        <v>11357.5</v>
      </c>
      <c r="C184" s="113"/>
      <c r="D184" s="116">
        <v>62</v>
      </c>
      <c r="E184" s="117"/>
      <c r="H184">
        <v>269</v>
      </c>
      <c r="I184" s="99">
        <f t="shared" si="2"/>
        <v>62</v>
      </c>
    </row>
    <row r="185" spans="1:9" ht="24.75" customHeight="1" x14ac:dyDescent="0.25">
      <c r="A185" s="115" t="s">
        <v>1372</v>
      </c>
      <c r="B185" s="112">
        <v>11551</v>
      </c>
      <c r="C185" s="113"/>
      <c r="D185" s="116">
        <v>52</v>
      </c>
      <c r="E185" s="117"/>
      <c r="H185" t="s">
        <v>1389</v>
      </c>
      <c r="I185" s="99">
        <f t="shared" si="2"/>
        <v>52</v>
      </c>
    </row>
    <row r="186" spans="1:9" ht="24.75" customHeight="1" x14ac:dyDescent="0.25">
      <c r="A186" s="115" t="s">
        <v>664</v>
      </c>
      <c r="B186" s="112">
        <v>11458.2</v>
      </c>
      <c r="C186" s="113"/>
      <c r="D186" s="116">
        <v>53</v>
      </c>
      <c r="E186" s="117"/>
      <c r="H186">
        <v>217</v>
      </c>
      <c r="I186" s="99">
        <f t="shared" si="2"/>
        <v>53</v>
      </c>
    </row>
    <row r="187" spans="1:9" ht="24.75" customHeight="1" x14ac:dyDescent="0.25">
      <c r="A187" s="115" t="s">
        <v>751</v>
      </c>
      <c r="B187" s="112">
        <v>11327.2</v>
      </c>
      <c r="C187" s="113"/>
      <c r="D187" s="116">
        <v>57</v>
      </c>
      <c r="E187" s="117"/>
      <c r="H187">
        <v>238</v>
      </c>
      <c r="I187" s="99">
        <f t="shared" si="2"/>
        <v>57</v>
      </c>
    </row>
    <row r="188" spans="1:9" ht="24.75" customHeight="1" x14ac:dyDescent="0.25">
      <c r="A188" s="115" t="s">
        <v>1333</v>
      </c>
      <c r="B188" s="112">
        <v>6067.6</v>
      </c>
      <c r="C188" s="113"/>
      <c r="D188" s="116">
        <v>48</v>
      </c>
      <c r="E188" s="117"/>
      <c r="H188" t="s">
        <v>1351</v>
      </c>
      <c r="I188" s="99">
        <f t="shared" si="2"/>
        <v>48</v>
      </c>
    </row>
    <row r="189" spans="1:9" ht="24.75" customHeight="1" x14ac:dyDescent="0.25">
      <c r="A189" s="115" t="s">
        <v>566</v>
      </c>
      <c r="B189" s="112">
        <v>5948.9</v>
      </c>
      <c r="C189" s="113"/>
      <c r="D189" s="116">
        <v>47</v>
      </c>
      <c r="E189" s="117"/>
      <c r="H189">
        <v>198</v>
      </c>
      <c r="I189" s="99">
        <f t="shared" si="2"/>
        <v>47</v>
      </c>
    </row>
    <row r="190" spans="1:9" ht="24.75" customHeight="1" x14ac:dyDescent="0.25">
      <c r="A190" s="115" t="s">
        <v>1407</v>
      </c>
      <c r="B190" s="112">
        <v>11313.5</v>
      </c>
      <c r="C190" s="113"/>
      <c r="D190" s="116">
        <v>46</v>
      </c>
      <c r="E190" s="117"/>
      <c r="H190" t="s">
        <v>1421</v>
      </c>
      <c r="I190" s="99">
        <f t="shared" si="2"/>
        <v>46</v>
      </c>
    </row>
    <row r="191" spans="1:9" ht="24.75" customHeight="1" x14ac:dyDescent="0.25">
      <c r="A191" s="115" t="s">
        <v>1050</v>
      </c>
      <c r="B191" s="112">
        <v>11733.7</v>
      </c>
      <c r="C191" s="113"/>
      <c r="D191" s="116">
        <v>60</v>
      </c>
      <c r="E191" s="117"/>
      <c r="H191">
        <v>359</v>
      </c>
      <c r="I191" s="99">
        <f t="shared" si="2"/>
        <v>60</v>
      </c>
    </row>
    <row r="192" spans="1:9" ht="24.75" customHeight="1" x14ac:dyDescent="0.25">
      <c r="A192" s="115" t="s">
        <v>1178</v>
      </c>
      <c r="B192" s="112">
        <v>9576</v>
      </c>
      <c r="C192" s="113"/>
      <c r="D192" s="116">
        <v>43</v>
      </c>
      <c r="E192" s="117"/>
      <c r="H192" t="s">
        <v>1225</v>
      </c>
      <c r="I192" s="99">
        <f t="shared" si="2"/>
        <v>43</v>
      </c>
    </row>
    <row r="193" spans="1:9" ht="24.75" customHeight="1" x14ac:dyDescent="0.25">
      <c r="A193" s="115" t="s">
        <v>1262</v>
      </c>
      <c r="B193" s="112">
        <v>11214.4</v>
      </c>
      <c r="C193" s="113"/>
      <c r="D193" s="116">
        <v>51</v>
      </c>
      <c r="E193" s="117"/>
      <c r="H193" t="s">
        <v>1269</v>
      </c>
      <c r="I193" s="99">
        <f t="shared" si="2"/>
        <v>51</v>
      </c>
    </row>
    <row r="194" spans="1:9" ht="24.75" customHeight="1" x14ac:dyDescent="0.25">
      <c r="A194" s="115" t="s">
        <v>385</v>
      </c>
      <c r="B194" s="112">
        <v>6361.8</v>
      </c>
      <c r="C194" s="113"/>
      <c r="D194" s="116">
        <v>48</v>
      </c>
      <c r="E194" s="117"/>
      <c r="H194">
        <v>85</v>
      </c>
      <c r="I194" s="99">
        <f t="shared" si="2"/>
        <v>48</v>
      </c>
    </row>
    <row r="195" spans="1:9" ht="12.75" customHeight="1" x14ac:dyDescent="0.25">
      <c r="A195" s="115" t="s">
        <v>908</v>
      </c>
      <c r="B195" s="112">
        <v>14697.2</v>
      </c>
      <c r="C195" s="113"/>
      <c r="D195" s="116">
        <v>56</v>
      </c>
      <c r="E195" s="117"/>
      <c r="H195">
        <v>367</v>
      </c>
      <c r="I195" s="99">
        <f t="shared" si="2"/>
        <v>56</v>
      </c>
    </row>
    <row r="196" spans="1:9" ht="12.75" customHeight="1" x14ac:dyDescent="0.25">
      <c r="A196" s="115" t="s">
        <v>421</v>
      </c>
      <c r="B196" s="112">
        <v>4764.1000000000004</v>
      </c>
      <c r="C196" s="113"/>
      <c r="D196" s="116">
        <v>55</v>
      </c>
      <c r="E196" s="117"/>
      <c r="H196">
        <v>132</v>
      </c>
      <c r="I196" s="99">
        <f t="shared" si="2"/>
        <v>55</v>
      </c>
    </row>
    <row r="197" spans="1:9" ht="24.75" customHeight="1" x14ac:dyDescent="0.25">
      <c r="A197" s="115" t="s">
        <v>788</v>
      </c>
      <c r="B197" s="112">
        <v>12344.2</v>
      </c>
      <c r="C197" s="113"/>
      <c r="D197" s="116">
        <v>58</v>
      </c>
      <c r="E197" s="117"/>
      <c r="H197">
        <v>268</v>
      </c>
      <c r="I197" s="99">
        <f t="shared" si="2"/>
        <v>58</v>
      </c>
    </row>
    <row r="198" spans="1:9" ht="24.75" customHeight="1" x14ac:dyDescent="0.25">
      <c r="A198" s="115" t="s">
        <v>1054</v>
      </c>
      <c r="B198" s="112">
        <v>10856.4</v>
      </c>
      <c r="C198" s="113"/>
      <c r="D198" s="116">
        <v>50</v>
      </c>
      <c r="E198" s="117"/>
      <c r="H198">
        <v>363</v>
      </c>
      <c r="I198" s="99">
        <f t="shared" si="2"/>
        <v>50</v>
      </c>
    </row>
    <row r="199" spans="1:9" ht="24.75" customHeight="1" x14ac:dyDescent="0.25">
      <c r="A199" s="115" t="s">
        <v>1375</v>
      </c>
      <c r="B199" s="112">
        <v>5762.7</v>
      </c>
      <c r="C199" s="113"/>
      <c r="D199" s="116">
        <v>55</v>
      </c>
      <c r="E199" s="117"/>
      <c r="H199" t="s">
        <v>1390</v>
      </c>
      <c r="I199" s="99">
        <f t="shared" si="2"/>
        <v>55</v>
      </c>
    </row>
    <row r="200" spans="1:9" ht="24.75" customHeight="1" x14ac:dyDescent="0.25">
      <c r="A200" s="115" t="s">
        <v>368</v>
      </c>
      <c r="B200" s="112">
        <v>9792.5</v>
      </c>
      <c r="C200" s="113"/>
      <c r="D200" s="116">
        <v>43</v>
      </c>
      <c r="E200" s="117"/>
      <c r="H200">
        <v>56</v>
      </c>
      <c r="I200" s="99">
        <f t="shared" si="2"/>
        <v>43</v>
      </c>
    </row>
    <row r="201" spans="1:9" ht="24.75" customHeight="1" x14ac:dyDescent="0.25">
      <c r="A201" s="115" t="s">
        <v>391</v>
      </c>
      <c r="B201" s="112">
        <v>10826.4</v>
      </c>
      <c r="C201" s="113"/>
      <c r="D201" s="116">
        <v>50</v>
      </c>
      <c r="E201" s="117"/>
      <c r="H201">
        <v>91</v>
      </c>
      <c r="I201" s="99">
        <f t="shared" si="2"/>
        <v>50</v>
      </c>
    </row>
    <row r="202" spans="1:9" ht="24.75" customHeight="1" x14ac:dyDescent="0.25">
      <c r="A202" s="115" t="s">
        <v>428</v>
      </c>
      <c r="B202" s="112">
        <v>3582.2</v>
      </c>
      <c r="C202" s="113"/>
      <c r="D202" s="116">
        <v>55</v>
      </c>
      <c r="E202" s="117"/>
      <c r="H202">
        <v>141</v>
      </c>
      <c r="I202" s="99">
        <f t="shared" si="2"/>
        <v>55</v>
      </c>
    </row>
    <row r="203" spans="1:9" ht="24.75" customHeight="1" x14ac:dyDescent="0.25">
      <c r="A203" s="115" t="s">
        <v>1487</v>
      </c>
      <c r="B203" s="112">
        <v>12144</v>
      </c>
      <c r="C203" s="113"/>
      <c r="D203" s="116">
        <v>59</v>
      </c>
      <c r="E203" s="117"/>
      <c r="H203" t="s">
        <v>1517</v>
      </c>
      <c r="I203" s="99">
        <f t="shared" si="2"/>
        <v>59</v>
      </c>
    </row>
    <row r="204" spans="1:9" ht="24.75" customHeight="1" x14ac:dyDescent="0.25">
      <c r="A204" s="115" t="s">
        <v>804</v>
      </c>
      <c r="B204" s="112">
        <v>6070.5</v>
      </c>
      <c r="C204" s="113"/>
      <c r="D204" s="116">
        <v>57</v>
      </c>
      <c r="E204" s="117"/>
      <c r="H204">
        <v>281</v>
      </c>
      <c r="I204" s="99">
        <f t="shared" si="2"/>
        <v>57</v>
      </c>
    </row>
    <row r="205" spans="1:9" ht="24.75" customHeight="1" x14ac:dyDescent="0.25">
      <c r="A205" s="115" t="s">
        <v>1432</v>
      </c>
      <c r="B205" s="112">
        <v>11667.6</v>
      </c>
      <c r="C205" s="113"/>
      <c r="D205" s="116">
        <v>53</v>
      </c>
      <c r="E205" s="117"/>
      <c r="H205" t="s">
        <v>1450</v>
      </c>
      <c r="I205" s="99">
        <f t="shared" si="2"/>
        <v>53</v>
      </c>
    </row>
    <row r="206" spans="1:9" ht="24.75" customHeight="1" x14ac:dyDescent="0.25">
      <c r="A206" s="115" t="s">
        <v>1398</v>
      </c>
      <c r="B206" s="112">
        <v>11911</v>
      </c>
      <c r="C206" s="113"/>
      <c r="D206" s="116">
        <v>55</v>
      </c>
      <c r="E206" s="117"/>
      <c r="H206" t="s">
        <v>1412</v>
      </c>
      <c r="I206" s="99">
        <f t="shared" si="2"/>
        <v>55</v>
      </c>
    </row>
    <row r="207" spans="1:9" ht="24.75" customHeight="1" x14ac:dyDescent="0.25">
      <c r="A207" s="115" t="s">
        <v>943</v>
      </c>
      <c r="B207" s="112">
        <v>10537.9</v>
      </c>
      <c r="C207" s="113"/>
      <c r="D207" s="116">
        <v>50</v>
      </c>
      <c r="E207" s="117"/>
      <c r="H207">
        <v>343</v>
      </c>
      <c r="I207" s="99">
        <f t="shared" ref="I207:I270" si="3">D207</f>
        <v>50</v>
      </c>
    </row>
    <row r="208" spans="1:9" ht="24.75" customHeight="1" x14ac:dyDescent="0.25">
      <c r="A208" s="115" t="s">
        <v>1326</v>
      </c>
      <c r="B208" s="112">
        <v>6450.7</v>
      </c>
      <c r="C208" s="113"/>
      <c r="D208" s="116">
        <v>51</v>
      </c>
      <c r="E208" s="117"/>
      <c r="H208" t="s">
        <v>1344</v>
      </c>
      <c r="I208" s="99">
        <f t="shared" si="3"/>
        <v>51</v>
      </c>
    </row>
    <row r="209" spans="1:9" ht="24.75" customHeight="1" x14ac:dyDescent="0.25">
      <c r="A209" s="115" t="s">
        <v>379</v>
      </c>
      <c r="B209" s="112">
        <v>7171</v>
      </c>
      <c r="C209" s="113"/>
      <c r="D209" s="116">
        <v>46</v>
      </c>
      <c r="E209" s="117"/>
      <c r="H209">
        <v>79</v>
      </c>
      <c r="I209" s="99">
        <f t="shared" si="3"/>
        <v>46</v>
      </c>
    </row>
    <row r="210" spans="1:9" ht="24.75" customHeight="1" x14ac:dyDescent="0.25">
      <c r="A210" s="115" t="s">
        <v>1261</v>
      </c>
      <c r="B210" s="112">
        <v>11635.6</v>
      </c>
      <c r="C210" s="113"/>
      <c r="D210" s="116">
        <v>52</v>
      </c>
      <c r="E210" s="117"/>
      <c r="H210" t="s">
        <v>1268</v>
      </c>
      <c r="I210" s="99">
        <f t="shared" si="3"/>
        <v>52</v>
      </c>
    </row>
    <row r="211" spans="1:9" ht="24.75" customHeight="1" x14ac:dyDescent="0.25">
      <c r="A211" s="115" t="s">
        <v>791</v>
      </c>
      <c r="B211" s="112">
        <v>3861.4</v>
      </c>
      <c r="C211" s="113"/>
      <c r="D211" s="116">
        <v>61</v>
      </c>
      <c r="E211" s="117"/>
      <c r="H211">
        <v>270</v>
      </c>
      <c r="I211" s="99">
        <f t="shared" si="3"/>
        <v>61</v>
      </c>
    </row>
    <row r="212" spans="1:9" ht="24.75" customHeight="1" x14ac:dyDescent="0.25">
      <c r="A212" s="115" t="s">
        <v>1366</v>
      </c>
      <c r="B212" s="112">
        <v>11551.1</v>
      </c>
      <c r="C212" s="113"/>
      <c r="D212" s="116">
        <v>53</v>
      </c>
      <c r="E212" s="117"/>
      <c r="H212" t="s">
        <v>1385</v>
      </c>
      <c r="I212" s="99">
        <f t="shared" si="3"/>
        <v>53</v>
      </c>
    </row>
    <row r="213" spans="1:9" ht="24.75" customHeight="1" x14ac:dyDescent="0.25">
      <c r="A213" s="115" t="s">
        <v>812</v>
      </c>
      <c r="B213" s="112">
        <v>10278.4</v>
      </c>
      <c r="C213" s="113"/>
      <c r="D213" s="116">
        <v>62</v>
      </c>
      <c r="E213" s="117"/>
      <c r="H213">
        <v>288</v>
      </c>
      <c r="I213" s="99">
        <f t="shared" si="3"/>
        <v>62</v>
      </c>
    </row>
    <row r="214" spans="1:9" ht="24.75" customHeight="1" x14ac:dyDescent="0.25">
      <c r="A214" s="115" t="s">
        <v>781</v>
      </c>
      <c r="B214" s="112">
        <v>5925.2</v>
      </c>
      <c r="C214" s="113"/>
      <c r="D214" s="116">
        <v>58</v>
      </c>
      <c r="E214" s="117"/>
      <c r="H214">
        <v>262</v>
      </c>
      <c r="I214" s="99">
        <f t="shared" si="3"/>
        <v>58</v>
      </c>
    </row>
    <row r="215" spans="1:9" ht="24.75" customHeight="1" x14ac:dyDescent="0.25">
      <c r="A215" s="115" t="s">
        <v>1469</v>
      </c>
      <c r="B215" s="112">
        <v>12226.5</v>
      </c>
      <c r="C215" s="113"/>
      <c r="D215" s="116">
        <v>51</v>
      </c>
      <c r="E215" s="117"/>
      <c r="H215" t="s">
        <v>1500</v>
      </c>
      <c r="I215" s="99">
        <f t="shared" si="3"/>
        <v>51</v>
      </c>
    </row>
    <row r="216" spans="1:9" ht="24.75" customHeight="1" x14ac:dyDescent="0.25">
      <c r="A216" s="115" t="s">
        <v>663</v>
      </c>
      <c r="B216" s="112">
        <v>11092.1</v>
      </c>
      <c r="C216" s="113"/>
      <c r="D216" s="116">
        <v>53</v>
      </c>
      <c r="E216" s="117"/>
      <c r="H216">
        <v>216</v>
      </c>
      <c r="I216" s="99">
        <f t="shared" si="3"/>
        <v>53</v>
      </c>
    </row>
    <row r="217" spans="1:9" ht="24.75" customHeight="1" x14ac:dyDescent="0.25">
      <c r="A217" s="115" t="s">
        <v>527</v>
      </c>
      <c r="B217" s="112">
        <v>10875.5</v>
      </c>
      <c r="C217" s="113"/>
      <c r="D217" s="116">
        <v>51</v>
      </c>
      <c r="E217" s="117"/>
      <c r="H217">
        <v>208</v>
      </c>
      <c r="I217" s="99">
        <f t="shared" si="3"/>
        <v>51</v>
      </c>
    </row>
    <row r="218" spans="1:9" ht="24.75" customHeight="1" x14ac:dyDescent="0.25">
      <c r="A218" s="115" t="s">
        <v>1465</v>
      </c>
      <c r="B218" s="112">
        <v>11858.4</v>
      </c>
      <c r="C218" s="113"/>
      <c r="D218" s="116">
        <v>62</v>
      </c>
      <c r="E218" s="117"/>
      <c r="H218" t="s">
        <v>1496</v>
      </c>
      <c r="I218" s="99">
        <f t="shared" si="3"/>
        <v>62</v>
      </c>
    </row>
    <row r="219" spans="1:9" ht="24.75" customHeight="1" x14ac:dyDescent="0.25">
      <c r="A219" s="115" t="s">
        <v>1476</v>
      </c>
      <c r="B219" s="112">
        <v>14051.5</v>
      </c>
      <c r="C219" s="113"/>
      <c r="D219" s="116">
        <v>55</v>
      </c>
      <c r="E219" s="117"/>
      <c r="H219" t="s">
        <v>1507</v>
      </c>
      <c r="I219" s="99">
        <f t="shared" si="3"/>
        <v>55</v>
      </c>
    </row>
    <row r="220" spans="1:9" ht="24.75" customHeight="1" x14ac:dyDescent="0.25">
      <c r="A220" s="115" t="s">
        <v>1200</v>
      </c>
      <c r="B220" s="112">
        <v>10098</v>
      </c>
      <c r="C220" s="113"/>
      <c r="D220" s="116">
        <v>50</v>
      </c>
      <c r="E220" s="117"/>
      <c r="H220" t="s">
        <v>1245</v>
      </c>
      <c r="I220" s="99">
        <f t="shared" si="3"/>
        <v>50</v>
      </c>
    </row>
    <row r="221" spans="1:9" ht="12.75" customHeight="1" x14ac:dyDescent="0.25">
      <c r="A221" s="115" t="s">
        <v>668</v>
      </c>
      <c r="B221" s="112">
        <v>7928.2</v>
      </c>
      <c r="C221" s="113"/>
      <c r="D221" s="117"/>
      <c r="E221" s="117"/>
      <c r="H221">
        <v>221</v>
      </c>
      <c r="I221" s="99"/>
    </row>
    <row r="222" spans="1:9" ht="12.75" customHeight="1" x14ac:dyDescent="0.25">
      <c r="A222" s="115" t="s">
        <v>1186</v>
      </c>
      <c r="B222" s="112">
        <v>11976.5</v>
      </c>
      <c r="C222" s="113"/>
      <c r="D222" s="116">
        <v>50</v>
      </c>
      <c r="E222" s="117"/>
      <c r="H222" t="s">
        <v>1231</v>
      </c>
      <c r="I222" s="99">
        <f t="shared" si="3"/>
        <v>50</v>
      </c>
    </row>
    <row r="223" spans="1:9" ht="24.75" customHeight="1" x14ac:dyDescent="0.25">
      <c r="A223" s="115" t="s">
        <v>551</v>
      </c>
      <c r="B223" s="112">
        <v>12379.9</v>
      </c>
      <c r="C223" s="113"/>
      <c r="D223" s="116">
        <v>62</v>
      </c>
      <c r="E223" s="117"/>
      <c r="H223">
        <v>188</v>
      </c>
      <c r="I223" s="99">
        <f t="shared" si="3"/>
        <v>62</v>
      </c>
    </row>
    <row r="224" spans="1:9" ht="24.75" customHeight="1" x14ac:dyDescent="0.25">
      <c r="A224" s="115" t="s">
        <v>398</v>
      </c>
      <c r="B224" s="112">
        <v>7625.4</v>
      </c>
      <c r="C224" s="113"/>
      <c r="D224" s="116">
        <v>52</v>
      </c>
      <c r="E224" s="117"/>
      <c r="H224">
        <v>99</v>
      </c>
      <c r="I224" s="99">
        <f t="shared" si="3"/>
        <v>52</v>
      </c>
    </row>
    <row r="225" spans="1:9" ht="24.75" customHeight="1" x14ac:dyDescent="0.25">
      <c r="A225" s="115" t="s">
        <v>881</v>
      </c>
      <c r="B225" s="112">
        <v>15094.8</v>
      </c>
      <c r="C225" s="113"/>
      <c r="D225" s="116">
        <v>50</v>
      </c>
      <c r="E225" s="117"/>
      <c r="H225">
        <v>311</v>
      </c>
      <c r="I225" s="99">
        <f t="shared" si="3"/>
        <v>50</v>
      </c>
    </row>
    <row r="226" spans="1:9" ht="12.75" customHeight="1" x14ac:dyDescent="0.25">
      <c r="A226" s="115" t="s">
        <v>512</v>
      </c>
      <c r="B226" s="112">
        <v>10253.200000000001</v>
      </c>
      <c r="C226" s="113"/>
      <c r="D226" s="116">
        <v>50</v>
      </c>
      <c r="E226" s="117"/>
      <c r="H226">
        <v>200</v>
      </c>
      <c r="I226" s="99">
        <f t="shared" si="3"/>
        <v>50</v>
      </c>
    </row>
    <row r="227" spans="1:9" ht="25.5" x14ac:dyDescent="0.25">
      <c r="A227" s="115" t="s">
        <v>954</v>
      </c>
      <c r="B227" s="112">
        <v>3456.7</v>
      </c>
      <c r="C227" s="113"/>
      <c r="D227" s="116">
        <v>41</v>
      </c>
      <c r="E227" s="117"/>
      <c r="H227">
        <v>373</v>
      </c>
      <c r="I227" s="99">
        <f t="shared" si="3"/>
        <v>41</v>
      </c>
    </row>
    <row r="228" spans="1:9" ht="25.5" x14ac:dyDescent="0.25">
      <c r="A228" s="115" t="s">
        <v>1394</v>
      </c>
      <c r="B228" s="112">
        <v>11815</v>
      </c>
      <c r="C228" s="113"/>
      <c r="D228" s="116">
        <v>55</v>
      </c>
      <c r="E228" s="117"/>
      <c r="H228" t="s">
        <v>1396</v>
      </c>
      <c r="I228" s="99">
        <f t="shared" si="3"/>
        <v>55</v>
      </c>
    </row>
    <row r="229" spans="1:9" ht="25.5" x14ac:dyDescent="0.25">
      <c r="A229" s="115" t="s">
        <v>556</v>
      </c>
      <c r="B229" s="112">
        <v>11044.8</v>
      </c>
      <c r="C229" s="113"/>
      <c r="D229" s="117"/>
      <c r="E229" s="117"/>
      <c r="H229">
        <v>193</v>
      </c>
      <c r="I229" s="99"/>
    </row>
    <row r="230" spans="1:9" ht="25.5" x14ac:dyDescent="0.25">
      <c r="A230" s="115" t="s">
        <v>1111</v>
      </c>
      <c r="B230" s="112">
        <v>12081.7</v>
      </c>
      <c r="C230" s="113"/>
      <c r="D230" s="116">
        <v>58</v>
      </c>
      <c r="E230" s="117"/>
      <c r="H230" t="s">
        <v>1134</v>
      </c>
      <c r="I230" s="99">
        <f t="shared" si="3"/>
        <v>58</v>
      </c>
    </row>
    <row r="231" spans="1:9" ht="25.5" x14ac:dyDescent="0.25">
      <c r="A231" s="115" t="s">
        <v>882</v>
      </c>
      <c r="B231" s="112">
        <v>8776.7999999999993</v>
      </c>
      <c r="C231" s="113"/>
      <c r="D231" s="116">
        <v>52</v>
      </c>
      <c r="E231" s="117"/>
      <c r="H231">
        <v>313</v>
      </c>
      <c r="I231" s="99">
        <f t="shared" si="3"/>
        <v>52</v>
      </c>
    </row>
    <row r="232" spans="1:9" ht="25.5" x14ac:dyDescent="0.25">
      <c r="A232" s="115" t="s">
        <v>375</v>
      </c>
      <c r="B232" s="112">
        <v>3557.2</v>
      </c>
      <c r="C232" s="113"/>
      <c r="D232" s="116">
        <v>42</v>
      </c>
      <c r="E232" s="117"/>
      <c r="H232">
        <v>75</v>
      </c>
      <c r="I232" s="99">
        <f t="shared" si="3"/>
        <v>42</v>
      </c>
    </row>
    <row r="233" spans="1:9" ht="25.5" x14ac:dyDescent="0.25">
      <c r="A233" s="115" t="s">
        <v>835</v>
      </c>
      <c r="B233" s="112">
        <v>11279.6</v>
      </c>
      <c r="C233" s="113"/>
      <c r="D233" s="117"/>
      <c r="E233" s="117"/>
      <c r="H233">
        <v>297</v>
      </c>
      <c r="I233" s="99"/>
    </row>
    <row r="234" spans="1:9" ht="25.5" x14ac:dyDescent="0.25">
      <c r="A234" s="115" t="s">
        <v>396</v>
      </c>
      <c r="B234" s="112">
        <v>10728.2</v>
      </c>
      <c r="C234" s="113"/>
      <c r="D234" s="116">
        <v>52</v>
      </c>
      <c r="E234" s="117"/>
      <c r="H234">
        <v>97</v>
      </c>
      <c r="I234" s="99">
        <f t="shared" si="3"/>
        <v>52</v>
      </c>
    </row>
    <row r="235" spans="1:9" ht="25.5" x14ac:dyDescent="0.25">
      <c r="A235" s="115" t="s">
        <v>1410</v>
      </c>
      <c r="B235" s="112">
        <v>10631.4</v>
      </c>
      <c r="C235" s="113"/>
      <c r="D235" s="116">
        <v>53</v>
      </c>
      <c r="E235" s="117"/>
      <c r="H235" t="s">
        <v>1422</v>
      </c>
      <c r="I235" s="99">
        <f t="shared" si="3"/>
        <v>53</v>
      </c>
    </row>
    <row r="236" spans="1:9" ht="25.5" x14ac:dyDescent="0.25">
      <c r="A236" s="115" t="s">
        <v>1371</v>
      </c>
      <c r="B236" s="112">
        <v>11328.7</v>
      </c>
      <c r="C236" s="113"/>
      <c r="D236" s="116">
        <v>56</v>
      </c>
      <c r="E236" s="117"/>
      <c r="H236" t="s">
        <v>1388</v>
      </c>
      <c r="I236" s="99">
        <f t="shared" si="3"/>
        <v>56</v>
      </c>
    </row>
    <row r="237" spans="1:9" ht="25.5" x14ac:dyDescent="0.25">
      <c r="A237" s="115" t="s">
        <v>1428</v>
      </c>
      <c r="B237" s="112">
        <v>11553.6</v>
      </c>
      <c r="C237" s="113"/>
      <c r="D237" s="116">
        <v>48</v>
      </c>
      <c r="E237" s="117"/>
      <c r="H237" t="s">
        <v>1446</v>
      </c>
      <c r="I237" s="99">
        <f t="shared" si="3"/>
        <v>48</v>
      </c>
    </row>
    <row r="238" spans="1:9" ht="25.5" x14ac:dyDescent="0.25">
      <c r="A238" s="115" t="s">
        <v>935</v>
      </c>
      <c r="B238" s="112">
        <v>10733.8</v>
      </c>
      <c r="C238" s="113"/>
      <c r="D238" s="116">
        <v>59</v>
      </c>
      <c r="E238" s="117"/>
      <c r="H238">
        <v>413</v>
      </c>
      <c r="I238" s="99">
        <f t="shared" si="3"/>
        <v>59</v>
      </c>
    </row>
    <row r="239" spans="1:9" ht="25.5" x14ac:dyDescent="0.25">
      <c r="A239" s="115" t="s">
        <v>756</v>
      </c>
      <c r="B239" s="112">
        <v>11165.5</v>
      </c>
      <c r="C239" s="113"/>
      <c r="D239" s="116">
        <v>59</v>
      </c>
      <c r="E239" s="117"/>
      <c r="H239">
        <v>242</v>
      </c>
      <c r="I239" s="99">
        <f t="shared" si="3"/>
        <v>59</v>
      </c>
    </row>
    <row r="240" spans="1:9" ht="25.5" x14ac:dyDescent="0.25">
      <c r="A240" s="115" t="s">
        <v>1189</v>
      </c>
      <c r="B240" s="112">
        <v>11650.8</v>
      </c>
      <c r="C240" s="113"/>
      <c r="D240" s="116">
        <v>49</v>
      </c>
      <c r="E240" s="117"/>
      <c r="H240" t="s">
        <v>1234</v>
      </c>
      <c r="I240" s="99">
        <f t="shared" si="3"/>
        <v>49</v>
      </c>
    </row>
    <row r="241" spans="1:9" ht="25.5" x14ac:dyDescent="0.25">
      <c r="A241" s="115" t="s">
        <v>787</v>
      </c>
      <c r="B241" s="112">
        <v>11936.9</v>
      </c>
      <c r="C241" s="113"/>
      <c r="D241" s="116">
        <v>58</v>
      </c>
      <c r="E241" s="117"/>
      <c r="H241">
        <v>267</v>
      </c>
      <c r="I241" s="99">
        <f t="shared" si="3"/>
        <v>58</v>
      </c>
    </row>
    <row r="242" spans="1:9" ht="25.5" x14ac:dyDescent="0.25">
      <c r="A242" s="115" t="s">
        <v>1370</v>
      </c>
      <c r="B242" s="112">
        <v>12010.9</v>
      </c>
      <c r="C242" s="113"/>
      <c r="D242" s="116">
        <v>56</v>
      </c>
      <c r="E242" s="117"/>
      <c r="H242" t="s">
        <v>1387</v>
      </c>
      <c r="I242" s="99">
        <f t="shared" si="3"/>
        <v>56</v>
      </c>
    </row>
    <row r="243" spans="1:9" ht="25.5" x14ac:dyDescent="0.25">
      <c r="A243" s="115" t="s">
        <v>547</v>
      </c>
      <c r="B243" s="112">
        <v>12105.4</v>
      </c>
      <c r="C243" s="113"/>
      <c r="D243" s="116">
        <v>59</v>
      </c>
      <c r="E243" s="117"/>
      <c r="H243">
        <v>185</v>
      </c>
      <c r="I243" s="99">
        <f t="shared" si="3"/>
        <v>59</v>
      </c>
    </row>
    <row r="244" spans="1:9" ht="25.5" x14ac:dyDescent="0.25">
      <c r="A244" s="115" t="s">
        <v>1474</v>
      </c>
      <c r="B244" s="112">
        <v>11961.2</v>
      </c>
      <c r="C244" s="113"/>
      <c r="D244" s="116">
        <v>50</v>
      </c>
      <c r="E244" s="117"/>
      <c r="H244" t="s">
        <v>1505</v>
      </c>
      <c r="I244" s="99">
        <f t="shared" si="3"/>
        <v>50</v>
      </c>
    </row>
    <row r="245" spans="1:9" ht="25.5" x14ac:dyDescent="0.25">
      <c r="A245" s="115" t="s">
        <v>562</v>
      </c>
      <c r="B245" s="112">
        <v>17110</v>
      </c>
      <c r="C245" s="113"/>
      <c r="D245" s="117"/>
      <c r="E245" s="117"/>
      <c r="H245">
        <v>197</v>
      </c>
      <c r="I245" s="99"/>
    </row>
    <row r="246" spans="1:9" ht="25.5" x14ac:dyDescent="0.25">
      <c r="A246" s="115" t="s">
        <v>513</v>
      </c>
      <c r="B246" s="112">
        <v>13550.6</v>
      </c>
      <c r="C246" s="113"/>
      <c r="D246" s="117"/>
      <c r="E246" s="117"/>
      <c r="H246">
        <v>201</v>
      </c>
      <c r="I246" s="99"/>
    </row>
    <row r="247" spans="1:9" ht="25.5" x14ac:dyDescent="0.25">
      <c r="A247" s="115" t="s">
        <v>516</v>
      </c>
      <c r="B247" s="112">
        <v>13692.1</v>
      </c>
      <c r="C247" s="113"/>
      <c r="D247" s="117"/>
      <c r="E247" s="117"/>
      <c r="H247">
        <v>202</v>
      </c>
      <c r="I247" s="99"/>
    </row>
    <row r="248" spans="1:9" ht="25.5" x14ac:dyDescent="0.25">
      <c r="A248" s="115" t="s">
        <v>519</v>
      </c>
      <c r="B248" s="112">
        <v>13560.5</v>
      </c>
      <c r="C248" s="113"/>
      <c r="D248" s="117"/>
      <c r="E248" s="117"/>
      <c r="H248">
        <v>203</v>
      </c>
      <c r="I248" s="99"/>
    </row>
    <row r="249" spans="1:9" ht="25.5" x14ac:dyDescent="0.25">
      <c r="A249" s="115" t="s">
        <v>520</v>
      </c>
      <c r="B249" s="112">
        <v>13632.4</v>
      </c>
      <c r="C249" s="113"/>
      <c r="D249" s="117"/>
      <c r="E249" s="117"/>
      <c r="H249">
        <v>204</v>
      </c>
      <c r="I249" s="99"/>
    </row>
    <row r="250" spans="1:9" ht="25.5" x14ac:dyDescent="0.25">
      <c r="A250" s="115" t="s">
        <v>853</v>
      </c>
      <c r="B250" s="112">
        <v>12845.4</v>
      </c>
      <c r="C250" s="113"/>
      <c r="D250" s="117"/>
      <c r="E250" s="117"/>
      <c r="H250">
        <v>304</v>
      </c>
      <c r="I250" s="99"/>
    </row>
    <row r="251" spans="1:9" ht="25.5" x14ac:dyDescent="0.25">
      <c r="A251" s="115" t="s">
        <v>856</v>
      </c>
      <c r="B251" s="112">
        <v>12823.2</v>
      </c>
      <c r="C251" s="113"/>
      <c r="D251" s="117"/>
      <c r="E251" s="117"/>
      <c r="H251">
        <v>305</v>
      </c>
      <c r="I251" s="99"/>
    </row>
    <row r="252" spans="1:9" ht="25.5" x14ac:dyDescent="0.25">
      <c r="A252" s="115" t="s">
        <v>758</v>
      </c>
      <c r="B252" s="112">
        <v>11397.7</v>
      </c>
      <c r="C252" s="113"/>
      <c r="D252" s="116">
        <v>60</v>
      </c>
      <c r="E252" s="117"/>
      <c r="H252">
        <v>244</v>
      </c>
      <c r="I252" s="99">
        <f t="shared" si="3"/>
        <v>60</v>
      </c>
    </row>
    <row r="253" spans="1:9" ht="25.5" x14ac:dyDescent="0.25">
      <c r="A253" s="115" t="s">
        <v>1046</v>
      </c>
      <c r="B253" s="112">
        <v>11762.4</v>
      </c>
      <c r="C253" s="113"/>
      <c r="D253" s="116">
        <v>54</v>
      </c>
      <c r="E253" s="117"/>
      <c r="H253">
        <v>355</v>
      </c>
      <c r="I253" s="99">
        <f t="shared" si="3"/>
        <v>54</v>
      </c>
    </row>
    <row r="254" spans="1:9" ht="25.5" x14ac:dyDescent="0.25">
      <c r="A254" s="115" t="s">
        <v>1114</v>
      </c>
      <c r="B254" s="112">
        <v>12678.6</v>
      </c>
      <c r="C254" s="113"/>
      <c r="D254" s="116">
        <v>63</v>
      </c>
      <c r="E254" s="117"/>
      <c r="H254" t="s">
        <v>1137</v>
      </c>
      <c r="I254" s="99">
        <f t="shared" si="3"/>
        <v>63</v>
      </c>
    </row>
    <row r="255" spans="1:9" ht="25.5" x14ac:dyDescent="0.25">
      <c r="A255" s="115" t="s">
        <v>1401</v>
      </c>
      <c r="B255" s="112">
        <v>11698.3</v>
      </c>
      <c r="C255" s="113"/>
      <c r="D255" s="116">
        <v>49</v>
      </c>
      <c r="E255" s="117"/>
      <c r="H255" t="s">
        <v>1415</v>
      </c>
      <c r="I255" s="99">
        <f t="shared" si="3"/>
        <v>49</v>
      </c>
    </row>
    <row r="256" spans="1:9" ht="25.5" x14ac:dyDescent="0.25">
      <c r="A256" s="115" t="s">
        <v>1379</v>
      </c>
      <c r="B256" s="112">
        <v>11103.3</v>
      </c>
      <c r="C256" s="113"/>
      <c r="D256" s="116">
        <v>52</v>
      </c>
      <c r="E256" s="117"/>
      <c r="H256" t="s">
        <v>1392</v>
      </c>
      <c r="I256" s="99">
        <f t="shared" si="3"/>
        <v>52</v>
      </c>
    </row>
    <row r="257" spans="1:9" ht="25.5" x14ac:dyDescent="0.25">
      <c r="A257" s="115" t="s">
        <v>1056</v>
      </c>
      <c r="B257" s="112">
        <v>5668.6</v>
      </c>
      <c r="C257" s="113"/>
      <c r="D257" s="116">
        <v>56</v>
      </c>
      <c r="E257" s="117"/>
      <c r="H257">
        <v>365</v>
      </c>
      <c r="I257" s="99">
        <f t="shared" si="3"/>
        <v>56</v>
      </c>
    </row>
    <row r="258" spans="1:9" ht="25.5" x14ac:dyDescent="0.25">
      <c r="A258" s="115" t="s">
        <v>1196</v>
      </c>
      <c r="B258" s="112">
        <v>11377.8</v>
      </c>
      <c r="C258" s="113"/>
      <c r="D258" s="116">
        <v>51</v>
      </c>
      <c r="E258" s="117"/>
      <c r="H258" t="s">
        <v>1241</v>
      </c>
      <c r="I258" s="99">
        <f t="shared" si="3"/>
        <v>51</v>
      </c>
    </row>
    <row r="259" spans="1:9" ht="25.5" x14ac:dyDescent="0.25">
      <c r="A259" s="115" t="s">
        <v>769</v>
      </c>
      <c r="B259" s="112">
        <v>14276</v>
      </c>
      <c r="C259" s="113"/>
      <c r="D259" s="116">
        <v>60</v>
      </c>
      <c r="E259" s="117"/>
      <c r="H259">
        <v>252</v>
      </c>
      <c r="I259" s="99">
        <f t="shared" si="3"/>
        <v>60</v>
      </c>
    </row>
    <row r="260" spans="1:9" ht="25.5" x14ac:dyDescent="0.25">
      <c r="A260" s="115" t="s">
        <v>360</v>
      </c>
      <c r="B260" s="112">
        <v>10337.799999999999</v>
      </c>
      <c r="C260" s="113"/>
      <c r="D260" s="116">
        <v>42</v>
      </c>
      <c r="E260" s="117"/>
      <c r="H260">
        <v>45</v>
      </c>
      <c r="I260" s="99">
        <f t="shared" si="3"/>
        <v>42</v>
      </c>
    </row>
    <row r="261" spans="1:9" ht="25.5" x14ac:dyDescent="0.25">
      <c r="A261" s="115" t="s">
        <v>1397</v>
      </c>
      <c r="B261" s="112">
        <v>12345.7</v>
      </c>
      <c r="C261" s="113"/>
      <c r="D261" s="116">
        <v>55</v>
      </c>
      <c r="E261" s="117"/>
      <c r="H261" t="s">
        <v>1411</v>
      </c>
      <c r="I261" s="99">
        <f t="shared" si="3"/>
        <v>55</v>
      </c>
    </row>
    <row r="262" spans="1:9" ht="25.5" x14ac:dyDescent="0.25">
      <c r="A262" s="115" t="s">
        <v>1442</v>
      </c>
      <c r="B262" s="112">
        <v>11475.7</v>
      </c>
      <c r="C262" s="113"/>
      <c r="D262" s="116">
        <v>55</v>
      </c>
      <c r="E262" s="117"/>
      <c r="H262" t="s">
        <v>1460</v>
      </c>
      <c r="I262" s="99">
        <f t="shared" si="3"/>
        <v>55</v>
      </c>
    </row>
    <row r="263" spans="1:9" ht="25.5" x14ac:dyDescent="0.25">
      <c r="A263" s="115" t="s">
        <v>734</v>
      </c>
      <c r="B263" s="112">
        <v>11356.8</v>
      </c>
      <c r="C263" s="113"/>
      <c r="D263" s="116">
        <v>53</v>
      </c>
      <c r="E263" s="117"/>
      <c r="H263">
        <v>225</v>
      </c>
      <c r="I263" s="99">
        <f t="shared" si="3"/>
        <v>53</v>
      </c>
    </row>
    <row r="264" spans="1:9" ht="25.5" x14ac:dyDescent="0.25">
      <c r="A264" s="115" t="s">
        <v>1048</v>
      </c>
      <c r="B264" s="112">
        <v>11800.8</v>
      </c>
      <c r="C264" s="113"/>
      <c r="D264" s="116">
        <v>58</v>
      </c>
      <c r="E264" s="117"/>
      <c r="H264">
        <v>357</v>
      </c>
      <c r="I264" s="99">
        <f t="shared" si="3"/>
        <v>58</v>
      </c>
    </row>
    <row r="265" spans="1:9" ht="25.5" x14ac:dyDescent="0.25">
      <c r="A265" s="115" t="s">
        <v>1197</v>
      </c>
      <c r="B265" s="112">
        <v>11788.2</v>
      </c>
      <c r="C265" s="113"/>
      <c r="D265" s="116">
        <v>49</v>
      </c>
      <c r="E265" s="117"/>
      <c r="H265" t="s">
        <v>1242</v>
      </c>
      <c r="I265" s="99">
        <f t="shared" si="3"/>
        <v>49</v>
      </c>
    </row>
    <row r="266" spans="1:9" ht="25.5" x14ac:dyDescent="0.25">
      <c r="A266" s="115" t="s">
        <v>400</v>
      </c>
      <c r="B266" s="112">
        <v>10273.5</v>
      </c>
      <c r="C266" s="113"/>
      <c r="D266" s="116">
        <v>52</v>
      </c>
      <c r="E266" s="117"/>
      <c r="H266">
        <v>101</v>
      </c>
      <c r="I266" s="99">
        <f t="shared" si="3"/>
        <v>52</v>
      </c>
    </row>
    <row r="267" spans="1:9" ht="25.5" x14ac:dyDescent="0.25">
      <c r="A267" s="115" t="s">
        <v>736</v>
      </c>
      <c r="B267" s="112">
        <v>3906.3</v>
      </c>
      <c r="C267" s="113"/>
      <c r="D267" s="116">
        <v>59</v>
      </c>
      <c r="E267" s="117"/>
      <c r="H267">
        <v>227</v>
      </c>
      <c r="I267" s="99">
        <f t="shared" si="3"/>
        <v>59</v>
      </c>
    </row>
    <row r="268" spans="1:9" ht="25.5" x14ac:dyDescent="0.25">
      <c r="A268" s="115" t="s">
        <v>944</v>
      </c>
      <c r="B268" s="112">
        <v>11716.2</v>
      </c>
      <c r="C268" s="113"/>
      <c r="D268" s="116">
        <v>55</v>
      </c>
      <c r="E268" s="117"/>
      <c r="H268">
        <v>344</v>
      </c>
      <c r="I268" s="99">
        <f t="shared" si="3"/>
        <v>55</v>
      </c>
    </row>
    <row r="269" spans="1:9" ht="25.5" x14ac:dyDescent="0.25">
      <c r="A269" s="115" t="s">
        <v>1052</v>
      </c>
      <c r="B269" s="112">
        <v>11651.5</v>
      </c>
      <c r="C269" s="113"/>
      <c r="D269" s="116">
        <v>54</v>
      </c>
      <c r="E269" s="117"/>
      <c r="H269">
        <v>361</v>
      </c>
      <c r="I269" s="99">
        <f t="shared" si="3"/>
        <v>54</v>
      </c>
    </row>
    <row r="270" spans="1:9" ht="25.5" x14ac:dyDescent="0.25">
      <c r="A270" s="115" t="s">
        <v>1083</v>
      </c>
      <c r="B270" s="112">
        <v>12136</v>
      </c>
      <c r="C270" s="113"/>
      <c r="D270" s="116">
        <v>54</v>
      </c>
      <c r="E270" s="117"/>
      <c r="H270" t="s">
        <v>1096</v>
      </c>
      <c r="I270" s="99">
        <f t="shared" si="3"/>
        <v>54</v>
      </c>
    </row>
    <row r="271" spans="1:9" ht="25.5" x14ac:dyDescent="0.25">
      <c r="A271" s="115" t="s">
        <v>811</v>
      </c>
      <c r="B271" s="112">
        <v>4630.6000000000004</v>
      </c>
      <c r="C271" s="113"/>
      <c r="D271" s="116">
        <v>59</v>
      </c>
      <c r="E271" s="117"/>
      <c r="H271">
        <v>287</v>
      </c>
      <c r="I271" s="99">
        <f t="shared" ref="I271:I334" si="4">D271</f>
        <v>59</v>
      </c>
    </row>
    <row r="272" spans="1:9" ht="25.5" x14ac:dyDescent="0.25">
      <c r="A272" s="115" t="s">
        <v>545</v>
      </c>
      <c r="B272" s="112">
        <v>11948.2</v>
      </c>
      <c r="C272" s="113"/>
      <c r="D272" s="116">
        <v>62</v>
      </c>
      <c r="E272" s="117"/>
      <c r="H272">
        <v>183</v>
      </c>
      <c r="I272" s="99">
        <f t="shared" si="4"/>
        <v>62</v>
      </c>
    </row>
    <row r="273" spans="1:9" ht="25.5" x14ac:dyDescent="0.25">
      <c r="A273" s="115" t="s">
        <v>951</v>
      </c>
      <c r="B273" s="112">
        <v>13129.6</v>
      </c>
      <c r="C273" s="113"/>
      <c r="D273" s="116">
        <v>52</v>
      </c>
      <c r="E273" s="117"/>
      <c r="H273">
        <v>351</v>
      </c>
      <c r="I273" s="99">
        <f t="shared" si="4"/>
        <v>52</v>
      </c>
    </row>
    <row r="274" spans="1:9" ht="25.5" x14ac:dyDescent="0.25">
      <c r="A274" s="115" t="s">
        <v>662</v>
      </c>
      <c r="B274" s="112">
        <v>11365.2</v>
      </c>
      <c r="C274" s="113"/>
      <c r="D274" s="116">
        <v>54</v>
      </c>
      <c r="E274" s="117"/>
      <c r="H274">
        <v>215</v>
      </c>
      <c r="I274" s="99">
        <f t="shared" si="4"/>
        <v>54</v>
      </c>
    </row>
    <row r="275" spans="1:9" ht="25.5" x14ac:dyDescent="0.25">
      <c r="A275" s="115" t="s">
        <v>1477</v>
      </c>
      <c r="B275" s="112">
        <v>12048.7</v>
      </c>
      <c r="C275" s="113"/>
      <c r="D275" s="116">
        <v>62</v>
      </c>
      <c r="E275" s="117"/>
      <c r="H275" t="s">
        <v>1508</v>
      </c>
      <c r="I275" s="99">
        <f t="shared" si="4"/>
        <v>62</v>
      </c>
    </row>
    <row r="276" spans="1:9" ht="25.5" x14ac:dyDescent="0.25">
      <c r="A276" s="115" t="s">
        <v>792</v>
      </c>
      <c r="B276" s="112">
        <v>12215</v>
      </c>
      <c r="C276" s="113"/>
      <c r="D276" s="116">
        <v>61</v>
      </c>
      <c r="E276" s="117"/>
      <c r="H276">
        <v>271</v>
      </c>
      <c r="I276" s="99">
        <f t="shared" si="4"/>
        <v>61</v>
      </c>
    </row>
    <row r="277" spans="1:9" ht="25.5" x14ac:dyDescent="0.25">
      <c r="A277" s="115" t="s">
        <v>510</v>
      </c>
      <c r="B277" s="112">
        <v>10716.6</v>
      </c>
      <c r="C277" s="113"/>
      <c r="D277" s="116">
        <v>50</v>
      </c>
      <c r="E277" s="117"/>
      <c r="H277">
        <v>199</v>
      </c>
      <c r="I277" s="99">
        <f t="shared" si="4"/>
        <v>50</v>
      </c>
    </row>
    <row r="278" spans="1:9" ht="25.5" x14ac:dyDescent="0.25">
      <c r="A278" s="115" t="s">
        <v>1283</v>
      </c>
      <c r="B278" s="112">
        <v>11214</v>
      </c>
      <c r="C278" s="113"/>
      <c r="D278" s="116">
        <v>52</v>
      </c>
      <c r="E278" s="117"/>
      <c r="H278" t="s">
        <v>1299</v>
      </c>
      <c r="I278" s="99">
        <f t="shared" si="4"/>
        <v>52</v>
      </c>
    </row>
    <row r="279" spans="1:9" ht="25.5" x14ac:dyDescent="0.25">
      <c r="A279" s="115" t="s">
        <v>1324</v>
      </c>
      <c r="B279" s="112">
        <v>6399.2</v>
      </c>
      <c r="C279" s="113"/>
      <c r="D279" s="116">
        <v>50</v>
      </c>
      <c r="E279" s="117"/>
      <c r="H279" t="s">
        <v>1343</v>
      </c>
      <c r="I279" s="99">
        <f t="shared" si="4"/>
        <v>50</v>
      </c>
    </row>
    <row r="280" spans="1:9" ht="25.5" x14ac:dyDescent="0.25">
      <c r="A280" s="115" t="s">
        <v>431</v>
      </c>
      <c r="B280" s="112">
        <v>11029</v>
      </c>
      <c r="C280" s="113"/>
      <c r="D280" s="116">
        <v>57</v>
      </c>
      <c r="E280" s="117"/>
      <c r="H280">
        <v>144</v>
      </c>
      <c r="I280" s="99">
        <f t="shared" si="4"/>
        <v>57</v>
      </c>
    </row>
    <row r="281" spans="1:9" ht="25.5" x14ac:dyDescent="0.25">
      <c r="A281" s="115" t="s">
        <v>383</v>
      </c>
      <c r="B281" s="112">
        <v>7212.7</v>
      </c>
      <c r="C281" s="113"/>
      <c r="D281" s="116">
        <v>50</v>
      </c>
      <c r="E281" s="117"/>
      <c r="H281">
        <v>83</v>
      </c>
      <c r="I281" s="99">
        <f t="shared" si="4"/>
        <v>50</v>
      </c>
    </row>
    <row r="282" spans="1:9" ht="25.5" x14ac:dyDescent="0.25">
      <c r="A282" s="115" t="s">
        <v>1281</v>
      </c>
      <c r="B282" s="112">
        <v>10900.5</v>
      </c>
      <c r="C282" s="113"/>
      <c r="D282" s="116">
        <v>52</v>
      </c>
      <c r="E282" s="117"/>
      <c r="H282" t="s">
        <v>1297</v>
      </c>
      <c r="I282" s="99">
        <f t="shared" si="4"/>
        <v>52</v>
      </c>
    </row>
    <row r="283" spans="1:9" ht="25.5" x14ac:dyDescent="0.25">
      <c r="A283" s="115" t="s">
        <v>1260</v>
      </c>
      <c r="B283" s="112">
        <v>11857.5</v>
      </c>
      <c r="C283" s="113"/>
      <c r="D283" s="116">
        <v>55</v>
      </c>
      <c r="E283" s="117"/>
      <c r="H283" t="s">
        <v>1267</v>
      </c>
      <c r="I283" s="99">
        <f t="shared" si="4"/>
        <v>55</v>
      </c>
    </row>
    <row r="284" spans="1:9" ht="25.5" x14ac:dyDescent="0.25">
      <c r="A284" s="115" t="s">
        <v>666</v>
      </c>
      <c r="B284" s="112">
        <v>11686.1</v>
      </c>
      <c r="C284" s="113"/>
      <c r="D284" s="116">
        <v>53</v>
      </c>
      <c r="E284" s="117"/>
      <c r="H284">
        <v>219</v>
      </c>
      <c r="I284" s="99">
        <f t="shared" si="4"/>
        <v>53</v>
      </c>
    </row>
    <row r="285" spans="1:9" ht="25.5" x14ac:dyDescent="0.25">
      <c r="A285" s="115" t="s">
        <v>1430</v>
      </c>
      <c r="B285" s="112">
        <v>12311.2</v>
      </c>
      <c r="C285" s="113"/>
      <c r="D285" s="116">
        <v>52</v>
      </c>
      <c r="E285" s="117"/>
      <c r="H285" t="s">
        <v>1448</v>
      </c>
      <c r="I285" s="99">
        <f t="shared" si="4"/>
        <v>52</v>
      </c>
    </row>
    <row r="286" spans="1:9" ht="25.5" x14ac:dyDescent="0.25">
      <c r="A286" s="115" t="s">
        <v>1264</v>
      </c>
      <c r="B286" s="112">
        <v>10584.7</v>
      </c>
      <c r="C286" s="113"/>
      <c r="D286" s="116">
        <v>53</v>
      </c>
      <c r="E286" s="117"/>
      <c r="H286" t="s">
        <v>1271</v>
      </c>
      <c r="I286" s="99">
        <f t="shared" si="4"/>
        <v>53</v>
      </c>
    </row>
    <row r="287" spans="1:9" ht="25.5" x14ac:dyDescent="0.25">
      <c r="A287" s="115" t="s">
        <v>829</v>
      </c>
      <c r="B287" s="112">
        <v>7526.4</v>
      </c>
      <c r="C287" s="113"/>
      <c r="D287" s="116">
        <v>57</v>
      </c>
      <c r="E287" s="117"/>
      <c r="H287">
        <v>296</v>
      </c>
      <c r="I287" s="99">
        <f t="shared" si="4"/>
        <v>57</v>
      </c>
    </row>
    <row r="288" spans="1:9" ht="25.5" x14ac:dyDescent="0.25">
      <c r="A288" s="115" t="s">
        <v>1429</v>
      </c>
      <c r="B288" s="112">
        <v>12005.6</v>
      </c>
      <c r="C288" s="113"/>
      <c r="D288" s="116">
        <v>54</v>
      </c>
      <c r="E288" s="117"/>
      <c r="H288" t="s">
        <v>1447</v>
      </c>
      <c r="I288" s="99">
        <f t="shared" si="4"/>
        <v>54</v>
      </c>
    </row>
    <row r="289" spans="1:9" ht="25.5" x14ac:dyDescent="0.25">
      <c r="A289" s="115" t="s">
        <v>393</v>
      </c>
      <c r="B289" s="112">
        <v>8514.6</v>
      </c>
      <c r="C289" s="113"/>
      <c r="D289" s="116">
        <v>51</v>
      </c>
      <c r="E289" s="117"/>
      <c r="H289">
        <v>93</v>
      </c>
      <c r="I289" s="99">
        <f t="shared" si="4"/>
        <v>51</v>
      </c>
    </row>
    <row r="290" spans="1:9" ht="25.5" x14ac:dyDescent="0.25">
      <c r="A290" s="115" t="s">
        <v>1049</v>
      </c>
      <c r="B290" s="112">
        <v>11681.2</v>
      </c>
      <c r="C290" s="113"/>
      <c r="D290" s="116">
        <v>60</v>
      </c>
      <c r="E290" s="117"/>
      <c r="H290">
        <v>358</v>
      </c>
      <c r="I290" s="99">
        <f t="shared" si="4"/>
        <v>60</v>
      </c>
    </row>
    <row r="291" spans="1:9" ht="25.5" x14ac:dyDescent="0.25">
      <c r="A291" s="115" t="s">
        <v>1081</v>
      </c>
      <c r="B291" s="112">
        <v>11735.1</v>
      </c>
      <c r="C291" s="113"/>
      <c r="D291" s="116">
        <v>53</v>
      </c>
      <c r="E291" s="117"/>
      <c r="H291" t="s">
        <v>1094</v>
      </c>
      <c r="I291" s="99">
        <f t="shared" si="4"/>
        <v>53</v>
      </c>
    </row>
    <row r="292" spans="1:9" ht="25.5" x14ac:dyDescent="0.25">
      <c r="A292" s="115" t="s">
        <v>434</v>
      </c>
      <c r="B292" s="112">
        <v>11356.8</v>
      </c>
      <c r="C292" s="113"/>
      <c r="D292" s="116">
        <v>57</v>
      </c>
      <c r="E292" s="117"/>
      <c r="H292">
        <v>147</v>
      </c>
      <c r="I292" s="99">
        <f t="shared" si="4"/>
        <v>57</v>
      </c>
    </row>
    <row r="293" spans="1:9" ht="25.5" x14ac:dyDescent="0.25">
      <c r="A293" s="115" t="s">
        <v>1479</v>
      </c>
      <c r="B293" s="112">
        <v>12126.4</v>
      </c>
      <c r="C293" s="113"/>
      <c r="D293" s="116">
        <v>59</v>
      </c>
      <c r="E293" s="117"/>
      <c r="H293" t="s">
        <v>1510</v>
      </c>
      <c r="I293" s="99">
        <f t="shared" si="4"/>
        <v>59</v>
      </c>
    </row>
    <row r="294" spans="1:9" ht="25.5" x14ac:dyDescent="0.25">
      <c r="A294" s="115" t="s">
        <v>1258</v>
      </c>
      <c r="B294" s="112">
        <v>11229.7</v>
      </c>
      <c r="C294" s="113"/>
      <c r="D294" s="116">
        <v>54</v>
      </c>
      <c r="E294" s="117"/>
      <c r="H294" t="s">
        <v>1265</v>
      </c>
      <c r="I294" s="99">
        <f t="shared" si="4"/>
        <v>54</v>
      </c>
    </row>
    <row r="295" spans="1:9" ht="25.5" x14ac:dyDescent="0.25">
      <c r="A295" s="115" t="s">
        <v>982</v>
      </c>
      <c r="B295" s="112">
        <v>12645.4</v>
      </c>
      <c r="C295" s="113"/>
      <c r="D295" s="116">
        <v>52</v>
      </c>
      <c r="E295" s="117"/>
      <c r="H295">
        <v>440</v>
      </c>
      <c r="I295" s="99">
        <f t="shared" si="4"/>
        <v>52</v>
      </c>
    </row>
    <row r="296" spans="1:9" ht="25.5" x14ac:dyDescent="0.25">
      <c r="A296" s="115" t="s">
        <v>819</v>
      </c>
      <c r="B296" s="112">
        <v>14133.1</v>
      </c>
      <c r="C296" s="113"/>
      <c r="D296" s="117"/>
      <c r="E296" s="117"/>
      <c r="H296">
        <v>295</v>
      </c>
      <c r="I296" s="99"/>
    </row>
    <row r="297" spans="1:9" ht="25.5" x14ac:dyDescent="0.25">
      <c r="A297" s="115" t="s">
        <v>1055</v>
      </c>
      <c r="B297" s="112">
        <v>12118.6</v>
      </c>
      <c r="C297" s="113"/>
      <c r="D297" s="116">
        <v>51</v>
      </c>
      <c r="E297" s="117"/>
      <c r="H297">
        <v>364</v>
      </c>
      <c r="I297" s="99">
        <f t="shared" si="4"/>
        <v>51</v>
      </c>
    </row>
    <row r="298" spans="1:9" ht="25.5" x14ac:dyDescent="0.25">
      <c r="A298" s="115" t="s">
        <v>656</v>
      </c>
      <c r="B298" s="112">
        <v>11431.1</v>
      </c>
      <c r="C298" s="113"/>
      <c r="D298" s="116">
        <v>50</v>
      </c>
      <c r="E298" s="117"/>
      <c r="H298">
        <v>209</v>
      </c>
      <c r="I298" s="99">
        <f t="shared" si="4"/>
        <v>50</v>
      </c>
    </row>
    <row r="299" spans="1:9" ht="25.5" x14ac:dyDescent="0.25">
      <c r="A299" s="115" t="s">
        <v>1087</v>
      </c>
      <c r="B299" s="112">
        <v>12029.8</v>
      </c>
      <c r="C299" s="113"/>
      <c r="D299" s="116">
        <v>57</v>
      </c>
      <c r="E299" s="117"/>
      <c r="H299" t="s">
        <v>1100</v>
      </c>
      <c r="I299" s="99">
        <f t="shared" si="4"/>
        <v>57</v>
      </c>
    </row>
    <row r="300" spans="1:9" ht="25.5" x14ac:dyDescent="0.25">
      <c r="A300" s="115" t="s">
        <v>966</v>
      </c>
      <c r="B300" s="112">
        <v>10626</v>
      </c>
      <c r="C300" s="113"/>
      <c r="D300" s="116">
        <v>44</v>
      </c>
      <c r="E300" s="117"/>
      <c r="H300">
        <v>384</v>
      </c>
      <c r="I300" s="99">
        <f t="shared" si="4"/>
        <v>44</v>
      </c>
    </row>
    <row r="301" spans="1:9" ht="25.5" x14ac:dyDescent="0.25">
      <c r="A301" s="115" t="s">
        <v>553</v>
      </c>
      <c r="B301" s="112">
        <v>4282.8</v>
      </c>
      <c r="C301" s="113"/>
      <c r="D301" s="116">
        <v>62</v>
      </c>
      <c r="E301" s="117"/>
      <c r="H301">
        <v>190</v>
      </c>
      <c r="I301" s="99">
        <f t="shared" si="4"/>
        <v>62</v>
      </c>
    </row>
    <row r="302" spans="1:9" ht="25.5" x14ac:dyDescent="0.25">
      <c r="A302" s="115" t="s">
        <v>427</v>
      </c>
      <c r="B302" s="112">
        <v>11660.2</v>
      </c>
      <c r="C302" s="113"/>
      <c r="D302" s="116">
        <v>55</v>
      </c>
      <c r="E302" s="117"/>
      <c r="H302">
        <v>140</v>
      </c>
      <c r="I302" s="99">
        <f t="shared" si="4"/>
        <v>55</v>
      </c>
    </row>
    <row r="303" spans="1:9" ht="25.5" x14ac:dyDescent="0.25">
      <c r="A303" s="115" t="s">
        <v>1472</v>
      </c>
      <c r="B303" s="112">
        <v>12343.3</v>
      </c>
      <c r="C303" s="113"/>
      <c r="D303" s="116">
        <v>56</v>
      </c>
      <c r="E303" s="117"/>
      <c r="H303" t="s">
        <v>1503</v>
      </c>
      <c r="I303" s="99">
        <f t="shared" si="4"/>
        <v>56</v>
      </c>
    </row>
    <row r="304" spans="1:9" ht="25.5" x14ac:dyDescent="0.25">
      <c r="A304" s="115" t="s">
        <v>1089</v>
      </c>
      <c r="B304" s="112">
        <v>12535.5</v>
      </c>
      <c r="C304" s="113"/>
      <c r="D304" s="116">
        <v>56</v>
      </c>
      <c r="E304" s="117"/>
      <c r="H304" t="s">
        <v>1102</v>
      </c>
      <c r="I304" s="99">
        <f t="shared" si="4"/>
        <v>56</v>
      </c>
    </row>
    <row r="305" spans="1:9" ht="25.5" x14ac:dyDescent="0.25">
      <c r="A305" s="115" t="s">
        <v>1169</v>
      </c>
      <c r="B305" s="112">
        <v>10481.1</v>
      </c>
      <c r="C305" s="113"/>
      <c r="D305" s="116">
        <v>43</v>
      </c>
      <c r="E305" s="117"/>
      <c r="H305" t="s">
        <v>1216</v>
      </c>
      <c r="I305" s="99">
        <f t="shared" si="4"/>
        <v>43</v>
      </c>
    </row>
    <row r="306" spans="1:9" ht="25.5" x14ac:dyDescent="0.25">
      <c r="A306" s="115" t="s">
        <v>670</v>
      </c>
      <c r="B306" s="112">
        <v>11448.4</v>
      </c>
      <c r="C306" s="113"/>
      <c r="D306" s="117"/>
      <c r="E306" s="117"/>
      <c r="H306">
        <v>223</v>
      </c>
      <c r="I306" s="99"/>
    </row>
    <row r="307" spans="1:9" ht="25.5" x14ac:dyDescent="0.25">
      <c r="A307" s="115" t="s">
        <v>1057</v>
      </c>
      <c r="B307" s="112">
        <v>5611.2</v>
      </c>
      <c r="C307" s="113"/>
      <c r="D307" s="116">
        <v>60</v>
      </c>
      <c r="E307" s="117"/>
      <c r="H307">
        <v>366</v>
      </c>
      <c r="I307" s="99">
        <f t="shared" si="4"/>
        <v>60</v>
      </c>
    </row>
    <row r="308" spans="1:9" ht="25.5" x14ac:dyDescent="0.25">
      <c r="A308" s="115" t="s">
        <v>405</v>
      </c>
      <c r="B308" s="112">
        <v>10625.5</v>
      </c>
      <c r="C308" s="113"/>
      <c r="D308" s="116">
        <v>56</v>
      </c>
      <c r="E308" s="117"/>
      <c r="H308">
        <v>106</v>
      </c>
      <c r="I308" s="99">
        <f t="shared" si="4"/>
        <v>56</v>
      </c>
    </row>
    <row r="309" spans="1:9" ht="25.5" x14ac:dyDescent="0.25">
      <c r="A309" s="115" t="s">
        <v>934</v>
      </c>
      <c r="B309" s="112">
        <v>11601.4</v>
      </c>
      <c r="C309" s="113"/>
      <c r="D309" s="116">
        <v>61</v>
      </c>
      <c r="E309" s="117"/>
      <c r="H309">
        <v>412</v>
      </c>
      <c r="I309" s="99">
        <f t="shared" si="4"/>
        <v>61</v>
      </c>
    </row>
    <row r="310" spans="1:9" ht="25.5" x14ac:dyDescent="0.25">
      <c r="A310" s="115" t="s">
        <v>949</v>
      </c>
      <c r="B310" s="112">
        <v>12068.8</v>
      </c>
      <c r="C310" s="113"/>
      <c r="D310" s="116">
        <v>53</v>
      </c>
      <c r="E310" s="117"/>
      <c r="H310">
        <v>349</v>
      </c>
      <c r="I310" s="99">
        <f t="shared" si="4"/>
        <v>53</v>
      </c>
    </row>
    <row r="311" spans="1:9" ht="25.5" x14ac:dyDescent="0.25">
      <c r="A311" s="115" t="s">
        <v>1489</v>
      </c>
      <c r="B311" s="112">
        <v>15337</v>
      </c>
      <c r="C311" s="113"/>
      <c r="D311" s="116">
        <v>60</v>
      </c>
      <c r="E311" s="117"/>
      <c r="H311" t="s">
        <v>1519</v>
      </c>
      <c r="I311" s="99">
        <f t="shared" si="4"/>
        <v>60</v>
      </c>
    </row>
    <row r="312" spans="1:9" ht="25.5" x14ac:dyDescent="0.25">
      <c r="A312" s="115" t="s">
        <v>1001</v>
      </c>
      <c r="B312" s="112">
        <v>12641.2</v>
      </c>
      <c r="C312" s="113"/>
      <c r="D312" s="116">
        <v>51</v>
      </c>
      <c r="E312" s="117"/>
      <c r="H312">
        <v>454</v>
      </c>
      <c r="I312" s="99">
        <f t="shared" si="4"/>
        <v>51</v>
      </c>
    </row>
    <row r="313" spans="1:9" ht="25.5" x14ac:dyDescent="0.25">
      <c r="A313" s="115" t="s">
        <v>659</v>
      </c>
      <c r="B313" s="112">
        <v>11489.6</v>
      </c>
      <c r="C313" s="113"/>
      <c r="D313" s="116">
        <v>53</v>
      </c>
      <c r="E313" s="117"/>
      <c r="H313">
        <v>212</v>
      </c>
      <c r="I313" s="99">
        <f t="shared" si="4"/>
        <v>53</v>
      </c>
    </row>
    <row r="314" spans="1:9" ht="25.5" x14ac:dyDescent="0.25">
      <c r="A314" s="115" t="s">
        <v>883</v>
      </c>
      <c r="B314" s="112">
        <v>3235.9</v>
      </c>
      <c r="C314" s="113"/>
      <c r="D314" s="116">
        <v>59</v>
      </c>
      <c r="E314" s="117"/>
      <c r="H314">
        <v>315</v>
      </c>
      <c r="I314" s="99">
        <f t="shared" si="4"/>
        <v>59</v>
      </c>
    </row>
    <row r="315" spans="1:9" ht="25.5" x14ac:dyDescent="0.25">
      <c r="A315" s="115" t="s">
        <v>947</v>
      </c>
      <c r="B315" s="112">
        <v>11576.2</v>
      </c>
      <c r="C315" s="113"/>
      <c r="D315" s="116">
        <v>48</v>
      </c>
      <c r="E315" s="117"/>
      <c r="H315">
        <v>347</v>
      </c>
      <c r="I315" s="99">
        <f t="shared" si="4"/>
        <v>48</v>
      </c>
    </row>
    <row r="316" spans="1:9" ht="25.5" x14ac:dyDescent="0.25">
      <c r="A316" s="115" t="s">
        <v>435</v>
      </c>
      <c r="B316" s="112">
        <v>10645</v>
      </c>
      <c r="C316" s="113"/>
      <c r="D316" s="116">
        <v>58</v>
      </c>
      <c r="E316" s="117"/>
      <c r="H316">
        <v>148</v>
      </c>
      <c r="I316" s="99">
        <f t="shared" si="4"/>
        <v>58</v>
      </c>
    </row>
    <row r="317" spans="1:9" ht="25.5" x14ac:dyDescent="0.25">
      <c r="A317" s="115" t="s">
        <v>958</v>
      </c>
      <c r="B317" s="112">
        <v>3847.8</v>
      </c>
      <c r="C317" s="113"/>
      <c r="D317" s="116">
        <v>40</v>
      </c>
      <c r="E317" s="117"/>
      <c r="H317">
        <v>376</v>
      </c>
      <c r="I317" s="99">
        <f t="shared" si="4"/>
        <v>40</v>
      </c>
    </row>
    <row r="318" spans="1:9" ht="25.5" x14ac:dyDescent="0.25">
      <c r="A318" s="115" t="s">
        <v>739</v>
      </c>
      <c r="B318" s="112">
        <v>10953.6</v>
      </c>
      <c r="C318" s="113"/>
      <c r="D318" s="116">
        <v>57</v>
      </c>
      <c r="E318" s="117"/>
      <c r="H318">
        <v>228</v>
      </c>
      <c r="I318" s="99">
        <f t="shared" si="4"/>
        <v>57</v>
      </c>
    </row>
    <row r="319" spans="1:9" ht="25.5" x14ac:dyDescent="0.25">
      <c r="A319" s="115" t="s">
        <v>884</v>
      </c>
      <c r="B319" s="112">
        <v>4851.3</v>
      </c>
      <c r="C319" s="113"/>
      <c r="D319" s="116">
        <v>43</v>
      </c>
      <c r="E319" s="117"/>
      <c r="H319">
        <v>318</v>
      </c>
      <c r="I319" s="99">
        <f t="shared" si="4"/>
        <v>43</v>
      </c>
    </row>
    <row r="320" spans="1:9" ht="25.5" x14ac:dyDescent="0.25">
      <c r="A320" s="115" t="s">
        <v>1320</v>
      </c>
      <c r="B320" s="112">
        <v>5742.9</v>
      </c>
      <c r="C320" s="113"/>
      <c r="D320" s="116">
        <v>47</v>
      </c>
      <c r="E320" s="117"/>
      <c r="H320" t="s">
        <v>1340</v>
      </c>
      <c r="I320" s="99">
        <f t="shared" si="4"/>
        <v>47</v>
      </c>
    </row>
    <row r="321" spans="1:9" ht="25.5" x14ac:dyDescent="0.25">
      <c r="A321" s="115" t="s">
        <v>768</v>
      </c>
      <c r="B321" s="112">
        <v>3853.2</v>
      </c>
      <c r="C321" s="113"/>
      <c r="D321" s="116">
        <v>59</v>
      </c>
      <c r="E321" s="117"/>
      <c r="H321">
        <v>251</v>
      </c>
      <c r="I321" s="99">
        <f t="shared" si="4"/>
        <v>59</v>
      </c>
    </row>
    <row r="322" spans="1:9" ht="25.5" x14ac:dyDescent="0.25">
      <c r="A322" s="115" t="s">
        <v>424</v>
      </c>
      <c r="B322" s="112">
        <v>3215.4</v>
      </c>
      <c r="C322" s="113"/>
      <c r="D322" s="116">
        <v>50</v>
      </c>
      <c r="E322" s="117"/>
      <c r="H322">
        <v>137</v>
      </c>
      <c r="I322" s="99">
        <f t="shared" si="4"/>
        <v>50</v>
      </c>
    </row>
    <row r="323" spans="1:9" ht="25.5" x14ac:dyDescent="0.25">
      <c r="A323" s="115" t="s">
        <v>1287</v>
      </c>
      <c r="B323" s="112">
        <v>10593.8</v>
      </c>
      <c r="C323" s="113"/>
      <c r="D323" s="116">
        <v>47</v>
      </c>
      <c r="E323" s="117"/>
      <c r="H323" t="s">
        <v>1303</v>
      </c>
      <c r="I323" s="99">
        <f t="shared" si="4"/>
        <v>47</v>
      </c>
    </row>
    <row r="324" spans="1:9" ht="25.5" x14ac:dyDescent="0.25">
      <c r="A324" s="115" t="s">
        <v>373</v>
      </c>
      <c r="B324" s="112">
        <v>5020.3999999999996</v>
      </c>
      <c r="C324" s="113"/>
      <c r="D324" s="116">
        <v>44</v>
      </c>
      <c r="E324" s="117"/>
      <c r="H324">
        <v>73</v>
      </c>
      <c r="I324" s="99">
        <f t="shared" si="4"/>
        <v>44</v>
      </c>
    </row>
    <row r="325" spans="1:9" ht="25.5" x14ac:dyDescent="0.25">
      <c r="A325" s="115" t="s">
        <v>979</v>
      </c>
      <c r="B325" s="112">
        <v>11601.8</v>
      </c>
      <c r="C325" s="113"/>
      <c r="D325" s="116">
        <v>59</v>
      </c>
      <c r="E325" s="117"/>
      <c r="H325">
        <v>437</v>
      </c>
      <c r="I325" s="99">
        <f t="shared" si="4"/>
        <v>59</v>
      </c>
    </row>
    <row r="326" spans="1:9" ht="25.5" x14ac:dyDescent="0.25">
      <c r="A326" s="115" t="s">
        <v>374</v>
      </c>
      <c r="B326" s="112">
        <v>3306.9</v>
      </c>
      <c r="C326" s="113"/>
      <c r="D326" s="116">
        <v>43</v>
      </c>
      <c r="E326" s="117"/>
      <c r="H326">
        <v>74</v>
      </c>
      <c r="I326" s="99">
        <f t="shared" si="4"/>
        <v>43</v>
      </c>
    </row>
    <row r="327" spans="1:9" ht="25.5" x14ac:dyDescent="0.25">
      <c r="A327" s="115" t="s">
        <v>1365</v>
      </c>
      <c r="B327" s="112">
        <v>11772.5</v>
      </c>
      <c r="C327" s="113"/>
      <c r="D327" s="116">
        <v>55</v>
      </c>
      <c r="E327" s="117"/>
      <c r="H327" t="s">
        <v>1384</v>
      </c>
      <c r="I327" s="99">
        <f t="shared" si="4"/>
        <v>55</v>
      </c>
    </row>
    <row r="328" spans="1:9" ht="25.5" x14ac:dyDescent="0.25">
      <c r="A328" s="115" t="s">
        <v>658</v>
      </c>
      <c r="B328" s="112">
        <v>11263.3</v>
      </c>
      <c r="C328" s="113"/>
      <c r="D328" s="116">
        <v>54</v>
      </c>
      <c r="E328" s="117"/>
      <c r="H328">
        <v>211</v>
      </c>
      <c r="I328" s="99">
        <f t="shared" si="4"/>
        <v>54</v>
      </c>
    </row>
    <row r="329" spans="1:9" ht="25.5" x14ac:dyDescent="0.25">
      <c r="A329" s="115" t="s">
        <v>785</v>
      </c>
      <c r="B329" s="112">
        <v>12485.2</v>
      </c>
      <c r="C329" s="113"/>
      <c r="D329" s="116">
        <v>55</v>
      </c>
      <c r="E329" s="117"/>
      <c r="H329">
        <v>265</v>
      </c>
      <c r="I329" s="99">
        <f t="shared" si="4"/>
        <v>55</v>
      </c>
    </row>
    <row r="330" spans="1:9" ht="25.5" x14ac:dyDescent="0.25">
      <c r="A330" s="115" t="s">
        <v>1057</v>
      </c>
      <c r="B330" s="112">
        <v>7871.5</v>
      </c>
      <c r="C330" s="113"/>
      <c r="D330" s="116">
        <v>58</v>
      </c>
      <c r="E330" s="117"/>
      <c r="H330">
        <v>366</v>
      </c>
      <c r="I330" s="99">
        <f t="shared" si="4"/>
        <v>58</v>
      </c>
    </row>
    <row r="331" spans="1:9" ht="25.5" x14ac:dyDescent="0.25">
      <c r="A331" s="115" t="s">
        <v>1323</v>
      </c>
      <c r="B331" s="112">
        <v>12792.5</v>
      </c>
      <c r="C331" s="113"/>
      <c r="D331" s="116">
        <v>49</v>
      </c>
      <c r="E331" s="117"/>
      <c r="H331" t="s">
        <v>1342</v>
      </c>
      <c r="I331" s="99">
        <f t="shared" si="4"/>
        <v>49</v>
      </c>
    </row>
    <row r="332" spans="1:9" ht="25.5" x14ac:dyDescent="0.25">
      <c r="A332" s="115" t="s">
        <v>1439</v>
      </c>
      <c r="B332" s="112">
        <v>11637.7</v>
      </c>
      <c r="C332" s="113"/>
      <c r="D332" s="116">
        <v>63</v>
      </c>
      <c r="E332" s="117"/>
      <c r="H332" t="s">
        <v>1457</v>
      </c>
      <c r="I332" s="99">
        <f t="shared" si="4"/>
        <v>63</v>
      </c>
    </row>
    <row r="333" spans="1:9" ht="25.5" x14ac:dyDescent="0.25">
      <c r="A333" s="115" t="s">
        <v>359</v>
      </c>
      <c r="B333" s="112">
        <v>9803.9</v>
      </c>
      <c r="C333" s="113"/>
      <c r="D333" s="116">
        <v>40</v>
      </c>
      <c r="E333" s="117"/>
      <c r="H333">
        <v>44</v>
      </c>
      <c r="I333" s="99">
        <f t="shared" si="4"/>
        <v>40</v>
      </c>
    </row>
    <row r="334" spans="1:9" ht="25.5" x14ac:dyDescent="0.25">
      <c r="A334" s="115" t="s">
        <v>741</v>
      </c>
      <c r="B334" s="112">
        <v>11840.8</v>
      </c>
      <c r="C334" s="113"/>
      <c r="D334" s="116">
        <v>53</v>
      </c>
      <c r="E334" s="117"/>
      <c r="H334">
        <v>230</v>
      </c>
      <c r="I334" s="99">
        <f t="shared" si="4"/>
        <v>53</v>
      </c>
    </row>
    <row r="335" spans="1:9" ht="25.5" x14ac:dyDescent="0.25">
      <c r="A335" s="115" t="s">
        <v>1327</v>
      </c>
      <c r="B335" s="112">
        <v>11979.8</v>
      </c>
      <c r="C335" s="113"/>
      <c r="D335" s="116">
        <v>45</v>
      </c>
      <c r="E335" s="117"/>
      <c r="H335" t="s">
        <v>1345</v>
      </c>
      <c r="I335" s="99">
        <f t="shared" ref="I335:I398" si="5">D335</f>
        <v>45</v>
      </c>
    </row>
    <row r="336" spans="1:9" ht="25.5" x14ac:dyDescent="0.25">
      <c r="A336" s="115" t="s">
        <v>1259</v>
      </c>
      <c r="B336" s="112">
        <v>10857.7</v>
      </c>
      <c r="C336" s="113"/>
      <c r="D336" s="116">
        <v>49</v>
      </c>
      <c r="E336" s="117"/>
      <c r="H336" t="s">
        <v>1266</v>
      </c>
      <c r="I336" s="99">
        <f t="shared" si="5"/>
        <v>49</v>
      </c>
    </row>
    <row r="337" spans="1:9" ht="25.5" x14ac:dyDescent="0.25">
      <c r="A337" s="115" t="s">
        <v>413</v>
      </c>
      <c r="B337" s="112">
        <v>12905.6</v>
      </c>
      <c r="C337" s="113"/>
      <c r="D337" s="117"/>
      <c r="E337" s="117"/>
      <c r="H337">
        <v>114</v>
      </c>
      <c r="I337" s="99"/>
    </row>
    <row r="338" spans="1:9" ht="25.5" x14ac:dyDescent="0.25">
      <c r="A338" s="115" t="s">
        <v>414</v>
      </c>
      <c r="B338" s="112">
        <v>16610</v>
      </c>
      <c r="C338" s="113"/>
      <c r="D338" s="117"/>
      <c r="E338" s="117"/>
      <c r="H338">
        <v>115</v>
      </c>
      <c r="I338" s="99"/>
    </row>
    <row r="339" spans="1:9" ht="25.5" x14ac:dyDescent="0.25">
      <c r="A339" s="115" t="s">
        <v>980</v>
      </c>
      <c r="B339" s="112">
        <v>4565.8</v>
      </c>
      <c r="C339" s="113"/>
      <c r="D339" s="116">
        <v>49</v>
      </c>
      <c r="E339" s="117"/>
      <c r="H339">
        <v>438</v>
      </c>
      <c r="I339" s="99">
        <f t="shared" si="5"/>
        <v>49</v>
      </c>
    </row>
    <row r="340" spans="1:9" ht="25.5" x14ac:dyDescent="0.25">
      <c r="A340" s="115" t="s">
        <v>1438</v>
      </c>
      <c r="B340" s="112">
        <v>11970</v>
      </c>
      <c r="C340" s="113"/>
      <c r="D340" s="116">
        <v>61</v>
      </c>
      <c r="E340" s="117"/>
      <c r="H340" t="s">
        <v>1456</v>
      </c>
      <c r="I340" s="99">
        <f t="shared" si="5"/>
        <v>61</v>
      </c>
    </row>
    <row r="341" spans="1:9" ht="25.5" x14ac:dyDescent="0.25">
      <c r="A341" s="115" t="s">
        <v>816</v>
      </c>
      <c r="B341" s="112">
        <v>11587</v>
      </c>
      <c r="C341" s="113"/>
      <c r="D341" s="117"/>
      <c r="E341" s="117"/>
      <c r="H341">
        <v>292</v>
      </c>
      <c r="I341" s="99"/>
    </row>
    <row r="342" spans="1:9" ht="25.5" x14ac:dyDescent="0.25">
      <c r="A342" s="115" t="s">
        <v>390</v>
      </c>
      <c r="B342" s="112">
        <v>11478.9</v>
      </c>
      <c r="C342" s="113"/>
      <c r="D342" s="116">
        <v>51</v>
      </c>
      <c r="E342" s="117"/>
      <c r="H342">
        <v>90</v>
      </c>
      <c r="I342" s="99">
        <f t="shared" si="5"/>
        <v>51</v>
      </c>
    </row>
    <row r="343" spans="1:9" ht="25.5" x14ac:dyDescent="0.25">
      <c r="A343" s="115" t="s">
        <v>381</v>
      </c>
      <c r="B343" s="112">
        <v>6789</v>
      </c>
      <c r="C343" s="113"/>
      <c r="D343" s="116">
        <v>49</v>
      </c>
      <c r="E343" s="117"/>
      <c r="H343">
        <v>81</v>
      </c>
      <c r="I343" s="99">
        <f t="shared" si="5"/>
        <v>49</v>
      </c>
    </row>
    <row r="344" spans="1:9" ht="25.5" x14ac:dyDescent="0.25">
      <c r="A344" s="115" t="s">
        <v>963</v>
      </c>
      <c r="B344" s="112">
        <v>3354.9</v>
      </c>
      <c r="C344" s="113"/>
      <c r="D344" s="116">
        <v>40</v>
      </c>
      <c r="E344" s="117"/>
      <c r="H344">
        <v>381</v>
      </c>
      <c r="I344" s="99">
        <f t="shared" si="5"/>
        <v>40</v>
      </c>
    </row>
    <row r="345" spans="1:9" ht="25.5" x14ac:dyDescent="0.25">
      <c r="A345" s="115" t="s">
        <v>366</v>
      </c>
      <c r="B345" s="112">
        <v>9806.4</v>
      </c>
      <c r="C345" s="113"/>
      <c r="D345" s="116">
        <v>44</v>
      </c>
      <c r="E345" s="117"/>
      <c r="H345">
        <v>54</v>
      </c>
      <c r="I345" s="99">
        <f t="shared" si="5"/>
        <v>44</v>
      </c>
    </row>
    <row r="346" spans="1:9" ht="25.5" x14ac:dyDescent="0.25">
      <c r="A346" s="115" t="s">
        <v>735</v>
      </c>
      <c r="B346" s="112">
        <v>11474.1</v>
      </c>
      <c r="C346" s="113"/>
      <c r="D346" s="116">
        <v>54</v>
      </c>
      <c r="E346" s="117"/>
      <c r="H346">
        <v>226</v>
      </c>
      <c r="I346" s="99">
        <f t="shared" si="5"/>
        <v>54</v>
      </c>
    </row>
    <row r="347" spans="1:9" ht="25.5" x14ac:dyDescent="0.25">
      <c r="A347" s="115" t="s">
        <v>539</v>
      </c>
      <c r="B347" s="112">
        <v>11542.5</v>
      </c>
      <c r="C347" s="113"/>
      <c r="D347" s="116">
        <v>58</v>
      </c>
      <c r="E347" s="117"/>
      <c r="H347">
        <v>177</v>
      </c>
      <c r="I347" s="99">
        <f t="shared" si="5"/>
        <v>58</v>
      </c>
    </row>
    <row r="348" spans="1:9" ht="25.5" x14ac:dyDescent="0.25">
      <c r="A348" s="115" t="s">
        <v>394</v>
      </c>
      <c r="B348" s="112">
        <v>10252.5</v>
      </c>
      <c r="C348" s="113"/>
      <c r="D348" s="116">
        <v>53</v>
      </c>
      <c r="E348" s="117"/>
      <c r="H348">
        <v>94</v>
      </c>
      <c r="I348" s="99">
        <f t="shared" si="5"/>
        <v>53</v>
      </c>
    </row>
    <row r="349" spans="1:9" ht="25.5" x14ac:dyDescent="0.25">
      <c r="A349" s="115" t="s">
        <v>406</v>
      </c>
      <c r="B349" s="112">
        <v>11246.9</v>
      </c>
      <c r="C349" s="113"/>
      <c r="D349" s="116">
        <v>56</v>
      </c>
      <c r="E349" s="117"/>
      <c r="H349">
        <v>107</v>
      </c>
      <c r="I349" s="99">
        <f t="shared" si="5"/>
        <v>56</v>
      </c>
    </row>
    <row r="350" spans="1:9" ht="25.5" x14ac:dyDescent="0.25">
      <c r="A350" s="115" t="s">
        <v>1110</v>
      </c>
      <c r="B350" s="112">
        <v>11751.2</v>
      </c>
      <c r="C350" s="113"/>
      <c r="D350" s="116">
        <v>58</v>
      </c>
      <c r="E350" s="117"/>
      <c r="H350" t="s">
        <v>1133</v>
      </c>
      <c r="I350" s="99">
        <f t="shared" si="5"/>
        <v>58</v>
      </c>
    </row>
    <row r="351" spans="1:9" ht="25.5" x14ac:dyDescent="0.25">
      <c r="A351" s="115" t="s">
        <v>1192</v>
      </c>
      <c r="B351" s="112">
        <v>12302.5</v>
      </c>
      <c r="C351" s="113"/>
      <c r="D351" s="116">
        <v>50</v>
      </c>
      <c r="E351" s="117"/>
      <c r="H351" t="s">
        <v>1237</v>
      </c>
      <c r="I351" s="99">
        <f t="shared" si="5"/>
        <v>50</v>
      </c>
    </row>
    <row r="352" spans="1:9" ht="25.5" x14ac:dyDescent="0.25">
      <c r="A352" s="115" t="s">
        <v>965</v>
      </c>
      <c r="B352" s="112">
        <v>11211.7</v>
      </c>
      <c r="C352" s="113"/>
      <c r="D352" s="116">
        <v>45</v>
      </c>
      <c r="E352" s="117"/>
      <c r="H352">
        <v>383</v>
      </c>
      <c r="I352" s="99">
        <f t="shared" si="5"/>
        <v>45</v>
      </c>
    </row>
    <row r="353" spans="1:9" ht="25.5" x14ac:dyDescent="0.25">
      <c r="A353" s="115" t="s">
        <v>1166</v>
      </c>
      <c r="B353" s="112">
        <v>10448.299999999999</v>
      </c>
      <c r="C353" s="113"/>
      <c r="D353" s="116">
        <v>52</v>
      </c>
      <c r="E353" s="117"/>
      <c r="H353" t="s">
        <v>1215</v>
      </c>
      <c r="I353" s="99">
        <f t="shared" si="5"/>
        <v>52</v>
      </c>
    </row>
    <row r="354" spans="1:9" ht="25.5" x14ac:dyDescent="0.25">
      <c r="A354" s="115" t="s">
        <v>1263</v>
      </c>
      <c r="B354" s="112">
        <v>10904.7</v>
      </c>
      <c r="C354" s="113"/>
      <c r="D354" s="116">
        <v>54</v>
      </c>
      <c r="E354" s="117"/>
      <c r="H354" t="s">
        <v>1270</v>
      </c>
      <c r="I354" s="99">
        <f t="shared" si="5"/>
        <v>54</v>
      </c>
    </row>
    <row r="355" spans="1:9" ht="25.5" x14ac:dyDescent="0.25">
      <c r="A355" s="115" t="s">
        <v>1315</v>
      </c>
      <c r="B355" s="112">
        <v>3461.1</v>
      </c>
      <c r="C355" s="113"/>
      <c r="D355" s="116">
        <v>47</v>
      </c>
      <c r="E355" s="117"/>
      <c r="H355" t="s">
        <v>1337</v>
      </c>
      <c r="I355" s="99">
        <f t="shared" si="5"/>
        <v>47</v>
      </c>
    </row>
    <row r="356" spans="1:9" ht="25.5" x14ac:dyDescent="0.25">
      <c r="A356" s="115" t="s">
        <v>544</v>
      </c>
      <c r="B356" s="112">
        <v>1875.9</v>
      </c>
      <c r="C356" s="113"/>
      <c r="D356" s="116">
        <v>57</v>
      </c>
      <c r="E356" s="117"/>
      <c r="H356">
        <v>182</v>
      </c>
      <c r="I356" s="99">
        <f t="shared" si="5"/>
        <v>57</v>
      </c>
    </row>
    <row r="357" spans="1:9" ht="25.5" x14ac:dyDescent="0.25">
      <c r="A357" s="115" t="s">
        <v>555</v>
      </c>
      <c r="B357" s="112">
        <v>12230.4</v>
      </c>
      <c r="C357" s="113"/>
      <c r="D357" s="117"/>
      <c r="E357" s="117"/>
      <c r="H357">
        <v>192</v>
      </c>
      <c r="I357" s="99"/>
    </row>
    <row r="358" spans="1:9" ht="25.5" x14ac:dyDescent="0.25">
      <c r="A358" s="115" t="s">
        <v>537</v>
      </c>
      <c r="B358" s="112">
        <v>11593.7</v>
      </c>
      <c r="C358" s="113"/>
      <c r="D358" s="116">
        <v>56</v>
      </c>
      <c r="E358" s="117"/>
      <c r="H358">
        <v>156</v>
      </c>
      <c r="I358" s="99">
        <f t="shared" si="5"/>
        <v>56</v>
      </c>
    </row>
    <row r="359" spans="1:9" ht="25.5" x14ac:dyDescent="0.25">
      <c r="A359" s="115" t="s">
        <v>806</v>
      </c>
      <c r="B359" s="112">
        <v>6891.3</v>
      </c>
      <c r="C359" s="113"/>
      <c r="D359" s="116">
        <v>54</v>
      </c>
      <c r="E359" s="117"/>
      <c r="H359">
        <v>282</v>
      </c>
      <c r="I359" s="99">
        <f t="shared" si="5"/>
        <v>54</v>
      </c>
    </row>
    <row r="360" spans="1:9" ht="25.5" x14ac:dyDescent="0.25">
      <c r="A360" s="115" t="s">
        <v>1470</v>
      </c>
      <c r="B360" s="112">
        <v>12163.2</v>
      </c>
      <c r="C360" s="113"/>
      <c r="D360" s="116">
        <v>51</v>
      </c>
      <c r="E360" s="117"/>
      <c r="H360" t="s">
        <v>1501</v>
      </c>
      <c r="I360" s="99">
        <f t="shared" si="5"/>
        <v>51</v>
      </c>
    </row>
    <row r="361" spans="1:9" ht="25.5" x14ac:dyDescent="0.25">
      <c r="A361" s="115" t="s">
        <v>1053</v>
      </c>
      <c r="B361" s="112">
        <v>6383.2</v>
      </c>
      <c r="C361" s="113"/>
      <c r="D361" s="116">
        <v>54</v>
      </c>
      <c r="E361" s="117"/>
      <c r="H361">
        <v>362</v>
      </c>
      <c r="I361" s="99">
        <f t="shared" si="5"/>
        <v>54</v>
      </c>
    </row>
    <row r="362" spans="1:9" ht="25.5" x14ac:dyDescent="0.25">
      <c r="A362" s="115" t="s">
        <v>911</v>
      </c>
      <c r="B362" s="112">
        <v>12114.6</v>
      </c>
      <c r="C362" s="113"/>
      <c r="D362" s="116">
        <v>57</v>
      </c>
      <c r="E362" s="117"/>
      <c r="H362">
        <v>369</v>
      </c>
      <c r="I362" s="99">
        <f t="shared" si="5"/>
        <v>57</v>
      </c>
    </row>
    <row r="363" spans="1:9" ht="25.5" x14ac:dyDescent="0.25">
      <c r="A363" s="115" t="s">
        <v>525</v>
      </c>
      <c r="B363" s="112">
        <v>11154</v>
      </c>
      <c r="C363" s="113"/>
      <c r="D363" s="116">
        <v>51</v>
      </c>
      <c r="E363" s="117"/>
      <c r="H363">
        <v>206</v>
      </c>
      <c r="I363" s="99">
        <f t="shared" si="5"/>
        <v>51</v>
      </c>
    </row>
    <row r="364" spans="1:9" ht="25.5" x14ac:dyDescent="0.25">
      <c r="A364" s="115" t="s">
        <v>813</v>
      </c>
      <c r="B364" s="112">
        <v>2973.6</v>
      </c>
      <c r="C364" s="113"/>
      <c r="D364" s="116">
        <v>62</v>
      </c>
      <c r="E364" s="117"/>
      <c r="H364">
        <v>289</v>
      </c>
      <c r="I364" s="99">
        <f t="shared" si="5"/>
        <v>62</v>
      </c>
    </row>
    <row r="365" spans="1:9" ht="25.5" x14ac:dyDescent="0.25">
      <c r="A365" s="115" t="s">
        <v>389</v>
      </c>
      <c r="B365" s="112">
        <v>10665</v>
      </c>
      <c r="C365" s="113"/>
      <c r="D365" s="116">
        <v>52</v>
      </c>
      <c r="E365" s="117"/>
      <c r="H365">
        <v>89</v>
      </c>
      <c r="I365" s="99">
        <f t="shared" si="5"/>
        <v>52</v>
      </c>
    </row>
    <row r="366" spans="1:9" ht="25.5" x14ac:dyDescent="0.25">
      <c r="A366" s="115" t="s">
        <v>922</v>
      </c>
      <c r="B366" s="112">
        <v>12195</v>
      </c>
      <c r="C366" s="113"/>
      <c r="D366" s="116">
        <v>62</v>
      </c>
      <c r="E366" s="117"/>
      <c r="H366">
        <v>400</v>
      </c>
      <c r="I366" s="99">
        <f t="shared" si="5"/>
        <v>62</v>
      </c>
    </row>
    <row r="367" spans="1:9" ht="25.5" x14ac:dyDescent="0.25">
      <c r="A367" s="115" t="s">
        <v>1179</v>
      </c>
      <c r="B367" s="112">
        <v>10815.7</v>
      </c>
      <c r="C367" s="113"/>
      <c r="D367" s="116">
        <v>43</v>
      </c>
      <c r="E367" s="117"/>
      <c r="H367" t="s">
        <v>1226</v>
      </c>
      <c r="I367" s="99">
        <f t="shared" si="5"/>
        <v>43</v>
      </c>
    </row>
    <row r="368" spans="1:9" ht="25.5" x14ac:dyDescent="0.25">
      <c r="A368" s="115" t="s">
        <v>1191</v>
      </c>
      <c r="B368" s="112">
        <v>12354.7</v>
      </c>
      <c r="C368" s="113"/>
      <c r="D368" s="116">
        <v>50</v>
      </c>
      <c r="E368" s="117"/>
      <c r="H368" t="s">
        <v>1236</v>
      </c>
      <c r="I368" s="99">
        <f t="shared" si="5"/>
        <v>50</v>
      </c>
    </row>
    <row r="369" spans="1:9" ht="25.5" x14ac:dyDescent="0.25">
      <c r="A369" s="115" t="s">
        <v>976</v>
      </c>
      <c r="B369" s="112">
        <v>3675.6</v>
      </c>
      <c r="C369" s="113"/>
      <c r="D369" s="116">
        <v>40</v>
      </c>
      <c r="E369" s="117"/>
      <c r="H369">
        <v>392</v>
      </c>
      <c r="I369" s="99">
        <f t="shared" si="5"/>
        <v>40</v>
      </c>
    </row>
    <row r="370" spans="1:9" ht="25.5" x14ac:dyDescent="0.25">
      <c r="A370" s="115" t="s">
        <v>1112</v>
      </c>
      <c r="B370" s="112">
        <v>11993</v>
      </c>
      <c r="C370" s="113"/>
      <c r="D370" s="116">
        <v>58</v>
      </c>
      <c r="E370" s="117"/>
      <c r="H370" t="s">
        <v>1135</v>
      </c>
      <c r="I370" s="99">
        <f t="shared" si="5"/>
        <v>58</v>
      </c>
    </row>
    <row r="371" spans="1:9" ht="25.5" x14ac:dyDescent="0.25">
      <c r="A371" s="115" t="s">
        <v>1045</v>
      </c>
      <c r="B371" s="112">
        <v>11945.6</v>
      </c>
      <c r="C371" s="113"/>
      <c r="D371" s="116">
        <v>53</v>
      </c>
      <c r="E371" s="117"/>
      <c r="H371">
        <v>354</v>
      </c>
      <c r="I371" s="99">
        <f t="shared" si="5"/>
        <v>53</v>
      </c>
    </row>
    <row r="372" spans="1:9" ht="25.5" x14ac:dyDescent="0.25">
      <c r="A372" s="115" t="s">
        <v>77</v>
      </c>
      <c r="B372" s="112">
        <v>1599</v>
      </c>
      <c r="C372" s="113"/>
      <c r="D372" s="116">
        <v>37</v>
      </c>
      <c r="E372" s="117"/>
      <c r="H372">
        <v>46</v>
      </c>
      <c r="I372" s="99">
        <f t="shared" si="5"/>
        <v>37</v>
      </c>
    </row>
    <row r="373" spans="1:9" ht="25.5" x14ac:dyDescent="0.25">
      <c r="A373" s="115" t="s">
        <v>1193</v>
      </c>
      <c r="B373" s="112">
        <v>11296.5</v>
      </c>
      <c r="C373" s="113"/>
      <c r="D373" s="116">
        <v>51</v>
      </c>
      <c r="E373" s="117"/>
      <c r="H373" t="s">
        <v>1238</v>
      </c>
      <c r="I373" s="99">
        <f t="shared" si="5"/>
        <v>51</v>
      </c>
    </row>
    <row r="374" spans="1:9" ht="25.5" x14ac:dyDescent="0.25">
      <c r="A374" s="115" t="s">
        <v>1282</v>
      </c>
      <c r="B374" s="112">
        <v>11225.8</v>
      </c>
      <c r="C374" s="113"/>
      <c r="D374" s="116">
        <v>50</v>
      </c>
      <c r="E374" s="117"/>
      <c r="H374" t="s">
        <v>1298</v>
      </c>
      <c r="I374" s="99">
        <f t="shared" si="5"/>
        <v>50</v>
      </c>
    </row>
    <row r="375" spans="1:9" ht="25.5" x14ac:dyDescent="0.25">
      <c r="A375" s="115" t="s">
        <v>372</v>
      </c>
      <c r="B375" s="112">
        <v>3080.6</v>
      </c>
      <c r="C375" s="113"/>
      <c r="D375" s="116">
        <v>41</v>
      </c>
      <c r="E375" s="117"/>
      <c r="H375">
        <v>72</v>
      </c>
      <c r="I375" s="99">
        <f t="shared" si="5"/>
        <v>41</v>
      </c>
    </row>
    <row r="376" spans="1:9" ht="25.5" x14ac:dyDescent="0.25">
      <c r="A376" s="115" t="s">
        <v>750</v>
      </c>
      <c r="B376" s="112">
        <v>11336.6</v>
      </c>
      <c r="C376" s="113"/>
      <c r="D376" s="116">
        <v>59</v>
      </c>
      <c r="E376" s="117"/>
      <c r="H376">
        <v>237</v>
      </c>
      <c r="I376" s="99">
        <f t="shared" si="5"/>
        <v>59</v>
      </c>
    </row>
    <row r="377" spans="1:9" ht="25.5" x14ac:dyDescent="0.25">
      <c r="A377" s="115" t="s">
        <v>1201</v>
      </c>
      <c r="B377" s="112">
        <v>11105.5</v>
      </c>
      <c r="C377" s="113"/>
      <c r="D377" s="116">
        <v>53</v>
      </c>
      <c r="E377" s="117"/>
      <c r="H377" t="s">
        <v>1246</v>
      </c>
      <c r="I377" s="99">
        <f t="shared" si="5"/>
        <v>53</v>
      </c>
    </row>
    <row r="378" spans="1:9" ht="25.5" x14ac:dyDescent="0.25">
      <c r="A378" s="115" t="s">
        <v>757</v>
      </c>
      <c r="B378" s="112">
        <v>12168.7</v>
      </c>
      <c r="C378" s="113"/>
      <c r="D378" s="116">
        <v>59</v>
      </c>
      <c r="E378" s="117"/>
      <c r="H378">
        <v>243</v>
      </c>
      <c r="I378" s="99">
        <f t="shared" si="5"/>
        <v>59</v>
      </c>
    </row>
    <row r="379" spans="1:9" ht="25.5" x14ac:dyDescent="0.25">
      <c r="A379" s="115" t="s">
        <v>956</v>
      </c>
      <c r="B379" s="112">
        <v>11712.1</v>
      </c>
      <c r="C379" s="113"/>
      <c r="D379" s="116">
        <v>60</v>
      </c>
      <c r="E379" s="117"/>
      <c r="H379">
        <v>375</v>
      </c>
      <c r="I379" s="99">
        <f t="shared" si="5"/>
        <v>60</v>
      </c>
    </row>
    <row r="380" spans="1:9" ht="25.5" x14ac:dyDescent="0.25">
      <c r="A380" s="115" t="s">
        <v>364</v>
      </c>
      <c r="B380" s="112">
        <v>9713.2999999999993</v>
      </c>
      <c r="C380" s="113"/>
      <c r="D380" s="116">
        <v>45</v>
      </c>
      <c r="E380" s="117"/>
      <c r="H380">
        <v>53</v>
      </c>
      <c r="I380" s="99">
        <f t="shared" si="5"/>
        <v>45</v>
      </c>
    </row>
    <row r="381" spans="1:9" ht="25.5" x14ac:dyDescent="0.25">
      <c r="A381" s="115" t="s">
        <v>1473</v>
      </c>
      <c r="B381" s="112">
        <v>11912.1</v>
      </c>
      <c r="C381" s="113"/>
      <c r="D381" s="116">
        <v>54</v>
      </c>
      <c r="E381" s="117"/>
      <c r="H381" t="s">
        <v>1504</v>
      </c>
      <c r="I381" s="99">
        <f t="shared" si="5"/>
        <v>54</v>
      </c>
    </row>
    <row r="382" spans="1:9" ht="25.5" x14ac:dyDescent="0.25">
      <c r="A382" s="115" t="s">
        <v>1378</v>
      </c>
      <c r="B382" s="112">
        <v>6032.3</v>
      </c>
      <c r="C382" s="113"/>
      <c r="D382" s="116">
        <v>54</v>
      </c>
      <c r="E382" s="117"/>
      <c r="H382" t="s">
        <v>1391</v>
      </c>
      <c r="I382" s="99">
        <f t="shared" si="5"/>
        <v>54</v>
      </c>
    </row>
    <row r="383" spans="1:9" ht="25.5" x14ac:dyDescent="0.25">
      <c r="A383" s="115" t="s">
        <v>1080</v>
      </c>
      <c r="B383" s="112">
        <v>12351.3</v>
      </c>
      <c r="C383" s="113"/>
      <c r="D383" s="116">
        <v>55</v>
      </c>
      <c r="E383" s="117"/>
      <c r="H383" t="s">
        <v>1093</v>
      </c>
      <c r="I383" s="99">
        <f t="shared" si="5"/>
        <v>55</v>
      </c>
    </row>
    <row r="384" spans="1:9" ht="25.5" x14ac:dyDescent="0.25">
      <c r="A384" s="115" t="s">
        <v>885</v>
      </c>
      <c r="B384" s="112">
        <v>3850</v>
      </c>
      <c r="C384" s="113"/>
      <c r="D384" s="116">
        <v>45</v>
      </c>
      <c r="E384" s="117"/>
      <c r="H384">
        <v>314</v>
      </c>
      <c r="I384" s="99">
        <f t="shared" si="5"/>
        <v>45</v>
      </c>
    </row>
    <row r="385" spans="1:9" ht="25.5" x14ac:dyDescent="0.25">
      <c r="A385" s="115" t="s">
        <v>1285</v>
      </c>
      <c r="B385" s="112">
        <v>11268.9</v>
      </c>
      <c r="C385" s="113"/>
      <c r="D385" s="116">
        <v>52</v>
      </c>
      <c r="E385" s="117"/>
      <c r="H385" t="s">
        <v>1301</v>
      </c>
      <c r="I385" s="99">
        <f t="shared" si="5"/>
        <v>52</v>
      </c>
    </row>
    <row r="386" spans="1:9" ht="25.5" x14ac:dyDescent="0.25">
      <c r="A386" s="115" t="s">
        <v>377</v>
      </c>
      <c r="B386" s="112">
        <v>3291.3</v>
      </c>
      <c r="C386" s="113"/>
      <c r="D386" s="116">
        <v>45</v>
      </c>
      <c r="E386" s="117"/>
      <c r="H386">
        <v>77</v>
      </c>
      <c r="I386" s="99">
        <f t="shared" si="5"/>
        <v>45</v>
      </c>
    </row>
    <row r="387" spans="1:9" ht="25.5" x14ac:dyDescent="0.25">
      <c r="A387" s="115" t="s">
        <v>1199</v>
      </c>
      <c r="B387" s="112">
        <v>10798.7</v>
      </c>
      <c r="C387" s="113"/>
      <c r="D387" s="116">
        <v>51</v>
      </c>
      <c r="E387" s="117"/>
      <c r="H387" t="s">
        <v>1244</v>
      </c>
      <c r="I387" s="99">
        <f t="shared" si="5"/>
        <v>51</v>
      </c>
    </row>
    <row r="388" spans="1:9" ht="25.5" x14ac:dyDescent="0.25">
      <c r="A388" s="115" t="s">
        <v>1272</v>
      </c>
      <c r="B388" s="112">
        <v>11365.2</v>
      </c>
      <c r="C388" s="113"/>
      <c r="D388" s="116">
        <v>52</v>
      </c>
      <c r="E388" s="117"/>
      <c r="H388" t="s">
        <v>1291</v>
      </c>
      <c r="I388" s="99">
        <f t="shared" si="5"/>
        <v>52</v>
      </c>
    </row>
    <row r="389" spans="1:9" ht="25.5" x14ac:dyDescent="0.25">
      <c r="A389" s="115" t="s">
        <v>748</v>
      </c>
      <c r="B389" s="112">
        <v>11556.4</v>
      </c>
      <c r="C389" s="113"/>
      <c r="D389" s="116">
        <v>59</v>
      </c>
      <c r="E389" s="117"/>
      <c r="H389">
        <v>235</v>
      </c>
      <c r="I389" s="99">
        <f t="shared" si="5"/>
        <v>59</v>
      </c>
    </row>
    <row r="390" spans="1:9" ht="25.5" x14ac:dyDescent="0.25">
      <c r="A390" s="115" t="s">
        <v>740</v>
      </c>
      <c r="B390" s="112">
        <v>10972.5</v>
      </c>
      <c r="C390" s="113"/>
      <c r="D390" s="116">
        <v>54</v>
      </c>
      <c r="E390" s="117"/>
      <c r="H390">
        <v>229</v>
      </c>
      <c r="I390" s="99">
        <f t="shared" si="5"/>
        <v>54</v>
      </c>
    </row>
    <row r="391" spans="1:9" ht="25.5" x14ac:dyDescent="0.25">
      <c r="A391" s="115" t="s">
        <v>953</v>
      </c>
      <c r="B391" s="112">
        <v>11276.1</v>
      </c>
      <c r="C391" s="113"/>
      <c r="D391" s="116">
        <v>55</v>
      </c>
      <c r="E391" s="117"/>
      <c r="H391">
        <v>372</v>
      </c>
      <c r="I391" s="99">
        <f t="shared" si="5"/>
        <v>55</v>
      </c>
    </row>
    <row r="392" spans="1:9" ht="25.5" x14ac:dyDescent="0.25">
      <c r="A392" s="115" t="s">
        <v>657</v>
      </c>
      <c r="B392" s="112">
        <v>10915.3</v>
      </c>
      <c r="C392" s="113"/>
      <c r="D392" s="116">
        <v>50</v>
      </c>
      <c r="E392" s="117"/>
      <c r="H392">
        <v>210</v>
      </c>
      <c r="I392" s="99">
        <f t="shared" si="5"/>
        <v>50</v>
      </c>
    </row>
    <row r="393" spans="1:9" ht="25.5" x14ac:dyDescent="0.25">
      <c r="A393" s="115" t="s">
        <v>1403</v>
      </c>
      <c r="B393" s="112">
        <v>11764</v>
      </c>
      <c r="C393" s="113"/>
      <c r="D393" s="116">
        <v>53</v>
      </c>
      <c r="E393" s="117"/>
      <c r="H393" t="s">
        <v>1417</v>
      </c>
      <c r="I393" s="99">
        <f t="shared" si="5"/>
        <v>53</v>
      </c>
    </row>
    <row r="394" spans="1:9" ht="25.5" x14ac:dyDescent="0.25">
      <c r="A394" s="115" t="s">
        <v>1182</v>
      </c>
      <c r="B394" s="112">
        <v>10997.8</v>
      </c>
      <c r="C394" s="113"/>
      <c r="D394" s="116">
        <v>54</v>
      </c>
      <c r="E394" s="117"/>
      <c r="H394" t="s">
        <v>1229</v>
      </c>
      <c r="I394" s="99">
        <f t="shared" si="5"/>
        <v>54</v>
      </c>
    </row>
    <row r="395" spans="1:9" ht="25.5" x14ac:dyDescent="0.25">
      <c r="A395" s="115" t="s">
        <v>1441</v>
      </c>
      <c r="B395" s="112">
        <v>12330.5</v>
      </c>
      <c r="C395" s="113"/>
      <c r="D395" s="116">
        <v>59</v>
      </c>
      <c r="E395" s="117"/>
      <c r="H395" t="s">
        <v>1459</v>
      </c>
      <c r="I395" s="99">
        <f t="shared" si="5"/>
        <v>59</v>
      </c>
    </row>
    <row r="396" spans="1:9" ht="25.5" x14ac:dyDescent="0.25">
      <c r="A396" s="115" t="s">
        <v>1471</v>
      </c>
      <c r="B396" s="112">
        <v>12082.5</v>
      </c>
      <c r="C396" s="113"/>
      <c r="D396" s="116">
        <v>56</v>
      </c>
      <c r="E396" s="117"/>
      <c r="H396" t="s">
        <v>1502</v>
      </c>
      <c r="I396" s="99">
        <f t="shared" si="5"/>
        <v>56</v>
      </c>
    </row>
    <row r="397" spans="1:9" ht="25.5" x14ac:dyDescent="0.25">
      <c r="A397" s="115" t="s">
        <v>786</v>
      </c>
      <c r="B397" s="112">
        <v>4181</v>
      </c>
      <c r="C397" s="113"/>
      <c r="D397" s="116">
        <v>58</v>
      </c>
      <c r="E397" s="117"/>
      <c r="H397">
        <v>266</v>
      </c>
      <c r="I397" s="99">
        <f t="shared" si="5"/>
        <v>58</v>
      </c>
    </row>
    <row r="398" spans="1:9" ht="25.5" x14ac:dyDescent="0.25">
      <c r="A398" s="115" t="s">
        <v>1115</v>
      </c>
      <c r="B398" s="112">
        <v>12235.6</v>
      </c>
      <c r="C398" s="113"/>
      <c r="D398" s="116">
        <v>62</v>
      </c>
      <c r="E398" s="117"/>
      <c r="H398" t="s">
        <v>1138</v>
      </c>
      <c r="I398" s="99">
        <f t="shared" si="5"/>
        <v>62</v>
      </c>
    </row>
    <row r="399" spans="1:9" ht="25.5" x14ac:dyDescent="0.25">
      <c r="A399" s="115" t="s">
        <v>1275</v>
      </c>
      <c r="B399" s="112">
        <v>11322.6</v>
      </c>
      <c r="C399" s="113"/>
      <c r="D399" s="116">
        <v>45</v>
      </c>
      <c r="E399" s="117"/>
      <c r="H399" t="s">
        <v>1294</v>
      </c>
      <c r="I399" s="99">
        <f t="shared" ref="I399:I462" si="6">D399</f>
        <v>45</v>
      </c>
    </row>
    <row r="400" spans="1:9" ht="25.5" x14ac:dyDescent="0.25">
      <c r="A400" s="115" t="s">
        <v>989</v>
      </c>
      <c r="B400" s="112">
        <v>11830</v>
      </c>
      <c r="C400" s="113"/>
      <c r="D400" s="116">
        <v>53</v>
      </c>
      <c r="E400" s="117"/>
      <c r="H400">
        <v>447</v>
      </c>
      <c r="I400" s="99">
        <f t="shared" si="6"/>
        <v>53</v>
      </c>
    </row>
    <row r="401" spans="1:9" ht="25.5" x14ac:dyDescent="0.25">
      <c r="A401" s="115" t="s">
        <v>1393</v>
      </c>
      <c r="B401" s="112">
        <v>11602.5</v>
      </c>
      <c r="C401" s="113"/>
      <c r="D401" s="116">
        <v>55</v>
      </c>
      <c r="E401" s="117"/>
      <c r="H401" t="s">
        <v>1395</v>
      </c>
      <c r="I401" s="99">
        <f t="shared" si="6"/>
        <v>55</v>
      </c>
    </row>
    <row r="402" spans="1:9" ht="25.5" x14ac:dyDescent="0.25">
      <c r="A402" s="115" t="s">
        <v>1329</v>
      </c>
      <c r="B402" s="112">
        <v>11628</v>
      </c>
      <c r="C402" s="113"/>
      <c r="D402" s="116">
        <v>46</v>
      </c>
      <c r="E402" s="117"/>
      <c r="H402" t="s">
        <v>1347</v>
      </c>
      <c r="I402" s="99">
        <f t="shared" si="6"/>
        <v>46</v>
      </c>
    </row>
    <row r="403" spans="1:9" ht="25.5" x14ac:dyDescent="0.25">
      <c r="A403" s="115" t="s">
        <v>1433</v>
      </c>
      <c r="B403" s="112">
        <v>7141.9</v>
      </c>
      <c r="C403" s="113"/>
      <c r="D403" s="116">
        <v>58</v>
      </c>
      <c r="E403" s="117"/>
      <c r="H403" t="s">
        <v>1451</v>
      </c>
      <c r="I403" s="99">
        <f t="shared" si="6"/>
        <v>58</v>
      </c>
    </row>
    <row r="404" spans="1:9" ht="25.5" x14ac:dyDescent="0.25">
      <c r="A404" s="115" t="s">
        <v>744</v>
      </c>
      <c r="B404" s="112">
        <v>11004.3</v>
      </c>
      <c r="C404" s="113"/>
      <c r="D404" s="116">
        <v>55</v>
      </c>
      <c r="E404" s="117"/>
      <c r="H404">
        <v>233</v>
      </c>
      <c r="I404" s="99">
        <f t="shared" si="6"/>
        <v>55</v>
      </c>
    </row>
    <row r="405" spans="1:9" ht="25.5" x14ac:dyDescent="0.25">
      <c r="A405" s="115" t="s">
        <v>1322</v>
      </c>
      <c r="B405" s="112">
        <v>5834.9</v>
      </c>
      <c r="C405" s="113"/>
      <c r="D405" s="116">
        <v>45</v>
      </c>
      <c r="E405" s="117"/>
      <c r="H405" t="s">
        <v>1341</v>
      </c>
      <c r="I405" s="99">
        <f t="shared" si="6"/>
        <v>45</v>
      </c>
    </row>
    <row r="406" spans="1:9" ht="25.5" x14ac:dyDescent="0.25">
      <c r="A406" s="115" t="s">
        <v>1478</v>
      </c>
      <c r="B406" s="112">
        <v>12274.9</v>
      </c>
      <c r="C406" s="113"/>
      <c r="D406" s="116">
        <v>61</v>
      </c>
      <c r="E406" s="117"/>
      <c r="H406" t="s">
        <v>1509</v>
      </c>
      <c r="I406" s="99">
        <f t="shared" si="6"/>
        <v>61</v>
      </c>
    </row>
    <row r="407" spans="1:9" ht="25.5" x14ac:dyDescent="0.25">
      <c r="A407" s="115" t="s">
        <v>1467</v>
      </c>
      <c r="B407" s="112">
        <v>11986.5</v>
      </c>
      <c r="C407" s="113"/>
      <c r="D407" s="116">
        <v>51</v>
      </c>
      <c r="E407" s="117"/>
      <c r="H407" t="s">
        <v>1498</v>
      </c>
      <c r="I407" s="99">
        <f t="shared" si="6"/>
        <v>51</v>
      </c>
    </row>
    <row r="408" spans="1:9" ht="25.5" x14ac:dyDescent="0.25">
      <c r="A408" s="115" t="s">
        <v>886</v>
      </c>
      <c r="B408" s="112">
        <v>1478.4</v>
      </c>
      <c r="C408" s="113"/>
      <c r="D408" s="116">
        <v>50</v>
      </c>
      <c r="E408" s="117"/>
      <c r="H408">
        <v>321</v>
      </c>
      <c r="I408" s="99">
        <f t="shared" si="6"/>
        <v>50</v>
      </c>
    </row>
    <row r="409" spans="1:9" ht="25.5" x14ac:dyDescent="0.25">
      <c r="A409" s="115" t="s">
        <v>1404</v>
      </c>
      <c r="B409" s="112">
        <v>11593.4</v>
      </c>
      <c r="C409" s="113"/>
      <c r="D409" s="116">
        <v>54</v>
      </c>
      <c r="E409" s="117"/>
      <c r="H409" t="s">
        <v>1418</v>
      </c>
      <c r="I409" s="99">
        <f t="shared" si="6"/>
        <v>54</v>
      </c>
    </row>
    <row r="410" spans="1:9" ht="25.5" x14ac:dyDescent="0.25">
      <c r="A410" s="115" t="s">
        <v>918</v>
      </c>
      <c r="B410" s="112">
        <v>11690.8</v>
      </c>
      <c r="C410" s="113"/>
      <c r="D410" s="116">
        <v>59</v>
      </c>
      <c r="E410" s="117"/>
      <c r="H410">
        <v>396</v>
      </c>
      <c r="I410" s="99">
        <f t="shared" si="6"/>
        <v>59</v>
      </c>
    </row>
    <row r="411" spans="1:9" ht="25.5" x14ac:dyDescent="0.25">
      <c r="A411" s="115" t="s">
        <v>1082</v>
      </c>
      <c r="B411" s="112">
        <v>12416.8</v>
      </c>
      <c r="C411" s="113"/>
      <c r="D411" s="116">
        <v>53</v>
      </c>
      <c r="E411" s="117"/>
      <c r="H411" t="s">
        <v>1095</v>
      </c>
      <c r="I411" s="99">
        <f t="shared" si="6"/>
        <v>53</v>
      </c>
    </row>
    <row r="412" spans="1:9" ht="25.5" x14ac:dyDescent="0.25">
      <c r="A412" s="115" t="s">
        <v>984</v>
      </c>
      <c r="B412" s="112">
        <v>2056.1999999999998</v>
      </c>
      <c r="C412" s="113"/>
      <c r="D412" s="116">
        <v>54</v>
      </c>
      <c r="E412" s="117"/>
      <c r="H412">
        <v>442</v>
      </c>
      <c r="I412" s="99">
        <f t="shared" si="6"/>
        <v>54</v>
      </c>
    </row>
    <row r="413" spans="1:9" ht="25.5" x14ac:dyDescent="0.25">
      <c r="A413" s="115" t="s">
        <v>760</v>
      </c>
      <c r="B413" s="112">
        <v>8116.8</v>
      </c>
      <c r="C413" s="113"/>
      <c r="D413" s="116">
        <v>57</v>
      </c>
      <c r="E413" s="117"/>
      <c r="H413">
        <v>246</v>
      </c>
      <c r="I413" s="99">
        <f t="shared" si="6"/>
        <v>57</v>
      </c>
    </row>
    <row r="414" spans="1:9" ht="25.5" x14ac:dyDescent="0.25">
      <c r="A414" s="115" t="s">
        <v>661</v>
      </c>
      <c r="B414" s="112">
        <v>5347.5</v>
      </c>
      <c r="C414" s="113"/>
      <c r="D414" s="116">
        <v>54</v>
      </c>
      <c r="E414" s="117"/>
      <c r="H414">
        <v>214</v>
      </c>
      <c r="I414" s="99">
        <f t="shared" si="6"/>
        <v>54</v>
      </c>
    </row>
    <row r="415" spans="1:9" ht="25.5" x14ac:dyDescent="0.25">
      <c r="A415" s="115" t="s">
        <v>1041</v>
      </c>
      <c r="B415" s="112">
        <v>1769.8</v>
      </c>
      <c r="C415" s="113"/>
      <c r="D415" s="116">
        <v>44</v>
      </c>
      <c r="E415" s="117"/>
      <c r="H415">
        <v>432</v>
      </c>
      <c r="I415" s="99">
        <f t="shared" si="6"/>
        <v>44</v>
      </c>
    </row>
    <row r="416" spans="1:9" ht="25.5" x14ac:dyDescent="0.25">
      <c r="A416" s="115" t="s">
        <v>983</v>
      </c>
      <c r="B416" s="112">
        <v>3411.8</v>
      </c>
      <c r="C416" s="113"/>
      <c r="D416" s="116">
        <v>52</v>
      </c>
      <c r="E416" s="117"/>
      <c r="H416">
        <v>441</v>
      </c>
      <c r="I416" s="99">
        <f t="shared" si="6"/>
        <v>52</v>
      </c>
    </row>
    <row r="417" spans="1:9" ht="25.5" x14ac:dyDescent="0.25">
      <c r="A417" s="115" t="s">
        <v>1317</v>
      </c>
      <c r="B417" s="112">
        <v>11515.4</v>
      </c>
      <c r="C417" s="113"/>
      <c r="D417" s="116">
        <v>45</v>
      </c>
      <c r="E417" s="117"/>
      <c r="H417" t="s">
        <v>1338</v>
      </c>
      <c r="I417" s="99">
        <f t="shared" si="6"/>
        <v>45</v>
      </c>
    </row>
    <row r="418" spans="1:9" ht="25.5" x14ac:dyDescent="0.25">
      <c r="A418" s="115" t="s">
        <v>1276</v>
      </c>
      <c r="B418" s="112">
        <v>11339.9</v>
      </c>
      <c r="C418" s="113"/>
      <c r="D418" s="116">
        <v>49</v>
      </c>
      <c r="E418" s="117"/>
      <c r="H418" t="s">
        <v>1295</v>
      </c>
      <c r="I418" s="99">
        <f t="shared" si="6"/>
        <v>49</v>
      </c>
    </row>
    <row r="419" spans="1:9" ht="25.5" x14ac:dyDescent="0.25">
      <c r="A419" s="115" t="s">
        <v>402</v>
      </c>
      <c r="B419" s="112">
        <v>10564.6</v>
      </c>
      <c r="C419" s="113"/>
      <c r="D419" s="116">
        <v>49</v>
      </c>
      <c r="E419" s="117"/>
      <c r="H419">
        <v>103</v>
      </c>
      <c r="I419" s="99">
        <f t="shared" si="6"/>
        <v>49</v>
      </c>
    </row>
    <row r="420" spans="1:9" ht="25.5" x14ac:dyDescent="0.25">
      <c r="A420" s="115" t="s">
        <v>1088</v>
      </c>
      <c r="B420" s="112">
        <v>12145.6</v>
      </c>
      <c r="C420" s="113"/>
      <c r="D420" s="116">
        <v>58</v>
      </c>
      <c r="E420" s="117"/>
      <c r="H420" t="s">
        <v>1101</v>
      </c>
      <c r="I420" s="99">
        <f t="shared" si="6"/>
        <v>58</v>
      </c>
    </row>
    <row r="421" spans="1:9" ht="25.5" x14ac:dyDescent="0.25">
      <c r="A421" s="115" t="s">
        <v>558</v>
      </c>
      <c r="B421" s="112">
        <v>9785</v>
      </c>
      <c r="C421" s="113"/>
      <c r="D421" s="117"/>
      <c r="E421" s="117"/>
      <c r="H421">
        <v>194</v>
      </c>
      <c r="I421" s="99"/>
    </row>
    <row r="422" spans="1:9" ht="25.5" x14ac:dyDescent="0.25">
      <c r="A422" s="115" t="s">
        <v>764</v>
      </c>
      <c r="B422" s="112">
        <v>10735.2</v>
      </c>
      <c r="C422" s="113"/>
      <c r="D422" s="116">
        <v>60</v>
      </c>
      <c r="E422" s="117"/>
      <c r="H422">
        <v>248</v>
      </c>
      <c r="I422" s="99">
        <f t="shared" si="6"/>
        <v>60</v>
      </c>
    </row>
    <row r="423" spans="1:9" ht="25.5" x14ac:dyDescent="0.25">
      <c r="A423" s="115" t="s">
        <v>783</v>
      </c>
      <c r="B423" s="112">
        <v>11566.8</v>
      </c>
      <c r="C423" s="113"/>
      <c r="D423" s="116">
        <v>57</v>
      </c>
      <c r="E423" s="117"/>
      <c r="H423">
        <v>263</v>
      </c>
      <c r="I423" s="99">
        <f t="shared" si="6"/>
        <v>57</v>
      </c>
    </row>
    <row r="424" spans="1:9" ht="25.5" x14ac:dyDescent="0.25">
      <c r="A424" s="115" t="s">
        <v>920</v>
      </c>
      <c r="B424" s="112">
        <v>10746.7</v>
      </c>
      <c r="C424" s="113"/>
      <c r="D424" s="116">
        <v>62</v>
      </c>
      <c r="E424" s="117"/>
      <c r="H424">
        <v>398</v>
      </c>
      <c r="I424" s="99">
        <f t="shared" si="6"/>
        <v>62</v>
      </c>
    </row>
    <row r="425" spans="1:9" ht="25.5" x14ac:dyDescent="0.25">
      <c r="A425" s="115" t="s">
        <v>1330</v>
      </c>
      <c r="B425" s="112">
        <v>3972.5</v>
      </c>
      <c r="C425" s="113"/>
      <c r="D425" s="116">
        <v>45</v>
      </c>
      <c r="E425" s="117"/>
      <c r="H425" t="s">
        <v>1348</v>
      </c>
      <c r="I425" s="99">
        <f t="shared" si="6"/>
        <v>45</v>
      </c>
    </row>
    <row r="426" spans="1:9" ht="25.5" x14ac:dyDescent="0.25">
      <c r="A426" s="115" t="s">
        <v>425</v>
      </c>
      <c r="B426" s="112">
        <v>11018.8</v>
      </c>
      <c r="C426" s="113"/>
      <c r="D426" s="116">
        <v>53</v>
      </c>
      <c r="E426" s="117"/>
      <c r="H426">
        <v>138</v>
      </c>
      <c r="I426" s="99">
        <f t="shared" si="6"/>
        <v>53</v>
      </c>
    </row>
    <row r="427" spans="1:9" ht="25.5" x14ac:dyDescent="0.25">
      <c r="A427" s="115" t="s">
        <v>1427</v>
      </c>
      <c r="B427" s="112">
        <v>12082.4</v>
      </c>
      <c r="C427" s="113"/>
      <c r="D427" s="116">
        <v>52</v>
      </c>
      <c r="E427" s="117"/>
      <c r="H427" t="s">
        <v>1445</v>
      </c>
      <c r="I427" s="99">
        <f t="shared" si="6"/>
        <v>52</v>
      </c>
    </row>
    <row r="428" spans="1:9" ht="25.5" x14ac:dyDescent="0.25">
      <c r="A428" s="115" t="s">
        <v>543</v>
      </c>
      <c r="B428" s="112">
        <v>11495.8</v>
      </c>
      <c r="C428" s="113"/>
      <c r="D428" s="116">
        <v>64</v>
      </c>
      <c r="E428" s="117"/>
      <c r="H428">
        <v>181</v>
      </c>
      <c r="I428" s="99">
        <f t="shared" si="6"/>
        <v>64</v>
      </c>
    </row>
    <row r="429" spans="1:9" ht="25.5" x14ac:dyDescent="0.25">
      <c r="A429" s="115" t="s">
        <v>1486</v>
      </c>
      <c r="B429" s="112">
        <v>11549.8</v>
      </c>
      <c r="C429" s="113"/>
      <c r="D429" s="116">
        <v>53</v>
      </c>
      <c r="E429" s="117"/>
      <c r="H429" t="s">
        <v>1516</v>
      </c>
      <c r="I429" s="99">
        <f t="shared" si="6"/>
        <v>53</v>
      </c>
    </row>
    <row r="430" spans="1:9" ht="25.5" x14ac:dyDescent="0.25">
      <c r="A430" s="115" t="s">
        <v>1431</v>
      </c>
      <c r="B430" s="112">
        <v>11830</v>
      </c>
      <c r="C430" s="113"/>
      <c r="D430" s="116">
        <v>53</v>
      </c>
      <c r="E430" s="117"/>
      <c r="H430" t="s">
        <v>1449</v>
      </c>
      <c r="I430" s="99">
        <f t="shared" si="6"/>
        <v>53</v>
      </c>
    </row>
    <row r="431" spans="1:9" ht="25.5" x14ac:dyDescent="0.25">
      <c r="A431" s="115" t="s">
        <v>380</v>
      </c>
      <c r="B431" s="112">
        <v>7130.2</v>
      </c>
      <c r="C431" s="113"/>
      <c r="D431" s="116">
        <v>50</v>
      </c>
      <c r="E431" s="117"/>
      <c r="H431">
        <v>80</v>
      </c>
      <c r="I431" s="99">
        <f t="shared" si="6"/>
        <v>50</v>
      </c>
    </row>
    <row r="432" spans="1:9" ht="25.5" x14ac:dyDescent="0.25">
      <c r="A432" s="115" t="s">
        <v>671</v>
      </c>
      <c r="B432" s="112">
        <v>11768.7</v>
      </c>
      <c r="C432" s="113"/>
      <c r="D432" s="116">
        <v>53</v>
      </c>
      <c r="E432" s="117"/>
      <c r="H432">
        <v>224</v>
      </c>
      <c r="I432" s="99">
        <f t="shared" si="6"/>
        <v>53</v>
      </c>
    </row>
    <row r="433" spans="1:9" ht="25.5" x14ac:dyDescent="0.25">
      <c r="A433" s="115" t="s">
        <v>1334</v>
      </c>
      <c r="B433" s="112">
        <v>7643.3</v>
      </c>
      <c r="C433" s="113"/>
      <c r="D433" s="116">
        <v>49</v>
      </c>
      <c r="E433" s="117"/>
      <c r="H433" t="s">
        <v>1352</v>
      </c>
      <c r="I433" s="99">
        <f t="shared" si="6"/>
        <v>49</v>
      </c>
    </row>
    <row r="434" spans="1:9" ht="25.5" x14ac:dyDescent="0.25">
      <c r="A434" s="115" t="s">
        <v>445</v>
      </c>
      <c r="B434" s="112">
        <v>10115.4</v>
      </c>
      <c r="C434" s="113"/>
      <c r="D434" s="117"/>
      <c r="E434" s="117"/>
      <c r="H434">
        <v>154</v>
      </c>
      <c r="I434" s="99"/>
    </row>
    <row r="435" spans="1:9" ht="25.5" x14ac:dyDescent="0.25">
      <c r="A435" s="115" t="s">
        <v>397</v>
      </c>
      <c r="B435" s="112">
        <v>10404.4</v>
      </c>
      <c r="C435" s="113"/>
      <c r="D435" s="116">
        <v>51</v>
      </c>
      <c r="E435" s="117"/>
      <c r="H435">
        <v>98</v>
      </c>
      <c r="I435" s="99">
        <f t="shared" si="6"/>
        <v>51</v>
      </c>
    </row>
    <row r="436" spans="1:9" ht="25.5" x14ac:dyDescent="0.25">
      <c r="A436" s="115" t="s">
        <v>743</v>
      </c>
      <c r="B436" s="112">
        <v>10936</v>
      </c>
      <c r="C436" s="113"/>
      <c r="D436" s="116">
        <v>56</v>
      </c>
      <c r="E436" s="117"/>
      <c r="H436">
        <v>232</v>
      </c>
      <c r="I436" s="99">
        <f t="shared" si="6"/>
        <v>56</v>
      </c>
    </row>
    <row r="437" spans="1:9" ht="25.5" x14ac:dyDescent="0.25">
      <c r="A437" s="115" t="s">
        <v>1280</v>
      </c>
      <c r="B437" s="112">
        <v>11677.5</v>
      </c>
      <c r="C437" s="113"/>
      <c r="D437" s="116">
        <v>50</v>
      </c>
      <c r="E437" s="117"/>
      <c r="H437" t="s">
        <v>1296</v>
      </c>
      <c r="I437" s="99">
        <f t="shared" si="6"/>
        <v>50</v>
      </c>
    </row>
    <row r="438" spans="1:9" ht="25.5" x14ac:dyDescent="0.25">
      <c r="A438" s="115" t="s">
        <v>1044</v>
      </c>
      <c r="B438" s="112">
        <v>11764.8</v>
      </c>
      <c r="C438" s="113"/>
      <c r="D438" s="116">
        <v>54</v>
      </c>
      <c r="E438" s="117"/>
      <c r="H438">
        <v>353</v>
      </c>
      <c r="I438" s="99">
        <f t="shared" si="6"/>
        <v>54</v>
      </c>
    </row>
    <row r="439" spans="1:9" ht="25.5" x14ac:dyDescent="0.25">
      <c r="A439" s="115" t="s">
        <v>412</v>
      </c>
      <c r="B439" s="112">
        <v>8787</v>
      </c>
      <c r="C439" s="113"/>
      <c r="D439" s="117"/>
      <c r="E439" s="117"/>
      <c r="H439">
        <v>113</v>
      </c>
      <c r="I439" s="99"/>
    </row>
    <row r="440" spans="1:9" ht="25.5" x14ac:dyDescent="0.25">
      <c r="A440" s="115" t="s">
        <v>946</v>
      </c>
      <c r="B440" s="112">
        <v>11046</v>
      </c>
      <c r="C440" s="113"/>
      <c r="D440" s="116">
        <v>51</v>
      </c>
      <c r="E440" s="117"/>
      <c r="H440">
        <v>346</v>
      </c>
      <c r="I440" s="99">
        <f t="shared" si="6"/>
        <v>51</v>
      </c>
    </row>
    <row r="441" spans="1:9" ht="25.5" x14ac:dyDescent="0.25">
      <c r="A441" s="115" t="s">
        <v>535</v>
      </c>
      <c r="B441" s="112">
        <v>11515</v>
      </c>
      <c r="C441" s="113"/>
      <c r="D441" s="116">
        <v>58</v>
      </c>
      <c r="E441" s="117"/>
      <c r="H441">
        <v>155</v>
      </c>
      <c r="I441" s="99">
        <f t="shared" si="6"/>
        <v>58</v>
      </c>
    </row>
    <row r="442" spans="1:9" ht="25.5" x14ac:dyDescent="0.25">
      <c r="A442" s="115" t="s">
        <v>749</v>
      </c>
      <c r="B442" s="112">
        <v>11244.7</v>
      </c>
      <c r="C442" s="113"/>
      <c r="D442" s="116">
        <v>56</v>
      </c>
      <c r="E442" s="117"/>
      <c r="H442">
        <v>236</v>
      </c>
      <c r="I442" s="99">
        <f t="shared" si="6"/>
        <v>56</v>
      </c>
    </row>
    <row r="443" spans="1:9" ht="25.5" x14ac:dyDescent="0.25">
      <c r="A443" s="115" t="s">
        <v>960</v>
      </c>
      <c r="B443" s="112">
        <v>3749</v>
      </c>
      <c r="C443" s="113"/>
      <c r="D443" s="116">
        <v>41</v>
      </c>
      <c r="E443" s="117"/>
      <c r="H443">
        <v>378</v>
      </c>
      <c r="I443" s="99">
        <f t="shared" si="6"/>
        <v>41</v>
      </c>
    </row>
    <row r="444" spans="1:9" ht="25.5" x14ac:dyDescent="0.25">
      <c r="A444" s="115" t="s">
        <v>795</v>
      </c>
      <c r="B444" s="112">
        <v>3720.6</v>
      </c>
      <c r="C444" s="113"/>
      <c r="D444" s="116">
        <v>49</v>
      </c>
      <c r="E444" s="117"/>
      <c r="H444">
        <v>274</v>
      </c>
      <c r="I444" s="99">
        <f t="shared" si="6"/>
        <v>49</v>
      </c>
    </row>
    <row r="445" spans="1:9" ht="25.5" x14ac:dyDescent="0.25">
      <c r="A445" s="115" t="s">
        <v>1466</v>
      </c>
      <c r="B445" s="112">
        <v>11541.2</v>
      </c>
      <c r="C445" s="113"/>
      <c r="D445" s="116">
        <v>51</v>
      </c>
      <c r="E445" s="117"/>
      <c r="H445" t="s">
        <v>1497</v>
      </c>
      <c r="I445" s="99">
        <f t="shared" si="6"/>
        <v>51</v>
      </c>
    </row>
    <row r="446" spans="1:9" ht="25.5" x14ac:dyDescent="0.25">
      <c r="A446" s="115" t="s">
        <v>1525</v>
      </c>
      <c r="B446" s="112">
        <v>12172.2</v>
      </c>
      <c r="C446" s="113"/>
      <c r="D446" s="116">
        <v>62</v>
      </c>
      <c r="E446" s="117"/>
      <c r="H446" t="s">
        <v>1535</v>
      </c>
      <c r="I446" s="99">
        <f t="shared" si="6"/>
        <v>62</v>
      </c>
    </row>
    <row r="447" spans="1:9" ht="25.5" x14ac:dyDescent="0.25">
      <c r="A447" s="115" t="s">
        <v>386</v>
      </c>
      <c r="B447" s="112">
        <v>11319</v>
      </c>
      <c r="C447" s="113"/>
      <c r="D447" s="116">
        <v>56</v>
      </c>
      <c r="E447" s="117"/>
      <c r="H447">
        <v>86</v>
      </c>
      <c r="I447" s="99">
        <f t="shared" si="6"/>
        <v>56</v>
      </c>
    </row>
    <row r="448" spans="1:9" ht="25.5" x14ac:dyDescent="0.25">
      <c r="A448" s="115" t="s">
        <v>1190</v>
      </c>
      <c r="B448" s="112">
        <v>11806.9</v>
      </c>
      <c r="C448" s="113"/>
      <c r="D448" s="116">
        <v>48</v>
      </c>
      <c r="E448" s="117"/>
      <c r="H448" t="s">
        <v>1235</v>
      </c>
      <c r="I448" s="99">
        <f t="shared" si="6"/>
        <v>48</v>
      </c>
    </row>
    <row r="449" spans="1:9" ht="25.5" x14ac:dyDescent="0.25">
      <c r="A449" s="115" t="s">
        <v>409</v>
      </c>
      <c r="B449" s="112">
        <v>7282.2</v>
      </c>
      <c r="C449" s="113"/>
      <c r="D449" s="116">
        <v>55</v>
      </c>
      <c r="E449" s="117"/>
      <c r="H449">
        <v>110</v>
      </c>
      <c r="I449" s="99">
        <f t="shared" si="6"/>
        <v>55</v>
      </c>
    </row>
    <row r="450" spans="1:9" ht="25.5" x14ac:dyDescent="0.25">
      <c r="A450" s="115" t="s">
        <v>444</v>
      </c>
      <c r="B450" s="112">
        <v>11713</v>
      </c>
      <c r="C450" s="113"/>
      <c r="D450" s="117"/>
      <c r="E450" s="117"/>
      <c r="H450">
        <v>153</v>
      </c>
      <c r="I450" s="99"/>
    </row>
    <row r="451" spans="1:9" ht="25.5" x14ac:dyDescent="0.25">
      <c r="A451" s="115" t="s">
        <v>985</v>
      </c>
      <c r="B451" s="112">
        <v>3585.4</v>
      </c>
      <c r="C451" s="113"/>
      <c r="D451" s="116">
        <v>53</v>
      </c>
      <c r="E451" s="117"/>
      <c r="H451">
        <v>443</v>
      </c>
      <c r="I451" s="99">
        <f t="shared" si="6"/>
        <v>53</v>
      </c>
    </row>
    <row r="452" spans="1:9" ht="25.5" x14ac:dyDescent="0.25">
      <c r="A452" s="115" t="s">
        <v>540</v>
      </c>
      <c r="B452" s="112">
        <v>11576.2</v>
      </c>
      <c r="C452" s="113"/>
      <c r="D452" s="116">
        <v>59</v>
      </c>
      <c r="E452" s="117"/>
      <c r="H452">
        <v>178</v>
      </c>
      <c r="I452" s="99">
        <f t="shared" si="6"/>
        <v>59</v>
      </c>
    </row>
    <row r="453" spans="1:9" ht="25.5" x14ac:dyDescent="0.25">
      <c r="A453" s="115" t="s">
        <v>554</v>
      </c>
      <c r="B453" s="112">
        <v>11837</v>
      </c>
      <c r="C453" s="113"/>
      <c r="D453" s="116">
        <v>61</v>
      </c>
      <c r="E453" s="117"/>
      <c r="H453">
        <v>191</v>
      </c>
      <c r="I453" s="99">
        <f t="shared" si="6"/>
        <v>61</v>
      </c>
    </row>
    <row r="454" spans="1:9" ht="25.5" x14ac:dyDescent="0.25">
      <c r="A454" s="115" t="s">
        <v>441</v>
      </c>
      <c r="B454" s="112">
        <v>11709.8</v>
      </c>
      <c r="C454" s="113"/>
      <c r="D454" s="117"/>
      <c r="E454" s="117"/>
      <c r="H454">
        <v>152</v>
      </c>
      <c r="I454" s="99"/>
    </row>
    <row r="455" spans="1:9" ht="25.5" x14ac:dyDescent="0.25">
      <c r="A455" s="115" t="s">
        <v>912</v>
      </c>
      <c r="B455" s="112">
        <v>11530.4</v>
      </c>
      <c r="C455" s="113"/>
      <c r="D455" s="116">
        <v>54</v>
      </c>
      <c r="E455" s="117"/>
      <c r="H455">
        <v>370</v>
      </c>
      <c r="I455" s="99">
        <f t="shared" si="6"/>
        <v>54</v>
      </c>
    </row>
    <row r="456" spans="1:9" ht="25.5" x14ac:dyDescent="0.25">
      <c r="A456" s="115" t="s">
        <v>437</v>
      </c>
      <c r="B456" s="112">
        <v>11030.2</v>
      </c>
      <c r="C456" s="113"/>
      <c r="D456" s="116">
        <v>58</v>
      </c>
      <c r="E456" s="117"/>
      <c r="H456">
        <v>150</v>
      </c>
      <c r="I456" s="99">
        <f t="shared" si="6"/>
        <v>58</v>
      </c>
    </row>
    <row r="457" spans="1:9" ht="25.5" x14ac:dyDescent="0.25">
      <c r="A457" s="115" t="s">
        <v>404</v>
      </c>
      <c r="B457" s="112">
        <v>10542.5</v>
      </c>
      <c r="C457" s="113"/>
      <c r="D457" s="116">
        <v>49</v>
      </c>
      <c r="E457" s="117"/>
      <c r="H457">
        <v>105</v>
      </c>
      <c r="I457" s="99">
        <f t="shared" si="6"/>
        <v>49</v>
      </c>
    </row>
    <row r="458" spans="1:9" ht="25.5" x14ac:dyDescent="0.25">
      <c r="A458" s="115" t="s">
        <v>1331</v>
      </c>
      <c r="B458" s="112">
        <v>2438.6</v>
      </c>
      <c r="C458" s="113"/>
      <c r="D458" s="116">
        <v>54</v>
      </c>
      <c r="E458" s="117"/>
      <c r="H458" t="s">
        <v>1349</v>
      </c>
      <c r="I458" s="99">
        <f t="shared" si="6"/>
        <v>54</v>
      </c>
    </row>
    <row r="459" spans="1:9" ht="25.5" x14ac:dyDescent="0.25">
      <c r="A459" s="115" t="s">
        <v>987</v>
      </c>
      <c r="B459" s="112">
        <v>11582.3</v>
      </c>
      <c r="C459" s="113"/>
      <c r="D459" s="116">
        <v>54</v>
      </c>
      <c r="E459" s="117"/>
      <c r="H459">
        <v>445</v>
      </c>
      <c r="I459" s="99">
        <f t="shared" si="6"/>
        <v>54</v>
      </c>
    </row>
    <row r="460" spans="1:9" ht="25.5" x14ac:dyDescent="0.25">
      <c r="A460" s="115" t="s">
        <v>913</v>
      </c>
      <c r="B460" s="112">
        <v>3117.5</v>
      </c>
      <c r="C460" s="113"/>
      <c r="D460" s="116">
        <v>42</v>
      </c>
      <c r="E460" s="117"/>
      <c r="H460">
        <v>371</v>
      </c>
      <c r="I460" s="99">
        <f t="shared" si="6"/>
        <v>42</v>
      </c>
    </row>
    <row r="461" spans="1:9" ht="25.5" x14ac:dyDescent="0.25">
      <c r="A461" s="115" t="s">
        <v>766</v>
      </c>
      <c r="B461" s="112">
        <v>7506.1</v>
      </c>
      <c r="C461" s="113"/>
      <c r="D461" s="116">
        <v>58</v>
      </c>
      <c r="E461" s="117"/>
      <c r="H461">
        <v>250</v>
      </c>
      <c r="I461" s="99">
        <f t="shared" si="6"/>
        <v>58</v>
      </c>
    </row>
    <row r="462" spans="1:9" ht="25.5" x14ac:dyDescent="0.25">
      <c r="A462" s="115" t="s">
        <v>363</v>
      </c>
      <c r="B462" s="112">
        <v>9624.2000000000007</v>
      </c>
      <c r="C462" s="113"/>
      <c r="D462" s="116">
        <v>45</v>
      </c>
      <c r="E462" s="117"/>
      <c r="H462">
        <v>52</v>
      </c>
      <c r="I462" s="99">
        <f t="shared" si="6"/>
        <v>45</v>
      </c>
    </row>
    <row r="463" spans="1:9" ht="25.5" x14ac:dyDescent="0.25">
      <c r="A463" s="115" t="s">
        <v>426</v>
      </c>
      <c r="B463" s="112">
        <v>11356</v>
      </c>
      <c r="C463" s="113"/>
      <c r="D463" s="116">
        <v>56</v>
      </c>
      <c r="E463" s="117"/>
      <c r="H463">
        <v>139</v>
      </c>
      <c r="I463" s="99">
        <f t="shared" ref="I463:I526" si="7">D463</f>
        <v>56</v>
      </c>
    </row>
    <row r="464" spans="1:9" ht="25.5" x14ac:dyDescent="0.25">
      <c r="A464" s="115" t="s">
        <v>936</v>
      </c>
      <c r="B464" s="112">
        <v>11088.8</v>
      </c>
      <c r="C464" s="113"/>
      <c r="D464" s="116">
        <v>63</v>
      </c>
      <c r="E464" s="117"/>
      <c r="H464">
        <v>414</v>
      </c>
      <c r="I464" s="99">
        <f t="shared" si="7"/>
        <v>63</v>
      </c>
    </row>
    <row r="465" spans="1:9" ht="25.5" x14ac:dyDescent="0.25">
      <c r="A465" s="115" t="s">
        <v>1406</v>
      </c>
      <c r="B465" s="112">
        <v>11594</v>
      </c>
      <c r="C465" s="113"/>
      <c r="D465" s="116">
        <v>53</v>
      </c>
      <c r="E465" s="117"/>
      <c r="H465" t="s">
        <v>1420</v>
      </c>
      <c r="I465" s="99">
        <f t="shared" si="7"/>
        <v>53</v>
      </c>
    </row>
    <row r="466" spans="1:9" ht="25.5" x14ac:dyDescent="0.25">
      <c r="A466" s="115" t="s">
        <v>887</v>
      </c>
      <c r="B466" s="112">
        <v>3094.9</v>
      </c>
      <c r="C466" s="113"/>
      <c r="D466" s="116">
        <v>41</v>
      </c>
      <c r="E466" s="117"/>
      <c r="H466">
        <v>317</v>
      </c>
      <c r="I466" s="99">
        <f t="shared" si="7"/>
        <v>41</v>
      </c>
    </row>
    <row r="467" spans="1:9" ht="25.5" x14ac:dyDescent="0.25">
      <c r="A467" s="115" t="s">
        <v>1116</v>
      </c>
      <c r="B467" s="112">
        <v>12242.7</v>
      </c>
      <c r="C467" s="113"/>
      <c r="D467" s="116">
        <v>62</v>
      </c>
      <c r="E467" s="117"/>
      <c r="H467" t="s">
        <v>1139</v>
      </c>
      <c r="I467" s="99">
        <f t="shared" si="7"/>
        <v>62</v>
      </c>
    </row>
    <row r="468" spans="1:9" ht="25.5" x14ac:dyDescent="0.25">
      <c r="A468" s="115" t="s">
        <v>423</v>
      </c>
      <c r="B468" s="112">
        <v>6368.8</v>
      </c>
      <c r="C468" s="113"/>
      <c r="D468" s="116">
        <v>51</v>
      </c>
      <c r="E468" s="117"/>
      <c r="H468">
        <v>136</v>
      </c>
      <c r="I468" s="99">
        <f t="shared" si="7"/>
        <v>51</v>
      </c>
    </row>
    <row r="469" spans="1:9" ht="25.5" x14ac:dyDescent="0.25">
      <c r="A469" s="115" t="s">
        <v>369</v>
      </c>
      <c r="B469" s="112">
        <v>9588</v>
      </c>
      <c r="C469" s="113"/>
      <c r="D469" s="116">
        <v>42</v>
      </c>
      <c r="E469" s="117"/>
      <c r="H469">
        <v>57</v>
      </c>
      <c r="I469" s="99">
        <f t="shared" si="7"/>
        <v>42</v>
      </c>
    </row>
    <row r="470" spans="1:9" ht="25.5" x14ac:dyDescent="0.25">
      <c r="A470" s="115" t="s">
        <v>1440</v>
      </c>
      <c r="B470" s="112">
        <v>12117.5</v>
      </c>
      <c r="C470" s="113"/>
      <c r="D470" s="116">
        <v>61</v>
      </c>
      <c r="E470" s="117"/>
      <c r="H470" t="s">
        <v>1458</v>
      </c>
      <c r="I470" s="99">
        <f t="shared" si="7"/>
        <v>61</v>
      </c>
    </row>
    <row r="471" spans="1:9" ht="25.5" x14ac:dyDescent="0.25">
      <c r="A471" s="115" t="s">
        <v>1468</v>
      </c>
      <c r="B471" s="112">
        <v>11611.2</v>
      </c>
      <c r="C471" s="113"/>
      <c r="D471" s="116">
        <v>51</v>
      </c>
      <c r="E471" s="117"/>
      <c r="H471" t="s">
        <v>1499</v>
      </c>
      <c r="I471" s="99">
        <f t="shared" si="7"/>
        <v>51</v>
      </c>
    </row>
    <row r="472" spans="1:9" ht="25.5" x14ac:dyDescent="0.25">
      <c r="A472" s="115" t="s">
        <v>986</v>
      </c>
      <c r="B472" s="112">
        <v>11593.8</v>
      </c>
      <c r="C472" s="113"/>
      <c r="D472" s="116">
        <v>57</v>
      </c>
      <c r="E472" s="117"/>
      <c r="H472">
        <v>444</v>
      </c>
      <c r="I472" s="99">
        <f t="shared" si="7"/>
        <v>57</v>
      </c>
    </row>
    <row r="473" spans="1:9" ht="25.5" x14ac:dyDescent="0.25">
      <c r="A473" s="115" t="s">
        <v>1425</v>
      </c>
      <c r="B473" s="112">
        <v>11429.1</v>
      </c>
      <c r="C473" s="113"/>
      <c r="D473" s="116">
        <v>49</v>
      </c>
      <c r="E473" s="117"/>
      <c r="H473" t="s">
        <v>1443</v>
      </c>
      <c r="I473" s="99">
        <f t="shared" si="7"/>
        <v>49</v>
      </c>
    </row>
    <row r="474" spans="1:9" ht="25.5" x14ac:dyDescent="0.25">
      <c r="A474" s="115" t="s">
        <v>807</v>
      </c>
      <c r="B474" s="112">
        <v>3967.2</v>
      </c>
      <c r="C474" s="113"/>
      <c r="D474" s="116">
        <v>59</v>
      </c>
      <c r="E474" s="117"/>
      <c r="H474">
        <v>283</v>
      </c>
      <c r="I474" s="99">
        <f t="shared" si="7"/>
        <v>59</v>
      </c>
    </row>
    <row r="475" spans="1:9" ht="25.5" x14ac:dyDescent="0.25">
      <c r="A475" s="115" t="s">
        <v>1273</v>
      </c>
      <c r="B475" s="112">
        <v>5899.6</v>
      </c>
      <c r="C475" s="113"/>
      <c r="D475" s="116">
        <v>48</v>
      </c>
      <c r="E475" s="117"/>
      <c r="H475" t="s">
        <v>1292</v>
      </c>
      <c r="I475" s="99">
        <f t="shared" si="7"/>
        <v>48</v>
      </c>
    </row>
    <row r="476" spans="1:9" ht="25.5" x14ac:dyDescent="0.25">
      <c r="A476" s="115" t="s">
        <v>399</v>
      </c>
      <c r="B476" s="112">
        <v>10252.5</v>
      </c>
      <c r="C476" s="113"/>
      <c r="D476" s="116">
        <v>49</v>
      </c>
      <c r="E476" s="117"/>
      <c r="H476">
        <v>100</v>
      </c>
      <c r="I476" s="99">
        <f t="shared" si="7"/>
        <v>49</v>
      </c>
    </row>
    <row r="477" spans="1:9" ht="25.5" x14ac:dyDescent="0.25">
      <c r="A477" s="115" t="s">
        <v>948</v>
      </c>
      <c r="B477" s="112">
        <v>11166.3</v>
      </c>
      <c r="C477" s="113"/>
      <c r="D477" s="116">
        <v>53</v>
      </c>
      <c r="E477" s="117"/>
      <c r="H477">
        <v>348</v>
      </c>
      <c r="I477" s="99">
        <f t="shared" si="7"/>
        <v>53</v>
      </c>
    </row>
    <row r="478" spans="1:9" ht="25.5" x14ac:dyDescent="0.25">
      <c r="A478" s="115" t="s">
        <v>387</v>
      </c>
      <c r="B478" s="112">
        <v>10166.4</v>
      </c>
      <c r="C478" s="113"/>
      <c r="D478" s="116">
        <v>53</v>
      </c>
      <c r="E478" s="117"/>
      <c r="H478">
        <v>87</v>
      </c>
      <c r="I478" s="99">
        <f t="shared" si="7"/>
        <v>53</v>
      </c>
    </row>
    <row r="479" spans="1:9" ht="25.5" x14ac:dyDescent="0.25">
      <c r="A479" s="115" t="s">
        <v>1400</v>
      </c>
      <c r="B479" s="112">
        <v>11852.4</v>
      </c>
      <c r="C479" s="113"/>
      <c r="D479" s="116">
        <v>52</v>
      </c>
      <c r="E479" s="117"/>
      <c r="H479" t="s">
        <v>1414</v>
      </c>
      <c r="I479" s="99">
        <f t="shared" si="7"/>
        <v>52</v>
      </c>
    </row>
    <row r="480" spans="1:9" ht="25.5" x14ac:dyDescent="0.25">
      <c r="A480" s="115" t="s">
        <v>1360</v>
      </c>
      <c r="B480" s="112">
        <v>7395</v>
      </c>
      <c r="C480" s="113"/>
      <c r="D480" s="116">
        <v>53</v>
      </c>
      <c r="E480" s="117"/>
      <c r="H480" t="s">
        <v>1354</v>
      </c>
      <c r="I480" s="99">
        <f t="shared" si="7"/>
        <v>53</v>
      </c>
    </row>
    <row r="481" spans="1:9" ht="25.5" x14ac:dyDescent="0.25">
      <c r="A481" s="115" t="s">
        <v>1399</v>
      </c>
      <c r="B481" s="112">
        <v>11508.7</v>
      </c>
      <c r="C481" s="113"/>
      <c r="D481" s="116">
        <v>53</v>
      </c>
      <c r="E481" s="117"/>
      <c r="H481" t="s">
        <v>1413</v>
      </c>
      <c r="I481" s="99">
        <f t="shared" si="7"/>
        <v>53</v>
      </c>
    </row>
    <row r="482" spans="1:9" ht="25.5" x14ac:dyDescent="0.25">
      <c r="A482" s="115" t="s">
        <v>1181</v>
      </c>
      <c r="B482" s="112">
        <v>10684.8</v>
      </c>
      <c r="C482" s="113"/>
      <c r="D482" s="116">
        <v>42</v>
      </c>
      <c r="E482" s="117"/>
      <c r="H482" t="s">
        <v>1228</v>
      </c>
      <c r="I482" s="99">
        <f t="shared" si="7"/>
        <v>42</v>
      </c>
    </row>
    <row r="483" spans="1:9" ht="25.5" x14ac:dyDescent="0.25">
      <c r="A483" s="115" t="s">
        <v>753</v>
      </c>
      <c r="B483" s="112">
        <v>11772.6</v>
      </c>
      <c r="C483" s="113"/>
      <c r="D483" s="116">
        <v>56</v>
      </c>
      <c r="E483" s="117"/>
      <c r="H483">
        <v>240</v>
      </c>
      <c r="I483" s="99">
        <f t="shared" si="7"/>
        <v>56</v>
      </c>
    </row>
    <row r="484" spans="1:9" ht="25.5" x14ac:dyDescent="0.25">
      <c r="A484" s="115" t="s">
        <v>407</v>
      </c>
      <c r="B484" s="112">
        <v>7714.8</v>
      </c>
      <c r="C484" s="113"/>
      <c r="D484" s="116">
        <v>55</v>
      </c>
      <c r="E484" s="117"/>
      <c r="H484">
        <v>108</v>
      </c>
      <c r="I484" s="99">
        <f t="shared" si="7"/>
        <v>55</v>
      </c>
    </row>
    <row r="485" spans="1:9" ht="25.5" x14ac:dyDescent="0.25">
      <c r="A485" s="115" t="s">
        <v>1481</v>
      </c>
      <c r="B485" s="112">
        <v>12053</v>
      </c>
      <c r="C485" s="113"/>
      <c r="D485" s="116">
        <v>55</v>
      </c>
      <c r="E485" s="117"/>
      <c r="H485" t="s">
        <v>1512</v>
      </c>
      <c r="I485" s="99">
        <f t="shared" si="7"/>
        <v>55</v>
      </c>
    </row>
    <row r="486" spans="1:9" ht="25.5" x14ac:dyDescent="0.25">
      <c r="A486" s="115" t="s">
        <v>1157</v>
      </c>
      <c r="B486" s="112">
        <v>11448</v>
      </c>
      <c r="C486" s="113"/>
      <c r="D486" s="116">
        <v>62</v>
      </c>
      <c r="E486" s="117"/>
      <c r="H486" t="s">
        <v>1206</v>
      </c>
      <c r="I486" s="99">
        <f t="shared" si="7"/>
        <v>62</v>
      </c>
    </row>
    <row r="487" spans="1:9" ht="25.5" x14ac:dyDescent="0.25">
      <c r="A487" s="115" t="s">
        <v>410</v>
      </c>
      <c r="B487" s="112">
        <v>7590</v>
      </c>
      <c r="C487" s="113"/>
      <c r="D487" s="116">
        <v>55</v>
      </c>
      <c r="E487" s="117"/>
      <c r="H487">
        <v>111</v>
      </c>
      <c r="I487" s="99">
        <f t="shared" si="7"/>
        <v>55</v>
      </c>
    </row>
    <row r="488" spans="1:9" ht="25.5" x14ac:dyDescent="0.25">
      <c r="A488" s="115" t="s">
        <v>1369</v>
      </c>
      <c r="B488" s="112">
        <v>11772.6</v>
      </c>
      <c r="C488" s="113"/>
      <c r="D488" s="116">
        <v>55</v>
      </c>
      <c r="E488" s="117"/>
      <c r="H488" t="s">
        <v>1386</v>
      </c>
      <c r="I488" s="99">
        <f t="shared" si="7"/>
        <v>55</v>
      </c>
    </row>
    <row r="489" spans="1:9" ht="25.5" x14ac:dyDescent="0.25">
      <c r="A489" s="115" t="s">
        <v>538</v>
      </c>
      <c r="B489" s="112">
        <v>11810.4</v>
      </c>
      <c r="C489" s="113"/>
      <c r="D489" s="116">
        <v>59</v>
      </c>
      <c r="E489" s="117"/>
      <c r="H489">
        <v>176</v>
      </c>
      <c r="I489" s="99">
        <f t="shared" si="7"/>
        <v>59</v>
      </c>
    </row>
    <row r="490" spans="1:9" ht="25.5" x14ac:dyDescent="0.25">
      <c r="A490" s="115" t="s">
        <v>388</v>
      </c>
      <c r="B490" s="112">
        <v>10631.4</v>
      </c>
      <c r="C490" s="113"/>
      <c r="D490" s="116">
        <v>55</v>
      </c>
      <c r="E490" s="117"/>
      <c r="H490">
        <v>88</v>
      </c>
      <c r="I490" s="99">
        <f t="shared" si="7"/>
        <v>55</v>
      </c>
    </row>
    <row r="491" spans="1:9" ht="25.5" x14ac:dyDescent="0.25">
      <c r="A491" s="115" t="s">
        <v>765</v>
      </c>
      <c r="B491" s="112">
        <v>7930.5</v>
      </c>
      <c r="C491" s="113"/>
      <c r="D491" s="116">
        <v>58</v>
      </c>
      <c r="E491" s="117"/>
      <c r="H491">
        <v>249</v>
      </c>
      <c r="I491" s="99">
        <f t="shared" si="7"/>
        <v>58</v>
      </c>
    </row>
    <row r="492" spans="1:9" ht="25.5" x14ac:dyDescent="0.25">
      <c r="A492" s="115" t="s">
        <v>1274</v>
      </c>
      <c r="B492" s="112">
        <v>5825.6</v>
      </c>
      <c r="C492" s="113"/>
      <c r="D492" s="116">
        <v>49</v>
      </c>
      <c r="E492" s="117"/>
      <c r="H492" t="s">
        <v>1293</v>
      </c>
      <c r="I492" s="99">
        <f t="shared" si="7"/>
        <v>49</v>
      </c>
    </row>
    <row r="493" spans="1:9" ht="25.5" x14ac:dyDescent="0.25">
      <c r="A493" s="115" t="s">
        <v>755</v>
      </c>
      <c r="B493" s="112">
        <v>3955.9</v>
      </c>
      <c r="C493" s="113"/>
      <c r="D493" s="116">
        <v>55</v>
      </c>
      <c r="E493" s="117"/>
      <c r="H493">
        <v>241</v>
      </c>
      <c r="I493" s="99">
        <f t="shared" si="7"/>
        <v>55</v>
      </c>
    </row>
    <row r="494" spans="1:9" ht="25.5" x14ac:dyDescent="0.25">
      <c r="A494" s="115" t="s">
        <v>408</v>
      </c>
      <c r="B494" s="112">
        <v>10872.1</v>
      </c>
      <c r="C494" s="113"/>
      <c r="D494" s="116">
        <v>55</v>
      </c>
      <c r="E494" s="117"/>
      <c r="H494">
        <v>109</v>
      </c>
      <c r="I494" s="99">
        <f t="shared" si="7"/>
        <v>55</v>
      </c>
    </row>
    <row r="495" spans="1:9" ht="25.5" x14ac:dyDescent="0.25">
      <c r="A495" s="115" t="s">
        <v>1086</v>
      </c>
      <c r="B495" s="112">
        <v>11977.3</v>
      </c>
      <c r="C495" s="113"/>
      <c r="D495" s="116">
        <v>57</v>
      </c>
      <c r="E495" s="117"/>
      <c r="H495" t="s">
        <v>1099</v>
      </c>
      <c r="I495" s="99">
        <f t="shared" si="7"/>
        <v>57</v>
      </c>
    </row>
    <row r="496" spans="1:9" ht="25.5" x14ac:dyDescent="0.25">
      <c r="A496" s="115" t="s">
        <v>395</v>
      </c>
      <c r="B496" s="112">
        <v>10472.799999999999</v>
      </c>
      <c r="C496" s="113"/>
      <c r="D496" s="116">
        <v>53</v>
      </c>
      <c r="E496" s="117"/>
      <c r="H496">
        <v>96</v>
      </c>
      <c r="I496" s="99">
        <f t="shared" si="7"/>
        <v>53</v>
      </c>
    </row>
    <row r="497" spans="1:9" ht="25.5" x14ac:dyDescent="0.25">
      <c r="A497" s="115" t="s">
        <v>978</v>
      </c>
      <c r="B497" s="112">
        <v>5643</v>
      </c>
      <c r="C497" s="113"/>
      <c r="D497" s="116">
        <v>47</v>
      </c>
      <c r="E497" s="117"/>
      <c r="H497">
        <v>436</v>
      </c>
      <c r="I497" s="99">
        <f t="shared" si="7"/>
        <v>47</v>
      </c>
    </row>
    <row r="498" spans="1:9" ht="25.5" x14ac:dyDescent="0.25">
      <c r="A498" s="115" t="s">
        <v>433</v>
      </c>
      <c r="B498" s="112">
        <v>10483.200000000001</v>
      </c>
      <c r="C498" s="113"/>
      <c r="D498" s="116">
        <v>58</v>
      </c>
      <c r="E498" s="117"/>
      <c r="H498">
        <v>146</v>
      </c>
      <c r="I498" s="99">
        <f t="shared" si="7"/>
        <v>58</v>
      </c>
    </row>
    <row r="499" spans="1:9" ht="25.5" x14ac:dyDescent="0.25">
      <c r="A499" s="115" t="s">
        <v>378</v>
      </c>
      <c r="B499" s="112">
        <v>2981.5</v>
      </c>
      <c r="C499" s="113"/>
      <c r="D499" s="116">
        <v>45</v>
      </c>
      <c r="E499" s="117"/>
      <c r="H499">
        <v>78</v>
      </c>
      <c r="I499" s="99">
        <f t="shared" si="7"/>
        <v>45</v>
      </c>
    </row>
    <row r="500" spans="1:9" ht="25.5" x14ac:dyDescent="0.25">
      <c r="A500" s="115" t="s">
        <v>1402</v>
      </c>
      <c r="B500" s="112">
        <v>11804.6</v>
      </c>
      <c r="C500" s="113"/>
      <c r="D500" s="116">
        <v>51</v>
      </c>
      <c r="E500" s="117"/>
      <c r="H500" t="s">
        <v>1416</v>
      </c>
      <c r="I500" s="99">
        <f t="shared" si="7"/>
        <v>51</v>
      </c>
    </row>
    <row r="501" spans="1:9" ht="25.5" x14ac:dyDescent="0.25">
      <c r="A501" s="115" t="s">
        <v>1475</v>
      </c>
      <c r="B501" s="112">
        <v>11611</v>
      </c>
      <c r="C501" s="113"/>
      <c r="D501" s="116">
        <v>51</v>
      </c>
      <c r="E501" s="117"/>
      <c r="H501" t="s">
        <v>1506</v>
      </c>
      <c r="I501" s="99">
        <f t="shared" si="7"/>
        <v>51</v>
      </c>
    </row>
    <row r="502" spans="1:9" ht="25.5" x14ac:dyDescent="0.25">
      <c r="A502" s="115" t="s">
        <v>745</v>
      </c>
      <c r="B502" s="112">
        <v>2030</v>
      </c>
      <c r="C502" s="113"/>
      <c r="D502" s="116">
        <v>63</v>
      </c>
      <c r="E502" s="117"/>
      <c r="H502">
        <v>234</v>
      </c>
      <c r="I502" s="99">
        <f t="shared" si="7"/>
        <v>63</v>
      </c>
    </row>
    <row r="503" spans="1:9" ht="25.5" x14ac:dyDescent="0.25">
      <c r="A503" s="115" t="s">
        <v>1194</v>
      </c>
      <c r="B503" s="112">
        <v>10704</v>
      </c>
      <c r="C503" s="113"/>
      <c r="D503" s="116">
        <v>49</v>
      </c>
      <c r="E503" s="117"/>
      <c r="H503" t="s">
        <v>1239</v>
      </c>
      <c r="I503" s="99">
        <f t="shared" si="7"/>
        <v>49</v>
      </c>
    </row>
    <row r="504" spans="1:9" ht="25.5" x14ac:dyDescent="0.25">
      <c r="A504" s="115" t="s">
        <v>761</v>
      </c>
      <c r="B504" s="112">
        <v>3907</v>
      </c>
      <c r="C504" s="113"/>
      <c r="D504" s="116">
        <v>54</v>
      </c>
      <c r="E504" s="117"/>
      <c r="H504">
        <v>247</v>
      </c>
      <c r="I504" s="99">
        <f t="shared" si="7"/>
        <v>54</v>
      </c>
    </row>
    <row r="505" spans="1:9" ht="25.5" x14ac:dyDescent="0.25">
      <c r="A505" s="115" t="s">
        <v>959</v>
      </c>
      <c r="B505" s="112">
        <v>12297.3</v>
      </c>
      <c r="C505" s="113"/>
      <c r="D505" s="116">
        <v>63</v>
      </c>
      <c r="E505" s="117"/>
      <c r="H505">
        <v>377</v>
      </c>
      <c r="I505" s="99">
        <f t="shared" si="7"/>
        <v>63</v>
      </c>
    </row>
    <row r="506" spans="1:9" ht="25.5" x14ac:dyDescent="0.25">
      <c r="A506" s="115" t="s">
        <v>1488</v>
      </c>
      <c r="B506" s="112">
        <v>11263.1</v>
      </c>
      <c r="C506" s="113"/>
      <c r="D506" s="116">
        <v>54</v>
      </c>
      <c r="E506" s="117"/>
      <c r="H506" t="s">
        <v>1518</v>
      </c>
      <c r="I506" s="99">
        <f t="shared" si="7"/>
        <v>54</v>
      </c>
    </row>
    <row r="507" spans="1:9" ht="25.5" x14ac:dyDescent="0.25">
      <c r="A507" s="115" t="s">
        <v>1492</v>
      </c>
      <c r="B507" s="112">
        <v>9248.7999999999993</v>
      </c>
      <c r="C507" s="113"/>
      <c r="D507" s="116">
        <v>55</v>
      </c>
      <c r="E507" s="117"/>
      <c r="H507" t="s">
        <v>1522</v>
      </c>
      <c r="I507" s="99">
        <f t="shared" si="7"/>
        <v>55</v>
      </c>
    </row>
    <row r="508" spans="1:9" ht="25.5" x14ac:dyDescent="0.25">
      <c r="A508" s="115" t="s">
        <v>1437</v>
      </c>
      <c r="B508" s="112">
        <v>11708.5</v>
      </c>
      <c r="C508" s="113"/>
      <c r="D508" s="116">
        <v>60</v>
      </c>
      <c r="E508" s="117"/>
      <c r="H508" t="s">
        <v>1455</v>
      </c>
      <c r="I508" s="99">
        <f t="shared" si="7"/>
        <v>60</v>
      </c>
    </row>
    <row r="509" spans="1:9" ht="25.5" x14ac:dyDescent="0.25">
      <c r="A509" s="115" t="s">
        <v>800</v>
      </c>
      <c r="B509" s="112">
        <v>3951.7</v>
      </c>
      <c r="C509" s="113"/>
      <c r="D509" s="116">
        <v>51</v>
      </c>
      <c r="E509" s="117"/>
      <c r="H509">
        <v>277</v>
      </c>
      <c r="I509" s="99">
        <f t="shared" si="7"/>
        <v>51</v>
      </c>
    </row>
    <row r="510" spans="1:9" ht="25.5" x14ac:dyDescent="0.25">
      <c r="A510" s="115" t="s">
        <v>950</v>
      </c>
      <c r="B510" s="112">
        <v>11234.7</v>
      </c>
      <c r="C510" s="113"/>
      <c r="D510" s="116">
        <v>52</v>
      </c>
      <c r="E510" s="117"/>
      <c r="H510">
        <v>350</v>
      </c>
      <c r="I510" s="99">
        <f t="shared" si="7"/>
        <v>52</v>
      </c>
    </row>
    <row r="511" spans="1:9" ht="25.5" x14ac:dyDescent="0.25">
      <c r="A511" s="115" t="s">
        <v>665</v>
      </c>
      <c r="B511" s="112">
        <v>11738</v>
      </c>
      <c r="C511" s="113"/>
      <c r="D511" s="116">
        <v>53</v>
      </c>
      <c r="E511" s="117"/>
      <c r="H511">
        <v>218</v>
      </c>
      <c r="I511" s="99">
        <f t="shared" si="7"/>
        <v>53</v>
      </c>
    </row>
    <row r="512" spans="1:9" ht="25.5" x14ac:dyDescent="0.25">
      <c r="A512" s="115" t="s">
        <v>403</v>
      </c>
      <c r="B512" s="112">
        <v>10462.5</v>
      </c>
      <c r="C512" s="113"/>
      <c r="D512" s="116">
        <v>52</v>
      </c>
      <c r="E512" s="117"/>
      <c r="H512">
        <v>104</v>
      </c>
      <c r="I512" s="99">
        <f t="shared" si="7"/>
        <v>52</v>
      </c>
    </row>
    <row r="513" spans="1:9" ht="25.5" x14ac:dyDescent="0.25">
      <c r="A513" s="115" t="s">
        <v>669</v>
      </c>
      <c r="B513" s="112">
        <v>12725.4</v>
      </c>
      <c r="C513" s="113"/>
      <c r="D513" s="117"/>
      <c r="E513" s="117"/>
      <c r="H513">
        <v>222</v>
      </c>
      <c r="I513" s="99"/>
    </row>
    <row r="514" spans="1:9" ht="25.5" x14ac:dyDescent="0.25">
      <c r="A514" s="115" t="s">
        <v>759</v>
      </c>
      <c r="B514" s="112">
        <v>11229.7</v>
      </c>
      <c r="C514" s="113"/>
      <c r="D514" s="116">
        <v>60</v>
      </c>
      <c r="E514" s="117"/>
      <c r="H514">
        <v>245</v>
      </c>
      <c r="I514" s="99">
        <f t="shared" si="7"/>
        <v>60</v>
      </c>
    </row>
    <row r="515" spans="1:9" ht="25.5" x14ac:dyDescent="0.25">
      <c r="A515" s="115" t="s">
        <v>542</v>
      </c>
      <c r="B515" s="112">
        <v>13755</v>
      </c>
      <c r="C515" s="113"/>
      <c r="D515" s="116">
        <v>62</v>
      </c>
      <c r="E515" s="117"/>
      <c r="H515">
        <v>180</v>
      </c>
      <c r="I515" s="99">
        <f t="shared" si="7"/>
        <v>62</v>
      </c>
    </row>
    <row r="516" spans="1:9" ht="25.5" x14ac:dyDescent="0.25">
      <c r="A516" s="115" t="s">
        <v>1288</v>
      </c>
      <c r="B516" s="112">
        <v>10815.7</v>
      </c>
      <c r="C516" s="113"/>
      <c r="D516" s="116">
        <v>47</v>
      </c>
      <c r="E516" s="117"/>
      <c r="H516" t="s">
        <v>1304</v>
      </c>
      <c r="I516" s="99">
        <f t="shared" si="7"/>
        <v>47</v>
      </c>
    </row>
    <row r="517" spans="1:9" ht="25.5" x14ac:dyDescent="0.25">
      <c r="A517" s="115" t="s">
        <v>1183</v>
      </c>
      <c r="B517" s="112">
        <v>11993.5</v>
      </c>
      <c r="C517" s="113"/>
      <c r="D517" s="116">
        <v>51</v>
      </c>
      <c r="E517" s="117"/>
      <c r="H517" t="s">
        <v>1230</v>
      </c>
      <c r="I517" s="99">
        <f t="shared" si="7"/>
        <v>51</v>
      </c>
    </row>
    <row r="518" spans="1:9" ht="25.5" x14ac:dyDescent="0.25">
      <c r="A518" s="115" t="s">
        <v>376</v>
      </c>
      <c r="B518" s="112">
        <v>6263.4</v>
      </c>
      <c r="C518" s="113"/>
      <c r="D518" s="116">
        <v>45</v>
      </c>
      <c r="E518" s="117"/>
      <c r="H518">
        <v>76</v>
      </c>
      <c r="I518" s="99">
        <f t="shared" si="7"/>
        <v>45</v>
      </c>
    </row>
    <row r="519" spans="1:9" ht="25.5" x14ac:dyDescent="0.25">
      <c r="A519" s="115" t="s">
        <v>988</v>
      </c>
      <c r="B519" s="112">
        <v>11651.5</v>
      </c>
      <c r="C519" s="113"/>
      <c r="D519" s="116">
        <v>54</v>
      </c>
      <c r="E519" s="117"/>
      <c r="H519">
        <v>446</v>
      </c>
      <c r="I519" s="99">
        <f t="shared" si="7"/>
        <v>54</v>
      </c>
    </row>
    <row r="520" spans="1:9" ht="25.5" x14ac:dyDescent="0.25">
      <c r="A520" s="115" t="s">
        <v>1359</v>
      </c>
      <c r="B520" s="112">
        <v>7215.4</v>
      </c>
      <c r="C520" s="113"/>
      <c r="D520" s="116">
        <v>54</v>
      </c>
      <c r="E520" s="117"/>
      <c r="H520" t="s">
        <v>1353</v>
      </c>
      <c r="I520" s="99">
        <f t="shared" si="7"/>
        <v>54</v>
      </c>
    </row>
    <row r="521" spans="1:9" ht="25.5" x14ac:dyDescent="0.25">
      <c r="A521" s="115" t="s">
        <v>1247</v>
      </c>
      <c r="B521" s="112">
        <v>11381</v>
      </c>
      <c r="C521" s="113"/>
      <c r="D521" s="116">
        <v>55</v>
      </c>
      <c r="E521" s="117"/>
      <c r="H521" t="s">
        <v>1249</v>
      </c>
      <c r="I521" s="99">
        <f t="shared" si="7"/>
        <v>55</v>
      </c>
    </row>
    <row r="522" spans="1:9" ht="25.5" x14ac:dyDescent="0.25">
      <c r="A522" s="115" t="s">
        <v>382</v>
      </c>
      <c r="B522" s="112">
        <v>6688.8</v>
      </c>
      <c r="C522" s="113"/>
      <c r="D522" s="116">
        <v>49</v>
      </c>
      <c r="E522" s="117"/>
      <c r="H522">
        <v>82</v>
      </c>
      <c r="I522" s="99">
        <f t="shared" si="7"/>
        <v>49</v>
      </c>
    </row>
    <row r="523" spans="1:9" ht="25.5" x14ac:dyDescent="0.25">
      <c r="A523" s="115" t="s">
        <v>742</v>
      </c>
      <c r="B523" s="112">
        <v>4018.5</v>
      </c>
      <c r="C523" s="113"/>
      <c r="D523" s="116">
        <v>63</v>
      </c>
      <c r="E523" s="117"/>
      <c r="H523">
        <v>231</v>
      </c>
      <c r="I523" s="99">
        <f t="shared" si="7"/>
        <v>63</v>
      </c>
    </row>
    <row r="524" spans="1:9" ht="25.5" x14ac:dyDescent="0.25">
      <c r="A524" s="115" t="s">
        <v>1025</v>
      </c>
      <c r="B524" s="112">
        <v>11585</v>
      </c>
      <c r="C524" s="113"/>
      <c r="D524" s="116">
        <v>63</v>
      </c>
      <c r="E524" s="117"/>
      <c r="H524">
        <v>416</v>
      </c>
      <c r="I524" s="99">
        <f t="shared" si="7"/>
        <v>63</v>
      </c>
    </row>
    <row r="525" spans="1:9" ht="25.5" x14ac:dyDescent="0.25">
      <c r="A525" s="115" t="s">
        <v>392</v>
      </c>
      <c r="B525" s="112">
        <v>10052.1</v>
      </c>
      <c r="C525" s="113"/>
      <c r="D525" s="116">
        <v>51</v>
      </c>
      <c r="E525" s="117"/>
      <c r="H525">
        <v>92</v>
      </c>
      <c r="I525" s="99">
        <f t="shared" si="7"/>
        <v>51</v>
      </c>
    </row>
    <row r="526" spans="1:9" ht="25.5" x14ac:dyDescent="0.25">
      <c r="A526" s="115" t="s">
        <v>1084</v>
      </c>
      <c r="B526" s="112">
        <v>12247</v>
      </c>
      <c r="C526" s="113"/>
      <c r="D526" s="116">
        <v>57</v>
      </c>
      <c r="E526" s="117"/>
      <c r="H526" t="s">
        <v>1097</v>
      </c>
      <c r="I526" s="99">
        <f t="shared" si="7"/>
        <v>57</v>
      </c>
    </row>
    <row r="527" spans="1:9" ht="25.5" x14ac:dyDescent="0.25">
      <c r="A527" s="115" t="s">
        <v>933</v>
      </c>
      <c r="B527" s="112">
        <v>11033</v>
      </c>
      <c r="C527" s="113"/>
      <c r="D527" s="116">
        <v>57</v>
      </c>
      <c r="E527" s="117"/>
      <c r="H527">
        <v>411</v>
      </c>
      <c r="I527" s="99">
        <f t="shared" ref="I527:I583" si="8">D527</f>
        <v>57</v>
      </c>
    </row>
    <row r="528" spans="1:9" ht="25.5" x14ac:dyDescent="0.25">
      <c r="A528" s="115" t="s">
        <v>546</v>
      </c>
      <c r="B528" s="112">
        <v>13209.6</v>
      </c>
      <c r="C528" s="113"/>
      <c r="D528" s="116">
        <v>62</v>
      </c>
      <c r="E528" s="117"/>
      <c r="H528">
        <v>184</v>
      </c>
      <c r="I528" s="99">
        <f t="shared" si="8"/>
        <v>62</v>
      </c>
    </row>
    <row r="529" spans="1:9" ht="25.5" x14ac:dyDescent="0.25">
      <c r="A529" s="115" t="s">
        <v>1328</v>
      </c>
      <c r="B529" s="112">
        <v>7862.8</v>
      </c>
      <c r="C529" s="113"/>
      <c r="D529" s="116">
        <v>44</v>
      </c>
      <c r="E529" s="117"/>
      <c r="H529" t="s">
        <v>1346</v>
      </c>
      <c r="I529" s="99">
        <f t="shared" si="8"/>
        <v>44</v>
      </c>
    </row>
    <row r="530" spans="1:9" ht="25.5" x14ac:dyDescent="0.25">
      <c r="A530" s="115" t="s">
        <v>1284</v>
      </c>
      <c r="B530" s="112">
        <v>11072.2</v>
      </c>
      <c r="C530" s="113"/>
      <c r="D530" s="116">
        <v>51</v>
      </c>
      <c r="E530" s="117"/>
      <c r="H530" t="s">
        <v>1300</v>
      </c>
      <c r="I530" s="99">
        <f t="shared" si="8"/>
        <v>51</v>
      </c>
    </row>
    <row r="531" spans="1:9" ht="25.5" x14ac:dyDescent="0.25">
      <c r="A531" s="115" t="s">
        <v>430</v>
      </c>
      <c r="B531" s="112">
        <v>10904</v>
      </c>
      <c r="C531" s="113"/>
      <c r="D531" s="116">
        <v>57</v>
      </c>
      <c r="E531" s="117"/>
      <c r="H531">
        <v>143</v>
      </c>
      <c r="I531" s="99">
        <f t="shared" si="8"/>
        <v>57</v>
      </c>
    </row>
    <row r="532" spans="1:9" ht="25.5" x14ac:dyDescent="0.25">
      <c r="A532" s="115" t="s">
        <v>411</v>
      </c>
      <c r="B532" s="112">
        <v>6114.4</v>
      </c>
      <c r="C532" s="113"/>
      <c r="D532" s="117"/>
      <c r="E532" s="117"/>
      <c r="H532">
        <v>112</v>
      </c>
      <c r="I532" s="99"/>
    </row>
    <row r="533" spans="1:9" ht="25.5" x14ac:dyDescent="0.25">
      <c r="A533" s="115" t="s">
        <v>436</v>
      </c>
      <c r="B533" s="112">
        <v>5545.8</v>
      </c>
      <c r="C533" s="113"/>
      <c r="D533" s="116">
        <v>56</v>
      </c>
      <c r="E533" s="117"/>
      <c r="H533">
        <v>149</v>
      </c>
      <c r="I533" s="99">
        <f t="shared" si="8"/>
        <v>56</v>
      </c>
    </row>
    <row r="534" spans="1:9" ht="25.5" x14ac:dyDescent="0.25">
      <c r="A534" s="115" t="s">
        <v>1024</v>
      </c>
      <c r="B534" s="112">
        <v>12434.8</v>
      </c>
      <c r="C534" s="113"/>
      <c r="D534" s="116">
        <v>60</v>
      </c>
      <c r="E534" s="117"/>
      <c r="H534">
        <v>415</v>
      </c>
      <c r="I534" s="99">
        <f t="shared" si="8"/>
        <v>60</v>
      </c>
    </row>
    <row r="535" spans="1:9" ht="25.5" x14ac:dyDescent="0.25">
      <c r="A535" s="115" t="s">
        <v>1524</v>
      </c>
      <c r="B535" s="112">
        <v>11663.7</v>
      </c>
      <c r="C535" s="113"/>
      <c r="D535" s="116">
        <v>61</v>
      </c>
      <c r="E535" s="117"/>
      <c r="H535" t="s">
        <v>1534</v>
      </c>
      <c r="I535" s="99">
        <f t="shared" si="8"/>
        <v>61</v>
      </c>
    </row>
    <row r="536" spans="1:9" ht="25.5" x14ac:dyDescent="0.25">
      <c r="A536" s="115" t="s">
        <v>1436</v>
      </c>
      <c r="B536" s="112">
        <v>12050.5</v>
      </c>
      <c r="C536" s="113"/>
      <c r="D536" s="116">
        <v>61</v>
      </c>
      <c r="E536" s="117"/>
      <c r="H536" t="s">
        <v>1454</v>
      </c>
      <c r="I536" s="99">
        <f t="shared" si="8"/>
        <v>61</v>
      </c>
    </row>
    <row r="537" spans="1:9" ht="25.5" x14ac:dyDescent="0.25">
      <c r="A537" s="115" t="s">
        <v>770</v>
      </c>
      <c r="B537" s="112">
        <v>12003.2</v>
      </c>
      <c r="C537" s="113"/>
      <c r="D537" s="116">
        <v>63</v>
      </c>
      <c r="E537" s="117"/>
      <c r="H537">
        <v>253</v>
      </c>
      <c r="I537" s="99">
        <f t="shared" si="8"/>
        <v>63</v>
      </c>
    </row>
    <row r="538" spans="1:9" ht="25.5" x14ac:dyDescent="0.25">
      <c r="A538" s="115" t="s">
        <v>432</v>
      </c>
      <c r="B538" s="112">
        <v>10953.6</v>
      </c>
      <c r="C538" s="113"/>
      <c r="D538" s="116">
        <v>58</v>
      </c>
      <c r="E538" s="117"/>
      <c r="H538">
        <v>145</v>
      </c>
      <c r="I538" s="99">
        <f t="shared" si="8"/>
        <v>58</v>
      </c>
    </row>
    <row r="539" spans="1:9" x14ac:dyDescent="0.25">
      <c r="A539" s="115" t="s">
        <v>833</v>
      </c>
      <c r="B539" s="112">
        <v>483747.3</v>
      </c>
      <c r="C539" s="113"/>
      <c r="D539" s="113"/>
      <c r="E539" s="114"/>
      <c r="I539" s="99"/>
    </row>
    <row r="540" spans="1:9" x14ac:dyDescent="0.25">
      <c r="A540" s="115" t="s">
        <v>102</v>
      </c>
      <c r="B540" s="112">
        <v>483747.3</v>
      </c>
      <c r="C540" s="113"/>
      <c r="D540" s="116">
        <v>42.9</v>
      </c>
      <c r="E540" s="114"/>
      <c r="I540" s="99">
        <f t="shared" si="8"/>
        <v>42.9</v>
      </c>
    </row>
    <row r="541" spans="1:9" ht="25.5" x14ac:dyDescent="0.25">
      <c r="A541" s="115" t="s">
        <v>1124</v>
      </c>
      <c r="B541" s="112">
        <v>12474</v>
      </c>
      <c r="C541" s="113"/>
      <c r="D541" s="116">
        <v>76</v>
      </c>
      <c r="E541" s="117"/>
      <c r="H541" t="s">
        <v>1147</v>
      </c>
      <c r="I541" s="99">
        <f t="shared" si="8"/>
        <v>76</v>
      </c>
    </row>
    <row r="542" spans="1:9" ht="25.5" x14ac:dyDescent="0.25">
      <c r="A542" s="115" t="s">
        <v>997</v>
      </c>
      <c r="B542" s="112">
        <v>13510</v>
      </c>
      <c r="C542" s="113"/>
      <c r="D542" s="117"/>
      <c r="E542" s="117"/>
      <c r="H542">
        <v>452</v>
      </c>
      <c r="I542" s="99"/>
    </row>
    <row r="543" spans="1:9" ht="25.5" x14ac:dyDescent="0.25">
      <c r="A543" s="115" t="s">
        <v>1006</v>
      </c>
      <c r="B543" s="112">
        <v>11669</v>
      </c>
      <c r="C543" s="113"/>
      <c r="D543" s="117"/>
      <c r="E543" s="117"/>
      <c r="H543">
        <v>459</v>
      </c>
      <c r="I543" s="99"/>
    </row>
    <row r="544" spans="1:9" ht="25.5" x14ac:dyDescent="0.25">
      <c r="A544" s="115" t="s">
        <v>1008</v>
      </c>
      <c r="B544" s="112">
        <v>11564</v>
      </c>
      <c r="C544" s="113"/>
      <c r="D544" s="117"/>
      <c r="E544" s="117"/>
      <c r="H544">
        <v>460</v>
      </c>
      <c r="I544" s="99"/>
    </row>
    <row r="545" spans="1:9" ht="25.5" x14ac:dyDescent="0.25">
      <c r="A545" s="115" t="s">
        <v>1011</v>
      </c>
      <c r="B545" s="112">
        <v>11397</v>
      </c>
      <c r="C545" s="113"/>
      <c r="D545" s="117"/>
      <c r="E545" s="117"/>
      <c r="H545">
        <v>461</v>
      </c>
      <c r="I545" s="99"/>
    </row>
    <row r="546" spans="1:9" ht="25.5" x14ac:dyDescent="0.25">
      <c r="A546" s="115" t="s">
        <v>1014</v>
      </c>
      <c r="B546" s="112">
        <v>11479</v>
      </c>
      <c r="C546" s="113"/>
      <c r="D546" s="117"/>
      <c r="E546" s="117"/>
      <c r="H546">
        <v>463</v>
      </c>
      <c r="I546" s="99"/>
    </row>
    <row r="547" spans="1:9" ht="25.5" x14ac:dyDescent="0.25">
      <c r="A547" s="115" t="s">
        <v>1016</v>
      </c>
      <c r="B547" s="112">
        <v>11907</v>
      </c>
      <c r="C547" s="113"/>
      <c r="D547" s="117"/>
      <c r="E547" s="117"/>
      <c r="H547" t="s">
        <v>1060</v>
      </c>
      <c r="I547" s="99"/>
    </row>
    <row r="548" spans="1:9" ht="25.5" x14ac:dyDescent="0.25">
      <c r="A548" s="115" t="s">
        <v>1017</v>
      </c>
      <c r="B548" s="112">
        <v>11406</v>
      </c>
      <c r="C548" s="113"/>
      <c r="D548" s="117"/>
      <c r="E548" s="117"/>
      <c r="H548" t="s">
        <v>1059</v>
      </c>
      <c r="I548" s="99"/>
    </row>
    <row r="549" spans="1:9" ht="25.5" x14ac:dyDescent="0.25">
      <c r="A549" s="115" t="s">
        <v>1018</v>
      </c>
      <c r="B549" s="112">
        <v>10979</v>
      </c>
      <c r="C549" s="113"/>
      <c r="D549" s="117"/>
      <c r="E549" s="117"/>
      <c r="H549" t="s">
        <v>1061</v>
      </c>
      <c r="I549" s="99"/>
    </row>
    <row r="550" spans="1:9" ht="25.5" x14ac:dyDescent="0.25">
      <c r="A550" s="115" t="s">
        <v>1019</v>
      </c>
      <c r="B550" s="112">
        <v>15396</v>
      </c>
      <c r="C550" s="113"/>
      <c r="D550" s="117"/>
      <c r="E550" s="117"/>
      <c r="H550" t="s">
        <v>1062</v>
      </c>
      <c r="I550" s="99"/>
    </row>
    <row r="551" spans="1:9" ht="25.5" x14ac:dyDescent="0.25">
      <c r="A551" s="115" t="s">
        <v>1020</v>
      </c>
      <c r="B551" s="112">
        <v>11634</v>
      </c>
      <c r="C551" s="113"/>
      <c r="D551" s="117"/>
      <c r="E551" s="117"/>
      <c r="H551" t="s">
        <v>1063</v>
      </c>
      <c r="I551" s="99"/>
    </row>
    <row r="552" spans="1:9" ht="25.5" x14ac:dyDescent="0.25">
      <c r="A552" s="115" t="s">
        <v>1254</v>
      </c>
      <c r="B552" s="112">
        <v>13744</v>
      </c>
      <c r="C552" s="113"/>
      <c r="D552" s="117"/>
      <c r="E552" s="117"/>
      <c r="H552" t="s">
        <v>1250</v>
      </c>
      <c r="I552" s="99"/>
    </row>
    <row r="553" spans="1:9" ht="25.5" x14ac:dyDescent="0.25">
      <c r="A553" s="115" t="s">
        <v>1256</v>
      </c>
      <c r="B553" s="112">
        <v>13168</v>
      </c>
      <c r="C553" s="113"/>
      <c r="D553" s="117"/>
      <c r="E553" s="117"/>
      <c r="H553" t="s">
        <v>1251</v>
      </c>
      <c r="I553" s="99"/>
    </row>
    <row r="554" spans="1:9" ht="25.5" x14ac:dyDescent="0.25">
      <c r="A554" s="115" t="s">
        <v>1257</v>
      </c>
      <c r="B554" s="112">
        <v>12949</v>
      </c>
      <c r="C554" s="113"/>
      <c r="D554" s="117"/>
      <c r="E554" s="117"/>
      <c r="H554" t="s">
        <v>1252</v>
      </c>
      <c r="I554" s="99"/>
    </row>
    <row r="555" spans="1:9" ht="25.5" x14ac:dyDescent="0.25">
      <c r="A555" s="115" t="s">
        <v>1544</v>
      </c>
      <c r="B555" s="112">
        <v>12515.2</v>
      </c>
      <c r="C555" s="113"/>
      <c r="D555" s="116">
        <v>74</v>
      </c>
      <c r="E555" s="117"/>
      <c r="H555" t="s">
        <v>1545</v>
      </c>
      <c r="I555" s="99">
        <f t="shared" si="8"/>
        <v>74</v>
      </c>
    </row>
    <row r="556" spans="1:9" ht="25.5" x14ac:dyDescent="0.25">
      <c r="A556" s="115" t="s">
        <v>888</v>
      </c>
      <c r="B556" s="112">
        <v>10004.5</v>
      </c>
      <c r="C556" s="113"/>
      <c r="D556" s="116">
        <v>74</v>
      </c>
      <c r="E556" s="117"/>
      <c r="H556">
        <v>335</v>
      </c>
      <c r="I556" s="99">
        <f t="shared" si="8"/>
        <v>74</v>
      </c>
    </row>
    <row r="557" spans="1:9" ht="25.5" x14ac:dyDescent="0.25">
      <c r="A557" s="115" t="s">
        <v>1548</v>
      </c>
      <c r="B557" s="112">
        <v>11665.4</v>
      </c>
      <c r="C557" s="113"/>
      <c r="D557" s="116">
        <v>75</v>
      </c>
      <c r="E557" s="117"/>
      <c r="H557" t="s">
        <v>1554</v>
      </c>
      <c r="I557" s="99">
        <f t="shared" si="8"/>
        <v>75</v>
      </c>
    </row>
    <row r="558" spans="1:9" ht="25.5" x14ac:dyDescent="0.25">
      <c r="A558" s="115" t="s">
        <v>1165</v>
      </c>
      <c r="B558" s="112">
        <v>12453.1</v>
      </c>
      <c r="C558" s="113"/>
      <c r="D558" s="116">
        <v>72</v>
      </c>
      <c r="E558" s="117"/>
      <c r="H558" t="s">
        <v>1214</v>
      </c>
      <c r="I558" s="99">
        <f t="shared" si="8"/>
        <v>72</v>
      </c>
    </row>
    <row r="559" spans="1:9" ht="25.5" x14ac:dyDescent="0.25">
      <c r="A559" s="115" t="s">
        <v>889</v>
      </c>
      <c r="B559" s="112">
        <v>11219</v>
      </c>
      <c r="C559" s="113"/>
      <c r="D559" s="116">
        <v>73</v>
      </c>
      <c r="E559" s="117"/>
      <c r="H559">
        <v>322</v>
      </c>
      <c r="I559" s="99">
        <f t="shared" si="8"/>
        <v>73</v>
      </c>
    </row>
    <row r="560" spans="1:9" ht="25.5" x14ac:dyDescent="0.25">
      <c r="A560" s="115" t="s">
        <v>852</v>
      </c>
      <c r="B560" s="112">
        <v>7393.7</v>
      </c>
      <c r="C560" s="113"/>
      <c r="D560" s="116">
        <v>72</v>
      </c>
      <c r="E560" s="117"/>
      <c r="H560">
        <v>303</v>
      </c>
      <c r="I560" s="99">
        <f t="shared" si="8"/>
        <v>72</v>
      </c>
    </row>
    <row r="561" spans="1:9" ht="25.5" x14ac:dyDescent="0.25">
      <c r="A561" s="115" t="s">
        <v>1547</v>
      </c>
      <c r="B561" s="112">
        <v>12200.7</v>
      </c>
      <c r="C561" s="113"/>
      <c r="D561" s="116">
        <v>76</v>
      </c>
      <c r="E561" s="117"/>
      <c r="H561" t="s">
        <v>1553</v>
      </c>
      <c r="I561" s="99">
        <f t="shared" si="8"/>
        <v>76</v>
      </c>
    </row>
    <row r="562" spans="1:9" ht="25.5" x14ac:dyDescent="0.25">
      <c r="A562" s="115" t="s">
        <v>1163</v>
      </c>
      <c r="B562" s="112">
        <v>13865.7</v>
      </c>
      <c r="C562" s="113"/>
      <c r="D562" s="116">
        <v>75</v>
      </c>
      <c r="E562" s="117"/>
      <c r="H562" t="s">
        <v>1212</v>
      </c>
      <c r="I562" s="99">
        <f t="shared" si="8"/>
        <v>75</v>
      </c>
    </row>
    <row r="563" spans="1:9" ht="25.5" x14ac:dyDescent="0.25">
      <c r="A563" s="115" t="s">
        <v>1482</v>
      </c>
      <c r="B563" s="112">
        <v>12678.6</v>
      </c>
      <c r="C563" s="113"/>
      <c r="D563" s="116">
        <v>79</v>
      </c>
      <c r="E563" s="117"/>
      <c r="H563" t="s">
        <v>1513</v>
      </c>
      <c r="I563" s="99">
        <f t="shared" si="8"/>
        <v>79</v>
      </c>
    </row>
    <row r="564" spans="1:9" ht="25.5" x14ac:dyDescent="0.25">
      <c r="A564" s="115" t="s">
        <v>1162</v>
      </c>
      <c r="B564" s="112">
        <v>13940.7</v>
      </c>
      <c r="C564" s="113"/>
      <c r="D564" s="116">
        <v>73</v>
      </c>
      <c r="E564" s="117"/>
      <c r="H564" t="s">
        <v>1211</v>
      </c>
      <c r="I564" s="99">
        <f t="shared" si="8"/>
        <v>73</v>
      </c>
    </row>
    <row r="565" spans="1:9" ht="25.5" x14ac:dyDescent="0.25">
      <c r="A565" s="115" t="s">
        <v>999</v>
      </c>
      <c r="B565" s="112">
        <v>6520</v>
      </c>
      <c r="C565" s="113"/>
      <c r="D565" s="117"/>
      <c r="E565" s="117"/>
      <c r="H565">
        <v>453</v>
      </c>
      <c r="I565" s="99"/>
    </row>
    <row r="566" spans="1:9" ht="25.5" x14ac:dyDescent="0.25">
      <c r="A566" s="115" t="s">
        <v>995</v>
      </c>
      <c r="B566" s="112">
        <v>6410</v>
      </c>
      <c r="C566" s="113"/>
      <c r="D566" s="117"/>
      <c r="E566" s="117"/>
      <c r="H566">
        <v>451</v>
      </c>
      <c r="I566" s="99"/>
    </row>
    <row r="567" spans="1:9" ht="25.5" x14ac:dyDescent="0.25">
      <c r="A567" s="115" t="s">
        <v>1021</v>
      </c>
      <c r="B567" s="112">
        <v>10897</v>
      </c>
      <c r="C567" s="113"/>
      <c r="D567" s="117"/>
      <c r="E567" s="117"/>
      <c r="H567" t="s">
        <v>1064</v>
      </c>
      <c r="I567" s="99"/>
    </row>
    <row r="568" spans="1:9" ht="25.5" x14ac:dyDescent="0.25">
      <c r="A568" s="115" t="s">
        <v>1532</v>
      </c>
      <c r="B568" s="112">
        <v>11357.5</v>
      </c>
      <c r="C568" s="113"/>
      <c r="D568" s="116">
        <v>78</v>
      </c>
      <c r="E568" s="117"/>
      <c r="H568" t="s">
        <v>1541</v>
      </c>
      <c r="I568" s="99">
        <f t="shared" si="8"/>
        <v>78</v>
      </c>
    </row>
    <row r="569" spans="1:9" ht="25.5" x14ac:dyDescent="0.25">
      <c r="A569" s="115" t="s">
        <v>890</v>
      </c>
      <c r="B569" s="112">
        <v>12075.4</v>
      </c>
      <c r="C569" s="113"/>
      <c r="D569" s="116">
        <v>75</v>
      </c>
      <c r="E569" s="117"/>
      <c r="H569">
        <v>323</v>
      </c>
      <c r="I569" s="99">
        <f t="shared" si="8"/>
        <v>75</v>
      </c>
    </row>
    <row r="570" spans="1:9" ht="25.5" x14ac:dyDescent="0.25">
      <c r="A570" s="115" t="s">
        <v>1036</v>
      </c>
      <c r="B570" s="112">
        <v>12196.9</v>
      </c>
      <c r="C570" s="113"/>
      <c r="D570" s="116">
        <v>72</v>
      </c>
      <c r="E570" s="117"/>
      <c r="H570">
        <v>427</v>
      </c>
      <c r="I570" s="99">
        <f t="shared" si="8"/>
        <v>72</v>
      </c>
    </row>
    <row r="571" spans="1:9" ht="25.5" x14ac:dyDescent="0.25">
      <c r="A571" s="115" t="s">
        <v>1491</v>
      </c>
      <c r="B571" s="112">
        <v>12445.6</v>
      </c>
      <c r="C571" s="113"/>
      <c r="D571" s="116">
        <v>72</v>
      </c>
      <c r="E571" s="117"/>
      <c r="H571" t="s">
        <v>1521</v>
      </c>
      <c r="I571" s="99">
        <f t="shared" si="8"/>
        <v>72</v>
      </c>
    </row>
    <row r="572" spans="1:9" ht="25.5" x14ac:dyDescent="0.25">
      <c r="A572" s="115" t="s">
        <v>834</v>
      </c>
      <c r="B572" s="112">
        <v>7920</v>
      </c>
      <c r="C572" s="113"/>
      <c r="D572" s="116">
        <v>71</v>
      </c>
      <c r="E572" s="117"/>
      <c r="H572">
        <v>299</v>
      </c>
      <c r="I572" s="99">
        <f t="shared" si="8"/>
        <v>71</v>
      </c>
    </row>
    <row r="573" spans="1:9" ht="25.5" x14ac:dyDescent="0.25">
      <c r="A573" s="115" t="s">
        <v>1462</v>
      </c>
      <c r="B573" s="112">
        <v>12136</v>
      </c>
      <c r="C573" s="113"/>
      <c r="D573" s="116">
        <v>71</v>
      </c>
      <c r="E573" s="117"/>
      <c r="H573" t="s">
        <v>1493</v>
      </c>
      <c r="I573" s="99">
        <f t="shared" si="8"/>
        <v>71</v>
      </c>
    </row>
    <row r="574" spans="1:9" ht="25.5" x14ac:dyDescent="0.25">
      <c r="A574" s="115" t="s">
        <v>1171</v>
      </c>
      <c r="B574" s="112">
        <v>12663.3</v>
      </c>
      <c r="C574" s="113"/>
      <c r="D574" s="116">
        <v>70</v>
      </c>
      <c r="E574" s="117"/>
      <c r="H574" t="s">
        <v>1218</v>
      </c>
      <c r="I574" s="99">
        <f t="shared" si="8"/>
        <v>70</v>
      </c>
    </row>
    <row r="575" spans="1:9" ht="25.5" x14ac:dyDescent="0.25">
      <c r="A575" s="115" t="s">
        <v>993</v>
      </c>
      <c r="B575" s="112">
        <v>6620</v>
      </c>
      <c r="C575" s="113"/>
      <c r="D575" s="117"/>
      <c r="E575" s="117"/>
      <c r="H575">
        <v>450</v>
      </c>
      <c r="I575" s="99"/>
    </row>
    <row r="576" spans="1:9" ht="25.5" x14ac:dyDescent="0.25">
      <c r="A576" s="115" t="s">
        <v>891</v>
      </c>
      <c r="B576" s="112">
        <v>11729.4</v>
      </c>
      <c r="C576" s="113"/>
      <c r="D576" s="116">
        <v>74</v>
      </c>
      <c r="E576" s="117"/>
      <c r="H576">
        <v>326</v>
      </c>
      <c r="I576" s="99">
        <f t="shared" si="8"/>
        <v>74</v>
      </c>
    </row>
    <row r="577" spans="1:9" ht="25.5" x14ac:dyDescent="0.25">
      <c r="A577" s="115" t="s">
        <v>991</v>
      </c>
      <c r="B577" s="112">
        <v>6330</v>
      </c>
      <c r="C577" s="113"/>
      <c r="D577" s="117"/>
      <c r="E577" s="117"/>
      <c r="H577">
        <v>449</v>
      </c>
      <c r="I577" s="99"/>
    </row>
    <row r="578" spans="1:9" ht="25.5" x14ac:dyDescent="0.25">
      <c r="A578" s="115" t="s">
        <v>1551</v>
      </c>
      <c r="B578" s="112">
        <v>10070.1</v>
      </c>
      <c r="C578" s="113"/>
      <c r="D578" s="116">
        <v>77</v>
      </c>
      <c r="E578" s="117"/>
      <c r="H578" t="s">
        <v>1557</v>
      </c>
      <c r="I578" s="99">
        <f t="shared" si="8"/>
        <v>77</v>
      </c>
    </row>
    <row r="579" spans="1:9" ht="25.5" x14ac:dyDescent="0.25">
      <c r="A579" s="115" t="s">
        <v>892</v>
      </c>
      <c r="B579" s="112">
        <v>9823</v>
      </c>
      <c r="C579" s="113"/>
      <c r="D579" s="116">
        <v>74</v>
      </c>
      <c r="E579" s="117"/>
      <c r="H579">
        <v>334</v>
      </c>
      <c r="I579" s="99">
        <f t="shared" si="8"/>
        <v>74</v>
      </c>
    </row>
    <row r="580" spans="1:9" ht="25.5" x14ac:dyDescent="0.25">
      <c r="A580" s="115" t="s">
        <v>1038</v>
      </c>
      <c r="B580" s="112">
        <v>12245.2</v>
      </c>
      <c r="C580" s="113"/>
      <c r="D580" s="116">
        <v>73</v>
      </c>
      <c r="E580" s="117"/>
      <c r="H580">
        <v>429</v>
      </c>
      <c r="I580" s="99">
        <f t="shared" si="8"/>
        <v>73</v>
      </c>
    </row>
    <row r="581" spans="1:9" ht="25.5" x14ac:dyDescent="0.25">
      <c r="A581" s="115" t="s">
        <v>861</v>
      </c>
      <c r="B581" s="112">
        <v>9327.9</v>
      </c>
      <c r="C581" s="113"/>
      <c r="D581" s="116">
        <v>74</v>
      </c>
      <c r="E581" s="117"/>
      <c r="H581">
        <v>308</v>
      </c>
      <c r="I581" s="99">
        <f t="shared" si="8"/>
        <v>74</v>
      </c>
    </row>
    <row r="582" spans="1:9" ht="25.5" x14ac:dyDescent="0.25">
      <c r="A582" s="115" t="s">
        <v>1483</v>
      </c>
      <c r="B582" s="112">
        <v>9369</v>
      </c>
      <c r="C582" s="113"/>
      <c r="D582" s="116">
        <v>73</v>
      </c>
      <c r="E582" s="117"/>
      <c r="H582" t="s">
        <v>1514</v>
      </c>
      <c r="I582" s="99">
        <f t="shared" si="8"/>
        <v>73</v>
      </c>
    </row>
    <row r="583" spans="1:9" ht="25.5" x14ac:dyDescent="0.25">
      <c r="A583" s="115" t="s">
        <v>1037</v>
      </c>
      <c r="B583" s="112">
        <v>12398.4</v>
      </c>
      <c r="C583" s="113"/>
      <c r="D583" s="116">
        <v>72</v>
      </c>
      <c r="E583" s="117"/>
      <c r="H583">
        <v>428</v>
      </c>
      <c r="I583" s="99">
        <f t="shared" si="8"/>
        <v>72</v>
      </c>
    </row>
    <row r="584" spans="1:9" x14ac:dyDescent="0.25">
      <c r="A584" s="115" t="s">
        <v>836</v>
      </c>
      <c r="B584" s="112">
        <v>483747.3</v>
      </c>
      <c r="C584" s="113"/>
      <c r="D584" s="113"/>
      <c r="E584" s="117"/>
    </row>
  </sheetData>
  <autoFilter ref="H12:I583" xr:uid="{D4660134-2933-41BB-827E-C02B97B66769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BD9C-D194-4DC3-8E1B-1543C6639B58}">
  <dimension ref="B1:O1265"/>
  <sheetViews>
    <sheetView topLeftCell="A820" workbookViewId="0">
      <selection activeCell="B830" sqref="B1:B1048576"/>
    </sheetView>
  </sheetViews>
  <sheetFormatPr defaultRowHeight="15" outlineLevelRow="2" x14ac:dyDescent="0.25"/>
  <cols>
    <col min="1" max="1" width="1.5703125" customWidth="1"/>
    <col min="2" max="2" width="48.28515625" customWidth="1"/>
    <col min="3" max="3" width="13.28515625" customWidth="1"/>
    <col min="4" max="4" width="8.85546875" customWidth="1"/>
    <col min="5" max="5" width="18.5703125" customWidth="1"/>
    <col min="6" max="6" width="18.140625" customWidth="1"/>
    <col min="7" max="7" width="10.85546875" customWidth="1"/>
    <col min="8" max="8" width="16.28515625" customWidth="1"/>
    <col min="9" max="9" width="8.140625" customWidth="1"/>
    <col min="10" max="14" width="11.7109375" customWidth="1"/>
    <col min="15" max="15" width="15.85546875" customWidth="1"/>
    <col min="16" max="256" width="8" customWidth="1"/>
    <col min="257" max="257" width="1.5703125" customWidth="1"/>
    <col min="258" max="258" width="48.28515625" customWidth="1"/>
    <col min="259" max="259" width="13.28515625" customWidth="1"/>
    <col min="260" max="260" width="18.28515625" customWidth="1"/>
    <col min="261" max="261" width="18.5703125" customWidth="1"/>
    <col min="262" max="262" width="12.7109375" customWidth="1"/>
    <col min="263" max="263" width="10.85546875" customWidth="1"/>
    <col min="264" max="264" width="16.28515625" customWidth="1"/>
    <col min="265" max="265" width="8.140625" customWidth="1"/>
    <col min="266" max="270" width="11.7109375" customWidth="1"/>
    <col min="271" max="271" width="15.85546875" customWidth="1"/>
    <col min="272" max="512" width="8" customWidth="1"/>
    <col min="513" max="513" width="1.5703125" customWidth="1"/>
    <col min="514" max="514" width="48.28515625" customWidth="1"/>
    <col min="515" max="515" width="13.28515625" customWidth="1"/>
    <col min="516" max="516" width="18.28515625" customWidth="1"/>
    <col min="517" max="517" width="18.5703125" customWidth="1"/>
    <col min="518" max="518" width="12.7109375" customWidth="1"/>
    <col min="519" max="519" width="10.85546875" customWidth="1"/>
    <col min="520" max="520" width="16.28515625" customWidth="1"/>
    <col min="521" max="521" width="8.140625" customWidth="1"/>
    <col min="522" max="526" width="11.7109375" customWidth="1"/>
    <col min="527" max="527" width="15.85546875" customWidth="1"/>
    <col min="528" max="768" width="8" customWidth="1"/>
    <col min="769" max="769" width="1.5703125" customWidth="1"/>
    <col min="770" max="770" width="48.28515625" customWidth="1"/>
    <col min="771" max="771" width="13.28515625" customWidth="1"/>
    <col min="772" max="772" width="18.28515625" customWidth="1"/>
    <col min="773" max="773" width="18.5703125" customWidth="1"/>
    <col min="774" max="774" width="12.7109375" customWidth="1"/>
    <col min="775" max="775" width="10.85546875" customWidth="1"/>
    <col min="776" max="776" width="16.28515625" customWidth="1"/>
    <col min="777" max="777" width="8.140625" customWidth="1"/>
    <col min="778" max="782" width="11.7109375" customWidth="1"/>
    <col min="783" max="783" width="15.85546875" customWidth="1"/>
    <col min="784" max="1024" width="8" customWidth="1"/>
    <col min="1025" max="1025" width="1.5703125" customWidth="1"/>
    <col min="1026" max="1026" width="48.28515625" customWidth="1"/>
    <col min="1027" max="1027" width="13.28515625" customWidth="1"/>
    <col min="1028" max="1028" width="18.28515625" customWidth="1"/>
    <col min="1029" max="1029" width="18.5703125" customWidth="1"/>
    <col min="1030" max="1030" width="12.7109375" customWidth="1"/>
    <col min="1031" max="1031" width="10.85546875" customWidth="1"/>
    <col min="1032" max="1032" width="16.28515625" customWidth="1"/>
    <col min="1033" max="1033" width="8.140625" customWidth="1"/>
    <col min="1034" max="1038" width="11.7109375" customWidth="1"/>
    <col min="1039" max="1039" width="15.85546875" customWidth="1"/>
    <col min="1040" max="1280" width="8" customWidth="1"/>
    <col min="1281" max="1281" width="1.5703125" customWidth="1"/>
    <col min="1282" max="1282" width="48.28515625" customWidth="1"/>
    <col min="1283" max="1283" width="13.28515625" customWidth="1"/>
    <col min="1284" max="1284" width="18.28515625" customWidth="1"/>
    <col min="1285" max="1285" width="18.5703125" customWidth="1"/>
    <col min="1286" max="1286" width="12.7109375" customWidth="1"/>
    <col min="1287" max="1287" width="10.85546875" customWidth="1"/>
    <col min="1288" max="1288" width="16.28515625" customWidth="1"/>
    <col min="1289" max="1289" width="8.140625" customWidth="1"/>
    <col min="1290" max="1294" width="11.7109375" customWidth="1"/>
    <col min="1295" max="1295" width="15.85546875" customWidth="1"/>
    <col min="1296" max="1536" width="8" customWidth="1"/>
    <col min="1537" max="1537" width="1.5703125" customWidth="1"/>
    <col min="1538" max="1538" width="48.28515625" customWidth="1"/>
    <col min="1539" max="1539" width="13.28515625" customWidth="1"/>
    <col min="1540" max="1540" width="18.28515625" customWidth="1"/>
    <col min="1541" max="1541" width="18.5703125" customWidth="1"/>
    <col min="1542" max="1542" width="12.7109375" customWidth="1"/>
    <col min="1543" max="1543" width="10.85546875" customWidth="1"/>
    <col min="1544" max="1544" width="16.28515625" customWidth="1"/>
    <col min="1545" max="1545" width="8.140625" customWidth="1"/>
    <col min="1546" max="1550" width="11.7109375" customWidth="1"/>
    <col min="1551" max="1551" width="15.85546875" customWidth="1"/>
    <col min="1552" max="1792" width="8" customWidth="1"/>
    <col min="1793" max="1793" width="1.5703125" customWidth="1"/>
    <col min="1794" max="1794" width="48.28515625" customWidth="1"/>
    <col min="1795" max="1795" width="13.28515625" customWidth="1"/>
    <col min="1796" max="1796" width="18.28515625" customWidth="1"/>
    <col min="1797" max="1797" width="18.5703125" customWidth="1"/>
    <col min="1798" max="1798" width="12.7109375" customWidth="1"/>
    <col min="1799" max="1799" width="10.85546875" customWidth="1"/>
    <col min="1800" max="1800" width="16.28515625" customWidth="1"/>
    <col min="1801" max="1801" width="8.140625" customWidth="1"/>
    <col min="1802" max="1806" width="11.7109375" customWidth="1"/>
    <col min="1807" max="1807" width="15.85546875" customWidth="1"/>
    <col min="1808" max="2048" width="8" customWidth="1"/>
    <col min="2049" max="2049" width="1.5703125" customWidth="1"/>
    <col min="2050" max="2050" width="48.28515625" customWidth="1"/>
    <col min="2051" max="2051" width="13.28515625" customWidth="1"/>
    <col min="2052" max="2052" width="18.28515625" customWidth="1"/>
    <col min="2053" max="2053" width="18.5703125" customWidth="1"/>
    <col min="2054" max="2054" width="12.7109375" customWidth="1"/>
    <col min="2055" max="2055" width="10.85546875" customWidth="1"/>
    <col min="2056" max="2056" width="16.28515625" customWidth="1"/>
    <col min="2057" max="2057" width="8.140625" customWidth="1"/>
    <col min="2058" max="2062" width="11.7109375" customWidth="1"/>
    <col min="2063" max="2063" width="15.85546875" customWidth="1"/>
    <col min="2064" max="2304" width="8" customWidth="1"/>
    <col min="2305" max="2305" width="1.5703125" customWidth="1"/>
    <col min="2306" max="2306" width="48.28515625" customWidth="1"/>
    <col min="2307" max="2307" width="13.28515625" customWidth="1"/>
    <col min="2308" max="2308" width="18.28515625" customWidth="1"/>
    <col min="2309" max="2309" width="18.5703125" customWidth="1"/>
    <col min="2310" max="2310" width="12.7109375" customWidth="1"/>
    <col min="2311" max="2311" width="10.85546875" customWidth="1"/>
    <col min="2312" max="2312" width="16.28515625" customWidth="1"/>
    <col min="2313" max="2313" width="8.140625" customWidth="1"/>
    <col min="2314" max="2318" width="11.7109375" customWidth="1"/>
    <col min="2319" max="2319" width="15.85546875" customWidth="1"/>
    <col min="2320" max="2560" width="8" customWidth="1"/>
    <col min="2561" max="2561" width="1.5703125" customWidth="1"/>
    <col min="2562" max="2562" width="48.28515625" customWidth="1"/>
    <col min="2563" max="2563" width="13.28515625" customWidth="1"/>
    <col min="2564" max="2564" width="18.28515625" customWidth="1"/>
    <col min="2565" max="2565" width="18.5703125" customWidth="1"/>
    <col min="2566" max="2566" width="12.7109375" customWidth="1"/>
    <col min="2567" max="2567" width="10.85546875" customWidth="1"/>
    <col min="2568" max="2568" width="16.28515625" customWidth="1"/>
    <col min="2569" max="2569" width="8.140625" customWidth="1"/>
    <col min="2570" max="2574" width="11.7109375" customWidth="1"/>
    <col min="2575" max="2575" width="15.85546875" customWidth="1"/>
    <col min="2576" max="2816" width="8" customWidth="1"/>
    <col min="2817" max="2817" width="1.5703125" customWidth="1"/>
    <col min="2818" max="2818" width="48.28515625" customWidth="1"/>
    <col min="2819" max="2819" width="13.28515625" customWidth="1"/>
    <col min="2820" max="2820" width="18.28515625" customWidth="1"/>
    <col min="2821" max="2821" width="18.5703125" customWidth="1"/>
    <col min="2822" max="2822" width="12.7109375" customWidth="1"/>
    <col min="2823" max="2823" width="10.85546875" customWidth="1"/>
    <col min="2824" max="2824" width="16.28515625" customWidth="1"/>
    <col min="2825" max="2825" width="8.140625" customWidth="1"/>
    <col min="2826" max="2830" width="11.7109375" customWidth="1"/>
    <col min="2831" max="2831" width="15.85546875" customWidth="1"/>
    <col min="2832" max="3072" width="8" customWidth="1"/>
    <col min="3073" max="3073" width="1.5703125" customWidth="1"/>
    <col min="3074" max="3074" width="48.28515625" customWidth="1"/>
    <col min="3075" max="3075" width="13.28515625" customWidth="1"/>
    <col min="3076" max="3076" width="18.28515625" customWidth="1"/>
    <col min="3077" max="3077" width="18.5703125" customWidth="1"/>
    <col min="3078" max="3078" width="12.7109375" customWidth="1"/>
    <col min="3079" max="3079" width="10.85546875" customWidth="1"/>
    <col min="3080" max="3080" width="16.28515625" customWidth="1"/>
    <col min="3081" max="3081" width="8.140625" customWidth="1"/>
    <col min="3082" max="3086" width="11.7109375" customWidth="1"/>
    <col min="3087" max="3087" width="15.85546875" customWidth="1"/>
    <col min="3088" max="3328" width="8" customWidth="1"/>
    <col min="3329" max="3329" width="1.5703125" customWidth="1"/>
    <col min="3330" max="3330" width="48.28515625" customWidth="1"/>
    <col min="3331" max="3331" width="13.28515625" customWidth="1"/>
    <col min="3332" max="3332" width="18.28515625" customWidth="1"/>
    <col min="3333" max="3333" width="18.5703125" customWidth="1"/>
    <col min="3334" max="3334" width="12.7109375" customWidth="1"/>
    <col min="3335" max="3335" width="10.85546875" customWidth="1"/>
    <col min="3336" max="3336" width="16.28515625" customWidth="1"/>
    <col min="3337" max="3337" width="8.140625" customWidth="1"/>
    <col min="3338" max="3342" width="11.7109375" customWidth="1"/>
    <col min="3343" max="3343" width="15.85546875" customWidth="1"/>
    <col min="3344" max="3584" width="8" customWidth="1"/>
    <col min="3585" max="3585" width="1.5703125" customWidth="1"/>
    <col min="3586" max="3586" width="48.28515625" customWidth="1"/>
    <col min="3587" max="3587" width="13.28515625" customWidth="1"/>
    <col min="3588" max="3588" width="18.28515625" customWidth="1"/>
    <col min="3589" max="3589" width="18.5703125" customWidth="1"/>
    <col min="3590" max="3590" width="12.7109375" customWidth="1"/>
    <col min="3591" max="3591" width="10.85546875" customWidth="1"/>
    <col min="3592" max="3592" width="16.28515625" customWidth="1"/>
    <col min="3593" max="3593" width="8.140625" customWidth="1"/>
    <col min="3594" max="3598" width="11.7109375" customWidth="1"/>
    <col min="3599" max="3599" width="15.85546875" customWidth="1"/>
    <col min="3600" max="3840" width="8" customWidth="1"/>
    <col min="3841" max="3841" width="1.5703125" customWidth="1"/>
    <col min="3842" max="3842" width="48.28515625" customWidth="1"/>
    <col min="3843" max="3843" width="13.28515625" customWidth="1"/>
    <col min="3844" max="3844" width="18.28515625" customWidth="1"/>
    <col min="3845" max="3845" width="18.5703125" customWidth="1"/>
    <col min="3846" max="3846" width="12.7109375" customWidth="1"/>
    <col min="3847" max="3847" width="10.85546875" customWidth="1"/>
    <col min="3848" max="3848" width="16.28515625" customWidth="1"/>
    <col min="3849" max="3849" width="8.140625" customWidth="1"/>
    <col min="3850" max="3854" width="11.7109375" customWidth="1"/>
    <col min="3855" max="3855" width="15.85546875" customWidth="1"/>
    <col min="3856" max="4096" width="8" customWidth="1"/>
    <col min="4097" max="4097" width="1.5703125" customWidth="1"/>
    <col min="4098" max="4098" width="48.28515625" customWidth="1"/>
    <col min="4099" max="4099" width="13.28515625" customWidth="1"/>
    <col min="4100" max="4100" width="18.28515625" customWidth="1"/>
    <col min="4101" max="4101" width="18.5703125" customWidth="1"/>
    <col min="4102" max="4102" width="12.7109375" customWidth="1"/>
    <col min="4103" max="4103" width="10.85546875" customWidth="1"/>
    <col min="4104" max="4104" width="16.28515625" customWidth="1"/>
    <col min="4105" max="4105" width="8.140625" customWidth="1"/>
    <col min="4106" max="4110" width="11.7109375" customWidth="1"/>
    <col min="4111" max="4111" width="15.85546875" customWidth="1"/>
    <col min="4112" max="4352" width="8" customWidth="1"/>
    <col min="4353" max="4353" width="1.5703125" customWidth="1"/>
    <col min="4354" max="4354" width="48.28515625" customWidth="1"/>
    <col min="4355" max="4355" width="13.28515625" customWidth="1"/>
    <col min="4356" max="4356" width="18.28515625" customWidth="1"/>
    <col min="4357" max="4357" width="18.5703125" customWidth="1"/>
    <col min="4358" max="4358" width="12.7109375" customWidth="1"/>
    <col min="4359" max="4359" width="10.85546875" customWidth="1"/>
    <col min="4360" max="4360" width="16.28515625" customWidth="1"/>
    <col min="4361" max="4361" width="8.140625" customWidth="1"/>
    <col min="4362" max="4366" width="11.7109375" customWidth="1"/>
    <col min="4367" max="4367" width="15.85546875" customWidth="1"/>
    <col min="4368" max="4608" width="8" customWidth="1"/>
    <col min="4609" max="4609" width="1.5703125" customWidth="1"/>
    <col min="4610" max="4610" width="48.28515625" customWidth="1"/>
    <col min="4611" max="4611" width="13.28515625" customWidth="1"/>
    <col min="4612" max="4612" width="18.28515625" customWidth="1"/>
    <col min="4613" max="4613" width="18.5703125" customWidth="1"/>
    <col min="4614" max="4614" width="12.7109375" customWidth="1"/>
    <col min="4615" max="4615" width="10.85546875" customWidth="1"/>
    <col min="4616" max="4616" width="16.28515625" customWidth="1"/>
    <col min="4617" max="4617" width="8.140625" customWidth="1"/>
    <col min="4618" max="4622" width="11.7109375" customWidth="1"/>
    <col min="4623" max="4623" width="15.85546875" customWidth="1"/>
    <col min="4624" max="4864" width="8" customWidth="1"/>
    <col min="4865" max="4865" width="1.5703125" customWidth="1"/>
    <col min="4866" max="4866" width="48.28515625" customWidth="1"/>
    <col min="4867" max="4867" width="13.28515625" customWidth="1"/>
    <col min="4868" max="4868" width="18.28515625" customWidth="1"/>
    <col min="4869" max="4869" width="18.5703125" customWidth="1"/>
    <col min="4870" max="4870" width="12.7109375" customWidth="1"/>
    <col min="4871" max="4871" width="10.85546875" customWidth="1"/>
    <col min="4872" max="4872" width="16.28515625" customWidth="1"/>
    <col min="4873" max="4873" width="8.140625" customWidth="1"/>
    <col min="4874" max="4878" width="11.7109375" customWidth="1"/>
    <col min="4879" max="4879" width="15.85546875" customWidth="1"/>
    <col min="4880" max="5120" width="8" customWidth="1"/>
    <col min="5121" max="5121" width="1.5703125" customWidth="1"/>
    <col min="5122" max="5122" width="48.28515625" customWidth="1"/>
    <col min="5123" max="5123" width="13.28515625" customWidth="1"/>
    <col min="5124" max="5124" width="18.28515625" customWidth="1"/>
    <col min="5125" max="5125" width="18.5703125" customWidth="1"/>
    <col min="5126" max="5126" width="12.7109375" customWidth="1"/>
    <col min="5127" max="5127" width="10.85546875" customWidth="1"/>
    <col min="5128" max="5128" width="16.28515625" customWidth="1"/>
    <col min="5129" max="5129" width="8.140625" customWidth="1"/>
    <col min="5130" max="5134" width="11.7109375" customWidth="1"/>
    <col min="5135" max="5135" width="15.85546875" customWidth="1"/>
    <col min="5136" max="5376" width="8" customWidth="1"/>
    <col min="5377" max="5377" width="1.5703125" customWidth="1"/>
    <col min="5378" max="5378" width="48.28515625" customWidth="1"/>
    <col min="5379" max="5379" width="13.28515625" customWidth="1"/>
    <col min="5380" max="5380" width="18.28515625" customWidth="1"/>
    <col min="5381" max="5381" width="18.5703125" customWidth="1"/>
    <col min="5382" max="5382" width="12.7109375" customWidth="1"/>
    <col min="5383" max="5383" width="10.85546875" customWidth="1"/>
    <col min="5384" max="5384" width="16.28515625" customWidth="1"/>
    <col min="5385" max="5385" width="8.140625" customWidth="1"/>
    <col min="5386" max="5390" width="11.7109375" customWidth="1"/>
    <col min="5391" max="5391" width="15.85546875" customWidth="1"/>
    <col min="5392" max="5632" width="8" customWidth="1"/>
    <col min="5633" max="5633" width="1.5703125" customWidth="1"/>
    <col min="5634" max="5634" width="48.28515625" customWidth="1"/>
    <col min="5635" max="5635" width="13.28515625" customWidth="1"/>
    <col min="5636" max="5636" width="18.28515625" customWidth="1"/>
    <col min="5637" max="5637" width="18.5703125" customWidth="1"/>
    <col min="5638" max="5638" width="12.7109375" customWidth="1"/>
    <col min="5639" max="5639" width="10.85546875" customWidth="1"/>
    <col min="5640" max="5640" width="16.28515625" customWidth="1"/>
    <col min="5641" max="5641" width="8.140625" customWidth="1"/>
    <col min="5642" max="5646" width="11.7109375" customWidth="1"/>
    <col min="5647" max="5647" width="15.85546875" customWidth="1"/>
    <col min="5648" max="5888" width="8" customWidth="1"/>
    <col min="5889" max="5889" width="1.5703125" customWidth="1"/>
    <col min="5890" max="5890" width="48.28515625" customWidth="1"/>
    <col min="5891" max="5891" width="13.28515625" customWidth="1"/>
    <col min="5892" max="5892" width="18.28515625" customWidth="1"/>
    <col min="5893" max="5893" width="18.5703125" customWidth="1"/>
    <col min="5894" max="5894" width="12.7109375" customWidth="1"/>
    <col min="5895" max="5895" width="10.85546875" customWidth="1"/>
    <col min="5896" max="5896" width="16.28515625" customWidth="1"/>
    <col min="5897" max="5897" width="8.140625" customWidth="1"/>
    <col min="5898" max="5902" width="11.7109375" customWidth="1"/>
    <col min="5903" max="5903" width="15.85546875" customWidth="1"/>
    <col min="5904" max="6144" width="8" customWidth="1"/>
    <col min="6145" max="6145" width="1.5703125" customWidth="1"/>
    <col min="6146" max="6146" width="48.28515625" customWidth="1"/>
    <col min="6147" max="6147" width="13.28515625" customWidth="1"/>
    <col min="6148" max="6148" width="18.28515625" customWidth="1"/>
    <col min="6149" max="6149" width="18.5703125" customWidth="1"/>
    <col min="6150" max="6150" width="12.7109375" customWidth="1"/>
    <col min="6151" max="6151" width="10.85546875" customWidth="1"/>
    <col min="6152" max="6152" width="16.28515625" customWidth="1"/>
    <col min="6153" max="6153" width="8.140625" customWidth="1"/>
    <col min="6154" max="6158" width="11.7109375" customWidth="1"/>
    <col min="6159" max="6159" width="15.85546875" customWidth="1"/>
    <col min="6160" max="6400" width="8" customWidth="1"/>
    <col min="6401" max="6401" width="1.5703125" customWidth="1"/>
    <col min="6402" max="6402" width="48.28515625" customWidth="1"/>
    <col min="6403" max="6403" width="13.28515625" customWidth="1"/>
    <col min="6404" max="6404" width="18.28515625" customWidth="1"/>
    <col min="6405" max="6405" width="18.5703125" customWidth="1"/>
    <col min="6406" max="6406" width="12.7109375" customWidth="1"/>
    <col min="6407" max="6407" width="10.85546875" customWidth="1"/>
    <col min="6408" max="6408" width="16.28515625" customWidth="1"/>
    <col min="6409" max="6409" width="8.140625" customWidth="1"/>
    <col min="6410" max="6414" width="11.7109375" customWidth="1"/>
    <col min="6415" max="6415" width="15.85546875" customWidth="1"/>
    <col min="6416" max="6656" width="8" customWidth="1"/>
    <col min="6657" max="6657" width="1.5703125" customWidth="1"/>
    <col min="6658" max="6658" width="48.28515625" customWidth="1"/>
    <col min="6659" max="6659" width="13.28515625" customWidth="1"/>
    <col min="6660" max="6660" width="18.28515625" customWidth="1"/>
    <col min="6661" max="6661" width="18.5703125" customWidth="1"/>
    <col min="6662" max="6662" width="12.7109375" customWidth="1"/>
    <col min="6663" max="6663" width="10.85546875" customWidth="1"/>
    <col min="6664" max="6664" width="16.28515625" customWidth="1"/>
    <col min="6665" max="6665" width="8.140625" customWidth="1"/>
    <col min="6666" max="6670" width="11.7109375" customWidth="1"/>
    <col min="6671" max="6671" width="15.85546875" customWidth="1"/>
    <col min="6672" max="6912" width="8" customWidth="1"/>
    <col min="6913" max="6913" width="1.5703125" customWidth="1"/>
    <col min="6914" max="6914" width="48.28515625" customWidth="1"/>
    <col min="6915" max="6915" width="13.28515625" customWidth="1"/>
    <col min="6916" max="6916" width="18.28515625" customWidth="1"/>
    <col min="6917" max="6917" width="18.5703125" customWidth="1"/>
    <col min="6918" max="6918" width="12.7109375" customWidth="1"/>
    <col min="6919" max="6919" width="10.85546875" customWidth="1"/>
    <col min="6920" max="6920" width="16.28515625" customWidth="1"/>
    <col min="6921" max="6921" width="8.140625" customWidth="1"/>
    <col min="6922" max="6926" width="11.7109375" customWidth="1"/>
    <col min="6927" max="6927" width="15.85546875" customWidth="1"/>
    <col min="6928" max="7168" width="8" customWidth="1"/>
    <col min="7169" max="7169" width="1.5703125" customWidth="1"/>
    <col min="7170" max="7170" width="48.28515625" customWidth="1"/>
    <col min="7171" max="7171" width="13.28515625" customWidth="1"/>
    <col min="7172" max="7172" width="18.28515625" customWidth="1"/>
    <col min="7173" max="7173" width="18.5703125" customWidth="1"/>
    <col min="7174" max="7174" width="12.7109375" customWidth="1"/>
    <col min="7175" max="7175" width="10.85546875" customWidth="1"/>
    <col min="7176" max="7176" width="16.28515625" customWidth="1"/>
    <col min="7177" max="7177" width="8.140625" customWidth="1"/>
    <col min="7178" max="7182" width="11.7109375" customWidth="1"/>
    <col min="7183" max="7183" width="15.85546875" customWidth="1"/>
    <col min="7184" max="7424" width="8" customWidth="1"/>
    <col min="7425" max="7425" width="1.5703125" customWidth="1"/>
    <col min="7426" max="7426" width="48.28515625" customWidth="1"/>
    <col min="7427" max="7427" width="13.28515625" customWidth="1"/>
    <col min="7428" max="7428" width="18.28515625" customWidth="1"/>
    <col min="7429" max="7429" width="18.5703125" customWidth="1"/>
    <col min="7430" max="7430" width="12.7109375" customWidth="1"/>
    <col min="7431" max="7431" width="10.85546875" customWidth="1"/>
    <col min="7432" max="7432" width="16.28515625" customWidth="1"/>
    <col min="7433" max="7433" width="8.140625" customWidth="1"/>
    <col min="7434" max="7438" width="11.7109375" customWidth="1"/>
    <col min="7439" max="7439" width="15.85546875" customWidth="1"/>
    <col min="7440" max="7680" width="8" customWidth="1"/>
    <col min="7681" max="7681" width="1.5703125" customWidth="1"/>
    <col min="7682" max="7682" width="48.28515625" customWidth="1"/>
    <col min="7683" max="7683" width="13.28515625" customWidth="1"/>
    <col min="7684" max="7684" width="18.28515625" customWidth="1"/>
    <col min="7685" max="7685" width="18.5703125" customWidth="1"/>
    <col min="7686" max="7686" width="12.7109375" customWidth="1"/>
    <col min="7687" max="7687" width="10.85546875" customWidth="1"/>
    <col min="7688" max="7688" width="16.28515625" customWidth="1"/>
    <col min="7689" max="7689" width="8.140625" customWidth="1"/>
    <col min="7690" max="7694" width="11.7109375" customWidth="1"/>
    <col min="7695" max="7695" width="15.85546875" customWidth="1"/>
    <col min="7696" max="7936" width="8" customWidth="1"/>
    <col min="7937" max="7937" width="1.5703125" customWidth="1"/>
    <col min="7938" max="7938" width="48.28515625" customWidth="1"/>
    <col min="7939" max="7939" width="13.28515625" customWidth="1"/>
    <col min="7940" max="7940" width="18.28515625" customWidth="1"/>
    <col min="7941" max="7941" width="18.5703125" customWidth="1"/>
    <col min="7942" max="7942" width="12.7109375" customWidth="1"/>
    <col min="7943" max="7943" width="10.85546875" customWidth="1"/>
    <col min="7944" max="7944" width="16.28515625" customWidth="1"/>
    <col min="7945" max="7945" width="8.140625" customWidth="1"/>
    <col min="7946" max="7950" width="11.7109375" customWidth="1"/>
    <col min="7951" max="7951" width="15.85546875" customWidth="1"/>
    <col min="7952" max="8192" width="8" customWidth="1"/>
    <col min="8193" max="8193" width="1.5703125" customWidth="1"/>
    <col min="8194" max="8194" width="48.28515625" customWidth="1"/>
    <col min="8195" max="8195" width="13.28515625" customWidth="1"/>
    <col min="8196" max="8196" width="18.28515625" customWidth="1"/>
    <col min="8197" max="8197" width="18.5703125" customWidth="1"/>
    <col min="8198" max="8198" width="12.7109375" customWidth="1"/>
    <col min="8199" max="8199" width="10.85546875" customWidth="1"/>
    <col min="8200" max="8200" width="16.28515625" customWidth="1"/>
    <col min="8201" max="8201" width="8.140625" customWidth="1"/>
    <col min="8202" max="8206" width="11.7109375" customWidth="1"/>
    <col min="8207" max="8207" width="15.85546875" customWidth="1"/>
    <col min="8208" max="8448" width="8" customWidth="1"/>
    <col min="8449" max="8449" width="1.5703125" customWidth="1"/>
    <col min="8450" max="8450" width="48.28515625" customWidth="1"/>
    <col min="8451" max="8451" width="13.28515625" customWidth="1"/>
    <col min="8452" max="8452" width="18.28515625" customWidth="1"/>
    <col min="8453" max="8453" width="18.5703125" customWidth="1"/>
    <col min="8454" max="8454" width="12.7109375" customWidth="1"/>
    <col min="8455" max="8455" width="10.85546875" customWidth="1"/>
    <col min="8456" max="8456" width="16.28515625" customWidth="1"/>
    <col min="8457" max="8457" width="8.140625" customWidth="1"/>
    <col min="8458" max="8462" width="11.7109375" customWidth="1"/>
    <col min="8463" max="8463" width="15.85546875" customWidth="1"/>
    <col min="8464" max="8704" width="8" customWidth="1"/>
    <col min="8705" max="8705" width="1.5703125" customWidth="1"/>
    <col min="8706" max="8706" width="48.28515625" customWidth="1"/>
    <col min="8707" max="8707" width="13.28515625" customWidth="1"/>
    <col min="8708" max="8708" width="18.28515625" customWidth="1"/>
    <col min="8709" max="8709" width="18.5703125" customWidth="1"/>
    <col min="8710" max="8710" width="12.7109375" customWidth="1"/>
    <col min="8711" max="8711" width="10.85546875" customWidth="1"/>
    <col min="8712" max="8712" width="16.28515625" customWidth="1"/>
    <col min="8713" max="8713" width="8.140625" customWidth="1"/>
    <col min="8714" max="8718" width="11.7109375" customWidth="1"/>
    <col min="8719" max="8719" width="15.85546875" customWidth="1"/>
    <col min="8720" max="8960" width="8" customWidth="1"/>
    <col min="8961" max="8961" width="1.5703125" customWidth="1"/>
    <col min="8962" max="8962" width="48.28515625" customWidth="1"/>
    <col min="8963" max="8963" width="13.28515625" customWidth="1"/>
    <col min="8964" max="8964" width="18.28515625" customWidth="1"/>
    <col min="8965" max="8965" width="18.5703125" customWidth="1"/>
    <col min="8966" max="8966" width="12.7109375" customWidth="1"/>
    <col min="8967" max="8967" width="10.85546875" customWidth="1"/>
    <col min="8968" max="8968" width="16.28515625" customWidth="1"/>
    <col min="8969" max="8969" width="8.140625" customWidth="1"/>
    <col min="8970" max="8974" width="11.7109375" customWidth="1"/>
    <col min="8975" max="8975" width="15.85546875" customWidth="1"/>
    <col min="8976" max="9216" width="8" customWidth="1"/>
    <col min="9217" max="9217" width="1.5703125" customWidth="1"/>
    <col min="9218" max="9218" width="48.28515625" customWidth="1"/>
    <col min="9219" max="9219" width="13.28515625" customWidth="1"/>
    <col min="9220" max="9220" width="18.28515625" customWidth="1"/>
    <col min="9221" max="9221" width="18.5703125" customWidth="1"/>
    <col min="9222" max="9222" width="12.7109375" customWidth="1"/>
    <col min="9223" max="9223" width="10.85546875" customWidth="1"/>
    <col min="9224" max="9224" width="16.28515625" customWidth="1"/>
    <col min="9225" max="9225" width="8.140625" customWidth="1"/>
    <col min="9226" max="9230" width="11.7109375" customWidth="1"/>
    <col min="9231" max="9231" width="15.85546875" customWidth="1"/>
    <col min="9232" max="9472" width="8" customWidth="1"/>
    <col min="9473" max="9473" width="1.5703125" customWidth="1"/>
    <col min="9474" max="9474" width="48.28515625" customWidth="1"/>
    <col min="9475" max="9475" width="13.28515625" customWidth="1"/>
    <col min="9476" max="9476" width="18.28515625" customWidth="1"/>
    <col min="9477" max="9477" width="18.5703125" customWidth="1"/>
    <col min="9478" max="9478" width="12.7109375" customWidth="1"/>
    <col min="9479" max="9479" width="10.85546875" customWidth="1"/>
    <col min="9480" max="9480" width="16.28515625" customWidth="1"/>
    <col min="9481" max="9481" width="8.140625" customWidth="1"/>
    <col min="9482" max="9486" width="11.7109375" customWidth="1"/>
    <col min="9487" max="9487" width="15.85546875" customWidth="1"/>
    <col min="9488" max="9728" width="8" customWidth="1"/>
    <col min="9729" max="9729" width="1.5703125" customWidth="1"/>
    <col min="9730" max="9730" width="48.28515625" customWidth="1"/>
    <col min="9731" max="9731" width="13.28515625" customWidth="1"/>
    <col min="9732" max="9732" width="18.28515625" customWidth="1"/>
    <col min="9733" max="9733" width="18.5703125" customWidth="1"/>
    <col min="9734" max="9734" width="12.7109375" customWidth="1"/>
    <col min="9735" max="9735" width="10.85546875" customWidth="1"/>
    <col min="9736" max="9736" width="16.28515625" customWidth="1"/>
    <col min="9737" max="9737" width="8.140625" customWidth="1"/>
    <col min="9738" max="9742" width="11.7109375" customWidth="1"/>
    <col min="9743" max="9743" width="15.85546875" customWidth="1"/>
    <col min="9744" max="9984" width="8" customWidth="1"/>
    <col min="9985" max="9985" width="1.5703125" customWidth="1"/>
    <col min="9986" max="9986" width="48.28515625" customWidth="1"/>
    <col min="9987" max="9987" width="13.28515625" customWidth="1"/>
    <col min="9988" max="9988" width="18.28515625" customWidth="1"/>
    <col min="9989" max="9989" width="18.5703125" customWidth="1"/>
    <col min="9990" max="9990" width="12.7109375" customWidth="1"/>
    <col min="9991" max="9991" width="10.85546875" customWidth="1"/>
    <col min="9992" max="9992" width="16.28515625" customWidth="1"/>
    <col min="9993" max="9993" width="8.140625" customWidth="1"/>
    <col min="9994" max="9998" width="11.7109375" customWidth="1"/>
    <col min="9999" max="9999" width="15.85546875" customWidth="1"/>
    <col min="10000" max="10240" width="8" customWidth="1"/>
    <col min="10241" max="10241" width="1.5703125" customWidth="1"/>
    <col min="10242" max="10242" width="48.28515625" customWidth="1"/>
    <col min="10243" max="10243" width="13.28515625" customWidth="1"/>
    <col min="10244" max="10244" width="18.28515625" customWidth="1"/>
    <col min="10245" max="10245" width="18.5703125" customWidth="1"/>
    <col min="10246" max="10246" width="12.7109375" customWidth="1"/>
    <col min="10247" max="10247" width="10.85546875" customWidth="1"/>
    <col min="10248" max="10248" width="16.28515625" customWidth="1"/>
    <col min="10249" max="10249" width="8.140625" customWidth="1"/>
    <col min="10250" max="10254" width="11.7109375" customWidth="1"/>
    <col min="10255" max="10255" width="15.85546875" customWidth="1"/>
    <col min="10256" max="10496" width="8" customWidth="1"/>
    <col min="10497" max="10497" width="1.5703125" customWidth="1"/>
    <col min="10498" max="10498" width="48.28515625" customWidth="1"/>
    <col min="10499" max="10499" width="13.28515625" customWidth="1"/>
    <col min="10500" max="10500" width="18.28515625" customWidth="1"/>
    <col min="10501" max="10501" width="18.5703125" customWidth="1"/>
    <col min="10502" max="10502" width="12.7109375" customWidth="1"/>
    <col min="10503" max="10503" width="10.85546875" customWidth="1"/>
    <col min="10504" max="10504" width="16.28515625" customWidth="1"/>
    <col min="10505" max="10505" width="8.140625" customWidth="1"/>
    <col min="10506" max="10510" width="11.7109375" customWidth="1"/>
    <col min="10511" max="10511" width="15.85546875" customWidth="1"/>
    <col min="10512" max="10752" width="8" customWidth="1"/>
    <col min="10753" max="10753" width="1.5703125" customWidth="1"/>
    <col min="10754" max="10754" width="48.28515625" customWidth="1"/>
    <col min="10755" max="10755" width="13.28515625" customWidth="1"/>
    <col min="10756" max="10756" width="18.28515625" customWidth="1"/>
    <col min="10757" max="10757" width="18.5703125" customWidth="1"/>
    <col min="10758" max="10758" width="12.7109375" customWidth="1"/>
    <col min="10759" max="10759" width="10.85546875" customWidth="1"/>
    <col min="10760" max="10760" width="16.28515625" customWidth="1"/>
    <col min="10761" max="10761" width="8.140625" customWidth="1"/>
    <col min="10762" max="10766" width="11.7109375" customWidth="1"/>
    <col min="10767" max="10767" width="15.85546875" customWidth="1"/>
    <col min="10768" max="11008" width="8" customWidth="1"/>
    <col min="11009" max="11009" width="1.5703125" customWidth="1"/>
    <col min="11010" max="11010" width="48.28515625" customWidth="1"/>
    <col min="11011" max="11011" width="13.28515625" customWidth="1"/>
    <col min="11012" max="11012" width="18.28515625" customWidth="1"/>
    <col min="11013" max="11013" width="18.5703125" customWidth="1"/>
    <col min="11014" max="11014" width="12.7109375" customWidth="1"/>
    <col min="11015" max="11015" width="10.85546875" customWidth="1"/>
    <col min="11016" max="11016" width="16.28515625" customWidth="1"/>
    <col min="11017" max="11017" width="8.140625" customWidth="1"/>
    <col min="11018" max="11022" width="11.7109375" customWidth="1"/>
    <col min="11023" max="11023" width="15.85546875" customWidth="1"/>
    <col min="11024" max="11264" width="8" customWidth="1"/>
    <col min="11265" max="11265" width="1.5703125" customWidth="1"/>
    <col min="11266" max="11266" width="48.28515625" customWidth="1"/>
    <col min="11267" max="11267" width="13.28515625" customWidth="1"/>
    <col min="11268" max="11268" width="18.28515625" customWidth="1"/>
    <col min="11269" max="11269" width="18.5703125" customWidth="1"/>
    <col min="11270" max="11270" width="12.7109375" customWidth="1"/>
    <col min="11271" max="11271" width="10.85546875" customWidth="1"/>
    <col min="11272" max="11272" width="16.28515625" customWidth="1"/>
    <col min="11273" max="11273" width="8.140625" customWidth="1"/>
    <col min="11274" max="11278" width="11.7109375" customWidth="1"/>
    <col min="11279" max="11279" width="15.85546875" customWidth="1"/>
    <col min="11280" max="11520" width="8" customWidth="1"/>
    <col min="11521" max="11521" width="1.5703125" customWidth="1"/>
    <col min="11522" max="11522" width="48.28515625" customWidth="1"/>
    <col min="11523" max="11523" width="13.28515625" customWidth="1"/>
    <col min="11524" max="11524" width="18.28515625" customWidth="1"/>
    <col min="11525" max="11525" width="18.5703125" customWidth="1"/>
    <col min="11526" max="11526" width="12.7109375" customWidth="1"/>
    <col min="11527" max="11527" width="10.85546875" customWidth="1"/>
    <col min="11528" max="11528" width="16.28515625" customWidth="1"/>
    <col min="11529" max="11529" width="8.140625" customWidth="1"/>
    <col min="11530" max="11534" width="11.7109375" customWidth="1"/>
    <col min="11535" max="11535" width="15.85546875" customWidth="1"/>
    <col min="11536" max="11776" width="8" customWidth="1"/>
    <col min="11777" max="11777" width="1.5703125" customWidth="1"/>
    <col min="11778" max="11778" width="48.28515625" customWidth="1"/>
    <col min="11779" max="11779" width="13.28515625" customWidth="1"/>
    <col min="11780" max="11780" width="18.28515625" customWidth="1"/>
    <col min="11781" max="11781" width="18.5703125" customWidth="1"/>
    <col min="11782" max="11782" width="12.7109375" customWidth="1"/>
    <col min="11783" max="11783" width="10.85546875" customWidth="1"/>
    <col min="11784" max="11784" width="16.28515625" customWidth="1"/>
    <col min="11785" max="11785" width="8.140625" customWidth="1"/>
    <col min="11786" max="11790" width="11.7109375" customWidth="1"/>
    <col min="11791" max="11791" width="15.85546875" customWidth="1"/>
    <col min="11792" max="12032" width="8" customWidth="1"/>
    <col min="12033" max="12033" width="1.5703125" customWidth="1"/>
    <col min="12034" max="12034" width="48.28515625" customWidth="1"/>
    <col min="12035" max="12035" width="13.28515625" customWidth="1"/>
    <col min="12036" max="12036" width="18.28515625" customWidth="1"/>
    <col min="12037" max="12037" width="18.5703125" customWidth="1"/>
    <col min="12038" max="12038" width="12.7109375" customWidth="1"/>
    <col min="12039" max="12039" width="10.85546875" customWidth="1"/>
    <col min="12040" max="12040" width="16.28515625" customWidth="1"/>
    <col min="12041" max="12041" width="8.140625" customWidth="1"/>
    <col min="12042" max="12046" width="11.7109375" customWidth="1"/>
    <col min="12047" max="12047" width="15.85546875" customWidth="1"/>
    <col min="12048" max="12288" width="8" customWidth="1"/>
    <col min="12289" max="12289" width="1.5703125" customWidth="1"/>
    <col min="12290" max="12290" width="48.28515625" customWidth="1"/>
    <col min="12291" max="12291" width="13.28515625" customWidth="1"/>
    <col min="12292" max="12292" width="18.28515625" customWidth="1"/>
    <col min="12293" max="12293" width="18.5703125" customWidth="1"/>
    <col min="12294" max="12294" width="12.7109375" customWidth="1"/>
    <col min="12295" max="12295" width="10.85546875" customWidth="1"/>
    <col min="12296" max="12296" width="16.28515625" customWidth="1"/>
    <col min="12297" max="12297" width="8.140625" customWidth="1"/>
    <col min="12298" max="12302" width="11.7109375" customWidth="1"/>
    <col min="12303" max="12303" width="15.85546875" customWidth="1"/>
    <col min="12304" max="12544" width="8" customWidth="1"/>
    <col min="12545" max="12545" width="1.5703125" customWidth="1"/>
    <col min="12546" max="12546" width="48.28515625" customWidth="1"/>
    <col min="12547" max="12547" width="13.28515625" customWidth="1"/>
    <col min="12548" max="12548" width="18.28515625" customWidth="1"/>
    <col min="12549" max="12549" width="18.5703125" customWidth="1"/>
    <col min="12550" max="12550" width="12.7109375" customWidth="1"/>
    <col min="12551" max="12551" width="10.85546875" customWidth="1"/>
    <col min="12552" max="12552" width="16.28515625" customWidth="1"/>
    <col min="12553" max="12553" width="8.140625" customWidth="1"/>
    <col min="12554" max="12558" width="11.7109375" customWidth="1"/>
    <col min="12559" max="12559" width="15.85546875" customWidth="1"/>
    <col min="12560" max="12800" width="8" customWidth="1"/>
    <col min="12801" max="12801" width="1.5703125" customWidth="1"/>
    <col min="12802" max="12802" width="48.28515625" customWidth="1"/>
    <col min="12803" max="12803" width="13.28515625" customWidth="1"/>
    <col min="12804" max="12804" width="18.28515625" customWidth="1"/>
    <col min="12805" max="12805" width="18.5703125" customWidth="1"/>
    <col min="12806" max="12806" width="12.7109375" customWidth="1"/>
    <col min="12807" max="12807" width="10.85546875" customWidth="1"/>
    <col min="12808" max="12808" width="16.28515625" customWidth="1"/>
    <col min="12809" max="12809" width="8.140625" customWidth="1"/>
    <col min="12810" max="12814" width="11.7109375" customWidth="1"/>
    <col min="12815" max="12815" width="15.85546875" customWidth="1"/>
    <col min="12816" max="13056" width="8" customWidth="1"/>
    <col min="13057" max="13057" width="1.5703125" customWidth="1"/>
    <col min="13058" max="13058" width="48.28515625" customWidth="1"/>
    <col min="13059" max="13059" width="13.28515625" customWidth="1"/>
    <col min="13060" max="13060" width="18.28515625" customWidth="1"/>
    <col min="13061" max="13061" width="18.5703125" customWidth="1"/>
    <col min="13062" max="13062" width="12.7109375" customWidth="1"/>
    <col min="13063" max="13063" width="10.85546875" customWidth="1"/>
    <col min="13064" max="13064" width="16.28515625" customWidth="1"/>
    <col min="13065" max="13065" width="8.140625" customWidth="1"/>
    <col min="13066" max="13070" width="11.7109375" customWidth="1"/>
    <col min="13071" max="13071" width="15.85546875" customWidth="1"/>
    <col min="13072" max="13312" width="8" customWidth="1"/>
    <col min="13313" max="13313" width="1.5703125" customWidth="1"/>
    <col min="13314" max="13314" width="48.28515625" customWidth="1"/>
    <col min="13315" max="13315" width="13.28515625" customWidth="1"/>
    <col min="13316" max="13316" width="18.28515625" customWidth="1"/>
    <col min="13317" max="13317" width="18.5703125" customWidth="1"/>
    <col min="13318" max="13318" width="12.7109375" customWidth="1"/>
    <col min="13319" max="13319" width="10.85546875" customWidth="1"/>
    <col min="13320" max="13320" width="16.28515625" customWidth="1"/>
    <col min="13321" max="13321" width="8.140625" customWidth="1"/>
    <col min="13322" max="13326" width="11.7109375" customWidth="1"/>
    <col min="13327" max="13327" width="15.85546875" customWidth="1"/>
    <col min="13328" max="13568" width="8" customWidth="1"/>
    <col min="13569" max="13569" width="1.5703125" customWidth="1"/>
    <col min="13570" max="13570" width="48.28515625" customWidth="1"/>
    <col min="13571" max="13571" width="13.28515625" customWidth="1"/>
    <col min="13572" max="13572" width="18.28515625" customWidth="1"/>
    <col min="13573" max="13573" width="18.5703125" customWidth="1"/>
    <col min="13574" max="13574" width="12.7109375" customWidth="1"/>
    <col min="13575" max="13575" width="10.85546875" customWidth="1"/>
    <col min="13576" max="13576" width="16.28515625" customWidth="1"/>
    <col min="13577" max="13577" width="8.140625" customWidth="1"/>
    <col min="13578" max="13582" width="11.7109375" customWidth="1"/>
    <col min="13583" max="13583" width="15.85546875" customWidth="1"/>
    <col min="13584" max="13824" width="8" customWidth="1"/>
    <col min="13825" max="13825" width="1.5703125" customWidth="1"/>
    <col min="13826" max="13826" width="48.28515625" customWidth="1"/>
    <col min="13827" max="13827" width="13.28515625" customWidth="1"/>
    <col min="13828" max="13828" width="18.28515625" customWidth="1"/>
    <col min="13829" max="13829" width="18.5703125" customWidth="1"/>
    <col min="13830" max="13830" width="12.7109375" customWidth="1"/>
    <col min="13831" max="13831" width="10.85546875" customWidth="1"/>
    <col min="13832" max="13832" width="16.28515625" customWidth="1"/>
    <col min="13833" max="13833" width="8.140625" customWidth="1"/>
    <col min="13834" max="13838" width="11.7109375" customWidth="1"/>
    <col min="13839" max="13839" width="15.85546875" customWidth="1"/>
    <col min="13840" max="14080" width="8" customWidth="1"/>
    <col min="14081" max="14081" width="1.5703125" customWidth="1"/>
    <col min="14082" max="14082" width="48.28515625" customWidth="1"/>
    <col min="14083" max="14083" width="13.28515625" customWidth="1"/>
    <col min="14084" max="14084" width="18.28515625" customWidth="1"/>
    <col min="14085" max="14085" width="18.5703125" customWidth="1"/>
    <col min="14086" max="14086" width="12.7109375" customWidth="1"/>
    <col min="14087" max="14087" width="10.85546875" customWidth="1"/>
    <col min="14088" max="14088" width="16.28515625" customWidth="1"/>
    <col min="14089" max="14089" width="8.140625" customWidth="1"/>
    <col min="14090" max="14094" width="11.7109375" customWidth="1"/>
    <col min="14095" max="14095" width="15.85546875" customWidth="1"/>
    <col min="14096" max="14336" width="8" customWidth="1"/>
    <col min="14337" max="14337" width="1.5703125" customWidth="1"/>
    <col min="14338" max="14338" width="48.28515625" customWidth="1"/>
    <col min="14339" max="14339" width="13.28515625" customWidth="1"/>
    <col min="14340" max="14340" width="18.28515625" customWidth="1"/>
    <col min="14341" max="14341" width="18.5703125" customWidth="1"/>
    <col min="14342" max="14342" width="12.7109375" customWidth="1"/>
    <col min="14343" max="14343" width="10.85546875" customWidth="1"/>
    <col min="14344" max="14344" width="16.28515625" customWidth="1"/>
    <col min="14345" max="14345" width="8.140625" customWidth="1"/>
    <col min="14346" max="14350" width="11.7109375" customWidth="1"/>
    <col min="14351" max="14351" width="15.85546875" customWidth="1"/>
    <col min="14352" max="14592" width="8" customWidth="1"/>
    <col min="14593" max="14593" width="1.5703125" customWidth="1"/>
    <col min="14594" max="14594" width="48.28515625" customWidth="1"/>
    <col min="14595" max="14595" width="13.28515625" customWidth="1"/>
    <col min="14596" max="14596" width="18.28515625" customWidth="1"/>
    <col min="14597" max="14597" width="18.5703125" customWidth="1"/>
    <col min="14598" max="14598" width="12.7109375" customWidth="1"/>
    <col min="14599" max="14599" width="10.85546875" customWidth="1"/>
    <col min="14600" max="14600" width="16.28515625" customWidth="1"/>
    <col min="14601" max="14601" width="8.140625" customWidth="1"/>
    <col min="14602" max="14606" width="11.7109375" customWidth="1"/>
    <col min="14607" max="14607" width="15.85546875" customWidth="1"/>
    <col min="14608" max="14848" width="8" customWidth="1"/>
    <col min="14849" max="14849" width="1.5703125" customWidth="1"/>
    <col min="14850" max="14850" width="48.28515625" customWidth="1"/>
    <col min="14851" max="14851" width="13.28515625" customWidth="1"/>
    <col min="14852" max="14852" width="18.28515625" customWidth="1"/>
    <col min="14853" max="14853" width="18.5703125" customWidth="1"/>
    <col min="14854" max="14854" width="12.7109375" customWidth="1"/>
    <col min="14855" max="14855" width="10.85546875" customWidth="1"/>
    <col min="14856" max="14856" width="16.28515625" customWidth="1"/>
    <col min="14857" max="14857" width="8.140625" customWidth="1"/>
    <col min="14858" max="14862" width="11.7109375" customWidth="1"/>
    <col min="14863" max="14863" width="15.85546875" customWidth="1"/>
    <col min="14864" max="15104" width="8" customWidth="1"/>
    <col min="15105" max="15105" width="1.5703125" customWidth="1"/>
    <col min="15106" max="15106" width="48.28515625" customWidth="1"/>
    <col min="15107" max="15107" width="13.28515625" customWidth="1"/>
    <col min="15108" max="15108" width="18.28515625" customWidth="1"/>
    <col min="15109" max="15109" width="18.5703125" customWidth="1"/>
    <col min="15110" max="15110" width="12.7109375" customWidth="1"/>
    <col min="15111" max="15111" width="10.85546875" customWidth="1"/>
    <col min="15112" max="15112" width="16.28515625" customWidth="1"/>
    <col min="15113" max="15113" width="8.140625" customWidth="1"/>
    <col min="15114" max="15118" width="11.7109375" customWidth="1"/>
    <col min="15119" max="15119" width="15.85546875" customWidth="1"/>
    <col min="15120" max="15360" width="8" customWidth="1"/>
    <col min="15361" max="15361" width="1.5703125" customWidth="1"/>
    <col min="15362" max="15362" width="48.28515625" customWidth="1"/>
    <col min="15363" max="15363" width="13.28515625" customWidth="1"/>
    <col min="15364" max="15364" width="18.28515625" customWidth="1"/>
    <col min="15365" max="15365" width="18.5703125" customWidth="1"/>
    <col min="15366" max="15366" width="12.7109375" customWidth="1"/>
    <col min="15367" max="15367" width="10.85546875" customWidth="1"/>
    <col min="15368" max="15368" width="16.28515625" customWidth="1"/>
    <col min="15369" max="15369" width="8.140625" customWidth="1"/>
    <col min="15370" max="15374" width="11.7109375" customWidth="1"/>
    <col min="15375" max="15375" width="15.85546875" customWidth="1"/>
    <col min="15376" max="15616" width="8" customWidth="1"/>
    <col min="15617" max="15617" width="1.5703125" customWidth="1"/>
    <col min="15618" max="15618" width="48.28515625" customWidth="1"/>
    <col min="15619" max="15619" width="13.28515625" customWidth="1"/>
    <col min="15620" max="15620" width="18.28515625" customWidth="1"/>
    <col min="15621" max="15621" width="18.5703125" customWidth="1"/>
    <col min="15622" max="15622" width="12.7109375" customWidth="1"/>
    <col min="15623" max="15623" width="10.85546875" customWidth="1"/>
    <col min="15624" max="15624" width="16.28515625" customWidth="1"/>
    <col min="15625" max="15625" width="8.140625" customWidth="1"/>
    <col min="15626" max="15630" width="11.7109375" customWidth="1"/>
    <col min="15631" max="15631" width="15.85546875" customWidth="1"/>
    <col min="15632" max="15872" width="8" customWidth="1"/>
    <col min="15873" max="15873" width="1.5703125" customWidth="1"/>
    <col min="15874" max="15874" width="48.28515625" customWidth="1"/>
    <col min="15875" max="15875" width="13.28515625" customWidth="1"/>
    <col min="15876" max="15876" width="18.28515625" customWidth="1"/>
    <col min="15877" max="15877" width="18.5703125" customWidth="1"/>
    <col min="15878" max="15878" width="12.7109375" customWidth="1"/>
    <col min="15879" max="15879" width="10.85546875" customWidth="1"/>
    <col min="15880" max="15880" width="16.28515625" customWidth="1"/>
    <col min="15881" max="15881" width="8.140625" customWidth="1"/>
    <col min="15882" max="15886" width="11.7109375" customWidth="1"/>
    <col min="15887" max="15887" width="15.85546875" customWidth="1"/>
    <col min="15888" max="16128" width="8" customWidth="1"/>
    <col min="16129" max="16129" width="1.5703125" customWidth="1"/>
    <col min="16130" max="16130" width="48.28515625" customWidth="1"/>
    <col min="16131" max="16131" width="13.28515625" customWidth="1"/>
    <col min="16132" max="16132" width="18.28515625" customWidth="1"/>
    <col min="16133" max="16133" width="18.5703125" customWidth="1"/>
    <col min="16134" max="16134" width="12.7109375" customWidth="1"/>
    <col min="16135" max="16135" width="10.85546875" customWidth="1"/>
    <col min="16136" max="16136" width="16.28515625" customWidth="1"/>
    <col min="16137" max="16137" width="8.140625" customWidth="1"/>
    <col min="16138" max="16142" width="11.7109375" customWidth="1"/>
    <col min="16143" max="16143" width="15.85546875" customWidth="1"/>
    <col min="16144" max="16384" width="8" customWidth="1"/>
  </cols>
  <sheetData>
    <row r="1" spans="2:15" s="98" customFormat="1" ht="18.75" customHeight="1" x14ac:dyDescent="0.25"/>
    <row r="2" spans="2:15" s="98" customFormat="1" ht="18.75" customHeight="1" x14ac:dyDescent="0.25">
      <c r="B2" s="577" t="s">
        <v>1546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</row>
    <row r="3" spans="2:15" s="98" customFormat="1" ht="6" customHeight="1" x14ac:dyDescent="0.25"/>
    <row r="4" spans="2:15" s="98" customFormat="1" ht="18.75" customHeight="1" x14ac:dyDescent="0.25">
      <c r="B4" s="149" t="s">
        <v>727</v>
      </c>
    </row>
    <row r="6" spans="2:15" ht="24.75" customHeight="1" x14ac:dyDescent="0.25">
      <c r="B6" s="150" t="s">
        <v>66</v>
      </c>
      <c r="C6" s="150" t="s">
        <v>67</v>
      </c>
      <c r="D6" s="150" t="s">
        <v>68</v>
      </c>
      <c r="E6" s="150" t="s">
        <v>9</v>
      </c>
      <c r="F6" s="150" t="s">
        <v>69</v>
      </c>
      <c r="G6" s="150" t="s">
        <v>70</v>
      </c>
      <c r="H6" s="150" t="s">
        <v>11</v>
      </c>
      <c r="I6" s="574" t="s">
        <v>71</v>
      </c>
      <c r="J6" s="572" t="s">
        <v>72</v>
      </c>
      <c r="K6" s="572" t="s">
        <v>73</v>
      </c>
      <c r="L6" s="572" t="s">
        <v>74</v>
      </c>
      <c r="M6" s="572" t="s">
        <v>75</v>
      </c>
      <c r="N6" s="572" t="s">
        <v>76</v>
      </c>
      <c r="O6" s="574" t="s">
        <v>37</v>
      </c>
    </row>
    <row r="7" spans="2:15" ht="12.75" customHeight="1" x14ac:dyDescent="0.25">
      <c r="B7" s="576" t="s">
        <v>71</v>
      </c>
      <c r="C7" s="576"/>
      <c r="D7" s="576"/>
      <c r="E7" s="576"/>
      <c r="F7" s="576"/>
      <c r="G7" s="576"/>
      <c r="H7" s="576"/>
      <c r="I7" s="575"/>
      <c r="J7" s="573"/>
      <c r="K7" s="573"/>
      <c r="L7" s="573"/>
      <c r="M7" s="573"/>
      <c r="N7" s="573"/>
      <c r="O7" s="575"/>
    </row>
    <row r="8" spans="2:15" ht="36.75" customHeight="1" x14ac:dyDescent="0.25">
      <c r="B8" s="151" t="s">
        <v>908</v>
      </c>
      <c r="C8" s="152">
        <v>411</v>
      </c>
      <c r="D8" s="153">
        <v>31</v>
      </c>
      <c r="E8" s="151" t="s">
        <v>903</v>
      </c>
      <c r="F8" s="151" t="s">
        <v>347</v>
      </c>
      <c r="G8" s="151" t="s">
        <v>351</v>
      </c>
      <c r="H8" s="151" t="s">
        <v>422</v>
      </c>
      <c r="I8" s="151" t="s">
        <v>909</v>
      </c>
      <c r="J8" s="151" t="s">
        <v>82</v>
      </c>
      <c r="K8" s="154">
        <v>34890</v>
      </c>
      <c r="L8" s="154">
        <v>18650</v>
      </c>
      <c r="M8" s="155">
        <v>9.5</v>
      </c>
      <c r="N8" s="154">
        <v>16240</v>
      </c>
      <c r="O8" s="154">
        <v>14697.2</v>
      </c>
    </row>
    <row r="9" spans="2:15" ht="12.75" hidden="1" customHeight="1" outlineLevel="1" x14ac:dyDescent="0.25">
      <c r="B9" s="570" t="s">
        <v>511</v>
      </c>
      <c r="C9" s="570"/>
      <c r="D9" s="570"/>
      <c r="E9" s="570"/>
      <c r="F9" s="570"/>
      <c r="G9" s="570"/>
      <c r="H9" s="570"/>
      <c r="I9" s="570"/>
      <c r="J9" s="570"/>
      <c r="K9" s="156"/>
      <c r="L9" s="156"/>
      <c r="M9" s="156"/>
      <c r="N9" s="154">
        <v>16240</v>
      </c>
      <c r="O9" s="154">
        <v>14697.2</v>
      </c>
    </row>
    <row r="10" spans="2:15" ht="36.75" customHeight="1" collapsed="1" x14ac:dyDescent="0.25">
      <c r="B10" s="151" t="s">
        <v>910</v>
      </c>
      <c r="C10" s="152">
        <v>414</v>
      </c>
      <c r="D10" s="153">
        <v>32</v>
      </c>
      <c r="E10" s="151" t="s">
        <v>903</v>
      </c>
      <c r="F10" s="151" t="s">
        <v>133</v>
      </c>
      <c r="G10" s="151" t="s">
        <v>137</v>
      </c>
      <c r="H10" s="151" t="s">
        <v>422</v>
      </c>
      <c r="I10" s="151" t="s">
        <v>909</v>
      </c>
      <c r="J10" s="151" t="s">
        <v>82</v>
      </c>
      <c r="K10" s="154">
        <v>28220</v>
      </c>
      <c r="L10" s="154">
        <v>14820</v>
      </c>
      <c r="M10" s="155">
        <v>12.5</v>
      </c>
      <c r="N10" s="154">
        <v>13400</v>
      </c>
      <c r="O10" s="154">
        <v>11725</v>
      </c>
    </row>
    <row r="11" spans="2:15" ht="12.75" hidden="1" customHeight="1" outlineLevel="1" x14ac:dyDescent="0.25">
      <c r="B11" s="570" t="s">
        <v>511</v>
      </c>
      <c r="C11" s="570"/>
      <c r="D11" s="570"/>
      <c r="E11" s="570"/>
      <c r="F11" s="570"/>
      <c r="G11" s="570"/>
      <c r="H11" s="570"/>
      <c r="I11" s="570"/>
      <c r="J11" s="570"/>
      <c r="K11" s="156"/>
      <c r="L11" s="156"/>
      <c r="M11" s="156"/>
      <c r="N11" s="154">
        <v>13400</v>
      </c>
      <c r="O11" s="154">
        <v>11725</v>
      </c>
    </row>
    <row r="12" spans="2:15" ht="36.75" customHeight="1" collapsed="1" x14ac:dyDescent="0.25">
      <c r="B12" s="151" t="s">
        <v>911</v>
      </c>
      <c r="C12" s="152">
        <v>415</v>
      </c>
      <c r="D12" s="153">
        <v>34</v>
      </c>
      <c r="E12" s="151" t="s">
        <v>903</v>
      </c>
      <c r="F12" s="151" t="s">
        <v>151</v>
      </c>
      <c r="G12" s="151" t="s">
        <v>155</v>
      </c>
      <c r="H12" s="151" t="s">
        <v>422</v>
      </c>
      <c r="I12" s="151" t="s">
        <v>909</v>
      </c>
      <c r="J12" s="151" t="s">
        <v>82</v>
      </c>
      <c r="K12" s="154">
        <v>28150</v>
      </c>
      <c r="L12" s="154">
        <v>14910</v>
      </c>
      <c r="M12" s="155">
        <v>8.5</v>
      </c>
      <c r="N12" s="154">
        <v>13240</v>
      </c>
      <c r="O12" s="154">
        <v>12114.6</v>
      </c>
    </row>
    <row r="13" spans="2:15" ht="12.75" hidden="1" customHeight="1" outlineLevel="1" x14ac:dyDescent="0.25">
      <c r="B13" s="570" t="s">
        <v>511</v>
      </c>
      <c r="C13" s="570"/>
      <c r="D13" s="570"/>
      <c r="E13" s="570"/>
      <c r="F13" s="570"/>
      <c r="G13" s="570"/>
      <c r="H13" s="570"/>
      <c r="I13" s="570"/>
      <c r="J13" s="570"/>
      <c r="K13" s="156"/>
      <c r="L13" s="156"/>
      <c r="M13" s="156"/>
      <c r="N13" s="154">
        <v>13240</v>
      </c>
      <c r="O13" s="154">
        <v>12114.6</v>
      </c>
    </row>
    <row r="14" spans="2:15" ht="36.75" customHeight="1" collapsed="1" x14ac:dyDescent="0.25">
      <c r="B14" s="151" t="s">
        <v>912</v>
      </c>
      <c r="C14" s="152">
        <v>418</v>
      </c>
      <c r="D14" s="153">
        <v>33</v>
      </c>
      <c r="E14" s="151" t="s">
        <v>903</v>
      </c>
      <c r="F14" s="151" t="s">
        <v>160</v>
      </c>
      <c r="G14" s="151" t="s">
        <v>164</v>
      </c>
      <c r="H14" s="151" t="s">
        <v>422</v>
      </c>
      <c r="I14" s="151" t="s">
        <v>909</v>
      </c>
      <c r="J14" s="151" t="s">
        <v>82</v>
      </c>
      <c r="K14" s="154">
        <v>37170</v>
      </c>
      <c r="L14" s="154">
        <v>23840</v>
      </c>
      <c r="M14" s="155">
        <v>13.5</v>
      </c>
      <c r="N14" s="154">
        <v>13330</v>
      </c>
      <c r="O14" s="154">
        <v>11530.4</v>
      </c>
    </row>
    <row r="15" spans="2:15" ht="12.75" hidden="1" customHeight="1" outlineLevel="1" x14ac:dyDescent="0.25">
      <c r="B15" s="570" t="s">
        <v>511</v>
      </c>
      <c r="C15" s="570"/>
      <c r="D15" s="570"/>
      <c r="E15" s="570"/>
      <c r="F15" s="570"/>
      <c r="G15" s="570"/>
      <c r="H15" s="570"/>
      <c r="I15" s="570"/>
      <c r="J15" s="570"/>
      <c r="K15" s="156"/>
      <c r="L15" s="156"/>
      <c r="M15" s="156"/>
      <c r="N15" s="154">
        <v>13330</v>
      </c>
      <c r="O15" s="154">
        <v>11530.4</v>
      </c>
    </row>
    <row r="16" spans="2:15" ht="36.75" customHeight="1" collapsed="1" x14ac:dyDescent="0.25">
      <c r="B16" s="151" t="s">
        <v>913</v>
      </c>
      <c r="C16" s="152">
        <v>420</v>
      </c>
      <c r="D16" s="151" t="s">
        <v>902</v>
      </c>
      <c r="E16" s="151" t="s">
        <v>914</v>
      </c>
      <c r="F16" s="151" t="s">
        <v>762</v>
      </c>
      <c r="G16" s="151" t="s">
        <v>763</v>
      </c>
      <c r="H16" s="153">
        <v>16</v>
      </c>
      <c r="I16" s="151" t="s">
        <v>909</v>
      </c>
      <c r="J16" s="151" t="s">
        <v>82</v>
      </c>
      <c r="K16" s="154">
        <v>8910</v>
      </c>
      <c r="L16" s="154">
        <v>4610</v>
      </c>
      <c r="M16" s="155">
        <v>27.5</v>
      </c>
      <c r="N16" s="154">
        <v>4300</v>
      </c>
      <c r="O16" s="154">
        <v>3117.5</v>
      </c>
    </row>
    <row r="17" spans="2:15" ht="12.75" hidden="1" customHeight="1" outlineLevel="1" x14ac:dyDescent="0.25">
      <c r="B17" s="570" t="s">
        <v>511</v>
      </c>
      <c r="C17" s="570"/>
      <c r="D17" s="570"/>
      <c r="E17" s="570"/>
      <c r="F17" s="570"/>
      <c r="G17" s="570"/>
      <c r="H17" s="570"/>
      <c r="I17" s="570"/>
      <c r="J17" s="570"/>
      <c r="K17" s="156"/>
      <c r="L17" s="156"/>
      <c r="M17" s="156"/>
      <c r="N17" s="154">
        <v>4300</v>
      </c>
      <c r="O17" s="154">
        <v>3117.5</v>
      </c>
    </row>
    <row r="18" spans="2:15" ht="36.75" customHeight="1" collapsed="1" x14ac:dyDescent="0.25">
      <c r="B18" s="151" t="s">
        <v>953</v>
      </c>
      <c r="C18" s="152">
        <v>421</v>
      </c>
      <c r="D18" s="153">
        <v>35</v>
      </c>
      <c r="E18" s="151" t="s">
        <v>903</v>
      </c>
      <c r="F18" s="151" t="s">
        <v>212</v>
      </c>
      <c r="G18" s="151" t="s">
        <v>216</v>
      </c>
      <c r="H18" s="151" t="s">
        <v>422</v>
      </c>
      <c r="I18" s="151" t="s">
        <v>909</v>
      </c>
      <c r="J18" s="151" t="s">
        <v>82</v>
      </c>
      <c r="K18" s="154">
        <v>28520</v>
      </c>
      <c r="L18" s="154">
        <v>13780</v>
      </c>
      <c r="M18" s="155">
        <v>23.5</v>
      </c>
      <c r="N18" s="154">
        <v>14740</v>
      </c>
      <c r="O18" s="154">
        <v>11276.1</v>
      </c>
    </row>
    <row r="19" spans="2:15" ht="12.75" hidden="1" customHeight="1" outlineLevel="1" x14ac:dyDescent="0.25">
      <c r="B19" s="570" t="s">
        <v>511</v>
      </c>
      <c r="C19" s="570"/>
      <c r="D19" s="570"/>
      <c r="E19" s="570"/>
      <c r="F19" s="570"/>
      <c r="G19" s="570"/>
      <c r="H19" s="570"/>
      <c r="I19" s="570"/>
      <c r="J19" s="570"/>
      <c r="K19" s="156"/>
      <c r="L19" s="156"/>
      <c r="M19" s="156"/>
      <c r="N19" s="154">
        <v>14740</v>
      </c>
      <c r="O19" s="154">
        <v>11276.1</v>
      </c>
    </row>
    <row r="20" spans="2:15" ht="36.75" customHeight="1" collapsed="1" x14ac:dyDescent="0.25">
      <c r="B20" s="151" t="s">
        <v>954</v>
      </c>
      <c r="C20" s="152">
        <v>422</v>
      </c>
      <c r="D20" s="151" t="s">
        <v>902</v>
      </c>
      <c r="E20" s="151" t="s">
        <v>914</v>
      </c>
      <c r="F20" s="151" t="s">
        <v>737</v>
      </c>
      <c r="G20" s="151" t="s">
        <v>738</v>
      </c>
      <c r="H20" s="153">
        <v>16</v>
      </c>
      <c r="I20" s="151" t="s">
        <v>909</v>
      </c>
      <c r="J20" s="151" t="s">
        <v>82</v>
      </c>
      <c r="K20" s="154">
        <v>8780</v>
      </c>
      <c r="L20" s="154">
        <v>4590</v>
      </c>
      <c r="M20" s="155">
        <v>17.5</v>
      </c>
      <c r="N20" s="154">
        <v>4190</v>
      </c>
      <c r="O20" s="154">
        <v>3456.7</v>
      </c>
    </row>
    <row r="21" spans="2:15" ht="12.75" hidden="1" customHeight="1" outlineLevel="1" x14ac:dyDescent="0.25">
      <c r="B21" s="570" t="s">
        <v>511</v>
      </c>
      <c r="C21" s="570"/>
      <c r="D21" s="570"/>
      <c r="E21" s="570"/>
      <c r="F21" s="570"/>
      <c r="G21" s="570"/>
      <c r="H21" s="570"/>
      <c r="I21" s="570"/>
      <c r="J21" s="570"/>
      <c r="K21" s="156"/>
      <c r="L21" s="156"/>
      <c r="M21" s="156"/>
      <c r="N21" s="154">
        <v>4190</v>
      </c>
      <c r="O21" s="154">
        <v>3456.7</v>
      </c>
    </row>
    <row r="22" spans="2:15" ht="36.75" customHeight="1" collapsed="1" x14ac:dyDescent="0.25">
      <c r="B22" s="151" t="s">
        <v>955</v>
      </c>
      <c r="C22" s="152">
        <v>423</v>
      </c>
      <c r="D22" s="153">
        <v>36</v>
      </c>
      <c r="E22" s="151" t="s">
        <v>903</v>
      </c>
      <c r="F22" s="151" t="s">
        <v>1253</v>
      </c>
      <c r="G22" s="151" t="s">
        <v>270</v>
      </c>
      <c r="H22" s="151" t="s">
        <v>422</v>
      </c>
      <c r="I22" s="151" t="s">
        <v>909</v>
      </c>
      <c r="J22" s="151" t="s">
        <v>82</v>
      </c>
      <c r="K22" s="154">
        <v>28660</v>
      </c>
      <c r="L22" s="154">
        <v>14850</v>
      </c>
      <c r="M22" s="155">
        <v>20.5</v>
      </c>
      <c r="N22" s="154">
        <v>13810</v>
      </c>
      <c r="O22" s="154">
        <v>10978.9</v>
      </c>
    </row>
    <row r="23" spans="2:15" ht="12.75" hidden="1" customHeight="1" outlineLevel="1" x14ac:dyDescent="0.25">
      <c r="B23" s="570" t="s">
        <v>511</v>
      </c>
      <c r="C23" s="570"/>
      <c r="D23" s="570"/>
      <c r="E23" s="570"/>
      <c r="F23" s="570"/>
      <c r="G23" s="570"/>
      <c r="H23" s="570"/>
      <c r="I23" s="570"/>
      <c r="J23" s="570"/>
      <c r="K23" s="156"/>
      <c r="L23" s="156"/>
      <c r="M23" s="156"/>
      <c r="N23" s="154">
        <v>13810</v>
      </c>
      <c r="O23" s="154">
        <v>10978.9</v>
      </c>
    </row>
    <row r="24" spans="2:15" ht="36.75" customHeight="1" collapsed="1" x14ac:dyDescent="0.25">
      <c r="B24" s="151" t="s">
        <v>956</v>
      </c>
      <c r="C24" s="152">
        <v>424</v>
      </c>
      <c r="D24" s="153">
        <v>37</v>
      </c>
      <c r="E24" s="151" t="s">
        <v>903</v>
      </c>
      <c r="F24" s="151" t="s">
        <v>272</v>
      </c>
      <c r="G24" s="151" t="s">
        <v>276</v>
      </c>
      <c r="H24" s="151" t="s">
        <v>957</v>
      </c>
      <c r="I24" s="151" t="s">
        <v>909</v>
      </c>
      <c r="J24" s="151" t="s">
        <v>82</v>
      </c>
      <c r="K24" s="154">
        <v>28160</v>
      </c>
      <c r="L24" s="154">
        <v>14620</v>
      </c>
      <c r="M24" s="155">
        <v>13.5</v>
      </c>
      <c r="N24" s="154">
        <v>13540</v>
      </c>
      <c r="O24" s="154">
        <v>11712.1</v>
      </c>
    </row>
    <row r="25" spans="2:15" ht="12.75" hidden="1" customHeight="1" outlineLevel="1" x14ac:dyDescent="0.25">
      <c r="B25" s="570" t="s">
        <v>511</v>
      </c>
      <c r="C25" s="570"/>
      <c r="D25" s="570"/>
      <c r="E25" s="570"/>
      <c r="F25" s="570"/>
      <c r="G25" s="570"/>
      <c r="H25" s="570"/>
      <c r="I25" s="570"/>
      <c r="J25" s="570"/>
      <c r="K25" s="156"/>
      <c r="L25" s="156"/>
      <c r="M25" s="156"/>
      <c r="N25" s="154">
        <v>13540</v>
      </c>
      <c r="O25" s="154">
        <v>11712.1</v>
      </c>
    </row>
    <row r="26" spans="2:15" ht="36.75" customHeight="1" collapsed="1" x14ac:dyDescent="0.25">
      <c r="B26" s="151" t="s">
        <v>958</v>
      </c>
      <c r="C26" s="152">
        <v>426</v>
      </c>
      <c r="D26" s="151" t="s">
        <v>902</v>
      </c>
      <c r="E26" s="151" t="s">
        <v>914</v>
      </c>
      <c r="F26" s="151" t="s">
        <v>762</v>
      </c>
      <c r="G26" s="151" t="s">
        <v>763</v>
      </c>
      <c r="H26" s="153">
        <v>16</v>
      </c>
      <c r="I26" s="151" t="s">
        <v>909</v>
      </c>
      <c r="J26" s="151" t="s">
        <v>82</v>
      </c>
      <c r="K26" s="154">
        <v>9430</v>
      </c>
      <c r="L26" s="154">
        <v>4590</v>
      </c>
      <c r="M26" s="155">
        <v>20.5</v>
      </c>
      <c r="N26" s="154">
        <v>4840</v>
      </c>
      <c r="O26" s="154">
        <v>3847.8</v>
      </c>
    </row>
    <row r="27" spans="2:15" ht="12.75" hidden="1" customHeight="1" outlineLevel="1" x14ac:dyDescent="0.25">
      <c r="B27" s="570" t="s">
        <v>511</v>
      </c>
      <c r="C27" s="570"/>
      <c r="D27" s="570"/>
      <c r="E27" s="570"/>
      <c r="F27" s="570"/>
      <c r="G27" s="570"/>
      <c r="H27" s="570"/>
      <c r="I27" s="570"/>
      <c r="J27" s="570"/>
      <c r="K27" s="156"/>
      <c r="L27" s="156"/>
      <c r="M27" s="156"/>
      <c r="N27" s="154">
        <v>4840</v>
      </c>
      <c r="O27" s="154">
        <v>3847.8</v>
      </c>
    </row>
    <row r="28" spans="2:15" ht="36.75" customHeight="1" collapsed="1" x14ac:dyDescent="0.25">
      <c r="B28" s="151" t="s">
        <v>959</v>
      </c>
      <c r="C28" s="152">
        <v>425</v>
      </c>
      <c r="D28" s="153">
        <v>38</v>
      </c>
      <c r="E28" s="151" t="s">
        <v>903</v>
      </c>
      <c r="F28" s="151" t="s">
        <v>239</v>
      </c>
      <c r="G28" s="151" t="s">
        <v>243</v>
      </c>
      <c r="H28" s="151" t="s">
        <v>422</v>
      </c>
      <c r="I28" s="151" t="s">
        <v>909</v>
      </c>
      <c r="J28" s="151" t="s">
        <v>82</v>
      </c>
      <c r="K28" s="154">
        <v>28330</v>
      </c>
      <c r="L28" s="154">
        <v>14590</v>
      </c>
      <c r="M28" s="155">
        <v>10.5</v>
      </c>
      <c r="N28" s="154">
        <v>13740</v>
      </c>
      <c r="O28" s="154">
        <v>12297.3</v>
      </c>
    </row>
    <row r="29" spans="2:15" ht="12.75" hidden="1" customHeight="1" outlineLevel="1" x14ac:dyDescent="0.25">
      <c r="B29" s="570" t="s">
        <v>511</v>
      </c>
      <c r="C29" s="570"/>
      <c r="D29" s="570"/>
      <c r="E29" s="570"/>
      <c r="F29" s="570"/>
      <c r="G29" s="570"/>
      <c r="H29" s="570"/>
      <c r="I29" s="570"/>
      <c r="J29" s="570"/>
      <c r="K29" s="156"/>
      <c r="L29" s="156"/>
      <c r="M29" s="156"/>
      <c r="N29" s="154">
        <v>13740</v>
      </c>
      <c r="O29" s="154">
        <v>12297.3</v>
      </c>
    </row>
    <row r="30" spans="2:15" ht="36.75" customHeight="1" collapsed="1" x14ac:dyDescent="0.25">
      <c r="B30" s="151" t="s">
        <v>960</v>
      </c>
      <c r="C30" s="152">
        <v>427</v>
      </c>
      <c r="D30" s="151" t="s">
        <v>902</v>
      </c>
      <c r="E30" s="151" t="s">
        <v>914</v>
      </c>
      <c r="F30" s="151" t="s">
        <v>737</v>
      </c>
      <c r="G30" s="151" t="s">
        <v>738</v>
      </c>
      <c r="H30" s="153">
        <v>16</v>
      </c>
      <c r="I30" s="151" t="s">
        <v>909</v>
      </c>
      <c r="J30" s="151" t="s">
        <v>82</v>
      </c>
      <c r="K30" s="154">
        <v>9160</v>
      </c>
      <c r="L30" s="154">
        <v>4560</v>
      </c>
      <c r="M30" s="155">
        <v>18.5</v>
      </c>
      <c r="N30" s="154">
        <v>4600</v>
      </c>
      <c r="O30" s="154">
        <v>3749</v>
      </c>
    </row>
    <row r="31" spans="2:15" ht="12.75" hidden="1" customHeight="1" outlineLevel="1" x14ac:dyDescent="0.25">
      <c r="B31" s="570" t="s">
        <v>511</v>
      </c>
      <c r="C31" s="570"/>
      <c r="D31" s="570"/>
      <c r="E31" s="570"/>
      <c r="F31" s="570"/>
      <c r="G31" s="570"/>
      <c r="H31" s="570"/>
      <c r="I31" s="570"/>
      <c r="J31" s="570"/>
      <c r="K31" s="156"/>
      <c r="L31" s="156"/>
      <c r="M31" s="156"/>
      <c r="N31" s="154">
        <v>4600</v>
      </c>
      <c r="O31" s="154">
        <v>3749</v>
      </c>
    </row>
    <row r="32" spans="2:15" ht="36.75" customHeight="1" collapsed="1" x14ac:dyDescent="0.25">
      <c r="B32" s="151" t="s">
        <v>964</v>
      </c>
      <c r="C32" s="152">
        <v>429</v>
      </c>
      <c r="D32" s="153">
        <v>39</v>
      </c>
      <c r="E32" s="151" t="s">
        <v>903</v>
      </c>
      <c r="F32" s="151" t="s">
        <v>1151</v>
      </c>
      <c r="G32" s="151" t="s">
        <v>145</v>
      </c>
      <c r="H32" s="151" t="s">
        <v>422</v>
      </c>
      <c r="I32" s="151" t="s">
        <v>909</v>
      </c>
      <c r="J32" s="151" t="s">
        <v>82</v>
      </c>
      <c r="K32" s="154">
        <v>29140</v>
      </c>
      <c r="L32" s="154">
        <v>15600</v>
      </c>
      <c r="M32" s="155">
        <v>9</v>
      </c>
      <c r="N32" s="154">
        <v>13540</v>
      </c>
      <c r="O32" s="154">
        <v>12321.4</v>
      </c>
    </row>
    <row r="33" spans="2:15" ht="12.75" hidden="1" customHeight="1" outlineLevel="1" x14ac:dyDescent="0.25">
      <c r="B33" s="570" t="s">
        <v>550</v>
      </c>
      <c r="C33" s="570"/>
      <c r="D33" s="570"/>
      <c r="E33" s="570"/>
      <c r="F33" s="570"/>
      <c r="G33" s="570"/>
      <c r="H33" s="570"/>
      <c r="I33" s="570"/>
      <c r="J33" s="570"/>
      <c r="K33" s="156"/>
      <c r="L33" s="156"/>
      <c r="M33" s="156"/>
      <c r="N33" s="154">
        <v>13540</v>
      </c>
      <c r="O33" s="154">
        <v>12321.4</v>
      </c>
    </row>
    <row r="34" spans="2:15" ht="36.75" customHeight="1" collapsed="1" x14ac:dyDescent="0.25">
      <c r="B34" s="151" t="s">
        <v>962</v>
      </c>
      <c r="C34" s="152">
        <v>430</v>
      </c>
      <c r="D34" s="153">
        <v>41</v>
      </c>
      <c r="E34" s="151" t="s">
        <v>903</v>
      </c>
      <c r="F34" s="151" t="s">
        <v>335</v>
      </c>
      <c r="G34" s="151" t="s">
        <v>339</v>
      </c>
      <c r="H34" s="151" t="s">
        <v>422</v>
      </c>
      <c r="I34" s="151" t="s">
        <v>909</v>
      </c>
      <c r="J34" s="151" t="s">
        <v>82</v>
      </c>
      <c r="K34" s="154">
        <v>28710</v>
      </c>
      <c r="L34" s="154">
        <v>14780</v>
      </c>
      <c r="M34" s="155">
        <v>20</v>
      </c>
      <c r="N34" s="154">
        <v>13930</v>
      </c>
      <c r="O34" s="154">
        <v>11144</v>
      </c>
    </row>
    <row r="35" spans="2:15" ht="12.75" hidden="1" customHeight="1" outlineLevel="1" x14ac:dyDescent="0.25">
      <c r="B35" s="570" t="s">
        <v>511</v>
      </c>
      <c r="C35" s="570"/>
      <c r="D35" s="570"/>
      <c r="E35" s="570"/>
      <c r="F35" s="570"/>
      <c r="G35" s="570"/>
      <c r="H35" s="570"/>
      <c r="I35" s="570"/>
      <c r="J35" s="570"/>
      <c r="K35" s="156"/>
      <c r="L35" s="156"/>
      <c r="M35" s="156"/>
      <c r="N35" s="154">
        <v>13930</v>
      </c>
      <c r="O35" s="154">
        <v>11144</v>
      </c>
    </row>
    <row r="36" spans="2:15" ht="36.75" customHeight="1" collapsed="1" x14ac:dyDescent="0.25">
      <c r="B36" s="151" t="s">
        <v>961</v>
      </c>
      <c r="C36" s="152">
        <v>428</v>
      </c>
      <c r="D36" s="153">
        <v>40</v>
      </c>
      <c r="E36" s="151" t="s">
        <v>903</v>
      </c>
      <c r="F36" s="151" t="s">
        <v>1461</v>
      </c>
      <c r="G36" s="151" t="s">
        <v>149</v>
      </c>
      <c r="H36" s="151" t="s">
        <v>422</v>
      </c>
      <c r="I36" s="151" t="s">
        <v>909</v>
      </c>
      <c r="J36" s="151" t="s">
        <v>82</v>
      </c>
      <c r="K36" s="154">
        <v>28610</v>
      </c>
      <c r="L36" s="154">
        <v>14940</v>
      </c>
      <c r="M36" s="155">
        <v>9</v>
      </c>
      <c r="N36" s="154">
        <v>13670</v>
      </c>
      <c r="O36" s="154">
        <v>12439.7</v>
      </c>
    </row>
    <row r="37" spans="2:15" ht="12.75" hidden="1" customHeight="1" outlineLevel="1" x14ac:dyDescent="0.25">
      <c r="B37" s="570" t="s">
        <v>550</v>
      </c>
      <c r="C37" s="570"/>
      <c r="D37" s="570"/>
      <c r="E37" s="570"/>
      <c r="F37" s="570"/>
      <c r="G37" s="570"/>
      <c r="H37" s="570"/>
      <c r="I37" s="570"/>
      <c r="J37" s="570"/>
      <c r="K37" s="156"/>
      <c r="L37" s="156"/>
      <c r="M37" s="156"/>
      <c r="N37" s="154">
        <v>13670</v>
      </c>
      <c r="O37" s="154">
        <v>12439.7</v>
      </c>
    </row>
    <row r="38" spans="2:15" ht="36.75" customHeight="1" collapsed="1" x14ac:dyDescent="0.25">
      <c r="B38" s="151" t="s">
        <v>963</v>
      </c>
      <c r="C38" s="152">
        <v>431</v>
      </c>
      <c r="D38" s="151" t="s">
        <v>902</v>
      </c>
      <c r="E38" s="151" t="s">
        <v>914</v>
      </c>
      <c r="F38" s="151" t="s">
        <v>762</v>
      </c>
      <c r="G38" s="151" t="s">
        <v>763</v>
      </c>
      <c r="H38" s="153">
        <v>16</v>
      </c>
      <c r="I38" s="151" t="s">
        <v>909</v>
      </c>
      <c r="J38" s="151" t="s">
        <v>82</v>
      </c>
      <c r="K38" s="154">
        <v>8810</v>
      </c>
      <c r="L38" s="154">
        <v>4590</v>
      </c>
      <c r="M38" s="155">
        <v>20.5</v>
      </c>
      <c r="N38" s="154">
        <v>4220</v>
      </c>
      <c r="O38" s="154">
        <v>3354.9</v>
      </c>
    </row>
    <row r="39" spans="2:15" ht="12.75" hidden="1" customHeight="1" outlineLevel="1" x14ac:dyDescent="0.25">
      <c r="B39" s="570" t="s">
        <v>511</v>
      </c>
      <c r="C39" s="570"/>
      <c r="D39" s="570"/>
      <c r="E39" s="570"/>
      <c r="F39" s="570"/>
      <c r="G39" s="570"/>
      <c r="H39" s="570"/>
      <c r="I39" s="570"/>
      <c r="J39" s="570"/>
      <c r="K39" s="156"/>
      <c r="L39" s="156"/>
      <c r="M39" s="156"/>
      <c r="N39" s="154">
        <v>4220</v>
      </c>
      <c r="O39" s="154">
        <v>3354.9</v>
      </c>
    </row>
    <row r="40" spans="2:15" ht="36.75" customHeight="1" collapsed="1" x14ac:dyDescent="0.25">
      <c r="B40" s="151" t="s">
        <v>965</v>
      </c>
      <c r="C40" s="152">
        <v>432</v>
      </c>
      <c r="D40" s="153">
        <v>42</v>
      </c>
      <c r="E40" s="151" t="s">
        <v>903</v>
      </c>
      <c r="F40" s="151" t="s">
        <v>121</v>
      </c>
      <c r="G40" s="151" t="s">
        <v>125</v>
      </c>
      <c r="H40" s="151" t="s">
        <v>422</v>
      </c>
      <c r="I40" s="151" t="s">
        <v>909</v>
      </c>
      <c r="J40" s="151" t="s">
        <v>82</v>
      </c>
      <c r="K40" s="154">
        <v>28150</v>
      </c>
      <c r="L40" s="154">
        <v>14560</v>
      </c>
      <c r="M40" s="155">
        <v>17.5</v>
      </c>
      <c r="N40" s="154">
        <v>13590</v>
      </c>
      <c r="O40" s="154">
        <v>11211.7</v>
      </c>
    </row>
    <row r="41" spans="2:15" ht="12.75" hidden="1" customHeight="1" outlineLevel="1" x14ac:dyDescent="0.25">
      <c r="B41" s="570" t="s">
        <v>511</v>
      </c>
      <c r="C41" s="570"/>
      <c r="D41" s="570"/>
      <c r="E41" s="570"/>
      <c r="F41" s="570"/>
      <c r="G41" s="570"/>
      <c r="H41" s="570"/>
      <c r="I41" s="570"/>
      <c r="J41" s="570"/>
      <c r="K41" s="156"/>
      <c r="L41" s="156"/>
      <c r="M41" s="156"/>
      <c r="N41" s="154">
        <v>13590</v>
      </c>
      <c r="O41" s="154">
        <v>11211.7</v>
      </c>
    </row>
    <row r="42" spans="2:15" ht="36.75" customHeight="1" collapsed="1" x14ac:dyDescent="0.25">
      <c r="B42" s="151" t="s">
        <v>966</v>
      </c>
      <c r="C42" s="152">
        <v>433</v>
      </c>
      <c r="D42" s="151" t="s">
        <v>902</v>
      </c>
      <c r="E42" s="151" t="s">
        <v>903</v>
      </c>
      <c r="F42" s="151" t="s">
        <v>234</v>
      </c>
      <c r="G42" s="151" t="s">
        <v>238</v>
      </c>
      <c r="H42" s="151" t="s">
        <v>967</v>
      </c>
      <c r="I42" s="151" t="s">
        <v>909</v>
      </c>
      <c r="J42" s="151" t="s">
        <v>82</v>
      </c>
      <c r="K42" s="154">
        <v>28620</v>
      </c>
      <c r="L42" s="154">
        <v>15420</v>
      </c>
      <c r="M42" s="155">
        <v>19.5</v>
      </c>
      <c r="N42" s="154">
        <v>13200</v>
      </c>
      <c r="O42" s="154">
        <v>10626</v>
      </c>
    </row>
    <row r="43" spans="2:15" ht="12.75" hidden="1" customHeight="1" outlineLevel="1" x14ac:dyDescent="0.25">
      <c r="B43" s="570" t="s">
        <v>511</v>
      </c>
      <c r="C43" s="570"/>
      <c r="D43" s="570"/>
      <c r="E43" s="570"/>
      <c r="F43" s="570"/>
      <c r="G43" s="570"/>
      <c r="H43" s="570"/>
      <c r="I43" s="570"/>
      <c r="J43" s="570"/>
      <c r="K43" s="156"/>
      <c r="L43" s="156"/>
      <c r="M43" s="156"/>
      <c r="N43" s="154">
        <v>13200</v>
      </c>
      <c r="O43" s="154">
        <v>10626</v>
      </c>
    </row>
    <row r="44" spans="2:15" ht="36.75" customHeight="1" collapsed="1" x14ac:dyDescent="0.25">
      <c r="B44" s="151" t="s">
        <v>968</v>
      </c>
      <c r="C44" s="152">
        <v>434</v>
      </c>
      <c r="D44" s="151" t="s">
        <v>902</v>
      </c>
      <c r="E44" s="151" t="s">
        <v>903</v>
      </c>
      <c r="F44" s="151" t="s">
        <v>329</v>
      </c>
      <c r="G44" s="151" t="s">
        <v>333</v>
      </c>
      <c r="H44" s="153">
        <v>43</v>
      </c>
      <c r="I44" s="151" t="s">
        <v>916</v>
      </c>
      <c r="J44" s="151" t="s">
        <v>82</v>
      </c>
      <c r="K44" s="154">
        <v>27970</v>
      </c>
      <c r="L44" s="154">
        <v>14950</v>
      </c>
      <c r="M44" s="155">
        <v>14.5</v>
      </c>
      <c r="N44" s="154">
        <v>13020</v>
      </c>
      <c r="O44" s="154">
        <v>11132.1</v>
      </c>
    </row>
    <row r="45" spans="2:15" ht="12.75" hidden="1" customHeight="1" outlineLevel="1" x14ac:dyDescent="0.25">
      <c r="B45" s="570" t="s">
        <v>550</v>
      </c>
      <c r="C45" s="570"/>
      <c r="D45" s="570"/>
      <c r="E45" s="570"/>
      <c r="F45" s="570"/>
      <c r="G45" s="570"/>
      <c r="H45" s="570"/>
      <c r="I45" s="570"/>
      <c r="J45" s="570"/>
      <c r="K45" s="156"/>
      <c r="L45" s="156"/>
      <c r="M45" s="156"/>
      <c r="N45" s="154">
        <v>13020</v>
      </c>
      <c r="O45" s="154">
        <v>11132.1</v>
      </c>
    </row>
    <row r="46" spans="2:15" ht="36.75" customHeight="1" collapsed="1" x14ac:dyDescent="0.25">
      <c r="B46" s="151" t="s">
        <v>974</v>
      </c>
      <c r="C46" s="152">
        <v>437</v>
      </c>
      <c r="D46" s="151" t="s">
        <v>970</v>
      </c>
      <c r="E46" s="151" t="s">
        <v>903</v>
      </c>
      <c r="F46" s="151" t="s">
        <v>1152</v>
      </c>
      <c r="G46" s="151" t="s">
        <v>119</v>
      </c>
      <c r="H46" s="153">
        <v>46</v>
      </c>
      <c r="I46" s="151" t="s">
        <v>909</v>
      </c>
      <c r="J46" s="151" t="s">
        <v>82</v>
      </c>
      <c r="K46" s="154">
        <v>34940</v>
      </c>
      <c r="L46" s="154">
        <v>27670</v>
      </c>
      <c r="M46" s="155">
        <v>18.5</v>
      </c>
      <c r="N46" s="154">
        <v>7270</v>
      </c>
      <c r="O46" s="154">
        <v>5925</v>
      </c>
    </row>
    <row r="47" spans="2:15" ht="12.75" hidden="1" customHeight="1" outlineLevel="1" x14ac:dyDescent="0.25">
      <c r="B47" s="570" t="s">
        <v>511</v>
      </c>
      <c r="C47" s="570"/>
      <c r="D47" s="570"/>
      <c r="E47" s="570"/>
      <c r="F47" s="570"/>
      <c r="G47" s="570"/>
      <c r="H47" s="570"/>
      <c r="I47" s="570"/>
      <c r="J47" s="570"/>
      <c r="K47" s="156"/>
      <c r="L47" s="156"/>
      <c r="M47" s="156"/>
      <c r="N47" s="154">
        <v>7270</v>
      </c>
      <c r="O47" s="154">
        <v>5925</v>
      </c>
    </row>
    <row r="48" spans="2:15" ht="36.75" customHeight="1" collapsed="1" x14ac:dyDescent="0.25">
      <c r="B48" s="151" t="s">
        <v>969</v>
      </c>
      <c r="C48" s="152">
        <v>440</v>
      </c>
      <c r="D48" s="151" t="s">
        <v>970</v>
      </c>
      <c r="E48" s="151" t="s">
        <v>903</v>
      </c>
      <c r="F48" s="151" t="s">
        <v>1152</v>
      </c>
      <c r="G48" s="151" t="s">
        <v>119</v>
      </c>
      <c r="H48" s="153">
        <v>43</v>
      </c>
      <c r="I48" s="151" t="s">
        <v>916</v>
      </c>
      <c r="J48" s="151" t="s">
        <v>82</v>
      </c>
      <c r="K48" s="154">
        <v>27650</v>
      </c>
      <c r="L48" s="154">
        <v>21060</v>
      </c>
      <c r="M48" s="155">
        <v>6.5</v>
      </c>
      <c r="N48" s="154">
        <v>6590</v>
      </c>
      <c r="O48" s="154">
        <v>6161.6</v>
      </c>
    </row>
    <row r="49" spans="2:15" ht="12.75" hidden="1" customHeight="1" outlineLevel="1" x14ac:dyDescent="0.25">
      <c r="B49" s="570" t="s">
        <v>550</v>
      </c>
      <c r="C49" s="570"/>
      <c r="D49" s="570"/>
      <c r="E49" s="570"/>
      <c r="F49" s="570"/>
      <c r="G49" s="570"/>
      <c r="H49" s="570"/>
      <c r="I49" s="570"/>
      <c r="J49" s="570"/>
      <c r="K49" s="156"/>
      <c r="L49" s="156"/>
      <c r="M49" s="156"/>
      <c r="N49" s="154">
        <v>6590</v>
      </c>
      <c r="O49" s="154">
        <v>6161.6</v>
      </c>
    </row>
    <row r="50" spans="2:15" ht="36.75" customHeight="1" collapsed="1" x14ac:dyDescent="0.25">
      <c r="B50" s="151" t="s">
        <v>971</v>
      </c>
      <c r="C50" s="152">
        <v>435</v>
      </c>
      <c r="D50" s="151" t="s">
        <v>902</v>
      </c>
      <c r="E50" s="151" t="s">
        <v>903</v>
      </c>
      <c r="F50" s="151" t="s">
        <v>347</v>
      </c>
      <c r="G50" s="151" t="s">
        <v>351</v>
      </c>
      <c r="H50" s="153">
        <v>43</v>
      </c>
      <c r="I50" s="151" t="s">
        <v>916</v>
      </c>
      <c r="J50" s="151" t="s">
        <v>82</v>
      </c>
      <c r="K50" s="154">
        <v>31950</v>
      </c>
      <c r="L50" s="154">
        <v>18710</v>
      </c>
      <c r="M50" s="155">
        <v>9.5</v>
      </c>
      <c r="N50" s="154">
        <v>13240</v>
      </c>
      <c r="O50" s="154">
        <v>11982.2</v>
      </c>
    </row>
    <row r="51" spans="2:15" ht="12.75" hidden="1" customHeight="1" outlineLevel="1" x14ac:dyDescent="0.25">
      <c r="B51" s="570" t="s">
        <v>550</v>
      </c>
      <c r="C51" s="570"/>
      <c r="D51" s="570"/>
      <c r="E51" s="570"/>
      <c r="F51" s="570"/>
      <c r="G51" s="570"/>
      <c r="H51" s="570"/>
      <c r="I51" s="570"/>
      <c r="J51" s="570"/>
      <c r="K51" s="156"/>
      <c r="L51" s="156"/>
      <c r="M51" s="156"/>
      <c r="N51" s="154">
        <v>13240</v>
      </c>
      <c r="O51" s="154">
        <v>11982.2</v>
      </c>
    </row>
    <row r="52" spans="2:15" ht="36.75" customHeight="1" collapsed="1" x14ac:dyDescent="0.25">
      <c r="B52" s="151" t="s">
        <v>975</v>
      </c>
      <c r="C52" s="152">
        <v>441</v>
      </c>
      <c r="D52" s="151" t="s">
        <v>902</v>
      </c>
      <c r="E52" s="151" t="s">
        <v>903</v>
      </c>
      <c r="F52" s="151" t="s">
        <v>151</v>
      </c>
      <c r="G52" s="151" t="s">
        <v>155</v>
      </c>
      <c r="H52" s="153">
        <v>44</v>
      </c>
      <c r="I52" s="151" t="s">
        <v>916</v>
      </c>
      <c r="J52" s="151" t="s">
        <v>82</v>
      </c>
      <c r="K52" s="154">
        <v>28140</v>
      </c>
      <c r="L52" s="154">
        <v>14940</v>
      </c>
      <c r="M52" s="155">
        <v>10.5</v>
      </c>
      <c r="N52" s="154">
        <v>13200</v>
      </c>
      <c r="O52" s="154">
        <v>11814</v>
      </c>
    </row>
    <row r="53" spans="2:15" ht="12.75" hidden="1" customHeight="1" outlineLevel="1" x14ac:dyDescent="0.25">
      <c r="B53" s="570" t="s">
        <v>550</v>
      </c>
      <c r="C53" s="570"/>
      <c r="D53" s="570"/>
      <c r="E53" s="570"/>
      <c r="F53" s="570"/>
      <c r="G53" s="570"/>
      <c r="H53" s="570"/>
      <c r="I53" s="570"/>
      <c r="J53" s="570"/>
      <c r="K53" s="156"/>
      <c r="L53" s="156"/>
      <c r="M53" s="156"/>
      <c r="N53" s="154">
        <v>13200</v>
      </c>
      <c r="O53" s="154">
        <v>11814</v>
      </c>
    </row>
    <row r="54" spans="2:15" ht="36.75" customHeight="1" collapsed="1" x14ac:dyDescent="0.25">
      <c r="B54" s="151" t="s">
        <v>972</v>
      </c>
      <c r="C54" s="152">
        <v>436</v>
      </c>
      <c r="D54" s="151" t="s">
        <v>902</v>
      </c>
      <c r="E54" s="151" t="s">
        <v>903</v>
      </c>
      <c r="F54" s="151" t="s">
        <v>311</v>
      </c>
      <c r="G54" s="151" t="s">
        <v>315</v>
      </c>
      <c r="H54" s="153">
        <v>43</v>
      </c>
      <c r="I54" s="151" t="s">
        <v>916</v>
      </c>
      <c r="J54" s="151" t="s">
        <v>82</v>
      </c>
      <c r="K54" s="154">
        <v>28170</v>
      </c>
      <c r="L54" s="154">
        <v>14970</v>
      </c>
      <c r="M54" s="155">
        <v>6.5</v>
      </c>
      <c r="N54" s="154">
        <v>13200</v>
      </c>
      <c r="O54" s="154">
        <v>12342</v>
      </c>
    </row>
    <row r="55" spans="2:15" ht="12.75" hidden="1" customHeight="1" outlineLevel="1" x14ac:dyDescent="0.25">
      <c r="B55" s="570" t="s">
        <v>550</v>
      </c>
      <c r="C55" s="570"/>
      <c r="D55" s="570"/>
      <c r="E55" s="570"/>
      <c r="F55" s="570"/>
      <c r="G55" s="570"/>
      <c r="H55" s="570"/>
      <c r="I55" s="570"/>
      <c r="J55" s="570"/>
      <c r="K55" s="156"/>
      <c r="L55" s="156"/>
      <c r="M55" s="156"/>
      <c r="N55" s="154">
        <v>13200</v>
      </c>
      <c r="O55" s="154">
        <v>12342</v>
      </c>
    </row>
    <row r="56" spans="2:15" ht="36.75" customHeight="1" collapsed="1" x14ac:dyDescent="0.25">
      <c r="B56" s="151" t="s">
        <v>973</v>
      </c>
      <c r="C56" s="152">
        <v>438</v>
      </c>
      <c r="D56" s="151" t="s">
        <v>902</v>
      </c>
      <c r="E56" s="151" t="s">
        <v>903</v>
      </c>
      <c r="F56" s="151" t="s">
        <v>160</v>
      </c>
      <c r="G56" s="151" t="s">
        <v>164</v>
      </c>
      <c r="H56" s="153">
        <v>43</v>
      </c>
      <c r="I56" s="151" t="s">
        <v>916</v>
      </c>
      <c r="J56" s="151" t="s">
        <v>82</v>
      </c>
      <c r="K56" s="154">
        <v>37310</v>
      </c>
      <c r="L56" s="154">
        <v>24000</v>
      </c>
      <c r="M56" s="155">
        <v>6.5</v>
      </c>
      <c r="N56" s="154">
        <v>13310</v>
      </c>
      <c r="O56" s="154">
        <v>12444.8</v>
      </c>
    </row>
    <row r="57" spans="2:15" ht="12.75" hidden="1" customHeight="1" outlineLevel="1" x14ac:dyDescent="0.25">
      <c r="B57" s="570" t="s">
        <v>550</v>
      </c>
      <c r="C57" s="570"/>
      <c r="D57" s="570"/>
      <c r="E57" s="570"/>
      <c r="F57" s="570"/>
      <c r="G57" s="570"/>
      <c r="H57" s="570"/>
      <c r="I57" s="570"/>
      <c r="J57" s="570"/>
      <c r="K57" s="156"/>
      <c r="L57" s="156"/>
      <c r="M57" s="156"/>
      <c r="N57" s="154">
        <v>13310</v>
      </c>
      <c r="O57" s="154">
        <v>12444.8</v>
      </c>
    </row>
    <row r="58" spans="2:15" ht="36.75" customHeight="1" collapsed="1" x14ac:dyDescent="0.25">
      <c r="B58" s="151" t="s">
        <v>976</v>
      </c>
      <c r="C58" s="152">
        <v>443</v>
      </c>
      <c r="D58" s="151" t="s">
        <v>902</v>
      </c>
      <c r="E58" s="151" t="s">
        <v>914</v>
      </c>
      <c r="F58" s="151" t="s">
        <v>737</v>
      </c>
      <c r="G58" s="151" t="s">
        <v>738</v>
      </c>
      <c r="H58" s="153">
        <v>16</v>
      </c>
      <c r="I58" s="151" t="s">
        <v>909</v>
      </c>
      <c r="J58" s="151" t="s">
        <v>82</v>
      </c>
      <c r="K58" s="154">
        <v>9100</v>
      </c>
      <c r="L58" s="154">
        <v>4590</v>
      </c>
      <c r="M58" s="155">
        <v>18.5</v>
      </c>
      <c r="N58" s="154">
        <v>4510</v>
      </c>
      <c r="O58" s="154">
        <v>3675.6</v>
      </c>
    </row>
    <row r="59" spans="2:15" ht="12.75" hidden="1" customHeight="1" outlineLevel="1" x14ac:dyDescent="0.25">
      <c r="B59" s="570" t="s">
        <v>511</v>
      </c>
      <c r="C59" s="570"/>
      <c r="D59" s="570"/>
      <c r="E59" s="570"/>
      <c r="F59" s="570"/>
      <c r="G59" s="570"/>
      <c r="H59" s="570"/>
      <c r="I59" s="570"/>
      <c r="J59" s="570"/>
      <c r="K59" s="156"/>
      <c r="L59" s="156"/>
      <c r="M59" s="156"/>
      <c r="N59" s="154">
        <v>4510</v>
      </c>
      <c r="O59" s="154">
        <v>3675.6</v>
      </c>
    </row>
    <row r="60" spans="2:15" ht="36.75" customHeight="1" collapsed="1" x14ac:dyDescent="0.25">
      <c r="B60" s="151" t="s">
        <v>977</v>
      </c>
      <c r="C60" s="152">
        <v>444</v>
      </c>
      <c r="D60" s="151" t="s">
        <v>902</v>
      </c>
      <c r="E60" s="151" t="s">
        <v>903</v>
      </c>
      <c r="F60" s="151" t="s">
        <v>212</v>
      </c>
      <c r="G60" s="151" t="s">
        <v>216</v>
      </c>
      <c r="H60" s="153">
        <v>44</v>
      </c>
      <c r="I60" s="151" t="s">
        <v>916</v>
      </c>
      <c r="J60" s="151" t="s">
        <v>82</v>
      </c>
      <c r="K60" s="154">
        <v>27130</v>
      </c>
      <c r="L60" s="154">
        <v>13770</v>
      </c>
      <c r="M60" s="155">
        <v>12</v>
      </c>
      <c r="N60" s="154">
        <v>13360</v>
      </c>
      <c r="O60" s="154">
        <v>11756.8</v>
      </c>
    </row>
    <row r="61" spans="2:15" ht="12.75" hidden="1" customHeight="1" outlineLevel="1" x14ac:dyDescent="0.25">
      <c r="B61" s="570" t="s">
        <v>550</v>
      </c>
      <c r="C61" s="570"/>
      <c r="D61" s="570"/>
      <c r="E61" s="570"/>
      <c r="F61" s="570"/>
      <c r="G61" s="570"/>
      <c r="H61" s="570"/>
      <c r="I61" s="570"/>
      <c r="J61" s="570"/>
      <c r="K61" s="156"/>
      <c r="L61" s="156"/>
      <c r="M61" s="156"/>
      <c r="N61" s="154">
        <v>13360</v>
      </c>
      <c r="O61" s="154">
        <v>11756.8</v>
      </c>
    </row>
    <row r="62" spans="2:15" ht="36.75" customHeight="1" collapsed="1" x14ac:dyDescent="0.25">
      <c r="B62" s="151" t="s">
        <v>915</v>
      </c>
      <c r="C62" s="152">
        <v>445</v>
      </c>
      <c r="D62" s="151" t="s">
        <v>902</v>
      </c>
      <c r="E62" s="151" t="s">
        <v>903</v>
      </c>
      <c r="F62" s="151" t="s">
        <v>133</v>
      </c>
      <c r="G62" s="151" t="s">
        <v>137</v>
      </c>
      <c r="H62" s="153">
        <v>43</v>
      </c>
      <c r="I62" s="151" t="s">
        <v>916</v>
      </c>
      <c r="J62" s="151" t="s">
        <v>82</v>
      </c>
      <c r="K62" s="154">
        <v>28050</v>
      </c>
      <c r="L62" s="154">
        <v>14730</v>
      </c>
      <c r="M62" s="155">
        <v>11</v>
      </c>
      <c r="N62" s="154">
        <v>13320</v>
      </c>
      <c r="O62" s="154">
        <v>11854.8</v>
      </c>
    </row>
    <row r="63" spans="2:15" ht="12.75" hidden="1" customHeight="1" outlineLevel="1" x14ac:dyDescent="0.25">
      <c r="B63" s="570" t="s">
        <v>550</v>
      </c>
      <c r="C63" s="570"/>
      <c r="D63" s="570"/>
      <c r="E63" s="570"/>
      <c r="F63" s="570"/>
      <c r="G63" s="570"/>
      <c r="H63" s="570"/>
      <c r="I63" s="570"/>
      <c r="J63" s="570"/>
      <c r="K63" s="156"/>
      <c r="L63" s="156"/>
      <c r="M63" s="156"/>
      <c r="N63" s="154">
        <v>13320</v>
      </c>
      <c r="O63" s="154">
        <v>11854.8</v>
      </c>
    </row>
    <row r="64" spans="2:15" ht="36.75" customHeight="1" collapsed="1" x14ac:dyDescent="0.25">
      <c r="B64" s="151" t="s">
        <v>917</v>
      </c>
      <c r="C64" s="152">
        <v>447</v>
      </c>
      <c r="D64" s="151" t="s">
        <v>902</v>
      </c>
      <c r="E64" s="151" t="s">
        <v>903</v>
      </c>
      <c r="F64" s="151" t="s">
        <v>272</v>
      </c>
      <c r="G64" s="151" t="s">
        <v>276</v>
      </c>
      <c r="H64" s="153">
        <v>43</v>
      </c>
      <c r="I64" s="151" t="s">
        <v>916</v>
      </c>
      <c r="J64" s="151" t="s">
        <v>82</v>
      </c>
      <c r="K64" s="154">
        <v>27780</v>
      </c>
      <c r="L64" s="154">
        <v>14570</v>
      </c>
      <c r="M64" s="155">
        <v>9</v>
      </c>
      <c r="N64" s="154">
        <v>13210</v>
      </c>
      <c r="O64" s="154">
        <v>12021.1</v>
      </c>
    </row>
    <row r="65" spans="2:15" ht="12.75" hidden="1" customHeight="1" outlineLevel="1" x14ac:dyDescent="0.25">
      <c r="B65" s="570" t="s">
        <v>550</v>
      </c>
      <c r="C65" s="570"/>
      <c r="D65" s="570"/>
      <c r="E65" s="570"/>
      <c r="F65" s="570"/>
      <c r="G65" s="570"/>
      <c r="H65" s="570"/>
      <c r="I65" s="570"/>
      <c r="J65" s="570"/>
      <c r="K65" s="156"/>
      <c r="L65" s="156"/>
      <c r="M65" s="156"/>
      <c r="N65" s="154">
        <v>13210</v>
      </c>
      <c r="O65" s="154">
        <v>12021.1</v>
      </c>
    </row>
    <row r="66" spans="2:15" ht="36.75" customHeight="1" collapsed="1" x14ac:dyDescent="0.25">
      <c r="B66" s="151" t="s">
        <v>918</v>
      </c>
      <c r="C66" s="152">
        <v>446</v>
      </c>
      <c r="D66" s="151" t="s">
        <v>902</v>
      </c>
      <c r="E66" s="151" t="s">
        <v>903</v>
      </c>
      <c r="F66" s="151" t="s">
        <v>1253</v>
      </c>
      <c r="G66" s="151" t="s">
        <v>270</v>
      </c>
      <c r="H66" s="153">
        <v>43</v>
      </c>
      <c r="I66" s="151" t="s">
        <v>916</v>
      </c>
      <c r="J66" s="151" t="s">
        <v>82</v>
      </c>
      <c r="K66" s="154">
        <v>27970</v>
      </c>
      <c r="L66" s="154">
        <v>14760</v>
      </c>
      <c r="M66" s="155">
        <v>11.5</v>
      </c>
      <c r="N66" s="154">
        <v>13210</v>
      </c>
      <c r="O66" s="154">
        <v>11690.8</v>
      </c>
    </row>
    <row r="67" spans="2:15" ht="12.75" hidden="1" customHeight="1" outlineLevel="1" x14ac:dyDescent="0.25">
      <c r="B67" s="570" t="s">
        <v>511</v>
      </c>
      <c r="C67" s="570"/>
      <c r="D67" s="570"/>
      <c r="E67" s="570"/>
      <c r="F67" s="570"/>
      <c r="G67" s="570"/>
      <c r="H67" s="570"/>
      <c r="I67" s="570"/>
      <c r="J67" s="570"/>
      <c r="K67" s="156"/>
      <c r="L67" s="156"/>
      <c r="M67" s="156"/>
      <c r="N67" s="154">
        <v>13210</v>
      </c>
      <c r="O67" s="154">
        <v>11690.8</v>
      </c>
    </row>
    <row r="68" spans="2:15" ht="36.75" customHeight="1" collapsed="1" x14ac:dyDescent="0.25">
      <c r="B68" s="151" t="s">
        <v>923</v>
      </c>
      <c r="C68" s="152">
        <v>452</v>
      </c>
      <c r="D68" s="151" t="s">
        <v>902</v>
      </c>
      <c r="E68" s="151" t="s">
        <v>903</v>
      </c>
      <c r="F68" s="151" t="s">
        <v>305</v>
      </c>
      <c r="G68" s="151" t="s">
        <v>309</v>
      </c>
      <c r="H68" s="153">
        <v>43</v>
      </c>
      <c r="I68" s="151" t="s">
        <v>916</v>
      </c>
      <c r="J68" s="151" t="s">
        <v>82</v>
      </c>
      <c r="K68" s="154">
        <v>27420</v>
      </c>
      <c r="L68" s="154">
        <v>14420</v>
      </c>
      <c r="M68" s="155">
        <v>14</v>
      </c>
      <c r="N68" s="154">
        <v>13000</v>
      </c>
      <c r="O68" s="154">
        <v>11180</v>
      </c>
    </row>
    <row r="69" spans="2:15" ht="12.75" hidden="1" customHeight="1" outlineLevel="1" x14ac:dyDescent="0.25">
      <c r="B69" s="570" t="s">
        <v>550</v>
      </c>
      <c r="C69" s="570"/>
      <c r="D69" s="570"/>
      <c r="E69" s="570"/>
      <c r="F69" s="570"/>
      <c r="G69" s="570"/>
      <c r="H69" s="570"/>
      <c r="I69" s="570"/>
      <c r="J69" s="570"/>
      <c r="K69" s="156"/>
      <c r="L69" s="156"/>
      <c r="M69" s="156"/>
      <c r="N69" s="154">
        <v>13000</v>
      </c>
      <c r="O69" s="154">
        <v>11180</v>
      </c>
    </row>
    <row r="70" spans="2:15" ht="36.75" customHeight="1" collapsed="1" x14ac:dyDescent="0.25">
      <c r="B70" s="151" t="s">
        <v>924</v>
      </c>
      <c r="C70" s="152">
        <v>453</v>
      </c>
      <c r="D70" s="151" t="s">
        <v>902</v>
      </c>
      <c r="E70" s="151" t="s">
        <v>903</v>
      </c>
      <c r="F70" s="151" t="s">
        <v>329</v>
      </c>
      <c r="G70" s="151" t="s">
        <v>333</v>
      </c>
      <c r="H70" s="153">
        <v>44</v>
      </c>
      <c r="I70" s="151" t="s">
        <v>916</v>
      </c>
      <c r="J70" s="151" t="s">
        <v>82</v>
      </c>
      <c r="K70" s="154">
        <v>28390</v>
      </c>
      <c r="L70" s="154">
        <v>14890</v>
      </c>
      <c r="M70" s="155">
        <v>10</v>
      </c>
      <c r="N70" s="154">
        <v>13500</v>
      </c>
      <c r="O70" s="154">
        <v>12150</v>
      </c>
    </row>
    <row r="71" spans="2:15" ht="12.75" hidden="1" customHeight="1" outlineLevel="1" x14ac:dyDescent="0.25">
      <c r="B71" s="570" t="s">
        <v>550</v>
      </c>
      <c r="C71" s="570"/>
      <c r="D71" s="570"/>
      <c r="E71" s="570"/>
      <c r="F71" s="570"/>
      <c r="G71" s="570"/>
      <c r="H71" s="570"/>
      <c r="I71" s="570"/>
      <c r="J71" s="570"/>
      <c r="K71" s="156"/>
      <c r="L71" s="156"/>
      <c r="M71" s="156"/>
      <c r="N71" s="154">
        <v>13500</v>
      </c>
      <c r="O71" s="154">
        <v>12150</v>
      </c>
    </row>
    <row r="72" spans="2:15" ht="36.75" customHeight="1" collapsed="1" x14ac:dyDescent="0.25">
      <c r="B72" s="151" t="s">
        <v>919</v>
      </c>
      <c r="C72" s="152">
        <v>448</v>
      </c>
      <c r="D72" s="151" t="s">
        <v>902</v>
      </c>
      <c r="E72" s="151" t="s">
        <v>903</v>
      </c>
      <c r="F72" s="151" t="s">
        <v>239</v>
      </c>
      <c r="G72" s="151" t="s">
        <v>243</v>
      </c>
      <c r="H72" s="153">
        <v>43</v>
      </c>
      <c r="I72" s="151" t="s">
        <v>916</v>
      </c>
      <c r="J72" s="151" t="s">
        <v>82</v>
      </c>
      <c r="K72" s="154">
        <v>27860</v>
      </c>
      <c r="L72" s="154">
        <v>14590</v>
      </c>
      <c r="M72" s="155">
        <v>14.5</v>
      </c>
      <c r="N72" s="154">
        <v>13270</v>
      </c>
      <c r="O72" s="154">
        <v>11345.8</v>
      </c>
    </row>
    <row r="73" spans="2:15" ht="12.75" hidden="1" customHeight="1" outlineLevel="1" x14ac:dyDescent="0.25">
      <c r="B73" s="570" t="s">
        <v>550</v>
      </c>
      <c r="C73" s="570"/>
      <c r="D73" s="570"/>
      <c r="E73" s="570"/>
      <c r="F73" s="570"/>
      <c r="G73" s="570"/>
      <c r="H73" s="570"/>
      <c r="I73" s="570"/>
      <c r="J73" s="570"/>
      <c r="K73" s="156"/>
      <c r="L73" s="156"/>
      <c r="M73" s="156"/>
      <c r="N73" s="154">
        <v>13270</v>
      </c>
      <c r="O73" s="154">
        <v>11345.8</v>
      </c>
    </row>
    <row r="74" spans="2:15" ht="36.75" customHeight="1" collapsed="1" x14ac:dyDescent="0.25">
      <c r="B74" s="151" t="s">
        <v>920</v>
      </c>
      <c r="C74" s="152">
        <v>449</v>
      </c>
      <c r="D74" s="151" t="s">
        <v>902</v>
      </c>
      <c r="E74" s="151" t="s">
        <v>903</v>
      </c>
      <c r="F74" s="151" t="s">
        <v>335</v>
      </c>
      <c r="G74" s="151" t="s">
        <v>339</v>
      </c>
      <c r="H74" s="153">
        <v>43</v>
      </c>
      <c r="I74" s="151" t="s">
        <v>916</v>
      </c>
      <c r="J74" s="151" t="s">
        <v>82</v>
      </c>
      <c r="K74" s="154">
        <v>28040</v>
      </c>
      <c r="L74" s="154">
        <v>14690</v>
      </c>
      <c r="M74" s="155">
        <v>19.5</v>
      </c>
      <c r="N74" s="154">
        <v>13350</v>
      </c>
      <c r="O74" s="154">
        <v>10746.7</v>
      </c>
    </row>
    <row r="75" spans="2:15" ht="12.75" hidden="1" customHeight="1" outlineLevel="1" x14ac:dyDescent="0.25">
      <c r="B75" s="570" t="s">
        <v>511</v>
      </c>
      <c r="C75" s="570"/>
      <c r="D75" s="570"/>
      <c r="E75" s="570"/>
      <c r="F75" s="570"/>
      <c r="G75" s="570"/>
      <c r="H75" s="570"/>
      <c r="I75" s="570"/>
      <c r="J75" s="570"/>
      <c r="K75" s="156"/>
      <c r="L75" s="156"/>
      <c r="M75" s="156"/>
      <c r="N75" s="154">
        <v>13350</v>
      </c>
      <c r="O75" s="154">
        <v>10746.7</v>
      </c>
    </row>
    <row r="76" spans="2:15" ht="36.75" customHeight="1" collapsed="1" x14ac:dyDescent="0.25">
      <c r="B76" s="151" t="s">
        <v>921</v>
      </c>
      <c r="C76" s="152">
        <v>450</v>
      </c>
      <c r="D76" s="151" t="s">
        <v>902</v>
      </c>
      <c r="E76" s="151" t="s">
        <v>903</v>
      </c>
      <c r="F76" s="151" t="s">
        <v>1461</v>
      </c>
      <c r="G76" s="151" t="s">
        <v>149</v>
      </c>
      <c r="H76" s="153">
        <v>43</v>
      </c>
      <c r="I76" s="151" t="s">
        <v>916</v>
      </c>
      <c r="J76" s="151" t="s">
        <v>82</v>
      </c>
      <c r="K76" s="154">
        <v>28180</v>
      </c>
      <c r="L76" s="154">
        <v>14860</v>
      </c>
      <c r="M76" s="155">
        <v>11</v>
      </c>
      <c r="N76" s="154">
        <v>13320</v>
      </c>
      <c r="O76" s="154">
        <v>11854.8</v>
      </c>
    </row>
    <row r="77" spans="2:15" ht="12.75" hidden="1" customHeight="1" outlineLevel="1" x14ac:dyDescent="0.25">
      <c r="B77" s="570" t="s">
        <v>550</v>
      </c>
      <c r="C77" s="570"/>
      <c r="D77" s="570"/>
      <c r="E77" s="570"/>
      <c r="F77" s="570"/>
      <c r="G77" s="570"/>
      <c r="H77" s="570"/>
      <c r="I77" s="570"/>
      <c r="J77" s="570"/>
      <c r="K77" s="156"/>
      <c r="L77" s="156"/>
      <c r="M77" s="156"/>
      <c r="N77" s="154">
        <v>13320</v>
      </c>
      <c r="O77" s="154">
        <v>11854.8</v>
      </c>
    </row>
    <row r="78" spans="2:15" ht="36.75" customHeight="1" collapsed="1" x14ac:dyDescent="0.25">
      <c r="B78" s="151" t="s">
        <v>925</v>
      </c>
      <c r="C78" s="152">
        <v>454</v>
      </c>
      <c r="D78" s="151" t="s">
        <v>902</v>
      </c>
      <c r="E78" s="151" t="s">
        <v>903</v>
      </c>
      <c r="F78" s="151" t="s">
        <v>121</v>
      </c>
      <c r="G78" s="151" t="s">
        <v>125</v>
      </c>
      <c r="H78" s="153">
        <v>43</v>
      </c>
      <c r="I78" s="151" t="s">
        <v>916</v>
      </c>
      <c r="J78" s="151" t="s">
        <v>82</v>
      </c>
      <c r="K78" s="154">
        <v>27550</v>
      </c>
      <c r="L78" s="154">
        <v>14700</v>
      </c>
      <c r="M78" s="155">
        <v>9</v>
      </c>
      <c r="N78" s="154">
        <v>12850</v>
      </c>
      <c r="O78" s="154">
        <v>11693.5</v>
      </c>
    </row>
    <row r="79" spans="2:15" ht="12.75" hidden="1" customHeight="1" outlineLevel="1" x14ac:dyDescent="0.25">
      <c r="B79" s="570" t="s">
        <v>550</v>
      </c>
      <c r="C79" s="570"/>
      <c r="D79" s="570"/>
      <c r="E79" s="570"/>
      <c r="F79" s="570"/>
      <c r="G79" s="570"/>
      <c r="H79" s="570"/>
      <c r="I79" s="570"/>
      <c r="J79" s="570"/>
      <c r="K79" s="156"/>
      <c r="L79" s="156"/>
      <c r="M79" s="156"/>
      <c r="N79" s="154">
        <v>12850</v>
      </c>
      <c r="O79" s="154">
        <v>11693.5</v>
      </c>
    </row>
    <row r="80" spans="2:15" ht="36.75" customHeight="1" collapsed="1" x14ac:dyDescent="0.25">
      <c r="B80" s="151" t="s">
        <v>926</v>
      </c>
      <c r="C80" s="152">
        <v>455</v>
      </c>
      <c r="D80" s="151" t="s">
        <v>902</v>
      </c>
      <c r="E80" s="151" t="s">
        <v>903</v>
      </c>
      <c r="F80" s="151" t="s">
        <v>347</v>
      </c>
      <c r="G80" s="151" t="s">
        <v>351</v>
      </c>
      <c r="H80" s="153">
        <v>44</v>
      </c>
      <c r="I80" s="151" t="s">
        <v>916</v>
      </c>
      <c r="J80" s="151" t="s">
        <v>82</v>
      </c>
      <c r="K80" s="154">
        <v>32500</v>
      </c>
      <c r="L80" s="154">
        <v>18650</v>
      </c>
      <c r="M80" s="155">
        <v>10.5</v>
      </c>
      <c r="N80" s="154">
        <v>13850</v>
      </c>
      <c r="O80" s="154">
        <v>12395.7</v>
      </c>
    </row>
    <row r="81" spans="2:15" ht="12.75" hidden="1" customHeight="1" outlineLevel="1" x14ac:dyDescent="0.25">
      <c r="B81" s="570" t="s">
        <v>550</v>
      </c>
      <c r="C81" s="570"/>
      <c r="D81" s="570"/>
      <c r="E81" s="570"/>
      <c r="F81" s="570"/>
      <c r="G81" s="570"/>
      <c r="H81" s="570"/>
      <c r="I81" s="570"/>
      <c r="J81" s="570"/>
      <c r="K81" s="156"/>
      <c r="L81" s="156"/>
      <c r="M81" s="156"/>
      <c r="N81" s="154">
        <v>13850</v>
      </c>
      <c r="O81" s="154">
        <v>12395.7</v>
      </c>
    </row>
    <row r="82" spans="2:15" ht="36.75" customHeight="1" collapsed="1" x14ac:dyDescent="0.25">
      <c r="B82" s="151" t="s">
        <v>922</v>
      </c>
      <c r="C82" s="152">
        <v>451</v>
      </c>
      <c r="D82" s="151" t="s">
        <v>902</v>
      </c>
      <c r="E82" s="151" t="s">
        <v>903</v>
      </c>
      <c r="F82" s="151" t="s">
        <v>1151</v>
      </c>
      <c r="G82" s="151" t="s">
        <v>145</v>
      </c>
      <c r="H82" s="153">
        <v>44</v>
      </c>
      <c r="I82" s="151" t="s">
        <v>916</v>
      </c>
      <c r="J82" s="151" t="s">
        <v>82</v>
      </c>
      <c r="K82" s="154">
        <v>29070</v>
      </c>
      <c r="L82" s="154">
        <v>15520</v>
      </c>
      <c r="M82" s="155">
        <v>10</v>
      </c>
      <c r="N82" s="154">
        <v>13550</v>
      </c>
      <c r="O82" s="154">
        <v>12195</v>
      </c>
    </row>
    <row r="83" spans="2:15" ht="12.75" hidden="1" customHeight="1" outlineLevel="1" x14ac:dyDescent="0.25">
      <c r="B83" s="570" t="s">
        <v>511</v>
      </c>
      <c r="C83" s="570"/>
      <c r="D83" s="570"/>
      <c r="E83" s="570"/>
      <c r="F83" s="570"/>
      <c r="G83" s="570"/>
      <c r="H83" s="570"/>
      <c r="I83" s="570"/>
      <c r="J83" s="570"/>
      <c r="K83" s="156"/>
      <c r="L83" s="156"/>
      <c r="M83" s="156"/>
      <c r="N83" s="154">
        <v>13550</v>
      </c>
      <c r="O83" s="154">
        <v>12195</v>
      </c>
    </row>
    <row r="84" spans="2:15" ht="36.75" customHeight="1" collapsed="1" x14ac:dyDescent="0.25">
      <c r="B84" s="151" t="s">
        <v>928</v>
      </c>
      <c r="C84" s="152">
        <v>456</v>
      </c>
      <c r="D84" s="151" t="s">
        <v>902</v>
      </c>
      <c r="E84" s="151" t="s">
        <v>903</v>
      </c>
      <c r="F84" s="151" t="s">
        <v>234</v>
      </c>
      <c r="G84" s="151" t="s">
        <v>238</v>
      </c>
      <c r="H84" s="153">
        <v>43</v>
      </c>
      <c r="I84" s="151" t="s">
        <v>916</v>
      </c>
      <c r="J84" s="151" t="s">
        <v>82</v>
      </c>
      <c r="K84" s="154">
        <v>28720</v>
      </c>
      <c r="L84" s="154">
        <v>15620</v>
      </c>
      <c r="M84" s="155">
        <v>13.5</v>
      </c>
      <c r="N84" s="154">
        <v>13100</v>
      </c>
      <c r="O84" s="154">
        <v>11331.5</v>
      </c>
    </row>
    <row r="85" spans="2:15" ht="12.75" hidden="1" customHeight="1" outlineLevel="1" x14ac:dyDescent="0.25">
      <c r="B85" s="570" t="s">
        <v>550</v>
      </c>
      <c r="C85" s="570"/>
      <c r="D85" s="570"/>
      <c r="E85" s="570"/>
      <c r="F85" s="570"/>
      <c r="G85" s="570"/>
      <c r="H85" s="570"/>
      <c r="I85" s="570"/>
      <c r="J85" s="570"/>
      <c r="K85" s="156"/>
      <c r="L85" s="156"/>
      <c r="M85" s="156"/>
      <c r="N85" s="154">
        <v>13100</v>
      </c>
      <c r="O85" s="154">
        <v>11331.5</v>
      </c>
    </row>
    <row r="86" spans="2:15" ht="36.75" customHeight="1" collapsed="1" x14ac:dyDescent="0.25">
      <c r="B86" s="151" t="s">
        <v>927</v>
      </c>
      <c r="C86" s="152">
        <v>457</v>
      </c>
      <c r="D86" s="151" t="s">
        <v>902</v>
      </c>
      <c r="E86" s="151" t="s">
        <v>903</v>
      </c>
      <c r="F86" s="151" t="s">
        <v>311</v>
      </c>
      <c r="G86" s="151" t="s">
        <v>315</v>
      </c>
      <c r="H86" s="153">
        <v>44</v>
      </c>
      <c r="I86" s="151" t="s">
        <v>916</v>
      </c>
      <c r="J86" s="151" t="s">
        <v>82</v>
      </c>
      <c r="K86" s="154">
        <v>28590</v>
      </c>
      <c r="L86" s="154">
        <v>14990</v>
      </c>
      <c r="M86" s="155">
        <v>12.5</v>
      </c>
      <c r="N86" s="154">
        <v>13600</v>
      </c>
      <c r="O86" s="154">
        <v>11900</v>
      </c>
    </row>
    <row r="87" spans="2:15" ht="12.75" hidden="1" customHeight="1" outlineLevel="1" x14ac:dyDescent="0.25">
      <c r="B87" s="570" t="s">
        <v>550</v>
      </c>
      <c r="C87" s="570"/>
      <c r="D87" s="570"/>
      <c r="E87" s="570"/>
      <c r="F87" s="570"/>
      <c r="G87" s="570"/>
      <c r="H87" s="570"/>
      <c r="I87" s="570"/>
      <c r="J87" s="570"/>
      <c r="K87" s="156"/>
      <c r="L87" s="156"/>
      <c r="M87" s="156"/>
      <c r="N87" s="154">
        <v>13600</v>
      </c>
      <c r="O87" s="154">
        <v>11900</v>
      </c>
    </row>
    <row r="88" spans="2:15" ht="36.75" customHeight="1" collapsed="1" x14ac:dyDescent="0.25">
      <c r="B88" s="151" t="s">
        <v>929</v>
      </c>
      <c r="C88" s="152">
        <v>458</v>
      </c>
      <c r="D88" s="151" t="s">
        <v>902</v>
      </c>
      <c r="E88" s="151" t="s">
        <v>903</v>
      </c>
      <c r="F88" s="151" t="s">
        <v>262</v>
      </c>
      <c r="G88" s="151" t="s">
        <v>266</v>
      </c>
      <c r="H88" s="153">
        <v>43</v>
      </c>
      <c r="I88" s="151" t="s">
        <v>916</v>
      </c>
      <c r="J88" s="151" t="s">
        <v>82</v>
      </c>
      <c r="K88" s="154">
        <v>27660</v>
      </c>
      <c r="L88" s="154">
        <v>14660</v>
      </c>
      <c r="M88" s="155">
        <v>11</v>
      </c>
      <c r="N88" s="154">
        <v>13000</v>
      </c>
      <c r="O88" s="154">
        <v>11570</v>
      </c>
    </row>
    <row r="89" spans="2:15" ht="12.75" hidden="1" customHeight="1" outlineLevel="1" x14ac:dyDescent="0.25">
      <c r="B89" s="570" t="s">
        <v>550</v>
      </c>
      <c r="C89" s="570"/>
      <c r="D89" s="570"/>
      <c r="E89" s="570"/>
      <c r="F89" s="570"/>
      <c r="G89" s="570"/>
      <c r="H89" s="570"/>
      <c r="I89" s="570"/>
      <c r="J89" s="570"/>
      <c r="K89" s="156"/>
      <c r="L89" s="156"/>
      <c r="M89" s="156"/>
      <c r="N89" s="154">
        <v>13000</v>
      </c>
      <c r="O89" s="154">
        <v>11570</v>
      </c>
    </row>
    <row r="90" spans="2:15" ht="36.75" customHeight="1" collapsed="1" x14ac:dyDescent="0.25">
      <c r="B90" s="151" t="s">
        <v>930</v>
      </c>
      <c r="C90" s="152">
        <v>459</v>
      </c>
      <c r="D90" s="151" t="s">
        <v>902</v>
      </c>
      <c r="E90" s="151" t="s">
        <v>903</v>
      </c>
      <c r="F90" s="151" t="s">
        <v>160</v>
      </c>
      <c r="G90" s="151" t="s">
        <v>164</v>
      </c>
      <c r="H90" s="153">
        <v>44</v>
      </c>
      <c r="I90" s="151" t="s">
        <v>916</v>
      </c>
      <c r="J90" s="151" t="s">
        <v>82</v>
      </c>
      <c r="K90" s="154">
        <v>37400</v>
      </c>
      <c r="L90" s="154">
        <v>23890</v>
      </c>
      <c r="M90" s="155">
        <v>8.5</v>
      </c>
      <c r="N90" s="154">
        <v>13510</v>
      </c>
      <c r="O90" s="154">
        <v>12361.6</v>
      </c>
    </row>
    <row r="91" spans="2:15" ht="12.75" hidden="1" customHeight="1" outlineLevel="1" x14ac:dyDescent="0.25">
      <c r="B91" s="570" t="s">
        <v>550</v>
      </c>
      <c r="C91" s="570"/>
      <c r="D91" s="570"/>
      <c r="E91" s="570"/>
      <c r="F91" s="570"/>
      <c r="G91" s="570"/>
      <c r="H91" s="570"/>
      <c r="I91" s="570"/>
      <c r="J91" s="570"/>
      <c r="K91" s="156"/>
      <c r="L91" s="156"/>
      <c r="M91" s="156"/>
      <c r="N91" s="154">
        <v>13510</v>
      </c>
      <c r="O91" s="154">
        <v>12361.6</v>
      </c>
    </row>
    <row r="92" spans="2:15" ht="36.75" customHeight="1" collapsed="1" x14ac:dyDescent="0.25">
      <c r="B92" s="151" t="s">
        <v>931</v>
      </c>
      <c r="C92" s="152">
        <v>460</v>
      </c>
      <c r="D92" s="151" t="s">
        <v>902</v>
      </c>
      <c r="E92" s="151" t="s">
        <v>903</v>
      </c>
      <c r="F92" s="151" t="s">
        <v>151</v>
      </c>
      <c r="G92" s="151" t="s">
        <v>155</v>
      </c>
      <c r="H92" s="153">
        <v>43</v>
      </c>
      <c r="I92" s="151" t="s">
        <v>916</v>
      </c>
      <c r="J92" s="151" t="s">
        <v>82</v>
      </c>
      <c r="K92" s="154">
        <v>28240</v>
      </c>
      <c r="L92" s="154">
        <v>14940</v>
      </c>
      <c r="M92" s="155">
        <v>9</v>
      </c>
      <c r="N92" s="154">
        <v>13300</v>
      </c>
      <c r="O92" s="154">
        <v>12103</v>
      </c>
    </row>
    <row r="93" spans="2:15" ht="12.75" hidden="1" customHeight="1" outlineLevel="1" x14ac:dyDescent="0.25">
      <c r="B93" s="570" t="s">
        <v>550</v>
      </c>
      <c r="C93" s="570"/>
      <c r="D93" s="570"/>
      <c r="E93" s="570"/>
      <c r="F93" s="570"/>
      <c r="G93" s="570"/>
      <c r="H93" s="570"/>
      <c r="I93" s="570"/>
      <c r="J93" s="570"/>
      <c r="K93" s="156"/>
      <c r="L93" s="156"/>
      <c r="M93" s="156"/>
      <c r="N93" s="154">
        <v>13300</v>
      </c>
      <c r="O93" s="154">
        <v>12103</v>
      </c>
    </row>
    <row r="94" spans="2:15" ht="36.75" customHeight="1" collapsed="1" x14ac:dyDescent="0.25">
      <c r="B94" s="151" t="s">
        <v>932</v>
      </c>
      <c r="C94" s="152">
        <v>462</v>
      </c>
      <c r="D94" s="153">
        <v>67</v>
      </c>
      <c r="E94" s="151" t="s">
        <v>903</v>
      </c>
      <c r="F94" s="151" t="s">
        <v>1152</v>
      </c>
      <c r="G94" s="151" t="s">
        <v>119</v>
      </c>
      <c r="H94" s="153">
        <v>44</v>
      </c>
      <c r="I94" s="151" t="s">
        <v>916</v>
      </c>
      <c r="J94" s="151" t="s">
        <v>82</v>
      </c>
      <c r="K94" s="154">
        <v>34370</v>
      </c>
      <c r="L94" s="154">
        <v>20950</v>
      </c>
      <c r="M94" s="155">
        <v>13</v>
      </c>
      <c r="N94" s="154">
        <v>13420</v>
      </c>
      <c r="O94" s="154">
        <v>11675.4</v>
      </c>
    </row>
    <row r="95" spans="2:15" ht="12.75" hidden="1" customHeight="1" outlineLevel="1" x14ac:dyDescent="0.25">
      <c r="B95" s="570" t="s">
        <v>550</v>
      </c>
      <c r="C95" s="570"/>
      <c r="D95" s="570"/>
      <c r="E95" s="570"/>
      <c r="F95" s="570"/>
      <c r="G95" s="570"/>
      <c r="H95" s="570"/>
      <c r="I95" s="570"/>
      <c r="J95" s="570"/>
      <c r="K95" s="156"/>
      <c r="L95" s="156"/>
      <c r="M95" s="156"/>
      <c r="N95" s="154">
        <v>13420</v>
      </c>
      <c r="O95" s="154">
        <v>11675.4</v>
      </c>
    </row>
    <row r="96" spans="2:15" ht="36.75" customHeight="1" collapsed="1" x14ac:dyDescent="0.25">
      <c r="B96" s="151" t="s">
        <v>933</v>
      </c>
      <c r="C96" s="152">
        <v>464</v>
      </c>
      <c r="D96" s="153">
        <v>68</v>
      </c>
      <c r="E96" s="151" t="s">
        <v>903</v>
      </c>
      <c r="F96" s="151" t="s">
        <v>133</v>
      </c>
      <c r="G96" s="151" t="s">
        <v>137</v>
      </c>
      <c r="H96" s="153">
        <v>45</v>
      </c>
      <c r="I96" s="151" t="s">
        <v>916</v>
      </c>
      <c r="J96" s="151" t="s">
        <v>82</v>
      </c>
      <c r="K96" s="154">
        <v>27800</v>
      </c>
      <c r="L96" s="154">
        <v>14820</v>
      </c>
      <c r="M96" s="155">
        <v>15</v>
      </c>
      <c r="N96" s="154">
        <v>12980</v>
      </c>
      <c r="O96" s="154">
        <v>11033</v>
      </c>
    </row>
    <row r="97" spans="2:15" ht="12.75" hidden="1" customHeight="1" outlineLevel="1" x14ac:dyDescent="0.25">
      <c r="B97" s="570" t="s">
        <v>511</v>
      </c>
      <c r="C97" s="570"/>
      <c r="D97" s="570"/>
      <c r="E97" s="570"/>
      <c r="F97" s="570"/>
      <c r="G97" s="570"/>
      <c r="H97" s="570"/>
      <c r="I97" s="570"/>
      <c r="J97" s="570"/>
      <c r="K97" s="156"/>
      <c r="L97" s="156"/>
      <c r="M97" s="156"/>
      <c r="N97" s="154">
        <v>12980</v>
      </c>
      <c r="O97" s="154">
        <v>11033</v>
      </c>
    </row>
    <row r="98" spans="2:15" ht="36.75" customHeight="1" collapsed="1" x14ac:dyDescent="0.25">
      <c r="B98" s="151" t="s">
        <v>934</v>
      </c>
      <c r="C98" s="152">
        <v>465</v>
      </c>
      <c r="D98" s="153">
        <v>69</v>
      </c>
      <c r="E98" s="151" t="s">
        <v>903</v>
      </c>
      <c r="F98" s="151" t="s">
        <v>1253</v>
      </c>
      <c r="G98" s="151" t="s">
        <v>270</v>
      </c>
      <c r="H98" s="153">
        <v>45</v>
      </c>
      <c r="I98" s="151" t="s">
        <v>916</v>
      </c>
      <c r="J98" s="151" t="s">
        <v>82</v>
      </c>
      <c r="K98" s="154">
        <v>28260</v>
      </c>
      <c r="L98" s="154">
        <v>14770</v>
      </c>
      <c r="M98" s="155">
        <v>14</v>
      </c>
      <c r="N98" s="154">
        <v>13490</v>
      </c>
      <c r="O98" s="154">
        <v>11601.4</v>
      </c>
    </row>
    <row r="99" spans="2:15" ht="12.75" hidden="1" customHeight="1" outlineLevel="1" x14ac:dyDescent="0.25">
      <c r="B99" s="570" t="s">
        <v>511</v>
      </c>
      <c r="C99" s="570"/>
      <c r="D99" s="570"/>
      <c r="E99" s="570"/>
      <c r="F99" s="570"/>
      <c r="G99" s="570"/>
      <c r="H99" s="570"/>
      <c r="I99" s="570"/>
      <c r="J99" s="570"/>
      <c r="K99" s="156"/>
      <c r="L99" s="156"/>
      <c r="M99" s="156"/>
      <c r="N99" s="154">
        <v>13490</v>
      </c>
      <c r="O99" s="154">
        <v>11601.4</v>
      </c>
    </row>
    <row r="100" spans="2:15" ht="36.75" customHeight="1" collapsed="1" x14ac:dyDescent="0.25">
      <c r="B100" s="151" t="s">
        <v>935</v>
      </c>
      <c r="C100" s="152">
        <v>466</v>
      </c>
      <c r="D100" s="153">
        <v>70</v>
      </c>
      <c r="E100" s="151" t="s">
        <v>903</v>
      </c>
      <c r="F100" s="151" t="s">
        <v>272</v>
      </c>
      <c r="G100" s="151" t="s">
        <v>276</v>
      </c>
      <c r="H100" s="153">
        <v>45</v>
      </c>
      <c r="I100" s="151" t="s">
        <v>916</v>
      </c>
      <c r="J100" s="151" t="s">
        <v>82</v>
      </c>
      <c r="K100" s="154">
        <v>27760</v>
      </c>
      <c r="L100" s="154">
        <v>14670</v>
      </c>
      <c r="M100" s="155">
        <v>18</v>
      </c>
      <c r="N100" s="154">
        <v>13090</v>
      </c>
      <c r="O100" s="154">
        <v>10733.8</v>
      </c>
    </row>
    <row r="101" spans="2:15" ht="12.75" hidden="1" customHeight="1" outlineLevel="1" x14ac:dyDescent="0.25">
      <c r="B101" s="570" t="s">
        <v>511</v>
      </c>
      <c r="C101" s="570"/>
      <c r="D101" s="570"/>
      <c r="E101" s="570"/>
      <c r="F101" s="570"/>
      <c r="G101" s="570"/>
      <c r="H101" s="570"/>
      <c r="I101" s="570"/>
      <c r="J101" s="570"/>
      <c r="K101" s="156"/>
      <c r="L101" s="156"/>
      <c r="M101" s="156"/>
      <c r="N101" s="154">
        <v>13090</v>
      </c>
      <c r="O101" s="154">
        <v>10733.8</v>
      </c>
    </row>
    <row r="102" spans="2:15" ht="36.75" customHeight="1" collapsed="1" x14ac:dyDescent="0.25">
      <c r="B102" s="151" t="s">
        <v>936</v>
      </c>
      <c r="C102" s="152">
        <v>467</v>
      </c>
      <c r="D102" s="153">
        <v>71</v>
      </c>
      <c r="E102" s="151" t="s">
        <v>903</v>
      </c>
      <c r="F102" s="151" t="s">
        <v>239</v>
      </c>
      <c r="G102" s="151" t="s">
        <v>243</v>
      </c>
      <c r="H102" s="153">
        <v>45</v>
      </c>
      <c r="I102" s="151" t="s">
        <v>916</v>
      </c>
      <c r="J102" s="151" t="s">
        <v>82</v>
      </c>
      <c r="K102" s="154">
        <v>27960</v>
      </c>
      <c r="L102" s="154">
        <v>14600</v>
      </c>
      <c r="M102" s="155">
        <v>17</v>
      </c>
      <c r="N102" s="154">
        <v>13360</v>
      </c>
      <c r="O102" s="154">
        <v>11088.8</v>
      </c>
    </row>
    <row r="103" spans="2:15" ht="12.75" hidden="1" customHeight="1" outlineLevel="1" x14ac:dyDescent="0.25">
      <c r="B103" s="570" t="s">
        <v>511</v>
      </c>
      <c r="C103" s="570"/>
      <c r="D103" s="570"/>
      <c r="E103" s="570"/>
      <c r="F103" s="570"/>
      <c r="G103" s="570"/>
      <c r="H103" s="570"/>
      <c r="I103" s="570"/>
      <c r="J103" s="570"/>
      <c r="K103" s="156"/>
      <c r="L103" s="156"/>
      <c r="M103" s="156"/>
      <c r="N103" s="154">
        <v>13360</v>
      </c>
      <c r="O103" s="154">
        <v>11088.8</v>
      </c>
    </row>
    <row r="104" spans="2:15" ht="36.75" customHeight="1" collapsed="1" x14ac:dyDescent="0.25">
      <c r="B104" s="151" t="s">
        <v>1024</v>
      </c>
      <c r="C104" s="152">
        <v>469</v>
      </c>
      <c r="D104" s="153">
        <v>73</v>
      </c>
      <c r="E104" s="151" t="s">
        <v>903</v>
      </c>
      <c r="F104" s="151" t="s">
        <v>1151</v>
      </c>
      <c r="G104" s="151" t="s">
        <v>145</v>
      </c>
      <c r="H104" s="153">
        <v>45</v>
      </c>
      <c r="I104" s="151" t="s">
        <v>916</v>
      </c>
      <c r="J104" s="151" t="s">
        <v>82</v>
      </c>
      <c r="K104" s="154">
        <v>29200</v>
      </c>
      <c r="L104" s="154">
        <v>15610</v>
      </c>
      <c r="M104" s="155">
        <v>8.5</v>
      </c>
      <c r="N104" s="154">
        <v>13590</v>
      </c>
      <c r="O104" s="154">
        <v>12434.8</v>
      </c>
    </row>
    <row r="105" spans="2:15" ht="12.75" hidden="1" customHeight="1" outlineLevel="1" x14ac:dyDescent="0.25">
      <c r="B105" s="570" t="s">
        <v>511</v>
      </c>
      <c r="C105" s="570"/>
      <c r="D105" s="570"/>
      <c r="E105" s="570"/>
      <c r="F105" s="570"/>
      <c r="G105" s="570"/>
      <c r="H105" s="570"/>
      <c r="I105" s="570"/>
      <c r="J105" s="570"/>
      <c r="K105" s="156"/>
      <c r="L105" s="156"/>
      <c r="M105" s="156"/>
      <c r="N105" s="154">
        <v>13590</v>
      </c>
      <c r="O105" s="154">
        <v>12434.8</v>
      </c>
    </row>
    <row r="106" spans="2:15" ht="36.75" customHeight="1" collapsed="1" x14ac:dyDescent="0.25">
      <c r="B106" s="151" t="s">
        <v>1025</v>
      </c>
      <c r="C106" s="152">
        <v>468</v>
      </c>
      <c r="D106" s="153">
        <v>72</v>
      </c>
      <c r="E106" s="151" t="s">
        <v>903</v>
      </c>
      <c r="F106" s="151" t="s">
        <v>1461</v>
      </c>
      <c r="G106" s="151" t="s">
        <v>149</v>
      </c>
      <c r="H106" s="153">
        <v>45</v>
      </c>
      <c r="I106" s="151" t="s">
        <v>916</v>
      </c>
      <c r="J106" s="151" t="s">
        <v>82</v>
      </c>
      <c r="K106" s="154">
        <v>28230</v>
      </c>
      <c r="L106" s="154">
        <v>14990</v>
      </c>
      <c r="M106" s="155">
        <v>12.5</v>
      </c>
      <c r="N106" s="154">
        <v>13240</v>
      </c>
      <c r="O106" s="154">
        <v>11585</v>
      </c>
    </row>
    <row r="107" spans="2:15" ht="12.75" hidden="1" customHeight="1" outlineLevel="1" x14ac:dyDescent="0.25">
      <c r="B107" s="570" t="s">
        <v>511</v>
      </c>
      <c r="C107" s="570"/>
      <c r="D107" s="570"/>
      <c r="E107" s="570"/>
      <c r="F107" s="570"/>
      <c r="G107" s="570"/>
      <c r="H107" s="570"/>
      <c r="I107" s="570"/>
      <c r="J107" s="570"/>
      <c r="K107" s="156"/>
      <c r="L107" s="156"/>
      <c r="M107" s="156"/>
      <c r="N107" s="154">
        <v>13240</v>
      </c>
      <c r="O107" s="154">
        <v>11585</v>
      </c>
    </row>
    <row r="108" spans="2:15" ht="36.75" customHeight="1" collapsed="1" x14ac:dyDescent="0.25">
      <c r="B108" s="151" t="s">
        <v>1026</v>
      </c>
      <c r="C108" s="152">
        <v>471</v>
      </c>
      <c r="D108" s="151" t="s">
        <v>902</v>
      </c>
      <c r="E108" s="151" t="s">
        <v>903</v>
      </c>
      <c r="F108" s="151" t="s">
        <v>305</v>
      </c>
      <c r="G108" s="151" t="s">
        <v>309</v>
      </c>
      <c r="H108" s="153">
        <v>45</v>
      </c>
      <c r="I108" s="151" t="s">
        <v>916</v>
      </c>
      <c r="J108" s="151" t="s">
        <v>82</v>
      </c>
      <c r="K108" s="154">
        <v>27820</v>
      </c>
      <c r="L108" s="154">
        <v>14340</v>
      </c>
      <c r="M108" s="155">
        <v>11</v>
      </c>
      <c r="N108" s="154">
        <v>13480</v>
      </c>
      <c r="O108" s="154">
        <v>11997.2</v>
      </c>
    </row>
    <row r="109" spans="2:15" ht="12.75" hidden="1" customHeight="1" outlineLevel="1" x14ac:dyDescent="0.25">
      <c r="B109" s="570" t="s">
        <v>550</v>
      </c>
      <c r="C109" s="570"/>
      <c r="D109" s="570"/>
      <c r="E109" s="570"/>
      <c r="F109" s="570"/>
      <c r="G109" s="570"/>
      <c r="H109" s="570"/>
      <c r="I109" s="570"/>
      <c r="J109" s="570"/>
      <c r="K109" s="156"/>
      <c r="L109" s="156"/>
      <c r="M109" s="156"/>
      <c r="N109" s="154">
        <v>13480</v>
      </c>
      <c r="O109" s="154">
        <v>11997.2</v>
      </c>
    </row>
    <row r="110" spans="2:15" ht="36.75" customHeight="1" collapsed="1" x14ac:dyDescent="0.25">
      <c r="B110" s="151" t="s">
        <v>1027</v>
      </c>
      <c r="C110" s="152">
        <v>472</v>
      </c>
      <c r="D110" s="151" t="s">
        <v>902</v>
      </c>
      <c r="E110" s="151" t="s">
        <v>903</v>
      </c>
      <c r="F110" s="151" t="s">
        <v>329</v>
      </c>
      <c r="G110" s="151" t="s">
        <v>333</v>
      </c>
      <c r="H110" s="153">
        <v>44</v>
      </c>
      <c r="I110" s="151" t="s">
        <v>916</v>
      </c>
      <c r="J110" s="151" t="s">
        <v>82</v>
      </c>
      <c r="K110" s="154">
        <v>28360</v>
      </c>
      <c r="L110" s="154">
        <v>21690</v>
      </c>
      <c r="M110" s="155">
        <v>9</v>
      </c>
      <c r="N110" s="154">
        <v>6670</v>
      </c>
      <c r="O110" s="154">
        <v>6069.7</v>
      </c>
    </row>
    <row r="111" spans="2:15" ht="12.75" hidden="1" customHeight="1" outlineLevel="1" x14ac:dyDescent="0.25">
      <c r="B111" s="570" t="s">
        <v>550</v>
      </c>
      <c r="C111" s="570"/>
      <c r="D111" s="570"/>
      <c r="E111" s="570"/>
      <c r="F111" s="570"/>
      <c r="G111" s="570"/>
      <c r="H111" s="570"/>
      <c r="I111" s="570"/>
      <c r="J111" s="570"/>
      <c r="K111" s="156"/>
      <c r="L111" s="156"/>
      <c r="M111" s="156"/>
      <c r="N111" s="154">
        <v>6670</v>
      </c>
      <c r="O111" s="154">
        <v>6069.7</v>
      </c>
    </row>
    <row r="112" spans="2:15" ht="36.75" customHeight="1" collapsed="1" x14ac:dyDescent="0.25">
      <c r="B112" s="151" t="s">
        <v>1028</v>
      </c>
      <c r="C112" s="152">
        <v>474</v>
      </c>
      <c r="D112" s="151" t="s">
        <v>902</v>
      </c>
      <c r="E112" s="151" t="s">
        <v>903</v>
      </c>
      <c r="F112" s="151" t="s">
        <v>329</v>
      </c>
      <c r="G112" s="151" t="s">
        <v>333</v>
      </c>
      <c r="H112" s="153">
        <v>45</v>
      </c>
      <c r="I112" s="151" t="s">
        <v>916</v>
      </c>
      <c r="J112" s="151" t="s">
        <v>82</v>
      </c>
      <c r="K112" s="154">
        <v>21690</v>
      </c>
      <c r="L112" s="154">
        <v>14970</v>
      </c>
      <c r="M112" s="155">
        <v>8.5</v>
      </c>
      <c r="N112" s="154">
        <v>6720</v>
      </c>
      <c r="O112" s="154">
        <v>6148.8</v>
      </c>
    </row>
    <row r="113" spans="2:15" ht="12.75" hidden="1" customHeight="1" outlineLevel="1" x14ac:dyDescent="0.25">
      <c r="B113" s="570" t="s">
        <v>550</v>
      </c>
      <c r="C113" s="570"/>
      <c r="D113" s="570"/>
      <c r="E113" s="570"/>
      <c r="F113" s="570"/>
      <c r="G113" s="570"/>
      <c r="H113" s="570"/>
      <c r="I113" s="570"/>
      <c r="J113" s="570"/>
      <c r="K113" s="156"/>
      <c r="L113" s="156"/>
      <c r="M113" s="156"/>
      <c r="N113" s="154">
        <v>6720</v>
      </c>
      <c r="O113" s="154">
        <v>6148.8</v>
      </c>
    </row>
    <row r="114" spans="2:15" ht="36.75" customHeight="1" collapsed="1" x14ac:dyDescent="0.25">
      <c r="B114" s="151" t="s">
        <v>1030</v>
      </c>
      <c r="C114" s="152">
        <v>475</v>
      </c>
      <c r="D114" s="151" t="s">
        <v>902</v>
      </c>
      <c r="E114" s="151" t="s">
        <v>903</v>
      </c>
      <c r="F114" s="151" t="s">
        <v>311</v>
      </c>
      <c r="G114" s="151" t="s">
        <v>315</v>
      </c>
      <c r="H114" s="153">
        <v>44</v>
      </c>
      <c r="I114" s="151" t="s">
        <v>916</v>
      </c>
      <c r="J114" s="151" t="s">
        <v>82</v>
      </c>
      <c r="K114" s="154">
        <v>28130</v>
      </c>
      <c r="L114" s="154">
        <v>15000</v>
      </c>
      <c r="M114" s="155">
        <v>6.5</v>
      </c>
      <c r="N114" s="154">
        <v>13130</v>
      </c>
      <c r="O114" s="154">
        <v>12276.5</v>
      </c>
    </row>
    <row r="115" spans="2:15" ht="12.75" hidden="1" customHeight="1" outlineLevel="1" x14ac:dyDescent="0.25">
      <c r="B115" s="570" t="s">
        <v>550</v>
      </c>
      <c r="C115" s="570"/>
      <c r="D115" s="570"/>
      <c r="E115" s="570"/>
      <c r="F115" s="570"/>
      <c r="G115" s="570"/>
      <c r="H115" s="570"/>
      <c r="I115" s="570"/>
      <c r="J115" s="570"/>
      <c r="K115" s="156"/>
      <c r="L115" s="156"/>
      <c r="M115" s="156"/>
      <c r="N115" s="154">
        <v>13130</v>
      </c>
      <c r="O115" s="154">
        <v>12276.5</v>
      </c>
    </row>
    <row r="116" spans="2:15" ht="36.75" customHeight="1" collapsed="1" x14ac:dyDescent="0.25">
      <c r="B116" s="151" t="s">
        <v>1031</v>
      </c>
      <c r="C116" s="152">
        <v>476</v>
      </c>
      <c r="D116" s="151" t="s">
        <v>902</v>
      </c>
      <c r="E116" s="151" t="s">
        <v>903</v>
      </c>
      <c r="F116" s="151" t="s">
        <v>121</v>
      </c>
      <c r="G116" s="151" t="s">
        <v>125</v>
      </c>
      <c r="H116" s="153">
        <v>43</v>
      </c>
      <c r="I116" s="151" t="s">
        <v>916</v>
      </c>
      <c r="J116" s="151" t="s">
        <v>82</v>
      </c>
      <c r="K116" s="154">
        <v>27790</v>
      </c>
      <c r="L116" s="154">
        <v>14620</v>
      </c>
      <c r="M116" s="155">
        <v>7.5</v>
      </c>
      <c r="N116" s="154">
        <v>13170</v>
      </c>
      <c r="O116" s="154">
        <v>12182.2</v>
      </c>
    </row>
    <row r="117" spans="2:15" ht="12.75" hidden="1" customHeight="1" outlineLevel="1" x14ac:dyDescent="0.25">
      <c r="B117" s="570" t="s">
        <v>550</v>
      </c>
      <c r="C117" s="570"/>
      <c r="D117" s="570"/>
      <c r="E117" s="570"/>
      <c r="F117" s="570"/>
      <c r="G117" s="570"/>
      <c r="H117" s="570"/>
      <c r="I117" s="570"/>
      <c r="J117" s="570"/>
      <c r="K117" s="156"/>
      <c r="L117" s="156"/>
      <c r="M117" s="156"/>
      <c r="N117" s="154">
        <v>13170</v>
      </c>
      <c r="O117" s="154">
        <v>12182.2</v>
      </c>
    </row>
    <row r="118" spans="2:15" ht="36.75" customHeight="1" collapsed="1" x14ac:dyDescent="0.25">
      <c r="B118" s="151" t="s">
        <v>1032</v>
      </c>
      <c r="C118" s="152">
        <v>477</v>
      </c>
      <c r="D118" s="151" t="s">
        <v>902</v>
      </c>
      <c r="E118" s="151" t="s">
        <v>903</v>
      </c>
      <c r="F118" s="151" t="s">
        <v>234</v>
      </c>
      <c r="G118" s="151" t="s">
        <v>238</v>
      </c>
      <c r="H118" s="153">
        <v>43</v>
      </c>
      <c r="I118" s="151" t="s">
        <v>916</v>
      </c>
      <c r="J118" s="151" t="s">
        <v>82</v>
      </c>
      <c r="K118" s="154">
        <v>28530</v>
      </c>
      <c r="L118" s="154">
        <v>15580</v>
      </c>
      <c r="M118" s="155">
        <v>9</v>
      </c>
      <c r="N118" s="154">
        <v>12950</v>
      </c>
      <c r="O118" s="154">
        <v>11784.5</v>
      </c>
    </row>
    <row r="119" spans="2:15" ht="12.75" hidden="1" customHeight="1" outlineLevel="1" x14ac:dyDescent="0.25">
      <c r="B119" s="570" t="s">
        <v>550</v>
      </c>
      <c r="C119" s="570"/>
      <c r="D119" s="570"/>
      <c r="E119" s="570"/>
      <c r="F119" s="570"/>
      <c r="G119" s="570"/>
      <c r="H119" s="570"/>
      <c r="I119" s="570"/>
      <c r="J119" s="570"/>
      <c r="K119" s="156"/>
      <c r="L119" s="156"/>
      <c r="M119" s="156"/>
      <c r="N119" s="154">
        <v>12950</v>
      </c>
      <c r="O119" s="154">
        <v>11784.5</v>
      </c>
    </row>
    <row r="120" spans="2:15" ht="36.75" customHeight="1" collapsed="1" x14ac:dyDescent="0.25">
      <c r="B120" s="151" t="s">
        <v>1029</v>
      </c>
      <c r="C120" s="152">
        <v>473</v>
      </c>
      <c r="D120" s="151" t="s">
        <v>902</v>
      </c>
      <c r="E120" s="151" t="s">
        <v>903</v>
      </c>
      <c r="F120" s="151" t="s">
        <v>262</v>
      </c>
      <c r="G120" s="151" t="s">
        <v>266</v>
      </c>
      <c r="H120" s="153">
        <v>44</v>
      </c>
      <c r="I120" s="151" t="s">
        <v>916</v>
      </c>
      <c r="J120" s="151" t="s">
        <v>82</v>
      </c>
      <c r="K120" s="154">
        <v>28140</v>
      </c>
      <c r="L120" s="154">
        <v>14690</v>
      </c>
      <c r="M120" s="155">
        <v>8</v>
      </c>
      <c r="N120" s="154">
        <v>13450</v>
      </c>
      <c r="O120" s="154">
        <v>12374</v>
      </c>
    </row>
    <row r="121" spans="2:15" ht="12.75" hidden="1" customHeight="1" outlineLevel="1" x14ac:dyDescent="0.25">
      <c r="B121" s="570" t="s">
        <v>550</v>
      </c>
      <c r="C121" s="570"/>
      <c r="D121" s="570"/>
      <c r="E121" s="570"/>
      <c r="F121" s="570"/>
      <c r="G121" s="570"/>
      <c r="H121" s="570"/>
      <c r="I121" s="570"/>
      <c r="J121" s="570"/>
      <c r="K121" s="156"/>
      <c r="L121" s="156"/>
      <c r="M121" s="156"/>
      <c r="N121" s="154">
        <v>13450</v>
      </c>
      <c r="O121" s="154">
        <v>12374</v>
      </c>
    </row>
    <row r="122" spans="2:15" ht="36.75" customHeight="1" collapsed="1" x14ac:dyDescent="0.25">
      <c r="B122" s="151" t="s">
        <v>1033</v>
      </c>
      <c r="C122" s="152">
        <v>478</v>
      </c>
      <c r="D122" s="151" t="s">
        <v>902</v>
      </c>
      <c r="E122" s="151" t="s">
        <v>903</v>
      </c>
      <c r="F122" s="151" t="s">
        <v>894</v>
      </c>
      <c r="G122" s="151" t="s">
        <v>895</v>
      </c>
      <c r="H122" s="153">
        <v>43</v>
      </c>
      <c r="I122" s="151" t="s">
        <v>916</v>
      </c>
      <c r="J122" s="151" t="s">
        <v>82</v>
      </c>
      <c r="K122" s="154">
        <v>28040</v>
      </c>
      <c r="L122" s="154">
        <v>14890</v>
      </c>
      <c r="M122" s="155">
        <v>7</v>
      </c>
      <c r="N122" s="154">
        <v>13150</v>
      </c>
      <c r="O122" s="154">
        <v>12229.5</v>
      </c>
    </row>
    <row r="123" spans="2:15" ht="12.75" hidden="1" customHeight="1" outlineLevel="1" x14ac:dyDescent="0.25">
      <c r="B123" s="570" t="s">
        <v>550</v>
      </c>
      <c r="C123" s="570"/>
      <c r="D123" s="570"/>
      <c r="E123" s="570"/>
      <c r="F123" s="570"/>
      <c r="G123" s="570"/>
      <c r="H123" s="570"/>
      <c r="I123" s="570"/>
      <c r="J123" s="570"/>
      <c r="K123" s="156"/>
      <c r="L123" s="156"/>
      <c r="M123" s="156"/>
      <c r="N123" s="154">
        <v>13150</v>
      </c>
      <c r="O123" s="154">
        <v>12229.5</v>
      </c>
    </row>
    <row r="124" spans="2:15" ht="36.75" customHeight="1" collapsed="1" x14ac:dyDescent="0.25">
      <c r="B124" s="151" t="s">
        <v>1034</v>
      </c>
      <c r="C124" s="152">
        <v>481</v>
      </c>
      <c r="D124" s="151" t="s">
        <v>902</v>
      </c>
      <c r="E124" s="151" t="s">
        <v>903</v>
      </c>
      <c r="F124" s="151" t="s">
        <v>133</v>
      </c>
      <c r="G124" s="151" t="s">
        <v>137</v>
      </c>
      <c r="H124" s="153">
        <v>43</v>
      </c>
      <c r="I124" s="151" t="s">
        <v>916</v>
      </c>
      <c r="J124" s="151" t="s">
        <v>82</v>
      </c>
      <c r="K124" s="154">
        <v>27690</v>
      </c>
      <c r="L124" s="154">
        <v>14700</v>
      </c>
      <c r="M124" s="155">
        <v>9.5</v>
      </c>
      <c r="N124" s="154">
        <v>12990</v>
      </c>
      <c r="O124" s="154">
        <v>11755.9</v>
      </c>
    </row>
    <row r="125" spans="2:15" ht="12.75" hidden="1" customHeight="1" outlineLevel="1" x14ac:dyDescent="0.25">
      <c r="B125" s="570" t="s">
        <v>550</v>
      </c>
      <c r="C125" s="570"/>
      <c r="D125" s="570"/>
      <c r="E125" s="570"/>
      <c r="F125" s="570"/>
      <c r="G125" s="570"/>
      <c r="H125" s="570"/>
      <c r="I125" s="570"/>
      <c r="J125" s="570"/>
      <c r="K125" s="156"/>
      <c r="L125" s="156"/>
      <c r="M125" s="156"/>
      <c r="N125" s="154">
        <v>12990</v>
      </c>
      <c r="O125" s="154">
        <v>11755.9</v>
      </c>
    </row>
    <row r="126" spans="2:15" ht="36.75" customHeight="1" collapsed="1" x14ac:dyDescent="0.25">
      <c r="B126" s="151" t="s">
        <v>1035</v>
      </c>
      <c r="C126" s="152">
        <v>479</v>
      </c>
      <c r="D126" s="151" t="s">
        <v>902</v>
      </c>
      <c r="E126" s="151" t="s">
        <v>903</v>
      </c>
      <c r="F126" s="151" t="s">
        <v>1312</v>
      </c>
      <c r="G126" s="151" t="s">
        <v>320</v>
      </c>
      <c r="H126" s="153">
        <v>43</v>
      </c>
      <c r="I126" s="151" t="s">
        <v>916</v>
      </c>
      <c r="J126" s="151" t="s">
        <v>82</v>
      </c>
      <c r="K126" s="154">
        <v>27340</v>
      </c>
      <c r="L126" s="154">
        <v>14430</v>
      </c>
      <c r="M126" s="155">
        <v>9.5</v>
      </c>
      <c r="N126" s="154">
        <v>12910</v>
      </c>
      <c r="O126" s="154">
        <v>11683.5</v>
      </c>
    </row>
    <row r="127" spans="2:15" ht="12.75" hidden="1" customHeight="1" outlineLevel="1" x14ac:dyDescent="0.25">
      <c r="B127" s="570" t="s">
        <v>550</v>
      </c>
      <c r="C127" s="570"/>
      <c r="D127" s="570"/>
      <c r="E127" s="570"/>
      <c r="F127" s="570"/>
      <c r="G127" s="570"/>
      <c r="H127" s="570"/>
      <c r="I127" s="570"/>
      <c r="J127" s="570"/>
      <c r="K127" s="156"/>
      <c r="L127" s="156"/>
      <c r="M127" s="156"/>
      <c r="N127" s="154">
        <v>12910</v>
      </c>
      <c r="O127" s="154">
        <v>11683.5</v>
      </c>
    </row>
    <row r="128" spans="2:15" ht="36.75" customHeight="1" collapsed="1" x14ac:dyDescent="0.25">
      <c r="B128" s="151" t="s">
        <v>1036</v>
      </c>
      <c r="C128" s="152">
        <v>480</v>
      </c>
      <c r="D128" s="151" t="s">
        <v>902</v>
      </c>
      <c r="E128" s="151" t="s">
        <v>903</v>
      </c>
      <c r="F128" s="151" t="s">
        <v>151</v>
      </c>
      <c r="G128" s="151" t="s">
        <v>155</v>
      </c>
      <c r="H128" s="153">
        <v>43</v>
      </c>
      <c r="I128" s="151" t="s">
        <v>916</v>
      </c>
      <c r="J128" s="151" t="s">
        <v>82</v>
      </c>
      <c r="K128" s="154">
        <v>28260</v>
      </c>
      <c r="L128" s="154">
        <v>14930</v>
      </c>
      <c r="M128" s="155">
        <v>8.5</v>
      </c>
      <c r="N128" s="154">
        <v>13330</v>
      </c>
      <c r="O128" s="154">
        <v>12196.9</v>
      </c>
    </row>
    <row r="129" spans="2:15" ht="12.75" hidden="1" customHeight="1" outlineLevel="1" x14ac:dyDescent="0.25">
      <c r="B129" s="570" t="s">
        <v>833</v>
      </c>
      <c r="C129" s="570"/>
      <c r="D129" s="570"/>
      <c r="E129" s="570"/>
      <c r="F129" s="570"/>
      <c r="G129" s="570"/>
      <c r="H129" s="570"/>
      <c r="I129" s="570"/>
      <c r="J129" s="570"/>
      <c r="K129" s="156"/>
      <c r="L129" s="156"/>
      <c r="M129" s="156"/>
      <c r="N129" s="154">
        <v>13330</v>
      </c>
      <c r="O129" s="154">
        <v>12196.9</v>
      </c>
    </row>
    <row r="130" spans="2:15" ht="36.75" customHeight="1" collapsed="1" x14ac:dyDescent="0.25">
      <c r="B130" s="151" t="s">
        <v>1037</v>
      </c>
      <c r="C130" s="152">
        <v>482</v>
      </c>
      <c r="D130" s="151" t="s">
        <v>902</v>
      </c>
      <c r="E130" s="151" t="s">
        <v>903</v>
      </c>
      <c r="F130" s="151" t="s">
        <v>347</v>
      </c>
      <c r="G130" s="151" t="s">
        <v>351</v>
      </c>
      <c r="H130" s="153">
        <v>43</v>
      </c>
      <c r="I130" s="151" t="s">
        <v>916</v>
      </c>
      <c r="J130" s="151" t="s">
        <v>82</v>
      </c>
      <c r="K130" s="154">
        <v>31920</v>
      </c>
      <c r="L130" s="154">
        <v>18800</v>
      </c>
      <c r="M130" s="155">
        <v>5.5</v>
      </c>
      <c r="N130" s="154">
        <v>13120</v>
      </c>
      <c r="O130" s="154">
        <v>12398.4</v>
      </c>
    </row>
    <row r="131" spans="2:15" ht="12.75" hidden="1" customHeight="1" outlineLevel="1" x14ac:dyDescent="0.25">
      <c r="B131" s="570" t="s">
        <v>833</v>
      </c>
      <c r="C131" s="570"/>
      <c r="D131" s="570"/>
      <c r="E131" s="570"/>
      <c r="F131" s="570"/>
      <c r="G131" s="570"/>
      <c r="H131" s="570"/>
      <c r="I131" s="570"/>
      <c r="J131" s="570"/>
      <c r="K131" s="156"/>
      <c r="L131" s="156"/>
      <c r="M131" s="156"/>
      <c r="N131" s="154">
        <v>13120</v>
      </c>
      <c r="O131" s="154">
        <v>12398.4</v>
      </c>
    </row>
    <row r="132" spans="2:15" ht="36.75" customHeight="1" collapsed="1" x14ac:dyDescent="0.25">
      <c r="B132" s="151" t="s">
        <v>1038</v>
      </c>
      <c r="C132" s="152">
        <v>483</v>
      </c>
      <c r="D132" s="151" t="s">
        <v>902</v>
      </c>
      <c r="E132" s="151" t="s">
        <v>903</v>
      </c>
      <c r="F132" s="151" t="s">
        <v>160</v>
      </c>
      <c r="G132" s="151" t="s">
        <v>164</v>
      </c>
      <c r="H132" s="153">
        <v>43</v>
      </c>
      <c r="I132" s="151" t="s">
        <v>916</v>
      </c>
      <c r="J132" s="151" t="s">
        <v>82</v>
      </c>
      <c r="K132" s="154">
        <v>37340</v>
      </c>
      <c r="L132" s="154">
        <v>24030</v>
      </c>
      <c r="M132" s="155">
        <v>8</v>
      </c>
      <c r="N132" s="154">
        <v>13310</v>
      </c>
      <c r="O132" s="154">
        <v>12245.2</v>
      </c>
    </row>
    <row r="133" spans="2:15" ht="12.75" hidden="1" customHeight="1" outlineLevel="1" x14ac:dyDescent="0.25">
      <c r="B133" s="570" t="s">
        <v>833</v>
      </c>
      <c r="C133" s="570"/>
      <c r="D133" s="570"/>
      <c r="E133" s="570"/>
      <c r="F133" s="570"/>
      <c r="G133" s="570"/>
      <c r="H133" s="570"/>
      <c r="I133" s="570"/>
      <c r="J133" s="570"/>
      <c r="K133" s="156"/>
      <c r="L133" s="156"/>
      <c r="M133" s="156"/>
      <c r="N133" s="154">
        <v>13310</v>
      </c>
      <c r="O133" s="154">
        <v>12245.2</v>
      </c>
    </row>
    <row r="134" spans="2:15" ht="36.75" customHeight="1" collapsed="1" x14ac:dyDescent="0.25">
      <c r="B134" s="151" t="s">
        <v>1002</v>
      </c>
      <c r="C134" s="152">
        <v>492</v>
      </c>
      <c r="D134" s="151" t="s">
        <v>902</v>
      </c>
      <c r="E134" s="151" t="s">
        <v>903</v>
      </c>
      <c r="F134" s="151" t="s">
        <v>239</v>
      </c>
      <c r="G134" s="151" t="s">
        <v>243</v>
      </c>
      <c r="H134" s="153">
        <v>44</v>
      </c>
      <c r="I134" s="151" t="s">
        <v>916</v>
      </c>
      <c r="J134" s="151" t="s">
        <v>82</v>
      </c>
      <c r="K134" s="154">
        <v>27790</v>
      </c>
      <c r="L134" s="154">
        <v>21160</v>
      </c>
      <c r="M134" s="155">
        <v>14.5</v>
      </c>
      <c r="N134" s="154">
        <v>6630</v>
      </c>
      <c r="O134" s="154">
        <v>5668.6</v>
      </c>
    </row>
    <row r="135" spans="2:15" ht="12.75" hidden="1" customHeight="1" outlineLevel="1" x14ac:dyDescent="0.25">
      <c r="B135" s="570" t="s">
        <v>550</v>
      </c>
      <c r="C135" s="570"/>
      <c r="D135" s="570"/>
      <c r="E135" s="570"/>
      <c r="F135" s="570"/>
      <c r="G135" s="570"/>
      <c r="H135" s="570"/>
      <c r="I135" s="570"/>
      <c r="J135" s="570"/>
      <c r="K135" s="156"/>
      <c r="L135" s="156"/>
      <c r="M135" s="156"/>
      <c r="N135" s="154">
        <v>6630</v>
      </c>
      <c r="O135" s="154">
        <v>5668.6</v>
      </c>
    </row>
    <row r="136" spans="2:15" ht="36.75" customHeight="1" collapsed="1" x14ac:dyDescent="0.25">
      <c r="B136" s="151" t="s">
        <v>1039</v>
      </c>
      <c r="C136" s="152">
        <v>484</v>
      </c>
      <c r="D136" s="151" t="s">
        <v>902</v>
      </c>
      <c r="E136" s="151" t="s">
        <v>903</v>
      </c>
      <c r="F136" s="151" t="s">
        <v>335</v>
      </c>
      <c r="G136" s="151" t="s">
        <v>339</v>
      </c>
      <c r="H136" s="151" t="s">
        <v>110</v>
      </c>
      <c r="I136" s="151" t="s">
        <v>916</v>
      </c>
      <c r="J136" s="151" t="s">
        <v>82</v>
      </c>
      <c r="K136" s="154">
        <v>28270</v>
      </c>
      <c r="L136" s="154">
        <v>21420</v>
      </c>
      <c r="M136" s="155">
        <v>10.5</v>
      </c>
      <c r="N136" s="154">
        <v>6850</v>
      </c>
      <c r="O136" s="154">
        <v>6130.7</v>
      </c>
    </row>
    <row r="137" spans="2:15" ht="12.75" hidden="1" customHeight="1" outlineLevel="1" x14ac:dyDescent="0.25">
      <c r="B137" s="570" t="s">
        <v>550</v>
      </c>
      <c r="C137" s="570"/>
      <c r="D137" s="570"/>
      <c r="E137" s="570"/>
      <c r="F137" s="570"/>
      <c r="G137" s="570"/>
      <c r="H137" s="570"/>
      <c r="I137" s="570"/>
      <c r="J137" s="570"/>
      <c r="K137" s="156"/>
      <c r="L137" s="156"/>
      <c r="M137" s="156"/>
      <c r="N137" s="154">
        <v>6850</v>
      </c>
      <c r="O137" s="154">
        <v>6130.7</v>
      </c>
    </row>
    <row r="138" spans="2:15" ht="36.75" customHeight="1" collapsed="1" x14ac:dyDescent="0.25">
      <c r="B138" s="151" t="s">
        <v>1003</v>
      </c>
      <c r="C138" s="152">
        <v>493</v>
      </c>
      <c r="D138" s="153">
        <v>90</v>
      </c>
      <c r="E138" s="151" t="s">
        <v>903</v>
      </c>
      <c r="F138" s="151" t="s">
        <v>1461</v>
      </c>
      <c r="G138" s="151" t="s">
        <v>149</v>
      </c>
      <c r="H138" s="153">
        <v>44</v>
      </c>
      <c r="I138" s="151" t="s">
        <v>916</v>
      </c>
      <c r="J138" s="151" t="s">
        <v>82</v>
      </c>
      <c r="K138" s="154">
        <v>28260</v>
      </c>
      <c r="L138" s="154">
        <v>21610</v>
      </c>
      <c r="M138" s="155">
        <v>7.5</v>
      </c>
      <c r="N138" s="154">
        <v>6650</v>
      </c>
      <c r="O138" s="154">
        <v>6151.2</v>
      </c>
    </row>
    <row r="139" spans="2:15" ht="12.75" hidden="1" customHeight="1" outlineLevel="1" x14ac:dyDescent="0.25">
      <c r="B139" s="570" t="s">
        <v>550</v>
      </c>
      <c r="C139" s="570"/>
      <c r="D139" s="570"/>
      <c r="E139" s="570"/>
      <c r="F139" s="570"/>
      <c r="G139" s="570"/>
      <c r="H139" s="570"/>
      <c r="I139" s="570"/>
      <c r="J139" s="570"/>
      <c r="K139" s="156"/>
      <c r="L139" s="156"/>
      <c r="M139" s="156"/>
      <c r="N139" s="154">
        <v>6650</v>
      </c>
      <c r="O139" s="154">
        <v>6151.2</v>
      </c>
    </row>
    <row r="140" spans="2:15" ht="36.75" customHeight="1" collapsed="1" x14ac:dyDescent="0.25">
      <c r="B140" s="151" t="s">
        <v>1040</v>
      </c>
      <c r="C140" s="152">
        <v>491</v>
      </c>
      <c r="D140" s="151" t="s">
        <v>902</v>
      </c>
      <c r="E140" s="151" t="s">
        <v>903</v>
      </c>
      <c r="F140" s="151" t="s">
        <v>335</v>
      </c>
      <c r="G140" s="151" t="s">
        <v>339</v>
      </c>
      <c r="H140" s="153">
        <v>43</v>
      </c>
      <c r="I140" s="151" t="s">
        <v>916</v>
      </c>
      <c r="J140" s="151" t="s">
        <v>82</v>
      </c>
      <c r="K140" s="154">
        <v>21420</v>
      </c>
      <c r="L140" s="154">
        <v>14770</v>
      </c>
      <c r="M140" s="155">
        <v>14.5</v>
      </c>
      <c r="N140" s="154">
        <v>6650</v>
      </c>
      <c r="O140" s="154">
        <v>5685.7</v>
      </c>
    </row>
    <row r="141" spans="2:15" ht="12.75" hidden="1" customHeight="1" outlineLevel="1" x14ac:dyDescent="0.25">
      <c r="B141" s="570" t="s">
        <v>550</v>
      </c>
      <c r="C141" s="570"/>
      <c r="D141" s="570"/>
      <c r="E141" s="570"/>
      <c r="F141" s="570"/>
      <c r="G141" s="570"/>
      <c r="H141" s="570"/>
      <c r="I141" s="570"/>
      <c r="J141" s="570"/>
      <c r="K141" s="156"/>
      <c r="L141" s="156"/>
      <c r="M141" s="156"/>
      <c r="N141" s="154">
        <v>6650</v>
      </c>
      <c r="O141" s="154">
        <v>5685.7</v>
      </c>
    </row>
    <row r="142" spans="2:15" ht="36.75" customHeight="1" collapsed="1" x14ac:dyDescent="0.25">
      <c r="B142" s="151" t="s">
        <v>1041</v>
      </c>
      <c r="C142" s="152">
        <v>487</v>
      </c>
      <c r="D142" s="151" t="s">
        <v>902</v>
      </c>
      <c r="E142" s="151" t="s">
        <v>914</v>
      </c>
      <c r="F142" s="151" t="s">
        <v>737</v>
      </c>
      <c r="G142" s="151" t="s">
        <v>738</v>
      </c>
      <c r="H142" s="153">
        <v>15</v>
      </c>
      <c r="I142" s="151" t="s">
        <v>909</v>
      </c>
      <c r="J142" s="151" t="s">
        <v>82</v>
      </c>
      <c r="K142" s="154">
        <v>6630</v>
      </c>
      <c r="L142" s="154">
        <v>4560</v>
      </c>
      <c r="M142" s="155">
        <v>14.5</v>
      </c>
      <c r="N142" s="154">
        <v>2070</v>
      </c>
      <c r="O142" s="154">
        <v>1769.8</v>
      </c>
    </row>
    <row r="143" spans="2:15" ht="12.75" hidden="1" customHeight="1" outlineLevel="1" x14ac:dyDescent="0.25">
      <c r="B143" s="570" t="s">
        <v>511</v>
      </c>
      <c r="C143" s="570"/>
      <c r="D143" s="570"/>
      <c r="E143" s="570"/>
      <c r="F143" s="570"/>
      <c r="G143" s="570"/>
      <c r="H143" s="570"/>
      <c r="I143" s="570"/>
      <c r="J143" s="570"/>
      <c r="K143" s="156"/>
      <c r="L143" s="156"/>
      <c r="M143" s="156"/>
      <c r="N143" s="154">
        <v>2070</v>
      </c>
      <c r="O143" s="154">
        <v>1769.8</v>
      </c>
    </row>
    <row r="144" spans="2:15" ht="36.75" customHeight="1" collapsed="1" x14ac:dyDescent="0.25">
      <c r="B144" s="151" t="s">
        <v>997</v>
      </c>
      <c r="C144" s="152">
        <v>496</v>
      </c>
      <c r="D144" s="151" t="s">
        <v>998</v>
      </c>
      <c r="E144" s="151" t="s">
        <v>903</v>
      </c>
      <c r="F144" s="151" t="s">
        <v>1151</v>
      </c>
      <c r="G144" s="151" t="s">
        <v>145</v>
      </c>
      <c r="H144" s="153">
        <v>44</v>
      </c>
      <c r="I144" s="151" t="s">
        <v>916</v>
      </c>
      <c r="J144" s="151" t="s">
        <v>82</v>
      </c>
      <c r="K144" s="154">
        <v>29040</v>
      </c>
      <c r="L144" s="154">
        <v>15530</v>
      </c>
      <c r="M144" s="156"/>
      <c r="N144" s="154">
        <v>13510</v>
      </c>
      <c r="O144" s="154">
        <v>13510</v>
      </c>
    </row>
    <row r="145" spans="2:15" ht="12.75" hidden="1" customHeight="1" outlineLevel="1" x14ac:dyDescent="0.25">
      <c r="B145" s="570" t="s">
        <v>833</v>
      </c>
      <c r="C145" s="570"/>
      <c r="D145" s="570"/>
      <c r="E145" s="570"/>
      <c r="F145" s="570"/>
      <c r="G145" s="570"/>
      <c r="H145" s="570"/>
      <c r="I145" s="570"/>
      <c r="J145" s="570"/>
      <c r="K145" s="156"/>
      <c r="L145" s="156"/>
      <c r="M145" s="156"/>
      <c r="N145" s="154">
        <v>13510</v>
      </c>
      <c r="O145" s="154">
        <v>13510</v>
      </c>
    </row>
    <row r="146" spans="2:15" ht="36.75" customHeight="1" collapsed="1" x14ac:dyDescent="0.25">
      <c r="B146" s="151" t="s">
        <v>1006</v>
      </c>
      <c r="C146" s="152">
        <v>496</v>
      </c>
      <c r="D146" s="151" t="s">
        <v>1007</v>
      </c>
      <c r="E146" s="151" t="s">
        <v>903</v>
      </c>
      <c r="F146" s="151" t="s">
        <v>305</v>
      </c>
      <c r="G146" s="151" t="s">
        <v>309</v>
      </c>
      <c r="H146" s="153">
        <v>44</v>
      </c>
      <c r="I146" s="151" t="s">
        <v>916</v>
      </c>
      <c r="J146" s="151" t="s">
        <v>82</v>
      </c>
      <c r="K146" s="154">
        <v>27700</v>
      </c>
      <c r="L146" s="154">
        <v>14440</v>
      </c>
      <c r="M146" s="155">
        <v>12</v>
      </c>
      <c r="N146" s="154">
        <v>13260</v>
      </c>
      <c r="O146" s="154">
        <v>11669</v>
      </c>
    </row>
    <row r="147" spans="2:15" ht="12.75" hidden="1" customHeight="1" outlineLevel="1" x14ac:dyDescent="0.25">
      <c r="B147" s="570" t="s">
        <v>833</v>
      </c>
      <c r="C147" s="570"/>
      <c r="D147" s="570"/>
      <c r="E147" s="570"/>
      <c r="F147" s="570"/>
      <c r="G147" s="570"/>
      <c r="H147" s="570"/>
      <c r="I147" s="570"/>
      <c r="J147" s="570"/>
      <c r="K147" s="156"/>
      <c r="L147" s="156"/>
      <c r="M147" s="156"/>
      <c r="N147" s="154">
        <v>13260</v>
      </c>
      <c r="O147" s="154">
        <v>11669</v>
      </c>
    </row>
    <row r="148" spans="2:15" ht="36.75" customHeight="1" collapsed="1" x14ac:dyDescent="0.25">
      <c r="B148" s="151" t="s">
        <v>991</v>
      </c>
      <c r="C148" s="152">
        <v>498</v>
      </c>
      <c r="D148" s="151" t="s">
        <v>992</v>
      </c>
      <c r="E148" s="151" t="s">
        <v>903</v>
      </c>
      <c r="F148" s="151" t="s">
        <v>1253</v>
      </c>
      <c r="G148" s="151" t="s">
        <v>270</v>
      </c>
      <c r="H148" s="151" t="s">
        <v>110</v>
      </c>
      <c r="I148" s="151" t="s">
        <v>916</v>
      </c>
      <c r="J148" s="151" t="s">
        <v>82</v>
      </c>
      <c r="K148" s="154">
        <v>21170</v>
      </c>
      <c r="L148" s="154">
        <v>14840</v>
      </c>
      <c r="M148" s="156"/>
      <c r="N148" s="154">
        <v>6330</v>
      </c>
      <c r="O148" s="154">
        <v>6330</v>
      </c>
    </row>
    <row r="149" spans="2:15" ht="12.75" hidden="1" customHeight="1" outlineLevel="1" x14ac:dyDescent="0.25">
      <c r="B149" s="570" t="s">
        <v>833</v>
      </c>
      <c r="C149" s="570"/>
      <c r="D149" s="570"/>
      <c r="E149" s="570"/>
      <c r="F149" s="570"/>
      <c r="G149" s="570"/>
      <c r="H149" s="570"/>
      <c r="I149" s="570"/>
      <c r="J149" s="570"/>
      <c r="K149" s="156"/>
      <c r="L149" s="156"/>
      <c r="M149" s="156"/>
      <c r="N149" s="154">
        <v>6330</v>
      </c>
      <c r="O149" s="154">
        <v>6330</v>
      </c>
    </row>
    <row r="150" spans="2:15" ht="36.75" customHeight="1" collapsed="1" x14ac:dyDescent="0.25">
      <c r="B150" s="151" t="s">
        <v>993</v>
      </c>
      <c r="C150" s="152">
        <v>499</v>
      </c>
      <c r="D150" s="151" t="s">
        <v>994</v>
      </c>
      <c r="E150" s="151" t="s">
        <v>903</v>
      </c>
      <c r="F150" s="151" t="s">
        <v>239</v>
      </c>
      <c r="G150" s="151" t="s">
        <v>243</v>
      </c>
      <c r="H150" s="153">
        <v>44</v>
      </c>
      <c r="I150" s="151" t="s">
        <v>916</v>
      </c>
      <c r="J150" s="151" t="s">
        <v>82</v>
      </c>
      <c r="K150" s="154">
        <v>21160</v>
      </c>
      <c r="L150" s="154">
        <v>14540</v>
      </c>
      <c r="M150" s="156"/>
      <c r="N150" s="154">
        <v>6620</v>
      </c>
      <c r="O150" s="154">
        <v>6620</v>
      </c>
    </row>
    <row r="151" spans="2:15" ht="12.75" hidden="1" customHeight="1" outlineLevel="1" x14ac:dyDescent="0.25">
      <c r="B151" s="570" t="s">
        <v>833</v>
      </c>
      <c r="C151" s="570"/>
      <c r="D151" s="570"/>
      <c r="E151" s="570"/>
      <c r="F151" s="570"/>
      <c r="G151" s="570"/>
      <c r="H151" s="570"/>
      <c r="I151" s="570"/>
      <c r="J151" s="570"/>
      <c r="K151" s="156"/>
      <c r="L151" s="156"/>
      <c r="M151" s="156"/>
      <c r="N151" s="154">
        <v>6620</v>
      </c>
      <c r="O151" s="154">
        <v>6620</v>
      </c>
    </row>
    <row r="152" spans="2:15" ht="36.75" customHeight="1" collapsed="1" x14ac:dyDescent="0.25">
      <c r="B152" s="151" t="s">
        <v>1004</v>
      </c>
      <c r="C152" s="152">
        <v>500</v>
      </c>
      <c r="D152" s="153">
        <v>92</v>
      </c>
      <c r="E152" s="151" t="s">
        <v>903</v>
      </c>
      <c r="F152" s="151" t="s">
        <v>1152</v>
      </c>
      <c r="G152" s="151" t="s">
        <v>119</v>
      </c>
      <c r="H152" s="153">
        <v>44</v>
      </c>
      <c r="I152" s="151" t="s">
        <v>916</v>
      </c>
      <c r="J152" s="151" t="s">
        <v>82</v>
      </c>
      <c r="K152" s="154">
        <v>34230</v>
      </c>
      <c r="L152" s="154">
        <v>27490</v>
      </c>
      <c r="M152" s="155">
        <v>13.5</v>
      </c>
      <c r="N152" s="154">
        <v>6740</v>
      </c>
      <c r="O152" s="154">
        <v>5830.1</v>
      </c>
    </row>
    <row r="153" spans="2:15" ht="12.75" hidden="1" customHeight="1" outlineLevel="1" x14ac:dyDescent="0.25">
      <c r="B153" s="570" t="s">
        <v>550</v>
      </c>
      <c r="C153" s="570"/>
      <c r="D153" s="570"/>
      <c r="E153" s="570"/>
      <c r="F153" s="570"/>
      <c r="G153" s="570"/>
      <c r="H153" s="570"/>
      <c r="I153" s="570"/>
      <c r="J153" s="570"/>
      <c r="K153" s="156"/>
      <c r="L153" s="156"/>
      <c r="M153" s="156"/>
      <c r="N153" s="154">
        <v>6740</v>
      </c>
      <c r="O153" s="154">
        <v>5830.1</v>
      </c>
    </row>
    <row r="154" spans="2:15" ht="36.75" customHeight="1" collapsed="1" x14ac:dyDescent="0.25">
      <c r="B154" s="151" t="s">
        <v>1042</v>
      </c>
      <c r="C154" s="152">
        <v>489</v>
      </c>
      <c r="D154" s="153">
        <v>87</v>
      </c>
      <c r="E154" s="151" t="s">
        <v>903</v>
      </c>
      <c r="F154" s="151" t="s">
        <v>1253</v>
      </c>
      <c r="G154" s="151" t="s">
        <v>270</v>
      </c>
      <c r="H154" s="153">
        <v>44</v>
      </c>
      <c r="I154" s="151" t="s">
        <v>916</v>
      </c>
      <c r="J154" s="151" t="s">
        <v>82</v>
      </c>
      <c r="K154" s="154">
        <v>27820</v>
      </c>
      <c r="L154" s="154">
        <v>21170</v>
      </c>
      <c r="M154" s="155">
        <v>12.5</v>
      </c>
      <c r="N154" s="154">
        <v>6650</v>
      </c>
      <c r="O154" s="154">
        <v>5818.7</v>
      </c>
    </row>
    <row r="155" spans="2:15" ht="12.75" hidden="1" customHeight="1" outlineLevel="1" x14ac:dyDescent="0.25">
      <c r="B155" s="570" t="s">
        <v>550</v>
      </c>
      <c r="C155" s="570"/>
      <c r="D155" s="570"/>
      <c r="E155" s="570"/>
      <c r="F155" s="570"/>
      <c r="G155" s="570"/>
      <c r="H155" s="570"/>
      <c r="I155" s="570"/>
      <c r="J155" s="570"/>
      <c r="K155" s="156"/>
      <c r="L155" s="156"/>
      <c r="M155" s="156"/>
      <c r="N155" s="154">
        <v>6650</v>
      </c>
      <c r="O155" s="154">
        <v>5818.7</v>
      </c>
    </row>
    <row r="156" spans="2:15" ht="36.75" customHeight="1" collapsed="1" x14ac:dyDescent="0.25">
      <c r="B156" s="151" t="s">
        <v>1043</v>
      </c>
      <c r="C156" s="152">
        <v>490</v>
      </c>
      <c r="D156" s="153">
        <v>47</v>
      </c>
      <c r="E156" s="151" t="s">
        <v>903</v>
      </c>
      <c r="F156" s="151" t="s">
        <v>272</v>
      </c>
      <c r="G156" s="151" t="s">
        <v>276</v>
      </c>
      <c r="H156" s="153">
        <v>44</v>
      </c>
      <c r="I156" s="151" t="s">
        <v>916</v>
      </c>
      <c r="J156" s="151" t="s">
        <v>82</v>
      </c>
      <c r="K156" s="154">
        <v>27950</v>
      </c>
      <c r="L156" s="154">
        <v>14670</v>
      </c>
      <c r="M156" s="155">
        <v>10.5</v>
      </c>
      <c r="N156" s="154">
        <v>13280</v>
      </c>
      <c r="O156" s="154">
        <v>11885.6</v>
      </c>
    </row>
    <row r="157" spans="2:15" ht="12.75" hidden="1" customHeight="1" outlineLevel="1" x14ac:dyDescent="0.25">
      <c r="B157" s="570" t="s">
        <v>550</v>
      </c>
      <c r="C157" s="570"/>
      <c r="D157" s="570"/>
      <c r="E157" s="570"/>
      <c r="F157" s="570"/>
      <c r="G157" s="570"/>
      <c r="H157" s="570"/>
      <c r="I157" s="570"/>
      <c r="J157" s="570"/>
      <c r="K157" s="156"/>
      <c r="L157" s="156"/>
      <c r="M157" s="156"/>
      <c r="N157" s="154">
        <v>13280</v>
      </c>
      <c r="O157" s="154">
        <v>11885.6</v>
      </c>
    </row>
    <row r="158" spans="2:15" ht="36.75" customHeight="1" collapsed="1" x14ac:dyDescent="0.25">
      <c r="B158" s="151" t="s">
        <v>999</v>
      </c>
      <c r="C158" s="152">
        <v>501</v>
      </c>
      <c r="D158" s="151" t="s">
        <v>1000</v>
      </c>
      <c r="E158" s="151" t="s">
        <v>903</v>
      </c>
      <c r="F158" s="151" t="s">
        <v>1461</v>
      </c>
      <c r="G158" s="151" t="s">
        <v>149</v>
      </c>
      <c r="H158" s="153">
        <v>44</v>
      </c>
      <c r="I158" s="151" t="s">
        <v>916</v>
      </c>
      <c r="J158" s="151" t="s">
        <v>82</v>
      </c>
      <c r="K158" s="154">
        <v>21600</v>
      </c>
      <c r="L158" s="154">
        <v>15080</v>
      </c>
      <c r="M158" s="156"/>
      <c r="N158" s="154">
        <v>6520</v>
      </c>
      <c r="O158" s="154">
        <v>6520</v>
      </c>
    </row>
    <row r="159" spans="2:15" ht="12.75" hidden="1" customHeight="1" outlineLevel="1" x14ac:dyDescent="0.25">
      <c r="B159" s="570" t="s">
        <v>833</v>
      </c>
      <c r="C159" s="570"/>
      <c r="D159" s="570"/>
      <c r="E159" s="570"/>
      <c r="F159" s="570"/>
      <c r="G159" s="570"/>
      <c r="H159" s="570"/>
      <c r="I159" s="570"/>
      <c r="J159" s="570"/>
      <c r="K159" s="156"/>
      <c r="L159" s="156"/>
      <c r="M159" s="156"/>
      <c r="N159" s="154">
        <v>6520</v>
      </c>
      <c r="O159" s="154">
        <v>6520</v>
      </c>
    </row>
    <row r="160" spans="2:15" ht="36.75" customHeight="1" collapsed="1" x14ac:dyDescent="0.25">
      <c r="B160" s="151" t="s">
        <v>995</v>
      </c>
      <c r="C160" s="152">
        <v>502</v>
      </c>
      <c r="D160" s="151" t="s">
        <v>996</v>
      </c>
      <c r="E160" s="151" t="s">
        <v>903</v>
      </c>
      <c r="F160" s="151" t="s">
        <v>1152</v>
      </c>
      <c r="G160" s="151" t="s">
        <v>119</v>
      </c>
      <c r="H160" s="153">
        <v>44</v>
      </c>
      <c r="I160" s="151" t="s">
        <v>916</v>
      </c>
      <c r="J160" s="151" t="s">
        <v>82</v>
      </c>
      <c r="K160" s="154">
        <v>27440</v>
      </c>
      <c r="L160" s="154">
        <v>21030</v>
      </c>
      <c r="M160" s="156"/>
      <c r="N160" s="154">
        <v>6410</v>
      </c>
      <c r="O160" s="154">
        <v>6410</v>
      </c>
    </row>
    <row r="161" spans="2:15" ht="12.75" hidden="1" customHeight="1" outlineLevel="1" x14ac:dyDescent="0.25">
      <c r="B161" s="570" t="s">
        <v>833</v>
      </c>
      <c r="C161" s="570"/>
      <c r="D161" s="570"/>
      <c r="E161" s="570"/>
      <c r="F161" s="570"/>
      <c r="G161" s="570"/>
      <c r="H161" s="570"/>
      <c r="I161" s="570"/>
      <c r="J161" s="570"/>
      <c r="K161" s="156"/>
      <c r="L161" s="156"/>
      <c r="M161" s="156"/>
      <c r="N161" s="154">
        <v>6410</v>
      </c>
      <c r="O161" s="154">
        <v>6410</v>
      </c>
    </row>
    <row r="162" spans="2:15" ht="36.75" customHeight="1" collapsed="1" x14ac:dyDescent="0.25">
      <c r="B162" s="151" t="s">
        <v>978</v>
      </c>
      <c r="C162" s="152">
        <v>497</v>
      </c>
      <c r="D162" s="151" t="s">
        <v>902</v>
      </c>
      <c r="E162" s="151" t="s">
        <v>914</v>
      </c>
      <c r="F162" s="151" t="s">
        <v>311</v>
      </c>
      <c r="G162" s="151" t="s">
        <v>315</v>
      </c>
      <c r="H162" s="153">
        <v>16</v>
      </c>
      <c r="I162" s="151" t="s">
        <v>909</v>
      </c>
      <c r="J162" s="151" t="s">
        <v>82</v>
      </c>
      <c r="K162" s="154">
        <v>16710</v>
      </c>
      <c r="L162" s="154">
        <v>9700</v>
      </c>
      <c r="M162" s="155">
        <v>19.5</v>
      </c>
      <c r="N162" s="154">
        <v>7010</v>
      </c>
      <c r="O162" s="154">
        <v>5643</v>
      </c>
    </row>
    <row r="163" spans="2:15" ht="12.75" hidden="1" customHeight="1" outlineLevel="1" x14ac:dyDescent="0.25">
      <c r="B163" s="570" t="s">
        <v>511</v>
      </c>
      <c r="C163" s="570"/>
      <c r="D163" s="570"/>
      <c r="E163" s="570"/>
      <c r="F163" s="570"/>
      <c r="G163" s="570"/>
      <c r="H163" s="570"/>
      <c r="I163" s="570"/>
      <c r="J163" s="570"/>
      <c r="K163" s="156"/>
      <c r="L163" s="156"/>
      <c r="M163" s="156"/>
      <c r="N163" s="154">
        <v>7010</v>
      </c>
      <c r="O163" s="154">
        <v>5643</v>
      </c>
    </row>
    <row r="164" spans="2:15" ht="36.75" customHeight="1" collapsed="1" x14ac:dyDescent="0.25">
      <c r="B164" s="151" t="s">
        <v>1008</v>
      </c>
      <c r="C164" s="152">
        <v>496</v>
      </c>
      <c r="D164" s="151" t="s">
        <v>1009</v>
      </c>
      <c r="E164" s="151" t="s">
        <v>903</v>
      </c>
      <c r="F164" s="151" t="s">
        <v>329</v>
      </c>
      <c r="G164" s="151" t="s">
        <v>1010</v>
      </c>
      <c r="H164" s="153">
        <v>44</v>
      </c>
      <c r="I164" s="151" t="s">
        <v>916</v>
      </c>
      <c r="J164" s="151" t="s">
        <v>82</v>
      </c>
      <c r="K164" s="154">
        <v>28260</v>
      </c>
      <c r="L164" s="154">
        <v>15060</v>
      </c>
      <c r="M164" s="155">
        <v>12.4</v>
      </c>
      <c r="N164" s="154">
        <v>13200</v>
      </c>
      <c r="O164" s="154">
        <v>11564</v>
      </c>
    </row>
    <row r="165" spans="2:15" ht="12.75" hidden="1" customHeight="1" outlineLevel="1" x14ac:dyDescent="0.25">
      <c r="B165" s="570" t="s">
        <v>833</v>
      </c>
      <c r="C165" s="570"/>
      <c r="D165" s="570"/>
      <c r="E165" s="570"/>
      <c r="F165" s="570"/>
      <c r="G165" s="570"/>
      <c r="H165" s="570"/>
      <c r="I165" s="570"/>
      <c r="J165" s="570"/>
      <c r="K165" s="156"/>
      <c r="L165" s="156"/>
      <c r="M165" s="156"/>
      <c r="N165" s="154">
        <v>13200</v>
      </c>
      <c r="O165" s="154">
        <v>11564</v>
      </c>
    </row>
    <row r="166" spans="2:15" ht="36.75" customHeight="1" collapsed="1" x14ac:dyDescent="0.25">
      <c r="B166" s="151" t="s">
        <v>979</v>
      </c>
      <c r="C166" s="152">
        <v>503</v>
      </c>
      <c r="D166" s="153">
        <v>95</v>
      </c>
      <c r="E166" s="151" t="s">
        <v>903</v>
      </c>
      <c r="F166" s="151" t="s">
        <v>234</v>
      </c>
      <c r="G166" s="151" t="s">
        <v>238</v>
      </c>
      <c r="H166" s="153">
        <v>46</v>
      </c>
      <c r="I166" s="151" t="s">
        <v>909</v>
      </c>
      <c r="J166" s="151" t="s">
        <v>82</v>
      </c>
      <c r="K166" s="154">
        <v>29220</v>
      </c>
      <c r="L166" s="154">
        <v>15490</v>
      </c>
      <c r="M166" s="155">
        <v>15.5</v>
      </c>
      <c r="N166" s="154">
        <v>13730</v>
      </c>
      <c r="O166" s="154">
        <v>11601.8</v>
      </c>
    </row>
    <row r="167" spans="2:15" ht="12.75" hidden="1" customHeight="1" outlineLevel="1" x14ac:dyDescent="0.25">
      <c r="B167" s="570" t="s">
        <v>511</v>
      </c>
      <c r="C167" s="570"/>
      <c r="D167" s="570"/>
      <c r="E167" s="570"/>
      <c r="F167" s="570"/>
      <c r="G167" s="570"/>
      <c r="H167" s="570"/>
      <c r="I167" s="570"/>
      <c r="J167" s="570"/>
      <c r="K167" s="156"/>
      <c r="L167" s="156"/>
      <c r="M167" s="156"/>
      <c r="N167" s="154">
        <v>13730</v>
      </c>
      <c r="O167" s="154">
        <v>11601.8</v>
      </c>
    </row>
    <row r="168" spans="2:15" ht="36.75" customHeight="1" collapsed="1" x14ac:dyDescent="0.25">
      <c r="B168" s="151" t="s">
        <v>980</v>
      </c>
      <c r="C168" s="152">
        <v>505</v>
      </c>
      <c r="D168" s="151" t="s">
        <v>902</v>
      </c>
      <c r="E168" s="151" t="s">
        <v>914</v>
      </c>
      <c r="F168" s="151" t="s">
        <v>762</v>
      </c>
      <c r="G168" s="151" t="s">
        <v>763</v>
      </c>
      <c r="H168" s="153">
        <v>16</v>
      </c>
      <c r="I168" s="151" t="s">
        <v>909</v>
      </c>
      <c r="J168" s="151" t="s">
        <v>82</v>
      </c>
      <c r="K168" s="154">
        <v>9640</v>
      </c>
      <c r="L168" s="154">
        <v>4650</v>
      </c>
      <c r="M168" s="155">
        <v>8.5</v>
      </c>
      <c r="N168" s="154">
        <v>4990</v>
      </c>
      <c r="O168" s="154">
        <v>4565.8</v>
      </c>
    </row>
    <row r="169" spans="2:15" ht="12.75" hidden="1" customHeight="1" outlineLevel="1" x14ac:dyDescent="0.25">
      <c r="B169" s="570" t="s">
        <v>511</v>
      </c>
      <c r="C169" s="570"/>
      <c r="D169" s="570"/>
      <c r="E169" s="570"/>
      <c r="F169" s="570"/>
      <c r="G169" s="570"/>
      <c r="H169" s="570"/>
      <c r="I169" s="570"/>
      <c r="J169" s="570"/>
      <c r="K169" s="156"/>
      <c r="L169" s="156"/>
      <c r="M169" s="156"/>
      <c r="N169" s="154">
        <v>4990</v>
      </c>
      <c r="O169" s="154">
        <v>4565.8</v>
      </c>
    </row>
    <row r="170" spans="2:15" ht="36.75" customHeight="1" collapsed="1" x14ac:dyDescent="0.25">
      <c r="B170" s="151" t="s">
        <v>981</v>
      </c>
      <c r="C170" s="152">
        <v>506</v>
      </c>
      <c r="D170" s="151" t="s">
        <v>902</v>
      </c>
      <c r="E170" s="151" t="s">
        <v>903</v>
      </c>
      <c r="F170" s="151" t="s">
        <v>212</v>
      </c>
      <c r="G170" s="151" t="s">
        <v>216</v>
      </c>
      <c r="H170" s="153">
        <v>46</v>
      </c>
      <c r="I170" s="151" t="s">
        <v>909</v>
      </c>
      <c r="J170" s="151" t="s">
        <v>82</v>
      </c>
      <c r="K170" s="154">
        <v>27130</v>
      </c>
      <c r="L170" s="154">
        <v>13820</v>
      </c>
      <c r="M170" s="155">
        <v>21</v>
      </c>
      <c r="N170" s="154">
        <v>13310</v>
      </c>
      <c r="O170" s="154">
        <v>10514.9</v>
      </c>
    </row>
    <row r="171" spans="2:15" ht="12.75" hidden="1" customHeight="1" outlineLevel="1" x14ac:dyDescent="0.25">
      <c r="B171" s="570" t="s">
        <v>511</v>
      </c>
      <c r="C171" s="570"/>
      <c r="D171" s="570"/>
      <c r="E171" s="570"/>
      <c r="F171" s="570"/>
      <c r="G171" s="570"/>
      <c r="H171" s="570"/>
      <c r="I171" s="570"/>
      <c r="J171" s="570"/>
      <c r="K171" s="156"/>
      <c r="L171" s="156"/>
      <c r="M171" s="156"/>
      <c r="N171" s="154">
        <v>13310</v>
      </c>
      <c r="O171" s="154">
        <v>10514.9</v>
      </c>
    </row>
    <row r="172" spans="2:15" ht="36.75" customHeight="1" collapsed="1" x14ac:dyDescent="0.25">
      <c r="B172" s="151" t="s">
        <v>1017</v>
      </c>
      <c r="C172" s="152">
        <v>496</v>
      </c>
      <c r="D172" s="151" t="s">
        <v>1076</v>
      </c>
      <c r="E172" s="151" t="s">
        <v>903</v>
      </c>
      <c r="F172" s="151" t="s">
        <v>305</v>
      </c>
      <c r="G172" s="151" t="s">
        <v>309</v>
      </c>
      <c r="H172" s="153">
        <v>44</v>
      </c>
      <c r="I172" s="151" t="s">
        <v>916</v>
      </c>
      <c r="J172" s="151" t="s">
        <v>82</v>
      </c>
      <c r="K172" s="154">
        <v>27600</v>
      </c>
      <c r="L172" s="154">
        <v>14580</v>
      </c>
      <c r="M172" s="155">
        <v>12.4</v>
      </c>
      <c r="N172" s="154">
        <v>13020</v>
      </c>
      <c r="O172" s="154">
        <v>11406</v>
      </c>
    </row>
    <row r="173" spans="2:15" ht="12.75" hidden="1" customHeight="1" outlineLevel="1" x14ac:dyDescent="0.25">
      <c r="B173" s="570" t="s">
        <v>833</v>
      </c>
      <c r="C173" s="570"/>
      <c r="D173" s="570"/>
      <c r="E173" s="570"/>
      <c r="F173" s="570"/>
      <c r="G173" s="570"/>
      <c r="H173" s="570"/>
      <c r="I173" s="570"/>
      <c r="J173" s="570"/>
      <c r="K173" s="156"/>
      <c r="L173" s="156"/>
      <c r="M173" s="156"/>
      <c r="N173" s="154">
        <v>13020</v>
      </c>
      <c r="O173" s="154">
        <v>11406</v>
      </c>
    </row>
    <row r="174" spans="2:15" ht="36.75" customHeight="1" collapsed="1" x14ac:dyDescent="0.25">
      <c r="B174" s="151" t="s">
        <v>982</v>
      </c>
      <c r="C174" s="152">
        <v>507</v>
      </c>
      <c r="D174" s="151" t="s">
        <v>902</v>
      </c>
      <c r="E174" s="151" t="s">
        <v>903</v>
      </c>
      <c r="F174" s="151" t="s">
        <v>195</v>
      </c>
      <c r="G174" s="151" t="s">
        <v>199</v>
      </c>
      <c r="H174" s="153">
        <v>46</v>
      </c>
      <c r="I174" s="151" t="s">
        <v>909</v>
      </c>
      <c r="J174" s="151" t="s">
        <v>82</v>
      </c>
      <c r="K174" s="154">
        <v>30100</v>
      </c>
      <c r="L174" s="154">
        <v>15310</v>
      </c>
      <c r="M174" s="155">
        <v>14.5</v>
      </c>
      <c r="N174" s="154">
        <v>14790</v>
      </c>
      <c r="O174" s="154">
        <v>12645.4</v>
      </c>
    </row>
    <row r="175" spans="2:15" ht="12.75" hidden="1" customHeight="1" outlineLevel="1" x14ac:dyDescent="0.25">
      <c r="B175" s="570" t="s">
        <v>511</v>
      </c>
      <c r="C175" s="570"/>
      <c r="D175" s="570"/>
      <c r="E175" s="570"/>
      <c r="F175" s="570"/>
      <c r="G175" s="570"/>
      <c r="H175" s="570"/>
      <c r="I175" s="570"/>
      <c r="J175" s="570"/>
      <c r="K175" s="156"/>
      <c r="L175" s="156"/>
      <c r="M175" s="156"/>
      <c r="N175" s="154">
        <v>14790</v>
      </c>
      <c r="O175" s="154">
        <v>12645.4</v>
      </c>
    </row>
    <row r="176" spans="2:15" ht="36.75" customHeight="1" collapsed="1" x14ac:dyDescent="0.25">
      <c r="B176" s="151" t="s">
        <v>983</v>
      </c>
      <c r="C176" s="152">
        <v>508</v>
      </c>
      <c r="D176" s="151" t="s">
        <v>902</v>
      </c>
      <c r="E176" s="151" t="s">
        <v>914</v>
      </c>
      <c r="F176" s="151" t="s">
        <v>737</v>
      </c>
      <c r="G176" s="151" t="s">
        <v>738</v>
      </c>
      <c r="H176" s="153">
        <v>16</v>
      </c>
      <c r="I176" s="151" t="s">
        <v>909</v>
      </c>
      <c r="J176" s="151" t="s">
        <v>82</v>
      </c>
      <c r="K176" s="154">
        <v>8350</v>
      </c>
      <c r="L176" s="154">
        <v>4580</v>
      </c>
      <c r="M176" s="155">
        <v>9.5</v>
      </c>
      <c r="N176" s="154">
        <v>3770</v>
      </c>
      <c r="O176" s="154">
        <v>3411.8</v>
      </c>
    </row>
    <row r="177" spans="2:15" ht="12.75" hidden="1" customHeight="1" outlineLevel="1" x14ac:dyDescent="0.25">
      <c r="B177" s="570" t="s">
        <v>511</v>
      </c>
      <c r="C177" s="570"/>
      <c r="D177" s="570"/>
      <c r="E177" s="570"/>
      <c r="F177" s="570"/>
      <c r="G177" s="570"/>
      <c r="H177" s="570"/>
      <c r="I177" s="570"/>
      <c r="J177" s="570"/>
      <c r="K177" s="156"/>
      <c r="L177" s="156"/>
      <c r="M177" s="156"/>
      <c r="N177" s="154">
        <v>3770</v>
      </c>
      <c r="O177" s="154">
        <v>3411.8</v>
      </c>
    </row>
    <row r="178" spans="2:15" ht="36.75" customHeight="1" collapsed="1" x14ac:dyDescent="0.25">
      <c r="B178" s="151" t="s">
        <v>984</v>
      </c>
      <c r="C178" s="152">
        <v>509</v>
      </c>
      <c r="D178" s="151" t="s">
        <v>902</v>
      </c>
      <c r="E178" s="151" t="s">
        <v>914</v>
      </c>
      <c r="F178" s="151" t="s">
        <v>762</v>
      </c>
      <c r="G178" s="151" t="s">
        <v>763</v>
      </c>
      <c r="H178" s="153">
        <v>15</v>
      </c>
      <c r="I178" s="151" t="s">
        <v>909</v>
      </c>
      <c r="J178" s="151" t="s">
        <v>82</v>
      </c>
      <c r="K178" s="154">
        <v>6950</v>
      </c>
      <c r="L178" s="154">
        <v>4600</v>
      </c>
      <c r="M178" s="155">
        <v>12.5</v>
      </c>
      <c r="N178" s="154">
        <v>2350</v>
      </c>
      <c r="O178" s="154">
        <v>2056.1999999999998</v>
      </c>
    </row>
    <row r="179" spans="2:15" ht="12.75" hidden="1" customHeight="1" outlineLevel="1" x14ac:dyDescent="0.25">
      <c r="B179" s="570" t="s">
        <v>511</v>
      </c>
      <c r="C179" s="570"/>
      <c r="D179" s="570"/>
      <c r="E179" s="570"/>
      <c r="F179" s="570"/>
      <c r="G179" s="570"/>
      <c r="H179" s="570"/>
      <c r="I179" s="570"/>
      <c r="J179" s="570"/>
      <c r="K179" s="156"/>
      <c r="L179" s="156"/>
      <c r="M179" s="156"/>
      <c r="N179" s="154">
        <v>2350</v>
      </c>
      <c r="O179" s="154">
        <v>2056.1999999999998</v>
      </c>
    </row>
    <row r="180" spans="2:15" ht="36.75" customHeight="1" collapsed="1" x14ac:dyDescent="0.25">
      <c r="B180" s="151" t="s">
        <v>1011</v>
      </c>
      <c r="C180" s="152">
        <v>496</v>
      </c>
      <c r="D180" s="151" t="s">
        <v>1012</v>
      </c>
      <c r="E180" s="151" t="s">
        <v>903</v>
      </c>
      <c r="F180" s="151" t="s">
        <v>305</v>
      </c>
      <c r="G180" s="151" t="s">
        <v>309</v>
      </c>
      <c r="H180" s="153">
        <v>44</v>
      </c>
      <c r="I180" s="151" t="s">
        <v>916</v>
      </c>
      <c r="J180" s="151" t="s">
        <v>82</v>
      </c>
      <c r="K180" s="154">
        <v>27900</v>
      </c>
      <c r="L180" s="154">
        <v>14460</v>
      </c>
      <c r="M180" s="155">
        <v>15.2</v>
      </c>
      <c r="N180" s="154">
        <v>13440</v>
      </c>
      <c r="O180" s="154">
        <v>11397</v>
      </c>
    </row>
    <row r="181" spans="2:15" ht="12.75" hidden="1" customHeight="1" outlineLevel="1" x14ac:dyDescent="0.25">
      <c r="B181" s="570" t="s">
        <v>833</v>
      </c>
      <c r="C181" s="570"/>
      <c r="D181" s="570"/>
      <c r="E181" s="570"/>
      <c r="F181" s="570"/>
      <c r="G181" s="570"/>
      <c r="H181" s="570"/>
      <c r="I181" s="570"/>
      <c r="J181" s="570"/>
      <c r="K181" s="156"/>
      <c r="L181" s="156"/>
      <c r="M181" s="156"/>
      <c r="N181" s="154">
        <v>13440</v>
      </c>
      <c r="O181" s="154">
        <v>11397</v>
      </c>
    </row>
    <row r="182" spans="2:15" ht="36.75" customHeight="1" collapsed="1" x14ac:dyDescent="0.25">
      <c r="B182" s="151" t="s">
        <v>985</v>
      </c>
      <c r="C182" s="152">
        <v>510</v>
      </c>
      <c r="D182" s="151" t="s">
        <v>902</v>
      </c>
      <c r="E182" s="151" t="s">
        <v>914</v>
      </c>
      <c r="F182" s="151" t="s">
        <v>737</v>
      </c>
      <c r="G182" s="151" t="s">
        <v>738</v>
      </c>
      <c r="H182" s="153">
        <v>15</v>
      </c>
      <c r="I182" s="151" t="s">
        <v>909</v>
      </c>
      <c r="J182" s="151" t="s">
        <v>82</v>
      </c>
      <c r="K182" s="154">
        <v>9060</v>
      </c>
      <c r="L182" s="154">
        <v>4550</v>
      </c>
      <c r="M182" s="155">
        <v>20.5</v>
      </c>
      <c r="N182" s="154">
        <v>4510</v>
      </c>
      <c r="O182" s="154">
        <v>3585.4</v>
      </c>
    </row>
    <row r="183" spans="2:15" ht="12.75" hidden="1" customHeight="1" outlineLevel="1" x14ac:dyDescent="0.25">
      <c r="B183" s="570" t="s">
        <v>511</v>
      </c>
      <c r="C183" s="570"/>
      <c r="D183" s="570"/>
      <c r="E183" s="570"/>
      <c r="F183" s="570"/>
      <c r="G183" s="570"/>
      <c r="H183" s="570"/>
      <c r="I183" s="570"/>
      <c r="J183" s="570"/>
      <c r="K183" s="156"/>
      <c r="L183" s="156"/>
      <c r="M183" s="156"/>
      <c r="N183" s="154">
        <v>4510</v>
      </c>
      <c r="O183" s="154">
        <v>3585.4</v>
      </c>
    </row>
    <row r="184" spans="2:15" ht="36.75" customHeight="1" collapsed="1" x14ac:dyDescent="0.25">
      <c r="B184" s="151" t="s">
        <v>986</v>
      </c>
      <c r="C184" s="152">
        <v>511</v>
      </c>
      <c r="D184" s="151" t="s">
        <v>902</v>
      </c>
      <c r="E184" s="151" t="s">
        <v>914</v>
      </c>
      <c r="F184" s="151" t="s">
        <v>121</v>
      </c>
      <c r="G184" s="151" t="s">
        <v>125</v>
      </c>
      <c r="H184" s="153">
        <v>15</v>
      </c>
      <c r="I184" s="151" t="s">
        <v>909</v>
      </c>
      <c r="J184" s="151" t="s">
        <v>82</v>
      </c>
      <c r="K184" s="154">
        <v>28310</v>
      </c>
      <c r="L184" s="154">
        <v>14750</v>
      </c>
      <c r="M184" s="155">
        <v>14.5</v>
      </c>
      <c r="N184" s="154">
        <v>13560</v>
      </c>
      <c r="O184" s="154">
        <v>11593.8</v>
      </c>
    </row>
    <row r="185" spans="2:15" ht="12.75" hidden="1" customHeight="1" outlineLevel="1" x14ac:dyDescent="0.25">
      <c r="B185" s="570" t="s">
        <v>511</v>
      </c>
      <c r="C185" s="570"/>
      <c r="D185" s="570"/>
      <c r="E185" s="570"/>
      <c r="F185" s="570"/>
      <c r="G185" s="570"/>
      <c r="H185" s="570"/>
      <c r="I185" s="570"/>
      <c r="J185" s="570"/>
      <c r="K185" s="156"/>
      <c r="L185" s="156"/>
      <c r="M185" s="156"/>
      <c r="N185" s="154">
        <v>13560</v>
      </c>
      <c r="O185" s="154">
        <v>11593.8</v>
      </c>
    </row>
    <row r="186" spans="2:15" ht="36.75" customHeight="1" collapsed="1" x14ac:dyDescent="0.25">
      <c r="B186" s="151" t="s">
        <v>1014</v>
      </c>
      <c r="C186" s="152">
        <v>496</v>
      </c>
      <c r="D186" s="151" t="s">
        <v>1015</v>
      </c>
      <c r="E186" s="151" t="s">
        <v>903</v>
      </c>
      <c r="F186" s="151" t="s">
        <v>262</v>
      </c>
      <c r="G186" s="151" t="s">
        <v>266</v>
      </c>
      <c r="H186" s="153">
        <v>44</v>
      </c>
      <c r="I186" s="151" t="s">
        <v>916</v>
      </c>
      <c r="J186" s="151" t="s">
        <v>82</v>
      </c>
      <c r="K186" s="154">
        <v>27960</v>
      </c>
      <c r="L186" s="154">
        <v>15040</v>
      </c>
      <c r="M186" s="155">
        <v>11.2</v>
      </c>
      <c r="N186" s="154">
        <v>12920</v>
      </c>
      <c r="O186" s="154">
        <v>11479</v>
      </c>
    </row>
    <row r="187" spans="2:15" ht="12.75" hidden="1" customHeight="1" outlineLevel="1" x14ac:dyDescent="0.25">
      <c r="B187" s="570" t="s">
        <v>833</v>
      </c>
      <c r="C187" s="570"/>
      <c r="D187" s="570"/>
      <c r="E187" s="570"/>
      <c r="F187" s="570"/>
      <c r="G187" s="570"/>
      <c r="H187" s="570"/>
      <c r="I187" s="570"/>
      <c r="J187" s="570"/>
      <c r="K187" s="156"/>
      <c r="L187" s="156"/>
      <c r="M187" s="156"/>
      <c r="N187" s="154">
        <v>12920</v>
      </c>
      <c r="O187" s="154">
        <v>11479</v>
      </c>
    </row>
    <row r="188" spans="2:15" ht="36.75" customHeight="1" collapsed="1" x14ac:dyDescent="0.25">
      <c r="B188" s="151" t="s">
        <v>1016</v>
      </c>
      <c r="C188" s="152">
        <v>496</v>
      </c>
      <c r="D188" s="151" t="s">
        <v>1070</v>
      </c>
      <c r="E188" s="151" t="s">
        <v>903</v>
      </c>
      <c r="F188" s="151" t="s">
        <v>329</v>
      </c>
      <c r="G188" s="151" t="s">
        <v>1010</v>
      </c>
      <c r="H188" s="153">
        <v>44</v>
      </c>
      <c r="I188" s="151" t="s">
        <v>916</v>
      </c>
      <c r="J188" s="151" t="s">
        <v>82</v>
      </c>
      <c r="K188" s="154">
        <v>28340</v>
      </c>
      <c r="L188" s="154">
        <v>15100</v>
      </c>
      <c r="M188" s="155">
        <v>10.1</v>
      </c>
      <c r="N188" s="154">
        <v>13240</v>
      </c>
      <c r="O188" s="154">
        <v>11907</v>
      </c>
    </row>
    <row r="189" spans="2:15" ht="12.75" hidden="1" customHeight="1" outlineLevel="1" x14ac:dyDescent="0.25">
      <c r="B189" s="570" t="s">
        <v>833</v>
      </c>
      <c r="C189" s="570"/>
      <c r="D189" s="570"/>
      <c r="E189" s="570"/>
      <c r="F189" s="570"/>
      <c r="G189" s="570"/>
      <c r="H189" s="570"/>
      <c r="I189" s="570"/>
      <c r="J189" s="570"/>
      <c r="K189" s="156"/>
      <c r="L189" s="156"/>
      <c r="M189" s="156"/>
      <c r="N189" s="154">
        <v>13240</v>
      </c>
      <c r="O189" s="154">
        <v>11907</v>
      </c>
    </row>
    <row r="190" spans="2:15" ht="36.75" customHeight="1" collapsed="1" x14ac:dyDescent="0.25">
      <c r="B190" s="151" t="s">
        <v>1018</v>
      </c>
      <c r="C190" s="152">
        <v>496</v>
      </c>
      <c r="D190" s="151" t="s">
        <v>1077</v>
      </c>
      <c r="E190" s="151" t="s">
        <v>903</v>
      </c>
      <c r="F190" s="151" t="s">
        <v>329</v>
      </c>
      <c r="G190" s="151" t="s">
        <v>1010</v>
      </c>
      <c r="H190" s="153">
        <v>44</v>
      </c>
      <c r="I190" s="151" t="s">
        <v>916</v>
      </c>
      <c r="J190" s="151" t="s">
        <v>82</v>
      </c>
      <c r="K190" s="154">
        <v>28460</v>
      </c>
      <c r="L190" s="154">
        <v>15120</v>
      </c>
      <c r="M190" s="155">
        <v>17.7</v>
      </c>
      <c r="N190" s="154">
        <v>13340</v>
      </c>
      <c r="O190" s="154">
        <v>10979</v>
      </c>
    </row>
    <row r="191" spans="2:15" ht="12.75" hidden="1" customHeight="1" outlineLevel="1" x14ac:dyDescent="0.25">
      <c r="B191" s="570" t="s">
        <v>833</v>
      </c>
      <c r="C191" s="570"/>
      <c r="D191" s="570"/>
      <c r="E191" s="570"/>
      <c r="F191" s="570"/>
      <c r="G191" s="570"/>
      <c r="H191" s="570"/>
      <c r="I191" s="570"/>
      <c r="J191" s="570"/>
      <c r="K191" s="156"/>
      <c r="L191" s="156"/>
      <c r="M191" s="156"/>
      <c r="N191" s="154">
        <v>13340</v>
      </c>
      <c r="O191" s="154">
        <v>10979</v>
      </c>
    </row>
    <row r="192" spans="2:15" ht="36.75" customHeight="1" collapsed="1" x14ac:dyDescent="0.25">
      <c r="B192" s="151" t="s">
        <v>1019</v>
      </c>
      <c r="C192" s="152">
        <v>496</v>
      </c>
      <c r="D192" s="151" t="s">
        <v>1071</v>
      </c>
      <c r="E192" s="151" t="s">
        <v>903</v>
      </c>
      <c r="F192" s="151" t="s">
        <v>262</v>
      </c>
      <c r="G192" s="151" t="s">
        <v>266</v>
      </c>
      <c r="H192" s="153">
        <v>44</v>
      </c>
      <c r="I192" s="151" t="s">
        <v>916</v>
      </c>
      <c r="J192" s="151" t="s">
        <v>82</v>
      </c>
      <c r="K192" s="154">
        <v>32380</v>
      </c>
      <c r="L192" s="154">
        <v>15000</v>
      </c>
      <c r="M192" s="155">
        <v>11.4</v>
      </c>
      <c r="N192" s="154">
        <v>17380</v>
      </c>
      <c r="O192" s="154">
        <v>15396</v>
      </c>
    </row>
    <row r="193" spans="2:15" ht="12.75" hidden="1" customHeight="1" outlineLevel="1" x14ac:dyDescent="0.25">
      <c r="B193" s="570" t="s">
        <v>833</v>
      </c>
      <c r="C193" s="570"/>
      <c r="D193" s="570"/>
      <c r="E193" s="570"/>
      <c r="F193" s="570"/>
      <c r="G193" s="570"/>
      <c r="H193" s="570"/>
      <c r="I193" s="570"/>
      <c r="J193" s="570"/>
      <c r="K193" s="156"/>
      <c r="L193" s="156"/>
      <c r="M193" s="156"/>
      <c r="N193" s="154">
        <v>17380</v>
      </c>
      <c r="O193" s="154">
        <v>15396</v>
      </c>
    </row>
    <row r="194" spans="2:15" ht="36.75" customHeight="1" collapsed="1" x14ac:dyDescent="0.25">
      <c r="B194" s="151" t="s">
        <v>1020</v>
      </c>
      <c r="C194" s="152">
        <v>496</v>
      </c>
      <c r="D194" s="151" t="s">
        <v>1072</v>
      </c>
      <c r="E194" s="151" t="s">
        <v>903</v>
      </c>
      <c r="F194" s="151" t="s">
        <v>262</v>
      </c>
      <c r="G194" s="151" t="s">
        <v>266</v>
      </c>
      <c r="H194" s="153">
        <v>44</v>
      </c>
      <c r="I194" s="151" t="s">
        <v>916</v>
      </c>
      <c r="J194" s="151" t="s">
        <v>82</v>
      </c>
      <c r="K194" s="154">
        <v>28240</v>
      </c>
      <c r="L194" s="154">
        <v>14740</v>
      </c>
      <c r="M194" s="155">
        <v>13.8</v>
      </c>
      <c r="N194" s="154">
        <v>13500</v>
      </c>
      <c r="O194" s="154">
        <v>11634</v>
      </c>
    </row>
    <row r="195" spans="2:15" ht="12.75" hidden="1" customHeight="1" outlineLevel="1" x14ac:dyDescent="0.25">
      <c r="B195" s="570" t="s">
        <v>833</v>
      </c>
      <c r="C195" s="570"/>
      <c r="D195" s="570"/>
      <c r="E195" s="570"/>
      <c r="F195" s="570"/>
      <c r="G195" s="570"/>
      <c r="H195" s="570"/>
      <c r="I195" s="570"/>
      <c r="J195" s="570"/>
      <c r="K195" s="156"/>
      <c r="L195" s="156"/>
      <c r="M195" s="156"/>
      <c r="N195" s="154">
        <v>13500</v>
      </c>
      <c r="O195" s="154">
        <v>11634</v>
      </c>
    </row>
    <row r="196" spans="2:15" ht="36.75" customHeight="1" collapsed="1" x14ac:dyDescent="0.25">
      <c r="B196" s="151" t="s">
        <v>1021</v>
      </c>
      <c r="C196" s="152">
        <v>502</v>
      </c>
      <c r="D196" s="151" t="s">
        <v>1073</v>
      </c>
      <c r="E196" s="151" t="s">
        <v>903</v>
      </c>
      <c r="F196" s="151" t="s">
        <v>1022</v>
      </c>
      <c r="G196" s="151" t="s">
        <v>170</v>
      </c>
      <c r="H196" s="153">
        <v>44</v>
      </c>
      <c r="I196" s="151" t="s">
        <v>916</v>
      </c>
      <c r="J196" s="151" t="s">
        <v>82</v>
      </c>
      <c r="K196" s="154">
        <v>27900</v>
      </c>
      <c r="L196" s="154">
        <v>14940</v>
      </c>
      <c r="M196" s="155">
        <v>15.9</v>
      </c>
      <c r="N196" s="154">
        <v>12960</v>
      </c>
      <c r="O196" s="154">
        <v>10897</v>
      </c>
    </row>
    <row r="197" spans="2:15" ht="12.75" hidden="1" customHeight="1" outlineLevel="1" x14ac:dyDescent="0.25">
      <c r="B197" s="570" t="s">
        <v>833</v>
      </c>
      <c r="C197" s="570"/>
      <c r="D197" s="570"/>
      <c r="E197" s="570"/>
      <c r="F197" s="570"/>
      <c r="G197" s="570"/>
      <c r="H197" s="570"/>
      <c r="I197" s="570"/>
      <c r="J197" s="570"/>
      <c r="K197" s="156"/>
      <c r="L197" s="156"/>
      <c r="M197" s="156"/>
      <c r="N197" s="154">
        <v>12960</v>
      </c>
      <c r="O197" s="154">
        <v>10897</v>
      </c>
    </row>
    <row r="198" spans="2:15" ht="36.75" customHeight="1" collapsed="1" x14ac:dyDescent="0.25">
      <c r="B198" s="151" t="s">
        <v>987</v>
      </c>
      <c r="C198" s="152">
        <v>512</v>
      </c>
      <c r="D198" s="151" t="s">
        <v>902</v>
      </c>
      <c r="E198" s="151" t="s">
        <v>914</v>
      </c>
      <c r="F198" s="151" t="s">
        <v>239</v>
      </c>
      <c r="G198" s="151" t="s">
        <v>243</v>
      </c>
      <c r="H198" s="153">
        <v>15</v>
      </c>
      <c r="I198" s="151" t="s">
        <v>909</v>
      </c>
      <c r="J198" s="151" t="s">
        <v>82</v>
      </c>
      <c r="K198" s="154">
        <v>28060</v>
      </c>
      <c r="L198" s="154">
        <v>14670</v>
      </c>
      <c r="M198" s="155">
        <v>13.5</v>
      </c>
      <c r="N198" s="154">
        <v>13390</v>
      </c>
      <c r="O198" s="154">
        <v>11582.3</v>
      </c>
    </row>
    <row r="199" spans="2:15" ht="12.75" hidden="1" customHeight="1" outlineLevel="1" x14ac:dyDescent="0.25">
      <c r="B199" s="570" t="s">
        <v>511</v>
      </c>
      <c r="C199" s="570"/>
      <c r="D199" s="570"/>
      <c r="E199" s="570"/>
      <c r="F199" s="570"/>
      <c r="G199" s="570"/>
      <c r="H199" s="570"/>
      <c r="I199" s="570"/>
      <c r="J199" s="570"/>
      <c r="K199" s="156"/>
      <c r="L199" s="156"/>
      <c r="M199" s="156"/>
      <c r="N199" s="154">
        <v>13390</v>
      </c>
      <c r="O199" s="154">
        <v>11582.3</v>
      </c>
    </row>
    <row r="200" spans="2:15" ht="48.75" customHeight="1" collapsed="1" x14ac:dyDescent="0.25">
      <c r="B200" s="151" t="s">
        <v>988</v>
      </c>
      <c r="C200" s="152">
        <v>513</v>
      </c>
      <c r="D200" s="151" t="s">
        <v>902</v>
      </c>
      <c r="E200" s="151" t="s">
        <v>914</v>
      </c>
      <c r="F200" s="151" t="s">
        <v>244</v>
      </c>
      <c r="G200" s="151" t="s">
        <v>248</v>
      </c>
      <c r="H200" s="153">
        <v>15</v>
      </c>
      <c r="I200" s="151" t="s">
        <v>909</v>
      </c>
      <c r="J200" s="151" t="s">
        <v>82</v>
      </c>
      <c r="K200" s="154">
        <v>29120</v>
      </c>
      <c r="L200" s="154">
        <v>15650</v>
      </c>
      <c r="M200" s="155">
        <v>13.5</v>
      </c>
      <c r="N200" s="154">
        <v>13470</v>
      </c>
      <c r="O200" s="154">
        <v>11651.5</v>
      </c>
    </row>
    <row r="201" spans="2:15" ht="12.75" hidden="1" customHeight="1" outlineLevel="1" x14ac:dyDescent="0.25">
      <c r="B201" s="570" t="s">
        <v>511</v>
      </c>
      <c r="C201" s="570"/>
      <c r="D201" s="570"/>
      <c r="E201" s="570"/>
      <c r="F201" s="570"/>
      <c r="G201" s="570"/>
      <c r="H201" s="570"/>
      <c r="I201" s="570"/>
      <c r="J201" s="570"/>
      <c r="K201" s="156"/>
      <c r="L201" s="156"/>
      <c r="M201" s="156"/>
      <c r="N201" s="154">
        <v>13470</v>
      </c>
      <c r="O201" s="154">
        <v>11651.5</v>
      </c>
    </row>
    <row r="202" spans="2:15" ht="36.75" customHeight="1" collapsed="1" x14ac:dyDescent="0.25">
      <c r="B202" s="151" t="s">
        <v>989</v>
      </c>
      <c r="C202" s="152">
        <v>514</v>
      </c>
      <c r="D202" s="151" t="s">
        <v>902</v>
      </c>
      <c r="E202" s="151" t="s">
        <v>914</v>
      </c>
      <c r="F202" s="151" t="s">
        <v>212</v>
      </c>
      <c r="G202" s="151" t="s">
        <v>216</v>
      </c>
      <c r="H202" s="153">
        <v>15</v>
      </c>
      <c r="I202" s="151" t="s">
        <v>909</v>
      </c>
      <c r="J202" s="151" t="s">
        <v>82</v>
      </c>
      <c r="K202" s="154">
        <v>27390</v>
      </c>
      <c r="L202" s="154">
        <v>13870</v>
      </c>
      <c r="M202" s="155">
        <v>12.5</v>
      </c>
      <c r="N202" s="154">
        <v>13520</v>
      </c>
      <c r="O202" s="154">
        <v>11830</v>
      </c>
    </row>
    <row r="203" spans="2:15" ht="12.75" hidden="1" customHeight="1" outlineLevel="1" x14ac:dyDescent="0.25">
      <c r="B203" s="570" t="s">
        <v>511</v>
      </c>
      <c r="C203" s="570"/>
      <c r="D203" s="570"/>
      <c r="E203" s="570"/>
      <c r="F203" s="570"/>
      <c r="G203" s="570"/>
      <c r="H203" s="570"/>
      <c r="I203" s="570"/>
      <c r="J203" s="570"/>
      <c r="K203" s="156"/>
      <c r="L203" s="156"/>
      <c r="M203" s="156"/>
      <c r="N203" s="154">
        <v>13520</v>
      </c>
      <c r="O203" s="154">
        <v>11830</v>
      </c>
    </row>
    <row r="204" spans="2:15" ht="36.75" customHeight="1" collapsed="1" x14ac:dyDescent="0.25">
      <c r="B204" s="151" t="s">
        <v>990</v>
      </c>
      <c r="C204" s="152">
        <v>515</v>
      </c>
      <c r="D204" s="151" t="s">
        <v>902</v>
      </c>
      <c r="E204" s="151" t="s">
        <v>914</v>
      </c>
      <c r="F204" s="151" t="s">
        <v>160</v>
      </c>
      <c r="G204" s="151" t="s">
        <v>164</v>
      </c>
      <c r="H204" s="153">
        <v>15</v>
      </c>
      <c r="I204" s="151" t="s">
        <v>909</v>
      </c>
      <c r="J204" s="151" t="s">
        <v>82</v>
      </c>
      <c r="K204" s="154">
        <v>37650</v>
      </c>
      <c r="L204" s="154">
        <v>24170</v>
      </c>
      <c r="M204" s="155">
        <v>11.5</v>
      </c>
      <c r="N204" s="154">
        <v>13480</v>
      </c>
      <c r="O204" s="154">
        <v>11929.8</v>
      </c>
    </row>
    <row r="205" spans="2:15" ht="12.75" hidden="1" customHeight="1" outlineLevel="1" x14ac:dyDescent="0.25">
      <c r="B205" s="570" t="s">
        <v>511</v>
      </c>
      <c r="C205" s="570"/>
      <c r="D205" s="570"/>
      <c r="E205" s="570"/>
      <c r="F205" s="570"/>
      <c r="G205" s="570"/>
      <c r="H205" s="570"/>
      <c r="I205" s="570"/>
      <c r="J205" s="570"/>
      <c r="K205" s="156"/>
      <c r="L205" s="156"/>
      <c r="M205" s="156"/>
      <c r="N205" s="154">
        <v>13480</v>
      </c>
      <c r="O205" s="154">
        <v>11929.8</v>
      </c>
    </row>
    <row r="206" spans="2:15" ht="36.75" customHeight="1" collapsed="1" x14ac:dyDescent="0.25">
      <c r="B206" s="151" t="s">
        <v>1005</v>
      </c>
      <c r="C206" s="152">
        <v>520</v>
      </c>
      <c r="D206" s="151" t="s">
        <v>902</v>
      </c>
      <c r="E206" s="151" t="s">
        <v>914</v>
      </c>
      <c r="F206" s="151" t="s">
        <v>311</v>
      </c>
      <c r="G206" s="151" t="s">
        <v>315</v>
      </c>
      <c r="H206" s="153">
        <v>15</v>
      </c>
      <c r="I206" s="151" t="s">
        <v>909</v>
      </c>
      <c r="J206" s="151" t="s">
        <v>82</v>
      </c>
      <c r="K206" s="154">
        <v>28350</v>
      </c>
      <c r="L206" s="154">
        <v>15040</v>
      </c>
      <c r="M206" s="155">
        <v>12.5</v>
      </c>
      <c r="N206" s="154">
        <v>13310</v>
      </c>
      <c r="O206" s="154">
        <v>11646.2</v>
      </c>
    </row>
    <row r="207" spans="2:15" ht="12.75" hidden="1" customHeight="1" outlineLevel="1" x14ac:dyDescent="0.25">
      <c r="B207" s="570" t="s">
        <v>511</v>
      </c>
      <c r="C207" s="570"/>
      <c r="D207" s="570"/>
      <c r="E207" s="570"/>
      <c r="F207" s="570"/>
      <c r="G207" s="570"/>
      <c r="H207" s="570"/>
      <c r="I207" s="570"/>
      <c r="J207" s="570"/>
      <c r="K207" s="156"/>
      <c r="L207" s="156"/>
      <c r="M207" s="156"/>
      <c r="N207" s="154">
        <v>13310</v>
      </c>
      <c r="O207" s="154">
        <v>11646.2</v>
      </c>
    </row>
    <row r="208" spans="2:15" ht="36.75" customHeight="1" collapsed="1" x14ac:dyDescent="0.25">
      <c r="B208" s="151" t="s">
        <v>1001</v>
      </c>
      <c r="C208" s="152">
        <v>516</v>
      </c>
      <c r="D208" s="151" t="s">
        <v>902</v>
      </c>
      <c r="E208" s="151" t="s">
        <v>914</v>
      </c>
      <c r="F208" s="151" t="s">
        <v>151</v>
      </c>
      <c r="G208" s="151" t="s">
        <v>155</v>
      </c>
      <c r="H208" s="153">
        <v>15</v>
      </c>
      <c r="I208" s="151" t="s">
        <v>909</v>
      </c>
      <c r="J208" s="151" t="s">
        <v>82</v>
      </c>
      <c r="K208" s="154">
        <v>28510</v>
      </c>
      <c r="L208" s="154">
        <v>14990</v>
      </c>
      <c r="M208" s="155">
        <v>6.5</v>
      </c>
      <c r="N208" s="154">
        <v>13520</v>
      </c>
      <c r="O208" s="154">
        <v>12641.2</v>
      </c>
    </row>
    <row r="209" spans="2:15" ht="12.75" hidden="1" customHeight="1" outlineLevel="1" x14ac:dyDescent="0.25">
      <c r="B209" s="570" t="s">
        <v>511</v>
      </c>
      <c r="C209" s="570"/>
      <c r="D209" s="570"/>
      <c r="E209" s="570"/>
      <c r="F209" s="570"/>
      <c r="G209" s="570"/>
      <c r="H209" s="570"/>
      <c r="I209" s="570"/>
      <c r="J209" s="570"/>
      <c r="K209" s="156"/>
      <c r="L209" s="156"/>
      <c r="M209" s="156"/>
      <c r="N209" s="154">
        <v>13520</v>
      </c>
      <c r="O209" s="154">
        <v>12641.2</v>
      </c>
    </row>
    <row r="210" spans="2:15" ht="36.75" customHeight="1" collapsed="1" x14ac:dyDescent="0.25">
      <c r="B210" s="151" t="s">
        <v>1013</v>
      </c>
      <c r="C210" s="152">
        <v>521</v>
      </c>
      <c r="D210" s="151" t="s">
        <v>902</v>
      </c>
      <c r="E210" s="151" t="s">
        <v>914</v>
      </c>
      <c r="F210" s="151" t="s">
        <v>1312</v>
      </c>
      <c r="G210" s="151" t="s">
        <v>320</v>
      </c>
      <c r="H210" s="153">
        <v>15</v>
      </c>
      <c r="I210" s="151" t="s">
        <v>909</v>
      </c>
      <c r="J210" s="151" t="s">
        <v>82</v>
      </c>
      <c r="K210" s="154">
        <v>27510</v>
      </c>
      <c r="L210" s="154">
        <v>14650</v>
      </c>
      <c r="M210" s="155">
        <v>6.5</v>
      </c>
      <c r="N210" s="154">
        <v>12860</v>
      </c>
      <c r="O210" s="154">
        <v>12024.1</v>
      </c>
    </row>
    <row r="211" spans="2:15" ht="12.75" hidden="1" customHeight="1" outlineLevel="1" x14ac:dyDescent="0.25">
      <c r="B211" s="570" t="s">
        <v>511</v>
      </c>
      <c r="C211" s="570"/>
      <c r="D211" s="570"/>
      <c r="E211" s="570"/>
      <c r="F211" s="570"/>
      <c r="G211" s="570"/>
      <c r="H211" s="570"/>
      <c r="I211" s="570"/>
      <c r="J211" s="570"/>
      <c r="K211" s="156"/>
      <c r="L211" s="156"/>
      <c r="M211" s="156"/>
      <c r="N211" s="154">
        <v>12860</v>
      </c>
      <c r="O211" s="154">
        <v>12024.1</v>
      </c>
    </row>
    <row r="212" spans="2:15" ht="36.75" customHeight="1" collapsed="1" x14ac:dyDescent="0.25">
      <c r="B212" s="151" t="s">
        <v>1023</v>
      </c>
      <c r="C212" s="152">
        <v>523</v>
      </c>
      <c r="D212" s="151" t="s">
        <v>902</v>
      </c>
      <c r="E212" s="151" t="s">
        <v>914</v>
      </c>
      <c r="F212" s="151" t="s">
        <v>894</v>
      </c>
      <c r="G212" s="151" t="s">
        <v>895</v>
      </c>
      <c r="H212" s="153">
        <v>15</v>
      </c>
      <c r="I212" s="151" t="s">
        <v>909</v>
      </c>
      <c r="J212" s="151" t="s">
        <v>82</v>
      </c>
      <c r="K212" s="154">
        <v>28110</v>
      </c>
      <c r="L212" s="154">
        <v>15120</v>
      </c>
      <c r="M212" s="155">
        <v>13.5</v>
      </c>
      <c r="N212" s="154">
        <v>12990</v>
      </c>
      <c r="O212" s="154">
        <v>11236.3</v>
      </c>
    </row>
    <row r="213" spans="2:15" ht="12.75" hidden="1" customHeight="1" outlineLevel="1" x14ac:dyDescent="0.25">
      <c r="B213" s="570" t="s">
        <v>511</v>
      </c>
      <c r="C213" s="570"/>
      <c r="D213" s="570"/>
      <c r="E213" s="570"/>
      <c r="F213" s="570"/>
      <c r="G213" s="570"/>
      <c r="H213" s="570"/>
      <c r="I213" s="570"/>
      <c r="J213" s="570"/>
      <c r="K213" s="156"/>
      <c r="L213" s="156"/>
      <c r="M213" s="156"/>
      <c r="N213" s="154">
        <v>12990</v>
      </c>
      <c r="O213" s="154">
        <v>11236.3</v>
      </c>
    </row>
    <row r="214" spans="2:15" ht="36.75" customHeight="1" collapsed="1" x14ac:dyDescent="0.25">
      <c r="B214" s="151" t="s">
        <v>1078</v>
      </c>
      <c r="C214" s="152">
        <v>526</v>
      </c>
      <c r="D214" s="151" t="s">
        <v>902</v>
      </c>
      <c r="E214" s="151" t="s">
        <v>914</v>
      </c>
      <c r="F214" s="151" t="s">
        <v>121</v>
      </c>
      <c r="G214" s="151" t="s">
        <v>125</v>
      </c>
      <c r="H214" s="153">
        <v>15</v>
      </c>
      <c r="I214" s="151" t="s">
        <v>909</v>
      </c>
      <c r="J214" s="151" t="s">
        <v>82</v>
      </c>
      <c r="K214" s="154">
        <v>27760</v>
      </c>
      <c r="L214" s="154">
        <v>14690</v>
      </c>
      <c r="M214" s="155">
        <v>9.5</v>
      </c>
      <c r="N214" s="154">
        <v>13070</v>
      </c>
      <c r="O214" s="154">
        <v>11828.3</v>
      </c>
    </row>
    <row r="215" spans="2:15" ht="12.75" hidden="1" customHeight="1" outlineLevel="1" x14ac:dyDescent="0.25">
      <c r="B215" s="570" t="s">
        <v>511</v>
      </c>
      <c r="C215" s="570"/>
      <c r="D215" s="570"/>
      <c r="E215" s="570"/>
      <c r="F215" s="570"/>
      <c r="G215" s="570"/>
      <c r="H215" s="570"/>
      <c r="I215" s="570"/>
      <c r="J215" s="570"/>
      <c r="K215" s="156"/>
      <c r="L215" s="156"/>
      <c r="M215" s="156"/>
      <c r="N215" s="154">
        <v>13070</v>
      </c>
      <c r="O215" s="154">
        <v>11828.3</v>
      </c>
    </row>
    <row r="216" spans="2:15" ht="36.75" customHeight="1" collapsed="1" x14ac:dyDescent="0.25">
      <c r="B216" s="151" t="s">
        <v>1079</v>
      </c>
      <c r="C216" s="152">
        <v>527</v>
      </c>
      <c r="D216" s="151" t="s">
        <v>902</v>
      </c>
      <c r="E216" s="151" t="s">
        <v>914</v>
      </c>
      <c r="F216" s="151" t="s">
        <v>239</v>
      </c>
      <c r="G216" s="151" t="s">
        <v>243</v>
      </c>
      <c r="H216" s="153">
        <v>15</v>
      </c>
      <c r="I216" s="151" t="s">
        <v>909</v>
      </c>
      <c r="J216" s="151" t="s">
        <v>82</v>
      </c>
      <c r="K216" s="154">
        <v>27890</v>
      </c>
      <c r="L216" s="154">
        <v>14620</v>
      </c>
      <c r="M216" s="155">
        <v>13</v>
      </c>
      <c r="N216" s="154">
        <v>13270</v>
      </c>
      <c r="O216" s="154">
        <v>11544.9</v>
      </c>
    </row>
    <row r="217" spans="2:15" ht="12.75" hidden="1" customHeight="1" outlineLevel="1" x14ac:dyDescent="0.25">
      <c r="B217" s="570" t="s">
        <v>511</v>
      </c>
      <c r="C217" s="570"/>
      <c r="D217" s="570"/>
      <c r="E217" s="570"/>
      <c r="F217" s="570"/>
      <c r="G217" s="570"/>
      <c r="H217" s="570"/>
      <c r="I217" s="570"/>
      <c r="J217" s="570"/>
      <c r="K217" s="156"/>
      <c r="L217" s="156"/>
      <c r="M217" s="156"/>
      <c r="N217" s="154">
        <v>13270</v>
      </c>
      <c r="O217" s="154">
        <v>11544.9</v>
      </c>
    </row>
    <row r="218" spans="2:15" ht="48.75" customHeight="1" collapsed="1" x14ac:dyDescent="0.25">
      <c r="B218" s="151" t="s">
        <v>1080</v>
      </c>
      <c r="C218" s="152">
        <v>528</v>
      </c>
      <c r="D218" s="151" t="s">
        <v>902</v>
      </c>
      <c r="E218" s="151" t="s">
        <v>914</v>
      </c>
      <c r="F218" s="151" t="s">
        <v>244</v>
      </c>
      <c r="G218" s="151" t="s">
        <v>248</v>
      </c>
      <c r="H218" s="153">
        <v>15</v>
      </c>
      <c r="I218" s="151" t="s">
        <v>909</v>
      </c>
      <c r="J218" s="151" t="s">
        <v>82</v>
      </c>
      <c r="K218" s="154">
        <v>28770</v>
      </c>
      <c r="L218" s="154">
        <v>15560</v>
      </c>
      <c r="M218" s="155">
        <v>6.5</v>
      </c>
      <c r="N218" s="154">
        <v>13210</v>
      </c>
      <c r="O218" s="154">
        <v>12351.3</v>
      </c>
    </row>
    <row r="219" spans="2:15" ht="12.75" hidden="1" customHeight="1" outlineLevel="1" x14ac:dyDescent="0.25">
      <c r="B219" s="570" t="s">
        <v>511</v>
      </c>
      <c r="C219" s="570"/>
      <c r="D219" s="570"/>
      <c r="E219" s="570"/>
      <c r="F219" s="570"/>
      <c r="G219" s="570"/>
      <c r="H219" s="570"/>
      <c r="I219" s="570"/>
      <c r="J219" s="570"/>
      <c r="K219" s="156"/>
      <c r="L219" s="156"/>
      <c r="M219" s="156"/>
      <c r="N219" s="154">
        <v>13210</v>
      </c>
      <c r="O219" s="154">
        <v>12351.3</v>
      </c>
    </row>
    <row r="220" spans="2:15" ht="36.75" customHeight="1" collapsed="1" x14ac:dyDescent="0.25">
      <c r="B220" s="151" t="s">
        <v>1081</v>
      </c>
      <c r="C220" s="152">
        <v>529</v>
      </c>
      <c r="D220" s="151" t="s">
        <v>902</v>
      </c>
      <c r="E220" s="151" t="s">
        <v>914</v>
      </c>
      <c r="F220" s="151" t="s">
        <v>1152</v>
      </c>
      <c r="G220" s="151" t="s">
        <v>119</v>
      </c>
      <c r="H220" s="153">
        <v>15</v>
      </c>
      <c r="I220" s="151" t="s">
        <v>909</v>
      </c>
      <c r="J220" s="151" t="s">
        <v>82</v>
      </c>
      <c r="K220" s="154">
        <v>34270</v>
      </c>
      <c r="L220" s="154">
        <v>21010</v>
      </c>
      <c r="M220" s="155">
        <v>11.5</v>
      </c>
      <c r="N220" s="154">
        <v>13260</v>
      </c>
      <c r="O220" s="154">
        <v>11735.1</v>
      </c>
    </row>
    <row r="221" spans="2:15" ht="12.75" hidden="1" customHeight="1" outlineLevel="1" x14ac:dyDescent="0.25">
      <c r="B221" s="570" t="s">
        <v>511</v>
      </c>
      <c r="C221" s="570"/>
      <c r="D221" s="570"/>
      <c r="E221" s="570"/>
      <c r="F221" s="570"/>
      <c r="G221" s="570"/>
      <c r="H221" s="570"/>
      <c r="I221" s="570"/>
      <c r="J221" s="570"/>
      <c r="K221" s="156"/>
      <c r="L221" s="156"/>
      <c r="M221" s="156"/>
      <c r="N221" s="154">
        <v>13260</v>
      </c>
      <c r="O221" s="154">
        <v>11735.1</v>
      </c>
    </row>
    <row r="222" spans="2:15" ht="36.75" customHeight="1" collapsed="1" x14ac:dyDescent="0.25">
      <c r="B222" s="151" t="s">
        <v>1082</v>
      </c>
      <c r="C222" s="152">
        <v>530</v>
      </c>
      <c r="D222" s="151" t="s">
        <v>902</v>
      </c>
      <c r="E222" s="151" t="s">
        <v>914</v>
      </c>
      <c r="F222" s="151" t="s">
        <v>335</v>
      </c>
      <c r="G222" s="151" t="s">
        <v>339</v>
      </c>
      <c r="H222" s="153">
        <v>15</v>
      </c>
      <c r="I222" s="151" t="s">
        <v>909</v>
      </c>
      <c r="J222" s="151" t="s">
        <v>82</v>
      </c>
      <c r="K222" s="154">
        <v>28000</v>
      </c>
      <c r="L222" s="154">
        <v>14720</v>
      </c>
      <c r="M222" s="155">
        <v>6.5</v>
      </c>
      <c r="N222" s="154">
        <v>13280</v>
      </c>
      <c r="O222" s="154">
        <v>12416.8</v>
      </c>
    </row>
    <row r="223" spans="2:15" ht="12.75" hidden="1" customHeight="1" outlineLevel="1" x14ac:dyDescent="0.25">
      <c r="B223" s="570" t="s">
        <v>511</v>
      </c>
      <c r="C223" s="570"/>
      <c r="D223" s="570"/>
      <c r="E223" s="570"/>
      <c r="F223" s="570"/>
      <c r="G223" s="570"/>
      <c r="H223" s="570"/>
      <c r="I223" s="570"/>
      <c r="J223" s="570"/>
      <c r="K223" s="156"/>
      <c r="L223" s="156"/>
      <c r="M223" s="156"/>
      <c r="N223" s="154">
        <v>13280</v>
      </c>
      <c r="O223" s="154">
        <v>12416.8</v>
      </c>
    </row>
    <row r="224" spans="2:15" ht="36.75" customHeight="1" collapsed="1" x14ac:dyDescent="0.25">
      <c r="B224" s="151" t="s">
        <v>1083</v>
      </c>
      <c r="C224" s="152">
        <v>531</v>
      </c>
      <c r="D224" s="153">
        <v>54927</v>
      </c>
      <c r="E224" s="151" t="s">
        <v>914</v>
      </c>
      <c r="F224" s="151" t="s">
        <v>212</v>
      </c>
      <c r="G224" s="151" t="s">
        <v>216</v>
      </c>
      <c r="H224" s="153">
        <v>15</v>
      </c>
      <c r="I224" s="151" t="s">
        <v>909</v>
      </c>
      <c r="J224" s="151" t="s">
        <v>82</v>
      </c>
      <c r="K224" s="154">
        <v>27280</v>
      </c>
      <c r="L224" s="154">
        <v>13870</v>
      </c>
      <c r="M224" s="155">
        <v>9.5</v>
      </c>
      <c r="N224" s="154">
        <v>13410</v>
      </c>
      <c r="O224" s="154">
        <v>12136</v>
      </c>
    </row>
    <row r="225" spans="2:15" ht="12.75" hidden="1" customHeight="1" outlineLevel="1" x14ac:dyDescent="0.25">
      <c r="B225" s="570" t="s">
        <v>511</v>
      </c>
      <c r="C225" s="570"/>
      <c r="D225" s="570"/>
      <c r="E225" s="570"/>
      <c r="F225" s="570"/>
      <c r="G225" s="570"/>
      <c r="H225" s="570"/>
      <c r="I225" s="570"/>
      <c r="J225" s="570"/>
      <c r="K225" s="156"/>
      <c r="L225" s="156"/>
      <c r="M225" s="156"/>
      <c r="N225" s="154">
        <v>13410</v>
      </c>
      <c r="O225" s="154">
        <v>12136</v>
      </c>
    </row>
    <row r="226" spans="2:15" ht="36.75" customHeight="1" collapsed="1" x14ac:dyDescent="0.25">
      <c r="B226" s="151" t="s">
        <v>1085</v>
      </c>
      <c r="C226" s="152">
        <v>533</v>
      </c>
      <c r="D226" s="153">
        <v>54927</v>
      </c>
      <c r="E226" s="151" t="s">
        <v>914</v>
      </c>
      <c r="F226" s="151" t="s">
        <v>160</v>
      </c>
      <c r="G226" s="151" t="s">
        <v>164</v>
      </c>
      <c r="H226" s="153">
        <v>15</v>
      </c>
      <c r="I226" s="151" t="s">
        <v>909</v>
      </c>
      <c r="J226" s="151" t="s">
        <v>82</v>
      </c>
      <c r="K226" s="154">
        <v>36820</v>
      </c>
      <c r="L226" s="154">
        <v>24060</v>
      </c>
      <c r="M226" s="155">
        <v>7.5</v>
      </c>
      <c r="N226" s="154">
        <v>12760</v>
      </c>
      <c r="O226" s="154">
        <v>11803</v>
      </c>
    </row>
    <row r="227" spans="2:15" ht="12.75" hidden="1" customHeight="1" outlineLevel="1" x14ac:dyDescent="0.25">
      <c r="B227" s="570" t="s">
        <v>511</v>
      </c>
      <c r="C227" s="570"/>
      <c r="D227" s="570"/>
      <c r="E227" s="570"/>
      <c r="F227" s="570"/>
      <c r="G227" s="570"/>
      <c r="H227" s="570"/>
      <c r="I227" s="570"/>
      <c r="J227" s="570"/>
      <c r="K227" s="156"/>
      <c r="L227" s="156"/>
      <c r="M227" s="156"/>
      <c r="N227" s="154">
        <v>12760</v>
      </c>
      <c r="O227" s="154">
        <v>11803</v>
      </c>
    </row>
    <row r="228" spans="2:15" ht="36.75" customHeight="1" collapsed="1" x14ac:dyDescent="0.25">
      <c r="B228" s="151" t="s">
        <v>1084</v>
      </c>
      <c r="C228" s="152">
        <v>532</v>
      </c>
      <c r="D228" s="153">
        <v>54928</v>
      </c>
      <c r="E228" s="151" t="s">
        <v>914</v>
      </c>
      <c r="F228" s="151" t="s">
        <v>151</v>
      </c>
      <c r="G228" s="151" t="s">
        <v>155</v>
      </c>
      <c r="H228" s="153">
        <v>15</v>
      </c>
      <c r="I228" s="151" t="s">
        <v>909</v>
      </c>
      <c r="J228" s="151" t="s">
        <v>82</v>
      </c>
      <c r="K228" s="154">
        <v>28170</v>
      </c>
      <c r="L228" s="154">
        <v>14930</v>
      </c>
      <c r="M228" s="155">
        <v>7.5</v>
      </c>
      <c r="N228" s="154">
        <v>13240</v>
      </c>
      <c r="O228" s="154">
        <v>12247</v>
      </c>
    </row>
    <row r="229" spans="2:15" ht="12.75" hidden="1" customHeight="1" outlineLevel="1" x14ac:dyDescent="0.25">
      <c r="B229" s="570" t="s">
        <v>511</v>
      </c>
      <c r="C229" s="570"/>
      <c r="D229" s="570"/>
      <c r="E229" s="570"/>
      <c r="F229" s="570"/>
      <c r="G229" s="570"/>
      <c r="H229" s="570"/>
      <c r="I229" s="570"/>
      <c r="J229" s="570"/>
      <c r="K229" s="156"/>
      <c r="L229" s="156"/>
      <c r="M229" s="156"/>
      <c r="N229" s="154">
        <v>13240</v>
      </c>
      <c r="O229" s="154">
        <v>12247</v>
      </c>
    </row>
    <row r="230" spans="2:15" ht="36.75" customHeight="1" collapsed="1" x14ac:dyDescent="0.25">
      <c r="B230" s="151" t="s">
        <v>1086</v>
      </c>
      <c r="C230" s="152">
        <v>534</v>
      </c>
      <c r="D230" s="153">
        <v>54928</v>
      </c>
      <c r="E230" s="151" t="s">
        <v>914</v>
      </c>
      <c r="F230" s="151" t="s">
        <v>311</v>
      </c>
      <c r="G230" s="151" t="s">
        <v>315</v>
      </c>
      <c r="H230" s="153">
        <v>15</v>
      </c>
      <c r="I230" s="151" t="s">
        <v>909</v>
      </c>
      <c r="J230" s="151" t="s">
        <v>82</v>
      </c>
      <c r="K230" s="154">
        <v>27850</v>
      </c>
      <c r="L230" s="154">
        <v>15040</v>
      </c>
      <c r="M230" s="155">
        <v>6.5</v>
      </c>
      <c r="N230" s="154">
        <v>12810</v>
      </c>
      <c r="O230" s="154">
        <v>11977.3</v>
      </c>
    </row>
    <row r="231" spans="2:15" ht="12.75" hidden="1" customHeight="1" outlineLevel="1" x14ac:dyDescent="0.25">
      <c r="B231" s="570" t="s">
        <v>511</v>
      </c>
      <c r="C231" s="570"/>
      <c r="D231" s="570"/>
      <c r="E231" s="570"/>
      <c r="F231" s="570"/>
      <c r="G231" s="570"/>
      <c r="H231" s="570"/>
      <c r="I231" s="570"/>
      <c r="J231" s="570"/>
      <c r="K231" s="156"/>
      <c r="L231" s="156"/>
      <c r="M231" s="156"/>
      <c r="N231" s="154">
        <v>12810</v>
      </c>
      <c r="O231" s="154">
        <v>11977.3</v>
      </c>
    </row>
    <row r="232" spans="2:15" ht="36.75" customHeight="1" collapsed="1" x14ac:dyDescent="0.25">
      <c r="B232" s="151" t="s">
        <v>1087</v>
      </c>
      <c r="C232" s="152">
        <v>535</v>
      </c>
      <c r="D232" s="153">
        <v>54929</v>
      </c>
      <c r="E232" s="151" t="s">
        <v>914</v>
      </c>
      <c r="F232" s="151" t="s">
        <v>121</v>
      </c>
      <c r="G232" s="151" t="s">
        <v>125</v>
      </c>
      <c r="H232" s="153">
        <v>15</v>
      </c>
      <c r="I232" s="151" t="s">
        <v>909</v>
      </c>
      <c r="J232" s="151" t="s">
        <v>82</v>
      </c>
      <c r="K232" s="154">
        <v>27380</v>
      </c>
      <c r="L232" s="154">
        <v>14650</v>
      </c>
      <c r="M232" s="155">
        <v>5.5</v>
      </c>
      <c r="N232" s="154">
        <v>12730</v>
      </c>
      <c r="O232" s="154">
        <v>12029.8</v>
      </c>
    </row>
    <row r="233" spans="2:15" ht="12.75" hidden="1" customHeight="1" outlineLevel="1" x14ac:dyDescent="0.25">
      <c r="B233" s="570" t="s">
        <v>511</v>
      </c>
      <c r="C233" s="570"/>
      <c r="D233" s="570"/>
      <c r="E233" s="570"/>
      <c r="F233" s="570"/>
      <c r="G233" s="570"/>
      <c r="H233" s="570"/>
      <c r="I233" s="570"/>
      <c r="J233" s="570"/>
      <c r="K233" s="156"/>
      <c r="L233" s="156"/>
      <c r="M233" s="156"/>
      <c r="N233" s="154">
        <v>12730</v>
      </c>
      <c r="O233" s="154">
        <v>12029.8</v>
      </c>
    </row>
    <row r="234" spans="2:15" ht="36.75" customHeight="1" collapsed="1" x14ac:dyDescent="0.25">
      <c r="B234" s="151" t="s">
        <v>1088</v>
      </c>
      <c r="C234" s="152">
        <v>536</v>
      </c>
      <c r="D234" s="153">
        <v>54929</v>
      </c>
      <c r="E234" s="151" t="s">
        <v>914</v>
      </c>
      <c r="F234" s="151" t="s">
        <v>239</v>
      </c>
      <c r="G234" s="151" t="s">
        <v>243</v>
      </c>
      <c r="H234" s="153">
        <v>15</v>
      </c>
      <c r="I234" s="151" t="s">
        <v>909</v>
      </c>
      <c r="J234" s="151" t="s">
        <v>82</v>
      </c>
      <c r="K234" s="154">
        <v>27650</v>
      </c>
      <c r="L234" s="154">
        <v>14660</v>
      </c>
      <c r="M234" s="155">
        <v>6.5</v>
      </c>
      <c r="N234" s="154">
        <v>12990</v>
      </c>
      <c r="O234" s="154">
        <v>12145.6</v>
      </c>
    </row>
    <row r="235" spans="2:15" ht="12.75" hidden="1" customHeight="1" outlineLevel="1" x14ac:dyDescent="0.25">
      <c r="B235" s="570" t="s">
        <v>511</v>
      </c>
      <c r="C235" s="570"/>
      <c r="D235" s="570"/>
      <c r="E235" s="570"/>
      <c r="F235" s="570"/>
      <c r="G235" s="570"/>
      <c r="H235" s="570"/>
      <c r="I235" s="570"/>
      <c r="J235" s="570"/>
      <c r="K235" s="156"/>
      <c r="L235" s="156"/>
      <c r="M235" s="156"/>
      <c r="N235" s="154">
        <v>12990</v>
      </c>
      <c r="O235" s="154">
        <v>12145.6</v>
      </c>
    </row>
    <row r="236" spans="2:15" ht="36.75" customHeight="1" collapsed="1" x14ac:dyDescent="0.25">
      <c r="B236" s="151" t="s">
        <v>1089</v>
      </c>
      <c r="C236" s="152">
        <v>537</v>
      </c>
      <c r="D236" s="153">
        <v>54930</v>
      </c>
      <c r="E236" s="151" t="s">
        <v>914</v>
      </c>
      <c r="F236" s="151" t="s">
        <v>894</v>
      </c>
      <c r="G236" s="151" t="s">
        <v>895</v>
      </c>
      <c r="H236" s="153">
        <v>15</v>
      </c>
      <c r="I236" s="151" t="s">
        <v>909</v>
      </c>
      <c r="J236" s="151" t="s">
        <v>82</v>
      </c>
      <c r="K236" s="154">
        <v>28680</v>
      </c>
      <c r="L236" s="154">
        <v>14980</v>
      </c>
      <c r="M236" s="155">
        <v>8.5</v>
      </c>
      <c r="N236" s="154">
        <v>13700</v>
      </c>
      <c r="O236" s="154">
        <v>12535.5</v>
      </c>
    </row>
    <row r="237" spans="2:15" ht="12.75" hidden="1" customHeight="1" outlineLevel="1" x14ac:dyDescent="0.25">
      <c r="B237" s="570" t="s">
        <v>511</v>
      </c>
      <c r="C237" s="570"/>
      <c r="D237" s="570"/>
      <c r="E237" s="570"/>
      <c r="F237" s="570"/>
      <c r="G237" s="570"/>
      <c r="H237" s="570"/>
      <c r="I237" s="570"/>
      <c r="J237" s="570"/>
      <c r="K237" s="156"/>
      <c r="L237" s="156"/>
      <c r="M237" s="156"/>
      <c r="N237" s="154">
        <v>13700</v>
      </c>
      <c r="O237" s="154">
        <v>12535.5</v>
      </c>
    </row>
    <row r="238" spans="2:15" ht="36.75" customHeight="1" collapsed="1" x14ac:dyDescent="0.25">
      <c r="B238" s="151" t="s">
        <v>1090</v>
      </c>
      <c r="C238" s="152">
        <v>538</v>
      </c>
      <c r="D238" s="153">
        <v>54930</v>
      </c>
      <c r="E238" s="151" t="s">
        <v>914</v>
      </c>
      <c r="F238" s="151" t="s">
        <v>1312</v>
      </c>
      <c r="G238" s="151" t="s">
        <v>320</v>
      </c>
      <c r="H238" s="153">
        <v>16</v>
      </c>
      <c r="I238" s="151" t="s">
        <v>909</v>
      </c>
      <c r="J238" s="151" t="s">
        <v>82</v>
      </c>
      <c r="K238" s="154">
        <v>27300</v>
      </c>
      <c r="L238" s="154">
        <v>14510</v>
      </c>
      <c r="M238" s="155">
        <v>6.5</v>
      </c>
      <c r="N238" s="154">
        <v>12790</v>
      </c>
      <c r="O238" s="154">
        <v>11958.6</v>
      </c>
    </row>
    <row r="239" spans="2:15" ht="12.75" hidden="1" customHeight="1" outlineLevel="1" x14ac:dyDescent="0.25">
      <c r="B239" s="570" t="s">
        <v>511</v>
      </c>
      <c r="C239" s="570"/>
      <c r="D239" s="570"/>
      <c r="E239" s="570"/>
      <c r="F239" s="570"/>
      <c r="G239" s="570"/>
      <c r="H239" s="570"/>
      <c r="I239" s="570"/>
      <c r="J239" s="570"/>
      <c r="K239" s="156"/>
      <c r="L239" s="156"/>
      <c r="M239" s="156"/>
      <c r="N239" s="154">
        <v>12790</v>
      </c>
      <c r="O239" s="154">
        <v>11958.6</v>
      </c>
    </row>
    <row r="240" spans="2:15" ht="48.75" customHeight="1" collapsed="1" x14ac:dyDescent="0.25">
      <c r="B240" s="151" t="s">
        <v>1104</v>
      </c>
      <c r="C240" s="152">
        <v>539</v>
      </c>
      <c r="D240" s="153">
        <v>54931</v>
      </c>
      <c r="E240" s="151" t="s">
        <v>914</v>
      </c>
      <c r="F240" s="151" t="s">
        <v>244</v>
      </c>
      <c r="G240" s="151" t="s">
        <v>248</v>
      </c>
      <c r="H240" s="153">
        <v>16</v>
      </c>
      <c r="I240" s="151" t="s">
        <v>909</v>
      </c>
      <c r="J240" s="151" t="s">
        <v>82</v>
      </c>
      <c r="K240" s="154">
        <v>28560</v>
      </c>
      <c r="L240" s="154">
        <v>15560</v>
      </c>
      <c r="M240" s="155">
        <v>8.5</v>
      </c>
      <c r="N240" s="154">
        <v>13000</v>
      </c>
      <c r="O240" s="154">
        <v>11895</v>
      </c>
    </row>
    <row r="241" spans="2:15" ht="12.75" hidden="1" customHeight="1" outlineLevel="1" x14ac:dyDescent="0.25">
      <c r="B241" s="570" t="s">
        <v>511</v>
      </c>
      <c r="C241" s="570"/>
      <c r="D241" s="570"/>
      <c r="E241" s="570"/>
      <c r="F241" s="570"/>
      <c r="G241" s="570"/>
      <c r="H241" s="570"/>
      <c r="I241" s="570"/>
      <c r="J241" s="570"/>
      <c r="K241" s="156"/>
      <c r="L241" s="156"/>
      <c r="M241" s="156"/>
      <c r="N241" s="154">
        <v>13000</v>
      </c>
      <c r="O241" s="154">
        <v>11895</v>
      </c>
    </row>
    <row r="242" spans="2:15" ht="36.75" customHeight="1" collapsed="1" x14ac:dyDescent="0.25">
      <c r="B242" s="151" t="s">
        <v>1105</v>
      </c>
      <c r="C242" s="152">
        <v>541</v>
      </c>
      <c r="D242" s="153">
        <v>54931</v>
      </c>
      <c r="E242" s="151" t="s">
        <v>914</v>
      </c>
      <c r="F242" s="151" t="s">
        <v>335</v>
      </c>
      <c r="G242" s="151" t="s">
        <v>339</v>
      </c>
      <c r="H242" s="153">
        <v>16</v>
      </c>
      <c r="I242" s="151" t="s">
        <v>909</v>
      </c>
      <c r="J242" s="151" t="s">
        <v>82</v>
      </c>
      <c r="K242" s="154">
        <v>27680</v>
      </c>
      <c r="L242" s="154">
        <v>14660</v>
      </c>
      <c r="M242" s="155">
        <v>7.5</v>
      </c>
      <c r="N242" s="154">
        <v>13020</v>
      </c>
      <c r="O242" s="154">
        <v>12043.5</v>
      </c>
    </row>
    <row r="243" spans="2:15" ht="12.75" hidden="1" customHeight="1" outlineLevel="1" x14ac:dyDescent="0.25">
      <c r="B243" s="570" t="s">
        <v>511</v>
      </c>
      <c r="C243" s="570"/>
      <c r="D243" s="570"/>
      <c r="E243" s="570"/>
      <c r="F243" s="570"/>
      <c r="G243" s="570"/>
      <c r="H243" s="570"/>
      <c r="I243" s="570"/>
      <c r="J243" s="570"/>
      <c r="K243" s="156"/>
      <c r="L243" s="156"/>
      <c r="M243" s="156"/>
      <c r="N243" s="154">
        <v>13020</v>
      </c>
      <c r="O243" s="154">
        <v>12043.5</v>
      </c>
    </row>
    <row r="244" spans="2:15" ht="36.75" customHeight="1" collapsed="1" x14ac:dyDescent="0.25">
      <c r="B244" s="151" t="s">
        <v>1106</v>
      </c>
      <c r="C244" s="152">
        <v>543</v>
      </c>
      <c r="D244" s="153">
        <v>54933</v>
      </c>
      <c r="E244" s="151" t="s">
        <v>914</v>
      </c>
      <c r="F244" s="151" t="s">
        <v>160</v>
      </c>
      <c r="G244" s="151" t="s">
        <v>164</v>
      </c>
      <c r="H244" s="153">
        <v>16</v>
      </c>
      <c r="I244" s="151" t="s">
        <v>909</v>
      </c>
      <c r="J244" s="151" t="s">
        <v>82</v>
      </c>
      <c r="K244" s="154">
        <v>37000</v>
      </c>
      <c r="L244" s="154">
        <v>23960</v>
      </c>
      <c r="M244" s="155">
        <v>6.5</v>
      </c>
      <c r="N244" s="154">
        <v>13040</v>
      </c>
      <c r="O244" s="154">
        <v>12192.4</v>
      </c>
    </row>
    <row r="245" spans="2:15" ht="12.75" hidden="1" customHeight="1" outlineLevel="1" x14ac:dyDescent="0.25">
      <c r="B245" s="570" t="s">
        <v>511</v>
      </c>
      <c r="C245" s="570"/>
      <c r="D245" s="570"/>
      <c r="E245" s="570"/>
      <c r="F245" s="570"/>
      <c r="G245" s="570"/>
      <c r="H245" s="570"/>
      <c r="I245" s="570"/>
      <c r="J245" s="570"/>
      <c r="K245" s="156"/>
      <c r="L245" s="156"/>
      <c r="M245" s="156"/>
      <c r="N245" s="154">
        <v>13040</v>
      </c>
      <c r="O245" s="154">
        <v>12192.4</v>
      </c>
    </row>
    <row r="246" spans="2:15" ht="36.75" customHeight="1" collapsed="1" x14ac:dyDescent="0.25">
      <c r="B246" s="151" t="s">
        <v>1107</v>
      </c>
      <c r="C246" s="152">
        <v>544</v>
      </c>
      <c r="D246" s="153">
        <v>54934</v>
      </c>
      <c r="E246" s="151" t="s">
        <v>914</v>
      </c>
      <c r="F246" s="151" t="s">
        <v>151</v>
      </c>
      <c r="G246" s="151" t="s">
        <v>155</v>
      </c>
      <c r="H246" s="153">
        <v>16</v>
      </c>
      <c r="I246" s="151" t="s">
        <v>909</v>
      </c>
      <c r="J246" s="151" t="s">
        <v>82</v>
      </c>
      <c r="K246" s="154">
        <v>28150</v>
      </c>
      <c r="L246" s="154">
        <v>14960</v>
      </c>
      <c r="M246" s="155">
        <v>8.5</v>
      </c>
      <c r="N246" s="154">
        <v>13190</v>
      </c>
      <c r="O246" s="154">
        <v>12068.8</v>
      </c>
    </row>
    <row r="247" spans="2:15" ht="12.75" hidden="1" customHeight="1" outlineLevel="1" x14ac:dyDescent="0.25">
      <c r="B247" s="570" t="s">
        <v>511</v>
      </c>
      <c r="C247" s="570"/>
      <c r="D247" s="570"/>
      <c r="E247" s="570"/>
      <c r="F247" s="570"/>
      <c r="G247" s="570"/>
      <c r="H247" s="570"/>
      <c r="I247" s="570"/>
      <c r="J247" s="570"/>
      <c r="K247" s="156"/>
      <c r="L247" s="156"/>
      <c r="M247" s="156"/>
      <c r="N247" s="154">
        <v>13190</v>
      </c>
      <c r="O247" s="154">
        <v>12068.8</v>
      </c>
    </row>
    <row r="248" spans="2:15" ht="36.75" customHeight="1" collapsed="1" x14ac:dyDescent="0.25">
      <c r="B248" s="151" t="s">
        <v>1108</v>
      </c>
      <c r="C248" s="152">
        <v>547</v>
      </c>
      <c r="D248" s="153">
        <v>54934</v>
      </c>
      <c r="E248" s="151" t="s">
        <v>914</v>
      </c>
      <c r="F248" s="151" t="s">
        <v>121</v>
      </c>
      <c r="G248" s="151" t="s">
        <v>125</v>
      </c>
      <c r="H248" s="153">
        <v>16</v>
      </c>
      <c r="I248" s="151" t="s">
        <v>909</v>
      </c>
      <c r="J248" s="151" t="s">
        <v>82</v>
      </c>
      <c r="K248" s="154">
        <v>27940</v>
      </c>
      <c r="L248" s="154">
        <v>14570</v>
      </c>
      <c r="M248" s="155">
        <v>9.5</v>
      </c>
      <c r="N248" s="154">
        <v>13370</v>
      </c>
      <c r="O248" s="154">
        <v>12099.8</v>
      </c>
    </row>
    <row r="249" spans="2:15" ht="12.75" hidden="1" customHeight="1" outlineLevel="1" x14ac:dyDescent="0.25">
      <c r="B249" s="570" t="s">
        <v>511</v>
      </c>
      <c r="C249" s="570"/>
      <c r="D249" s="570"/>
      <c r="E249" s="570"/>
      <c r="F249" s="570"/>
      <c r="G249" s="570"/>
      <c r="H249" s="570"/>
      <c r="I249" s="570"/>
      <c r="J249" s="570"/>
      <c r="K249" s="156"/>
      <c r="L249" s="156"/>
      <c r="M249" s="156"/>
      <c r="N249" s="154">
        <v>13370</v>
      </c>
      <c r="O249" s="154">
        <v>12099.8</v>
      </c>
    </row>
    <row r="250" spans="2:15" ht="36.75" customHeight="1" collapsed="1" x14ac:dyDescent="0.25">
      <c r="B250" s="151" t="s">
        <v>1109</v>
      </c>
      <c r="C250" s="152">
        <v>549</v>
      </c>
      <c r="D250" s="153">
        <v>54934</v>
      </c>
      <c r="E250" s="151" t="s">
        <v>914</v>
      </c>
      <c r="F250" s="151" t="s">
        <v>311</v>
      </c>
      <c r="G250" s="151" t="s">
        <v>315</v>
      </c>
      <c r="H250" s="153">
        <v>16</v>
      </c>
      <c r="I250" s="151" t="s">
        <v>909</v>
      </c>
      <c r="J250" s="151" t="s">
        <v>82</v>
      </c>
      <c r="K250" s="154">
        <v>28260</v>
      </c>
      <c r="L250" s="154">
        <v>14960</v>
      </c>
      <c r="M250" s="155">
        <v>13</v>
      </c>
      <c r="N250" s="154">
        <v>13300</v>
      </c>
      <c r="O250" s="154">
        <v>11571</v>
      </c>
    </row>
    <row r="251" spans="2:15" ht="12.75" hidden="1" customHeight="1" outlineLevel="1" x14ac:dyDescent="0.25">
      <c r="B251" s="570" t="s">
        <v>511</v>
      </c>
      <c r="C251" s="570"/>
      <c r="D251" s="570"/>
      <c r="E251" s="570"/>
      <c r="F251" s="570"/>
      <c r="G251" s="570"/>
      <c r="H251" s="570"/>
      <c r="I251" s="570"/>
      <c r="J251" s="570"/>
      <c r="K251" s="156"/>
      <c r="L251" s="156"/>
      <c r="M251" s="156"/>
      <c r="N251" s="154">
        <v>13300</v>
      </c>
      <c r="O251" s="154">
        <v>11571</v>
      </c>
    </row>
    <row r="252" spans="2:15" ht="36.75" customHeight="1" collapsed="1" x14ac:dyDescent="0.25">
      <c r="B252" s="151" t="s">
        <v>1110</v>
      </c>
      <c r="C252" s="152">
        <v>551</v>
      </c>
      <c r="D252" s="153">
        <v>54936</v>
      </c>
      <c r="E252" s="151" t="s">
        <v>914</v>
      </c>
      <c r="F252" s="151" t="s">
        <v>1152</v>
      </c>
      <c r="G252" s="151" t="s">
        <v>119</v>
      </c>
      <c r="H252" s="153">
        <v>16</v>
      </c>
      <c r="I252" s="151" t="s">
        <v>909</v>
      </c>
      <c r="J252" s="151" t="s">
        <v>82</v>
      </c>
      <c r="K252" s="154">
        <v>34460</v>
      </c>
      <c r="L252" s="154">
        <v>21030</v>
      </c>
      <c r="M252" s="155">
        <v>12.5</v>
      </c>
      <c r="N252" s="154">
        <v>13430</v>
      </c>
      <c r="O252" s="154">
        <v>11751.2</v>
      </c>
    </row>
    <row r="253" spans="2:15" ht="12.75" hidden="1" customHeight="1" outlineLevel="1" x14ac:dyDescent="0.25">
      <c r="B253" s="570" t="s">
        <v>511</v>
      </c>
      <c r="C253" s="570"/>
      <c r="D253" s="570"/>
      <c r="E253" s="570"/>
      <c r="F253" s="570"/>
      <c r="G253" s="570"/>
      <c r="H253" s="570"/>
      <c r="I253" s="570"/>
      <c r="J253" s="570"/>
      <c r="K253" s="156"/>
      <c r="L253" s="156"/>
      <c r="M253" s="156"/>
      <c r="N253" s="154">
        <v>13430</v>
      </c>
      <c r="O253" s="154">
        <v>11751.2</v>
      </c>
    </row>
    <row r="254" spans="2:15" ht="36.75" customHeight="1" collapsed="1" x14ac:dyDescent="0.25">
      <c r="B254" s="151" t="s">
        <v>1111</v>
      </c>
      <c r="C254" s="152">
        <v>550</v>
      </c>
      <c r="D254" s="153">
        <v>54935</v>
      </c>
      <c r="E254" s="151" t="s">
        <v>914</v>
      </c>
      <c r="F254" s="151" t="s">
        <v>239</v>
      </c>
      <c r="G254" s="151" t="s">
        <v>243</v>
      </c>
      <c r="H254" s="153">
        <v>16</v>
      </c>
      <c r="I254" s="151" t="s">
        <v>909</v>
      </c>
      <c r="J254" s="151" t="s">
        <v>82</v>
      </c>
      <c r="K254" s="154">
        <v>27940</v>
      </c>
      <c r="L254" s="154">
        <v>14590</v>
      </c>
      <c r="M254" s="155">
        <v>9.5</v>
      </c>
      <c r="N254" s="154">
        <v>13350</v>
      </c>
      <c r="O254" s="154">
        <v>12081.7</v>
      </c>
    </row>
    <row r="255" spans="2:15" ht="12.75" hidden="1" customHeight="1" outlineLevel="1" x14ac:dyDescent="0.25">
      <c r="B255" s="570" t="s">
        <v>511</v>
      </c>
      <c r="C255" s="570"/>
      <c r="D255" s="570"/>
      <c r="E255" s="570"/>
      <c r="F255" s="570"/>
      <c r="G255" s="570"/>
      <c r="H255" s="570"/>
      <c r="I255" s="570"/>
      <c r="J255" s="570"/>
      <c r="K255" s="156"/>
      <c r="L255" s="156"/>
      <c r="M255" s="156"/>
      <c r="N255" s="154">
        <v>13350</v>
      </c>
      <c r="O255" s="154">
        <v>12081.7</v>
      </c>
    </row>
    <row r="256" spans="2:15" ht="36.75" customHeight="1" collapsed="1" x14ac:dyDescent="0.25">
      <c r="B256" s="151" t="s">
        <v>1112</v>
      </c>
      <c r="C256" s="152">
        <v>552</v>
      </c>
      <c r="D256" s="153">
        <v>54936</v>
      </c>
      <c r="E256" s="151" t="s">
        <v>914</v>
      </c>
      <c r="F256" s="151" t="s">
        <v>212</v>
      </c>
      <c r="G256" s="151" t="s">
        <v>216</v>
      </c>
      <c r="H256" s="153">
        <v>16</v>
      </c>
      <c r="I256" s="151" t="s">
        <v>909</v>
      </c>
      <c r="J256" s="151" t="s">
        <v>82</v>
      </c>
      <c r="K256" s="154">
        <v>27200</v>
      </c>
      <c r="L256" s="154">
        <v>13800</v>
      </c>
      <c r="M256" s="155">
        <v>10.5</v>
      </c>
      <c r="N256" s="154">
        <v>13400</v>
      </c>
      <c r="O256" s="154">
        <v>11993</v>
      </c>
    </row>
    <row r="257" spans="2:15" ht="12.75" hidden="1" customHeight="1" outlineLevel="1" x14ac:dyDescent="0.25">
      <c r="B257" s="570" t="s">
        <v>511</v>
      </c>
      <c r="C257" s="570"/>
      <c r="D257" s="570"/>
      <c r="E257" s="570"/>
      <c r="F257" s="570"/>
      <c r="G257" s="570"/>
      <c r="H257" s="570"/>
      <c r="I257" s="570"/>
      <c r="J257" s="570"/>
      <c r="K257" s="156"/>
      <c r="L257" s="156"/>
      <c r="M257" s="156"/>
      <c r="N257" s="154">
        <v>13400</v>
      </c>
      <c r="O257" s="154">
        <v>11993</v>
      </c>
    </row>
    <row r="258" spans="2:15" ht="48.75" customHeight="1" collapsed="1" x14ac:dyDescent="0.25">
      <c r="B258" s="151" t="s">
        <v>1113</v>
      </c>
      <c r="C258" s="152">
        <v>553</v>
      </c>
      <c r="D258" s="153">
        <v>54937</v>
      </c>
      <c r="E258" s="151" t="s">
        <v>914</v>
      </c>
      <c r="F258" s="151" t="s">
        <v>244</v>
      </c>
      <c r="G258" s="151" t="s">
        <v>248</v>
      </c>
      <c r="H258" s="153">
        <v>16</v>
      </c>
      <c r="I258" s="151" t="s">
        <v>909</v>
      </c>
      <c r="J258" s="151" t="s">
        <v>82</v>
      </c>
      <c r="K258" s="154">
        <v>29170</v>
      </c>
      <c r="L258" s="154">
        <v>15500</v>
      </c>
      <c r="M258" s="155">
        <v>7.5</v>
      </c>
      <c r="N258" s="154">
        <v>13670</v>
      </c>
      <c r="O258" s="154">
        <v>12644.7</v>
      </c>
    </row>
    <row r="259" spans="2:15" ht="12.75" hidden="1" customHeight="1" outlineLevel="1" x14ac:dyDescent="0.25">
      <c r="B259" s="570" t="s">
        <v>511</v>
      </c>
      <c r="C259" s="570"/>
      <c r="D259" s="570"/>
      <c r="E259" s="570"/>
      <c r="F259" s="570"/>
      <c r="G259" s="570"/>
      <c r="H259" s="570"/>
      <c r="I259" s="570"/>
      <c r="J259" s="570"/>
      <c r="K259" s="156"/>
      <c r="L259" s="156"/>
      <c r="M259" s="156"/>
      <c r="N259" s="154">
        <v>13670</v>
      </c>
      <c r="O259" s="154">
        <v>12644.7</v>
      </c>
    </row>
    <row r="260" spans="2:15" ht="36.75" customHeight="1" collapsed="1" x14ac:dyDescent="0.25">
      <c r="B260" s="151" t="s">
        <v>1114</v>
      </c>
      <c r="C260" s="152">
        <v>555</v>
      </c>
      <c r="D260" s="153">
        <v>54937</v>
      </c>
      <c r="E260" s="151" t="s">
        <v>914</v>
      </c>
      <c r="F260" s="151" t="s">
        <v>894</v>
      </c>
      <c r="G260" s="151" t="s">
        <v>895</v>
      </c>
      <c r="H260" s="153">
        <v>16</v>
      </c>
      <c r="I260" s="151" t="s">
        <v>909</v>
      </c>
      <c r="J260" s="151" t="s">
        <v>82</v>
      </c>
      <c r="K260" s="154">
        <v>28460</v>
      </c>
      <c r="L260" s="154">
        <v>14900</v>
      </c>
      <c r="M260" s="155">
        <v>6.5</v>
      </c>
      <c r="N260" s="154">
        <v>13560</v>
      </c>
      <c r="O260" s="154">
        <v>12678.6</v>
      </c>
    </row>
    <row r="261" spans="2:15" ht="12.75" hidden="1" customHeight="1" outlineLevel="1" x14ac:dyDescent="0.25">
      <c r="B261" s="570" t="s">
        <v>511</v>
      </c>
      <c r="C261" s="570"/>
      <c r="D261" s="570"/>
      <c r="E261" s="570"/>
      <c r="F261" s="570"/>
      <c r="G261" s="570"/>
      <c r="H261" s="570"/>
      <c r="I261" s="570"/>
      <c r="J261" s="570"/>
      <c r="K261" s="156"/>
      <c r="L261" s="156"/>
      <c r="M261" s="156"/>
      <c r="N261" s="154">
        <v>13560</v>
      </c>
      <c r="O261" s="154">
        <v>12678.6</v>
      </c>
    </row>
    <row r="262" spans="2:15" ht="36.75" customHeight="1" collapsed="1" x14ac:dyDescent="0.25">
      <c r="B262" s="151" t="s">
        <v>1116</v>
      </c>
      <c r="C262" s="152">
        <v>556</v>
      </c>
      <c r="D262" s="153">
        <v>54938</v>
      </c>
      <c r="E262" s="151" t="s">
        <v>914</v>
      </c>
      <c r="F262" s="151" t="s">
        <v>335</v>
      </c>
      <c r="G262" s="151" t="s">
        <v>339</v>
      </c>
      <c r="H262" s="153">
        <v>16</v>
      </c>
      <c r="I262" s="151" t="s">
        <v>909</v>
      </c>
      <c r="J262" s="151" t="s">
        <v>82</v>
      </c>
      <c r="K262" s="154">
        <v>28110</v>
      </c>
      <c r="L262" s="154">
        <v>14730</v>
      </c>
      <c r="M262" s="155">
        <v>8.5</v>
      </c>
      <c r="N262" s="154">
        <v>13380</v>
      </c>
      <c r="O262" s="154">
        <v>12242.7</v>
      </c>
    </row>
    <row r="263" spans="2:15" ht="12.75" hidden="1" customHeight="1" outlineLevel="1" x14ac:dyDescent="0.25">
      <c r="B263" s="570" t="s">
        <v>511</v>
      </c>
      <c r="C263" s="570"/>
      <c r="D263" s="570"/>
      <c r="E263" s="570"/>
      <c r="F263" s="570"/>
      <c r="G263" s="570"/>
      <c r="H263" s="570"/>
      <c r="I263" s="570"/>
      <c r="J263" s="570"/>
      <c r="K263" s="156"/>
      <c r="L263" s="156"/>
      <c r="M263" s="156"/>
      <c r="N263" s="154">
        <v>13380</v>
      </c>
      <c r="O263" s="154">
        <v>12242.7</v>
      </c>
    </row>
    <row r="264" spans="2:15" ht="36.75" customHeight="1" collapsed="1" x14ac:dyDescent="0.25">
      <c r="B264" s="151" t="s">
        <v>1115</v>
      </c>
      <c r="C264" s="152">
        <v>554</v>
      </c>
      <c r="D264" s="153">
        <v>54937</v>
      </c>
      <c r="E264" s="151" t="s">
        <v>914</v>
      </c>
      <c r="F264" s="151" t="s">
        <v>1312</v>
      </c>
      <c r="G264" s="151" t="s">
        <v>320</v>
      </c>
      <c r="H264" s="153">
        <v>16</v>
      </c>
      <c r="I264" s="151" t="s">
        <v>909</v>
      </c>
      <c r="J264" s="151" t="s">
        <v>82</v>
      </c>
      <c r="K264" s="154">
        <v>27920</v>
      </c>
      <c r="L264" s="154">
        <v>14400</v>
      </c>
      <c r="M264" s="155">
        <v>9.5</v>
      </c>
      <c r="N264" s="154">
        <v>13520</v>
      </c>
      <c r="O264" s="154">
        <v>12235.6</v>
      </c>
    </row>
    <row r="265" spans="2:15" ht="12.75" hidden="1" customHeight="1" outlineLevel="1" x14ac:dyDescent="0.25">
      <c r="B265" s="570" t="s">
        <v>511</v>
      </c>
      <c r="C265" s="570"/>
      <c r="D265" s="570"/>
      <c r="E265" s="570"/>
      <c r="F265" s="570"/>
      <c r="G265" s="570"/>
      <c r="H265" s="570"/>
      <c r="I265" s="570"/>
      <c r="J265" s="570"/>
      <c r="K265" s="156"/>
      <c r="L265" s="156"/>
      <c r="M265" s="156"/>
      <c r="N265" s="154">
        <v>13520</v>
      </c>
      <c r="O265" s="154">
        <v>12235.6</v>
      </c>
    </row>
    <row r="266" spans="2:15" ht="36.75" customHeight="1" collapsed="1" x14ac:dyDescent="0.25">
      <c r="B266" s="151" t="s">
        <v>1117</v>
      </c>
      <c r="C266" s="152">
        <v>557</v>
      </c>
      <c r="D266" s="153">
        <v>54938</v>
      </c>
      <c r="E266" s="151" t="s">
        <v>914</v>
      </c>
      <c r="F266" s="151" t="s">
        <v>151</v>
      </c>
      <c r="G266" s="151" t="s">
        <v>155</v>
      </c>
      <c r="H266" s="153">
        <v>16</v>
      </c>
      <c r="I266" s="151" t="s">
        <v>909</v>
      </c>
      <c r="J266" s="151" t="s">
        <v>82</v>
      </c>
      <c r="K266" s="154">
        <v>28060</v>
      </c>
      <c r="L266" s="154">
        <v>14890</v>
      </c>
      <c r="M266" s="155">
        <v>6.5</v>
      </c>
      <c r="N266" s="154">
        <v>13170</v>
      </c>
      <c r="O266" s="154">
        <v>12313.9</v>
      </c>
    </row>
    <row r="267" spans="2:15" ht="12.75" hidden="1" customHeight="1" outlineLevel="1" x14ac:dyDescent="0.25">
      <c r="B267" s="570" t="s">
        <v>550</v>
      </c>
      <c r="C267" s="570"/>
      <c r="D267" s="570"/>
      <c r="E267" s="570"/>
      <c r="F267" s="570"/>
      <c r="G267" s="570"/>
      <c r="H267" s="570"/>
      <c r="I267" s="570"/>
      <c r="J267" s="570"/>
      <c r="K267" s="156"/>
      <c r="L267" s="156"/>
      <c r="M267" s="156"/>
      <c r="N267" s="154">
        <v>13170</v>
      </c>
      <c r="O267" s="154">
        <v>12313.9</v>
      </c>
    </row>
    <row r="268" spans="2:15" ht="36.75" customHeight="1" collapsed="1" x14ac:dyDescent="0.25">
      <c r="B268" s="151" t="s">
        <v>1119</v>
      </c>
      <c r="C268" s="152">
        <v>558</v>
      </c>
      <c r="D268" s="153">
        <v>54939</v>
      </c>
      <c r="E268" s="151" t="s">
        <v>914</v>
      </c>
      <c r="F268" s="151" t="s">
        <v>160</v>
      </c>
      <c r="G268" s="151" t="s">
        <v>164</v>
      </c>
      <c r="H268" s="153">
        <v>16</v>
      </c>
      <c r="I268" s="151" t="s">
        <v>909</v>
      </c>
      <c r="J268" s="151" t="s">
        <v>82</v>
      </c>
      <c r="K268" s="154">
        <v>37150</v>
      </c>
      <c r="L268" s="154">
        <v>24140</v>
      </c>
      <c r="M268" s="155">
        <v>6.5</v>
      </c>
      <c r="N268" s="154">
        <v>13010</v>
      </c>
      <c r="O268" s="154">
        <v>12164.3</v>
      </c>
    </row>
    <row r="269" spans="2:15" ht="12.75" hidden="1" customHeight="1" outlineLevel="1" x14ac:dyDescent="0.25">
      <c r="B269" s="570" t="s">
        <v>550</v>
      </c>
      <c r="C269" s="570"/>
      <c r="D269" s="570"/>
      <c r="E269" s="570"/>
      <c r="F269" s="570"/>
      <c r="G269" s="570"/>
      <c r="H269" s="570"/>
      <c r="I269" s="570"/>
      <c r="J269" s="570"/>
      <c r="K269" s="156"/>
      <c r="L269" s="156"/>
      <c r="M269" s="156"/>
      <c r="N269" s="154">
        <v>13010</v>
      </c>
      <c r="O269" s="154">
        <v>12164.3</v>
      </c>
    </row>
    <row r="270" spans="2:15" ht="36.75" customHeight="1" collapsed="1" x14ac:dyDescent="0.25">
      <c r="B270" s="151" t="s">
        <v>1118</v>
      </c>
      <c r="C270" s="152">
        <v>559</v>
      </c>
      <c r="D270" s="153">
        <v>54939</v>
      </c>
      <c r="E270" s="151" t="s">
        <v>914</v>
      </c>
      <c r="F270" s="151" t="s">
        <v>311</v>
      </c>
      <c r="G270" s="151" t="s">
        <v>315</v>
      </c>
      <c r="H270" s="153">
        <v>16</v>
      </c>
      <c r="I270" s="151" t="s">
        <v>909</v>
      </c>
      <c r="J270" s="151" t="s">
        <v>82</v>
      </c>
      <c r="K270" s="154">
        <v>28140</v>
      </c>
      <c r="L270" s="154">
        <v>15020</v>
      </c>
      <c r="M270" s="155">
        <v>5.5</v>
      </c>
      <c r="N270" s="154">
        <v>13120</v>
      </c>
      <c r="O270" s="154">
        <v>12398.4</v>
      </c>
    </row>
    <row r="271" spans="2:15" ht="12.75" hidden="1" customHeight="1" outlineLevel="1" x14ac:dyDescent="0.25">
      <c r="B271" s="570" t="s">
        <v>550</v>
      </c>
      <c r="C271" s="570"/>
      <c r="D271" s="570"/>
      <c r="E271" s="570"/>
      <c r="F271" s="570"/>
      <c r="G271" s="570"/>
      <c r="H271" s="570"/>
      <c r="I271" s="570"/>
      <c r="J271" s="570"/>
      <c r="K271" s="156"/>
      <c r="L271" s="156"/>
      <c r="M271" s="156"/>
      <c r="N271" s="154">
        <v>13120</v>
      </c>
      <c r="O271" s="154">
        <v>12398.4</v>
      </c>
    </row>
    <row r="272" spans="2:15" ht="36.75" customHeight="1" collapsed="1" x14ac:dyDescent="0.25">
      <c r="B272" s="151" t="s">
        <v>1120</v>
      </c>
      <c r="C272" s="152">
        <v>561</v>
      </c>
      <c r="D272" s="153">
        <v>54940</v>
      </c>
      <c r="E272" s="151" t="s">
        <v>914</v>
      </c>
      <c r="F272" s="151" t="s">
        <v>347</v>
      </c>
      <c r="G272" s="151" t="s">
        <v>351</v>
      </c>
      <c r="H272" s="153">
        <v>16</v>
      </c>
      <c r="I272" s="151" t="s">
        <v>909</v>
      </c>
      <c r="J272" s="151" t="s">
        <v>82</v>
      </c>
      <c r="K272" s="154">
        <v>31800</v>
      </c>
      <c r="L272" s="154">
        <v>18680</v>
      </c>
      <c r="M272" s="155">
        <v>6.5</v>
      </c>
      <c r="N272" s="154">
        <v>13120</v>
      </c>
      <c r="O272" s="154">
        <v>12267.2</v>
      </c>
    </row>
    <row r="273" spans="2:15" ht="12.75" hidden="1" customHeight="1" outlineLevel="1" x14ac:dyDescent="0.25">
      <c r="B273" s="570" t="s">
        <v>550</v>
      </c>
      <c r="C273" s="570"/>
      <c r="D273" s="570"/>
      <c r="E273" s="570"/>
      <c r="F273" s="570"/>
      <c r="G273" s="570"/>
      <c r="H273" s="570"/>
      <c r="I273" s="570"/>
      <c r="J273" s="570"/>
      <c r="K273" s="156"/>
      <c r="L273" s="156"/>
      <c r="M273" s="156"/>
      <c r="N273" s="154">
        <v>13120</v>
      </c>
      <c r="O273" s="154">
        <v>12267.2</v>
      </c>
    </row>
    <row r="274" spans="2:15" ht="36.75" customHeight="1" collapsed="1" x14ac:dyDescent="0.25">
      <c r="B274" s="151" t="s">
        <v>1121</v>
      </c>
      <c r="C274" s="152">
        <v>560</v>
      </c>
      <c r="D274" s="153">
        <v>54940</v>
      </c>
      <c r="E274" s="151" t="s">
        <v>914</v>
      </c>
      <c r="F274" s="151" t="s">
        <v>239</v>
      </c>
      <c r="G274" s="151" t="s">
        <v>243</v>
      </c>
      <c r="H274" s="153">
        <v>16</v>
      </c>
      <c r="I274" s="151" t="s">
        <v>909</v>
      </c>
      <c r="J274" s="151" t="s">
        <v>82</v>
      </c>
      <c r="K274" s="154">
        <v>27710</v>
      </c>
      <c r="L274" s="154">
        <v>14530</v>
      </c>
      <c r="M274" s="155">
        <v>5.5</v>
      </c>
      <c r="N274" s="154">
        <v>13180</v>
      </c>
      <c r="O274" s="154">
        <v>12455.1</v>
      </c>
    </row>
    <row r="275" spans="2:15" ht="12.75" hidden="1" customHeight="1" outlineLevel="1" x14ac:dyDescent="0.25">
      <c r="B275" s="570" t="s">
        <v>550</v>
      </c>
      <c r="C275" s="570"/>
      <c r="D275" s="570"/>
      <c r="E275" s="570"/>
      <c r="F275" s="570"/>
      <c r="G275" s="570"/>
      <c r="H275" s="570"/>
      <c r="I275" s="570"/>
      <c r="J275" s="570"/>
      <c r="K275" s="156"/>
      <c r="L275" s="156"/>
      <c r="M275" s="156"/>
      <c r="N275" s="154">
        <v>13180</v>
      </c>
      <c r="O275" s="154">
        <v>12455.1</v>
      </c>
    </row>
    <row r="276" spans="2:15" ht="36.75" customHeight="1" collapsed="1" x14ac:dyDescent="0.25">
      <c r="B276" s="151" t="s">
        <v>1122</v>
      </c>
      <c r="C276" s="152">
        <v>562</v>
      </c>
      <c r="D276" s="153">
        <v>54941</v>
      </c>
      <c r="E276" s="151" t="s">
        <v>914</v>
      </c>
      <c r="F276" s="151" t="s">
        <v>212</v>
      </c>
      <c r="G276" s="151" t="s">
        <v>216</v>
      </c>
      <c r="H276" s="153">
        <v>16</v>
      </c>
      <c r="I276" s="151" t="s">
        <v>909</v>
      </c>
      <c r="J276" s="151" t="s">
        <v>82</v>
      </c>
      <c r="K276" s="154">
        <v>27470</v>
      </c>
      <c r="L276" s="154">
        <v>13870</v>
      </c>
      <c r="M276" s="155">
        <v>5.5</v>
      </c>
      <c r="N276" s="154">
        <v>13600</v>
      </c>
      <c r="O276" s="154">
        <v>12852</v>
      </c>
    </row>
    <row r="277" spans="2:15" ht="12.75" hidden="1" customHeight="1" outlineLevel="1" x14ac:dyDescent="0.25">
      <c r="B277" s="570" t="s">
        <v>550</v>
      </c>
      <c r="C277" s="570"/>
      <c r="D277" s="570"/>
      <c r="E277" s="570"/>
      <c r="F277" s="570"/>
      <c r="G277" s="570"/>
      <c r="H277" s="570"/>
      <c r="I277" s="570"/>
      <c r="J277" s="570"/>
      <c r="K277" s="156"/>
      <c r="L277" s="156"/>
      <c r="M277" s="156"/>
      <c r="N277" s="154">
        <v>13600</v>
      </c>
      <c r="O277" s="154">
        <v>12852</v>
      </c>
    </row>
    <row r="278" spans="2:15" ht="36.75" customHeight="1" collapsed="1" x14ac:dyDescent="0.25">
      <c r="B278" s="151" t="s">
        <v>1123</v>
      </c>
      <c r="C278" s="152">
        <v>564</v>
      </c>
      <c r="D278" s="153">
        <v>54942</v>
      </c>
      <c r="E278" s="151" t="s">
        <v>914</v>
      </c>
      <c r="F278" s="151" t="s">
        <v>1152</v>
      </c>
      <c r="G278" s="151" t="s">
        <v>119</v>
      </c>
      <c r="H278" s="153">
        <v>14</v>
      </c>
      <c r="I278" s="151" t="s">
        <v>909</v>
      </c>
      <c r="J278" s="151" t="s">
        <v>82</v>
      </c>
      <c r="K278" s="154">
        <v>34090</v>
      </c>
      <c r="L278" s="154">
        <v>21010</v>
      </c>
      <c r="M278" s="155">
        <v>5.5</v>
      </c>
      <c r="N278" s="154">
        <v>13080</v>
      </c>
      <c r="O278" s="154">
        <v>12360.6</v>
      </c>
    </row>
    <row r="279" spans="2:15" ht="12.75" hidden="1" customHeight="1" outlineLevel="1" x14ac:dyDescent="0.25">
      <c r="B279" s="570" t="s">
        <v>550</v>
      </c>
      <c r="C279" s="570"/>
      <c r="D279" s="570"/>
      <c r="E279" s="570"/>
      <c r="F279" s="570"/>
      <c r="G279" s="570"/>
      <c r="H279" s="570"/>
      <c r="I279" s="570"/>
      <c r="J279" s="570"/>
      <c r="K279" s="156"/>
      <c r="L279" s="156"/>
      <c r="M279" s="156"/>
      <c r="N279" s="154">
        <v>13080</v>
      </c>
      <c r="O279" s="154">
        <v>12360.6</v>
      </c>
    </row>
    <row r="280" spans="2:15" ht="48.75" customHeight="1" collapsed="1" x14ac:dyDescent="0.25">
      <c r="B280" s="151" t="s">
        <v>1124</v>
      </c>
      <c r="C280" s="152">
        <v>563</v>
      </c>
      <c r="D280" s="153">
        <v>54941</v>
      </c>
      <c r="E280" s="151" t="s">
        <v>914</v>
      </c>
      <c r="F280" s="151" t="s">
        <v>244</v>
      </c>
      <c r="G280" s="151" t="s">
        <v>248</v>
      </c>
      <c r="H280" s="153">
        <v>14</v>
      </c>
      <c r="I280" s="151" t="s">
        <v>909</v>
      </c>
      <c r="J280" s="151" t="s">
        <v>82</v>
      </c>
      <c r="K280" s="154">
        <v>28800</v>
      </c>
      <c r="L280" s="154">
        <v>15600</v>
      </c>
      <c r="M280" s="155">
        <v>5.5</v>
      </c>
      <c r="N280" s="154">
        <v>13200</v>
      </c>
      <c r="O280" s="154">
        <v>12474</v>
      </c>
    </row>
    <row r="281" spans="2:15" ht="12.75" hidden="1" customHeight="1" outlineLevel="1" x14ac:dyDescent="0.25">
      <c r="B281" s="570" t="s">
        <v>833</v>
      </c>
      <c r="C281" s="570"/>
      <c r="D281" s="570"/>
      <c r="E281" s="570"/>
      <c r="F281" s="570"/>
      <c r="G281" s="570"/>
      <c r="H281" s="570"/>
      <c r="I281" s="570"/>
      <c r="J281" s="570"/>
      <c r="K281" s="156"/>
      <c r="L281" s="156"/>
      <c r="M281" s="156"/>
      <c r="N281" s="154">
        <v>13200</v>
      </c>
      <c r="O281" s="154">
        <v>12474</v>
      </c>
    </row>
    <row r="282" spans="2:15" ht="36.75" customHeight="1" collapsed="1" x14ac:dyDescent="0.25">
      <c r="B282" s="151" t="s">
        <v>1125</v>
      </c>
      <c r="C282" s="152">
        <v>566</v>
      </c>
      <c r="D282" s="153">
        <v>54943</v>
      </c>
      <c r="E282" s="151" t="s">
        <v>914</v>
      </c>
      <c r="F282" s="151" t="s">
        <v>311</v>
      </c>
      <c r="G282" s="151" t="s">
        <v>315</v>
      </c>
      <c r="H282" s="153">
        <v>14</v>
      </c>
      <c r="I282" s="151" t="s">
        <v>909</v>
      </c>
      <c r="J282" s="151" t="s">
        <v>82</v>
      </c>
      <c r="K282" s="154">
        <v>28200</v>
      </c>
      <c r="L282" s="154">
        <v>14990</v>
      </c>
      <c r="M282" s="155">
        <v>6.5</v>
      </c>
      <c r="N282" s="154">
        <v>13210</v>
      </c>
      <c r="O282" s="154">
        <v>12351.3</v>
      </c>
    </row>
    <row r="283" spans="2:15" ht="12.75" hidden="1" customHeight="1" outlineLevel="1" x14ac:dyDescent="0.25">
      <c r="B283" s="570" t="s">
        <v>550</v>
      </c>
      <c r="C283" s="570"/>
      <c r="D283" s="570"/>
      <c r="E283" s="570"/>
      <c r="F283" s="570"/>
      <c r="G283" s="570"/>
      <c r="H283" s="570"/>
      <c r="I283" s="570"/>
      <c r="J283" s="570"/>
      <c r="K283" s="156"/>
      <c r="L283" s="156"/>
      <c r="M283" s="156"/>
      <c r="N283" s="154">
        <v>13210</v>
      </c>
      <c r="O283" s="154">
        <v>12351.3</v>
      </c>
    </row>
    <row r="284" spans="2:15" ht="36.75" customHeight="1" collapsed="1" x14ac:dyDescent="0.25">
      <c r="B284" s="151" t="s">
        <v>1126</v>
      </c>
      <c r="C284" s="152">
        <v>565</v>
      </c>
      <c r="D284" s="153">
        <v>54943</v>
      </c>
      <c r="E284" s="151" t="s">
        <v>914</v>
      </c>
      <c r="F284" s="151" t="s">
        <v>335</v>
      </c>
      <c r="G284" s="151" t="s">
        <v>339</v>
      </c>
      <c r="H284" s="153">
        <v>14</v>
      </c>
      <c r="I284" s="151" t="s">
        <v>909</v>
      </c>
      <c r="J284" s="151" t="s">
        <v>82</v>
      </c>
      <c r="K284" s="154">
        <v>27720</v>
      </c>
      <c r="L284" s="154">
        <v>14720</v>
      </c>
      <c r="M284" s="155">
        <v>6.5</v>
      </c>
      <c r="N284" s="154">
        <v>13000</v>
      </c>
      <c r="O284" s="154">
        <v>12155</v>
      </c>
    </row>
    <row r="285" spans="2:15" ht="12.75" hidden="1" customHeight="1" outlineLevel="1" x14ac:dyDescent="0.25">
      <c r="B285" s="570" t="s">
        <v>550</v>
      </c>
      <c r="C285" s="570"/>
      <c r="D285" s="570"/>
      <c r="E285" s="570"/>
      <c r="F285" s="570"/>
      <c r="G285" s="570"/>
      <c r="H285" s="570"/>
      <c r="I285" s="570"/>
      <c r="J285" s="570"/>
      <c r="K285" s="156"/>
      <c r="L285" s="156"/>
      <c r="M285" s="156"/>
      <c r="N285" s="154">
        <v>13000</v>
      </c>
      <c r="O285" s="154">
        <v>12155</v>
      </c>
    </row>
    <row r="286" spans="2:15" ht="36.75" customHeight="1" collapsed="1" x14ac:dyDescent="0.25">
      <c r="B286" s="151" t="s">
        <v>1177</v>
      </c>
      <c r="C286" s="152">
        <v>581</v>
      </c>
      <c r="D286" s="153">
        <v>54947</v>
      </c>
      <c r="E286" s="151" t="s">
        <v>914</v>
      </c>
      <c r="F286" s="151" t="s">
        <v>1152</v>
      </c>
      <c r="G286" s="151" t="s">
        <v>119</v>
      </c>
      <c r="H286" s="153">
        <v>14</v>
      </c>
      <c r="I286" s="151" t="s">
        <v>909</v>
      </c>
      <c r="J286" s="151" t="s">
        <v>82</v>
      </c>
      <c r="K286" s="154">
        <v>33730</v>
      </c>
      <c r="L286" s="154">
        <v>21060</v>
      </c>
      <c r="M286" s="155">
        <v>5.5</v>
      </c>
      <c r="N286" s="154">
        <v>12670</v>
      </c>
      <c r="O286" s="154">
        <v>11973.1</v>
      </c>
    </row>
    <row r="287" spans="2:15" ht="12.75" hidden="1" customHeight="1" outlineLevel="1" x14ac:dyDescent="0.25">
      <c r="B287" s="570" t="s">
        <v>550</v>
      </c>
      <c r="C287" s="570"/>
      <c r="D287" s="570"/>
      <c r="E287" s="570"/>
      <c r="F287" s="570"/>
      <c r="G287" s="570"/>
      <c r="H287" s="570"/>
      <c r="I287" s="570"/>
      <c r="J287" s="570"/>
      <c r="K287" s="156"/>
      <c r="L287" s="156"/>
      <c r="M287" s="156"/>
      <c r="N287" s="154">
        <v>12670</v>
      </c>
      <c r="O287" s="154">
        <v>11973.1</v>
      </c>
    </row>
    <row r="288" spans="2:15" ht="36.75" customHeight="1" collapsed="1" x14ac:dyDescent="0.25">
      <c r="B288" s="151" t="s">
        <v>1170</v>
      </c>
      <c r="C288" s="152">
        <v>573</v>
      </c>
      <c r="D288" s="153">
        <v>54944</v>
      </c>
      <c r="E288" s="151" t="s">
        <v>914</v>
      </c>
      <c r="F288" s="151" t="s">
        <v>151</v>
      </c>
      <c r="G288" s="151" t="s">
        <v>155</v>
      </c>
      <c r="H288" s="153">
        <v>14</v>
      </c>
      <c r="I288" s="151" t="s">
        <v>909</v>
      </c>
      <c r="J288" s="151" t="s">
        <v>82</v>
      </c>
      <c r="K288" s="154">
        <v>27940</v>
      </c>
      <c r="L288" s="154">
        <v>14850</v>
      </c>
      <c r="M288" s="155">
        <v>6.5</v>
      </c>
      <c r="N288" s="154">
        <v>13090</v>
      </c>
      <c r="O288" s="154">
        <v>12239.1</v>
      </c>
    </row>
    <row r="289" spans="2:15" ht="12.75" hidden="1" customHeight="1" outlineLevel="1" x14ac:dyDescent="0.25">
      <c r="B289" s="570" t="s">
        <v>550</v>
      </c>
      <c r="C289" s="570"/>
      <c r="D289" s="570"/>
      <c r="E289" s="570"/>
      <c r="F289" s="570"/>
      <c r="G289" s="570"/>
      <c r="H289" s="570"/>
      <c r="I289" s="570"/>
      <c r="J289" s="570"/>
      <c r="K289" s="156"/>
      <c r="L289" s="156"/>
      <c r="M289" s="156"/>
      <c r="N289" s="154">
        <v>13090</v>
      </c>
      <c r="O289" s="154">
        <v>12239.1</v>
      </c>
    </row>
    <row r="290" spans="2:15" ht="36.75" customHeight="1" collapsed="1" x14ac:dyDescent="0.25">
      <c r="B290" s="151" t="s">
        <v>1171</v>
      </c>
      <c r="C290" s="152">
        <v>570</v>
      </c>
      <c r="D290" s="153">
        <v>54944</v>
      </c>
      <c r="E290" s="151" t="s">
        <v>914</v>
      </c>
      <c r="F290" s="151" t="s">
        <v>160</v>
      </c>
      <c r="G290" s="151" t="s">
        <v>164</v>
      </c>
      <c r="H290" s="153">
        <v>14</v>
      </c>
      <c r="I290" s="151" t="s">
        <v>909</v>
      </c>
      <c r="J290" s="151" t="s">
        <v>82</v>
      </c>
      <c r="K290" s="154">
        <v>37320</v>
      </c>
      <c r="L290" s="154">
        <v>24060</v>
      </c>
      <c r="M290" s="155">
        <v>4.5</v>
      </c>
      <c r="N290" s="154">
        <v>13260</v>
      </c>
      <c r="O290" s="154">
        <v>12663.3</v>
      </c>
    </row>
    <row r="291" spans="2:15" ht="12.75" hidden="1" customHeight="1" outlineLevel="1" x14ac:dyDescent="0.25">
      <c r="B291" s="570" t="s">
        <v>833</v>
      </c>
      <c r="C291" s="570"/>
      <c r="D291" s="570"/>
      <c r="E291" s="570"/>
      <c r="F291" s="570"/>
      <c r="G291" s="570"/>
      <c r="H291" s="570"/>
      <c r="I291" s="570"/>
      <c r="J291" s="570"/>
      <c r="K291" s="156"/>
      <c r="L291" s="156"/>
      <c r="M291" s="156"/>
      <c r="N291" s="154">
        <v>13260</v>
      </c>
      <c r="O291" s="154">
        <v>12663.3</v>
      </c>
    </row>
    <row r="292" spans="2:15" ht="36.75" customHeight="1" collapsed="1" x14ac:dyDescent="0.25">
      <c r="B292" s="151" t="s">
        <v>1172</v>
      </c>
      <c r="C292" s="152">
        <v>577</v>
      </c>
      <c r="D292" s="153">
        <v>54945</v>
      </c>
      <c r="E292" s="151" t="s">
        <v>914</v>
      </c>
      <c r="F292" s="151" t="s">
        <v>347</v>
      </c>
      <c r="G292" s="151" t="s">
        <v>351</v>
      </c>
      <c r="H292" s="153">
        <v>14</v>
      </c>
      <c r="I292" s="151" t="s">
        <v>909</v>
      </c>
      <c r="J292" s="151" t="s">
        <v>82</v>
      </c>
      <c r="K292" s="154">
        <v>31390</v>
      </c>
      <c r="L292" s="154">
        <v>18620</v>
      </c>
      <c r="M292" s="155">
        <v>5.5</v>
      </c>
      <c r="N292" s="154">
        <v>12770</v>
      </c>
      <c r="O292" s="154">
        <v>12067.6</v>
      </c>
    </row>
    <row r="293" spans="2:15" ht="12.75" hidden="1" customHeight="1" outlineLevel="1" x14ac:dyDescent="0.25">
      <c r="B293" s="570" t="s">
        <v>550</v>
      </c>
      <c r="C293" s="570"/>
      <c r="D293" s="570"/>
      <c r="E293" s="570"/>
      <c r="F293" s="570"/>
      <c r="G293" s="570"/>
      <c r="H293" s="570"/>
      <c r="I293" s="570"/>
      <c r="J293" s="570"/>
      <c r="K293" s="156"/>
      <c r="L293" s="156"/>
      <c r="M293" s="156"/>
      <c r="N293" s="154">
        <v>12770</v>
      </c>
      <c r="O293" s="154">
        <v>12067.6</v>
      </c>
    </row>
    <row r="294" spans="2:15" ht="36.75" customHeight="1" collapsed="1" x14ac:dyDescent="0.25">
      <c r="B294" s="151" t="s">
        <v>1153</v>
      </c>
      <c r="C294" s="152">
        <v>583</v>
      </c>
      <c r="D294" s="153">
        <v>54948</v>
      </c>
      <c r="E294" s="151" t="s">
        <v>914</v>
      </c>
      <c r="F294" s="151" t="s">
        <v>311</v>
      </c>
      <c r="G294" s="151" t="s">
        <v>315</v>
      </c>
      <c r="H294" s="153">
        <v>14</v>
      </c>
      <c r="I294" s="151" t="s">
        <v>909</v>
      </c>
      <c r="J294" s="151" t="s">
        <v>82</v>
      </c>
      <c r="K294" s="154">
        <v>28000</v>
      </c>
      <c r="L294" s="154">
        <v>15180</v>
      </c>
      <c r="M294" s="155">
        <v>8.5</v>
      </c>
      <c r="N294" s="154">
        <v>12820</v>
      </c>
      <c r="O294" s="154">
        <v>11730.3</v>
      </c>
    </row>
    <row r="295" spans="2:15" ht="12.75" hidden="1" customHeight="1" outlineLevel="1" x14ac:dyDescent="0.25">
      <c r="B295" s="570" t="s">
        <v>550</v>
      </c>
      <c r="C295" s="570"/>
      <c r="D295" s="570"/>
      <c r="E295" s="570"/>
      <c r="F295" s="570"/>
      <c r="G295" s="570"/>
      <c r="H295" s="570"/>
      <c r="I295" s="570"/>
      <c r="J295" s="570"/>
      <c r="K295" s="156"/>
      <c r="L295" s="156"/>
      <c r="M295" s="156"/>
      <c r="N295" s="154">
        <v>12820</v>
      </c>
      <c r="O295" s="154">
        <v>11730.3</v>
      </c>
    </row>
    <row r="296" spans="2:15" ht="36.75" customHeight="1" collapsed="1" x14ac:dyDescent="0.25">
      <c r="B296" s="151" t="s">
        <v>1173</v>
      </c>
      <c r="C296" s="152">
        <v>574</v>
      </c>
      <c r="D296" s="153">
        <v>54944</v>
      </c>
      <c r="E296" s="151" t="s">
        <v>914</v>
      </c>
      <c r="F296" s="151" t="s">
        <v>121</v>
      </c>
      <c r="G296" s="151" t="s">
        <v>125</v>
      </c>
      <c r="H296" s="153">
        <v>14</v>
      </c>
      <c r="I296" s="151" t="s">
        <v>909</v>
      </c>
      <c r="J296" s="151" t="s">
        <v>82</v>
      </c>
      <c r="K296" s="154">
        <v>27580</v>
      </c>
      <c r="L296" s="154">
        <v>14620</v>
      </c>
      <c r="M296" s="155">
        <v>3.5</v>
      </c>
      <c r="N296" s="154">
        <v>12960</v>
      </c>
      <c r="O296" s="154">
        <v>12506.4</v>
      </c>
    </row>
    <row r="297" spans="2:15" ht="12.75" hidden="1" customHeight="1" outlineLevel="1" x14ac:dyDescent="0.25">
      <c r="B297" s="570" t="s">
        <v>550</v>
      </c>
      <c r="C297" s="570"/>
      <c r="D297" s="570"/>
      <c r="E297" s="570"/>
      <c r="F297" s="570"/>
      <c r="G297" s="570"/>
      <c r="H297" s="570"/>
      <c r="I297" s="570"/>
      <c r="J297" s="570"/>
      <c r="K297" s="156"/>
      <c r="L297" s="156"/>
      <c r="M297" s="156"/>
      <c r="N297" s="154">
        <v>12960</v>
      </c>
      <c r="O297" s="154">
        <v>12506.4</v>
      </c>
    </row>
    <row r="298" spans="2:15" ht="36.75" customHeight="1" collapsed="1" x14ac:dyDescent="0.25">
      <c r="B298" s="151" t="s">
        <v>1174</v>
      </c>
      <c r="C298" s="152">
        <v>579</v>
      </c>
      <c r="D298" s="153">
        <v>54945</v>
      </c>
      <c r="E298" s="151" t="s">
        <v>914</v>
      </c>
      <c r="F298" s="151" t="s">
        <v>212</v>
      </c>
      <c r="G298" s="151" t="s">
        <v>216</v>
      </c>
      <c r="H298" s="153">
        <v>14</v>
      </c>
      <c r="I298" s="151" t="s">
        <v>909</v>
      </c>
      <c r="J298" s="151" t="s">
        <v>82</v>
      </c>
      <c r="K298" s="154">
        <v>26510</v>
      </c>
      <c r="L298" s="154">
        <v>13850</v>
      </c>
      <c r="M298" s="155">
        <v>6.5</v>
      </c>
      <c r="N298" s="154">
        <v>12660</v>
      </c>
      <c r="O298" s="154">
        <v>11837.1</v>
      </c>
    </row>
    <row r="299" spans="2:15" ht="12.75" hidden="1" customHeight="1" outlineLevel="1" x14ac:dyDescent="0.25">
      <c r="B299" s="570" t="s">
        <v>550</v>
      </c>
      <c r="C299" s="570"/>
      <c r="D299" s="570"/>
      <c r="E299" s="570"/>
      <c r="F299" s="570"/>
      <c r="G299" s="570"/>
      <c r="H299" s="570"/>
      <c r="I299" s="570"/>
      <c r="J299" s="570"/>
      <c r="K299" s="156"/>
      <c r="L299" s="156"/>
      <c r="M299" s="156"/>
      <c r="N299" s="154">
        <v>12660</v>
      </c>
      <c r="O299" s="154">
        <v>11837.1</v>
      </c>
    </row>
    <row r="300" spans="2:15" ht="36.75" customHeight="1" collapsed="1" x14ac:dyDescent="0.25">
      <c r="B300" s="151" t="s">
        <v>1175</v>
      </c>
      <c r="C300" s="152">
        <v>580</v>
      </c>
      <c r="D300" s="153">
        <v>54946</v>
      </c>
      <c r="E300" s="151" t="s">
        <v>914</v>
      </c>
      <c r="F300" s="151" t="s">
        <v>239</v>
      </c>
      <c r="G300" s="151" t="s">
        <v>243</v>
      </c>
      <c r="H300" s="153">
        <v>14</v>
      </c>
      <c r="I300" s="151" t="s">
        <v>909</v>
      </c>
      <c r="J300" s="151" t="s">
        <v>82</v>
      </c>
      <c r="K300" s="154">
        <v>27160</v>
      </c>
      <c r="L300" s="154">
        <v>14540</v>
      </c>
      <c r="M300" s="155">
        <v>7.5</v>
      </c>
      <c r="N300" s="154">
        <v>12620</v>
      </c>
      <c r="O300" s="154">
        <v>11673.5</v>
      </c>
    </row>
    <row r="301" spans="2:15" ht="12.75" hidden="1" customHeight="1" outlineLevel="1" x14ac:dyDescent="0.25">
      <c r="B301" s="570" t="s">
        <v>550</v>
      </c>
      <c r="C301" s="570"/>
      <c r="D301" s="570"/>
      <c r="E301" s="570"/>
      <c r="F301" s="570"/>
      <c r="G301" s="570"/>
      <c r="H301" s="570"/>
      <c r="I301" s="570"/>
      <c r="J301" s="570"/>
      <c r="K301" s="156"/>
      <c r="L301" s="156"/>
      <c r="M301" s="156"/>
      <c r="N301" s="154">
        <v>12620</v>
      </c>
      <c r="O301" s="154">
        <v>11673.5</v>
      </c>
    </row>
    <row r="302" spans="2:15" ht="48.75" customHeight="1" collapsed="1" x14ac:dyDescent="0.25">
      <c r="B302" s="151" t="s">
        <v>1176</v>
      </c>
      <c r="C302" s="152">
        <v>582</v>
      </c>
      <c r="D302" s="153">
        <v>54947</v>
      </c>
      <c r="E302" s="151" t="s">
        <v>914</v>
      </c>
      <c r="F302" s="151" t="s">
        <v>244</v>
      </c>
      <c r="G302" s="151" t="s">
        <v>248</v>
      </c>
      <c r="H302" s="153">
        <v>14</v>
      </c>
      <c r="I302" s="151" t="s">
        <v>909</v>
      </c>
      <c r="J302" s="151" t="s">
        <v>82</v>
      </c>
      <c r="K302" s="154">
        <v>28420</v>
      </c>
      <c r="L302" s="154">
        <v>15670</v>
      </c>
      <c r="M302" s="155">
        <v>7.5</v>
      </c>
      <c r="N302" s="154">
        <v>12750</v>
      </c>
      <c r="O302" s="154">
        <v>11793.7</v>
      </c>
    </row>
    <row r="303" spans="2:15" ht="12.75" hidden="1" customHeight="1" outlineLevel="1" x14ac:dyDescent="0.25">
      <c r="B303" s="570" t="s">
        <v>550</v>
      </c>
      <c r="C303" s="570"/>
      <c r="D303" s="570"/>
      <c r="E303" s="570"/>
      <c r="F303" s="570"/>
      <c r="G303" s="570"/>
      <c r="H303" s="570"/>
      <c r="I303" s="570"/>
      <c r="J303" s="570"/>
      <c r="K303" s="156"/>
      <c r="L303" s="156"/>
      <c r="M303" s="156"/>
      <c r="N303" s="154">
        <v>12750</v>
      </c>
      <c r="O303" s="154">
        <v>11793.7</v>
      </c>
    </row>
    <row r="304" spans="2:15" ht="36.75" customHeight="1" collapsed="1" x14ac:dyDescent="0.25">
      <c r="B304" s="151" t="s">
        <v>1154</v>
      </c>
      <c r="C304" s="152">
        <v>584</v>
      </c>
      <c r="D304" s="153">
        <v>54948</v>
      </c>
      <c r="E304" s="151" t="s">
        <v>914</v>
      </c>
      <c r="F304" s="151" t="s">
        <v>133</v>
      </c>
      <c r="G304" s="151" t="s">
        <v>137</v>
      </c>
      <c r="H304" s="153">
        <v>14</v>
      </c>
      <c r="I304" s="151" t="s">
        <v>909</v>
      </c>
      <c r="J304" s="151" t="s">
        <v>82</v>
      </c>
      <c r="K304" s="154">
        <v>28060</v>
      </c>
      <c r="L304" s="154">
        <v>15250</v>
      </c>
      <c r="M304" s="155">
        <v>8</v>
      </c>
      <c r="N304" s="154">
        <v>12810</v>
      </c>
      <c r="O304" s="154">
        <v>11785.2</v>
      </c>
    </row>
    <row r="305" spans="2:15" ht="12.75" hidden="1" customHeight="1" outlineLevel="1" x14ac:dyDescent="0.25">
      <c r="B305" s="570" t="s">
        <v>550</v>
      </c>
      <c r="C305" s="570"/>
      <c r="D305" s="570"/>
      <c r="E305" s="570"/>
      <c r="F305" s="570"/>
      <c r="G305" s="570"/>
      <c r="H305" s="570"/>
      <c r="I305" s="570"/>
      <c r="J305" s="570"/>
      <c r="K305" s="156"/>
      <c r="L305" s="156"/>
      <c r="M305" s="156"/>
      <c r="N305" s="154">
        <v>12810</v>
      </c>
      <c r="O305" s="154">
        <v>11785.2</v>
      </c>
    </row>
    <row r="306" spans="2:15" ht="36.75" customHeight="1" collapsed="1" x14ac:dyDescent="0.25">
      <c r="B306" s="151" t="s">
        <v>1254</v>
      </c>
      <c r="C306" s="152">
        <v>496</v>
      </c>
      <c r="D306" s="151" t="s">
        <v>1277</v>
      </c>
      <c r="E306" s="151" t="s">
        <v>914</v>
      </c>
      <c r="F306" s="151" t="s">
        <v>234</v>
      </c>
      <c r="G306" s="151" t="s">
        <v>1255</v>
      </c>
      <c r="H306" s="153">
        <v>14</v>
      </c>
      <c r="I306" s="151" t="s">
        <v>909</v>
      </c>
      <c r="J306" s="151" t="s">
        <v>82</v>
      </c>
      <c r="K306" s="154">
        <v>32320</v>
      </c>
      <c r="L306" s="154">
        <v>15660</v>
      </c>
      <c r="M306" s="155">
        <v>17.5</v>
      </c>
      <c r="N306" s="154">
        <v>16660</v>
      </c>
      <c r="O306" s="154">
        <v>13744</v>
      </c>
    </row>
    <row r="307" spans="2:15" ht="12.75" hidden="1" customHeight="1" outlineLevel="1" x14ac:dyDescent="0.25">
      <c r="B307" s="570" t="s">
        <v>833</v>
      </c>
      <c r="C307" s="570"/>
      <c r="D307" s="570"/>
      <c r="E307" s="570"/>
      <c r="F307" s="570"/>
      <c r="G307" s="570"/>
      <c r="H307" s="570"/>
      <c r="I307" s="570"/>
      <c r="J307" s="570"/>
      <c r="K307" s="156"/>
      <c r="L307" s="156"/>
      <c r="M307" s="156"/>
      <c r="N307" s="154">
        <v>16660</v>
      </c>
      <c r="O307" s="154">
        <v>13744</v>
      </c>
    </row>
    <row r="308" spans="2:15" ht="36.75" customHeight="1" collapsed="1" x14ac:dyDescent="0.25">
      <c r="B308" s="151" t="s">
        <v>1256</v>
      </c>
      <c r="C308" s="152">
        <v>496</v>
      </c>
      <c r="D308" s="151" t="s">
        <v>1278</v>
      </c>
      <c r="E308" s="151" t="s">
        <v>914</v>
      </c>
      <c r="F308" s="151" t="s">
        <v>262</v>
      </c>
      <c r="G308" s="151" t="s">
        <v>266</v>
      </c>
      <c r="H308" s="153">
        <v>14</v>
      </c>
      <c r="I308" s="151" t="s">
        <v>909</v>
      </c>
      <c r="J308" s="151" t="s">
        <v>82</v>
      </c>
      <c r="K308" s="154">
        <v>30280</v>
      </c>
      <c r="L308" s="154">
        <v>15000</v>
      </c>
      <c r="M308" s="155">
        <v>13.8</v>
      </c>
      <c r="N308" s="154">
        <v>15280</v>
      </c>
      <c r="O308" s="154">
        <v>13168</v>
      </c>
    </row>
    <row r="309" spans="2:15" ht="12.75" hidden="1" customHeight="1" outlineLevel="1" x14ac:dyDescent="0.25">
      <c r="B309" s="570" t="s">
        <v>833</v>
      </c>
      <c r="C309" s="570"/>
      <c r="D309" s="570"/>
      <c r="E309" s="570"/>
      <c r="F309" s="570"/>
      <c r="G309" s="570"/>
      <c r="H309" s="570"/>
      <c r="I309" s="570"/>
      <c r="J309" s="570"/>
      <c r="K309" s="156"/>
      <c r="L309" s="156"/>
      <c r="M309" s="156"/>
      <c r="N309" s="154">
        <v>15280</v>
      </c>
      <c r="O309" s="154">
        <v>13168</v>
      </c>
    </row>
    <row r="310" spans="2:15" ht="36.75" customHeight="1" collapsed="1" x14ac:dyDescent="0.25">
      <c r="B310" s="151" t="s">
        <v>1257</v>
      </c>
      <c r="C310" s="152">
        <v>496</v>
      </c>
      <c r="D310" s="151" t="s">
        <v>1279</v>
      </c>
      <c r="E310" s="151" t="s">
        <v>914</v>
      </c>
      <c r="F310" s="151" t="s">
        <v>111</v>
      </c>
      <c r="G310" s="151" t="s">
        <v>114</v>
      </c>
      <c r="H310" s="153">
        <v>14</v>
      </c>
      <c r="I310" s="151" t="s">
        <v>909</v>
      </c>
      <c r="J310" s="151" t="s">
        <v>82</v>
      </c>
      <c r="K310" s="154">
        <v>31760</v>
      </c>
      <c r="L310" s="154">
        <v>15600</v>
      </c>
      <c r="M310" s="155">
        <v>19.899999999999999</v>
      </c>
      <c r="N310" s="154">
        <v>16160</v>
      </c>
      <c r="O310" s="154">
        <v>12949</v>
      </c>
    </row>
    <row r="311" spans="2:15" ht="12.75" hidden="1" customHeight="1" outlineLevel="1" x14ac:dyDescent="0.25">
      <c r="B311" s="570" t="s">
        <v>833</v>
      </c>
      <c r="C311" s="570"/>
      <c r="D311" s="570"/>
      <c r="E311" s="570"/>
      <c r="F311" s="570"/>
      <c r="G311" s="570"/>
      <c r="H311" s="570"/>
      <c r="I311" s="570"/>
      <c r="J311" s="570"/>
      <c r="K311" s="156"/>
      <c r="L311" s="156"/>
      <c r="M311" s="156"/>
      <c r="N311" s="154">
        <v>16160</v>
      </c>
      <c r="O311" s="154">
        <v>12949</v>
      </c>
    </row>
    <row r="312" spans="2:15" ht="36.75" customHeight="1" collapsed="1" x14ac:dyDescent="0.25">
      <c r="B312" s="151" t="s">
        <v>1155</v>
      </c>
      <c r="C312" s="152">
        <v>585</v>
      </c>
      <c r="D312" s="153">
        <v>54951</v>
      </c>
      <c r="E312" s="151" t="s">
        <v>914</v>
      </c>
      <c r="F312" s="151" t="s">
        <v>151</v>
      </c>
      <c r="G312" s="151" t="s">
        <v>155</v>
      </c>
      <c r="H312" s="153">
        <v>14</v>
      </c>
      <c r="I312" s="151" t="s">
        <v>909</v>
      </c>
      <c r="J312" s="151" t="s">
        <v>82</v>
      </c>
      <c r="K312" s="154">
        <v>27900</v>
      </c>
      <c r="L312" s="154">
        <v>15330</v>
      </c>
      <c r="M312" s="155">
        <v>6.5</v>
      </c>
      <c r="N312" s="154">
        <v>12570</v>
      </c>
      <c r="O312" s="154">
        <v>11752.9</v>
      </c>
    </row>
    <row r="313" spans="2:15" ht="12.75" hidden="1" customHeight="1" outlineLevel="1" x14ac:dyDescent="0.25">
      <c r="B313" s="570" t="s">
        <v>550</v>
      </c>
      <c r="C313" s="570"/>
      <c r="D313" s="570"/>
      <c r="E313" s="570"/>
      <c r="F313" s="570"/>
      <c r="G313" s="570"/>
      <c r="H313" s="570"/>
      <c r="I313" s="570"/>
      <c r="J313" s="570"/>
      <c r="K313" s="156"/>
      <c r="L313" s="156"/>
      <c r="M313" s="156"/>
      <c r="N313" s="154">
        <v>12570</v>
      </c>
      <c r="O313" s="154">
        <v>11752.9</v>
      </c>
    </row>
    <row r="314" spans="2:15" ht="36.75" customHeight="1" collapsed="1" x14ac:dyDescent="0.25">
      <c r="B314" s="151" t="s">
        <v>1156</v>
      </c>
      <c r="C314" s="152">
        <v>586</v>
      </c>
      <c r="D314" s="153">
        <v>54952</v>
      </c>
      <c r="E314" s="151" t="s">
        <v>914</v>
      </c>
      <c r="F314" s="151" t="s">
        <v>160</v>
      </c>
      <c r="G314" s="151" t="s">
        <v>164</v>
      </c>
      <c r="H314" s="153">
        <v>14</v>
      </c>
      <c r="I314" s="151" t="s">
        <v>909</v>
      </c>
      <c r="J314" s="151" t="s">
        <v>82</v>
      </c>
      <c r="K314" s="154">
        <v>37180</v>
      </c>
      <c r="L314" s="154">
        <v>24450</v>
      </c>
      <c r="M314" s="155">
        <v>11.5</v>
      </c>
      <c r="N314" s="154">
        <v>12730</v>
      </c>
      <c r="O314" s="154">
        <v>11266</v>
      </c>
    </row>
    <row r="315" spans="2:15" ht="12.75" hidden="1" customHeight="1" outlineLevel="1" x14ac:dyDescent="0.25">
      <c r="B315" s="570" t="s">
        <v>550</v>
      </c>
      <c r="C315" s="570"/>
      <c r="D315" s="570"/>
      <c r="E315" s="570"/>
      <c r="F315" s="570"/>
      <c r="G315" s="570"/>
      <c r="H315" s="570"/>
      <c r="I315" s="570"/>
      <c r="J315" s="570"/>
      <c r="K315" s="156"/>
      <c r="L315" s="156"/>
      <c r="M315" s="156"/>
      <c r="N315" s="154">
        <v>12730</v>
      </c>
      <c r="O315" s="154">
        <v>11266</v>
      </c>
    </row>
    <row r="316" spans="2:15" ht="36.75" customHeight="1" collapsed="1" x14ac:dyDescent="0.25">
      <c r="B316" s="151" t="s">
        <v>1157</v>
      </c>
      <c r="C316" s="152">
        <v>587</v>
      </c>
      <c r="D316" s="153">
        <v>54952</v>
      </c>
      <c r="E316" s="151" t="s">
        <v>914</v>
      </c>
      <c r="F316" s="151" t="s">
        <v>347</v>
      </c>
      <c r="G316" s="151" t="s">
        <v>351</v>
      </c>
      <c r="H316" s="153">
        <v>14</v>
      </c>
      <c r="I316" s="151" t="s">
        <v>909</v>
      </c>
      <c r="J316" s="151" t="s">
        <v>82</v>
      </c>
      <c r="K316" s="154">
        <v>31680</v>
      </c>
      <c r="L316" s="154">
        <v>18960</v>
      </c>
      <c r="M316" s="155">
        <v>10</v>
      </c>
      <c r="N316" s="154">
        <v>12720</v>
      </c>
      <c r="O316" s="154">
        <v>11448</v>
      </c>
    </row>
    <row r="317" spans="2:15" ht="12.75" hidden="1" customHeight="1" outlineLevel="1" x14ac:dyDescent="0.25">
      <c r="B317" s="570" t="s">
        <v>511</v>
      </c>
      <c r="C317" s="570"/>
      <c r="D317" s="570"/>
      <c r="E317" s="570"/>
      <c r="F317" s="570"/>
      <c r="G317" s="570"/>
      <c r="H317" s="570"/>
      <c r="I317" s="570"/>
      <c r="J317" s="570"/>
      <c r="K317" s="156"/>
      <c r="L317" s="156"/>
      <c r="M317" s="156"/>
      <c r="N317" s="154">
        <v>12720</v>
      </c>
      <c r="O317" s="154">
        <v>11448</v>
      </c>
    </row>
    <row r="318" spans="2:15" ht="36.75" customHeight="1" collapsed="1" x14ac:dyDescent="0.25">
      <c r="B318" s="151" t="s">
        <v>1158</v>
      </c>
      <c r="C318" s="152">
        <v>588</v>
      </c>
      <c r="D318" s="153">
        <v>54953</v>
      </c>
      <c r="E318" s="151" t="s">
        <v>914</v>
      </c>
      <c r="F318" s="151" t="s">
        <v>195</v>
      </c>
      <c r="G318" s="151" t="s">
        <v>199</v>
      </c>
      <c r="H318" s="153">
        <v>14</v>
      </c>
      <c r="I318" s="151" t="s">
        <v>909</v>
      </c>
      <c r="J318" s="151" t="s">
        <v>82</v>
      </c>
      <c r="K318" s="154">
        <v>28170</v>
      </c>
      <c r="L318" s="154">
        <v>15480</v>
      </c>
      <c r="M318" s="155">
        <v>8.5</v>
      </c>
      <c r="N318" s="154">
        <v>12690</v>
      </c>
      <c r="O318" s="154">
        <v>11611.3</v>
      </c>
    </row>
    <row r="319" spans="2:15" ht="12.75" hidden="1" customHeight="1" outlineLevel="1" x14ac:dyDescent="0.25">
      <c r="B319" s="570" t="s">
        <v>550</v>
      </c>
      <c r="C319" s="570"/>
      <c r="D319" s="570"/>
      <c r="E319" s="570"/>
      <c r="F319" s="570"/>
      <c r="G319" s="570"/>
      <c r="H319" s="570"/>
      <c r="I319" s="570"/>
      <c r="J319" s="570"/>
      <c r="K319" s="156"/>
      <c r="L319" s="156"/>
      <c r="M319" s="156"/>
      <c r="N319" s="154">
        <v>12690</v>
      </c>
      <c r="O319" s="154">
        <v>11611.3</v>
      </c>
    </row>
    <row r="320" spans="2:15" ht="36.75" customHeight="1" collapsed="1" x14ac:dyDescent="0.25">
      <c r="B320" s="151" t="s">
        <v>1159</v>
      </c>
      <c r="C320" s="152">
        <v>589</v>
      </c>
      <c r="D320" s="153">
        <v>54953</v>
      </c>
      <c r="E320" s="151" t="s">
        <v>914</v>
      </c>
      <c r="F320" s="151" t="s">
        <v>239</v>
      </c>
      <c r="G320" s="151" t="s">
        <v>243</v>
      </c>
      <c r="H320" s="153">
        <v>14</v>
      </c>
      <c r="I320" s="151" t="s">
        <v>909</v>
      </c>
      <c r="J320" s="151" t="s">
        <v>82</v>
      </c>
      <c r="K320" s="154">
        <v>27490</v>
      </c>
      <c r="L320" s="154">
        <v>14740</v>
      </c>
      <c r="M320" s="155">
        <v>8.5</v>
      </c>
      <c r="N320" s="154">
        <v>12750</v>
      </c>
      <c r="O320" s="154">
        <v>11666.2</v>
      </c>
    </row>
    <row r="321" spans="2:15" ht="12.75" hidden="1" customHeight="1" outlineLevel="1" x14ac:dyDescent="0.25">
      <c r="B321" s="570" t="s">
        <v>550</v>
      </c>
      <c r="C321" s="570"/>
      <c r="D321" s="570"/>
      <c r="E321" s="570"/>
      <c r="F321" s="570"/>
      <c r="G321" s="570"/>
      <c r="H321" s="570"/>
      <c r="I321" s="570"/>
      <c r="J321" s="570"/>
      <c r="K321" s="156"/>
      <c r="L321" s="156"/>
      <c r="M321" s="156"/>
      <c r="N321" s="154">
        <v>12750</v>
      </c>
      <c r="O321" s="154">
        <v>11666.2</v>
      </c>
    </row>
    <row r="322" spans="2:15" ht="48.75" customHeight="1" collapsed="1" x14ac:dyDescent="0.25">
      <c r="B322" s="151" t="s">
        <v>1160</v>
      </c>
      <c r="C322" s="152">
        <v>590</v>
      </c>
      <c r="D322" s="153">
        <v>54953</v>
      </c>
      <c r="E322" s="151" t="s">
        <v>914</v>
      </c>
      <c r="F322" s="151" t="s">
        <v>244</v>
      </c>
      <c r="G322" s="151" t="s">
        <v>248</v>
      </c>
      <c r="H322" s="153">
        <v>14</v>
      </c>
      <c r="I322" s="151" t="s">
        <v>909</v>
      </c>
      <c r="J322" s="151" t="s">
        <v>82</v>
      </c>
      <c r="K322" s="154">
        <v>28790</v>
      </c>
      <c r="L322" s="154">
        <v>15820</v>
      </c>
      <c r="M322" s="155">
        <v>10.5</v>
      </c>
      <c r="N322" s="154">
        <v>12970</v>
      </c>
      <c r="O322" s="154">
        <v>11608.1</v>
      </c>
    </row>
    <row r="323" spans="2:15" ht="12.75" hidden="1" customHeight="1" outlineLevel="1" x14ac:dyDescent="0.25">
      <c r="B323" s="570" t="s">
        <v>550</v>
      </c>
      <c r="C323" s="570"/>
      <c r="D323" s="570"/>
      <c r="E323" s="570"/>
      <c r="F323" s="570"/>
      <c r="G323" s="570"/>
      <c r="H323" s="570"/>
      <c r="I323" s="570"/>
      <c r="J323" s="570"/>
      <c r="K323" s="156"/>
      <c r="L323" s="156"/>
      <c r="M323" s="156"/>
      <c r="N323" s="154">
        <v>12970</v>
      </c>
      <c r="O323" s="154">
        <v>11608.1</v>
      </c>
    </row>
    <row r="324" spans="2:15" ht="36.75" customHeight="1" collapsed="1" x14ac:dyDescent="0.25">
      <c r="B324" s="151" t="s">
        <v>1161</v>
      </c>
      <c r="C324" s="152">
        <v>596</v>
      </c>
      <c r="D324" s="153">
        <v>54954</v>
      </c>
      <c r="E324" s="151" t="s">
        <v>914</v>
      </c>
      <c r="F324" s="151" t="s">
        <v>311</v>
      </c>
      <c r="G324" s="151" t="s">
        <v>315</v>
      </c>
      <c r="H324" s="153">
        <v>14</v>
      </c>
      <c r="I324" s="151" t="s">
        <v>909</v>
      </c>
      <c r="J324" s="151" t="s">
        <v>82</v>
      </c>
      <c r="K324" s="154">
        <v>28030</v>
      </c>
      <c r="L324" s="154">
        <v>15200</v>
      </c>
      <c r="M324" s="155">
        <v>5.5</v>
      </c>
      <c r="N324" s="154">
        <v>12830</v>
      </c>
      <c r="O324" s="154">
        <v>12124.3</v>
      </c>
    </row>
    <row r="325" spans="2:15" ht="12.75" hidden="1" customHeight="1" outlineLevel="1" x14ac:dyDescent="0.25">
      <c r="B325" s="570" t="s">
        <v>550</v>
      </c>
      <c r="C325" s="570"/>
      <c r="D325" s="570"/>
      <c r="E325" s="570"/>
      <c r="F325" s="570"/>
      <c r="G325" s="570"/>
      <c r="H325" s="570"/>
      <c r="I325" s="570"/>
      <c r="J325" s="570"/>
      <c r="K325" s="156"/>
      <c r="L325" s="156"/>
      <c r="M325" s="156"/>
      <c r="N325" s="154">
        <v>12830</v>
      </c>
      <c r="O325" s="154">
        <v>12124.3</v>
      </c>
    </row>
    <row r="326" spans="2:15" ht="36.75" customHeight="1" collapsed="1" x14ac:dyDescent="0.25">
      <c r="B326" s="151" t="s">
        <v>1162</v>
      </c>
      <c r="C326" s="152">
        <v>599</v>
      </c>
      <c r="D326" s="153">
        <v>54955</v>
      </c>
      <c r="E326" s="151" t="s">
        <v>914</v>
      </c>
      <c r="F326" s="151" t="s">
        <v>1152</v>
      </c>
      <c r="G326" s="151" t="s">
        <v>119</v>
      </c>
      <c r="H326" s="153">
        <v>14</v>
      </c>
      <c r="I326" s="151" t="s">
        <v>909</v>
      </c>
      <c r="J326" s="151" t="s">
        <v>82</v>
      </c>
      <c r="K326" s="154">
        <v>36230</v>
      </c>
      <c r="L326" s="154">
        <v>21240</v>
      </c>
      <c r="M326" s="155">
        <v>7</v>
      </c>
      <c r="N326" s="154">
        <v>14990</v>
      </c>
      <c r="O326" s="154">
        <v>13940.7</v>
      </c>
    </row>
    <row r="327" spans="2:15" ht="12.75" hidden="1" customHeight="1" outlineLevel="1" x14ac:dyDescent="0.25">
      <c r="B327" s="570" t="s">
        <v>833</v>
      </c>
      <c r="C327" s="570"/>
      <c r="D327" s="570"/>
      <c r="E327" s="570"/>
      <c r="F327" s="570"/>
      <c r="G327" s="570"/>
      <c r="H327" s="570"/>
      <c r="I327" s="570"/>
      <c r="J327" s="570"/>
      <c r="K327" s="156"/>
      <c r="L327" s="156"/>
      <c r="M327" s="156"/>
      <c r="N327" s="154">
        <v>14990</v>
      </c>
      <c r="O327" s="154">
        <v>13940.7</v>
      </c>
    </row>
    <row r="328" spans="2:15" ht="36.75" customHeight="1" collapsed="1" x14ac:dyDescent="0.25">
      <c r="B328" s="151" t="s">
        <v>1163</v>
      </c>
      <c r="C328" s="152">
        <v>600</v>
      </c>
      <c r="D328" s="153">
        <v>54955</v>
      </c>
      <c r="E328" s="151" t="s">
        <v>914</v>
      </c>
      <c r="F328" s="151" t="s">
        <v>133</v>
      </c>
      <c r="G328" s="151" t="s">
        <v>137</v>
      </c>
      <c r="H328" s="153">
        <v>14</v>
      </c>
      <c r="I328" s="151" t="s">
        <v>909</v>
      </c>
      <c r="J328" s="151" t="s">
        <v>82</v>
      </c>
      <c r="K328" s="154">
        <v>30090</v>
      </c>
      <c r="L328" s="154">
        <v>15100</v>
      </c>
      <c r="M328" s="155">
        <v>7.5</v>
      </c>
      <c r="N328" s="154">
        <v>14990</v>
      </c>
      <c r="O328" s="154">
        <v>13865.7</v>
      </c>
    </row>
    <row r="329" spans="2:15" ht="12.75" hidden="1" customHeight="1" outlineLevel="1" x14ac:dyDescent="0.25">
      <c r="B329" s="570" t="s">
        <v>833</v>
      </c>
      <c r="C329" s="570"/>
      <c r="D329" s="570"/>
      <c r="E329" s="570"/>
      <c r="F329" s="570"/>
      <c r="G329" s="570"/>
      <c r="H329" s="570"/>
      <c r="I329" s="570"/>
      <c r="J329" s="570"/>
      <c r="K329" s="156"/>
      <c r="L329" s="156"/>
      <c r="M329" s="156"/>
      <c r="N329" s="154">
        <v>14990</v>
      </c>
      <c r="O329" s="154">
        <v>13865.7</v>
      </c>
    </row>
    <row r="330" spans="2:15" ht="36.75" customHeight="1" collapsed="1" x14ac:dyDescent="0.25">
      <c r="B330" s="151" t="s">
        <v>1164</v>
      </c>
      <c r="C330" s="152">
        <v>601</v>
      </c>
      <c r="D330" s="153">
        <v>54956</v>
      </c>
      <c r="E330" s="151" t="s">
        <v>914</v>
      </c>
      <c r="F330" s="151" t="s">
        <v>151</v>
      </c>
      <c r="G330" s="151" t="s">
        <v>155</v>
      </c>
      <c r="H330" s="153">
        <v>14</v>
      </c>
      <c r="I330" s="151" t="s">
        <v>909</v>
      </c>
      <c r="J330" s="151" t="s">
        <v>82</v>
      </c>
      <c r="K330" s="154">
        <v>30360</v>
      </c>
      <c r="L330" s="154">
        <v>15060</v>
      </c>
      <c r="M330" s="155">
        <v>8.5</v>
      </c>
      <c r="N330" s="154">
        <v>15300</v>
      </c>
      <c r="O330" s="154">
        <v>13999.5</v>
      </c>
    </row>
    <row r="331" spans="2:15" ht="12.75" hidden="1" customHeight="1" outlineLevel="1" x14ac:dyDescent="0.25">
      <c r="B331" s="570" t="s">
        <v>550</v>
      </c>
      <c r="C331" s="570"/>
      <c r="D331" s="570"/>
      <c r="E331" s="570"/>
      <c r="F331" s="570"/>
      <c r="G331" s="570"/>
      <c r="H331" s="570"/>
      <c r="I331" s="570"/>
      <c r="J331" s="570"/>
      <c r="K331" s="156"/>
      <c r="L331" s="156"/>
      <c r="M331" s="156"/>
      <c r="N331" s="154">
        <v>15300</v>
      </c>
      <c r="O331" s="154">
        <v>13999.5</v>
      </c>
    </row>
    <row r="332" spans="2:15" ht="36.75" customHeight="1" collapsed="1" x14ac:dyDescent="0.25">
      <c r="B332" s="151" t="s">
        <v>1165</v>
      </c>
      <c r="C332" s="152">
        <v>602</v>
      </c>
      <c r="D332" s="153">
        <v>54955</v>
      </c>
      <c r="E332" s="151" t="s">
        <v>914</v>
      </c>
      <c r="F332" s="151" t="s">
        <v>160</v>
      </c>
      <c r="G332" s="151" t="s">
        <v>164</v>
      </c>
      <c r="H332" s="153">
        <v>14</v>
      </c>
      <c r="I332" s="151" t="s">
        <v>909</v>
      </c>
      <c r="J332" s="151" t="s">
        <v>82</v>
      </c>
      <c r="K332" s="154">
        <v>37830</v>
      </c>
      <c r="L332" s="154">
        <v>24220</v>
      </c>
      <c r="M332" s="155">
        <v>8.5</v>
      </c>
      <c r="N332" s="154">
        <v>13610</v>
      </c>
      <c r="O332" s="154">
        <v>12453.1</v>
      </c>
    </row>
    <row r="333" spans="2:15" ht="12.75" hidden="1" customHeight="1" outlineLevel="1" x14ac:dyDescent="0.25">
      <c r="B333" s="570" t="s">
        <v>833</v>
      </c>
      <c r="C333" s="570"/>
      <c r="D333" s="570"/>
      <c r="E333" s="570"/>
      <c r="F333" s="570"/>
      <c r="G333" s="570"/>
      <c r="H333" s="570"/>
      <c r="I333" s="570"/>
      <c r="J333" s="570"/>
      <c r="K333" s="156"/>
      <c r="L333" s="156"/>
      <c r="M333" s="156"/>
      <c r="N333" s="154">
        <v>13610</v>
      </c>
      <c r="O333" s="154">
        <v>12453.1</v>
      </c>
    </row>
    <row r="334" spans="2:15" ht="36.75" customHeight="1" collapsed="1" x14ac:dyDescent="0.25">
      <c r="B334" s="151" t="s">
        <v>1166</v>
      </c>
      <c r="C334" s="152">
        <v>603</v>
      </c>
      <c r="D334" s="153">
        <v>1</v>
      </c>
      <c r="E334" s="151" t="s">
        <v>1167</v>
      </c>
      <c r="F334" s="151" t="s">
        <v>1151</v>
      </c>
      <c r="G334" s="151" t="s">
        <v>145</v>
      </c>
      <c r="H334" s="151" t="s">
        <v>1168</v>
      </c>
      <c r="I334" s="151" t="s">
        <v>901</v>
      </c>
      <c r="J334" s="151" t="s">
        <v>82</v>
      </c>
      <c r="K334" s="154">
        <v>29100</v>
      </c>
      <c r="L334" s="154">
        <v>15790</v>
      </c>
      <c r="M334" s="155">
        <v>21.5</v>
      </c>
      <c r="N334" s="154">
        <v>13310</v>
      </c>
      <c r="O334" s="154">
        <v>10448.299999999999</v>
      </c>
    </row>
    <row r="335" spans="2:15" ht="12.75" hidden="1" customHeight="1" outlineLevel="1" x14ac:dyDescent="0.25">
      <c r="B335" s="570" t="s">
        <v>511</v>
      </c>
      <c r="C335" s="570"/>
      <c r="D335" s="570"/>
      <c r="E335" s="570"/>
      <c r="F335" s="570"/>
      <c r="G335" s="570"/>
      <c r="H335" s="570"/>
      <c r="I335" s="570"/>
      <c r="J335" s="570"/>
      <c r="K335" s="156"/>
      <c r="L335" s="156"/>
      <c r="M335" s="156"/>
      <c r="N335" s="154">
        <v>13310</v>
      </c>
      <c r="O335" s="154">
        <v>10448.299999999999</v>
      </c>
    </row>
    <row r="336" spans="2:15" ht="36.75" customHeight="1" collapsed="1" x14ac:dyDescent="0.25">
      <c r="B336" s="151" t="s">
        <v>1169</v>
      </c>
      <c r="C336" s="152">
        <v>604</v>
      </c>
      <c r="D336" s="153">
        <v>3</v>
      </c>
      <c r="E336" s="151" t="s">
        <v>1167</v>
      </c>
      <c r="F336" s="151" t="s">
        <v>1253</v>
      </c>
      <c r="G336" s="151" t="s">
        <v>270</v>
      </c>
      <c r="H336" s="151" t="s">
        <v>1168</v>
      </c>
      <c r="I336" s="151" t="s">
        <v>901</v>
      </c>
      <c r="J336" s="151" t="s">
        <v>82</v>
      </c>
      <c r="K336" s="154">
        <v>27970</v>
      </c>
      <c r="L336" s="154">
        <v>14950</v>
      </c>
      <c r="M336" s="155">
        <v>19.5</v>
      </c>
      <c r="N336" s="154">
        <v>13020</v>
      </c>
      <c r="O336" s="154">
        <v>10481.1</v>
      </c>
    </row>
    <row r="337" spans="2:15" ht="12.75" hidden="1" customHeight="1" outlineLevel="1" x14ac:dyDescent="0.25">
      <c r="B337" s="570" t="s">
        <v>511</v>
      </c>
      <c r="C337" s="570"/>
      <c r="D337" s="570"/>
      <c r="E337" s="570"/>
      <c r="F337" s="570"/>
      <c r="G337" s="570"/>
      <c r="H337" s="570"/>
      <c r="I337" s="570"/>
      <c r="J337" s="570"/>
      <c r="K337" s="156"/>
      <c r="L337" s="156"/>
      <c r="M337" s="156"/>
      <c r="N337" s="154">
        <v>13020</v>
      </c>
      <c r="O337" s="154">
        <v>10481.1</v>
      </c>
    </row>
    <row r="338" spans="2:15" ht="36.75" customHeight="1" collapsed="1" x14ac:dyDescent="0.25">
      <c r="B338" s="151" t="s">
        <v>1178</v>
      </c>
      <c r="C338" s="152">
        <v>606</v>
      </c>
      <c r="D338" s="153">
        <v>2</v>
      </c>
      <c r="E338" s="151" t="s">
        <v>1167</v>
      </c>
      <c r="F338" s="151" t="s">
        <v>1461</v>
      </c>
      <c r="G338" s="151" t="s">
        <v>149</v>
      </c>
      <c r="H338" s="151" t="s">
        <v>1168</v>
      </c>
      <c r="I338" s="151" t="s">
        <v>901</v>
      </c>
      <c r="J338" s="151" t="s">
        <v>82</v>
      </c>
      <c r="K338" s="154">
        <v>27740</v>
      </c>
      <c r="L338" s="154">
        <v>15140</v>
      </c>
      <c r="M338" s="155">
        <v>24</v>
      </c>
      <c r="N338" s="154">
        <v>12600</v>
      </c>
      <c r="O338" s="154">
        <v>9576</v>
      </c>
    </row>
    <row r="339" spans="2:15" ht="12.75" hidden="1" customHeight="1" outlineLevel="1" x14ac:dyDescent="0.25">
      <c r="B339" s="570" t="s">
        <v>511</v>
      </c>
      <c r="C339" s="570"/>
      <c r="D339" s="570"/>
      <c r="E339" s="570"/>
      <c r="F339" s="570"/>
      <c r="G339" s="570"/>
      <c r="H339" s="570"/>
      <c r="I339" s="570"/>
      <c r="J339" s="570"/>
      <c r="K339" s="156"/>
      <c r="L339" s="156"/>
      <c r="M339" s="156"/>
      <c r="N339" s="154">
        <v>12600</v>
      </c>
      <c r="O339" s="154">
        <v>9576</v>
      </c>
    </row>
    <row r="340" spans="2:15" ht="36.75" customHeight="1" collapsed="1" x14ac:dyDescent="0.25">
      <c r="B340" s="151" t="s">
        <v>1179</v>
      </c>
      <c r="C340" s="152">
        <v>607</v>
      </c>
      <c r="D340" s="153">
        <v>4</v>
      </c>
      <c r="E340" s="151" t="s">
        <v>1167</v>
      </c>
      <c r="F340" s="151" t="s">
        <v>272</v>
      </c>
      <c r="G340" s="151" t="s">
        <v>276</v>
      </c>
      <c r="H340" s="151" t="s">
        <v>1168</v>
      </c>
      <c r="I340" s="151" t="s">
        <v>901</v>
      </c>
      <c r="J340" s="151" t="s">
        <v>82</v>
      </c>
      <c r="K340" s="154">
        <v>27470</v>
      </c>
      <c r="L340" s="154">
        <v>14820</v>
      </c>
      <c r="M340" s="155">
        <v>14.5</v>
      </c>
      <c r="N340" s="154">
        <v>12650</v>
      </c>
      <c r="O340" s="154">
        <v>10815.7</v>
      </c>
    </row>
    <row r="341" spans="2:15" ht="12.75" hidden="1" customHeight="1" outlineLevel="1" x14ac:dyDescent="0.25">
      <c r="B341" s="570" t="s">
        <v>511</v>
      </c>
      <c r="C341" s="570"/>
      <c r="D341" s="570"/>
      <c r="E341" s="570"/>
      <c r="F341" s="570"/>
      <c r="G341" s="570"/>
      <c r="H341" s="570"/>
      <c r="I341" s="570"/>
      <c r="J341" s="570"/>
      <c r="K341" s="156"/>
      <c r="L341" s="156"/>
      <c r="M341" s="156"/>
      <c r="N341" s="154">
        <v>12650</v>
      </c>
      <c r="O341" s="154">
        <v>10815.7</v>
      </c>
    </row>
    <row r="342" spans="2:15" ht="36.75" customHeight="1" collapsed="1" x14ac:dyDescent="0.25">
      <c r="B342" s="151" t="s">
        <v>1180</v>
      </c>
      <c r="C342" s="152">
        <v>608</v>
      </c>
      <c r="D342" s="153">
        <v>6</v>
      </c>
      <c r="E342" s="151" t="s">
        <v>1167</v>
      </c>
      <c r="F342" s="151" t="s">
        <v>894</v>
      </c>
      <c r="G342" s="151" t="s">
        <v>895</v>
      </c>
      <c r="H342" s="151" t="s">
        <v>1168</v>
      </c>
      <c r="I342" s="151" t="s">
        <v>901</v>
      </c>
      <c r="J342" s="151" t="s">
        <v>82</v>
      </c>
      <c r="K342" s="154">
        <v>27940</v>
      </c>
      <c r="L342" s="154">
        <v>14900</v>
      </c>
      <c r="M342" s="155">
        <v>23.5</v>
      </c>
      <c r="N342" s="154">
        <v>13040</v>
      </c>
      <c r="O342" s="154">
        <v>9975.6</v>
      </c>
    </row>
    <row r="343" spans="2:15" ht="12.75" hidden="1" customHeight="1" outlineLevel="1" x14ac:dyDescent="0.25">
      <c r="B343" s="570" t="s">
        <v>511</v>
      </c>
      <c r="C343" s="570"/>
      <c r="D343" s="570"/>
      <c r="E343" s="570"/>
      <c r="F343" s="570"/>
      <c r="G343" s="570"/>
      <c r="H343" s="570"/>
      <c r="I343" s="570"/>
      <c r="J343" s="570"/>
      <c r="K343" s="156"/>
      <c r="L343" s="156"/>
      <c r="M343" s="156"/>
      <c r="N343" s="154">
        <v>13040</v>
      </c>
      <c r="O343" s="154">
        <v>9975.6</v>
      </c>
    </row>
    <row r="344" spans="2:15" ht="36.75" customHeight="1" collapsed="1" x14ac:dyDescent="0.25">
      <c r="B344" s="151" t="s">
        <v>1181</v>
      </c>
      <c r="C344" s="152">
        <v>609</v>
      </c>
      <c r="D344" s="153">
        <v>5</v>
      </c>
      <c r="E344" s="151" t="s">
        <v>1167</v>
      </c>
      <c r="F344" s="151" t="s">
        <v>1312</v>
      </c>
      <c r="G344" s="151" t="s">
        <v>320</v>
      </c>
      <c r="H344" s="151" t="s">
        <v>1168</v>
      </c>
      <c r="I344" s="151" t="s">
        <v>901</v>
      </c>
      <c r="J344" s="151" t="s">
        <v>82</v>
      </c>
      <c r="K344" s="154">
        <v>27840</v>
      </c>
      <c r="L344" s="154">
        <v>14400</v>
      </c>
      <c r="M344" s="155">
        <v>20.5</v>
      </c>
      <c r="N344" s="154">
        <v>13440</v>
      </c>
      <c r="O344" s="154">
        <v>10684.8</v>
      </c>
    </row>
    <row r="345" spans="2:15" ht="12.75" hidden="1" customHeight="1" outlineLevel="1" x14ac:dyDescent="0.25">
      <c r="B345" s="570" t="s">
        <v>511</v>
      </c>
      <c r="C345" s="570"/>
      <c r="D345" s="570"/>
      <c r="E345" s="570"/>
      <c r="F345" s="570"/>
      <c r="G345" s="570"/>
      <c r="H345" s="570"/>
      <c r="I345" s="570"/>
      <c r="J345" s="570"/>
      <c r="K345" s="156"/>
      <c r="L345" s="156"/>
      <c r="M345" s="156"/>
      <c r="N345" s="154">
        <v>13440</v>
      </c>
      <c r="O345" s="154">
        <v>10684.8</v>
      </c>
    </row>
    <row r="346" spans="2:15" ht="36.75" customHeight="1" collapsed="1" x14ac:dyDescent="0.25">
      <c r="B346" s="151" t="s">
        <v>1182</v>
      </c>
      <c r="C346" s="152">
        <v>610</v>
      </c>
      <c r="D346" s="153">
        <v>7</v>
      </c>
      <c r="E346" s="151" t="s">
        <v>1167</v>
      </c>
      <c r="F346" s="151" t="s">
        <v>1152</v>
      </c>
      <c r="G346" s="151" t="s">
        <v>119</v>
      </c>
      <c r="H346" s="151" t="s">
        <v>1168</v>
      </c>
      <c r="I346" s="151" t="s">
        <v>901</v>
      </c>
      <c r="J346" s="151" t="s">
        <v>82</v>
      </c>
      <c r="K346" s="154">
        <v>35160</v>
      </c>
      <c r="L346" s="154">
        <v>21150</v>
      </c>
      <c r="M346" s="155">
        <v>21.5</v>
      </c>
      <c r="N346" s="154">
        <v>14010</v>
      </c>
      <c r="O346" s="154">
        <v>10997.8</v>
      </c>
    </row>
    <row r="347" spans="2:15" ht="12.75" hidden="1" customHeight="1" outlineLevel="1" x14ac:dyDescent="0.25">
      <c r="B347" s="570" t="s">
        <v>511</v>
      </c>
      <c r="C347" s="570"/>
      <c r="D347" s="570"/>
      <c r="E347" s="570"/>
      <c r="F347" s="570"/>
      <c r="G347" s="570"/>
      <c r="H347" s="570"/>
      <c r="I347" s="570"/>
      <c r="J347" s="570"/>
      <c r="K347" s="156"/>
      <c r="L347" s="156"/>
      <c r="M347" s="156"/>
      <c r="N347" s="154">
        <v>14010</v>
      </c>
      <c r="O347" s="154">
        <v>10997.8</v>
      </c>
    </row>
    <row r="348" spans="2:15" ht="36.75" customHeight="1" collapsed="1" x14ac:dyDescent="0.25">
      <c r="B348" s="151" t="s">
        <v>1187</v>
      </c>
      <c r="C348" s="152">
        <v>613</v>
      </c>
      <c r="D348" s="153">
        <v>10</v>
      </c>
      <c r="E348" s="151" t="s">
        <v>1167</v>
      </c>
      <c r="F348" s="151" t="s">
        <v>239</v>
      </c>
      <c r="G348" s="151" t="s">
        <v>243</v>
      </c>
      <c r="H348" s="151" t="s">
        <v>1184</v>
      </c>
      <c r="I348" s="151" t="s">
        <v>1185</v>
      </c>
      <c r="J348" s="151" t="s">
        <v>82</v>
      </c>
      <c r="K348" s="154">
        <v>28400</v>
      </c>
      <c r="L348" s="154">
        <v>14600</v>
      </c>
      <c r="M348" s="155">
        <v>23</v>
      </c>
      <c r="N348" s="154">
        <v>13800</v>
      </c>
      <c r="O348" s="154">
        <v>10626</v>
      </c>
    </row>
    <row r="349" spans="2:15" ht="12.75" hidden="1" customHeight="1" outlineLevel="1" x14ac:dyDescent="0.25">
      <c r="B349" s="570" t="s">
        <v>511</v>
      </c>
      <c r="C349" s="570"/>
      <c r="D349" s="570"/>
      <c r="E349" s="570"/>
      <c r="F349" s="570"/>
      <c r="G349" s="570"/>
      <c r="H349" s="570"/>
      <c r="I349" s="570"/>
      <c r="J349" s="570"/>
      <c r="K349" s="156"/>
      <c r="L349" s="156"/>
      <c r="M349" s="156"/>
      <c r="N349" s="154">
        <v>13800</v>
      </c>
      <c r="O349" s="154">
        <v>10626</v>
      </c>
    </row>
    <row r="350" spans="2:15" ht="36.75" customHeight="1" collapsed="1" x14ac:dyDescent="0.25">
      <c r="B350" s="151" t="s">
        <v>1183</v>
      </c>
      <c r="C350" s="152">
        <v>611</v>
      </c>
      <c r="D350" s="153">
        <v>8</v>
      </c>
      <c r="E350" s="151" t="s">
        <v>1167</v>
      </c>
      <c r="F350" s="151" t="s">
        <v>160</v>
      </c>
      <c r="G350" s="151" t="s">
        <v>164</v>
      </c>
      <c r="H350" s="151" t="s">
        <v>1184</v>
      </c>
      <c r="I350" s="151" t="s">
        <v>1185</v>
      </c>
      <c r="J350" s="151" t="s">
        <v>82</v>
      </c>
      <c r="K350" s="154">
        <v>38170</v>
      </c>
      <c r="L350" s="154">
        <v>24060</v>
      </c>
      <c r="M350" s="155">
        <v>15</v>
      </c>
      <c r="N350" s="154">
        <v>14110</v>
      </c>
      <c r="O350" s="154">
        <v>11993.5</v>
      </c>
    </row>
    <row r="351" spans="2:15" ht="12.75" hidden="1" customHeight="1" outlineLevel="1" x14ac:dyDescent="0.25">
      <c r="B351" s="570" t="s">
        <v>511</v>
      </c>
      <c r="C351" s="570"/>
      <c r="D351" s="570"/>
      <c r="E351" s="570"/>
      <c r="F351" s="570"/>
      <c r="G351" s="570"/>
      <c r="H351" s="570"/>
      <c r="I351" s="570"/>
      <c r="J351" s="570"/>
      <c r="K351" s="156"/>
      <c r="L351" s="156"/>
      <c r="M351" s="156"/>
      <c r="N351" s="154">
        <v>14110</v>
      </c>
      <c r="O351" s="154">
        <v>11993.5</v>
      </c>
    </row>
    <row r="352" spans="2:15" ht="36.75" customHeight="1" collapsed="1" x14ac:dyDescent="0.25">
      <c r="B352" s="151" t="s">
        <v>1186</v>
      </c>
      <c r="C352" s="152">
        <v>612</v>
      </c>
      <c r="D352" s="153">
        <v>9</v>
      </c>
      <c r="E352" s="151" t="s">
        <v>1167</v>
      </c>
      <c r="F352" s="151" t="s">
        <v>151</v>
      </c>
      <c r="G352" s="151" t="s">
        <v>155</v>
      </c>
      <c r="H352" s="151" t="s">
        <v>1184</v>
      </c>
      <c r="I352" s="151" t="s">
        <v>1185</v>
      </c>
      <c r="J352" s="151" t="s">
        <v>82</v>
      </c>
      <c r="K352" s="154">
        <v>29040</v>
      </c>
      <c r="L352" s="154">
        <v>14950</v>
      </c>
      <c r="M352" s="155">
        <v>15</v>
      </c>
      <c r="N352" s="154">
        <v>14090</v>
      </c>
      <c r="O352" s="154">
        <v>11976.5</v>
      </c>
    </row>
    <row r="353" spans="2:15" ht="12.75" hidden="1" customHeight="1" outlineLevel="1" x14ac:dyDescent="0.25">
      <c r="B353" s="570" t="s">
        <v>511</v>
      </c>
      <c r="C353" s="570"/>
      <c r="D353" s="570"/>
      <c r="E353" s="570"/>
      <c r="F353" s="570"/>
      <c r="G353" s="570"/>
      <c r="H353" s="570"/>
      <c r="I353" s="570"/>
      <c r="J353" s="570"/>
      <c r="K353" s="156"/>
      <c r="L353" s="156"/>
      <c r="M353" s="156"/>
      <c r="N353" s="154">
        <v>14090</v>
      </c>
      <c r="O353" s="154">
        <v>11976.5</v>
      </c>
    </row>
    <row r="354" spans="2:15" ht="36.75" customHeight="1" collapsed="1" x14ac:dyDescent="0.25">
      <c r="B354" s="151" t="s">
        <v>1188</v>
      </c>
      <c r="C354" s="152">
        <v>615</v>
      </c>
      <c r="D354" s="153">
        <v>11</v>
      </c>
      <c r="E354" s="151" t="s">
        <v>1167</v>
      </c>
      <c r="F354" s="151" t="s">
        <v>1151</v>
      </c>
      <c r="G354" s="151" t="s">
        <v>145</v>
      </c>
      <c r="H354" s="151" t="s">
        <v>1184</v>
      </c>
      <c r="I354" s="151" t="s">
        <v>1185</v>
      </c>
      <c r="J354" s="151" t="s">
        <v>82</v>
      </c>
      <c r="K354" s="154">
        <v>29840</v>
      </c>
      <c r="L354" s="154">
        <v>15720</v>
      </c>
      <c r="M354" s="155">
        <v>19</v>
      </c>
      <c r="N354" s="154">
        <v>14120</v>
      </c>
      <c r="O354" s="154">
        <v>11437.2</v>
      </c>
    </row>
    <row r="355" spans="2:15" ht="12.75" hidden="1" customHeight="1" outlineLevel="1" x14ac:dyDescent="0.25">
      <c r="B355" s="570" t="s">
        <v>511</v>
      </c>
      <c r="C355" s="570"/>
      <c r="D355" s="570"/>
      <c r="E355" s="570"/>
      <c r="F355" s="570"/>
      <c r="G355" s="570"/>
      <c r="H355" s="570"/>
      <c r="I355" s="570"/>
      <c r="J355" s="570"/>
      <c r="K355" s="156"/>
      <c r="L355" s="156"/>
      <c r="M355" s="156"/>
      <c r="N355" s="154">
        <v>14120</v>
      </c>
      <c r="O355" s="154">
        <v>11437.2</v>
      </c>
    </row>
    <row r="356" spans="2:15" ht="36.75" customHeight="1" collapsed="1" x14ac:dyDescent="0.25">
      <c r="B356" s="151" t="s">
        <v>1189</v>
      </c>
      <c r="C356" s="152">
        <v>616</v>
      </c>
      <c r="D356" s="153">
        <v>12</v>
      </c>
      <c r="E356" s="151" t="s">
        <v>1167</v>
      </c>
      <c r="F356" s="151" t="s">
        <v>212</v>
      </c>
      <c r="G356" s="151" t="s">
        <v>216</v>
      </c>
      <c r="H356" s="151" t="s">
        <v>1184</v>
      </c>
      <c r="I356" s="151" t="s">
        <v>1185</v>
      </c>
      <c r="J356" s="151" t="s">
        <v>82</v>
      </c>
      <c r="K356" s="154">
        <v>27720</v>
      </c>
      <c r="L356" s="154">
        <v>13850</v>
      </c>
      <c r="M356" s="155">
        <v>16</v>
      </c>
      <c r="N356" s="154">
        <v>13870</v>
      </c>
      <c r="O356" s="154">
        <v>11650.8</v>
      </c>
    </row>
    <row r="357" spans="2:15" ht="12.75" hidden="1" customHeight="1" outlineLevel="1" x14ac:dyDescent="0.25">
      <c r="B357" s="570" t="s">
        <v>511</v>
      </c>
      <c r="C357" s="570"/>
      <c r="D357" s="570"/>
      <c r="E357" s="570"/>
      <c r="F357" s="570"/>
      <c r="G357" s="570"/>
      <c r="H357" s="570"/>
      <c r="I357" s="570"/>
      <c r="J357" s="570"/>
      <c r="K357" s="156"/>
      <c r="L357" s="156"/>
      <c r="M357" s="156"/>
      <c r="N357" s="154">
        <v>13870</v>
      </c>
      <c r="O357" s="154">
        <v>11650.8</v>
      </c>
    </row>
    <row r="358" spans="2:15" ht="36.75" customHeight="1" collapsed="1" x14ac:dyDescent="0.25">
      <c r="B358" s="151" t="s">
        <v>1190</v>
      </c>
      <c r="C358" s="152">
        <v>617</v>
      </c>
      <c r="D358" s="153">
        <v>13</v>
      </c>
      <c r="E358" s="151" t="s">
        <v>1167</v>
      </c>
      <c r="F358" s="151" t="s">
        <v>311</v>
      </c>
      <c r="G358" s="151" t="s">
        <v>315</v>
      </c>
      <c r="H358" s="151" t="s">
        <v>1184</v>
      </c>
      <c r="I358" s="151" t="s">
        <v>1185</v>
      </c>
      <c r="J358" s="151" t="s">
        <v>82</v>
      </c>
      <c r="K358" s="154">
        <v>29210</v>
      </c>
      <c r="L358" s="154">
        <v>15070</v>
      </c>
      <c r="M358" s="155">
        <v>16.5</v>
      </c>
      <c r="N358" s="154">
        <v>14140</v>
      </c>
      <c r="O358" s="154">
        <v>11806.9</v>
      </c>
    </row>
    <row r="359" spans="2:15" ht="12.75" hidden="1" customHeight="1" outlineLevel="1" x14ac:dyDescent="0.25">
      <c r="B359" s="570" t="s">
        <v>511</v>
      </c>
      <c r="C359" s="570"/>
      <c r="D359" s="570"/>
      <c r="E359" s="570"/>
      <c r="F359" s="570"/>
      <c r="G359" s="570"/>
      <c r="H359" s="570"/>
      <c r="I359" s="570"/>
      <c r="J359" s="570"/>
      <c r="K359" s="156"/>
      <c r="L359" s="156"/>
      <c r="M359" s="156"/>
      <c r="N359" s="154">
        <v>14140</v>
      </c>
      <c r="O359" s="154">
        <v>11806.9</v>
      </c>
    </row>
    <row r="360" spans="2:15" ht="36.75" customHeight="1" collapsed="1" x14ac:dyDescent="0.25">
      <c r="B360" s="151" t="s">
        <v>1192</v>
      </c>
      <c r="C360" s="152">
        <v>619</v>
      </c>
      <c r="D360" s="153">
        <v>15</v>
      </c>
      <c r="E360" s="151" t="s">
        <v>1167</v>
      </c>
      <c r="F360" s="151" t="s">
        <v>1461</v>
      </c>
      <c r="G360" s="151" t="s">
        <v>149</v>
      </c>
      <c r="H360" s="151" t="s">
        <v>1184</v>
      </c>
      <c r="I360" s="151" t="s">
        <v>1185</v>
      </c>
      <c r="J360" s="151" t="s">
        <v>82</v>
      </c>
      <c r="K360" s="154">
        <v>29070</v>
      </c>
      <c r="L360" s="154">
        <v>15010</v>
      </c>
      <c r="M360" s="155">
        <v>12.5</v>
      </c>
      <c r="N360" s="154">
        <v>14060</v>
      </c>
      <c r="O360" s="154">
        <v>12302.5</v>
      </c>
    </row>
    <row r="361" spans="2:15" ht="12.75" hidden="1" customHeight="1" outlineLevel="1" x14ac:dyDescent="0.25">
      <c r="B361" s="570" t="s">
        <v>511</v>
      </c>
      <c r="C361" s="570"/>
      <c r="D361" s="570"/>
      <c r="E361" s="570"/>
      <c r="F361" s="570"/>
      <c r="G361" s="570"/>
      <c r="H361" s="570"/>
      <c r="I361" s="570"/>
      <c r="J361" s="570"/>
      <c r="K361" s="156"/>
      <c r="L361" s="156"/>
      <c r="M361" s="156"/>
      <c r="N361" s="154">
        <v>14060</v>
      </c>
      <c r="O361" s="154">
        <v>12302.5</v>
      </c>
    </row>
    <row r="362" spans="2:15" ht="36.75" customHeight="1" collapsed="1" x14ac:dyDescent="0.25">
      <c r="B362" s="151" t="s">
        <v>1191</v>
      </c>
      <c r="C362" s="152">
        <v>618</v>
      </c>
      <c r="D362" s="153">
        <v>14</v>
      </c>
      <c r="E362" s="151" t="s">
        <v>1167</v>
      </c>
      <c r="F362" s="151" t="s">
        <v>1253</v>
      </c>
      <c r="G362" s="151" t="s">
        <v>270</v>
      </c>
      <c r="H362" s="151" t="s">
        <v>1184</v>
      </c>
      <c r="I362" s="151" t="s">
        <v>1185</v>
      </c>
      <c r="J362" s="151" t="s">
        <v>82</v>
      </c>
      <c r="K362" s="154">
        <v>29280</v>
      </c>
      <c r="L362" s="154">
        <v>14830</v>
      </c>
      <c r="M362" s="155">
        <v>14.5</v>
      </c>
      <c r="N362" s="154">
        <v>14450</v>
      </c>
      <c r="O362" s="154">
        <v>12354.7</v>
      </c>
    </row>
    <row r="363" spans="2:15" ht="12.75" hidden="1" customHeight="1" outlineLevel="1" x14ac:dyDescent="0.25">
      <c r="B363" s="570" t="s">
        <v>511</v>
      </c>
      <c r="C363" s="570"/>
      <c r="D363" s="570"/>
      <c r="E363" s="570"/>
      <c r="F363" s="570"/>
      <c r="G363" s="570"/>
      <c r="H363" s="570"/>
      <c r="I363" s="570"/>
      <c r="J363" s="570"/>
      <c r="K363" s="156"/>
      <c r="L363" s="156"/>
      <c r="M363" s="156"/>
      <c r="N363" s="154">
        <v>14450</v>
      </c>
      <c r="O363" s="154">
        <v>12354.7</v>
      </c>
    </row>
    <row r="364" spans="2:15" ht="36.75" customHeight="1" collapsed="1" x14ac:dyDescent="0.25">
      <c r="B364" s="151" t="s">
        <v>1193</v>
      </c>
      <c r="C364" s="152">
        <v>620</v>
      </c>
      <c r="D364" s="153">
        <v>16</v>
      </c>
      <c r="E364" s="151" t="s">
        <v>1167</v>
      </c>
      <c r="F364" s="151" t="s">
        <v>335</v>
      </c>
      <c r="G364" s="151" t="s">
        <v>339</v>
      </c>
      <c r="H364" s="151" t="s">
        <v>1184</v>
      </c>
      <c r="I364" s="151" t="s">
        <v>1185</v>
      </c>
      <c r="J364" s="151" t="s">
        <v>82</v>
      </c>
      <c r="K364" s="154">
        <v>27990</v>
      </c>
      <c r="L364" s="154">
        <v>14700</v>
      </c>
      <c r="M364" s="155">
        <v>15</v>
      </c>
      <c r="N364" s="154">
        <v>13290</v>
      </c>
      <c r="O364" s="154">
        <v>11296.5</v>
      </c>
    </row>
    <row r="365" spans="2:15" ht="12.75" hidden="1" customHeight="1" outlineLevel="1" x14ac:dyDescent="0.25">
      <c r="B365" s="570" t="s">
        <v>511</v>
      </c>
      <c r="C365" s="570"/>
      <c r="D365" s="570"/>
      <c r="E365" s="570"/>
      <c r="F365" s="570"/>
      <c r="G365" s="570"/>
      <c r="H365" s="570"/>
      <c r="I365" s="570"/>
      <c r="J365" s="570"/>
      <c r="K365" s="156"/>
      <c r="L365" s="156"/>
      <c r="M365" s="156"/>
      <c r="N365" s="154">
        <v>13290</v>
      </c>
      <c r="O365" s="154">
        <v>11296.5</v>
      </c>
    </row>
    <row r="366" spans="2:15" ht="36.75" customHeight="1" collapsed="1" x14ac:dyDescent="0.25">
      <c r="B366" s="151" t="s">
        <v>1194</v>
      </c>
      <c r="C366" s="152">
        <v>621</v>
      </c>
      <c r="D366" s="153">
        <v>17</v>
      </c>
      <c r="E366" s="151" t="s">
        <v>1167</v>
      </c>
      <c r="F366" s="151" t="s">
        <v>272</v>
      </c>
      <c r="G366" s="151" t="s">
        <v>276</v>
      </c>
      <c r="H366" s="151" t="s">
        <v>1184</v>
      </c>
      <c r="I366" s="151" t="s">
        <v>1185</v>
      </c>
      <c r="J366" s="151" t="s">
        <v>82</v>
      </c>
      <c r="K366" s="154">
        <v>28110</v>
      </c>
      <c r="L366" s="154">
        <v>14730</v>
      </c>
      <c r="M366" s="155">
        <v>20</v>
      </c>
      <c r="N366" s="154">
        <v>13380</v>
      </c>
      <c r="O366" s="154">
        <v>10704</v>
      </c>
    </row>
    <row r="367" spans="2:15" ht="12.75" hidden="1" customHeight="1" outlineLevel="1" x14ac:dyDescent="0.25">
      <c r="B367" s="570" t="s">
        <v>511</v>
      </c>
      <c r="C367" s="570"/>
      <c r="D367" s="570"/>
      <c r="E367" s="570"/>
      <c r="F367" s="570"/>
      <c r="G367" s="570"/>
      <c r="H367" s="570"/>
      <c r="I367" s="570"/>
      <c r="J367" s="570"/>
      <c r="K367" s="156"/>
      <c r="L367" s="156"/>
      <c r="M367" s="156"/>
      <c r="N367" s="154">
        <v>13380</v>
      </c>
      <c r="O367" s="154">
        <v>10704</v>
      </c>
    </row>
    <row r="368" spans="2:15" ht="36.75" customHeight="1" collapsed="1" x14ac:dyDescent="0.25">
      <c r="B368" s="151" t="s">
        <v>1195</v>
      </c>
      <c r="C368" s="152">
        <v>622</v>
      </c>
      <c r="D368" s="153">
        <v>18</v>
      </c>
      <c r="E368" s="151" t="s">
        <v>1167</v>
      </c>
      <c r="F368" s="151" t="s">
        <v>347</v>
      </c>
      <c r="G368" s="151" t="s">
        <v>351</v>
      </c>
      <c r="H368" s="151" t="s">
        <v>1184</v>
      </c>
      <c r="I368" s="151" t="s">
        <v>1185</v>
      </c>
      <c r="J368" s="151" t="s">
        <v>82</v>
      </c>
      <c r="K368" s="154">
        <v>31970</v>
      </c>
      <c r="L368" s="154">
        <v>18740</v>
      </c>
      <c r="M368" s="155">
        <v>17</v>
      </c>
      <c r="N368" s="154">
        <v>13230</v>
      </c>
      <c r="O368" s="154">
        <v>10980.9</v>
      </c>
    </row>
    <row r="369" spans="2:15" ht="12.75" hidden="1" customHeight="1" outlineLevel="1" x14ac:dyDescent="0.25">
      <c r="B369" s="570" t="s">
        <v>511</v>
      </c>
      <c r="C369" s="570"/>
      <c r="D369" s="570"/>
      <c r="E369" s="570"/>
      <c r="F369" s="570"/>
      <c r="G369" s="570"/>
      <c r="H369" s="570"/>
      <c r="I369" s="570"/>
      <c r="J369" s="570"/>
      <c r="K369" s="156"/>
      <c r="L369" s="156"/>
      <c r="M369" s="156"/>
      <c r="N369" s="154">
        <v>13230</v>
      </c>
      <c r="O369" s="154">
        <v>10980.9</v>
      </c>
    </row>
    <row r="370" spans="2:15" ht="36.75" customHeight="1" collapsed="1" x14ac:dyDescent="0.25">
      <c r="B370" s="151" t="s">
        <v>1196</v>
      </c>
      <c r="C370" s="152">
        <v>623</v>
      </c>
      <c r="D370" s="153">
        <v>19</v>
      </c>
      <c r="E370" s="151" t="s">
        <v>1167</v>
      </c>
      <c r="F370" s="151" t="s">
        <v>133</v>
      </c>
      <c r="G370" s="151" t="s">
        <v>137</v>
      </c>
      <c r="H370" s="151" t="s">
        <v>1184</v>
      </c>
      <c r="I370" s="151" t="s">
        <v>1185</v>
      </c>
      <c r="J370" s="151" t="s">
        <v>82</v>
      </c>
      <c r="K370" s="154">
        <v>28090</v>
      </c>
      <c r="L370" s="154">
        <v>14860</v>
      </c>
      <c r="M370" s="155">
        <v>14</v>
      </c>
      <c r="N370" s="154">
        <v>13230</v>
      </c>
      <c r="O370" s="154">
        <v>11377.8</v>
      </c>
    </row>
    <row r="371" spans="2:15" ht="12.75" hidden="1" customHeight="1" outlineLevel="1" x14ac:dyDescent="0.25">
      <c r="B371" s="570" t="s">
        <v>511</v>
      </c>
      <c r="C371" s="570"/>
      <c r="D371" s="570"/>
      <c r="E371" s="570"/>
      <c r="F371" s="570"/>
      <c r="G371" s="570"/>
      <c r="H371" s="570"/>
      <c r="I371" s="570"/>
      <c r="J371" s="570"/>
      <c r="K371" s="156"/>
      <c r="L371" s="156"/>
      <c r="M371" s="156"/>
      <c r="N371" s="154">
        <v>13230</v>
      </c>
      <c r="O371" s="154">
        <v>11377.8</v>
      </c>
    </row>
    <row r="372" spans="2:15" ht="36.75" customHeight="1" collapsed="1" x14ac:dyDescent="0.25">
      <c r="B372" s="151" t="s">
        <v>1197</v>
      </c>
      <c r="C372" s="152">
        <v>624</v>
      </c>
      <c r="D372" s="153">
        <v>20</v>
      </c>
      <c r="E372" s="151" t="s">
        <v>1167</v>
      </c>
      <c r="F372" s="151" t="s">
        <v>305</v>
      </c>
      <c r="G372" s="151" t="s">
        <v>309</v>
      </c>
      <c r="H372" s="151" t="s">
        <v>1184</v>
      </c>
      <c r="I372" s="151" t="s">
        <v>1185</v>
      </c>
      <c r="J372" s="151" t="s">
        <v>82</v>
      </c>
      <c r="K372" s="154">
        <v>27740</v>
      </c>
      <c r="L372" s="154">
        <v>14420</v>
      </c>
      <c r="M372" s="155">
        <v>11.5</v>
      </c>
      <c r="N372" s="154">
        <v>13320</v>
      </c>
      <c r="O372" s="154">
        <v>11788.2</v>
      </c>
    </row>
    <row r="373" spans="2:15" ht="12.75" hidden="1" customHeight="1" outlineLevel="1" x14ac:dyDescent="0.25">
      <c r="B373" s="570" t="s">
        <v>511</v>
      </c>
      <c r="C373" s="570"/>
      <c r="D373" s="570"/>
      <c r="E373" s="570"/>
      <c r="F373" s="570"/>
      <c r="G373" s="570"/>
      <c r="H373" s="570"/>
      <c r="I373" s="570"/>
      <c r="J373" s="570"/>
      <c r="K373" s="156"/>
      <c r="L373" s="156"/>
      <c r="M373" s="156"/>
      <c r="N373" s="154">
        <v>13320</v>
      </c>
      <c r="O373" s="154">
        <v>11788.2</v>
      </c>
    </row>
    <row r="374" spans="2:15" ht="36.75" customHeight="1" collapsed="1" x14ac:dyDescent="0.25">
      <c r="B374" s="151" t="s">
        <v>1198</v>
      </c>
      <c r="C374" s="152">
        <v>625</v>
      </c>
      <c r="D374" s="153">
        <v>21</v>
      </c>
      <c r="E374" s="151" t="s">
        <v>1167</v>
      </c>
      <c r="F374" s="151" t="s">
        <v>329</v>
      </c>
      <c r="G374" s="151" t="s">
        <v>333</v>
      </c>
      <c r="H374" s="151" t="s">
        <v>1184</v>
      </c>
      <c r="I374" s="151" t="s">
        <v>1185</v>
      </c>
      <c r="J374" s="151" t="s">
        <v>82</v>
      </c>
      <c r="K374" s="154">
        <v>28190</v>
      </c>
      <c r="L374" s="154">
        <v>15100</v>
      </c>
      <c r="M374" s="155">
        <v>14.5</v>
      </c>
      <c r="N374" s="154">
        <v>13090</v>
      </c>
      <c r="O374" s="154">
        <v>11191.9</v>
      </c>
    </row>
    <row r="375" spans="2:15" ht="12.75" hidden="1" customHeight="1" outlineLevel="1" x14ac:dyDescent="0.25">
      <c r="B375" s="570" t="s">
        <v>511</v>
      </c>
      <c r="C375" s="570"/>
      <c r="D375" s="570"/>
      <c r="E375" s="570"/>
      <c r="F375" s="570"/>
      <c r="G375" s="570"/>
      <c r="H375" s="570"/>
      <c r="I375" s="570"/>
      <c r="J375" s="570"/>
      <c r="K375" s="156"/>
      <c r="L375" s="156"/>
      <c r="M375" s="156"/>
      <c r="N375" s="154">
        <v>13090</v>
      </c>
      <c r="O375" s="154">
        <v>11191.9</v>
      </c>
    </row>
    <row r="376" spans="2:15" ht="36.75" customHeight="1" collapsed="1" x14ac:dyDescent="0.25">
      <c r="B376" s="151" t="s">
        <v>1199</v>
      </c>
      <c r="C376" s="152">
        <v>626</v>
      </c>
      <c r="D376" s="153">
        <v>22</v>
      </c>
      <c r="E376" s="151" t="s">
        <v>1167</v>
      </c>
      <c r="F376" s="151" t="s">
        <v>166</v>
      </c>
      <c r="G376" s="151" t="s">
        <v>170</v>
      </c>
      <c r="H376" s="151" t="s">
        <v>1184</v>
      </c>
      <c r="I376" s="151" t="s">
        <v>1185</v>
      </c>
      <c r="J376" s="151" t="s">
        <v>82</v>
      </c>
      <c r="K376" s="154">
        <v>28370</v>
      </c>
      <c r="L376" s="154">
        <v>15120</v>
      </c>
      <c r="M376" s="155">
        <v>18.5</v>
      </c>
      <c r="N376" s="154">
        <v>13250</v>
      </c>
      <c r="O376" s="154">
        <v>10798.7</v>
      </c>
    </row>
    <row r="377" spans="2:15" ht="12.75" hidden="1" customHeight="1" outlineLevel="1" x14ac:dyDescent="0.25">
      <c r="B377" s="570" t="s">
        <v>511</v>
      </c>
      <c r="C377" s="570"/>
      <c r="D377" s="570"/>
      <c r="E377" s="570"/>
      <c r="F377" s="570"/>
      <c r="G377" s="570"/>
      <c r="H377" s="570"/>
      <c r="I377" s="570"/>
      <c r="J377" s="570"/>
      <c r="K377" s="156"/>
      <c r="L377" s="156"/>
      <c r="M377" s="156"/>
      <c r="N377" s="154">
        <v>13250</v>
      </c>
      <c r="O377" s="154">
        <v>10798.7</v>
      </c>
    </row>
    <row r="378" spans="2:15" ht="36.75" customHeight="1" collapsed="1" x14ac:dyDescent="0.25">
      <c r="B378" s="151" t="s">
        <v>1200</v>
      </c>
      <c r="C378" s="152">
        <v>627</v>
      </c>
      <c r="D378" s="153">
        <v>23</v>
      </c>
      <c r="E378" s="151" t="s">
        <v>1167</v>
      </c>
      <c r="F378" s="151" t="s">
        <v>1312</v>
      </c>
      <c r="G378" s="151" t="s">
        <v>320</v>
      </c>
      <c r="H378" s="151" t="s">
        <v>1184</v>
      </c>
      <c r="I378" s="151" t="s">
        <v>1185</v>
      </c>
      <c r="J378" s="151" t="s">
        <v>82</v>
      </c>
      <c r="K378" s="154">
        <v>27640</v>
      </c>
      <c r="L378" s="154">
        <v>14440</v>
      </c>
      <c r="M378" s="155">
        <v>23.5</v>
      </c>
      <c r="N378" s="154">
        <v>13200</v>
      </c>
      <c r="O378" s="154">
        <v>10098</v>
      </c>
    </row>
    <row r="379" spans="2:15" ht="12.75" hidden="1" customHeight="1" outlineLevel="1" x14ac:dyDescent="0.25">
      <c r="B379" s="570" t="s">
        <v>511</v>
      </c>
      <c r="C379" s="570"/>
      <c r="D379" s="570"/>
      <c r="E379" s="570"/>
      <c r="F379" s="570"/>
      <c r="G379" s="570"/>
      <c r="H379" s="570"/>
      <c r="I379" s="570"/>
      <c r="J379" s="570"/>
      <c r="K379" s="156"/>
      <c r="L379" s="156"/>
      <c r="M379" s="156"/>
      <c r="N379" s="154">
        <v>13200</v>
      </c>
      <c r="O379" s="154">
        <v>10098</v>
      </c>
    </row>
    <row r="380" spans="2:15" ht="36.75" customHeight="1" collapsed="1" x14ac:dyDescent="0.25">
      <c r="B380" s="151" t="s">
        <v>1201</v>
      </c>
      <c r="C380" s="152">
        <v>629</v>
      </c>
      <c r="D380" s="153">
        <v>24</v>
      </c>
      <c r="E380" s="151" t="s">
        <v>1167</v>
      </c>
      <c r="F380" s="151" t="s">
        <v>894</v>
      </c>
      <c r="G380" s="151" t="s">
        <v>895</v>
      </c>
      <c r="H380" s="151" t="s">
        <v>1184</v>
      </c>
      <c r="I380" s="151" t="s">
        <v>1185</v>
      </c>
      <c r="J380" s="151" t="s">
        <v>82</v>
      </c>
      <c r="K380" s="154">
        <v>28240</v>
      </c>
      <c r="L380" s="154">
        <v>14940</v>
      </c>
      <c r="M380" s="155">
        <v>16.5</v>
      </c>
      <c r="N380" s="154">
        <v>13300</v>
      </c>
      <c r="O380" s="154">
        <v>11105.5</v>
      </c>
    </row>
    <row r="381" spans="2:15" ht="12.75" hidden="1" customHeight="1" outlineLevel="1" x14ac:dyDescent="0.25">
      <c r="B381" s="570" t="s">
        <v>511</v>
      </c>
      <c r="C381" s="570"/>
      <c r="D381" s="570"/>
      <c r="E381" s="570"/>
      <c r="F381" s="570"/>
      <c r="G381" s="570"/>
      <c r="H381" s="570"/>
      <c r="I381" s="570"/>
      <c r="J381" s="570"/>
      <c r="K381" s="156"/>
      <c r="L381" s="156"/>
      <c r="M381" s="156"/>
      <c r="N381" s="154">
        <v>13300</v>
      </c>
      <c r="O381" s="154">
        <v>11105.5</v>
      </c>
    </row>
    <row r="382" spans="2:15" ht="36.75" customHeight="1" collapsed="1" x14ac:dyDescent="0.25">
      <c r="B382" s="151" t="s">
        <v>1247</v>
      </c>
      <c r="C382" s="152">
        <v>633</v>
      </c>
      <c r="D382" s="153">
        <v>25</v>
      </c>
      <c r="E382" s="151" t="s">
        <v>1167</v>
      </c>
      <c r="F382" s="151" t="s">
        <v>1151</v>
      </c>
      <c r="G382" s="151" t="s">
        <v>145</v>
      </c>
      <c r="H382" s="151" t="s">
        <v>1184</v>
      </c>
      <c r="I382" s="151" t="s">
        <v>1185</v>
      </c>
      <c r="J382" s="151" t="s">
        <v>82</v>
      </c>
      <c r="K382" s="154">
        <v>29240</v>
      </c>
      <c r="L382" s="154">
        <v>15610</v>
      </c>
      <c r="M382" s="155">
        <v>16.5</v>
      </c>
      <c r="N382" s="154">
        <v>13630</v>
      </c>
      <c r="O382" s="154">
        <v>11381</v>
      </c>
    </row>
    <row r="383" spans="2:15" ht="12.75" hidden="1" customHeight="1" outlineLevel="1" x14ac:dyDescent="0.25">
      <c r="B383" s="570" t="s">
        <v>511</v>
      </c>
      <c r="C383" s="570"/>
      <c r="D383" s="570"/>
      <c r="E383" s="570"/>
      <c r="F383" s="570"/>
      <c r="G383" s="570"/>
      <c r="H383" s="570"/>
      <c r="I383" s="570"/>
      <c r="J383" s="570"/>
      <c r="K383" s="156"/>
      <c r="L383" s="156"/>
      <c r="M383" s="156"/>
      <c r="N383" s="154">
        <v>13630</v>
      </c>
      <c r="O383" s="154">
        <v>11381</v>
      </c>
    </row>
    <row r="384" spans="2:15" ht="36.75" customHeight="1" collapsed="1" x14ac:dyDescent="0.25">
      <c r="B384" s="151" t="s">
        <v>1258</v>
      </c>
      <c r="C384" s="152">
        <v>637</v>
      </c>
      <c r="D384" s="153">
        <v>26</v>
      </c>
      <c r="E384" s="151" t="s">
        <v>1167</v>
      </c>
      <c r="F384" s="151" t="s">
        <v>212</v>
      </c>
      <c r="G384" s="151" t="s">
        <v>216</v>
      </c>
      <c r="H384" s="151" t="s">
        <v>1184</v>
      </c>
      <c r="I384" s="151" t="s">
        <v>1185</v>
      </c>
      <c r="J384" s="151" t="s">
        <v>82</v>
      </c>
      <c r="K384" s="154">
        <v>27950</v>
      </c>
      <c r="L384" s="154">
        <v>14000</v>
      </c>
      <c r="M384" s="155">
        <v>19.5</v>
      </c>
      <c r="N384" s="154">
        <v>13950</v>
      </c>
      <c r="O384" s="154">
        <v>11229.7</v>
      </c>
    </row>
    <row r="385" spans="2:15" ht="12.75" hidden="1" customHeight="1" outlineLevel="1" x14ac:dyDescent="0.25">
      <c r="B385" s="570" t="s">
        <v>511</v>
      </c>
      <c r="C385" s="570"/>
      <c r="D385" s="570"/>
      <c r="E385" s="570"/>
      <c r="F385" s="570"/>
      <c r="G385" s="570"/>
      <c r="H385" s="570"/>
      <c r="I385" s="570"/>
      <c r="J385" s="570"/>
      <c r="K385" s="156"/>
      <c r="L385" s="156"/>
      <c r="M385" s="156"/>
      <c r="N385" s="154">
        <v>13950</v>
      </c>
      <c r="O385" s="154">
        <v>11229.7</v>
      </c>
    </row>
    <row r="386" spans="2:15" ht="36.75" customHeight="1" collapsed="1" x14ac:dyDescent="0.25">
      <c r="B386" s="151" t="s">
        <v>1259</v>
      </c>
      <c r="C386" s="152">
        <v>638</v>
      </c>
      <c r="D386" s="153">
        <v>28</v>
      </c>
      <c r="E386" s="151" t="s">
        <v>1167</v>
      </c>
      <c r="F386" s="151" t="s">
        <v>1152</v>
      </c>
      <c r="G386" s="151" t="s">
        <v>119</v>
      </c>
      <c r="H386" s="151" t="s">
        <v>1168</v>
      </c>
      <c r="I386" s="151" t="s">
        <v>1185</v>
      </c>
      <c r="J386" s="151" t="s">
        <v>82</v>
      </c>
      <c r="K386" s="154">
        <v>35190</v>
      </c>
      <c r="L386" s="154">
        <v>21180</v>
      </c>
      <c r="M386" s="155">
        <v>22.5</v>
      </c>
      <c r="N386" s="154">
        <v>14010</v>
      </c>
      <c r="O386" s="154">
        <v>10857.7</v>
      </c>
    </row>
    <row r="387" spans="2:15" ht="12.75" hidden="1" customHeight="1" outlineLevel="1" x14ac:dyDescent="0.25">
      <c r="B387" s="570" t="s">
        <v>511</v>
      </c>
      <c r="C387" s="570"/>
      <c r="D387" s="570"/>
      <c r="E387" s="570"/>
      <c r="F387" s="570"/>
      <c r="G387" s="570"/>
      <c r="H387" s="570"/>
      <c r="I387" s="570"/>
      <c r="J387" s="570"/>
      <c r="K387" s="156"/>
      <c r="L387" s="156"/>
      <c r="M387" s="156"/>
      <c r="N387" s="154">
        <v>14010</v>
      </c>
      <c r="O387" s="154">
        <v>10857.7</v>
      </c>
    </row>
    <row r="388" spans="2:15" ht="36.75" customHeight="1" collapsed="1" x14ac:dyDescent="0.25">
      <c r="B388" s="151" t="s">
        <v>1260</v>
      </c>
      <c r="C388" s="152">
        <v>639</v>
      </c>
      <c r="D388" s="153">
        <v>27</v>
      </c>
      <c r="E388" s="151" t="s">
        <v>1167</v>
      </c>
      <c r="F388" s="151" t="s">
        <v>151</v>
      </c>
      <c r="G388" s="151" t="s">
        <v>155</v>
      </c>
      <c r="H388" s="151" t="s">
        <v>1168</v>
      </c>
      <c r="I388" s="151" t="s">
        <v>1185</v>
      </c>
      <c r="J388" s="151" t="s">
        <v>82</v>
      </c>
      <c r="K388" s="154">
        <v>28910</v>
      </c>
      <c r="L388" s="154">
        <v>14960</v>
      </c>
      <c r="M388" s="155">
        <v>15</v>
      </c>
      <c r="N388" s="154">
        <v>13950</v>
      </c>
      <c r="O388" s="154">
        <v>11857.5</v>
      </c>
    </row>
    <row r="389" spans="2:15" ht="12.75" hidden="1" customHeight="1" outlineLevel="1" x14ac:dyDescent="0.25">
      <c r="B389" s="570" t="s">
        <v>511</v>
      </c>
      <c r="C389" s="570"/>
      <c r="D389" s="570"/>
      <c r="E389" s="570"/>
      <c r="F389" s="570"/>
      <c r="G389" s="570"/>
      <c r="H389" s="570"/>
      <c r="I389" s="570"/>
      <c r="J389" s="570"/>
      <c r="K389" s="156"/>
      <c r="L389" s="156"/>
      <c r="M389" s="156"/>
      <c r="N389" s="154">
        <v>13950</v>
      </c>
      <c r="O389" s="154">
        <v>11857.5</v>
      </c>
    </row>
    <row r="390" spans="2:15" ht="36.75" customHeight="1" collapsed="1" x14ac:dyDescent="0.25">
      <c r="B390" s="151" t="s">
        <v>1261</v>
      </c>
      <c r="C390" s="152">
        <v>640</v>
      </c>
      <c r="D390" s="153">
        <v>29</v>
      </c>
      <c r="E390" s="151" t="s">
        <v>1167</v>
      </c>
      <c r="F390" s="151" t="s">
        <v>160</v>
      </c>
      <c r="G390" s="151" t="s">
        <v>164</v>
      </c>
      <c r="H390" s="151" t="s">
        <v>1168</v>
      </c>
      <c r="I390" s="151" t="s">
        <v>1185</v>
      </c>
      <c r="J390" s="151" t="s">
        <v>82</v>
      </c>
      <c r="K390" s="154">
        <v>37910</v>
      </c>
      <c r="L390" s="154">
        <v>24140</v>
      </c>
      <c r="M390" s="155">
        <v>15.5</v>
      </c>
      <c r="N390" s="154">
        <v>13770</v>
      </c>
      <c r="O390" s="154">
        <v>11635.6</v>
      </c>
    </row>
    <row r="391" spans="2:15" ht="12.75" hidden="1" customHeight="1" outlineLevel="1" x14ac:dyDescent="0.25">
      <c r="B391" s="570" t="s">
        <v>511</v>
      </c>
      <c r="C391" s="570"/>
      <c r="D391" s="570"/>
      <c r="E391" s="570"/>
      <c r="F391" s="570"/>
      <c r="G391" s="570"/>
      <c r="H391" s="570"/>
      <c r="I391" s="570"/>
      <c r="J391" s="570"/>
      <c r="K391" s="156"/>
      <c r="L391" s="156"/>
      <c r="M391" s="156"/>
      <c r="N391" s="154">
        <v>13770</v>
      </c>
      <c r="O391" s="154">
        <v>11635.6</v>
      </c>
    </row>
    <row r="392" spans="2:15" ht="36.75" customHeight="1" collapsed="1" x14ac:dyDescent="0.25">
      <c r="B392" s="151" t="s">
        <v>1262</v>
      </c>
      <c r="C392" s="152">
        <v>641</v>
      </c>
      <c r="D392" s="153">
        <v>30</v>
      </c>
      <c r="E392" s="151" t="s">
        <v>1167</v>
      </c>
      <c r="F392" s="151" t="s">
        <v>311</v>
      </c>
      <c r="G392" s="151" t="s">
        <v>315</v>
      </c>
      <c r="H392" s="151" t="s">
        <v>1168</v>
      </c>
      <c r="I392" s="151" t="s">
        <v>1185</v>
      </c>
      <c r="J392" s="151" t="s">
        <v>82</v>
      </c>
      <c r="K392" s="154">
        <v>28840</v>
      </c>
      <c r="L392" s="154">
        <v>15080</v>
      </c>
      <c r="M392" s="155">
        <v>18.5</v>
      </c>
      <c r="N392" s="154">
        <v>13760</v>
      </c>
      <c r="O392" s="154">
        <v>11214.4</v>
      </c>
    </row>
    <row r="393" spans="2:15" ht="12.75" hidden="1" customHeight="1" outlineLevel="1" x14ac:dyDescent="0.25">
      <c r="B393" s="570" t="s">
        <v>511</v>
      </c>
      <c r="C393" s="570"/>
      <c r="D393" s="570"/>
      <c r="E393" s="570"/>
      <c r="F393" s="570"/>
      <c r="G393" s="570"/>
      <c r="H393" s="570"/>
      <c r="I393" s="570"/>
      <c r="J393" s="570"/>
      <c r="K393" s="156"/>
      <c r="L393" s="156"/>
      <c r="M393" s="156"/>
      <c r="N393" s="154">
        <v>13760</v>
      </c>
      <c r="O393" s="154">
        <v>11214.4</v>
      </c>
    </row>
    <row r="394" spans="2:15" ht="36.75" customHeight="1" collapsed="1" x14ac:dyDescent="0.25">
      <c r="B394" s="151" t="s">
        <v>1264</v>
      </c>
      <c r="C394" s="152">
        <v>643</v>
      </c>
      <c r="D394" s="153">
        <v>32</v>
      </c>
      <c r="E394" s="151" t="s">
        <v>1167</v>
      </c>
      <c r="F394" s="151" t="s">
        <v>234</v>
      </c>
      <c r="G394" s="151" t="s">
        <v>238</v>
      </c>
      <c r="H394" s="151" t="s">
        <v>1168</v>
      </c>
      <c r="I394" s="151" t="s">
        <v>1185</v>
      </c>
      <c r="J394" s="151" t="s">
        <v>82</v>
      </c>
      <c r="K394" s="154">
        <v>28630</v>
      </c>
      <c r="L394" s="154">
        <v>15800</v>
      </c>
      <c r="M394" s="155">
        <v>17.5</v>
      </c>
      <c r="N394" s="154">
        <v>12830</v>
      </c>
      <c r="O394" s="154">
        <v>10584.7</v>
      </c>
    </row>
    <row r="395" spans="2:15" ht="12.75" hidden="1" customHeight="1" outlineLevel="1" x14ac:dyDescent="0.25">
      <c r="B395" s="570" t="s">
        <v>511</v>
      </c>
      <c r="C395" s="570"/>
      <c r="D395" s="570"/>
      <c r="E395" s="570"/>
      <c r="F395" s="570"/>
      <c r="G395" s="570"/>
      <c r="H395" s="570"/>
      <c r="I395" s="570"/>
      <c r="J395" s="570"/>
      <c r="K395" s="156"/>
      <c r="L395" s="156"/>
      <c r="M395" s="156"/>
      <c r="N395" s="154">
        <v>12830</v>
      </c>
      <c r="O395" s="154">
        <v>10584.7</v>
      </c>
    </row>
    <row r="396" spans="2:15" ht="36.75" customHeight="1" collapsed="1" x14ac:dyDescent="0.25">
      <c r="B396" s="151" t="s">
        <v>1263</v>
      </c>
      <c r="C396" s="152">
        <v>642</v>
      </c>
      <c r="D396" s="153">
        <v>31</v>
      </c>
      <c r="E396" s="151" t="s">
        <v>1167</v>
      </c>
      <c r="F396" s="151" t="s">
        <v>1253</v>
      </c>
      <c r="G396" s="151" t="s">
        <v>270</v>
      </c>
      <c r="H396" s="151" t="s">
        <v>1168</v>
      </c>
      <c r="I396" s="151" t="s">
        <v>1185</v>
      </c>
      <c r="J396" s="151" t="s">
        <v>82</v>
      </c>
      <c r="K396" s="154">
        <v>28290</v>
      </c>
      <c r="L396" s="154">
        <v>14910</v>
      </c>
      <c r="M396" s="155">
        <v>18.5</v>
      </c>
      <c r="N396" s="154">
        <v>13380</v>
      </c>
      <c r="O396" s="154">
        <v>10904.7</v>
      </c>
    </row>
    <row r="397" spans="2:15" ht="12.75" hidden="1" customHeight="1" outlineLevel="1" x14ac:dyDescent="0.25">
      <c r="B397" s="570" t="s">
        <v>511</v>
      </c>
      <c r="C397" s="570"/>
      <c r="D397" s="570"/>
      <c r="E397" s="570"/>
      <c r="F397" s="570"/>
      <c r="G397" s="570"/>
      <c r="H397" s="570"/>
      <c r="I397" s="570"/>
      <c r="J397" s="570"/>
      <c r="K397" s="156"/>
      <c r="L397" s="156"/>
      <c r="M397" s="156"/>
      <c r="N397" s="154">
        <v>13380</v>
      </c>
      <c r="O397" s="154">
        <v>10904.7</v>
      </c>
    </row>
    <row r="398" spans="2:15" ht="36.75" customHeight="1" collapsed="1" x14ac:dyDescent="0.25">
      <c r="B398" s="151" t="s">
        <v>1272</v>
      </c>
      <c r="C398" s="152">
        <v>647</v>
      </c>
      <c r="D398" s="153">
        <v>33</v>
      </c>
      <c r="E398" s="151" t="s">
        <v>1167</v>
      </c>
      <c r="F398" s="151" t="s">
        <v>1461</v>
      </c>
      <c r="G398" s="151" t="s">
        <v>149</v>
      </c>
      <c r="H398" s="151" t="s">
        <v>1168</v>
      </c>
      <c r="I398" s="151" t="s">
        <v>1185</v>
      </c>
      <c r="J398" s="151" t="s">
        <v>82</v>
      </c>
      <c r="K398" s="154">
        <v>28570</v>
      </c>
      <c r="L398" s="154">
        <v>15040</v>
      </c>
      <c r="M398" s="155">
        <v>16</v>
      </c>
      <c r="N398" s="154">
        <v>13530</v>
      </c>
      <c r="O398" s="154">
        <v>11365.2</v>
      </c>
    </row>
    <row r="399" spans="2:15" ht="12.75" hidden="1" customHeight="1" outlineLevel="1" x14ac:dyDescent="0.25">
      <c r="B399" s="570" t="s">
        <v>511</v>
      </c>
      <c r="C399" s="570"/>
      <c r="D399" s="570"/>
      <c r="E399" s="570"/>
      <c r="F399" s="570"/>
      <c r="G399" s="570"/>
      <c r="H399" s="570"/>
      <c r="I399" s="570"/>
      <c r="J399" s="570"/>
      <c r="K399" s="156"/>
      <c r="L399" s="156"/>
      <c r="M399" s="156"/>
      <c r="N399" s="154">
        <v>13530</v>
      </c>
      <c r="O399" s="154">
        <v>11365.2</v>
      </c>
    </row>
    <row r="400" spans="2:15" ht="36.75" customHeight="1" collapsed="1" x14ac:dyDescent="0.25">
      <c r="B400" s="151" t="s">
        <v>1273</v>
      </c>
      <c r="C400" s="152">
        <v>648</v>
      </c>
      <c r="D400" s="153">
        <v>34</v>
      </c>
      <c r="E400" s="151" t="s">
        <v>1167</v>
      </c>
      <c r="F400" s="151" t="s">
        <v>335</v>
      </c>
      <c r="G400" s="151" t="s">
        <v>339</v>
      </c>
      <c r="H400" s="151" t="s">
        <v>1168</v>
      </c>
      <c r="I400" s="151" t="s">
        <v>901</v>
      </c>
      <c r="J400" s="151" t="s">
        <v>82</v>
      </c>
      <c r="K400" s="154">
        <v>28260</v>
      </c>
      <c r="L400" s="154">
        <v>21400</v>
      </c>
      <c r="M400" s="155">
        <v>14</v>
      </c>
      <c r="N400" s="154">
        <v>6860</v>
      </c>
      <c r="O400" s="154">
        <v>5899.6</v>
      </c>
    </row>
    <row r="401" spans="2:15" ht="12.75" hidden="1" customHeight="1" outlineLevel="1" x14ac:dyDescent="0.25">
      <c r="B401" s="570" t="s">
        <v>511</v>
      </c>
      <c r="C401" s="570"/>
      <c r="D401" s="570"/>
      <c r="E401" s="570"/>
      <c r="F401" s="570"/>
      <c r="G401" s="570"/>
      <c r="H401" s="570"/>
      <c r="I401" s="570"/>
      <c r="J401" s="570"/>
      <c r="K401" s="156"/>
      <c r="L401" s="156"/>
      <c r="M401" s="156"/>
      <c r="N401" s="154">
        <v>6860</v>
      </c>
      <c r="O401" s="154">
        <v>5899.6</v>
      </c>
    </row>
    <row r="402" spans="2:15" ht="36.75" customHeight="1" collapsed="1" x14ac:dyDescent="0.25">
      <c r="B402" s="151" t="s">
        <v>1274</v>
      </c>
      <c r="C402" s="152">
        <v>649</v>
      </c>
      <c r="D402" s="153">
        <v>34</v>
      </c>
      <c r="E402" s="151" t="s">
        <v>1167</v>
      </c>
      <c r="F402" s="151" t="s">
        <v>335</v>
      </c>
      <c r="G402" s="151" t="s">
        <v>339</v>
      </c>
      <c r="H402" s="151" t="s">
        <v>1168</v>
      </c>
      <c r="I402" s="151" t="s">
        <v>1185</v>
      </c>
      <c r="J402" s="151" t="s">
        <v>82</v>
      </c>
      <c r="K402" s="154">
        <v>21400</v>
      </c>
      <c r="L402" s="154">
        <v>14780</v>
      </c>
      <c r="M402" s="155">
        <v>12</v>
      </c>
      <c r="N402" s="154">
        <v>6620</v>
      </c>
      <c r="O402" s="154">
        <v>5825.6</v>
      </c>
    </row>
    <row r="403" spans="2:15" ht="12.75" hidden="1" customHeight="1" outlineLevel="1" x14ac:dyDescent="0.25">
      <c r="B403" s="570" t="s">
        <v>511</v>
      </c>
      <c r="C403" s="570"/>
      <c r="D403" s="570"/>
      <c r="E403" s="570"/>
      <c r="F403" s="570"/>
      <c r="G403" s="570"/>
      <c r="H403" s="570"/>
      <c r="I403" s="570"/>
      <c r="J403" s="570"/>
      <c r="K403" s="156"/>
      <c r="L403" s="156"/>
      <c r="M403" s="156"/>
      <c r="N403" s="154">
        <v>6620</v>
      </c>
      <c r="O403" s="154">
        <v>5825.6</v>
      </c>
    </row>
    <row r="404" spans="2:15" ht="36.75" customHeight="1" collapsed="1" x14ac:dyDescent="0.25">
      <c r="B404" s="151" t="s">
        <v>1275</v>
      </c>
      <c r="C404" s="152">
        <v>650</v>
      </c>
      <c r="D404" s="153">
        <v>35</v>
      </c>
      <c r="E404" s="151" t="s">
        <v>1167</v>
      </c>
      <c r="F404" s="151" t="s">
        <v>272</v>
      </c>
      <c r="G404" s="151" t="s">
        <v>276</v>
      </c>
      <c r="H404" s="151" t="s">
        <v>1168</v>
      </c>
      <c r="I404" s="151" t="s">
        <v>901</v>
      </c>
      <c r="J404" s="151" t="s">
        <v>82</v>
      </c>
      <c r="K404" s="154">
        <v>28550</v>
      </c>
      <c r="L404" s="154">
        <v>14990</v>
      </c>
      <c r="M404" s="155">
        <v>16.5</v>
      </c>
      <c r="N404" s="154">
        <v>13560</v>
      </c>
      <c r="O404" s="154">
        <v>11322.6</v>
      </c>
    </row>
    <row r="405" spans="2:15" ht="12.75" hidden="1" customHeight="1" outlineLevel="1" x14ac:dyDescent="0.25">
      <c r="B405" s="570" t="s">
        <v>511</v>
      </c>
      <c r="C405" s="570"/>
      <c r="D405" s="570"/>
      <c r="E405" s="570"/>
      <c r="F405" s="570"/>
      <c r="G405" s="570"/>
      <c r="H405" s="570"/>
      <c r="I405" s="570"/>
      <c r="J405" s="570"/>
      <c r="K405" s="156"/>
      <c r="L405" s="156"/>
      <c r="M405" s="156"/>
      <c r="N405" s="154">
        <v>13560</v>
      </c>
      <c r="O405" s="154">
        <v>11322.6</v>
      </c>
    </row>
    <row r="406" spans="2:15" ht="36.75" customHeight="1" collapsed="1" x14ac:dyDescent="0.25">
      <c r="B406" s="151" t="s">
        <v>1276</v>
      </c>
      <c r="C406" s="152">
        <v>651</v>
      </c>
      <c r="D406" s="153">
        <v>36</v>
      </c>
      <c r="E406" s="151" t="s">
        <v>1167</v>
      </c>
      <c r="F406" s="151" t="s">
        <v>239</v>
      </c>
      <c r="G406" s="151" t="s">
        <v>243</v>
      </c>
      <c r="H406" s="151" t="s">
        <v>1168</v>
      </c>
      <c r="I406" s="151" t="s">
        <v>901</v>
      </c>
      <c r="J406" s="151" t="s">
        <v>82</v>
      </c>
      <c r="K406" s="154">
        <v>28120</v>
      </c>
      <c r="L406" s="154">
        <v>14700</v>
      </c>
      <c r="M406" s="155">
        <v>15.5</v>
      </c>
      <c r="N406" s="154">
        <v>13420</v>
      </c>
      <c r="O406" s="154">
        <v>11339.9</v>
      </c>
    </row>
    <row r="407" spans="2:15" ht="12.75" hidden="1" customHeight="1" outlineLevel="1" x14ac:dyDescent="0.25">
      <c r="B407" s="570" t="s">
        <v>511</v>
      </c>
      <c r="C407" s="570"/>
      <c r="D407" s="570"/>
      <c r="E407" s="570"/>
      <c r="F407" s="570"/>
      <c r="G407" s="570"/>
      <c r="H407" s="570"/>
      <c r="I407" s="570"/>
      <c r="J407" s="570"/>
      <c r="K407" s="156"/>
      <c r="L407" s="156"/>
      <c r="M407" s="156"/>
      <c r="N407" s="154">
        <v>13420</v>
      </c>
      <c r="O407" s="154">
        <v>11339.9</v>
      </c>
    </row>
    <row r="408" spans="2:15" ht="36.75" customHeight="1" collapsed="1" x14ac:dyDescent="0.25">
      <c r="B408" s="151" t="s">
        <v>1280</v>
      </c>
      <c r="C408" s="152">
        <v>652</v>
      </c>
      <c r="D408" s="153">
        <v>36</v>
      </c>
      <c r="E408" s="151" t="s">
        <v>1167</v>
      </c>
      <c r="F408" s="151" t="s">
        <v>347</v>
      </c>
      <c r="G408" s="151" t="s">
        <v>351</v>
      </c>
      <c r="H408" s="151" t="s">
        <v>1168</v>
      </c>
      <c r="I408" s="151" t="s">
        <v>901</v>
      </c>
      <c r="J408" s="151" t="s">
        <v>82</v>
      </c>
      <c r="K408" s="154">
        <v>32280</v>
      </c>
      <c r="L408" s="154">
        <v>18780</v>
      </c>
      <c r="M408" s="155">
        <v>13.5</v>
      </c>
      <c r="N408" s="154">
        <v>13500</v>
      </c>
      <c r="O408" s="154">
        <v>11677.5</v>
      </c>
    </row>
    <row r="409" spans="2:15" ht="12.75" hidden="1" customHeight="1" outlineLevel="1" x14ac:dyDescent="0.25">
      <c r="B409" s="570" t="s">
        <v>511</v>
      </c>
      <c r="C409" s="570"/>
      <c r="D409" s="570"/>
      <c r="E409" s="570"/>
      <c r="F409" s="570"/>
      <c r="G409" s="570"/>
      <c r="H409" s="570"/>
      <c r="I409" s="570"/>
      <c r="J409" s="570"/>
      <c r="K409" s="156"/>
      <c r="L409" s="156"/>
      <c r="M409" s="156"/>
      <c r="N409" s="154">
        <v>13500</v>
      </c>
      <c r="O409" s="154">
        <v>11677.5</v>
      </c>
    </row>
    <row r="410" spans="2:15" ht="36.75" customHeight="1" collapsed="1" x14ac:dyDescent="0.25">
      <c r="B410" s="151" t="s">
        <v>1281</v>
      </c>
      <c r="C410" s="152">
        <v>653</v>
      </c>
      <c r="D410" s="153">
        <v>37</v>
      </c>
      <c r="E410" s="151" t="s">
        <v>1167</v>
      </c>
      <c r="F410" s="151" t="s">
        <v>133</v>
      </c>
      <c r="G410" s="151" t="s">
        <v>137</v>
      </c>
      <c r="H410" s="151" t="s">
        <v>1168</v>
      </c>
      <c r="I410" s="151" t="s">
        <v>901</v>
      </c>
      <c r="J410" s="151" t="s">
        <v>82</v>
      </c>
      <c r="K410" s="154">
        <v>27870</v>
      </c>
      <c r="L410" s="154">
        <v>14970</v>
      </c>
      <c r="M410" s="155">
        <v>15.5</v>
      </c>
      <c r="N410" s="154">
        <v>12900</v>
      </c>
      <c r="O410" s="154">
        <v>10900.5</v>
      </c>
    </row>
    <row r="411" spans="2:15" ht="12.75" hidden="1" customHeight="1" outlineLevel="1" x14ac:dyDescent="0.25">
      <c r="B411" s="570" t="s">
        <v>511</v>
      </c>
      <c r="C411" s="570"/>
      <c r="D411" s="570"/>
      <c r="E411" s="570"/>
      <c r="F411" s="570"/>
      <c r="G411" s="570"/>
      <c r="H411" s="570"/>
      <c r="I411" s="570"/>
      <c r="J411" s="570"/>
      <c r="K411" s="156"/>
      <c r="L411" s="156"/>
      <c r="M411" s="156"/>
      <c r="N411" s="154">
        <v>12900</v>
      </c>
      <c r="O411" s="154">
        <v>10900.5</v>
      </c>
    </row>
    <row r="412" spans="2:15" ht="36.75" customHeight="1" collapsed="1" x14ac:dyDescent="0.25">
      <c r="B412" s="151" t="s">
        <v>1282</v>
      </c>
      <c r="C412" s="152">
        <v>654</v>
      </c>
      <c r="D412" s="153">
        <v>38</v>
      </c>
      <c r="E412" s="151" t="s">
        <v>1167</v>
      </c>
      <c r="F412" s="151" t="s">
        <v>311</v>
      </c>
      <c r="G412" s="151" t="s">
        <v>315</v>
      </c>
      <c r="H412" s="151" t="s">
        <v>1168</v>
      </c>
      <c r="I412" s="151" t="s">
        <v>901</v>
      </c>
      <c r="J412" s="151" t="s">
        <v>82</v>
      </c>
      <c r="K412" s="154">
        <v>28890</v>
      </c>
      <c r="L412" s="154">
        <v>15200</v>
      </c>
      <c r="M412" s="155">
        <v>18</v>
      </c>
      <c r="N412" s="154">
        <v>13690</v>
      </c>
      <c r="O412" s="154">
        <v>11225.8</v>
      </c>
    </row>
    <row r="413" spans="2:15" ht="12.75" hidden="1" customHeight="1" outlineLevel="1" x14ac:dyDescent="0.25">
      <c r="B413" s="570" t="s">
        <v>511</v>
      </c>
      <c r="C413" s="570"/>
      <c r="D413" s="570"/>
      <c r="E413" s="570"/>
      <c r="F413" s="570"/>
      <c r="G413" s="570"/>
      <c r="H413" s="570"/>
      <c r="I413" s="570"/>
      <c r="J413" s="570"/>
      <c r="K413" s="156"/>
      <c r="L413" s="156"/>
      <c r="M413" s="156"/>
      <c r="N413" s="154">
        <v>13690</v>
      </c>
      <c r="O413" s="154">
        <v>11225.8</v>
      </c>
    </row>
    <row r="414" spans="2:15" ht="36.75" customHeight="1" collapsed="1" x14ac:dyDescent="0.25">
      <c r="B414" s="151" t="s">
        <v>1283</v>
      </c>
      <c r="C414" s="152">
        <v>655</v>
      </c>
      <c r="D414" s="153">
        <v>39</v>
      </c>
      <c r="E414" s="151" t="s">
        <v>1167</v>
      </c>
      <c r="F414" s="151" t="s">
        <v>166</v>
      </c>
      <c r="G414" s="151" t="s">
        <v>170</v>
      </c>
      <c r="H414" s="151" t="s">
        <v>1168</v>
      </c>
      <c r="I414" s="151" t="s">
        <v>901</v>
      </c>
      <c r="J414" s="151" t="s">
        <v>82</v>
      </c>
      <c r="K414" s="154">
        <v>28640</v>
      </c>
      <c r="L414" s="154">
        <v>15210</v>
      </c>
      <c r="M414" s="155">
        <v>16.5</v>
      </c>
      <c r="N414" s="154">
        <v>13430</v>
      </c>
      <c r="O414" s="154">
        <v>11214</v>
      </c>
    </row>
    <row r="415" spans="2:15" ht="12.75" hidden="1" customHeight="1" outlineLevel="1" x14ac:dyDescent="0.25">
      <c r="B415" s="570" t="s">
        <v>511</v>
      </c>
      <c r="C415" s="570"/>
      <c r="D415" s="570"/>
      <c r="E415" s="570"/>
      <c r="F415" s="570"/>
      <c r="G415" s="570"/>
      <c r="H415" s="570"/>
      <c r="I415" s="570"/>
      <c r="J415" s="570"/>
      <c r="K415" s="156"/>
      <c r="L415" s="156"/>
      <c r="M415" s="156"/>
      <c r="N415" s="154">
        <v>13430</v>
      </c>
      <c r="O415" s="154">
        <v>11214</v>
      </c>
    </row>
    <row r="416" spans="2:15" ht="36.75" customHeight="1" collapsed="1" x14ac:dyDescent="0.25">
      <c r="B416" s="151" t="s">
        <v>1284</v>
      </c>
      <c r="C416" s="152">
        <v>656</v>
      </c>
      <c r="D416" s="153">
        <v>40</v>
      </c>
      <c r="E416" s="151" t="s">
        <v>1167</v>
      </c>
      <c r="F416" s="151" t="s">
        <v>329</v>
      </c>
      <c r="G416" s="151" t="s">
        <v>333</v>
      </c>
      <c r="H416" s="151" t="s">
        <v>1168</v>
      </c>
      <c r="I416" s="151" t="s">
        <v>901</v>
      </c>
      <c r="J416" s="151" t="s">
        <v>82</v>
      </c>
      <c r="K416" s="154">
        <v>28540</v>
      </c>
      <c r="L416" s="154">
        <v>15200</v>
      </c>
      <c r="M416" s="155">
        <v>17</v>
      </c>
      <c r="N416" s="154">
        <v>13340</v>
      </c>
      <c r="O416" s="154">
        <v>11072.2</v>
      </c>
    </row>
    <row r="417" spans="2:15" ht="12.75" hidden="1" customHeight="1" outlineLevel="1" x14ac:dyDescent="0.25">
      <c r="B417" s="570" t="s">
        <v>511</v>
      </c>
      <c r="C417" s="570"/>
      <c r="D417" s="570"/>
      <c r="E417" s="570"/>
      <c r="F417" s="570"/>
      <c r="G417" s="570"/>
      <c r="H417" s="570"/>
      <c r="I417" s="570"/>
      <c r="J417" s="570"/>
      <c r="K417" s="156"/>
      <c r="L417" s="156"/>
      <c r="M417" s="156"/>
      <c r="N417" s="154">
        <v>13340</v>
      </c>
      <c r="O417" s="154">
        <v>11072.2</v>
      </c>
    </row>
    <row r="418" spans="2:15" ht="36.75" customHeight="1" collapsed="1" x14ac:dyDescent="0.25">
      <c r="B418" s="151" t="s">
        <v>1285</v>
      </c>
      <c r="C418" s="152">
        <v>657</v>
      </c>
      <c r="D418" s="153">
        <v>41</v>
      </c>
      <c r="E418" s="151" t="s">
        <v>1167</v>
      </c>
      <c r="F418" s="151" t="s">
        <v>1151</v>
      </c>
      <c r="G418" s="151" t="s">
        <v>145</v>
      </c>
      <c r="H418" s="151" t="s">
        <v>1168</v>
      </c>
      <c r="I418" s="151" t="s">
        <v>901</v>
      </c>
      <c r="J418" s="151" t="s">
        <v>82</v>
      </c>
      <c r="K418" s="154">
        <v>28910</v>
      </c>
      <c r="L418" s="154">
        <v>15730</v>
      </c>
      <c r="M418" s="155">
        <v>14.5</v>
      </c>
      <c r="N418" s="154">
        <v>13180</v>
      </c>
      <c r="O418" s="154">
        <v>11268.9</v>
      </c>
    </row>
    <row r="419" spans="2:15" ht="12.75" hidden="1" customHeight="1" outlineLevel="1" x14ac:dyDescent="0.25">
      <c r="B419" s="570" t="s">
        <v>511</v>
      </c>
      <c r="C419" s="570"/>
      <c r="D419" s="570"/>
      <c r="E419" s="570"/>
      <c r="F419" s="570"/>
      <c r="G419" s="570"/>
      <c r="H419" s="570"/>
      <c r="I419" s="570"/>
      <c r="J419" s="570"/>
      <c r="K419" s="156"/>
      <c r="L419" s="156"/>
      <c r="M419" s="156"/>
      <c r="N419" s="154">
        <v>13180</v>
      </c>
      <c r="O419" s="154">
        <v>11268.9</v>
      </c>
    </row>
    <row r="420" spans="2:15" ht="36.75" customHeight="1" collapsed="1" x14ac:dyDescent="0.25">
      <c r="B420" s="151" t="s">
        <v>1286</v>
      </c>
      <c r="C420" s="152">
        <v>658</v>
      </c>
      <c r="D420" s="153">
        <v>42</v>
      </c>
      <c r="E420" s="151" t="s">
        <v>1167</v>
      </c>
      <c r="F420" s="151" t="s">
        <v>1253</v>
      </c>
      <c r="G420" s="151" t="s">
        <v>270</v>
      </c>
      <c r="H420" s="151" t="s">
        <v>1168</v>
      </c>
      <c r="I420" s="151" t="s">
        <v>901</v>
      </c>
      <c r="J420" s="151" t="s">
        <v>82</v>
      </c>
      <c r="K420" s="154">
        <v>28650</v>
      </c>
      <c r="L420" s="154">
        <v>15100</v>
      </c>
      <c r="M420" s="155">
        <v>16.5</v>
      </c>
      <c r="N420" s="154">
        <v>13550</v>
      </c>
      <c r="O420" s="154">
        <v>11314.2</v>
      </c>
    </row>
    <row r="421" spans="2:15" ht="12.75" hidden="1" customHeight="1" outlineLevel="1" x14ac:dyDescent="0.25">
      <c r="B421" s="570" t="s">
        <v>511</v>
      </c>
      <c r="C421" s="570"/>
      <c r="D421" s="570"/>
      <c r="E421" s="570"/>
      <c r="F421" s="570"/>
      <c r="G421" s="570"/>
      <c r="H421" s="570"/>
      <c r="I421" s="570"/>
      <c r="J421" s="570"/>
      <c r="K421" s="156"/>
      <c r="L421" s="156"/>
      <c r="M421" s="156"/>
      <c r="N421" s="154">
        <v>13550</v>
      </c>
      <c r="O421" s="154">
        <v>11314.2</v>
      </c>
    </row>
    <row r="422" spans="2:15" ht="36.75" customHeight="1" collapsed="1" x14ac:dyDescent="0.25">
      <c r="B422" s="151" t="s">
        <v>1287</v>
      </c>
      <c r="C422" s="152">
        <v>659</v>
      </c>
      <c r="D422" s="153">
        <v>43</v>
      </c>
      <c r="E422" s="151" t="s">
        <v>1167</v>
      </c>
      <c r="F422" s="151" t="s">
        <v>151</v>
      </c>
      <c r="G422" s="151" t="s">
        <v>155</v>
      </c>
      <c r="H422" s="151" t="s">
        <v>1168</v>
      </c>
      <c r="I422" s="151" t="s">
        <v>901</v>
      </c>
      <c r="J422" s="151" t="s">
        <v>82</v>
      </c>
      <c r="K422" s="154">
        <v>28180</v>
      </c>
      <c r="L422" s="154">
        <v>15020</v>
      </c>
      <c r="M422" s="155">
        <v>19.5</v>
      </c>
      <c r="N422" s="154">
        <v>13160</v>
      </c>
      <c r="O422" s="154">
        <v>10593.8</v>
      </c>
    </row>
    <row r="423" spans="2:15" ht="12.75" hidden="1" customHeight="1" outlineLevel="1" x14ac:dyDescent="0.25">
      <c r="B423" s="570" t="s">
        <v>511</v>
      </c>
      <c r="C423" s="570"/>
      <c r="D423" s="570"/>
      <c r="E423" s="570"/>
      <c r="F423" s="570"/>
      <c r="G423" s="570"/>
      <c r="H423" s="570"/>
      <c r="I423" s="570"/>
      <c r="J423" s="570"/>
      <c r="K423" s="156"/>
      <c r="L423" s="156"/>
      <c r="M423" s="156"/>
      <c r="N423" s="154">
        <v>13160</v>
      </c>
      <c r="O423" s="154">
        <v>10593.8</v>
      </c>
    </row>
    <row r="424" spans="2:15" ht="36.75" customHeight="1" collapsed="1" x14ac:dyDescent="0.25">
      <c r="B424" s="151" t="s">
        <v>1289</v>
      </c>
      <c r="C424" s="152">
        <v>661</v>
      </c>
      <c r="D424" s="153">
        <v>45</v>
      </c>
      <c r="E424" s="151" t="s">
        <v>1167</v>
      </c>
      <c r="F424" s="151" t="s">
        <v>1461</v>
      </c>
      <c r="G424" s="151" t="s">
        <v>149</v>
      </c>
      <c r="H424" s="151" t="s">
        <v>1168</v>
      </c>
      <c r="I424" s="151" t="s">
        <v>901</v>
      </c>
      <c r="J424" s="151" t="s">
        <v>82</v>
      </c>
      <c r="K424" s="154">
        <v>28450</v>
      </c>
      <c r="L424" s="154">
        <v>15260</v>
      </c>
      <c r="M424" s="155">
        <v>16.100000000000001</v>
      </c>
      <c r="N424" s="154">
        <v>13190</v>
      </c>
      <c r="O424" s="154">
        <v>11073</v>
      </c>
    </row>
    <row r="425" spans="2:15" ht="12.75" hidden="1" customHeight="1" outlineLevel="1" x14ac:dyDescent="0.25">
      <c r="B425" s="570" t="s">
        <v>511</v>
      </c>
      <c r="C425" s="570"/>
      <c r="D425" s="570"/>
      <c r="E425" s="570"/>
      <c r="F425" s="570"/>
      <c r="G425" s="570"/>
      <c r="H425" s="570"/>
      <c r="I425" s="570"/>
      <c r="J425" s="570"/>
      <c r="K425" s="156"/>
      <c r="L425" s="156"/>
      <c r="M425" s="156"/>
      <c r="N425" s="154">
        <v>13190</v>
      </c>
      <c r="O425" s="154">
        <v>11073</v>
      </c>
    </row>
    <row r="426" spans="2:15" ht="36.75" customHeight="1" collapsed="1" x14ac:dyDescent="0.25">
      <c r="B426" s="151" t="s">
        <v>1288</v>
      </c>
      <c r="C426" s="152">
        <v>660</v>
      </c>
      <c r="D426" s="153">
        <v>44</v>
      </c>
      <c r="E426" s="151" t="s">
        <v>1167</v>
      </c>
      <c r="F426" s="151" t="s">
        <v>160</v>
      </c>
      <c r="G426" s="151" t="s">
        <v>164</v>
      </c>
      <c r="H426" s="151" t="s">
        <v>1168</v>
      </c>
      <c r="I426" s="151" t="s">
        <v>901</v>
      </c>
      <c r="J426" s="151" t="s">
        <v>82</v>
      </c>
      <c r="K426" s="154">
        <v>37380</v>
      </c>
      <c r="L426" s="154">
        <v>24270</v>
      </c>
      <c r="M426" s="155">
        <v>17.5</v>
      </c>
      <c r="N426" s="154">
        <v>13110</v>
      </c>
      <c r="O426" s="154">
        <v>10815.7</v>
      </c>
    </row>
    <row r="427" spans="2:15" ht="12.75" hidden="1" customHeight="1" outlineLevel="1" x14ac:dyDescent="0.25">
      <c r="B427" s="570" t="s">
        <v>511</v>
      </c>
      <c r="C427" s="570"/>
      <c r="D427" s="570"/>
      <c r="E427" s="570"/>
      <c r="F427" s="570"/>
      <c r="G427" s="570"/>
      <c r="H427" s="570"/>
      <c r="I427" s="570"/>
      <c r="J427" s="570"/>
      <c r="K427" s="156"/>
      <c r="L427" s="156"/>
      <c r="M427" s="156"/>
      <c r="N427" s="154">
        <v>13110</v>
      </c>
      <c r="O427" s="154">
        <v>10815.7</v>
      </c>
    </row>
    <row r="428" spans="2:15" ht="36.75" customHeight="1" collapsed="1" x14ac:dyDescent="0.25">
      <c r="B428" s="151" t="s">
        <v>1290</v>
      </c>
      <c r="C428" s="152">
        <v>662</v>
      </c>
      <c r="D428" s="153">
        <v>46</v>
      </c>
      <c r="E428" s="151" t="s">
        <v>1167</v>
      </c>
      <c r="F428" s="151" t="s">
        <v>272</v>
      </c>
      <c r="G428" s="151" t="s">
        <v>276</v>
      </c>
      <c r="H428" s="151" t="s">
        <v>1168</v>
      </c>
      <c r="I428" s="151" t="s">
        <v>901</v>
      </c>
      <c r="J428" s="151" t="s">
        <v>82</v>
      </c>
      <c r="K428" s="154">
        <v>28180</v>
      </c>
      <c r="L428" s="154">
        <v>14940</v>
      </c>
      <c r="M428" s="155">
        <v>14.5</v>
      </c>
      <c r="N428" s="154">
        <v>13240</v>
      </c>
      <c r="O428" s="154">
        <v>11320.2</v>
      </c>
    </row>
    <row r="429" spans="2:15" ht="12.75" hidden="1" customHeight="1" outlineLevel="1" x14ac:dyDescent="0.25">
      <c r="B429" s="570" t="s">
        <v>511</v>
      </c>
      <c r="C429" s="570"/>
      <c r="D429" s="570"/>
      <c r="E429" s="570"/>
      <c r="F429" s="570"/>
      <c r="G429" s="570"/>
      <c r="H429" s="570"/>
      <c r="I429" s="570"/>
      <c r="J429" s="570"/>
      <c r="K429" s="156"/>
      <c r="L429" s="156"/>
      <c r="M429" s="156"/>
      <c r="N429" s="154">
        <v>13240</v>
      </c>
      <c r="O429" s="154">
        <v>11320.2</v>
      </c>
    </row>
    <row r="430" spans="2:15" ht="36.75" customHeight="1" collapsed="1" x14ac:dyDescent="0.25">
      <c r="B430" s="151" t="s">
        <v>1313</v>
      </c>
      <c r="C430" s="152">
        <v>664</v>
      </c>
      <c r="D430" s="153">
        <v>48</v>
      </c>
      <c r="E430" s="151" t="s">
        <v>1167</v>
      </c>
      <c r="F430" s="151" t="s">
        <v>1253</v>
      </c>
      <c r="G430" s="151" t="s">
        <v>270</v>
      </c>
      <c r="H430" s="151" t="s">
        <v>1168</v>
      </c>
      <c r="I430" s="151" t="s">
        <v>901</v>
      </c>
      <c r="J430" s="151" t="s">
        <v>82</v>
      </c>
      <c r="K430" s="154">
        <v>15880</v>
      </c>
      <c r="L430" s="154">
        <v>9720</v>
      </c>
      <c r="M430" s="155">
        <v>19.5</v>
      </c>
      <c r="N430" s="154">
        <v>6160</v>
      </c>
      <c r="O430" s="154">
        <v>4958.8</v>
      </c>
    </row>
    <row r="431" spans="2:15" ht="12.75" hidden="1" customHeight="1" outlineLevel="1" x14ac:dyDescent="0.25">
      <c r="B431" s="570" t="s">
        <v>511</v>
      </c>
      <c r="C431" s="570"/>
      <c r="D431" s="570"/>
      <c r="E431" s="570"/>
      <c r="F431" s="570"/>
      <c r="G431" s="570"/>
      <c r="H431" s="570"/>
      <c r="I431" s="570"/>
      <c r="J431" s="570"/>
      <c r="K431" s="156"/>
      <c r="L431" s="156"/>
      <c r="M431" s="156"/>
      <c r="N431" s="154">
        <v>6160</v>
      </c>
      <c r="O431" s="154">
        <v>4958.8</v>
      </c>
    </row>
    <row r="432" spans="2:15" ht="36.75" customHeight="1" collapsed="1" x14ac:dyDescent="0.25">
      <c r="B432" s="151" t="s">
        <v>1314</v>
      </c>
      <c r="C432" s="152">
        <v>665</v>
      </c>
      <c r="D432" s="153">
        <v>47</v>
      </c>
      <c r="E432" s="151" t="s">
        <v>1167</v>
      </c>
      <c r="F432" s="151" t="s">
        <v>1151</v>
      </c>
      <c r="G432" s="151" t="s">
        <v>145</v>
      </c>
      <c r="H432" s="151" t="s">
        <v>1168</v>
      </c>
      <c r="I432" s="151" t="s">
        <v>901</v>
      </c>
      <c r="J432" s="151" t="s">
        <v>82</v>
      </c>
      <c r="K432" s="154">
        <v>28810</v>
      </c>
      <c r="L432" s="154">
        <v>15740</v>
      </c>
      <c r="M432" s="155">
        <v>16.5</v>
      </c>
      <c r="N432" s="154">
        <v>13070</v>
      </c>
      <c r="O432" s="154">
        <v>10913.4</v>
      </c>
    </row>
    <row r="433" spans="2:15" ht="12.75" hidden="1" customHeight="1" outlineLevel="1" x14ac:dyDescent="0.25">
      <c r="B433" s="570" t="s">
        <v>511</v>
      </c>
      <c r="C433" s="570"/>
      <c r="D433" s="570"/>
      <c r="E433" s="570"/>
      <c r="F433" s="570"/>
      <c r="G433" s="570"/>
      <c r="H433" s="570"/>
      <c r="I433" s="570"/>
      <c r="J433" s="570"/>
      <c r="K433" s="156"/>
      <c r="L433" s="156"/>
      <c r="M433" s="156"/>
      <c r="N433" s="154">
        <v>13070</v>
      </c>
      <c r="O433" s="154">
        <v>10913.4</v>
      </c>
    </row>
    <row r="434" spans="2:15" ht="36.75" customHeight="1" collapsed="1" x14ac:dyDescent="0.25">
      <c r="B434" s="151" t="s">
        <v>1315</v>
      </c>
      <c r="C434" s="152">
        <v>671</v>
      </c>
      <c r="D434" s="153">
        <v>54957</v>
      </c>
      <c r="E434" s="151" t="s">
        <v>914</v>
      </c>
      <c r="F434" s="151" t="s">
        <v>127</v>
      </c>
      <c r="G434" s="151" t="s">
        <v>131</v>
      </c>
      <c r="H434" s="153">
        <v>14</v>
      </c>
      <c r="I434" s="151" t="s">
        <v>1316</v>
      </c>
      <c r="J434" s="151" t="s">
        <v>82</v>
      </c>
      <c r="K434" s="154">
        <v>18390</v>
      </c>
      <c r="L434" s="154">
        <v>14220</v>
      </c>
      <c r="M434" s="155">
        <v>17</v>
      </c>
      <c r="N434" s="154">
        <v>4170</v>
      </c>
      <c r="O434" s="154">
        <v>3461.1</v>
      </c>
    </row>
    <row r="435" spans="2:15" ht="12.75" hidden="1" customHeight="1" outlineLevel="1" x14ac:dyDescent="0.25">
      <c r="B435" s="570" t="s">
        <v>511</v>
      </c>
      <c r="C435" s="570"/>
      <c r="D435" s="570"/>
      <c r="E435" s="570"/>
      <c r="F435" s="570"/>
      <c r="G435" s="570"/>
      <c r="H435" s="570"/>
      <c r="I435" s="570"/>
      <c r="J435" s="570"/>
      <c r="K435" s="156"/>
      <c r="L435" s="156"/>
      <c r="M435" s="156"/>
      <c r="N435" s="154">
        <v>4170</v>
      </c>
      <c r="O435" s="154">
        <v>3461.1</v>
      </c>
    </row>
    <row r="436" spans="2:15" ht="36.75" customHeight="1" collapsed="1" x14ac:dyDescent="0.25">
      <c r="B436" s="151" t="s">
        <v>1319</v>
      </c>
      <c r="C436" s="152">
        <v>673</v>
      </c>
      <c r="D436" s="153">
        <v>49</v>
      </c>
      <c r="E436" s="151" t="s">
        <v>1167</v>
      </c>
      <c r="F436" s="151" t="s">
        <v>311</v>
      </c>
      <c r="G436" s="151" t="s">
        <v>315</v>
      </c>
      <c r="H436" s="151" t="s">
        <v>1168</v>
      </c>
      <c r="I436" s="151" t="s">
        <v>1318</v>
      </c>
      <c r="J436" s="151" t="s">
        <v>82</v>
      </c>
      <c r="K436" s="154">
        <v>29130</v>
      </c>
      <c r="L436" s="154">
        <v>15110</v>
      </c>
      <c r="M436" s="155">
        <v>14.5</v>
      </c>
      <c r="N436" s="154">
        <v>14020</v>
      </c>
      <c r="O436" s="154">
        <v>11987.1</v>
      </c>
    </row>
    <row r="437" spans="2:15" ht="12.75" hidden="1" customHeight="1" outlineLevel="1" x14ac:dyDescent="0.25">
      <c r="B437" s="570" t="s">
        <v>511</v>
      </c>
      <c r="C437" s="570"/>
      <c r="D437" s="570"/>
      <c r="E437" s="570"/>
      <c r="F437" s="570"/>
      <c r="G437" s="570"/>
      <c r="H437" s="570"/>
      <c r="I437" s="570"/>
      <c r="J437" s="570"/>
      <c r="K437" s="156"/>
      <c r="L437" s="156"/>
      <c r="M437" s="156"/>
      <c r="N437" s="154">
        <v>14020</v>
      </c>
      <c r="O437" s="154">
        <v>11987.1</v>
      </c>
    </row>
    <row r="438" spans="2:15" ht="36.75" customHeight="1" collapsed="1" x14ac:dyDescent="0.25">
      <c r="B438" s="151" t="s">
        <v>1317</v>
      </c>
      <c r="C438" s="152">
        <v>672</v>
      </c>
      <c r="D438" s="153">
        <v>51</v>
      </c>
      <c r="E438" s="151" t="s">
        <v>1167</v>
      </c>
      <c r="F438" s="151" t="s">
        <v>894</v>
      </c>
      <c r="G438" s="151" t="s">
        <v>895</v>
      </c>
      <c r="H438" s="151" t="s">
        <v>1168</v>
      </c>
      <c r="I438" s="151" t="s">
        <v>1318</v>
      </c>
      <c r="J438" s="151" t="s">
        <v>82</v>
      </c>
      <c r="K438" s="154">
        <v>28270</v>
      </c>
      <c r="L438" s="154">
        <v>14880</v>
      </c>
      <c r="M438" s="155">
        <v>14</v>
      </c>
      <c r="N438" s="154">
        <v>13390</v>
      </c>
      <c r="O438" s="154">
        <v>11515.4</v>
      </c>
    </row>
    <row r="439" spans="2:15" ht="12.75" hidden="1" customHeight="1" outlineLevel="1" x14ac:dyDescent="0.25">
      <c r="B439" s="570" t="s">
        <v>511</v>
      </c>
      <c r="C439" s="570"/>
      <c r="D439" s="570"/>
      <c r="E439" s="570"/>
      <c r="F439" s="570"/>
      <c r="G439" s="570"/>
      <c r="H439" s="570"/>
      <c r="I439" s="570"/>
      <c r="J439" s="570"/>
      <c r="K439" s="156"/>
      <c r="L439" s="156"/>
      <c r="M439" s="156"/>
      <c r="N439" s="154">
        <v>13390</v>
      </c>
      <c r="O439" s="154">
        <v>11515.4</v>
      </c>
    </row>
    <row r="440" spans="2:15" ht="36.75" customHeight="1" collapsed="1" x14ac:dyDescent="0.25">
      <c r="B440" s="151" t="s">
        <v>1320</v>
      </c>
      <c r="C440" s="152">
        <v>675</v>
      </c>
      <c r="D440" s="153">
        <v>52</v>
      </c>
      <c r="E440" s="151" t="s">
        <v>1167</v>
      </c>
      <c r="F440" s="151" t="s">
        <v>335</v>
      </c>
      <c r="G440" s="151" t="s">
        <v>339</v>
      </c>
      <c r="H440" s="151" t="s">
        <v>1168</v>
      </c>
      <c r="I440" s="151" t="s">
        <v>909</v>
      </c>
      <c r="J440" s="151" t="s">
        <v>82</v>
      </c>
      <c r="K440" s="154">
        <v>22010</v>
      </c>
      <c r="L440" s="154">
        <v>14920</v>
      </c>
      <c r="M440" s="155">
        <v>19</v>
      </c>
      <c r="N440" s="154">
        <v>7090</v>
      </c>
      <c r="O440" s="154">
        <v>5742.9</v>
      </c>
    </row>
    <row r="441" spans="2:15" ht="12.75" hidden="1" customHeight="1" outlineLevel="1" x14ac:dyDescent="0.25">
      <c r="B441" s="570" t="s">
        <v>511</v>
      </c>
      <c r="C441" s="570"/>
      <c r="D441" s="570"/>
      <c r="E441" s="570"/>
      <c r="F441" s="570"/>
      <c r="G441" s="570"/>
      <c r="H441" s="570"/>
      <c r="I441" s="570"/>
      <c r="J441" s="570"/>
      <c r="K441" s="156"/>
      <c r="L441" s="156"/>
      <c r="M441" s="156"/>
      <c r="N441" s="154">
        <v>7090</v>
      </c>
      <c r="O441" s="154">
        <v>5742.9</v>
      </c>
    </row>
    <row r="442" spans="2:15" ht="36.75" customHeight="1" collapsed="1" x14ac:dyDescent="0.25">
      <c r="B442" s="151" t="s">
        <v>1322</v>
      </c>
      <c r="C442" s="152">
        <v>674</v>
      </c>
      <c r="D442" s="153">
        <v>52</v>
      </c>
      <c r="E442" s="151" t="s">
        <v>1167</v>
      </c>
      <c r="F442" s="151" t="s">
        <v>335</v>
      </c>
      <c r="G442" s="151" t="s">
        <v>339</v>
      </c>
      <c r="H442" s="151" t="s">
        <v>1168</v>
      </c>
      <c r="I442" s="151" t="s">
        <v>1318</v>
      </c>
      <c r="J442" s="151" t="s">
        <v>82</v>
      </c>
      <c r="K442" s="154">
        <v>29040</v>
      </c>
      <c r="L442" s="154">
        <v>22010</v>
      </c>
      <c r="M442" s="155">
        <v>17</v>
      </c>
      <c r="N442" s="154">
        <v>7030</v>
      </c>
      <c r="O442" s="154">
        <v>5834.9</v>
      </c>
    </row>
    <row r="443" spans="2:15" ht="12.75" hidden="1" customHeight="1" outlineLevel="1" x14ac:dyDescent="0.25">
      <c r="B443" s="570" t="s">
        <v>511</v>
      </c>
      <c r="C443" s="570"/>
      <c r="D443" s="570"/>
      <c r="E443" s="570"/>
      <c r="F443" s="570"/>
      <c r="G443" s="570"/>
      <c r="H443" s="570"/>
      <c r="I443" s="570"/>
      <c r="J443" s="570"/>
      <c r="K443" s="156"/>
      <c r="L443" s="156"/>
      <c r="M443" s="156"/>
      <c r="N443" s="154">
        <v>7030</v>
      </c>
      <c r="O443" s="154">
        <v>5834.9</v>
      </c>
    </row>
    <row r="444" spans="2:15" ht="36.75" customHeight="1" collapsed="1" x14ac:dyDescent="0.25">
      <c r="B444" s="151" t="s">
        <v>1323</v>
      </c>
      <c r="C444" s="152">
        <v>676</v>
      </c>
      <c r="D444" s="153">
        <v>50</v>
      </c>
      <c r="E444" s="151" t="s">
        <v>1167</v>
      </c>
      <c r="F444" s="151" t="s">
        <v>1312</v>
      </c>
      <c r="G444" s="151" t="s">
        <v>320</v>
      </c>
      <c r="H444" s="151" t="s">
        <v>1168</v>
      </c>
      <c r="I444" s="151" t="s">
        <v>909</v>
      </c>
      <c r="J444" s="151" t="s">
        <v>82</v>
      </c>
      <c r="K444" s="154">
        <v>29480</v>
      </c>
      <c r="L444" s="154">
        <v>14430</v>
      </c>
      <c r="M444" s="155">
        <v>15</v>
      </c>
      <c r="N444" s="154">
        <v>15050</v>
      </c>
      <c r="O444" s="154">
        <v>12792.5</v>
      </c>
    </row>
    <row r="445" spans="2:15" ht="12.75" hidden="1" customHeight="1" outlineLevel="1" x14ac:dyDescent="0.25">
      <c r="B445" s="570" t="s">
        <v>511</v>
      </c>
      <c r="C445" s="570"/>
      <c r="D445" s="570"/>
      <c r="E445" s="570"/>
      <c r="F445" s="570"/>
      <c r="G445" s="570"/>
      <c r="H445" s="570"/>
      <c r="I445" s="570"/>
      <c r="J445" s="570"/>
      <c r="K445" s="156"/>
      <c r="L445" s="156"/>
      <c r="M445" s="156"/>
      <c r="N445" s="154">
        <v>15050</v>
      </c>
      <c r="O445" s="154">
        <v>12792.5</v>
      </c>
    </row>
    <row r="446" spans="2:15" ht="36.75" customHeight="1" collapsed="1" x14ac:dyDescent="0.25">
      <c r="B446" s="151" t="s">
        <v>1333</v>
      </c>
      <c r="C446" s="152">
        <v>685</v>
      </c>
      <c r="D446" s="153">
        <v>53</v>
      </c>
      <c r="E446" s="151" t="s">
        <v>1167</v>
      </c>
      <c r="F446" s="151" t="s">
        <v>347</v>
      </c>
      <c r="G446" s="151" t="s">
        <v>351</v>
      </c>
      <c r="H446" s="151" t="s">
        <v>1168</v>
      </c>
      <c r="I446" s="151" t="s">
        <v>909</v>
      </c>
      <c r="J446" s="151" t="s">
        <v>82</v>
      </c>
      <c r="K446" s="154">
        <v>22535</v>
      </c>
      <c r="L446" s="154">
        <v>15640</v>
      </c>
      <c r="M446" s="155">
        <v>12</v>
      </c>
      <c r="N446" s="154">
        <v>6895</v>
      </c>
      <c r="O446" s="154">
        <v>6067.6</v>
      </c>
    </row>
    <row r="447" spans="2:15" ht="12.75" hidden="1" customHeight="1" outlineLevel="1" x14ac:dyDescent="0.25">
      <c r="B447" s="570" t="s">
        <v>511</v>
      </c>
      <c r="C447" s="570"/>
      <c r="D447" s="570"/>
      <c r="E447" s="570"/>
      <c r="F447" s="570"/>
      <c r="G447" s="570"/>
      <c r="H447" s="570"/>
      <c r="I447" s="570"/>
      <c r="J447" s="570"/>
      <c r="K447" s="156"/>
      <c r="L447" s="156"/>
      <c r="M447" s="156"/>
      <c r="N447" s="154">
        <v>6895</v>
      </c>
      <c r="O447" s="154">
        <v>6067.6</v>
      </c>
    </row>
    <row r="448" spans="2:15" ht="36.75" customHeight="1" collapsed="1" x14ac:dyDescent="0.25">
      <c r="B448" s="151" t="s">
        <v>1332</v>
      </c>
      <c r="C448" s="152">
        <v>677</v>
      </c>
      <c r="D448" s="153">
        <v>53</v>
      </c>
      <c r="E448" s="151" t="s">
        <v>1167</v>
      </c>
      <c r="F448" s="151" t="s">
        <v>347</v>
      </c>
      <c r="G448" s="151" t="s">
        <v>351</v>
      </c>
      <c r="H448" s="151" t="s">
        <v>1168</v>
      </c>
      <c r="I448" s="151" t="s">
        <v>1318</v>
      </c>
      <c r="J448" s="151" t="s">
        <v>82</v>
      </c>
      <c r="K448" s="154">
        <v>29430</v>
      </c>
      <c r="L448" s="154">
        <v>22535</v>
      </c>
      <c r="M448" s="155">
        <v>9.5</v>
      </c>
      <c r="N448" s="154">
        <v>6895</v>
      </c>
      <c r="O448" s="154">
        <v>6240</v>
      </c>
    </row>
    <row r="449" spans="2:15" ht="12.75" hidden="1" customHeight="1" outlineLevel="1" x14ac:dyDescent="0.25">
      <c r="B449" s="570" t="s">
        <v>511</v>
      </c>
      <c r="C449" s="570"/>
      <c r="D449" s="570"/>
      <c r="E449" s="570"/>
      <c r="F449" s="570"/>
      <c r="G449" s="570"/>
      <c r="H449" s="570"/>
      <c r="I449" s="570"/>
      <c r="J449" s="570"/>
      <c r="K449" s="156"/>
      <c r="L449" s="156"/>
      <c r="M449" s="156"/>
      <c r="N449" s="154">
        <v>6895</v>
      </c>
      <c r="O449" s="154">
        <v>6240</v>
      </c>
    </row>
    <row r="450" spans="2:15" ht="36.75" customHeight="1" collapsed="1" x14ac:dyDescent="0.25">
      <c r="B450" s="151" t="s">
        <v>1324</v>
      </c>
      <c r="C450" s="152">
        <v>678</v>
      </c>
      <c r="D450" s="153">
        <v>55</v>
      </c>
      <c r="E450" s="151" t="s">
        <v>1167</v>
      </c>
      <c r="F450" s="151" t="s">
        <v>1325</v>
      </c>
      <c r="G450" s="151" t="s">
        <v>119</v>
      </c>
      <c r="H450" s="151" t="s">
        <v>1168</v>
      </c>
      <c r="I450" s="151" t="s">
        <v>909</v>
      </c>
      <c r="J450" s="151" t="s">
        <v>82</v>
      </c>
      <c r="K450" s="154">
        <v>35120</v>
      </c>
      <c r="L450" s="154">
        <v>27970</v>
      </c>
      <c r="M450" s="155">
        <v>10.5</v>
      </c>
      <c r="N450" s="154">
        <v>7150</v>
      </c>
      <c r="O450" s="154">
        <v>6399.2</v>
      </c>
    </row>
    <row r="451" spans="2:15" ht="12.75" hidden="1" customHeight="1" outlineLevel="1" x14ac:dyDescent="0.25">
      <c r="B451" s="570" t="s">
        <v>511</v>
      </c>
      <c r="C451" s="570"/>
      <c r="D451" s="570"/>
      <c r="E451" s="570"/>
      <c r="F451" s="570"/>
      <c r="G451" s="570"/>
      <c r="H451" s="570"/>
      <c r="I451" s="570"/>
      <c r="J451" s="570"/>
      <c r="K451" s="156"/>
      <c r="L451" s="156"/>
      <c r="M451" s="156"/>
      <c r="N451" s="154">
        <v>7150</v>
      </c>
      <c r="O451" s="154">
        <v>6399.2</v>
      </c>
    </row>
    <row r="452" spans="2:15" ht="36.75" customHeight="1" collapsed="1" x14ac:dyDescent="0.25">
      <c r="B452" s="151" t="s">
        <v>1326</v>
      </c>
      <c r="C452" s="152">
        <v>679</v>
      </c>
      <c r="D452" s="153">
        <v>55</v>
      </c>
      <c r="E452" s="151" t="s">
        <v>1167</v>
      </c>
      <c r="F452" s="151" t="s">
        <v>1325</v>
      </c>
      <c r="G452" s="151" t="s">
        <v>119</v>
      </c>
      <c r="H452" s="151" t="s">
        <v>1168</v>
      </c>
      <c r="I452" s="151" t="s">
        <v>1318</v>
      </c>
      <c r="J452" s="151" t="s">
        <v>82</v>
      </c>
      <c r="K452" s="154">
        <v>27970</v>
      </c>
      <c r="L452" s="154">
        <v>20920</v>
      </c>
      <c r="M452" s="155">
        <v>8.5</v>
      </c>
      <c r="N452" s="154">
        <v>7050</v>
      </c>
      <c r="O452" s="154">
        <v>6450.7</v>
      </c>
    </row>
    <row r="453" spans="2:15" ht="12.75" hidden="1" customHeight="1" outlineLevel="1" x14ac:dyDescent="0.25">
      <c r="B453" s="570" t="s">
        <v>511</v>
      </c>
      <c r="C453" s="570"/>
      <c r="D453" s="570"/>
      <c r="E453" s="570"/>
      <c r="F453" s="570"/>
      <c r="G453" s="570"/>
      <c r="H453" s="570"/>
      <c r="I453" s="570"/>
      <c r="J453" s="570"/>
      <c r="K453" s="156"/>
      <c r="L453" s="156"/>
      <c r="M453" s="156"/>
      <c r="N453" s="154">
        <v>7050</v>
      </c>
      <c r="O453" s="154">
        <v>6450.7</v>
      </c>
    </row>
    <row r="454" spans="2:15" ht="36.75" customHeight="1" collapsed="1" x14ac:dyDescent="0.25">
      <c r="B454" s="151" t="s">
        <v>1328</v>
      </c>
      <c r="C454" s="152">
        <v>681</v>
      </c>
      <c r="D454" s="153">
        <v>54958</v>
      </c>
      <c r="E454" s="151" t="s">
        <v>914</v>
      </c>
      <c r="F454" s="151" t="s">
        <v>127</v>
      </c>
      <c r="G454" s="151" t="s">
        <v>131</v>
      </c>
      <c r="H454" s="153">
        <v>14</v>
      </c>
      <c r="I454" s="151" t="s">
        <v>1316</v>
      </c>
      <c r="J454" s="151" t="s">
        <v>82</v>
      </c>
      <c r="K454" s="154">
        <v>23440</v>
      </c>
      <c r="L454" s="154">
        <v>14350</v>
      </c>
      <c r="M454" s="155">
        <v>13.5</v>
      </c>
      <c r="N454" s="154">
        <v>9090</v>
      </c>
      <c r="O454" s="154">
        <v>7862.8</v>
      </c>
    </row>
    <row r="455" spans="2:15" ht="12.75" hidden="1" customHeight="1" outlineLevel="1" x14ac:dyDescent="0.25">
      <c r="B455" s="570" t="s">
        <v>511</v>
      </c>
      <c r="C455" s="570"/>
      <c r="D455" s="570"/>
      <c r="E455" s="570"/>
      <c r="F455" s="570"/>
      <c r="G455" s="570"/>
      <c r="H455" s="570"/>
      <c r="I455" s="570"/>
      <c r="J455" s="570"/>
      <c r="K455" s="156"/>
      <c r="L455" s="156"/>
      <c r="M455" s="156"/>
      <c r="N455" s="154">
        <v>9090</v>
      </c>
      <c r="O455" s="154">
        <v>7862.8</v>
      </c>
    </row>
    <row r="456" spans="2:15" ht="36.75" customHeight="1" collapsed="1" x14ac:dyDescent="0.25">
      <c r="B456" s="151" t="s">
        <v>1329</v>
      </c>
      <c r="C456" s="152">
        <v>682</v>
      </c>
      <c r="D456" s="153">
        <v>57</v>
      </c>
      <c r="E456" s="151" t="s">
        <v>1167</v>
      </c>
      <c r="F456" s="151" t="s">
        <v>1461</v>
      </c>
      <c r="G456" s="151" t="s">
        <v>149</v>
      </c>
      <c r="H456" s="151" t="s">
        <v>1168</v>
      </c>
      <c r="I456" s="151" t="s">
        <v>909</v>
      </c>
      <c r="J456" s="151" t="s">
        <v>82</v>
      </c>
      <c r="K456" s="154">
        <v>28620</v>
      </c>
      <c r="L456" s="154">
        <v>14940</v>
      </c>
      <c r="M456" s="155">
        <v>15</v>
      </c>
      <c r="N456" s="154">
        <v>13680</v>
      </c>
      <c r="O456" s="154">
        <v>11628</v>
      </c>
    </row>
    <row r="457" spans="2:15" ht="12.75" hidden="1" customHeight="1" outlineLevel="1" x14ac:dyDescent="0.25">
      <c r="B457" s="570" t="s">
        <v>511</v>
      </c>
      <c r="C457" s="570"/>
      <c r="D457" s="570"/>
      <c r="E457" s="570"/>
      <c r="F457" s="570"/>
      <c r="G457" s="570"/>
      <c r="H457" s="570"/>
      <c r="I457" s="570"/>
      <c r="J457" s="570"/>
      <c r="K457" s="156"/>
      <c r="L457" s="156"/>
      <c r="M457" s="156"/>
      <c r="N457" s="154">
        <v>13680</v>
      </c>
      <c r="O457" s="154">
        <v>11628</v>
      </c>
    </row>
    <row r="458" spans="2:15" ht="36.75" customHeight="1" collapsed="1" x14ac:dyDescent="0.25">
      <c r="B458" s="151" t="s">
        <v>1330</v>
      </c>
      <c r="C458" s="152">
        <v>683</v>
      </c>
      <c r="D458" s="153">
        <v>54958</v>
      </c>
      <c r="E458" s="151" t="s">
        <v>914</v>
      </c>
      <c r="F458" s="151" t="s">
        <v>762</v>
      </c>
      <c r="G458" s="151" t="s">
        <v>763</v>
      </c>
      <c r="H458" s="153">
        <v>14</v>
      </c>
      <c r="I458" s="151" t="s">
        <v>1316</v>
      </c>
      <c r="J458" s="151" t="s">
        <v>82</v>
      </c>
      <c r="K458" s="154">
        <v>9150</v>
      </c>
      <c r="L458" s="154">
        <v>4610</v>
      </c>
      <c r="M458" s="155">
        <v>12.5</v>
      </c>
      <c r="N458" s="154">
        <v>4540</v>
      </c>
      <c r="O458" s="154">
        <v>3972.5</v>
      </c>
    </row>
    <row r="459" spans="2:15" ht="12.75" hidden="1" customHeight="1" outlineLevel="1" x14ac:dyDescent="0.25">
      <c r="B459" s="570" t="s">
        <v>511</v>
      </c>
      <c r="C459" s="570"/>
      <c r="D459" s="570"/>
      <c r="E459" s="570"/>
      <c r="F459" s="570"/>
      <c r="G459" s="570"/>
      <c r="H459" s="570"/>
      <c r="I459" s="570"/>
      <c r="J459" s="570"/>
      <c r="K459" s="156"/>
      <c r="L459" s="156"/>
      <c r="M459" s="156"/>
      <c r="N459" s="154">
        <v>4540</v>
      </c>
      <c r="O459" s="154">
        <v>3972.5</v>
      </c>
    </row>
    <row r="460" spans="2:15" ht="36.75" customHeight="1" collapsed="1" x14ac:dyDescent="0.25">
      <c r="B460" s="151" t="s">
        <v>1327</v>
      </c>
      <c r="C460" s="152">
        <v>680</v>
      </c>
      <c r="D460" s="153">
        <v>54</v>
      </c>
      <c r="E460" s="151" t="s">
        <v>1167</v>
      </c>
      <c r="F460" s="151" t="s">
        <v>160</v>
      </c>
      <c r="G460" s="151" t="s">
        <v>164</v>
      </c>
      <c r="H460" s="151" t="s">
        <v>1168</v>
      </c>
      <c r="I460" s="151" t="s">
        <v>1318</v>
      </c>
      <c r="J460" s="151" t="s">
        <v>82</v>
      </c>
      <c r="K460" s="154">
        <v>38080</v>
      </c>
      <c r="L460" s="154">
        <v>24150</v>
      </c>
      <c r="M460" s="155">
        <v>14</v>
      </c>
      <c r="N460" s="154">
        <v>13930</v>
      </c>
      <c r="O460" s="154">
        <v>11979.8</v>
      </c>
    </row>
    <row r="461" spans="2:15" ht="12.75" hidden="1" customHeight="1" outlineLevel="1" x14ac:dyDescent="0.25">
      <c r="B461" s="570" t="s">
        <v>511</v>
      </c>
      <c r="C461" s="570"/>
      <c r="D461" s="570"/>
      <c r="E461" s="570"/>
      <c r="F461" s="570"/>
      <c r="G461" s="570"/>
      <c r="H461" s="570"/>
      <c r="I461" s="570"/>
      <c r="J461" s="570"/>
      <c r="K461" s="156"/>
      <c r="L461" s="156"/>
      <c r="M461" s="156"/>
      <c r="N461" s="154">
        <v>13930</v>
      </c>
      <c r="O461" s="154">
        <v>11979.8</v>
      </c>
    </row>
    <row r="462" spans="2:15" ht="36.75" customHeight="1" collapsed="1" x14ac:dyDescent="0.25">
      <c r="B462" s="151" t="s">
        <v>1360</v>
      </c>
      <c r="C462" s="152">
        <v>690</v>
      </c>
      <c r="D462" s="153">
        <v>54961</v>
      </c>
      <c r="E462" s="151" t="s">
        <v>914</v>
      </c>
      <c r="F462" s="151" t="s">
        <v>79</v>
      </c>
      <c r="G462" s="151" t="s">
        <v>80</v>
      </c>
      <c r="H462" s="153">
        <v>14</v>
      </c>
      <c r="I462" s="151" t="s">
        <v>1316</v>
      </c>
      <c r="J462" s="151" t="s">
        <v>82</v>
      </c>
      <c r="K462" s="154">
        <v>22880</v>
      </c>
      <c r="L462" s="154">
        <v>14180</v>
      </c>
      <c r="M462" s="155">
        <v>15</v>
      </c>
      <c r="N462" s="154">
        <v>8700</v>
      </c>
      <c r="O462" s="154">
        <v>7395</v>
      </c>
    </row>
    <row r="463" spans="2:15" ht="12.75" hidden="1" customHeight="1" outlineLevel="1" x14ac:dyDescent="0.25">
      <c r="B463" s="570" t="s">
        <v>511</v>
      </c>
      <c r="C463" s="570"/>
      <c r="D463" s="570"/>
      <c r="E463" s="570"/>
      <c r="F463" s="570"/>
      <c r="G463" s="570"/>
      <c r="H463" s="570"/>
      <c r="I463" s="570"/>
      <c r="J463" s="570"/>
      <c r="K463" s="156"/>
      <c r="L463" s="156"/>
      <c r="M463" s="156"/>
      <c r="N463" s="154">
        <v>8700</v>
      </c>
      <c r="O463" s="154">
        <v>7395</v>
      </c>
    </row>
    <row r="464" spans="2:15" ht="48.75" customHeight="1" collapsed="1" x14ac:dyDescent="0.25">
      <c r="B464" s="151" t="s">
        <v>1331</v>
      </c>
      <c r="C464" s="152">
        <v>684</v>
      </c>
      <c r="D464" s="153">
        <v>54953</v>
      </c>
      <c r="E464" s="151" t="s">
        <v>914</v>
      </c>
      <c r="F464" s="151" t="s">
        <v>244</v>
      </c>
      <c r="G464" s="151" t="s">
        <v>248</v>
      </c>
      <c r="H464" s="153">
        <v>14</v>
      </c>
      <c r="I464" s="151" t="s">
        <v>1316</v>
      </c>
      <c r="J464" s="151" t="s">
        <v>82</v>
      </c>
      <c r="K464" s="154">
        <v>18400</v>
      </c>
      <c r="L464" s="154">
        <v>15660</v>
      </c>
      <c r="M464" s="155">
        <v>11</v>
      </c>
      <c r="N464" s="154">
        <v>2740</v>
      </c>
      <c r="O464" s="154">
        <v>2438.6</v>
      </c>
    </row>
    <row r="465" spans="2:15" ht="12.75" hidden="1" customHeight="1" outlineLevel="1" x14ac:dyDescent="0.25">
      <c r="B465" s="570" t="s">
        <v>511</v>
      </c>
      <c r="C465" s="570"/>
      <c r="D465" s="570"/>
      <c r="E465" s="570"/>
      <c r="F465" s="570"/>
      <c r="G465" s="570"/>
      <c r="H465" s="570"/>
      <c r="I465" s="570"/>
      <c r="J465" s="570"/>
      <c r="K465" s="156"/>
      <c r="L465" s="156"/>
      <c r="M465" s="156"/>
      <c r="N465" s="154">
        <v>2740</v>
      </c>
      <c r="O465" s="154">
        <v>2438.6</v>
      </c>
    </row>
    <row r="466" spans="2:15" ht="36.75" customHeight="1" collapsed="1" x14ac:dyDescent="0.25">
      <c r="B466" s="151" t="s">
        <v>1359</v>
      </c>
      <c r="C466" s="152">
        <v>689</v>
      </c>
      <c r="D466" s="153">
        <v>54960</v>
      </c>
      <c r="E466" s="151" t="s">
        <v>914</v>
      </c>
      <c r="F466" s="151" t="s">
        <v>111</v>
      </c>
      <c r="G466" s="151" t="s">
        <v>114</v>
      </c>
      <c r="H466" s="153">
        <v>14</v>
      </c>
      <c r="I466" s="151" t="s">
        <v>1316</v>
      </c>
      <c r="J466" s="151" t="s">
        <v>82</v>
      </c>
      <c r="K466" s="154">
        <v>23950</v>
      </c>
      <c r="L466" s="154">
        <v>15560</v>
      </c>
      <c r="M466" s="155">
        <v>14</v>
      </c>
      <c r="N466" s="154">
        <v>8390</v>
      </c>
      <c r="O466" s="154">
        <v>7215.4</v>
      </c>
    </row>
    <row r="467" spans="2:15" ht="12.75" hidden="1" customHeight="1" outlineLevel="1" x14ac:dyDescent="0.25">
      <c r="B467" s="570" t="s">
        <v>511</v>
      </c>
      <c r="C467" s="570"/>
      <c r="D467" s="570"/>
      <c r="E467" s="570"/>
      <c r="F467" s="570"/>
      <c r="G467" s="570"/>
      <c r="H467" s="570"/>
      <c r="I467" s="570"/>
      <c r="J467" s="570"/>
      <c r="K467" s="156"/>
      <c r="L467" s="156"/>
      <c r="M467" s="156"/>
      <c r="N467" s="154">
        <v>8390</v>
      </c>
      <c r="O467" s="154">
        <v>7215.4</v>
      </c>
    </row>
    <row r="468" spans="2:15" ht="36.75" customHeight="1" collapsed="1" x14ac:dyDescent="0.25">
      <c r="B468" s="151" t="s">
        <v>1334</v>
      </c>
      <c r="C468" s="152">
        <v>687</v>
      </c>
      <c r="D468" s="153">
        <v>54959</v>
      </c>
      <c r="E468" s="151" t="s">
        <v>914</v>
      </c>
      <c r="F468" s="151" t="s">
        <v>262</v>
      </c>
      <c r="G468" s="151" t="s">
        <v>266</v>
      </c>
      <c r="H468" s="153">
        <v>14</v>
      </c>
      <c r="I468" s="151" t="s">
        <v>1316</v>
      </c>
      <c r="J468" s="151" t="s">
        <v>82</v>
      </c>
      <c r="K468" s="154">
        <v>23370</v>
      </c>
      <c r="L468" s="154">
        <v>14830</v>
      </c>
      <c r="M468" s="155">
        <v>10.5</v>
      </c>
      <c r="N468" s="154">
        <v>8540</v>
      </c>
      <c r="O468" s="154">
        <v>7643.3</v>
      </c>
    </row>
    <row r="469" spans="2:15" ht="12.75" hidden="1" customHeight="1" outlineLevel="1" x14ac:dyDescent="0.25">
      <c r="B469" s="570" t="s">
        <v>511</v>
      </c>
      <c r="C469" s="570"/>
      <c r="D469" s="570"/>
      <c r="E469" s="570"/>
      <c r="F469" s="570"/>
      <c r="G469" s="570"/>
      <c r="H469" s="570"/>
      <c r="I469" s="570"/>
      <c r="J469" s="570"/>
      <c r="K469" s="156"/>
      <c r="L469" s="156"/>
      <c r="M469" s="156"/>
      <c r="N469" s="154">
        <v>8540</v>
      </c>
      <c r="O469" s="154">
        <v>7643.3</v>
      </c>
    </row>
    <row r="470" spans="2:15" ht="36.75" customHeight="1" collapsed="1" x14ac:dyDescent="0.25">
      <c r="B470" s="151" t="s">
        <v>1362</v>
      </c>
      <c r="C470" s="152">
        <v>693</v>
      </c>
      <c r="D470" s="153">
        <v>58</v>
      </c>
      <c r="E470" s="151" t="s">
        <v>1167</v>
      </c>
      <c r="F470" s="151" t="s">
        <v>1253</v>
      </c>
      <c r="G470" s="151" t="s">
        <v>270</v>
      </c>
      <c r="H470" s="151" t="s">
        <v>1168</v>
      </c>
      <c r="I470" s="151" t="s">
        <v>909</v>
      </c>
      <c r="J470" s="151" t="s">
        <v>82</v>
      </c>
      <c r="K470" s="154">
        <v>28870</v>
      </c>
      <c r="L470" s="154">
        <v>14960</v>
      </c>
      <c r="M470" s="155">
        <v>9</v>
      </c>
      <c r="N470" s="154">
        <v>13910</v>
      </c>
      <c r="O470" s="154">
        <v>12658.1</v>
      </c>
    </row>
    <row r="471" spans="2:15" ht="12.75" hidden="1" customHeight="1" outlineLevel="1" x14ac:dyDescent="0.25">
      <c r="B471" s="570" t="s">
        <v>511</v>
      </c>
      <c r="C471" s="570"/>
      <c r="D471" s="570"/>
      <c r="E471" s="570"/>
      <c r="F471" s="570"/>
      <c r="G471" s="570"/>
      <c r="H471" s="570"/>
      <c r="I471" s="570"/>
      <c r="J471" s="570"/>
      <c r="K471" s="156"/>
      <c r="L471" s="156"/>
      <c r="M471" s="156"/>
      <c r="N471" s="154">
        <v>13910</v>
      </c>
      <c r="O471" s="154">
        <v>12658.1</v>
      </c>
    </row>
    <row r="472" spans="2:15" ht="36.75" customHeight="1" collapsed="1" x14ac:dyDescent="0.25">
      <c r="B472" s="151" t="s">
        <v>1361</v>
      </c>
      <c r="C472" s="152">
        <v>692</v>
      </c>
      <c r="D472" s="153">
        <v>59</v>
      </c>
      <c r="E472" s="151" t="s">
        <v>1167</v>
      </c>
      <c r="F472" s="151" t="s">
        <v>212</v>
      </c>
      <c r="G472" s="151" t="s">
        <v>216</v>
      </c>
      <c r="H472" s="151" t="s">
        <v>1168</v>
      </c>
      <c r="I472" s="151" t="s">
        <v>909</v>
      </c>
      <c r="J472" s="151" t="s">
        <v>82</v>
      </c>
      <c r="K472" s="154">
        <v>27500</v>
      </c>
      <c r="L472" s="154">
        <v>13820</v>
      </c>
      <c r="M472" s="155">
        <v>13</v>
      </c>
      <c r="N472" s="154">
        <v>13680</v>
      </c>
      <c r="O472" s="154">
        <v>11901.6</v>
      </c>
    </row>
    <row r="473" spans="2:15" ht="12.75" hidden="1" customHeight="1" outlineLevel="1" x14ac:dyDescent="0.25">
      <c r="B473" s="570" t="s">
        <v>511</v>
      </c>
      <c r="C473" s="570"/>
      <c r="D473" s="570"/>
      <c r="E473" s="570"/>
      <c r="F473" s="570"/>
      <c r="G473" s="570"/>
      <c r="H473" s="570"/>
      <c r="I473" s="570"/>
      <c r="J473" s="570"/>
      <c r="K473" s="156"/>
      <c r="L473" s="156"/>
      <c r="M473" s="156"/>
      <c r="N473" s="154">
        <v>13680</v>
      </c>
      <c r="O473" s="154">
        <v>11901.6</v>
      </c>
    </row>
    <row r="474" spans="2:15" ht="36.75" customHeight="1" collapsed="1" x14ac:dyDescent="0.25">
      <c r="B474" s="151" t="s">
        <v>1363</v>
      </c>
      <c r="C474" s="152">
        <v>694</v>
      </c>
      <c r="D474" s="153">
        <v>56</v>
      </c>
      <c r="E474" s="151" t="s">
        <v>1167</v>
      </c>
      <c r="F474" s="151" t="s">
        <v>1151</v>
      </c>
      <c r="G474" s="151" t="s">
        <v>145</v>
      </c>
      <c r="H474" s="151" t="s">
        <v>1168</v>
      </c>
      <c r="I474" s="151" t="s">
        <v>909</v>
      </c>
      <c r="J474" s="151" t="s">
        <v>82</v>
      </c>
      <c r="K474" s="154">
        <v>29640</v>
      </c>
      <c r="L474" s="154">
        <v>15750</v>
      </c>
      <c r="M474" s="155">
        <v>16</v>
      </c>
      <c r="N474" s="154">
        <v>13890</v>
      </c>
      <c r="O474" s="154">
        <v>11667.6</v>
      </c>
    </row>
    <row r="475" spans="2:15" ht="12.75" hidden="1" customHeight="1" outlineLevel="1" x14ac:dyDescent="0.25">
      <c r="B475" s="570" t="s">
        <v>511</v>
      </c>
      <c r="C475" s="570"/>
      <c r="D475" s="570"/>
      <c r="E475" s="570"/>
      <c r="F475" s="570"/>
      <c r="G475" s="570"/>
      <c r="H475" s="570"/>
      <c r="I475" s="570"/>
      <c r="J475" s="570"/>
      <c r="K475" s="156"/>
      <c r="L475" s="156"/>
      <c r="M475" s="156"/>
      <c r="N475" s="154">
        <v>13890</v>
      </c>
      <c r="O475" s="154">
        <v>11667.6</v>
      </c>
    </row>
    <row r="476" spans="2:15" ht="36.75" customHeight="1" collapsed="1" x14ac:dyDescent="0.25">
      <c r="B476" s="151" t="s">
        <v>1364</v>
      </c>
      <c r="C476" s="152">
        <v>695</v>
      </c>
      <c r="D476" s="153">
        <v>60</v>
      </c>
      <c r="E476" s="151" t="s">
        <v>1167</v>
      </c>
      <c r="F476" s="151" t="s">
        <v>272</v>
      </c>
      <c r="G476" s="151" t="s">
        <v>276</v>
      </c>
      <c r="H476" s="151" t="s">
        <v>1168</v>
      </c>
      <c r="I476" s="151" t="s">
        <v>909</v>
      </c>
      <c r="J476" s="151" t="s">
        <v>82</v>
      </c>
      <c r="K476" s="154">
        <v>28640</v>
      </c>
      <c r="L476" s="154">
        <v>14780</v>
      </c>
      <c r="M476" s="155">
        <v>11</v>
      </c>
      <c r="N476" s="154">
        <v>13860</v>
      </c>
      <c r="O476" s="154">
        <v>12335.4</v>
      </c>
    </row>
    <row r="477" spans="2:15" ht="12.75" hidden="1" customHeight="1" outlineLevel="1" x14ac:dyDescent="0.25">
      <c r="B477" s="570" t="s">
        <v>511</v>
      </c>
      <c r="C477" s="570"/>
      <c r="D477" s="570"/>
      <c r="E477" s="570"/>
      <c r="F477" s="570"/>
      <c r="G477" s="570"/>
      <c r="H477" s="570"/>
      <c r="I477" s="570"/>
      <c r="J477" s="570"/>
      <c r="K477" s="156"/>
      <c r="L477" s="156"/>
      <c r="M477" s="156"/>
      <c r="N477" s="154">
        <v>13860</v>
      </c>
      <c r="O477" s="154">
        <v>12335.4</v>
      </c>
    </row>
    <row r="478" spans="2:15" ht="36.75" customHeight="1" collapsed="1" x14ac:dyDescent="0.25">
      <c r="B478" s="151" t="s">
        <v>1365</v>
      </c>
      <c r="C478" s="152">
        <v>696</v>
      </c>
      <c r="D478" s="153">
        <v>61</v>
      </c>
      <c r="E478" s="151" t="s">
        <v>1167</v>
      </c>
      <c r="F478" s="151" t="s">
        <v>1461</v>
      </c>
      <c r="G478" s="151" t="s">
        <v>149</v>
      </c>
      <c r="H478" s="151" t="s">
        <v>1168</v>
      </c>
      <c r="I478" s="151" t="s">
        <v>909</v>
      </c>
      <c r="J478" s="151" t="s">
        <v>82</v>
      </c>
      <c r="K478" s="154">
        <v>29000</v>
      </c>
      <c r="L478" s="154">
        <v>15150</v>
      </c>
      <c r="M478" s="155">
        <v>15</v>
      </c>
      <c r="N478" s="154">
        <v>13850</v>
      </c>
      <c r="O478" s="154">
        <v>11772.5</v>
      </c>
    </row>
    <row r="479" spans="2:15" ht="12.75" hidden="1" customHeight="1" outlineLevel="1" x14ac:dyDescent="0.25">
      <c r="B479" s="570" t="s">
        <v>511</v>
      </c>
      <c r="C479" s="570"/>
      <c r="D479" s="570"/>
      <c r="E479" s="570"/>
      <c r="F479" s="570"/>
      <c r="G479" s="570"/>
      <c r="H479" s="570"/>
      <c r="I479" s="570"/>
      <c r="J479" s="570"/>
      <c r="K479" s="156"/>
      <c r="L479" s="156"/>
      <c r="M479" s="156"/>
      <c r="N479" s="154">
        <v>13850</v>
      </c>
      <c r="O479" s="154">
        <v>11772.5</v>
      </c>
    </row>
    <row r="480" spans="2:15" ht="36.75" customHeight="1" collapsed="1" x14ac:dyDescent="0.25">
      <c r="B480" s="151" t="s">
        <v>1366</v>
      </c>
      <c r="C480" s="152">
        <v>697</v>
      </c>
      <c r="D480" s="153">
        <v>62</v>
      </c>
      <c r="E480" s="151" t="s">
        <v>1167</v>
      </c>
      <c r="F480" s="151" t="s">
        <v>1367</v>
      </c>
      <c r="G480" s="151" t="s">
        <v>1368</v>
      </c>
      <c r="H480" s="151" t="s">
        <v>1168</v>
      </c>
      <c r="I480" s="151" t="s">
        <v>909</v>
      </c>
      <c r="J480" s="151" t="s">
        <v>82</v>
      </c>
      <c r="K480" s="154">
        <v>28630</v>
      </c>
      <c r="L480" s="154">
        <v>14960</v>
      </c>
      <c r="M480" s="155">
        <v>15.5</v>
      </c>
      <c r="N480" s="154">
        <v>13670</v>
      </c>
      <c r="O480" s="154">
        <v>11551.1</v>
      </c>
    </row>
    <row r="481" spans="2:15" ht="12.75" hidden="1" customHeight="1" outlineLevel="1" x14ac:dyDescent="0.25">
      <c r="B481" s="570" t="s">
        <v>511</v>
      </c>
      <c r="C481" s="570"/>
      <c r="D481" s="570"/>
      <c r="E481" s="570"/>
      <c r="F481" s="570"/>
      <c r="G481" s="570"/>
      <c r="H481" s="570"/>
      <c r="I481" s="570"/>
      <c r="J481" s="570"/>
      <c r="K481" s="156"/>
      <c r="L481" s="156"/>
      <c r="M481" s="156"/>
      <c r="N481" s="154">
        <v>13670</v>
      </c>
      <c r="O481" s="154">
        <v>11551.1</v>
      </c>
    </row>
    <row r="482" spans="2:15" ht="36.75" customHeight="1" collapsed="1" x14ac:dyDescent="0.25">
      <c r="B482" s="151" t="s">
        <v>1369</v>
      </c>
      <c r="C482" s="152">
        <v>698</v>
      </c>
      <c r="D482" s="153">
        <v>63</v>
      </c>
      <c r="E482" s="151" t="s">
        <v>1167</v>
      </c>
      <c r="F482" s="151" t="s">
        <v>1312</v>
      </c>
      <c r="G482" s="151" t="s">
        <v>320</v>
      </c>
      <c r="H482" s="151" t="s">
        <v>1168</v>
      </c>
      <c r="I482" s="151" t="s">
        <v>909</v>
      </c>
      <c r="J482" s="151" t="s">
        <v>82</v>
      </c>
      <c r="K482" s="154">
        <v>28060</v>
      </c>
      <c r="L482" s="154">
        <v>14450</v>
      </c>
      <c r="M482" s="155">
        <v>13.5</v>
      </c>
      <c r="N482" s="154">
        <v>13610</v>
      </c>
      <c r="O482" s="154">
        <v>11772.6</v>
      </c>
    </row>
    <row r="483" spans="2:15" ht="12.75" hidden="1" customHeight="1" outlineLevel="1" x14ac:dyDescent="0.25">
      <c r="B483" s="570" t="s">
        <v>511</v>
      </c>
      <c r="C483" s="570"/>
      <c r="D483" s="570"/>
      <c r="E483" s="570"/>
      <c r="F483" s="570"/>
      <c r="G483" s="570"/>
      <c r="H483" s="570"/>
      <c r="I483" s="570"/>
      <c r="J483" s="570"/>
      <c r="K483" s="156"/>
      <c r="L483" s="156"/>
      <c r="M483" s="156"/>
      <c r="N483" s="154">
        <v>13610</v>
      </c>
      <c r="O483" s="154">
        <v>11772.6</v>
      </c>
    </row>
    <row r="484" spans="2:15" ht="36.75" customHeight="1" collapsed="1" x14ac:dyDescent="0.25">
      <c r="B484" s="151" t="s">
        <v>1370</v>
      </c>
      <c r="C484" s="152">
        <v>699</v>
      </c>
      <c r="D484" s="153">
        <v>64</v>
      </c>
      <c r="E484" s="151" t="s">
        <v>1167</v>
      </c>
      <c r="F484" s="151" t="s">
        <v>894</v>
      </c>
      <c r="G484" s="151" t="s">
        <v>895</v>
      </c>
      <c r="H484" s="151" t="s">
        <v>1168</v>
      </c>
      <c r="I484" s="151" t="s">
        <v>909</v>
      </c>
      <c r="J484" s="151" t="s">
        <v>82</v>
      </c>
      <c r="K484" s="154">
        <v>28320</v>
      </c>
      <c r="L484" s="154">
        <v>14900</v>
      </c>
      <c r="M484" s="155">
        <v>10.5</v>
      </c>
      <c r="N484" s="154">
        <v>13420</v>
      </c>
      <c r="O484" s="154">
        <v>12010.9</v>
      </c>
    </row>
    <row r="485" spans="2:15" ht="12.75" customHeight="1" outlineLevel="1" x14ac:dyDescent="0.25">
      <c r="B485" s="570" t="s">
        <v>511</v>
      </c>
      <c r="C485" s="570"/>
      <c r="D485" s="570"/>
      <c r="E485" s="570"/>
      <c r="F485" s="570"/>
      <c r="G485" s="570"/>
      <c r="H485" s="570"/>
      <c r="I485" s="570"/>
      <c r="J485" s="570"/>
      <c r="K485" s="156"/>
      <c r="L485" s="156"/>
      <c r="M485" s="156"/>
      <c r="N485" s="154">
        <v>13420</v>
      </c>
      <c r="O485" s="154">
        <v>12010.9</v>
      </c>
    </row>
    <row r="486" spans="2:15" ht="36.75" customHeight="1" x14ac:dyDescent="0.25">
      <c r="B486" s="151" t="s">
        <v>1371</v>
      </c>
      <c r="C486" s="152">
        <v>700</v>
      </c>
      <c r="D486" s="153">
        <v>65</v>
      </c>
      <c r="E486" s="151" t="s">
        <v>1167</v>
      </c>
      <c r="F486" s="151" t="s">
        <v>335</v>
      </c>
      <c r="G486" s="151" t="s">
        <v>339</v>
      </c>
      <c r="H486" s="151" t="s">
        <v>1168</v>
      </c>
      <c r="I486" s="151" t="s">
        <v>909</v>
      </c>
      <c r="J486" s="151" t="s">
        <v>82</v>
      </c>
      <c r="K486" s="154">
        <v>28080</v>
      </c>
      <c r="L486" s="154">
        <v>14830</v>
      </c>
      <c r="M486" s="155">
        <v>14.5</v>
      </c>
      <c r="N486" s="154">
        <v>13250</v>
      </c>
      <c r="O486" s="154">
        <v>11328.7</v>
      </c>
    </row>
    <row r="487" spans="2:15" ht="12.75" customHeight="1" outlineLevel="1" x14ac:dyDescent="0.25">
      <c r="B487" s="570" t="s">
        <v>511</v>
      </c>
      <c r="C487" s="570"/>
      <c r="D487" s="570"/>
      <c r="E487" s="570"/>
      <c r="F487" s="570"/>
      <c r="G487" s="570"/>
      <c r="H487" s="570"/>
      <c r="I487" s="570"/>
      <c r="J487" s="570"/>
      <c r="K487" s="156"/>
      <c r="L487" s="156"/>
      <c r="M487" s="156"/>
      <c r="N487" s="154">
        <v>13250</v>
      </c>
      <c r="O487" s="154">
        <v>11328.7</v>
      </c>
    </row>
    <row r="488" spans="2:15" ht="36.75" customHeight="1" x14ac:dyDescent="0.25">
      <c r="B488" s="151" t="s">
        <v>1372</v>
      </c>
      <c r="C488" s="152">
        <v>701</v>
      </c>
      <c r="D488" s="153">
        <v>66</v>
      </c>
      <c r="E488" s="151" t="s">
        <v>1167</v>
      </c>
      <c r="F488" s="151" t="s">
        <v>1373</v>
      </c>
      <c r="G488" s="151" t="s">
        <v>1374</v>
      </c>
      <c r="H488" s="151" t="s">
        <v>1168</v>
      </c>
      <c r="I488" s="151" t="s">
        <v>909</v>
      </c>
      <c r="J488" s="151" t="s">
        <v>82</v>
      </c>
      <c r="K488" s="154">
        <v>37610</v>
      </c>
      <c r="L488" s="154">
        <v>24100</v>
      </c>
      <c r="M488" s="155">
        <v>14.5</v>
      </c>
      <c r="N488" s="154">
        <v>13510</v>
      </c>
      <c r="O488" s="154">
        <v>11551</v>
      </c>
    </row>
    <row r="489" spans="2:15" ht="12.75" hidden="1" customHeight="1" outlineLevel="1" x14ac:dyDescent="0.25">
      <c r="B489" s="570" t="s">
        <v>511</v>
      </c>
      <c r="C489" s="570"/>
      <c r="D489" s="570"/>
      <c r="E489" s="570"/>
      <c r="F489" s="570"/>
      <c r="G489" s="570"/>
      <c r="H489" s="570"/>
      <c r="I489" s="570"/>
      <c r="J489" s="570"/>
      <c r="K489" s="156"/>
      <c r="L489" s="156"/>
      <c r="M489" s="156"/>
      <c r="N489" s="154">
        <v>13510</v>
      </c>
      <c r="O489" s="154">
        <v>11551</v>
      </c>
    </row>
    <row r="490" spans="2:15" ht="36.75" customHeight="1" collapsed="1" x14ac:dyDescent="0.25">
      <c r="B490" s="151" t="s">
        <v>1375</v>
      </c>
      <c r="C490" s="152">
        <v>702</v>
      </c>
      <c r="D490" s="153">
        <v>67</v>
      </c>
      <c r="E490" s="151" t="s">
        <v>1167</v>
      </c>
      <c r="F490" s="151" t="s">
        <v>1376</v>
      </c>
      <c r="G490" s="151" t="s">
        <v>1377</v>
      </c>
      <c r="H490" s="151" t="s">
        <v>1168</v>
      </c>
      <c r="I490" s="151" t="s">
        <v>1318</v>
      </c>
      <c r="J490" s="151" t="s">
        <v>82</v>
      </c>
      <c r="K490" s="154">
        <v>29160</v>
      </c>
      <c r="L490" s="154">
        <v>22420</v>
      </c>
      <c r="M490" s="155">
        <v>14.5</v>
      </c>
      <c r="N490" s="154">
        <v>6740</v>
      </c>
      <c r="O490" s="154">
        <v>5762.7</v>
      </c>
    </row>
    <row r="491" spans="2:15" ht="12.75" hidden="1" customHeight="1" outlineLevel="1" x14ac:dyDescent="0.25">
      <c r="B491" s="570" t="s">
        <v>511</v>
      </c>
      <c r="C491" s="570"/>
      <c r="D491" s="570"/>
      <c r="E491" s="570"/>
      <c r="F491" s="570"/>
      <c r="G491" s="570"/>
      <c r="H491" s="570"/>
      <c r="I491" s="570"/>
      <c r="J491" s="570"/>
      <c r="K491" s="156"/>
      <c r="L491" s="156"/>
      <c r="M491" s="156"/>
      <c r="N491" s="154">
        <v>6740</v>
      </c>
      <c r="O491" s="154">
        <v>5762.7</v>
      </c>
    </row>
    <row r="492" spans="2:15" ht="36.75" customHeight="1" collapsed="1" x14ac:dyDescent="0.25">
      <c r="B492" s="151" t="s">
        <v>1378</v>
      </c>
      <c r="C492" s="152">
        <v>705</v>
      </c>
      <c r="D492" s="153">
        <v>67</v>
      </c>
      <c r="E492" s="151" t="s">
        <v>1167</v>
      </c>
      <c r="F492" s="151" t="s">
        <v>1376</v>
      </c>
      <c r="G492" s="151" t="s">
        <v>1377</v>
      </c>
      <c r="H492" s="151" t="s">
        <v>1168</v>
      </c>
      <c r="I492" s="151" t="s">
        <v>909</v>
      </c>
      <c r="J492" s="151" t="s">
        <v>82</v>
      </c>
      <c r="K492" s="154">
        <v>22430</v>
      </c>
      <c r="L492" s="154">
        <v>15690</v>
      </c>
      <c r="M492" s="155">
        <v>10.5</v>
      </c>
      <c r="N492" s="154">
        <v>6740</v>
      </c>
      <c r="O492" s="154">
        <v>6032.3</v>
      </c>
    </row>
    <row r="493" spans="2:15" ht="12.75" hidden="1" customHeight="1" outlineLevel="1" x14ac:dyDescent="0.25">
      <c r="B493" s="570" t="s">
        <v>511</v>
      </c>
      <c r="C493" s="570"/>
      <c r="D493" s="570"/>
      <c r="E493" s="570"/>
      <c r="F493" s="570"/>
      <c r="G493" s="570"/>
      <c r="H493" s="570"/>
      <c r="I493" s="570"/>
      <c r="J493" s="570"/>
      <c r="K493" s="156"/>
      <c r="L493" s="156"/>
      <c r="M493" s="156"/>
      <c r="N493" s="154">
        <v>6740</v>
      </c>
      <c r="O493" s="154">
        <v>6032.3</v>
      </c>
    </row>
    <row r="494" spans="2:15" ht="36.75" customHeight="1" collapsed="1" x14ac:dyDescent="0.25">
      <c r="B494" s="151" t="s">
        <v>1379</v>
      </c>
      <c r="C494" s="152">
        <v>703</v>
      </c>
      <c r="D494" s="153">
        <v>68</v>
      </c>
      <c r="E494" s="151" t="s">
        <v>1167</v>
      </c>
      <c r="F494" s="151" t="s">
        <v>347</v>
      </c>
      <c r="G494" s="151" t="s">
        <v>351</v>
      </c>
      <c r="H494" s="151" t="s">
        <v>1168</v>
      </c>
      <c r="I494" s="151" t="s">
        <v>1318</v>
      </c>
      <c r="J494" s="151" t="s">
        <v>82</v>
      </c>
      <c r="K494" s="154">
        <v>28880</v>
      </c>
      <c r="L494" s="154">
        <v>15740</v>
      </c>
      <c r="M494" s="155">
        <v>15.5</v>
      </c>
      <c r="N494" s="154">
        <v>13140</v>
      </c>
      <c r="O494" s="154">
        <v>11103.3</v>
      </c>
    </row>
    <row r="495" spans="2:15" ht="12.75" hidden="1" customHeight="1" outlineLevel="1" x14ac:dyDescent="0.25">
      <c r="B495" s="570" t="s">
        <v>511</v>
      </c>
      <c r="C495" s="570"/>
      <c r="D495" s="570"/>
      <c r="E495" s="570"/>
      <c r="F495" s="570"/>
      <c r="G495" s="570"/>
      <c r="H495" s="570"/>
      <c r="I495" s="570"/>
      <c r="J495" s="570"/>
      <c r="K495" s="156"/>
      <c r="L495" s="156"/>
      <c r="M495" s="156"/>
      <c r="N495" s="154">
        <v>13140</v>
      </c>
      <c r="O495" s="154">
        <v>11103.3</v>
      </c>
    </row>
    <row r="496" spans="2:15" ht="36.75" customHeight="1" collapsed="1" x14ac:dyDescent="0.25">
      <c r="B496" s="151" t="s">
        <v>1393</v>
      </c>
      <c r="C496" s="152">
        <v>704</v>
      </c>
      <c r="D496" s="153">
        <v>69</v>
      </c>
      <c r="E496" s="151" t="s">
        <v>1167</v>
      </c>
      <c r="F496" s="151" t="s">
        <v>212</v>
      </c>
      <c r="G496" s="151" t="s">
        <v>216</v>
      </c>
      <c r="H496" s="151" t="s">
        <v>1168</v>
      </c>
      <c r="I496" s="151" t="s">
        <v>1318</v>
      </c>
      <c r="J496" s="151" t="s">
        <v>82</v>
      </c>
      <c r="K496" s="154">
        <v>27090</v>
      </c>
      <c r="L496" s="154">
        <v>13830</v>
      </c>
      <c r="M496" s="155">
        <v>12.5</v>
      </c>
      <c r="N496" s="154">
        <v>13260</v>
      </c>
      <c r="O496" s="154">
        <v>11602.5</v>
      </c>
    </row>
    <row r="497" spans="2:15" ht="12.75" hidden="1" customHeight="1" outlineLevel="1" x14ac:dyDescent="0.25">
      <c r="B497" s="570" t="s">
        <v>511</v>
      </c>
      <c r="C497" s="570"/>
      <c r="D497" s="570"/>
      <c r="E497" s="570"/>
      <c r="F497" s="570"/>
      <c r="G497" s="570"/>
      <c r="H497" s="570"/>
      <c r="I497" s="570"/>
      <c r="J497" s="570"/>
      <c r="K497" s="156"/>
      <c r="L497" s="156"/>
      <c r="M497" s="156"/>
      <c r="N497" s="154">
        <v>13260</v>
      </c>
      <c r="O497" s="154">
        <v>11602.5</v>
      </c>
    </row>
    <row r="498" spans="2:15" ht="36.75" customHeight="1" collapsed="1" x14ac:dyDescent="0.25">
      <c r="B498" s="151" t="s">
        <v>1394</v>
      </c>
      <c r="C498" s="152">
        <v>707</v>
      </c>
      <c r="D498" s="153">
        <v>70</v>
      </c>
      <c r="E498" s="151" t="s">
        <v>1167</v>
      </c>
      <c r="F498" s="151" t="s">
        <v>160</v>
      </c>
      <c r="G498" s="151" t="s">
        <v>164</v>
      </c>
      <c r="H498" s="151" t="s">
        <v>1168</v>
      </c>
      <c r="I498" s="151" t="s">
        <v>1318</v>
      </c>
      <c r="J498" s="151" t="s">
        <v>82</v>
      </c>
      <c r="K498" s="154">
        <v>38010</v>
      </c>
      <c r="L498" s="154">
        <v>24110</v>
      </c>
      <c r="M498" s="155">
        <v>15</v>
      </c>
      <c r="N498" s="154">
        <v>13900</v>
      </c>
      <c r="O498" s="154">
        <v>11815</v>
      </c>
    </row>
    <row r="499" spans="2:15" ht="12.75" hidden="1" customHeight="1" outlineLevel="1" x14ac:dyDescent="0.25">
      <c r="B499" s="570" t="s">
        <v>511</v>
      </c>
      <c r="C499" s="570"/>
      <c r="D499" s="570"/>
      <c r="E499" s="570"/>
      <c r="F499" s="570"/>
      <c r="G499" s="570"/>
      <c r="H499" s="570"/>
      <c r="I499" s="570"/>
      <c r="J499" s="570"/>
      <c r="K499" s="156"/>
      <c r="L499" s="156"/>
      <c r="M499" s="156"/>
      <c r="N499" s="154">
        <v>13900</v>
      </c>
      <c r="O499" s="154">
        <v>11815</v>
      </c>
    </row>
    <row r="500" spans="2:15" ht="36.75" customHeight="1" collapsed="1" x14ac:dyDescent="0.25">
      <c r="B500" s="151" t="s">
        <v>1397</v>
      </c>
      <c r="C500" s="152">
        <v>709</v>
      </c>
      <c r="D500" s="153">
        <v>71</v>
      </c>
      <c r="E500" s="151" t="s">
        <v>1167</v>
      </c>
      <c r="F500" s="151" t="s">
        <v>1253</v>
      </c>
      <c r="G500" s="151" t="s">
        <v>270</v>
      </c>
      <c r="H500" s="151" t="s">
        <v>1168</v>
      </c>
      <c r="I500" s="151" t="s">
        <v>1318</v>
      </c>
      <c r="J500" s="151" t="s">
        <v>82</v>
      </c>
      <c r="K500" s="154">
        <v>28780</v>
      </c>
      <c r="L500" s="154">
        <v>14830</v>
      </c>
      <c r="M500" s="155">
        <v>11.5</v>
      </c>
      <c r="N500" s="154">
        <v>13950</v>
      </c>
      <c r="O500" s="154">
        <v>12345.7</v>
      </c>
    </row>
    <row r="501" spans="2:15" ht="12.75" hidden="1" customHeight="1" outlineLevel="1" x14ac:dyDescent="0.25">
      <c r="B501" s="570" t="s">
        <v>511</v>
      </c>
      <c r="C501" s="570"/>
      <c r="D501" s="570"/>
      <c r="E501" s="570"/>
      <c r="F501" s="570"/>
      <c r="G501" s="570"/>
      <c r="H501" s="570"/>
      <c r="I501" s="570"/>
      <c r="J501" s="570"/>
      <c r="K501" s="156"/>
      <c r="L501" s="156"/>
      <c r="M501" s="156"/>
      <c r="N501" s="154">
        <v>13950</v>
      </c>
      <c r="O501" s="154">
        <v>12345.7</v>
      </c>
    </row>
    <row r="502" spans="2:15" ht="36.75" customHeight="1" collapsed="1" x14ac:dyDescent="0.25">
      <c r="B502" s="151" t="s">
        <v>1398</v>
      </c>
      <c r="C502" s="152">
        <v>710</v>
      </c>
      <c r="D502" s="153">
        <v>72</v>
      </c>
      <c r="E502" s="151" t="s">
        <v>1167</v>
      </c>
      <c r="F502" s="151" t="s">
        <v>1151</v>
      </c>
      <c r="G502" s="151" t="s">
        <v>145</v>
      </c>
      <c r="H502" s="151" t="s">
        <v>1321</v>
      </c>
      <c r="I502" s="151" t="s">
        <v>909</v>
      </c>
      <c r="J502" s="151" t="s">
        <v>82</v>
      </c>
      <c r="K502" s="154">
        <v>29430</v>
      </c>
      <c r="L502" s="154">
        <v>15580</v>
      </c>
      <c r="M502" s="155">
        <v>14</v>
      </c>
      <c r="N502" s="154">
        <v>13850</v>
      </c>
      <c r="O502" s="154">
        <v>11911</v>
      </c>
    </row>
    <row r="503" spans="2:15" ht="12.75" hidden="1" customHeight="1" outlineLevel="1" x14ac:dyDescent="0.25">
      <c r="B503" s="570" t="s">
        <v>511</v>
      </c>
      <c r="C503" s="570"/>
      <c r="D503" s="570"/>
      <c r="E503" s="570"/>
      <c r="F503" s="570"/>
      <c r="G503" s="570"/>
      <c r="H503" s="570"/>
      <c r="I503" s="570"/>
      <c r="J503" s="570"/>
      <c r="K503" s="156"/>
      <c r="L503" s="156"/>
      <c r="M503" s="156"/>
      <c r="N503" s="154">
        <v>13850</v>
      </c>
      <c r="O503" s="154">
        <v>11911</v>
      </c>
    </row>
    <row r="504" spans="2:15" ht="36.75" customHeight="1" collapsed="1" x14ac:dyDescent="0.25">
      <c r="B504" s="151" t="s">
        <v>1399</v>
      </c>
      <c r="C504" s="152">
        <v>711</v>
      </c>
      <c r="D504" s="153">
        <v>73</v>
      </c>
      <c r="E504" s="151" t="s">
        <v>1167</v>
      </c>
      <c r="F504" s="151" t="s">
        <v>272</v>
      </c>
      <c r="G504" s="151" t="s">
        <v>276</v>
      </c>
      <c r="H504" s="151" t="s">
        <v>1321</v>
      </c>
      <c r="I504" s="151" t="s">
        <v>909</v>
      </c>
      <c r="J504" s="151" t="s">
        <v>82</v>
      </c>
      <c r="K504" s="154">
        <v>28620</v>
      </c>
      <c r="L504" s="154">
        <v>14670</v>
      </c>
      <c r="M504" s="155">
        <v>17.5</v>
      </c>
      <c r="N504" s="154">
        <v>13950</v>
      </c>
      <c r="O504" s="154">
        <v>11508.7</v>
      </c>
    </row>
    <row r="505" spans="2:15" ht="12.75" hidden="1" customHeight="1" outlineLevel="1" x14ac:dyDescent="0.25">
      <c r="B505" s="570" t="s">
        <v>511</v>
      </c>
      <c r="C505" s="570"/>
      <c r="D505" s="570"/>
      <c r="E505" s="570"/>
      <c r="F505" s="570"/>
      <c r="G505" s="570"/>
      <c r="H505" s="570"/>
      <c r="I505" s="570"/>
      <c r="J505" s="570"/>
      <c r="K505" s="156"/>
      <c r="L505" s="156"/>
      <c r="M505" s="156"/>
      <c r="N505" s="154">
        <v>13950</v>
      </c>
      <c r="O505" s="154">
        <v>11508.7</v>
      </c>
    </row>
    <row r="506" spans="2:15" ht="36.75" customHeight="1" collapsed="1" x14ac:dyDescent="0.25">
      <c r="B506" s="151" t="s">
        <v>1400</v>
      </c>
      <c r="C506" s="152">
        <v>713</v>
      </c>
      <c r="D506" s="153">
        <v>75</v>
      </c>
      <c r="E506" s="151" t="s">
        <v>1167</v>
      </c>
      <c r="F506" s="151" t="s">
        <v>1367</v>
      </c>
      <c r="G506" s="151" t="s">
        <v>1368</v>
      </c>
      <c r="H506" s="151" t="s">
        <v>1321</v>
      </c>
      <c r="I506" s="151" t="s">
        <v>909</v>
      </c>
      <c r="J506" s="151" t="s">
        <v>82</v>
      </c>
      <c r="K506" s="154">
        <v>28960</v>
      </c>
      <c r="L506" s="154">
        <v>14850</v>
      </c>
      <c r="M506" s="155">
        <v>16</v>
      </c>
      <c r="N506" s="154">
        <v>14110</v>
      </c>
      <c r="O506" s="154">
        <v>11852.4</v>
      </c>
    </row>
    <row r="507" spans="2:15" ht="12.75" hidden="1" customHeight="1" outlineLevel="1" x14ac:dyDescent="0.25">
      <c r="B507" s="570" t="s">
        <v>511</v>
      </c>
      <c r="C507" s="570"/>
      <c r="D507" s="570"/>
      <c r="E507" s="570"/>
      <c r="F507" s="570"/>
      <c r="G507" s="570"/>
      <c r="H507" s="570"/>
      <c r="I507" s="570"/>
      <c r="J507" s="570"/>
      <c r="K507" s="156"/>
      <c r="L507" s="156"/>
      <c r="M507" s="156"/>
      <c r="N507" s="154">
        <v>14110</v>
      </c>
      <c r="O507" s="154">
        <v>11852.4</v>
      </c>
    </row>
    <row r="508" spans="2:15" ht="36.75" customHeight="1" collapsed="1" x14ac:dyDescent="0.25">
      <c r="B508" s="151" t="s">
        <v>1402</v>
      </c>
      <c r="C508" s="152">
        <v>714</v>
      </c>
      <c r="D508" s="153">
        <v>76</v>
      </c>
      <c r="E508" s="151" t="s">
        <v>1167</v>
      </c>
      <c r="F508" s="151" t="s">
        <v>335</v>
      </c>
      <c r="G508" s="151" t="s">
        <v>339</v>
      </c>
      <c r="H508" s="151" t="s">
        <v>1321</v>
      </c>
      <c r="I508" s="151" t="s">
        <v>909</v>
      </c>
      <c r="J508" s="151" t="s">
        <v>82</v>
      </c>
      <c r="K508" s="154">
        <v>28700</v>
      </c>
      <c r="L508" s="154">
        <v>14730</v>
      </c>
      <c r="M508" s="155">
        <v>15.5</v>
      </c>
      <c r="N508" s="154">
        <v>13970</v>
      </c>
      <c r="O508" s="154">
        <v>11804.6</v>
      </c>
    </row>
    <row r="509" spans="2:15" ht="12.75" hidden="1" customHeight="1" outlineLevel="1" x14ac:dyDescent="0.25">
      <c r="B509" s="570" t="s">
        <v>511</v>
      </c>
      <c r="C509" s="570"/>
      <c r="D509" s="570"/>
      <c r="E509" s="570"/>
      <c r="F509" s="570"/>
      <c r="G509" s="570"/>
      <c r="H509" s="570"/>
      <c r="I509" s="570"/>
      <c r="J509" s="570"/>
      <c r="K509" s="156"/>
      <c r="L509" s="156"/>
      <c r="M509" s="156"/>
      <c r="N509" s="154">
        <v>13970</v>
      </c>
      <c r="O509" s="154">
        <v>11804.6</v>
      </c>
    </row>
    <row r="510" spans="2:15" ht="36.75" customHeight="1" collapsed="1" x14ac:dyDescent="0.25">
      <c r="B510" s="151" t="s">
        <v>1401</v>
      </c>
      <c r="C510" s="152">
        <v>712</v>
      </c>
      <c r="D510" s="153">
        <v>74</v>
      </c>
      <c r="E510" s="151" t="s">
        <v>1167</v>
      </c>
      <c r="F510" s="151" t="s">
        <v>1461</v>
      </c>
      <c r="G510" s="151" t="s">
        <v>149</v>
      </c>
      <c r="H510" s="151" t="s">
        <v>1321</v>
      </c>
      <c r="I510" s="151" t="s">
        <v>909</v>
      </c>
      <c r="J510" s="151" t="s">
        <v>82</v>
      </c>
      <c r="K510" s="154">
        <v>28980</v>
      </c>
      <c r="L510" s="154">
        <v>14970</v>
      </c>
      <c r="M510" s="155">
        <v>16.5</v>
      </c>
      <c r="N510" s="154">
        <v>14010</v>
      </c>
      <c r="O510" s="154">
        <v>11698.3</v>
      </c>
    </row>
    <row r="511" spans="2:15" ht="12.75" customHeight="1" outlineLevel="1" x14ac:dyDescent="0.25">
      <c r="B511" s="570" t="s">
        <v>511</v>
      </c>
      <c r="C511" s="570"/>
      <c r="D511" s="570"/>
      <c r="E511" s="570"/>
      <c r="F511" s="570"/>
      <c r="G511" s="570"/>
      <c r="H511" s="570"/>
      <c r="I511" s="570"/>
      <c r="J511" s="570"/>
      <c r="K511" s="156"/>
      <c r="L511" s="156"/>
      <c r="M511" s="156"/>
      <c r="N511" s="154">
        <v>14010</v>
      </c>
      <c r="O511" s="154">
        <v>11698.3</v>
      </c>
    </row>
    <row r="512" spans="2:15" ht="36.75" customHeight="1" x14ac:dyDescent="0.25">
      <c r="B512" s="151" t="s">
        <v>1403</v>
      </c>
      <c r="C512" s="152">
        <v>715</v>
      </c>
      <c r="D512" s="153">
        <v>77</v>
      </c>
      <c r="E512" s="151" t="s">
        <v>1167</v>
      </c>
      <c r="F512" s="151" t="s">
        <v>1373</v>
      </c>
      <c r="G512" s="151" t="s">
        <v>1374</v>
      </c>
      <c r="H512" s="151" t="s">
        <v>1321</v>
      </c>
      <c r="I512" s="151" t="s">
        <v>909</v>
      </c>
      <c r="J512" s="151" t="s">
        <v>82</v>
      </c>
      <c r="K512" s="154">
        <v>38160</v>
      </c>
      <c r="L512" s="154">
        <v>24320</v>
      </c>
      <c r="M512" s="155">
        <v>15</v>
      </c>
      <c r="N512" s="154">
        <v>13840</v>
      </c>
      <c r="O512" s="154">
        <v>11764</v>
      </c>
    </row>
    <row r="513" spans="2:15" ht="12.75" hidden="1" customHeight="1" outlineLevel="1" x14ac:dyDescent="0.25">
      <c r="B513" s="570" t="s">
        <v>511</v>
      </c>
      <c r="C513" s="570"/>
      <c r="D513" s="570"/>
      <c r="E513" s="570"/>
      <c r="F513" s="570"/>
      <c r="G513" s="570"/>
      <c r="H513" s="570"/>
      <c r="I513" s="570"/>
      <c r="J513" s="570"/>
      <c r="K513" s="156"/>
      <c r="L513" s="156"/>
      <c r="M513" s="156"/>
      <c r="N513" s="154">
        <v>13840</v>
      </c>
      <c r="O513" s="154">
        <v>11764</v>
      </c>
    </row>
    <row r="514" spans="2:15" ht="36.75" customHeight="1" collapsed="1" x14ac:dyDescent="0.25">
      <c r="B514" s="151" t="s">
        <v>1404</v>
      </c>
      <c r="C514" s="152">
        <v>716</v>
      </c>
      <c r="D514" s="153">
        <v>78</v>
      </c>
      <c r="E514" s="151" t="s">
        <v>1167</v>
      </c>
      <c r="F514" s="151" t="s">
        <v>1376</v>
      </c>
      <c r="G514" s="151" t="s">
        <v>1377</v>
      </c>
      <c r="H514" s="151" t="s">
        <v>1321</v>
      </c>
      <c r="I514" s="151" t="s">
        <v>909</v>
      </c>
      <c r="J514" s="151" t="s">
        <v>82</v>
      </c>
      <c r="K514" s="154">
        <v>29310</v>
      </c>
      <c r="L514" s="154">
        <v>15590</v>
      </c>
      <c r="M514" s="155">
        <v>15.5</v>
      </c>
      <c r="N514" s="154">
        <v>13720</v>
      </c>
      <c r="O514" s="154">
        <v>11593.4</v>
      </c>
    </row>
    <row r="515" spans="2:15" ht="12.75" hidden="1" customHeight="1" outlineLevel="1" x14ac:dyDescent="0.25">
      <c r="B515" s="570" t="s">
        <v>511</v>
      </c>
      <c r="C515" s="570"/>
      <c r="D515" s="570"/>
      <c r="E515" s="570"/>
      <c r="F515" s="570"/>
      <c r="G515" s="570"/>
      <c r="H515" s="570"/>
      <c r="I515" s="570"/>
      <c r="J515" s="570"/>
      <c r="K515" s="156"/>
      <c r="L515" s="156"/>
      <c r="M515" s="156"/>
      <c r="N515" s="154">
        <v>13720</v>
      </c>
      <c r="O515" s="154">
        <v>11593.4</v>
      </c>
    </row>
    <row r="516" spans="2:15" ht="36.75" customHeight="1" collapsed="1" x14ac:dyDescent="0.25">
      <c r="B516" s="151" t="s">
        <v>1405</v>
      </c>
      <c r="C516" s="152">
        <v>717</v>
      </c>
      <c r="D516" s="153">
        <v>79</v>
      </c>
      <c r="E516" s="151" t="s">
        <v>1167</v>
      </c>
      <c r="F516" s="151" t="s">
        <v>347</v>
      </c>
      <c r="G516" s="151" t="s">
        <v>351</v>
      </c>
      <c r="H516" s="151" t="s">
        <v>1321</v>
      </c>
      <c r="I516" s="151" t="s">
        <v>909</v>
      </c>
      <c r="J516" s="151" t="s">
        <v>82</v>
      </c>
      <c r="K516" s="154">
        <v>29240</v>
      </c>
      <c r="L516" s="154">
        <v>15810</v>
      </c>
      <c r="M516" s="155">
        <v>10.5</v>
      </c>
      <c r="N516" s="154">
        <v>13430</v>
      </c>
      <c r="O516" s="154">
        <v>12019.8</v>
      </c>
    </row>
    <row r="517" spans="2:15" ht="12.75" hidden="1" customHeight="1" outlineLevel="1" x14ac:dyDescent="0.25">
      <c r="B517" s="570" t="s">
        <v>511</v>
      </c>
      <c r="C517" s="570"/>
      <c r="D517" s="570"/>
      <c r="E517" s="570"/>
      <c r="F517" s="570"/>
      <c r="G517" s="570"/>
      <c r="H517" s="570"/>
      <c r="I517" s="570"/>
      <c r="J517" s="570"/>
      <c r="K517" s="156"/>
      <c r="L517" s="156"/>
      <c r="M517" s="156"/>
      <c r="N517" s="154">
        <v>13430</v>
      </c>
      <c r="O517" s="154">
        <v>12019.8</v>
      </c>
    </row>
    <row r="518" spans="2:15" ht="36.75" customHeight="1" collapsed="1" x14ac:dyDescent="0.25">
      <c r="B518" s="151" t="s">
        <v>1406</v>
      </c>
      <c r="C518" s="152">
        <v>718</v>
      </c>
      <c r="D518" s="153">
        <v>81</v>
      </c>
      <c r="E518" s="151" t="s">
        <v>1167</v>
      </c>
      <c r="F518" s="151" t="s">
        <v>1312</v>
      </c>
      <c r="G518" s="151" t="s">
        <v>320</v>
      </c>
      <c r="H518" s="151" t="s">
        <v>1321</v>
      </c>
      <c r="I518" s="151" t="s">
        <v>909</v>
      </c>
      <c r="J518" s="151" t="s">
        <v>82</v>
      </c>
      <c r="K518" s="154">
        <v>28100</v>
      </c>
      <c r="L518" s="154">
        <v>14460</v>
      </c>
      <c r="M518" s="155">
        <v>15</v>
      </c>
      <c r="N518" s="154">
        <v>13640</v>
      </c>
      <c r="O518" s="154">
        <v>11594</v>
      </c>
    </row>
    <row r="519" spans="2:15" ht="12.75" hidden="1" customHeight="1" outlineLevel="1" x14ac:dyDescent="0.25">
      <c r="B519" s="570" t="s">
        <v>511</v>
      </c>
      <c r="C519" s="570"/>
      <c r="D519" s="570"/>
      <c r="E519" s="570"/>
      <c r="F519" s="570"/>
      <c r="G519" s="570"/>
      <c r="H519" s="570"/>
      <c r="I519" s="570"/>
      <c r="J519" s="570"/>
      <c r="K519" s="156"/>
      <c r="L519" s="156"/>
      <c r="M519" s="156"/>
      <c r="N519" s="154">
        <v>13640</v>
      </c>
      <c r="O519" s="154">
        <v>11594</v>
      </c>
    </row>
    <row r="520" spans="2:15" ht="36.75" customHeight="1" collapsed="1" x14ac:dyDescent="0.25">
      <c r="B520" s="151" t="s">
        <v>1407</v>
      </c>
      <c r="C520" s="152">
        <v>719</v>
      </c>
      <c r="D520" s="153">
        <v>80</v>
      </c>
      <c r="E520" s="151" t="s">
        <v>1167</v>
      </c>
      <c r="F520" s="151" t="s">
        <v>1408</v>
      </c>
      <c r="G520" s="151" t="s">
        <v>1409</v>
      </c>
      <c r="H520" s="151" t="s">
        <v>1321</v>
      </c>
      <c r="I520" s="151" t="s">
        <v>909</v>
      </c>
      <c r="J520" s="151" t="s">
        <v>82</v>
      </c>
      <c r="K520" s="154">
        <v>29070</v>
      </c>
      <c r="L520" s="154">
        <v>15760</v>
      </c>
      <c r="M520" s="155">
        <v>15</v>
      </c>
      <c r="N520" s="154">
        <v>13310</v>
      </c>
      <c r="O520" s="154">
        <v>11313.5</v>
      </c>
    </row>
    <row r="521" spans="2:15" ht="12.75" hidden="1" customHeight="1" outlineLevel="1" x14ac:dyDescent="0.25">
      <c r="B521" s="570" t="s">
        <v>511</v>
      </c>
      <c r="C521" s="570"/>
      <c r="D521" s="570"/>
      <c r="E521" s="570"/>
      <c r="F521" s="570"/>
      <c r="G521" s="570"/>
      <c r="H521" s="570"/>
      <c r="I521" s="570"/>
      <c r="J521" s="570"/>
      <c r="K521" s="156"/>
      <c r="L521" s="156"/>
      <c r="M521" s="156"/>
      <c r="N521" s="154">
        <v>13310</v>
      </c>
      <c r="O521" s="154">
        <v>11313.5</v>
      </c>
    </row>
    <row r="522" spans="2:15" ht="36.75" customHeight="1" collapsed="1" x14ac:dyDescent="0.25">
      <c r="B522" s="151" t="s">
        <v>1410</v>
      </c>
      <c r="C522" s="152">
        <v>720</v>
      </c>
      <c r="D522" s="153">
        <v>82</v>
      </c>
      <c r="E522" s="151" t="s">
        <v>1167</v>
      </c>
      <c r="F522" s="151" t="s">
        <v>894</v>
      </c>
      <c r="G522" s="151" t="s">
        <v>895</v>
      </c>
      <c r="H522" s="151" t="s">
        <v>1321</v>
      </c>
      <c r="I522" s="151" t="s">
        <v>909</v>
      </c>
      <c r="J522" s="151" t="s">
        <v>82</v>
      </c>
      <c r="K522" s="154">
        <v>28500</v>
      </c>
      <c r="L522" s="154">
        <v>14870</v>
      </c>
      <c r="M522" s="155">
        <v>22</v>
      </c>
      <c r="N522" s="154">
        <v>13630</v>
      </c>
      <c r="O522" s="154">
        <v>10631.4</v>
      </c>
    </row>
    <row r="523" spans="2:15" ht="12.75" hidden="1" customHeight="1" outlineLevel="1" x14ac:dyDescent="0.25">
      <c r="B523" s="570" t="s">
        <v>511</v>
      </c>
      <c r="C523" s="570"/>
      <c r="D523" s="570"/>
      <c r="E523" s="570"/>
      <c r="F523" s="570"/>
      <c r="G523" s="570"/>
      <c r="H523" s="570"/>
      <c r="I523" s="570"/>
      <c r="J523" s="570"/>
      <c r="K523" s="156"/>
      <c r="L523" s="156"/>
      <c r="M523" s="156"/>
      <c r="N523" s="154">
        <v>13630</v>
      </c>
      <c r="O523" s="154">
        <v>10631.4</v>
      </c>
    </row>
    <row r="524" spans="2:15" ht="36.75" customHeight="1" collapsed="1" x14ac:dyDescent="0.25">
      <c r="B524" s="151" t="s">
        <v>1423</v>
      </c>
      <c r="C524" s="152">
        <v>721</v>
      </c>
      <c r="D524" s="153">
        <v>83</v>
      </c>
      <c r="E524" s="151" t="s">
        <v>1167</v>
      </c>
      <c r="F524" s="151" t="s">
        <v>212</v>
      </c>
      <c r="G524" s="151" t="s">
        <v>216</v>
      </c>
      <c r="H524" s="151" t="s">
        <v>1321</v>
      </c>
      <c r="I524" s="151" t="s">
        <v>909</v>
      </c>
      <c r="J524" s="151" t="s">
        <v>82</v>
      </c>
      <c r="K524" s="154">
        <v>27310</v>
      </c>
      <c r="L524" s="154">
        <v>13840</v>
      </c>
      <c r="M524" s="155">
        <v>22</v>
      </c>
      <c r="N524" s="154">
        <v>13470</v>
      </c>
      <c r="O524" s="154">
        <v>10506.6</v>
      </c>
    </row>
    <row r="525" spans="2:15" ht="12.75" hidden="1" customHeight="1" outlineLevel="1" x14ac:dyDescent="0.25">
      <c r="B525" s="570" t="s">
        <v>511</v>
      </c>
      <c r="C525" s="570"/>
      <c r="D525" s="570"/>
      <c r="E525" s="570"/>
      <c r="F525" s="570"/>
      <c r="G525" s="570"/>
      <c r="H525" s="570"/>
      <c r="I525" s="570"/>
      <c r="J525" s="570"/>
      <c r="K525" s="156"/>
      <c r="L525" s="156"/>
      <c r="M525" s="156"/>
      <c r="N525" s="154">
        <v>13470</v>
      </c>
      <c r="O525" s="154">
        <v>10506.6</v>
      </c>
    </row>
    <row r="526" spans="2:15" ht="36.75" customHeight="1" collapsed="1" x14ac:dyDescent="0.25">
      <c r="B526" s="151" t="s">
        <v>1425</v>
      </c>
      <c r="C526" s="152">
        <v>724</v>
      </c>
      <c r="D526" s="153">
        <v>84</v>
      </c>
      <c r="E526" s="151" t="s">
        <v>1167</v>
      </c>
      <c r="F526" s="151" t="s">
        <v>1253</v>
      </c>
      <c r="G526" s="151" t="s">
        <v>270</v>
      </c>
      <c r="H526" s="151" t="s">
        <v>1321</v>
      </c>
      <c r="I526" s="151" t="s">
        <v>909</v>
      </c>
      <c r="J526" s="151" t="s">
        <v>82</v>
      </c>
      <c r="K526" s="154">
        <v>28560</v>
      </c>
      <c r="L526" s="154">
        <v>14790</v>
      </c>
      <c r="M526" s="155">
        <v>17</v>
      </c>
      <c r="N526" s="154">
        <v>13770</v>
      </c>
      <c r="O526" s="154">
        <v>11429.1</v>
      </c>
    </row>
    <row r="527" spans="2:15" ht="12.75" hidden="1" customHeight="1" outlineLevel="1" x14ac:dyDescent="0.25">
      <c r="B527" s="570" t="s">
        <v>511</v>
      </c>
      <c r="C527" s="570"/>
      <c r="D527" s="570"/>
      <c r="E527" s="570"/>
      <c r="F527" s="570"/>
      <c r="G527" s="570"/>
      <c r="H527" s="570"/>
      <c r="I527" s="570"/>
      <c r="J527" s="570"/>
      <c r="K527" s="156"/>
      <c r="L527" s="156"/>
      <c r="M527" s="156"/>
      <c r="N527" s="154">
        <v>13770</v>
      </c>
      <c r="O527" s="154">
        <v>11429.1</v>
      </c>
    </row>
    <row r="528" spans="2:15" ht="36.75" customHeight="1" collapsed="1" x14ac:dyDescent="0.25">
      <c r="B528" s="151" t="s">
        <v>1426</v>
      </c>
      <c r="C528" s="152">
        <v>725</v>
      </c>
      <c r="D528" s="153">
        <v>85</v>
      </c>
      <c r="E528" s="151" t="s">
        <v>1167</v>
      </c>
      <c r="F528" s="151" t="s">
        <v>1151</v>
      </c>
      <c r="G528" s="151" t="s">
        <v>145</v>
      </c>
      <c r="H528" s="151" t="s">
        <v>1321</v>
      </c>
      <c r="I528" s="151" t="s">
        <v>909</v>
      </c>
      <c r="J528" s="151" t="s">
        <v>82</v>
      </c>
      <c r="K528" s="154">
        <v>29560</v>
      </c>
      <c r="L528" s="154">
        <v>15730</v>
      </c>
      <c r="M528" s="155">
        <v>19</v>
      </c>
      <c r="N528" s="154">
        <v>13830</v>
      </c>
      <c r="O528" s="154">
        <v>11202.3</v>
      </c>
    </row>
    <row r="529" spans="2:15" ht="12.75" hidden="1" customHeight="1" outlineLevel="1" x14ac:dyDescent="0.25">
      <c r="B529" s="570" t="s">
        <v>511</v>
      </c>
      <c r="C529" s="570"/>
      <c r="D529" s="570"/>
      <c r="E529" s="570"/>
      <c r="F529" s="570"/>
      <c r="G529" s="570"/>
      <c r="H529" s="570"/>
      <c r="I529" s="570"/>
      <c r="J529" s="570"/>
      <c r="K529" s="156"/>
      <c r="L529" s="156"/>
      <c r="M529" s="156"/>
      <c r="N529" s="154">
        <v>13830</v>
      </c>
      <c r="O529" s="154">
        <v>11202.3</v>
      </c>
    </row>
    <row r="530" spans="2:15" ht="36.75" customHeight="1" collapsed="1" x14ac:dyDescent="0.25">
      <c r="B530" s="151" t="s">
        <v>1427</v>
      </c>
      <c r="C530" s="152">
        <v>726</v>
      </c>
      <c r="D530" s="153">
        <v>86</v>
      </c>
      <c r="E530" s="151" t="s">
        <v>1167</v>
      </c>
      <c r="F530" s="151" t="s">
        <v>272</v>
      </c>
      <c r="G530" s="151" t="s">
        <v>276</v>
      </c>
      <c r="H530" s="151" t="s">
        <v>1321</v>
      </c>
      <c r="I530" s="151" t="s">
        <v>909</v>
      </c>
      <c r="J530" s="151" t="s">
        <v>82</v>
      </c>
      <c r="K530" s="154">
        <v>28510</v>
      </c>
      <c r="L530" s="154">
        <v>14780</v>
      </c>
      <c r="M530" s="155">
        <v>12</v>
      </c>
      <c r="N530" s="154">
        <v>13730</v>
      </c>
      <c r="O530" s="154">
        <v>12082.4</v>
      </c>
    </row>
    <row r="531" spans="2:15" ht="12.75" hidden="1" customHeight="1" outlineLevel="1" x14ac:dyDescent="0.25">
      <c r="B531" s="570" t="s">
        <v>511</v>
      </c>
      <c r="C531" s="570"/>
      <c r="D531" s="570"/>
      <c r="E531" s="570"/>
      <c r="F531" s="570"/>
      <c r="G531" s="570"/>
      <c r="H531" s="570"/>
      <c r="I531" s="570"/>
      <c r="J531" s="570"/>
      <c r="K531" s="156"/>
      <c r="L531" s="156"/>
      <c r="M531" s="156"/>
      <c r="N531" s="154">
        <v>13730</v>
      </c>
      <c r="O531" s="154">
        <v>12082.4</v>
      </c>
    </row>
    <row r="532" spans="2:15" ht="36.75" customHeight="1" collapsed="1" x14ac:dyDescent="0.25">
      <c r="B532" s="151" t="s">
        <v>1428</v>
      </c>
      <c r="C532" s="152">
        <v>727</v>
      </c>
      <c r="D532" s="153">
        <v>87</v>
      </c>
      <c r="E532" s="151" t="s">
        <v>1167</v>
      </c>
      <c r="F532" s="151" t="s">
        <v>1367</v>
      </c>
      <c r="G532" s="151" t="s">
        <v>1368</v>
      </c>
      <c r="H532" s="151" t="s">
        <v>1321</v>
      </c>
      <c r="I532" s="151" t="s">
        <v>909</v>
      </c>
      <c r="J532" s="151" t="s">
        <v>82</v>
      </c>
      <c r="K532" s="154">
        <v>28700</v>
      </c>
      <c r="L532" s="154">
        <v>14780</v>
      </c>
      <c r="M532" s="155">
        <v>17</v>
      </c>
      <c r="N532" s="154">
        <v>13920</v>
      </c>
      <c r="O532" s="154">
        <v>11553.6</v>
      </c>
    </row>
    <row r="533" spans="2:15" ht="12.75" hidden="1" customHeight="1" outlineLevel="1" x14ac:dyDescent="0.25">
      <c r="B533" s="570" t="s">
        <v>511</v>
      </c>
      <c r="C533" s="570"/>
      <c r="D533" s="570"/>
      <c r="E533" s="570"/>
      <c r="F533" s="570"/>
      <c r="G533" s="570"/>
      <c r="H533" s="570"/>
      <c r="I533" s="570"/>
      <c r="J533" s="570"/>
      <c r="K533" s="156"/>
      <c r="L533" s="156"/>
      <c r="M533" s="156"/>
      <c r="N533" s="154">
        <v>13920</v>
      </c>
      <c r="O533" s="154">
        <v>11553.6</v>
      </c>
    </row>
    <row r="534" spans="2:15" ht="36.75" customHeight="1" collapsed="1" x14ac:dyDescent="0.25">
      <c r="B534" s="151" t="s">
        <v>1429</v>
      </c>
      <c r="C534" s="152">
        <v>728</v>
      </c>
      <c r="D534" s="153">
        <v>88</v>
      </c>
      <c r="E534" s="151" t="s">
        <v>1167</v>
      </c>
      <c r="F534" s="151" t="s">
        <v>160</v>
      </c>
      <c r="G534" s="151" t="s">
        <v>164</v>
      </c>
      <c r="H534" s="151" t="s">
        <v>1321</v>
      </c>
      <c r="I534" s="151" t="s">
        <v>909</v>
      </c>
      <c r="J534" s="151" t="s">
        <v>82</v>
      </c>
      <c r="K534" s="154">
        <v>37980</v>
      </c>
      <c r="L534" s="154">
        <v>24020</v>
      </c>
      <c r="M534" s="155">
        <v>14</v>
      </c>
      <c r="N534" s="154">
        <v>13960</v>
      </c>
      <c r="O534" s="154">
        <v>12005.6</v>
      </c>
    </row>
    <row r="535" spans="2:15" ht="12.75" hidden="1" customHeight="1" outlineLevel="1" x14ac:dyDescent="0.25">
      <c r="B535" s="570" t="s">
        <v>511</v>
      </c>
      <c r="C535" s="570"/>
      <c r="D535" s="570"/>
      <c r="E535" s="570"/>
      <c r="F535" s="570"/>
      <c r="G535" s="570"/>
      <c r="H535" s="570"/>
      <c r="I535" s="570"/>
      <c r="J535" s="570"/>
      <c r="K535" s="156"/>
      <c r="L535" s="156"/>
      <c r="M535" s="156"/>
      <c r="N535" s="154">
        <v>13960</v>
      </c>
      <c r="O535" s="154">
        <v>12005.6</v>
      </c>
    </row>
    <row r="536" spans="2:15" ht="36.75" customHeight="1" collapsed="1" x14ac:dyDescent="0.25">
      <c r="B536" s="151" t="s">
        <v>1430</v>
      </c>
      <c r="C536" s="152">
        <v>729</v>
      </c>
      <c r="D536" s="153">
        <v>89</v>
      </c>
      <c r="E536" s="151" t="s">
        <v>1167</v>
      </c>
      <c r="F536" s="151" t="s">
        <v>1461</v>
      </c>
      <c r="G536" s="151" t="s">
        <v>149</v>
      </c>
      <c r="H536" s="151" t="s">
        <v>1321</v>
      </c>
      <c r="I536" s="151" t="s">
        <v>909</v>
      </c>
      <c r="J536" s="151" t="s">
        <v>82</v>
      </c>
      <c r="K536" s="154">
        <v>28940</v>
      </c>
      <c r="L536" s="154">
        <v>14870</v>
      </c>
      <c r="M536" s="155">
        <v>12.5</v>
      </c>
      <c r="N536" s="154">
        <v>14070</v>
      </c>
      <c r="O536" s="154">
        <v>12311.2</v>
      </c>
    </row>
    <row r="537" spans="2:15" ht="12.75" hidden="1" customHeight="1" outlineLevel="1" x14ac:dyDescent="0.25">
      <c r="B537" s="570" t="s">
        <v>511</v>
      </c>
      <c r="C537" s="570"/>
      <c r="D537" s="570"/>
      <c r="E537" s="570"/>
      <c r="F537" s="570"/>
      <c r="G537" s="570"/>
      <c r="H537" s="570"/>
      <c r="I537" s="570"/>
      <c r="J537" s="570"/>
      <c r="K537" s="156"/>
      <c r="L537" s="156"/>
      <c r="M537" s="156"/>
      <c r="N537" s="154">
        <v>14070</v>
      </c>
      <c r="O537" s="154">
        <v>12311.2</v>
      </c>
    </row>
    <row r="538" spans="2:15" ht="36.75" customHeight="1" collapsed="1" x14ac:dyDescent="0.25">
      <c r="B538" s="151" t="s">
        <v>1431</v>
      </c>
      <c r="C538" s="152">
        <v>730</v>
      </c>
      <c r="D538" s="153">
        <v>90</v>
      </c>
      <c r="E538" s="151" t="s">
        <v>1167</v>
      </c>
      <c r="F538" s="151" t="s">
        <v>335</v>
      </c>
      <c r="G538" s="151" t="s">
        <v>339</v>
      </c>
      <c r="H538" s="151" t="s">
        <v>1321</v>
      </c>
      <c r="I538" s="151" t="s">
        <v>909</v>
      </c>
      <c r="J538" s="151" t="s">
        <v>82</v>
      </c>
      <c r="K538" s="154">
        <v>28690</v>
      </c>
      <c r="L538" s="154">
        <v>14690</v>
      </c>
      <c r="M538" s="155">
        <v>15.5</v>
      </c>
      <c r="N538" s="154">
        <v>14000</v>
      </c>
      <c r="O538" s="154">
        <v>11830</v>
      </c>
    </row>
    <row r="539" spans="2:15" ht="12.75" hidden="1" customHeight="1" outlineLevel="1" x14ac:dyDescent="0.25">
      <c r="B539" s="570" t="s">
        <v>511</v>
      </c>
      <c r="C539" s="570"/>
      <c r="D539" s="570"/>
      <c r="E539" s="570"/>
      <c r="F539" s="570"/>
      <c r="G539" s="570"/>
      <c r="H539" s="570"/>
      <c r="I539" s="570"/>
      <c r="J539" s="570"/>
      <c r="K539" s="156"/>
      <c r="L539" s="156"/>
      <c r="M539" s="156"/>
      <c r="N539" s="154">
        <v>14000</v>
      </c>
      <c r="O539" s="154">
        <v>11830</v>
      </c>
    </row>
    <row r="540" spans="2:15" ht="36.75" customHeight="1" collapsed="1" x14ac:dyDescent="0.25">
      <c r="B540" s="151" t="s">
        <v>1432</v>
      </c>
      <c r="C540" s="152">
        <v>731</v>
      </c>
      <c r="D540" s="153">
        <v>91</v>
      </c>
      <c r="E540" s="151" t="s">
        <v>1167</v>
      </c>
      <c r="F540" s="151" t="s">
        <v>1373</v>
      </c>
      <c r="G540" s="151" t="s">
        <v>1374</v>
      </c>
      <c r="H540" s="151" t="s">
        <v>1321</v>
      </c>
      <c r="I540" s="151" t="s">
        <v>909</v>
      </c>
      <c r="J540" s="151" t="s">
        <v>82</v>
      </c>
      <c r="K540" s="154">
        <v>38090</v>
      </c>
      <c r="L540" s="154">
        <v>24200</v>
      </c>
      <c r="M540" s="155">
        <v>16</v>
      </c>
      <c r="N540" s="154">
        <v>13890</v>
      </c>
      <c r="O540" s="154">
        <v>11667.6</v>
      </c>
    </row>
    <row r="541" spans="2:15" ht="12.75" hidden="1" customHeight="1" outlineLevel="1" x14ac:dyDescent="0.25">
      <c r="B541" s="570" t="s">
        <v>511</v>
      </c>
      <c r="C541" s="570"/>
      <c r="D541" s="570"/>
      <c r="E541" s="570"/>
      <c r="F541" s="570"/>
      <c r="G541" s="570"/>
      <c r="H541" s="570"/>
      <c r="I541" s="570"/>
      <c r="J541" s="570"/>
      <c r="K541" s="156"/>
      <c r="L541" s="156"/>
      <c r="M541" s="156"/>
      <c r="N541" s="154">
        <v>13890</v>
      </c>
      <c r="O541" s="154">
        <v>11667.6</v>
      </c>
    </row>
    <row r="542" spans="2:15" ht="36.75" customHeight="1" collapsed="1" x14ac:dyDescent="0.25">
      <c r="B542" s="151" t="s">
        <v>1433</v>
      </c>
      <c r="C542" s="152">
        <v>732</v>
      </c>
      <c r="D542" s="153">
        <v>95</v>
      </c>
      <c r="E542" s="151" t="s">
        <v>1167</v>
      </c>
      <c r="F542" s="151" t="s">
        <v>1376</v>
      </c>
      <c r="G542" s="151" t="s">
        <v>1377</v>
      </c>
      <c r="H542" s="151" t="s">
        <v>1168</v>
      </c>
      <c r="I542" s="151" t="s">
        <v>1318</v>
      </c>
      <c r="J542" s="151" t="s">
        <v>82</v>
      </c>
      <c r="K542" s="154">
        <v>29440</v>
      </c>
      <c r="L542" s="154">
        <v>21370</v>
      </c>
      <c r="M542" s="155">
        <v>11.5</v>
      </c>
      <c r="N542" s="154">
        <v>8070</v>
      </c>
      <c r="O542" s="154">
        <v>7141.9</v>
      </c>
    </row>
    <row r="543" spans="2:15" ht="12.75" hidden="1" customHeight="1" outlineLevel="1" x14ac:dyDescent="0.25">
      <c r="B543" s="570" t="s">
        <v>511</v>
      </c>
      <c r="C543" s="570"/>
      <c r="D543" s="570"/>
      <c r="E543" s="570"/>
      <c r="F543" s="570"/>
      <c r="G543" s="570"/>
      <c r="H543" s="570"/>
      <c r="I543" s="570"/>
      <c r="J543" s="570"/>
      <c r="K543" s="156"/>
      <c r="L543" s="156"/>
      <c r="M543" s="156"/>
      <c r="N543" s="154">
        <v>8070</v>
      </c>
      <c r="O543" s="154">
        <v>7141.9</v>
      </c>
    </row>
    <row r="544" spans="2:15" ht="36.75" customHeight="1" collapsed="1" x14ac:dyDescent="0.25">
      <c r="B544" s="151" t="s">
        <v>1434</v>
      </c>
      <c r="C544" s="152">
        <v>734</v>
      </c>
      <c r="D544" s="153">
        <v>95</v>
      </c>
      <c r="E544" s="151" t="s">
        <v>1167</v>
      </c>
      <c r="F544" s="151" t="s">
        <v>1376</v>
      </c>
      <c r="G544" s="151" t="s">
        <v>1377</v>
      </c>
      <c r="H544" s="151" t="s">
        <v>1321</v>
      </c>
      <c r="I544" s="151" t="s">
        <v>909</v>
      </c>
      <c r="J544" s="151" t="s">
        <v>82</v>
      </c>
      <c r="K544" s="154">
        <v>21370</v>
      </c>
      <c r="L544" s="154">
        <v>15690</v>
      </c>
      <c r="M544" s="155">
        <v>15.5</v>
      </c>
      <c r="N544" s="154">
        <v>5680</v>
      </c>
      <c r="O544" s="154">
        <v>4799.6000000000004</v>
      </c>
    </row>
    <row r="545" spans="2:15" ht="12.75" hidden="1" customHeight="1" outlineLevel="1" x14ac:dyDescent="0.25">
      <c r="B545" s="570" t="s">
        <v>511</v>
      </c>
      <c r="C545" s="570"/>
      <c r="D545" s="570"/>
      <c r="E545" s="570"/>
      <c r="F545" s="570"/>
      <c r="G545" s="570"/>
      <c r="H545" s="570"/>
      <c r="I545" s="570"/>
      <c r="J545" s="570"/>
      <c r="K545" s="156"/>
      <c r="L545" s="156"/>
      <c r="M545" s="156"/>
      <c r="N545" s="154">
        <v>5680</v>
      </c>
      <c r="O545" s="154">
        <v>4799.6000000000004</v>
      </c>
    </row>
    <row r="546" spans="2:15" ht="36.75" customHeight="1" collapsed="1" x14ac:dyDescent="0.25">
      <c r="B546" s="151" t="s">
        <v>1435</v>
      </c>
      <c r="C546" s="152">
        <v>733</v>
      </c>
      <c r="D546" s="153">
        <v>92</v>
      </c>
      <c r="E546" s="151" t="s">
        <v>1167</v>
      </c>
      <c r="F546" s="151" t="s">
        <v>1408</v>
      </c>
      <c r="G546" s="151" t="s">
        <v>1409</v>
      </c>
      <c r="H546" s="151" t="s">
        <v>1168</v>
      </c>
      <c r="I546" s="151" t="s">
        <v>1318</v>
      </c>
      <c r="J546" s="151" t="s">
        <v>82</v>
      </c>
      <c r="K546" s="154">
        <v>28830</v>
      </c>
      <c r="L546" s="154">
        <v>15620</v>
      </c>
      <c r="M546" s="155">
        <v>9.5</v>
      </c>
      <c r="N546" s="154">
        <v>13210</v>
      </c>
      <c r="O546" s="154">
        <v>11955</v>
      </c>
    </row>
    <row r="547" spans="2:15" ht="12.75" hidden="1" customHeight="1" outlineLevel="1" x14ac:dyDescent="0.25">
      <c r="B547" s="570" t="s">
        <v>511</v>
      </c>
      <c r="C547" s="570"/>
      <c r="D547" s="570"/>
      <c r="E547" s="570"/>
      <c r="F547" s="570"/>
      <c r="G547" s="570"/>
      <c r="H547" s="570"/>
      <c r="I547" s="570"/>
      <c r="J547" s="570"/>
      <c r="K547" s="156"/>
      <c r="L547" s="156"/>
      <c r="M547" s="156"/>
      <c r="N547" s="154">
        <v>13210</v>
      </c>
      <c r="O547" s="154">
        <v>11955</v>
      </c>
    </row>
    <row r="548" spans="2:15" ht="36.75" customHeight="1" collapsed="1" x14ac:dyDescent="0.25">
      <c r="B548" s="151" t="s">
        <v>1436</v>
      </c>
      <c r="C548" s="152">
        <v>735</v>
      </c>
      <c r="D548" s="153">
        <v>93</v>
      </c>
      <c r="E548" s="151" t="s">
        <v>1167</v>
      </c>
      <c r="F548" s="151" t="s">
        <v>212</v>
      </c>
      <c r="G548" s="151" t="s">
        <v>216</v>
      </c>
      <c r="H548" s="151" t="s">
        <v>1168</v>
      </c>
      <c r="I548" s="151" t="s">
        <v>1318</v>
      </c>
      <c r="J548" s="151" t="s">
        <v>82</v>
      </c>
      <c r="K548" s="154">
        <v>27020</v>
      </c>
      <c r="L548" s="154">
        <v>13850</v>
      </c>
      <c r="M548" s="155">
        <v>8.5</v>
      </c>
      <c r="N548" s="154">
        <v>13170</v>
      </c>
      <c r="O548" s="154">
        <v>12050.5</v>
      </c>
    </row>
    <row r="549" spans="2:15" ht="12.75" hidden="1" customHeight="1" outlineLevel="1" x14ac:dyDescent="0.25">
      <c r="B549" s="570" t="s">
        <v>511</v>
      </c>
      <c r="C549" s="570"/>
      <c r="D549" s="570"/>
      <c r="E549" s="570"/>
      <c r="F549" s="570"/>
      <c r="G549" s="570"/>
      <c r="H549" s="570"/>
      <c r="I549" s="570"/>
      <c r="J549" s="570"/>
      <c r="K549" s="156"/>
      <c r="L549" s="156"/>
      <c r="M549" s="156"/>
      <c r="N549" s="154">
        <v>13170</v>
      </c>
      <c r="O549" s="154">
        <v>12050.5</v>
      </c>
    </row>
    <row r="550" spans="2:15" ht="36.75" customHeight="1" collapsed="1" x14ac:dyDescent="0.25">
      <c r="B550" s="151" t="s">
        <v>1437</v>
      </c>
      <c r="C550" s="152">
        <v>736</v>
      </c>
      <c r="D550" s="153">
        <v>94</v>
      </c>
      <c r="E550" s="151" t="s">
        <v>1167</v>
      </c>
      <c r="F550" s="151" t="s">
        <v>111</v>
      </c>
      <c r="G550" s="151" t="s">
        <v>114</v>
      </c>
      <c r="H550" s="151" t="s">
        <v>1168</v>
      </c>
      <c r="I550" s="151" t="s">
        <v>1318</v>
      </c>
      <c r="J550" s="151" t="s">
        <v>82</v>
      </c>
      <c r="K550" s="154">
        <v>28770</v>
      </c>
      <c r="L550" s="154">
        <v>15540</v>
      </c>
      <c r="M550" s="155">
        <v>11.5</v>
      </c>
      <c r="N550" s="154">
        <v>13230</v>
      </c>
      <c r="O550" s="154">
        <v>11708.5</v>
      </c>
    </row>
    <row r="551" spans="2:15" ht="12.75" hidden="1" customHeight="1" outlineLevel="1" x14ac:dyDescent="0.25">
      <c r="B551" s="570" t="s">
        <v>511</v>
      </c>
      <c r="C551" s="570"/>
      <c r="D551" s="570"/>
      <c r="E551" s="570"/>
      <c r="F551" s="570"/>
      <c r="G551" s="570"/>
      <c r="H551" s="570"/>
      <c r="I551" s="570"/>
      <c r="J551" s="570"/>
      <c r="K551" s="156"/>
      <c r="L551" s="156"/>
      <c r="M551" s="156"/>
      <c r="N551" s="154">
        <v>13230</v>
      </c>
      <c r="O551" s="154">
        <v>11708.5</v>
      </c>
    </row>
    <row r="552" spans="2:15" ht="36.75" customHeight="1" collapsed="1" x14ac:dyDescent="0.25">
      <c r="B552" s="151" t="s">
        <v>1438</v>
      </c>
      <c r="C552" s="152">
        <v>738</v>
      </c>
      <c r="D552" s="153">
        <v>97</v>
      </c>
      <c r="E552" s="151" t="s">
        <v>1167</v>
      </c>
      <c r="F552" s="151" t="s">
        <v>1151</v>
      </c>
      <c r="G552" s="151" t="s">
        <v>145</v>
      </c>
      <c r="H552" s="151" t="s">
        <v>1168</v>
      </c>
      <c r="I552" s="151" t="s">
        <v>1318</v>
      </c>
      <c r="J552" s="151" t="s">
        <v>82</v>
      </c>
      <c r="K552" s="154">
        <v>28900</v>
      </c>
      <c r="L552" s="154">
        <v>15600</v>
      </c>
      <c r="M552" s="155">
        <v>10</v>
      </c>
      <c r="N552" s="154">
        <v>13300</v>
      </c>
      <c r="O552" s="154">
        <v>11970</v>
      </c>
    </row>
    <row r="553" spans="2:15" ht="12.75" hidden="1" customHeight="1" outlineLevel="1" x14ac:dyDescent="0.25">
      <c r="B553" s="570" t="s">
        <v>511</v>
      </c>
      <c r="C553" s="570"/>
      <c r="D553" s="570"/>
      <c r="E553" s="570"/>
      <c r="F553" s="570"/>
      <c r="G553" s="570"/>
      <c r="H553" s="570"/>
      <c r="I553" s="570"/>
      <c r="J553" s="570"/>
      <c r="K553" s="156"/>
      <c r="L553" s="156"/>
      <c r="M553" s="156"/>
      <c r="N553" s="154">
        <v>13300</v>
      </c>
      <c r="O553" s="154">
        <v>11970</v>
      </c>
    </row>
    <row r="554" spans="2:15" ht="36.75" customHeight="1" collapsed="1" x14ac:dyDescent="0.25">
      <c r="B554" s="151" t="s">
        <v>1439</v>
      </c>
      <c r="C554" s="152">
        <v>737</v>
      </c>
      <c r="D554" s="153">
        <v>96</v>
      </c>
      <c r="E554" s="151" t="s">
        <v>1167</v>
      </c>
      <c r="F554" s="151" t="s">
        <v>1253</v>
      </c>
      <c r="G554" s="151" t="s">
        <v>270</v>
      </c>
      <c r="H554" s="151" t="s">
        <v>1168</v>
      </c>
      <c r="I554" s="151" t="s">
        <v>1318</v>
      </c>
      <c r="J554" s="151" t="s">
        <v>82</v>
      </c>
      <c r="K554" s="154">
        <v>28050</v>
      </c>
      <c r="L554" s="154">
        <v>14900</v>
      </c>
      <c r="M554" s="155">
        <v>11.5</v>
      </c>
      <c r="N554" s="154">
        <v>13150</v>
      </c>
      <c r="O554" s="154">
        <v>11637.7</v>
      </c>
    </row>
    <row r="555" spans="2:15" ht="12.75" hidden="1" customHeight="1" outlineLevel="1" x14ac:dyDescent="0.25">
      <c r="B555" s="570" t="s">
        <v>511</v>
      </c>
      <c r="C555" s="570"/>
      <c r="D555" s="570"/>
      <c r="E555" s="570"/>
      <c r="F555" s="570"/>
      <c r="G555" s="570"/>
      <c r="H555" s="570"/>
      <c r="I555" s="570"/>
      <c r="J555" s="570"/>
      <c r="K555" s="156"/>
      <c r="L555" s="156"/>
      <c r="M555" s="156"/>
      <c r="N555" s="154">
        <v>13150</v>
      </c>
      <c r="O555" s="154">
        <v>11637.7</v>
      </c>
    </row>
    <row r="556" spans="2:15" ht="36.75" customHeight="1" collapsed="1" x14ac:dyDescent="0.25">
      <c r="B556" s="151" t="s">
        <v>1440</v>
      </c>
      <c r="C556" s="152">
        <v>741</v>
      </c>
      <c r="D556" s="153">
        <v>99</v>
      </c>
      <c r="E556" s="151" t="s">
        <v>1167</v>
      </c>
      <c r="F556" s="151" t="s">
        <v>1367</v>
      </c>
      <c r="G556" s="151" t="s">
        <v>1368</v>
      </c>
      <c r="H556" s="151" t="s">
        <v>1168</v>
      </c>
      <c r="I556" s="151" t="s">
        <v>1318</v>
      </c>
      <c r="J556" s="151" t="s">
        <v>82</v>
      </c>
      <c r="K556" s="154">
        <v>28060</v>
      </c>
      <c r="L556" s="154">
        <v>14960</v>
      </c>
      <c r="M556" s="155">
        <v>7.5</v>
      </c>
      <c r="N556" s="154">
        <v>13100</v>
      </c>
      <c r="O556" s="154">
        <v>12117.5</v>
      </c>
    </row>
    <row r="557" spans="2:15" ht="12.75" hidden="1" customHeight="1" outlineLevel="1" x14ac:dyDescent="0.25">
      <c r="B557" s="570" t="s">
        <v>511</v>
      </c>
      <c r="C557" s="570"/>
      <c r="D557" s="570"/>
      <c r="E557" s="570"/>
      <c r="F557" s="570"/>
      <c r="G557" s="570"/>
      <c r="H557" s="570"/>
      <c r="I557" s="570"/>
      <c r="J557" s="570"/>
      <c r="K557" s="156"/>
      <c r="L557" s="156"/>
      <c r="M557" s="156"/>
      <c r="N557" s="154">
        <v>13100</v>
      </c>
      <c r="O557" s="154">
        <v>12117.5</v>
      </c>
    </row>
    <row r="558" spans="2:15" ht="36.75" customHeight="1" collapsed="1" x14ac:dyDescent="0.25">
      <c r="B558" s="151" t="s">
        <v>1441</v>
      </c>
      <c r="C558" s="152">
        <v>744</v>
      </c>
      <c r="D558" s="153">
        <v>98</v>
      </c>
      <c r="E558" s="151" t="s">
        <v>1167</v>
      </c>
      <c r="F558" s="151" t="s">
        <v>272</v>
      </c>
      <c r="G558" s="151" t="s">
        <v>276</v>
      </c>
      <c r="H558" s="151" t="s">
        <v>1168</v>
      </c>
      <c r="I558" s="151" t="s">
        <v>1318</v>
      </c>
      <c r="J558" s="151" t="s">
        <v>82</v>
      </c>
      <c r="K558" s="154">
        <v>28210</v>
      </c>
      <c r="L558" s="154">
        <v>14660</v>
      </c>
      <c r="M558" s="155">
        <v>9</v>
      </c>
      <c r="N558" s="154">
        <v>13550</v>
      </c>
      <c r="O558" s="154">
        <v>12330.5</v>
      </c>
    </row>
    <row r="559" spans="2:15" ht="12.75" hidden="1" customHeight="1" outlineLevel="1" x14ac:dyDescent="0.25">
      <c r="B559" s="570" t="s">
        <v>511</v>
      </c>
      <c r="C559" s="570"/>
      <c r="D559" s="570"/>
      <c r="E559" s="570"/>
      <c r="F559" s="570"/>
      <c r="G559" s="570"/>
      <c r="H559" s="570"/>
      <c r="I559" s="570"/>
      <c r="J559" s="570"/>
      <c r="K559" s="156"/>
      <c r="L559" s="156"/>
      <c r="M559" s="156"/>
      <c r="N559" s="154">
        <v>13550</v>
      </c>
      <c r="O559" s="154">
        <v>12330.5</v>
      </c>
    </row>
    <row r="560" spans="2:15" ht="36.75" customHeight="1" collapsed="1" x14ac:dyDescent="0.25">
      <c r="B560" s="151" t="s">
        <v>1442</v>
      </c>
      <c r="C560" s="152">
        <v>745</v>
      </c>
      <c r="D560" s="153">
        <v>100</v>
      </c>
      <c r="E560" s="151" t="s">
        <v>1167</v>
      </c>
      <c r="F560" s="151" t="s">
        <v>1461</v>
      </c>
      <c r="G560" s="151" t="s">
        <v>149</v>
      </c>
      <c r="H560" s="151" t="s">
        <v>1321</v>
      </c>
      <c r="I560" s="151" t="s">
        <v>909</v>
      </c>
      <c r="J560" s="151" t="s">
        <v>82</v>
      </c>
      <c r="K560" s="154">
        <v>28990</v>
      </c>
      <c r="L560" s="154">
        <v>15080</v>
      </c>
      <c r="M560" s="155">
        <v>17.5</v>
      </c>
      <c r="N560" s="154">
        <v>13910</v>
      </c>
      <c r="O560" s="154">
        <v>11475.7</v>
      </c>
    </row>
    <row r="561" spans="2:15" ht="12.75" hidden="1" customHeight="1" outlineLevel="1" x14ac:dyDescent="0.25">
      <c r="B561" s="570" t="s">
        <v>511</v>
      </c>
      <c r="C561" s="570"/>
      <c r="D561" s="570"/>
      <c r="E561" s="570"/>
      <c r="F561" s="570"/>
      <c r="G561" s="570"/>
      <c r="H561" s="570"/>
      <c r="I561" s="570"/>
      <c r="J561" s="570"/>
      <c r="K561" s="156"/>
      <c r="L561" s="156"/>
      <c r="M561" s="156"/>
      <c r="N561" s="154">
        <v>13910</v>
      </c>
      <c r="O561" s="154">
        <v>11475.7</v>
      </c>
    </row>
    <row r="562" spans="2:15" ht="36.75" customHeight="1" collapsed="1" x14ac:dyDescent="0.25">
      <c r="B562" s="151" t="s">
        <v>1477</v>
      </c>
      <c r="C562" s="152">
        <v>746</v>
      </c>
      <c r="D562" s="153">
        <v>101</v>
      </c>
      <c r="E562" s="151" t="s">
        <v>1167</v>
      </c>
      <c r="F562" s="151" t="s">
        <v>1373</v>
      </c>
      <c r="G562" s="151" t="s">
        <v>1374</v>
      </c>
      <c r="H562" s="151" t="s">
        <v>1321</v>
      </c>
      <c r="I562" s="151" t="s">
        <v>909</v>
      </c>
      <c r="J562" s="151" t="s">
        <v>82</v>
      </c>
      <c r="K562" s="154">
        <v>37840</v>
      </c>
      <c r="L562" s="154">
        <v>24070</v>
      </c>
      <c r="M562" s="155">
        <v>12.5</v>
      </c>
      <c r="N562" s="154">
        <v>13770</v>
      </c>
      <c r="O562" s="154">
        <v>12048.7</v>
      </c>
    </row>
    <row r="563" spans="2:15" ht="12.75" hidden="1" customHeight="1" outlineLevel="1" x14ac:dyDescent="0.25">
      <c r="B563" s="570" t="s">
        <v>511</v>
      </c>
      <c r="C563" s="570"/>
      <c r="D563" s="570"/>
      <c r="E563" s="570"/>
      <c r="F563" s="570"/>
      <c r="G563" s="570"/>
      <c r="H563" s="570"/>
      <c r="I563" s="570"/>
      <c r="J563" s="570"/>
      <c r="K563" s="156"/>
      <c r="L563" s="156"/>
      <c r="M563" s="156"/>
      <c r="N563" s="154">
        <v>13770</v>
      </c>
      <c r="O563" s="154">
        <v>12048.7</v>
      </c>
    </row>
    <row r="564" spans="2:15" ht="36.75" customHeight="1" collapsed="1" x14ac:dyDescent="0.25">
      <c r="B564" s="151" t="s">
        <v>1478</v>
      </c>
      <c r="C564" s="152">
        <v>747</v>
      </c>
      <c r="D564" s="153">
        <v>102</v>
      </c>
      <c r="E564" s="151" t="s">
        <v>1167</v>
      </c>
      <c r="F564" s="151" t="s">
        <v>1376</v>
      </c>
      <c r="G564" s="151" t="s">
        <v>1377</v>
      </c>
      <c r="H564" s="151" t="s">
        <v>1321</v>
      </c>
      <c r="I564" s="151" t="s">
        <v>909</v>
      </c>
      <c r="J564" s="151" t="s">
        <v>82</v>
      </c>
      <c r="K564" s="154">
        <v>29440</v>
      </c>
      <c r="L564" s="154">
        <v>15570</v>
      </c>
      <c r="M564" s="155">
        <v>11.5</v>
      </c>
      <c r="N564" s="154">
        <v>13870</v>
      </c>
      <c r="O564" s="154">
        <v>12274.9</v>
      </c>
    </row>
    <row r="565" spans="2:15" ht="12.75" hidden="1" customHeight="1" outlineLevel="1" x14ac:dyDescent="0.25">
      <c r="B565" s="570" t="s">
        <v>511</v>
      </c>
      <c r="C565" s="570"/>
      <c r="D565" s="570"/>
      <c r="E565" s="570"/>
      <c r="F565" s="570"/>
      <c r="G565" s="570"/>
      <c r="H565" s="570"/>
      <c r="I565" s="570"/>
      <c r="J565" s="570"/>
      <c r="K565" s="156"/>
      <c r="L565" s="156"/>
      <c r="M565" s="156"/>
      <c r="N565" s="154">
        <v>13870</v>
      </c>
      <c r="O565" s="154">
        <v>12274.9</v>
      </c>
    </row>
    <row r="566" spans="2:15" ht="36.75" customHeight="1" collapsed="1" x14ac:dyDescent="0.25">
      <c r="B566" s="151" t="s">
        <v>1479</v>
      </c>
      <c r="C566" s="152">
        <v>748</v>
      </c>
      <c r="D566" s="153">
        <v>103</v>
      </c>
      <c r="E566" s="151" t="s">
        <v>1167</v>
      </c>
      <c r="F566" s="151" t="s">
        <v>1408</v>
      </c>
      <c r="G566" s="151" t="s">
        <v>1409</v>
      </c>
      <c r="H566" s="151" t="s">
        <v>1321</v>
      </c>
      <c r="I566" s="151" t="s">
        <v>909</v>
      </c>
      <c r="J566" s="151" t="s">
        <v>82</v>
      </c>
      <c r="K566" s="154">
        <v>29280</v>
      </c>
      <c r="L566" s="154">
        <v>15500</v>
      </c>
      <c r="M566" s="155">
        <v>12</v>
      </c>
      <c r="N566" s="154">
        <v>13780</v>
      </c>
      <c r="O566" s="154">
        <v>12126.4</v>
      </c>
    </row>
    <row r="567" spans="2:15" ht="12.75" hidden="1" customHeight="1" outlineLevel="1" x14ac:dyDescent="0.25">
      <c r="B567" s="570" t="s">
        <v>511</v>
      </c>
      <c r="C567" s="570"/>
      <c r="D567" s="570"/>
      <c r="E567" s="570"/>
      <c r="F567" s="570"/>
      <c r="G567" s="570"/>
      <c r="H567" s="570"/>
      <c r="I567" s="570"/>
      <c r="J567" s="570"/>
      <c r="K567" s="156"/>
      <c r="L567" s="156"/>
      <c r="M567" s="156"/>
      <c r="N567" s="154">
        <v>13780</v>
      </c>
      <c r="O567" s="154">
        <v>12126.4</v>
      </c>
    </row>
    <row r="568" spans="2:15" ht="36.75" customHeight="1" collapsed="1" x14ac:dyDescent="0.25">
      <c r="B568" s="151" t="s">
        <v>1482</v>
      </c>
      <c r="C568" s="152">
        <v>751</v>
      </c>
      <c r="D568" s="153">
        <v>106</v>
      </c>
      <c r="E568" s="151" t="s">
        <v>1167</v>
      </c>
      <c r="F568" s="151" t="s">
        <v>894</v>
      </c>
      <c r="G568" s="151" t="s">
        <v>895</v>
      </c>
      <c r="H568" s="151" t="s">
        <v>1321</v>
      </c>
      <c r="I568" s="151" t="s">
        <v>909</v>
      </c>
      <c r="J568" s="151" t="s">
        <v>82</v>
      </c>
      <c r="K568" s="154">
        <v>28430</v>
      </c>
      <c r="L568" s="154">
        <v>14870</v>
      </c>
      <c r="M568" s="155">
        <v>6.5</v>
      </c>
      <c r="N568" s="154">
        <v>13560</v>
      </c>
      <c r="O568" s="154">
        <v>12678.6</v>
      </c>
    </row>
    <row r="569" spans="2:15" ht="12.75" hidden="1" customHeight="1" outlineLevel="1" x14ac:dyDescent="0.25">
      <c r="B569" s="570" t="s">
        <v>833</v>
      </c>
      <c r="C569" s="570"/>
      <c r="D569" s="570"/>
      <c r="E569" s="570"/>
      <c r="F569" s="570"/>
      <c r="G569" s="570"/>
      <c r="H569" s="570"/>
      <c r="I569" s="570"/>
      <c r="J569" s="570"/>
      <c r="K569" s="156"/>
      <c r="L569" s="156"/>
      <c r="M569" s="156"/>
      <c r="N569" s="154">
        <v>13560</v>
      </c>
      <c r="O569" s="154">
        <v>12678.6</v>
      </c>
    </row>
    <row r="570" spans="2:15" ht="36.75" customHeight="1" collapsed="1" x14ac:dyDescent="0.25">
      <c r="B570" s="151" t="s">
        <v>1483</v>
      </c>
      <c r="C570" s="152">
        <v>752</v>
      </c>
      <c r="D570" s="153">
        <v>107</v>
      </c>
      <c r="E570" s="151" t="s">
        <v>1167</v>
      </c>
      <c r="F570" s="151" t="s">
        <v>347</v>
      </c>
      <c r="G570" s="151" t="s">
        <v>351</v>
      </c>
      <c r="H570" s="151" t="s">
        <v>1321</v>
      </c>
      <c r="I570" s="151" t="s">
        <v>909</v>
      </c>
      <c r="J570" s="151" t="s">
        <v>82</v>
      </c>
      <c r="K570" s="154">
        <v>26200</v>
      </c>
      <c r="L570" s="154">
        <v>15790</v>
      </c>
      <c r="M570" s="155">
        <v>10</v>
      </c>
      <c r="N570" s="154">
        <v>10410</v>
      </c>
      <c r="O570" s="154">
        <v>9369</v>
      </c>
    </row>
    <row r="571" spans="2:15" ht="12.75" hidden="1" customHeight="1" outlineLevel="1" x14ac:dyDescent="0.25">
      <c r="B571" s="570" t="s">
        <v>833</v>
      </c>
      <c r="C571" s="570"/>
      <c r="D571" s="570"/>
      <c r="E571" s="570"/>
      <c r="F571" s="570"/>
      <c r="G571" s="570"/>
      <c r="H571" s="570"/>
      <c r="I571" s="570"/>
      <c r="J571" s="570"/>
      <c r="K571" s="156"/>
      <c r="L571" s="156"/>
      <c r="M571" s="156"/>
      <c r="N571" s="154">
        <v>10410</v>
      </c>
      <c r="O571" s="154">
        <v>9369</v>
      </c>
    </row>
    <row r="572" spans="2:15" ht="36.75" customHeight="1" collapsed="1" x14ac:dyDescent="0.25">
      <c r="B572" s="151" t="s">
        <v>1480</v>
      </c>
      <c r="C572" s="152">
        <v>749</v>
      </c>
      <c r="D572" s="153">
        <v>104</v>
      </c>
      <c r="E572" s="151" t="s">
        <v>1167</v>
      </c>
      <c r="F572" s="151" t="s">
        <v>239</v>
      </c>
      <c r="G572" s="151" t="s">
        <v>243</v>
      </c>
      <c r="H572" s="151" t="s">
        <v>1321</v>
      </c>
      <c r="I572" s="151" t="s">
        <v>909</v>
      </c>
      <c r="J572" s="151" t="s">
        <v>82</v>
      </c>
      <c r="K572" s="154">
        <v>28410</v>
      </c>
      <c r="L572" s="154">
        <v>14620</v>
      </c>
      <c r="M572" s="155">
        <v>10</v>
      </c>
      <c r="N572" s="154">
        <v>13790</v>
      </c>
      <c r="O572" s="154">
        <v>12411</v>
      </c>
    </row>
    <row r="573" spans="2:15" ht="12.75" hidden="1" customHeight="1" outlineLevel="1" x14ac:dyDescent="0.25">
      <c r="B573" s="570" t="s">
        <v>511</v>
      </c>
      <c r="C573" s="570"/>
      <c r="D573" s="570"/>
      <c r="E573" s="570"/>
      <c r="F573" s="570"/>
      <c r="G573" s="570"/>
      <c r="H573" s="570"/>
      <c r="I573" s="570"/>
      <c r="J573" s="570"/>
      <c r="K573" s="156"/>
      <c r="L573" s="156"/>
      <c r="M573" s="156"/>
      <c r="N573" s="154">
        <v>13790</v>
      </c>
      <c r="O573" s="154">
        <v>12411</v>
      </c>
    </row>
    <row r="574" spans="2:15" ht="36.75" customHeight="1" collapsed="1" x14ac:dyDescent="0.25">
      <c r="B574" s="151" t="s">
        <v>1481</v>
      </c>
      <c r="C574" s="152">
        <v>750</v>
      </c>
      <c r="D574" s="153">
        <v>105</v>
      </c>
      <c r="E574" s="151" t="s">
        <v>1167</v>
      </c>
      <c r="F574" s="151" t="s">
        <v>335</v>
      </c>
      <c r="G574" s="151" t="s">
        <v>339</v>
      </c>
      <c r="H574" s="151" t="s">
        <v>1321</v>
      </c>
      <c r="I574" s="151" t="s">
        <v>909</v>
      </c>
      <c r="J574" s="151" t="s">
        <v>82</v>
      </c>
      <c r="K574" s="154">
        <v>29090</v>
      </c>
      <c r="L574" s="154">
        <v>14910</v>
      </c>
      <c r="M574" s="155">
        <v>15</v>
      </c>
      <c r="N574" s="154">
        <v>14180</v>
      </c>
      <c r="O574" s="154">
        <v>12053</v>
      </c>
    </row>
    <row r="575" spans="2:15" ht="12.75" hidden="1" customHeight="1" outlineLevel="1" x14ac:dyDescent="0.25">
      <c r="B575" s="570" t="s">
        <v>511</v>
      </c>
      <c r="C575" s="570"/>
      <c r="D575" s="570"/>
      <c r="E575" s="570"/>
      <c r="F575" s="570"/>
      <c r="G575" s="570"/>
      <c r="H575" s="570"/>
      <c r="I575" s="570"/>
      <c r="J575" s="570"/>
      <c r="K575" s="156"/>
      <c r="L575" s="156"/>
      <c r="M575" s="156"/>
      <c r="N575" s="154">
        <v>14180</v>
      </c>
      <c r="O575" s="154">
        <v>12053</v>
      </c>
    </row>
    <row r="576" spans="2:15" ht="36.75" customHeight="1" collapsed="1" x14ac:dyDescent="0.25">
      <c r="B576" s="151" t="s">
        <v>1484</v>
      </c>
      <c r="C576" s="152">
        <v>753</v>
      </c>
      <c r="D576" s="153">
        <v>108</v>
      </c>
      <c r="E576" s="151" t="s">
        <v>1167</v>
      </c>
      <c r="F576" s="151" t="s">
        <v>111</v>
      </c>
      <c r="G576" s="151" t="s">
        <v>114</v>
      </c>
      <c r="H576" s="151" t="s">
        <v>1485</v>
      </c>
      <c r="I576" s="151" t="s">
        <v>909</v>
      </c>
      <c r="J576" s="151" t="s">
        <v>82</v>
      </c>
      <c r="K576" s="154">
        <v>28780</v>
      </c>
      <c r="L576" s="154">
        <v>15520</v>
      </c>
      <c r="M576" s="155">
        <v>18</v>
      </c>
      <c r="N576" s="154">
        <v>13260</v>
      </c>
      <c r="O576" s="154">
        <v>10873.2</v>
      </c>
    </row>
    <row r="577" spans="2:15" ht="12.75" hidden="1" customHeight="1" outlineLevel="1" x14ac:dyDescent="0.25">
      <c r="B577" s="570" t="s">
        <v>550</v>
      </c>
      <c r="C577" s="570"/>
      <c r="D577" s="570"/>
      <c r="E577" s="570"/>
      <c r="F577" s="570"/>
      <c r="G577" s="570"/>
      <c r="H577" s="570"/>
      <c r="I577" s="570"/>
      <c r="J577" s="570"/>
      <c r="K577" s="156"/>
      <c r="L577" s="156"/>
      <c r="M577" s="156"/>
      <c r="N577" s="154">
        <v>13260</v>
      </c>
      <c r="O577" s="154">
        <v>10873.2</v>
      </c>
    </row>
    <row r="578" spans="2:15" ht="36.75" customHeight="1" collapsed="1" x14ac:dyDescent="0.25">
      <c r="B578" s="151" t="s">
        <v>1486</v>
      </c>
      <c r="C578" s="152">
        <v>754</v>
      </c>
      <c r="D578" s="153">
        <v>109</v>
      </c>
      <c r="E578" s="151" t="s">
        <v>1167</v>
      </c>
      <c r="F578" s="151" t="s">
        <v>1253</v>
      </c>
      <c r="G578" s="151" t="s">
        <v>270</v>
      </c>
      <c r="H578" s="151" t="s">
        <v>1485</v>
      </c>
      <c r="I578" s="151" t="s">
        <v>909</v>
      </c>
      <c r="J578" s="151" t="s">
        <v>82</v>
      </c>
      <c r="K578" s="154">
        <v>28230</v>
      </c>
      <c r="L578" s="154">
        <v>14800</v>
      </c>
      <c r="M578" s="155">
        <v>14</v>
      </c>
      <c r="N578" s="154">
        <v>13430</v>
      </c>
      <c r="O578" s="154">
        <v>11549.8</v>
      </c>
    </row>
    <row r="579" spans="2:15" ht="12.75" hidden="1" customHeight="1" outlineLevel="1" x14ac:dyDescent="0.25">
      <c r="B579" s="570" t="s">
        <v>511</v>
      </c>
      <c r="C579" s="570"/>
      <c r="D579" s="570"/>
      <c r="E579" s="570"/>
      <c r="F579" s="570"/>
      <c r="G579" s="570"/>
      <c r="H579" s="570"/>
      <c r="I579" s="570"/>
      <c r="J579" s="570"/>
      <c r="K579" s="156"/>
      <c r="L579" s="156"/>
      <c r="M579" s="156"/>
      <c r="N579" s="154">
        <v>13430</v>
      </c>
      <c r="O579" s="154">
        <v>11549.8</v>
      </c>
    </row>
    <row r="580" spans="2:15" ht="36.75" customHeight="1" collapsed="1" x14ac:dyDescent="0.25">
      <c r="B580" s="151" t="s">
        <v>1487</v>
      </c>
      <c r="C580" s="152">
        <v>756</v>
      </c>
      <c r="D580" s="153">
        <v>110</v>
      </c>
      <c r="E580" s="151" t="s">
        <v>1167</v>
      </c>
      <c r="F580" s="151" t="s">
        <v>1151</v>
      </c>
      <c r="G580" s="151" t="s">
        <v>145</v>
      </c>
      <c r="H580" s="151" t="s">
        <v>1485</v>
      </c>
      <c r="I580" s="151" t="s">
        <v>909</v>
      </c>
      <c r="J580" s="151" t="s">
        <v>82</v>
      </c>
      <c r="K580" s="154">
        <v>29290</v>
      </c>
      <c r="L580" s="154">
        <v>15490</v>
      </c>
      <c r="M580" s="155">
        <v>12</v>
      </c>
      <c r="N580" s="154">
        <v>13800</v>
      </c>
      <c r="O580" s="154">
        <v>12144</v>
      </c>
    </row>
    <row r="581" spans="2:15" ht="12.75" hidden="1" customHeight="1" outlineLevel="1" x14ac:dyDescent="0.25">
      <c r="B581" s="570" t="s">
        <v>511</v>
      </c>
      <c r="C581" s="570"/>
      <c r="D581" s="570"/>
      <c r="E581" s="570"/>
      <c r="F581" s="570"/>
      <c r="G581" s="570"/>
      <c r="H581" s="570"/>
      <c r="I581" s="570"/>
      <c r="J581" s="570"/>
      <c r="K581" s="156"/>
      <c r="L581" s="156"/>
      <c r="M581" s="156"/>
      <c r="N581" s="154">
        <v>13800</v>
      </c>
      <c r="O581" s="154">
        <v>12144</v>
      </c>
    </row>
    <row r="582" spans="2:15" ht="36.75" customHeight="1" collapsed="1" x14ac:dyDescent="0.25">
      <c r="B582" s="151" t="s">
        <v>1488</v>
      </c>
      <c r="C582" s="152">
        <v>757</v>
      </c>
      <c r="D582" s="153">
        <v>111</v>
      </c>
      <c r="E582" s="151" t="s">
        <v>1167</v>
      </c>
      <c r="F582" s="151" t="s">
        <v>1367</v>
      </c>
      <c r="G582" s="151" t="s">
        <v>1368</v>
      </c>
      <c r="H582" s="151" t="s">
        <v>1485</v>
      </c>
      <c r="I582" s="151" t="s">
        <v>909</v>
      </c>
      <c r="J582" s="151" t="s">
        <v>82</v>
      </c>
      <c r="K582" s="154">
        <v>28420</v>
      </c>
      <c r="L582" s="154">
        <v>14850</v>
      </c>
      <c r="M582" s="155">
        <v>17</v>
      </c>
      <c r="N582" s="154">
        <v>13570</v>
      </c>
      <c r="O582" s="154">
        <v>11263.1</v>
      </c>
    </row>
    <row r="583" spans="2:15" ht="12.75" hidden="1" customHeight="1" outlineLevel="1" x14ac:dyDescent="0.25">
      <c r="B583" s="570" t="s">
        <v>511</v>
      </c>
      <c r="C583" s="570"/>
      <c r="D583" s="570"/>
      <c r="E583" s="570"/>
      <c r="F583" s="570"/>
      <c r="G583" s="570"/>
      <c r="H583" s="570"/>
      <c r="I583" s="570"/>
      <c r="J583" s="570"/>
      <c r="K583" s="156"/>
      <c r="L583" s="156"/>
      <c r="M583" s="156"/>
      <c r="N583" s="154">
        <v>13570</v>
      </c>
      <c r="O583" s="154">
        <v>11263.1</v>
      </c>
    </row>
    <row r="584" spans="2:15" ht="36.75" customHeight="1" collapsed="1" x14ac:dyDescent="0.25">
      <c r="B584" s="151" t="s">
        <v>1489</v>
      </c>
      <c r="C584" s="152">
        <v>758</v>
      </c>
      <c r="D584" s="153">
        <v>112</v>
      </c>
      <c r="E584" s="151" t="s">
        <v>1167</v>
      </c>
      <c r="F584" s="151" t="s">
        <v>272</v>
      </c>
      <c r="G584" s="151" t="s">
        <v>276</v>
      </c>
      <c r="H584" s="151" t="s">
        <v>1485</v>
      </c>
      <c r="I584" s="151" t="s">
        <v>909</v>
      </c>
      <c r="J584" s="151" t="s">
        <v>82</v>
      </c>
      <c r="K584" s="154">
        <v>32110</v>
      </c>
      <c r="L584" s="154">
        <v>14780</v>
      </c>
      <c r="M584" s="155">
        <v>11.5</v>
      </c>
      <c r="N584" s="154">
        <v>17330</v>
      </c>
      <c r="O584" s="154">
        <v>15337</v>
      </c>
    </row>
    <row r="585" spans="2:15" ht="12.75" hidden="1" customHeight="1" outlineLevel="1" x14ac:dyDescent="0.25">
      <c r="B585" s="570" t="s">
        <v>511</v>
      </c>
      <c r="C585" s="570"/>
      <c r="D585" s="570"/>
      <c r="E585" s="570"/>
      <c r="F585" s="570"/>
      <c r="G585" s="570"/>
      <c r="H585" s="570"/>
      <c r="I585" s="570"/>
      <c r="J585" s="570"/>
      <c r="K585" s="156"/>
      <c r="L585" s="156"/>
      <c r="M585" s="156"/>
      <c r="N585" s="154">
        <v>17330</v>
      </c>
      <c r="O585" s="154">
        <v>15337</v>
      </c>
    </row>
    <row r="586" spans="2:15" ht="36.75" customHeight="1" collapsed="1" x14ac:dyDescent="0.25">
      <c r="B586" s="151" t="s">
        <v>1490</v>
      </c>
      <c r="C586" s="152">
        <v>759</v>
      </c>
      <c r="D586" s="153">
        <v>113</v>
      </c>
      <c r="E586" s="151" t="s">
        <v>1167</v>
      </c>
      <c r="F586" s="151" t="s">
        <v>1461</v>
      </c>
      <c r="G586" s="151" t="s">
        <v>149</v>
      </c>
      <c r="H586" s="151" t="s">
        <v>1168</v>
      </c>
      <c r="I586" s="151" t="s">
        <v>1316</v>
      </c>
      <c r="J586" s="151" t="s">
        <v>82</v>
      </c>
      <c r="K586" s="154">
        <v>28250</v>
      </c>
      <c r="L586" s="154">
        <v>14960</v>
      </c>
      <c r="M586" s="155">
        <v>7.5</v>
      </c>
      <c r="N586" s="154">
        <v>13290</v>
      </c>
      <c r="O586" s="154">
        <v>12293.2</v>
      </c>
    </row>
    <row r="587" spans="2:15" ht="12.75" hidden="1" customHeight="1" outlineLevel="1" x14ac:dyDescent="0.25">
      <c r="B587" s="570" t="s">
        <v>550</v>
      </c>
      <c r="C587" s="570"/>
      <c r="D587" s="570"/>
      <c r="E587" s="570"/>
      <c r="F587" s="570"/>
      <c r="G587" s="570"/>
      <c r="H587" s="570"/>
      <c r="I587" s="570"/>
      <c r="J587" s="570"/>
      <c r="K587" s="156"/>
      <c r="L587" s="156"/>
      <c r="M587" s="156"/>
      <c r="N587" s="154">
        <v>13290</v>
      </c>
      <c r="O587" s="154">
        <v>12293.2</v>
      </c>
    </row>
    <row r="588" spans="2:15" ht="36.75" customHeight="1" collapsed="1" x14ac:dyDescent="0.25">
      <c r="B588" s="151" t="s">
        <v>1491</v>
      </c>
      <c r="C588" s="152">
        <v>760</v>
      </c>
      <c r="D588" s="153">
        <v>114</v>
      </c>
      <c r="E588" s="151" t="s">
        <v>1167</v>
      </c>
      <c r="F588" s="151" t="s">
        <v>1373</v>
      </c>
      <c r="G588" s="151" t="s">
        <v>1374</v>
      </c>
      <c r="H588" s="151" t="s">
        <v>1168</v>
      </c>
      <c r="I588" s="151" t="s">
        <v>1316</v>
      </c>
      <c r="J588" s="151" t="s">
        <v>82</v>
      </c>
      <c r="K588" s="154">
        <v>37540</v>
      </c>
      <c r="L588" s="154">
        <v>24370</v>
      </c>
      <c r="M588" s="155">
        <v>5.5</v>
      </c>
      <c r="N588" s="154">
        <v>13170</v>
      </c>
      <c r="O588" s="154">
        <v>12445.6</v>
      </c>
    </row>
    <row r="589" spans="2:15" ht="12.75" hidden="1" customHeight="1" outlineLevel="1" x14ac:dyDescent="0.25">
      <c r="B589" s="570" t="s">
        <v>833</v>
      </c>
      <c r="C589" s="570"/>
      <c r="D589" s="570"/>
      <c r="E589" s="570"/>
      <c r="F589" s="570"/>
      <c r="G589" s="570"/>
      <c r="H589" s="570"/>
      <c r="I589" s="570"/>
      <c r="J589" s="570"/>
      <c r="K589" s="156"/>
      <c r="L589" s="156"/>
      <c r="M589" s="156"/>
      <c r="N589" s="154">
        <v>13170</v>
      </c>
      <c r="O589" s="154">
        <v>12445.6</v>
      </c>
    </row>
    <row r="590" spans="2:15" ht="36.75" customHeight="1" collapsed="1" x14ac:dyDescent="0.25">
      <c r="B590" s="151" t="s">
        <v>1462</v>
      </c>
      <c r="C590" s="152">
        <v>761</v>
      </c>
      <c r="D590" s="153">
        <v>115</v>
      </c>
      <c r="E590" s="151" t="s">
        <v>1167</v>
      </c>
      <c r="F590" s="151" t="s">
        <v>1312</v>
      </c>
      <c r="G590" s="151" t="s">
        <v>320</v>
      </c>
      <c r="H590" s="151" t="s">
        <v>1168</v>
      </c>
      <c r="I590" s="151" t="s">
        <v>1316</v>
      </c>
      <c r="J590" s="151" t="s">
        <v>82</v>
      </c>
      <c r="K590" s="154">
        <v>27570</v>
      </c>
      <c r="L590" s="154">
        <v>14450</v>
      </c>
      <c r="M590" s="155">
        <v>7.5</v>
      </c>
      <c r="N590" s="154">
        <v>13120</v>
      </c>
      <c r="O590" s="154">
        <v>12136</v>
      </c>
    </row>
    <row r="591" spans="2:15" ht="12.75" hidden="1" customHeight="1" outlineLevel="1" x14ac:dyDescent="0.25">
      <c r="B591" s="570" t="s">
        <v>833</v>
      </c>
      <c r="C591" s="570"/>
      <c r="D591" s="570"/>
      <c r="E591" s="570"/>
      <c r="F591" s="570"/>
      <c r="G591" s="570"/>
      <c r="H591" s="570"/>
      <c r="I591" s="570"/>
      <c r="J591" s="570"/>
      <c r="K591" s="156"/>
      <c r="L591" s="156"/>
      <c r="M591" s="156"/>
      <c r="N591" s="154">
        <v>13120</v>
      </c>
      <c r="O591" s="154">
        <v>12136</v>
      </c>
    </row>
    <row r="592" spans="2:15" ht="36.75" customHeight="1" collapsed="1" x14ac:dyDescent="0.25">
      <c r="B592" s="151" t="s">
        <v>1463</v>
      </c>
      <c r="C592" s="152">
        <v>762</v>
      </c>
      <c r="D592" s="153">
        <v>116</v>
      </c>
      <c r="E592" s="151" t="s">
        <v>1167</v>
      </c>
      <c r="F592" s="151" t="s">
        <v>212</v>
      </c>
      <c r="G592" s="151" t="s">
        <v>216</v>
      </c>
      <c r="H592" s="151" t="s">
        <v>1168</v>
      </c>
      <c r="I592" s="151" t="s">
        <v>1316</v>
      </c>
      <c r="J592" s="151" t="s">
        <v>82</v>
      </c>
      <c r="K592" s="154">
        <v>27020</v>
      </c>
      <c r="L592" s="154">
        <v>13810</v>
      </c>
      <c r="M592" s="155">
        <v>8.5</v>
      </c>
      <c r="N592" s="154">
        <v>13210</v>
      </c>
      <c r="O592" s="154">
        <v>12087.1</v>
      </c>
    </row>
    <row r="593" spans="2:15" ht="12.75" hidden="1" customHeight="1" outlineLevel="1" x14ac:dyDescent="0.25">
      <c r="B593" s="570" t="s">
        <v>550</v>
      </c>
      <c r="C593" s="570"/>
      <c r="D593" s="570"/>
      <c r="E593" s="570"/>
      <c r="F593" s="570"/>
      <c r="G593" s="570"/>
      <c r="H593" s="570"/>
      <c r="I593" s="570"/>
      <c r="J593" s="570"/>
      <c r="K593" s="156"/>
      <c r="L593" s="156"/>
      <c r="M593" s="156"/>
      <c r="N593" s="154">
        <v>13210</v>
      </c>
      <c r="O593" s="154">
        <v>12087.1</v>
      </c>
    </row>
    <row r="594" spans="2:15" ht="36.75" customHeight="1" collapsed="1" x14ac:dyDescent="0.25">
      <c r="B594" s="151" t="s">
        <v>1464</v>
      </c>
      <c r="C594" s="152">
        <v>763</v>
      </c>
      <c r="D594" s="153">
        <v>117</v>
      </c>
      <c r="E594" s="151" t="s">
        <v>1167</v>
      </c>
      <c r="F594" s="151" t="s">
        <v>1376</v>
      </c>
      <c r="G594" s="151" t="s">
        <v>1377</v>
      </c>
      <c r="H594" s="151" t="s">
        <v>1168</v>
      </c>
      <c r="I594" s="151" t="s">
        <v>1316</v>
      </c>
      <c r="J594" s="151" t="s">
        <v>82</v>
      </c>
      <c r="K594" s="154">
        <v>28630</v>
      </c>
      <c r="L594" s="154">
        <v>15470</v>
      </c>
      <c r="M594" s="155">
        <v>7.5</v>
      </c>
      <c r="N594" s="154">
        <v>13160</v>
      </c>
      <c r="O594" s="154">
        <v>12173</v>
      </c>
    </row>
    <row r="595" spans="2:15" ht="12.75" hidden="1" customHeight="1" outlineLevel="1" x14ac:dyDescent="0.25">
      <c r="B595" s="570" t="s">
        <v>550</v>
      </c>
      <c r="C595" s="570"/>
      <c r="D595" s="570"/>
      <c r="E595" s="570"/>
      <c r="F595" s="570"/>
      <c r="G595" s="570"/>
      <c r="H595" s="570"/>
      <c r="I595" s="570"/>
      <c r="J595" s="570"/>
      <c r="K595" s="156"/>
      <c r="L595" s="156"/>
      <c r="M595" s="156"/>
      <c r="N595" s="154">
        <v>13160</v>
      </c>
      <c r="O595" s="154">
        <v>12173</v>
      </c>
    </row>
    <row r="596" spans="2:15" ht="36.75" customHeight="1" collapsed="1" x14ac:dyDescent="0.25">
      <c r="B596" s="151" t="s">
        <v>1465</v>
      </c>
      <c r="C596" s="152">
        <v>764</v>
      </c>
      <c r="D596" s="153">
        <v>118</v>
      </c>
      <c r="E596" s="151" t="s">
        <v>1167</v>
      </c>
      <c r="F596" s="151" t="s">
        <v>1408</v>
      </c>
      <c r="G596" s="151" t="s">
        <v>1409</v>
      </c>
      <c r="H596" s="151" t="s">
        <v>1168</v>
      </c>
      <c r="I596" s="151" t="s">
        <v>1316</v>
      </c>
      <c r="J596" s="151" t="s">
        <v>82</v>
      </c>
      <c r="K596" s="154">
        <v>28720</v>
      </c>
      <c r="L596" s="154">
        <v>15760</v>
      </c>
      <c r="M596" s="155">
        <v>8.5</v>
      </c>
      <c r="N596" s="154">
        <v>12960</v>
      </c>
      <c r="O596" s="154">
        <v>11858.4</v>
      </c>
    </row>
    <row r="597" spans="2:15" ht="12.75" hidden="1" customHeight="1" outlineLevel="1" x14ac:dyDescent="0.25">
      <c r="B597" s="570" t="s">
        <v>511</v>
      </c>
      <c r="C597" s="570"/>
      <c r="D597" s="570"/>
      <c r="E597" s="570"/>
      <c r="F597" s="570"/>
      <c r="G597" s="570"/>
      <c r="H597" s="570"/>
      <c r="I597" s="570"/>
      <c r="J597" s="570"/>
      <c r="K597" s="156"/>
      <c r="L597" s="156"/>
      <c r="M597" s="156"/>
      <c r="N597" s="154">
        <v>12960</v>
      </c>
      <c r="O597" s="154">
        <v>11858.4</v>
      </c>
    </row>
    <row r="598" spans="2:15" ht="36.75" customHeight="1" collapsed="1" x14ac:dyDescent="0.25">
      <c r="B598" s="151" t="s">
        <v>1466</v>
      </c>
      <c r="C598" s="152">
        <v>765</v>
      </c>
      <c r="D598" s="153">
        <v>119</v>
      </c>
      <c r="E598" s="151" t="s">
        <v>1167</v>
      </c>
      <c r="F598" s="151" t="s">
        <v>239</v>
      </c>
      <c r="G598" s="151" t="s">
        <v>243</v>
      </c>
      <c r="H598" s="151" t="s">
        <v>1168</v>
      </c>
      <c r="I598" s="151" t="s">
        <v>1316</v>
      </c>
      <c r="J598" s="151" t="s">
        <v>82</v>
      </c>
      <c r="K598" s="154">
        <v>27710</v>
      </c>
      <c r="L598" s="154">
        <v>14520</v>
      </c>
      <c r="M598" s="155">
        <v>12.5</v>
      </c>
      <c r="N598" s="154">
        <v>13190</v>
      </c>
      <c r="O598" s="154">
        <v>11541.2</v>
      </c>
    </row>
    <row r="599" spans="2:15" ht="12.75" hidden="1" customHeight="1" outlineLevel="1" x14ac:dyDescent="0.25">
      <c r="B599" s="570" t="s">
        <v>511</v>
      </c>
      <c r="C599" s="570"/>
      <c r="D599" s="570"/>
      <c r="E599" s="570"/>
      <c r="F599" s="570"/>
      <c r="G599" s="570"/>
      <c r="H599" s="570"/>
      <c r="I599" s="570"/>
      <c r="J599" s="570"/>
      <c r="K599" s="156"/>
      <c r="L599" s="156"/>
      <c r="M599" s="156"/>
      <c r="N599" s="154">
        <v>13190</v>
      </c>
      <c r="O599" s="154">
        <v>11541.2</v>
      </c>
    </row>
    <row r="600" spans="2:15" ht="36.75" customHeight="1" collapsed="1" x14ac:dyDescent="0.25">
      <c r="B600" s="151" t="s">
        <v>1467</v>
      </c>
      <c r="C600" s="152">
        <v>766</v>
      </c>
      <c r="D600" s="153">
        <v>120</v>
      </c>
      <c r="E600" s="151" t="s">
        <v>1167</v>
      </c>
      <c r="F600" s="151" t="s">
        <v>1253</v>
      </c>
      <c r="G600" s="151" t="s">
        <v>270</v>
      </c>
      <c r="H600" s="151" t="s">
        <v>1168</v>
      </c>
      <c r="I600" s="151" t="s">
        <v>1316</v>
      </c>
      <c r="J600" s="151" t="s">
        <v>82</v>
      </c>
      <c r="K600" s="154">
        <v>28080</v>
      </c>
      <c r="L600" s="154">
        <v>14980</v>
      </c>
      <c r="M600" s="155">
        <v>8.5</v>
      </c>
      <c r="N600" s="154">
        <v>13100</v>
      </c>
      <c r="O600" s="154">
        <v>11986.5</v>
      </c>
    </row>
    <row r="601" spans="2:15" ht="12.75" hidden="1" customHeight="1" outlineLevel="1" x14ac:dyDescent="0.25">
      <c r="B601" s="570" t="s">
        <v>511</v>
      </c>
      <c r="C601" s="570"/>
      <c r="D601" s="570"/>
      <c r="E601" s="570"/>
      <c r="F601" s="570"/>
      <c r="G601" s="570"/>
      <c r="H601" s="570"/>
      <c r="I601" s="570"/>
      <c r="J601" s="570"/>
      <c r="K601" s="156"/>
      <c r="L601" s="156"/>
      <c r="M601" s="156"/>
      <c r="N601" s="154">
        <v>13100</v>
      </c>
      <c r="O601" s="154">
        <v>11986.5</v>
      </c>
    </row>
    <row r="602" spans="2:15" ht="36.75" customHeight="1" collapsed="1" x14ac:dyDescent="0.25">
      <c r="B602" s="151" t="s">
        <v>1468</v>
      </c>
      <c r="C602" s="152">
        <v>767</v>
      </c>
      <c r="D602" s="153">
        <v>121</v>
      </c>
      <c r="E602" s="151" t="s">
        <v>1167</v>
      </c>
      <c r="F602" s="151" t="s">
        <v>1151</v>
      </c>
      <c r="G602" s="151" t="s">
        <v>145</v>
      </c>
      <c r="H602" s="151" t="s">
        <v>1168</v>
      </c>
      <c r="I602" s="151" t="s">
        <v>1316</v>
      </c>
      <c r="J602" s="151" t="s">
        <v>82</v>
      </c>
      <c r="K602" s="154">
        <v>29000</v>
      </c>
      <c r="L602" s="154">
        <v>15730</v>
      </c>
      <c r="M602" s="155">
        <v>12.5</v>
      </c>
      <c r="N602" s="154">
        <v>13270</v>
      </c>
      <c r="O602" s="154">
        <v>11611.2</v>
      </c>
    </row>
    <row r="603" spans="2:15" ht="12.75" hidden="1" customHeight="1" outlineLevel="1" x14ac:dyDescent="0.25">
      <c r="B603" s="570" t="s">
        <v>511</v>
      </c>
      <c r="C603" s="570"/>
      <c r="D603" s="570"/>
      <c r="E603" s="570"/>
      <c r="F603" s="570"/>
      <c r="G603" s="570"/>
      <c r="H603" s="570"/>
      <c r="I603" s="570"/>
      <c r="J603" s="570"/>
      <c r="K603" s="156"/>
      <c r="L603" s="156"/>
      <c r="M603" s="156"/>
      <c r="N603" s="154">
        <v>13270</v>
      </c>
      <c r="O603" s="154">
        <v>11611.2</v>
      </c>
    </row>
    <row r="604" spans="2:15" ht="36.75" customHeight="1" collapsed="1" x14ac:dyDescent="0.25">
      <c r="B604" s="151" t="s">
        <v>1469</v>
      </c>
      <c r="C604" s="152">
        <v>769</v>
      </c>
      <c r="D604" s="153">
        <v>122</v>
      </c>
      <c r="E604" s="151" t="s">
        <v>1167</v>
      </c>
      <c r="F604" s="151" t="s">
        <v>1367</v>
      </c>
      <c r="G604" s="151" t="s">
        <v>1368</v>
      </c>
      <c r="H604" s="151" t="s">
        <v>1168</v>
      </c>
      <c r="I604" s="151" t="s">
        <v>1316</v>
      </c>
      <c r="J604" s="151" t="s">
        <v>82</v>
      </c>
      <c r="K604" s="154">
        <v>28530</v>
      </c>
      <c r="L604" s="154">
        <v>15020</v>
      </c>
      <c r="M604" s="155">
        <v>9.5</v>
      </c>
      <c r="N604" s="154">
        <v>13510</v>
      </c>
      <c r="O604" s="154">
        <v>12226.5</v>
      </c>
    </row>
    <row r="605" spans="2:15" ht="12.75" hidden="1" customHeight="1" outlineLevel="1" x14ac:dyDescent="0.25">
      <c r="B605" s="570" t="s">
        <v>511</v>
      </c>
      <c r="C605" s="570"/>
      <c r="D605" s="570"/>
      <c r="E605" s="570"/>
      <c r="F605" s="570"/>
      <c r="G605" s="570"/>
      <c r="H605" s="570"/>
      <c r="I605" s="570"/>
      <c r="J605" s="570"/>
      <c r="K605" s="156"/>
      <c r="L605" s="156"/>
      <c r="M605" s="156"/>
      <c r="N605" s="154">
        <v>13510</v>
      </c>
      <c r="O605" s="154">
        <v>12226.5</v>
      </c>
    </row>
    <row r="606" spans="2:15" ht="36.75" customHeight="1" collapsed="1" x14ac:dyDescent="0.25">
      <c r="B606" s="151" t="s">
        <v>1473</v>
      </c>
      <c r="C606" s="152">
        <v>773</v>
      </c>
      <c r="D606" s="153">
        <v>126</v>
      </c>
      <c r="E606" s="151" t="s">
        <v>1167</v>
      </c>
      <c r="F606" s="151" t="s">
        <v>1376</v>
      </c>
      <c r="G606" s="151" t="s">
        <v>1377</v>
      </c>
      <c r="H606" s="151" t="s">
        <v>1168</v>
      </c>
      <c r="I606" s="151" t="s">
        <v>1316</v>
      </c>
      <c r="J606" s="151" t="s">
        <v>82</v>
      </c>
      <c r="K606" s="154">
        <v>29180</v>
      </c>
      <c r="L606" s="154">
        <v>15720</v>
      </c>
      <c r="M606" s="155">
        <v>11.5</v>
      </c>
      <c r="N606" s="154">
        <v>13460</v>
      </c>
      <c r="O606" s="154">
        <v>11912.1</v>
      </c>
    </row>
    <row r="607" spans="2:15" ht="12.75" hidden="1" customHeight="1" outlineLevel="1" x14ac:dyDescent="0.25">
      <c r="B607" s="570" t="s">
        <v>511</v>
      </c>
      <c r="C607" s="570"/>
      <c r="D607" s="570"/>
      <c r="E607" s="570"/>
      <c r="F607" s="570"/>
      <c r="G607" s="570"/>
      <c r="H607" s="570"/>
      <c r="I607" s="570"/>
      <c r="J607" s="570"/>
      <c r="K607" s="156"/>
      <c r="L607" s="156"/>
      <c r="M607" s="156"/>
      <c r="N607" s="154">
        <v>13460</v>
      </c>
      <c r="O607" s="154">
        <v>11912.1</v>
      </c>
    </row>
    <row r="608" spans="2:15" ht="36.75" customHeight="1" collapsed="1" x14ac:dyDescent="0.25">
      <c r="B608" s="151" t="s">
        <v>1474</v>
      </c>
      <c r="C608" s="152">
        <v>774</v>
      </c>
      <c r="D608" s="153">
        <v>127</v>
      </c>
      <c r="E608" s="151" t="s">
        <v>1167</v>
      </c>
      <c r="F608" s="151" t="s">
        <v>347</v>
      </c>
      <c r="G608" s="151" t="s">
        <v>351</v>
      </c>
      <c r="H608" s="151" t="s">
        <v>1168</v>
      </c>
      <c r="I608" s="151" t="s">
        <v>1316</v>
      </c>
      <c r="J608" s="151" t="s">
        <v>82</v>
      </c>
      <c r="K608" s="154">
        <v>29370</v>
      </c>
      <c r="L608" s="154">
        <v>15700</v>
      </c>
      <c r="M608" s="155">
        <v>12.5</v>
      </c>
      <c r="N608" s="154">
        <v>13670</v>
      </c>
      <c r="O608" s="154">
        <v>11961.2</v>
      </c>
    </row>
    <row r="609" spans="2:15" ht="12.75" hidden="1" customHeight="1" outlineLevel="1" x14ac:dyDescent="0.25">
      <c r="B609" s="570" t="s">
        <v>511</v>
      </c>
      <c r="C609" s="570"/>
      <c r="D609" s="570"/>
      <c r="E609" s="570"/>
      <c r="F609" s="570"/>
      <c r="G609" s="570"/>
      <c r="H609" s="570"/>
      <c r="I609" s="570"/>
      <c r="J609" s="570"/>
      <c r="K609" s="156"/>
      <c r="L609" s="156"/>
      <c r="M609" s="156"/>
      <c r="N609" s="154">
        <v>13670</v>
      </c>
      <c r="O609" s="154">
        <v>11961.2</v>
      </c>
    </row>
    <row r="610" spans="2:15" ht="36.75" customHeight="1" collapsed="1" x14ac:dyDescent="0.25">
      <c r="B610" s="151" t="s">
        <v>1470</v>
      </c>
      <c r="C610" s="152">
        <v>770</v>
      </c>
      <c r="D610" s="153">
        <v>123</v>
      </c>
      <c r="E610" s="151" t="s">
        <v>1167</v>
      </c>
      <c r="F610" s="151" t="s">
        <v>272</v>
      </c>
      <c r="G610" s="151" t="s">
        <v>276</v>
      </c>
      <c r="H610" s="151" t="s">
        <v>1168</v>
      </c>
      <c r="I610" s="151" t="s">
        <v>1316</v>
      </c>
      <c r="J610" s="151" t="s">
        <v>82</v>
      </c>
      <c r="K610" s="154">
        <v>28120</v>
      </c>
      <c r="L610" s="154">
        <v>14680</v>
      </c>
      <c r="M610" s="155">
        <v>9.5</v>
      </c>
      <c r="N610" s="154">
        <v>13440</v>
      </c>
      <c r="O610" s="154">
        <v>12163.2</v>
      </c>
    </row>
    <row r="611" spans="2:15" ht="12.75" hidden="1" customHeight="1" outlineLevel="1" x14ac:dyDescent="0.25">
      <c r="B611" s="570" t="s">
        <v>511</v>
      </c>
      <c r="C611" s="570"/>
      <c r="D611" s="570"/>
      <c r="E611" s="570"/>
      <c r="F611" s="570"/>
      <c r="G611" s="570"/>
      <c r="H611" s="570"/>
      <c r="I611" s="570"/>
      <c r="J611" s="570"/>
      <c r="K611" s="156"/>
      <c r="L611" s="156"/>
      <c r="M611" s="156"/>
      <c r="N611" s="154">
        <v>13440</v>
      </c>
      <c r="O611" s="154">
        <v>12163.2</v>
      </c>
    </row>
    <row r="612" spans="2:15" ht="36.75" customHeight="1" collapsed="1" x14ac:dyDescent="0.25">
      <c r="B612" s="151" t="s">
        <v>1475</v>
      </c>
      <c r="C612" s="152">
        <v>775</v>
      </c>
      <c r="D612" s="153">
        <v>128</v>
      </c>
      <c r="E612" s="151" t="s">
        <v>1167</v>
      </c>
      <c r="F612" s="151" t="s">
        <v>1408</v>
      </c>
      <c r="G612" s="151" t="s">
        <v>1409</v>
      </c>
      <c r="H612" s="151" t="s">
        <v>1168</v>
      </c>
      <c r="I612" s="151" t="s">
        <v>1316</v>
      </c>
      <c r="J612" s="151" t="s">
        <v>82</v>
      </c>
      <c r="K612" s="154">
        <v>29300</v>
      </c>
      <c r="L612" s="154">
        <v>15640</v>
      </c>
      <c r="M612" s="155">
        <v>15</v>
      </c>
      <c r="N612" s="154">
        <v>13660</v>
      </c>
      <c r="O612" s="154">
        <v>11611</v>
      </c>
    </row>
    <row r="613" spans="2:15" ht="12.75" hidden="1" customHeight="1" outlineLevel="1" x14ac:dyDescent="0.25">
      <c r="B613" s="570" t="s">
        <v>511</v>
      </c>
      <c r="C613" s="570"/>
      <c r="D613" s="570"/>
      <c r="E613" s="570"/>
      <c r="F613" s="570"/>
      <c r="G613" s="570"/>
      <c r="H613" s="570"/>
      <c r="I613" s="570"/>
      <c r="J613" s="570"/>
      <c r="K613" s="156"/>
      <c r="L613" s="156"/>
      <c r="M613" s="156"/>
      <c r="N613" s="154">
        <v>13660</v>
      </c>
      <c r="O613" s="154">
        <v>11611</v>
      </c>
    </row>
    <row r="614" spans="2:15" ht="36.75" customHeight="1" collapsed="1" x14ac:dyDescent="0.25">
      <c r="B614" s="151" t="s">
        <v>1471</v>
      </c>
      <c r="C614" s="152">
        <v>771</v>
      </c>
      <c r="D614" s="153">
        <v>124</v>
      </c>
      <c r="E614" s="151" t="s">
        <v>1167</v>
      </c>
      <c r="F614" s="151" t="s">
        <v>1461</v>
      </c>
      <c r="G614" s="151" t="s">
        <v>149</v>
      </c>
      <c r="H614" s="151" t="s">
        <v>1168</v>
      </c>
      <c r="I614" s="151" t="s">
        <v>1316</v>
      </c>
      <c r="J614" s="151" t="s">
        <v>82</v>
      </c>
      <c r="K614" s="154">
        <v>28360</v>
      </c>
      <c r="L614" s="154">
        <v>14860</v>
      </c>
      <c r="M614" s="155">
        <v>10.5</v>
      </c>
      <c r="N614" s="154">
        <v>13500</v>
      </c>
      <c r="O614" s="154">
        <v>12082.5</v>
      </c>
    </row>
    <row r="615" spans="2:15" ht="12.75" hidden="1" customHeight="1" outlineLevel="1" x14ac:dyDescent="0.25">
      <c r="B615" s="570" t="s">
        <v>511</v>
      </c>
      <c r="C615" s="570"/>
      <c r="D615" s="570"/>
      <c r="E615" s="570"/>
      <c r="F615" s="570"/>
      <c r="G615" s="570"/>
      <c r="H615" s="570"/>
      <c r="I615" s="570"/>
      <c r="J615" s="570"/>
      <c r="K615" s="156"/>
      <c r="L615" s="156"/>
      <c r="M615" s="156"/>
      <c r="N615" s="154">
        <v>13500</v>
      </c>
      <c r="O615" s="154">
        <v>12082.5</v>
      </c>
    </row>
    <row r="616" spans="2:15" ht="36.75" customHeight="1" collapsed="1" x14ac:dyDescent="0.25">
      <c r="B616" s="151" t="s">
        <v>1476</v>
      </c>
      <c r="C616" s="152">
        <v>776</v>
      </c>
      <c r="D616" s="153">
        <v>129</v>
      </c>
      <c r="E616" s="151" t="s">
        <v>1167</v>
      </c>
      <c r="F616" s="151" t="s">
        <v>160</v>
      </c>
      <c r="G616" s="151" t="s">
        <v>164</v>
      </c>
      <c r="H616" s="151" t="s">
        <v>1168</v>
      </c>
      <c r="I616" s="151" t="s">
        <v>1316</v>
      </c>
      <c r="J616" s="151" t="s">
        <v>82</v>
      </c>
      <c r="K616" s="154">
        <v>39780</v>
      </c>
      <c r="L616" s="154">
        <v>24080</v>
      </c>
      <c r="M616" s="155">
        <v>10.5</v>
      </c>
      <c r="N616" s="154">
        <v>15700</v>
      </c>
      <c r="O616" s="154">
        <v>14051.5</v>
      </c>
    </row>
    <row r="617" spans="2:15" ht="12.75" hidden="1" customHeight="1" outlineLevel="1" x14ac:dyDescent="0.25">
      <c r="B617" s="570" t="s">
        <v>511</v>
      </c>
      <c r="C617" s="570"/>
      <c r="D617" s="570"/>
      <c r="E617" s="570"/>
      <c r="F617" s="570"/>
      <c r="G617" s="570"/>
      <c r="H617" s="570"/>
      <c r="I617" s="570"/>
      <c r="J617" s="570"/>
      <c r="K617" s="156"/>
      <c r="L617" s="156"/>
      <c r="M617" s="156"/>
      <c r="N617" s="154">
        <v>15700</v>
      </c>
      <c r="O617" s="154">
        <v>14051.5</v>
      </c>
    </row>
    <row r="618" spans="2:15" ht="36.75" customHeight="1" collapsed="1" x14ac:dyDescent="0.25">
      <c r="B618" s="151" t="s">
        <v>1472</v>
      </c>
      <c r="C618" s="152">
        <v>772</v>
      </c>
      <c r="D618" s="153">
        <v>125</v>
      </c>
      <c r="E618" s="151" t="s">
        <v>1167</v>
      </c>
      <c r="F618" s="151" t="s">
        <v>1373</v>
      </c>
      <c r="G618" s="151" t="s">
        <v>1374</v>
      </c>
      <c r="H618" s="151" t="s">
        <v>1168</v>
      </c>
      <c r="I618" s="151" t="s">
        <v>1316</v>
      </c>
      <c r="J618" s="151" t="s">
        <v>82</v>
      </c>
      <c r="K618" s="154">
        <v>37730</v>
      </c>
      <c r="L618" s="154">
        <v>24240</v>
      </c>
      <c r="M618" s="155">
        <v>8.5</v>
      </c>
      <c r="N618" s="154">
        <v>13490</v>
      </c>
      <c r="O618" s="154">
        <v>12343.3</v>
      </c>
    </row>
    <row r="619" spans="2:15" ht="12.75" hidden="1" customHeight="1" outlineLevel="1" x14ac:dyDescent="0.25">
      <c r="B619" s="570" t="s">
        <v>511</v>
      </c>
      <c r="C619" s="570"/>
      <c r="D619" s="570"/>
      <c r="E619" s="570"/>
      <c r="F619" s="570"/>
      <c r="G619" s="570"/>
      <c r="H619" s="570"/>
      <c r="I619" s="570"/>
      <c r="J619" s="570"/>
      <c r="K619" s="156"/>
      <c r="L619" s="156"/>
      <c r="M619" s="156"/>
      <c r="N619" s="154">
        <v>13490</v>
      </c>
      <c r="O619" s="154">
        <v>12343.3</v>
      </c>
    </row>
    <row r="620" spans="2:15" ht="36.75" customHeight="1" collapsed="1" x14ac:dyDescent="0.25">
      <c r="B620" s="151" t="s">
        <v>1492</v>
      </c>
      <c r="C620" s="152">
        <v>777</v>
      </c>
      <c r="D620" s="153">
        <v>130</v>
      </c>
      <c r="E620" s="151" t="s">
        <v>1167</v>
      </c>
      <c r="F620" s="151" t="s">
        <v>1253</v>
      </c>
      <c r="G620" s="151" t="s">
        <v>270</v>
      </c>
      <c r="H620" s="151" t="s">
        <v>1168</v>
      </c>
      <c r="I620" s="151" t="s">
        <v>1316</v>
      </c>
      <c r="J620" s="151" t="s">
        <v>82</v>
      </c>
      <c r="K620" s="154">
        <v>25390</v>
      </c>
      <c r="L620" s="154">
        <v>14880</v>
      </c>
      <c r="M620" s="155">
        <v>12</v>
      </c>
      <c r="N620" s="154">
        <v>10510</v>
      </c>
      <c r="O620" s="154">
        <v>9248.7999999999993</v>
      </c>
    </row>
    <row r="621" spans="2:15" ht="12.75" hidden="1" customHeight="1" outlineLevel="1" x14ac:dyDescent="0.25">
      <c r="B621" s="570" t="s">
        <v>511</v>
      </c>
      <c r="C621" s="570"/>
      <c r="D621" s="570"/>
      <c r="E621" s="570"/>
      <c r="F621" s="570"/>
      <c r="G621" s="570"/>
      <c r="H621" s="570"/>
      <c r="I621" s="570"/>
      <c r="J621" s="570"/>
      <c r="K621" s="156"/>
      <c r="L621" s="156"/>
      <c r="M621" s="156"/>
      <c r="N621" s="154">
        <v>10510</v>
      </c>
      <c r="O621" s="154">
        <v>9248.7999999999993</v>
      </c>
    </row>
    <row r="622" spans="2:15" ht="36.75" customHeight="1" collapsed="1" x14ac:dyDescent="0.25">
      <c r="B622" s="151" t="s">
        <v>1523</v>
      </c>
      <c r="C622" s="152">
        <v>785</v>
      </c>
      <c r="D622" s="153">
        <v>131</v>
      </c>
      <c r="E622" s="151" t="s">
        <v>1167</v>
      </c>
      <c r="F622" s="151" t="s">
        <v>1151</v>
      </c>
      <c r="G622" s="151" t="s">
        <v>145</v>
      </c>
      <c r="H622" s="151" t="s">
        <v>1485</v>
      </c>
      <c r="I622" s="151" t="s">
        <v>909</v>
      </c>
      <c r="J622" s="151" t="s">
        <v>82</v>
      </c>
      <c r="K622" s="154">
        <v>29340</v>
      </c>
      <c r="L622" s="154">
        <v>15610</v>
      </c>
      <c r="M622" s="155">
        <v>7</v>
      </c>
      <c r="N622" s="154">
        <v>13730</v>
      </c>
      <c r="O622" s="154">
        <v>12768.9</v>
      </c>
    </row>
    <row r="623" spans="2:15" ht="12.75" hidden="1" customHeight="1" outlineLevel="1" x14ac:dyDescent="0.25">
      <c r="B623" s="570" t="s">
        <v>550</v>
      </c>
      <c r="C623" s="570"/>
      <c r="D623" s="570"/>
      <c r="E623" s="570"/>
      <c r="F623" s="570"/>
      <c r="G623" s="570"/>
      <c r="H623" s="570"/>
      <c r="I623" s="570"/>
      <c r="J623" s="570"/>
      <c r="K623" s="156"/>
      <c r="L623" s="156"/>
      <c r="M623" s="156"/>
      <c r="N623" s="154">
        <v>13730</v>
      </c>
      <c r="O623" s="154">
        <v>12768.9</v>
      </c>
    </row>
    <row r="624" spans="2:15" ht="36.75" customHeight="1" collapsed="1" x14ac:dyDescent="0.25">
      <c r="B624" s="151" t="s">
        <v>1524</v>
      </c>
      <c r="C624" s="152">
        <v>786</v>
      </c>
      <c r="D624" s="153">
        <v>132</v>
      </c>
      <c r="E624" s="151" t="s">
        <v>1167</v>
      </c>
      <c r="F624" s="151" t="s">
        <v>1367</v>
      </c>
      <c r="G624" s="151" t="s">
        <v>1368</v>
      </c>
      <c r="H624" s="151" t="s">
        <v>1485</v>
      </c>
      <c r="I624" s="151" t="s">
        <v>909</v>
      </c>
      <c r="J624" s="151" t="s">
        <v>82</v>
      </c>
      <c r="K624" s="154">
        <v>28240</v>
      </c>
      <c r="L624" s="154">
        <v>14910</v>
      </c>
      <c r="M624" s="155">
        <v>12.5</v>
      </c>
      <c r="N624" s="154">
        <v>13330</v>
      </c>
      <c r="O624" s="154">
        <v>11663.7</v>
      </c>
    </row>
    <row r="625" spans="2:15" ht="12.75" hidden="1" customHeight="1" outlineLevel="1" x14ac:dyDescent="0.25">
      <c r="B625" s="570" t="s">
        <v>511</v>
      </c>
      <c r="C625" s="570"/>
      <c r="D625" s="570"/>
      <c r="E625" s="570"/>
      <c r="F625" s="570"/>
      <c r="G625" s="570"/>
      <c r="H625" s="570"/>
      <c r="I625" s="570"/>
      <c r="J625" s="570"/>
      <c r="K625" s="156"/>
      <c r="L625" s="156"/>
      <c r="M625" s="156"/>
      <c r="N625" s="154">
        <v>13330</v>
      </c>
      <c r="O625" s="154">
        <v>11663.7</v>
      </c>
    </row>
    <row r="626" spans="2:15" ht="36.75" customHeight="1" collapsed="1" x14ac:dyDescent="0.25">
      <c r="B626" s="151" t="s">
        <v>1525</v>
      </c>
      <c r="C626" s="152">
        <v>787</v>
      </c>
      <c r="D626" s="153">
        <v>133</v>
      </c>
      <c r="E626" s="151" t="s">
        <v>1167</v>
      </c>
      <c r="F626" s="151" t="s">
        <v>272</v>
      </c>
      <c r="G626" s="151" t="s">
        <v>276</v>
      </c>
      <c r="H626" s="151" t="s">
        <v>1485</v>
      </c>
      <c r="I626" s="151" t="s">
        <v>909</v>
      </c>
      <c r="J626" s="151" t="s">
        <v>82</v>
      </c>
      <c r="K626" s="154">
        <v>28220</v>
      </c>
      <c r="L626" s="154">
        <v>14770</v>
      </c>
      <c r="M626" s="155">
        <v>9.5</v>
      </c>
      <c r="N626" s="154">
        <v>13450</v>
      </c>
      <c r="O626" s="154">
        <v>12172.2</v>
      </c>
    </row>
    <row r="627" spans="2:15" ht="12.75" hidden="1" customHeight="1" outlineLevel="1" x14ac:dyDescent="0.25">
      <c r="B627" s="570" t="s">
        <v>511</v>
      </c>
      <c r="C627" s="570"/>
      <c r="D627" s="570"/>
      <c r="E627" s="570"/>
      <c r="F627" s="570"/>
      <c r="G627" s="570"/>
      <c r="H627" s="570"/>
      <c r="I627" s="570"/>
      <c r="J627" s="570"/>
      <c r="K627" s="156"/>
      <c r="L627" s="156"/>
      <c r="M627" s="156"/>
      <c r="N627" s="154">
        <v>13450</v>
      </c>
      <c r="O627" s="154">
        <v>12172.2</v>
      </c>
    </row>
    <row r="628" spans="2:15" ht="36.75" customHeight="1" collapsed="1" x14ac:dyDescent="0.25">
      <c r="B628" s="151" t="s">
        <v>1526</v>
      </c>
      <c r="C628" s="152">
        <v>788</v>
      </c>
      <c r="D628" s="153">
        <v>134</v>
      </c>
      <c r="E628" s="151" t="s">
        <v>1167</v>
      </c>
      <c r="F628" s="151" t="s">
        <v>1461</v>
      </c>
      <c r="G628" s="151" t="s">
        <v>149</v>
      </c>
      <c r="H628" s="151" t="s">
        <v>1485</v>
      </c>
      <c r="I628" s="151" t="s">
        <v>909</v>
      </c>
      <c r="J628" s="151" t="s">
        <v>82</v>
      </c>
      <c r="K628" s="154">
        <v>27930</v>
      </c>
      <c r="L628" s="154">
        <v>15000</v>
      </c>
      <c r="M628" s="155">
        <v>15.5</v>
      </c>
      <c r="N628" s="154">
        <v>12930</v>
      </c>
      <c r="O628" s="154">
        <v>10925.8</v>
      </c>
    </row>
    <row r="629" spans="2:15" ht="12.75" hidden="1" customHeight="1" outlineLevel="1" x14ac:dyDescent="0.25">
      <c r="B629" s="570" t="s">
        <v>511</v>
      </c>
      <c r="C629" s="570"/>
      <c r="D629" s="570"/>
      <c r="E629" s="570"/>
      <c r="F629" s="570"/>
      <c r="G629" s="570"/>
      <c r="H629" s="570"/>
      <c r="I629" s="570"/>
      <c r="J629" s="570"/>
      <c r="K629" s="156"/>
      <c r="L629" s="156"/>
      <c r="M629" s="156"/>
      <c r="N629" s="154">
        <v>12930</v>
      </c>
      <c r="O629" s="154">
        <v>10925.8</v>
      </c>
    </row>
    <row r="630" spans="2:15" ht="36.75" customHeight="1" collapsed="1" x14ac:dyDescent="0.25">
      <c r="B630" s="151" t="s">
        <v>1527</v>
      </c>
      <c r="C630" s="152">
        <v>789</v>
      </c>
      <c r="D630" s="153">
        <v>135</v>
      </c>
      <c r="E630" s="151" t="s">
        <v>1167</v>
      </c>
      <c r="F630" s="151" t="s">
        <v>1373</v>
      </c>
      <c r="G630" s="151" t="s">
        <v>1374</v>
      </c>
      <c r="H630" s="151" t="s">
        <v>1485</v>
      </c>
      <c r="I630" s="151" t="s">
        <v>909</v>
      </c>
      <c r="J630" s="151" t="s">
        <v>82</v>
      </c>
      <c r="K630" s="154">
        <v>37350</v>
      </c>
      <c r="L630" s="154">
        <v>24190</v>
      </c>
      <c r="M630" s="155">
        <v>14.5</v>
      </c>
      <c r="N630" s="154">
        <v>13160</v>
      </c>
      <c r="O630" s="154">
        <v>11251.8</v>
      </c>
    </row>
    <row r="631" spans="2:15" ht="12.75" hidden="1" customHeight="1" outlineLevel="1" x14ac:dyDescent="0.25">
      <c r="B631" s="570" t="s">
        <v>550</v>
      </c>
      <c r="C631" s="570"/>
      <c r="D631" s="570"/>
      <c r="E631" s="570"/>
      <c r="F631" s="570"/>
      <c r="G631" s="570"/>
      <c r="H631" s="570"/>
      <c r="I631" s="570"/>
      <c r="J631" s="570"/>
      <c r="K631" s="156"/>
      <c r="L631" s="156"/>
      <c r="M631" s="156"/>
      <c r="N631" s="154">
        <v>13160</v>
      </c>
      <c r="O631" s="154">
        <v>11251.8</v>
      </c>
    </row>
    <row r="632" spans="2:15" ht="36.75" customHeight="1" collapsed="1" x14ac:dyDescent="0.25">
      <c r="B632" s="151" t="s">
        <v>1528</v>
      </c>
      <c r="C632" s="152">
        <v>790</v>
      </c>
      <c r="D632" s="153">
        <v>137</v>
      </c>
      <c r="E632" s="151" t="s">
        <v>1167</v>
      </c>
      <c r="F632" s="151" t="s">
        <v>212</v>
      </c>
      <c r="G632" s="151" t="s">
        <v>216</v>
      </c>
      <c r="H632" s="151" t="s">
        <v>1485</v>
      </c>
      <c r="I632" s="151" t="s">
        <v>909</v>
      </c>
      <c r="J632" s="151" t="s">
        <v>82</v>
      </c>
      <c r="K632" s="154">
        <v>26940</v>
      </c>
      <c r="L632" s="154">
        <v>13810</v>
      </c>
      <c r="M632" s="155">
        <v>15.5</v>
      </c>
      <c r="N632" s="154">
        <v>13130</v>
      </c>
      <c r="O632" s="154">
        <v>11094.8</v>
      </c>
    </row>
    <row r="633" spans="2:15" ht="12.75" hidden="1" customHeight="1" outlineLevel="1" x14ac:dyDescent="0.25">
      <c r="B633" s="570" t="s">
        <v>550</v>
      </c>
      <c r="C633" s="570"/>
      <c r="D633" s="570"/>
      <c r="E633" s="570"/>
      <c r="F633" s="570"/>
      <c r="G633" s="570"/>
      <c r="H633" s="570"/>
      <c r="I633" s="570"/>
      <c r="J633" s="570"/>
      <c r="K633" s="156"/>
      <c r="L633" s="156"/>
      <c r="M633" s="156"/>
      <c r="N633" s="154">
        <v>13130</v>
      </c>
      <c r="O633" s="154">
        <v>11094.8</v>
      </c>
    </row>
    <row r="634" spans="2:15" ht="36.75" customHeight="1" collapsed="1" x14ac:dyDescent="0.25">
      <c r="B634" s="151" t="s">
        <v>1529</v>
      </c>
      <c r="C634" s="152">
        <v>791</v>
      </c>
      <c r="D634" s="153">
        <v>136</v>
      </c>
      <c r="E634" s="151" t="s">
        <v>1167</v>
      </c>
      <c r="F634" s="151" t="s">
        <v>239</v>
      </c>
      <c r="G634" s="151" t="s">
        <v>243</v>
      </c>
      <c r="H634" s="151" t="s">
        <v>1485</v>
      </c>
      <c r="I634" s="151" t="s">
        <v>1530</v>
      </c>
      <c r="J634" s="151" t="s">
        <v>82</v>
      </c>
      <c r="K634" s="154">
        <v>27500</v>
      </c>
      <c r="L634" s="154">
        <v>14560</v>
      </c>
      <c r="M634" s="155">
        <v>10.5</v>
      </c>
      <c r="N634" s="154">
        <v>12940</v>
      </c>
      <c r="O634" s="154">
        <v>11581.3</v>
      </c>
    </row>
    <row r="635" spans="2:15" ht="12.75" hidden="1" customHeight="1" outlineLevel="1" x14ac:dyDescent="0.25">
      <c r="B635" s="570" t="s">
        <v>550</v>
      </c>
      <c r="C635" s="570"/>
      <c r="D635" s="570"/>
      <c r="E635" s="570"/>
      <c r="F635" s="570"/>
      <c r="G635" s="570"/>
      <c r="H635" s="570"/>
      <c r="I635" s="570"/>
      <c r="J635" s="570"/>
      <c r="K635" s="156"/>
      <c r="L635" s="156"/>
      <c r="M635" s="156"/>
      <c r="N635" s="154">
        <v>12940</v>
      </c>
      <c r="O635" s="154">
        <v>11581.3</v>
      </c>
    </row>
    <row r="636" spans="2:15" ht="36.75" customHeight="1" collapsed="1" x14ac:dyDescent="0.25">
      <c r="B636" s="151" t="s">
        <v>1531</v>
      </c>
      <c r="C636" s="152">
        <v>792</v>
      </c>
      <c r="D636" s="153">
        <v>138</v>
      </c>
      <c r="E636" s="151" t="s">
        <v>1167</v>
      </c>
      <c r="F636" s="151" t="s">
        <v>347</v>
      </c>
      <c r="G636" s="151" t="s">
        <v>351</v>
      </c>
      <c r="H636" s="151" t="s">
        <v>1485</v>
      </c>
      <c r="I636" s="151" t="s">
        <v>1530</v>
      </c>
      <c r="J636" s="151" t="s">
        <v>82</v>
      </c>
      <c r="K636" s="154">
        <v>28780</v>
      </c>
      <c r="L636" s="154">
        <v>15730</v>
      </c>
      <c r="M636" s="155">
        <v>7.5</v>
      </c>
      <c r="N636" s="154">
        <v>13050</v>
      </c>
      <c r="O636" s="154">
        <v>12071.2</v>
      </c>
    </row>
    <row r="637" spans="2:15" ht="12.75" hidden="1" customHeight="1" outlineLevel="1" x14ac:dyDescent="0.25">
      <c r="B637" s="570" t="s">
        <v>550</v>
      </c>
      <c r="C637" s="570"/>
      <c r="D637" s="570"/>
      <c r="E637" s="570"/>
      <c r="F637" s="570"/>
      <c r="G637" s="570"/>
      <c r="H637" s="570"/>
      <c r="I637" s="570"/>
      <c r="J637" s="570"/>
      <c r="K637" s="156"/>
      <c r="L637" s="156"/>
      <c r="M637" s="156"/>
      <c r="N637" s="154">
        <v>13050</v>
      </c>
      <c r="O637" s="154">
        <v>12071.2</v>
      </c>
    </row>
    <row r="638" spans="2:15" ht="36.75" customHeight="1" collapsed="1" x14ac:dyDescent="0.25">
      <c r="B638" s="151" t="s">
        <v>1532</v>
      </c>
      <c r="C638" s="152">
        <v>793</v>
      </c>
      <c r="D638" s="153">
        <v>139</v>
      </c>
      <c r="E638" s="151" t="s">
        <v>1167</v>
      </c>
      <c r="F638" s="151" t="s">
        <v>1312</v>
      </c>
      <c r="G638" s="151" t="s">
        <v>320</v>
      </c>
      <c r="H638" s="151" t="s">
        <v>1485</v>
      </c>
      <c r="I638" s="151" t="s">
        <v>1530</v>
      </c>
      <c r="J638" s="151" t="s">
        <v>82</v>
      </c>
      <c r="K638" s="154">
        <v>27400</v>
      </c>
      <c r="L638" s="154">
        <v>14420</v>
      </c>
      <c r="M638" s="155">
        <v>12.5</v>
      </c>
      <c r="N638" s="154">
        <v>12980</v>
      </c>
      <c r="O638" s="154">
        <v>11357.5</v>
      </c>
    </row>
    <row r="639" spans="2:15" ht="12.75" hidden="1" customHeight="1" outlineLevel="1" x14ac:dyDescent="0.25">
      <c r="B639" s="570" t="s">
        <v>833</v>
      </c>
      <c r="C639" s="570"/>
      <c r="D639" s="570"/>
      <c r="E639" s="570"/>
      <c r="F639" s="570"/>
      <c r="G639" s="570"/>
      <c r="H639" s="570"/>
      <c r="I639" s="570"/>
      <c r="J639" s="570"/>
      <c r="K639" s="156"/>
      <c r="L639" s="156"/>
      <c r="M639" s="156"/>
      <c r="N639" s="154">
        <v>12980</v>
      </c>
      <c r="O639" s="154">
        <v>11357.5</v>
      </c>
    </row>
    <row r="640" spans="2:15" ht="36.75" customHeight="1" collapsed="1" x14ac:dyDescent="0.25">
      <c r="B640" s="151" t="s">
        <v>1543</v>
      </c>
      <c r="C640" s="152">
        <v>795</v>
      </c>
      <c r="D640" s="153">
        <v>140</v>
      </c>
      <c r="E640" s="151" t="s">
        <v>1167</v>
      </c>
      <c r="F640" s="151" t="s">
        <v>894</v>
      </c>
      <c r="G640" s="151" t="s">
        <v>895</v>
      </c>
      <c r="H640" s="151" t="s">
        <v>1485</v>
      </c>
      <c r="I640" s="151" t="s">
        <v>1530</v>
      </c>
      <c r="J640" s="151" t="s">
        <v>82</v>
      </c>
      <c r="K640" s="154">
        <v>28010</v>
      </c>
      <c r="L640" s="154">
        <v>14870</v>
      </c>
      <c r="M640" s="155">
        <v>8.5</v>
      </c>
      <c r="N640" s="154">
        <v>13140</v>
      </c>
      <c r="O640" s="154">
        <v>12023.1</v>
      </c>
    </row>
    <row r="641" spans="2:15" ht="12.75" hidden="1" customHeight="1" outlineLevel="1" x14ac:dyDescent="0.25">
      <c r="B641" s="570" t="s">
        <v>550</v>
      </c>
      <c r="C641" s="570"/>
      <c r="D641" s="570"/>
      <c r="E641" s="570"/>
      <c r="F641" s="570"/>
      <c r="G641" s="570"/>
      <c r="H641" s="570"/>
      <c r="I641" s="570"/>
      <c r="J641" s="570"/>
      <c r="K641" s="156"/>
      <c r="L641" s="156"/>
      <c r="M641" s="156"/>
      <c r="N641" s="154">
        <v>13140</v>
      </c>
      <c r="O641" s="154">
        <v>12023.1</v>
      </c>
    </row>
    <row r="642" spans="2:15" ht="36.75" customHeight="1" collapsed="1" x14ac:dyDescent="0.25">
      <c r="B642" s="151" t="s">
        <v>1544</v>
      </c>
      <c r="C642" s="152">
        <v>796</v>
      </c>
      <c r="D642" s="153">
        <v>140</v>
      </c>
      <c r="E642" s="151" t="s">
        <v>1167</v>
      </c>
      <c r="F642" s="151" t="s">
        <v>1151</v>
      </c>
      <c r="G642" s="151" t="s">
        <v>145</v>
      </c>
      <c r="H642" s="151" t="s">
        <v>1485</v>
      </c>
      <c r="I642" s="151" t="s">
        <v>1530</v>
      </c>
      <c r="J642" s="151" t="s">
        <v>82</v>
      </c>
      <c r="K642" s="154">
        <v>29040</v>
      </c>
      <c r="L642" s="154">
        <v>15510</v>
      </c>
      <c r="M642" s="155">
        <v>7.5</v>
      </c>
      <c r="N642" s="154">
        <v>13530</v>
      </c>
      <c r="O642" s="154">
        <v>12515.2</v>
      </c>
    </row>
    <row r="643" spans="2:15" ht="12.75" hidden="1" customHeight="1" outlineLevel="1" x14ac:dyDescent="0.25">
      <c r="B643" s="570" t="s">
        <v>833</v>
      </c>
      <c r="C643" s="570"/>
      <c r="D643" s="570"/>
      <c r="E643" s="570"/>
      <c r="F643" s="570"/>
      <c r="G643" s="570"/>
      <c r="H643" s="570"/>
      <c r="I643" s="570"/>
      <c r="J643" s="570"/>
      <c r="K643" s="156"/>
      <c r="L643" s="156"/>
      <c r="M643" s="156"/>
      <c r="N643" s="154">
        <v>13530</v>
      </c>
      <c r="O643" s="154">
        <v>12515.2</v>
      </c>
    </row>
    <row r="644" spans="2:15" ht="36.75" customHeight="1" collapsed="1" x14ac:dyDescent="0.25">
      <c r="B644" s="151" t="s">
        <v>1547</v>
      </c>
      <c r="C644" s="152">
        <v>799</v>
      </c>
      <c r="D644" s="153">
        <v>143</v>
      </c>
      <c r="E644" s="151" t="s">
        <v>1167</v>
      </c>
      <c r="F644" s="151" t="s">
        <v>160</v>
      </c>
      <c r="G644" s="151" t="s">
        <v>164</v>
      </c>
      <c r="H644" s="151" t="s">
        <v>1485</v>
      </c>
      <c r="I644" s="151" t="s">
        <v>1530</v>
      </c>
      <c r="J644" s="151" t="s">
        <v>82</v>
      </c>
      <c r="K644" s="154">
        <v>37250</v>
      </c>
      <c r="L644" s="154">
        <v>24060</v>
      </c>
      <c r="M644" s="155">
        <v>7.5</v>
      </c>
      <c r="N644" s="154">
        <v>13190</v>
      </c>
      <c r="O644" s="154">
        <v>12200.7</v>
      </c>
    </row>
    <row r="645" spans="2:15" ht="12.75" hidden="1" customHeight="1" outlineLevel="1" x14ac:dyDescent="0.25">
      <c r="B645" s="570" t="s">
        <v>833</v>
      </c>
      <c r="C645" s="570"/>
      <c r="D645" s="570"/>
      <c r="E645" s="570"/>
      <c r="F645" s="570"/>
      <c r="G645" s="570"/>
      <c r="H645" s="570"/>
      <c r="I645" s="570"/>
      <c r="J645" s="570"/>
      <c r="K645" s="156"/>
      <c r="L645" s="156"/>
      <c r="M645" s="156"/>
      <c r="N645" s="154">
        <v>13190</v>
      </c>
      <c r="O645" s="154">
        <v>12200.7</v>
      </c>
    </row>
    <row r="646" spans="2:15" ht="36.75" customHeight="1" collapsed="1" x14ac:dyDescent="0.25">
      <c r="B646" s="151" t="s">
        <v>1548</v>
      </c>
      <c r="C646" s="152">
        <v>800</v>
      </c>
      <c r="D646" s="153">
        <v>144</v>
      </c>
      <c r="E646" s="151" t="s">
        <v>1167</v>
      </c>
      <c r="F646" s="151" t="s">
        <v>335</v>
      </c>
      <c r="G646" s="151" t="s">
        <v>339</v>
      </c>
      <c r="H646" s="151" t="s">
        <v>1485</v>
      </c>
      <c r="I646" s="151" t="s">
        <v>1530</v>
      </c>
      <c r="J646" s="151" t="s">
        <v>82</v>
      </c>
      <c r="K646" s="154">
        <v>27910</v>
      </c>
      <c r="L646" s="154">
        <v>15020</v>
      </c>
      <c r="M646" s="155">
        <v>9.5</v>
      </c>
      <c r="N646" s="154">
        <v>12890</v>
      </c>
      <c r="O646" s="154">
        <v>11665.4</v>
      </c>
    </row>
    <row r="647" spans="2:15" ht="12.75" hidden="1" customHeight="1" outlineLevel="1" x14ac:dyDescent="0.25">
      <c r="B647" s="570" t="s">
        <v>833</v>
      </c>
      <c r="C647" s="570"/>
      <c r="D647" s="570"/>
      <c r="E647" s="570"/>
      <c r="F647" s="570"/>
      <c r="G647" s="570"/>
      <c r="H647" s="570"/>
      <c r="I647" s="570"/>
      <c r="J647" s="570"/>
      <c r="K647" s="156"/>
      <c r="L647" s="156"/>
      <c r="M647" s="156"/>
      <c r="N647" s="154">
        <v>12890</v>
      </c>
      <c r="O647" s="154">
        <v>11665.4</v>
      </c>
    </row>
    <row r="648" spans="2:15" ht="36.75" customHeight="1" collapsed="1" x14ac:dyDescent="0.25">
      <c r="B648" s="151" t="s">
        <v>1549</v>
      </c>
      <c r="C648" s="152">
        <v>801</v>
      </c>
      <c r="D648" s="153">
        <v>141</v>
      </c>
      <c r="E648" s="151" t="s">
        <v>1167</v>
      </c>
      <c r="F648" s="151" t="s">
        <v>1367</v>
      </c>
      <c r="G648" s="151" t="s">
        <v>1368</v>
      </c>
      <c r="H648" s="151" t="s">
        <v>1485</v>
      </c>
      <c r="I648" s="151" t="s">
        <v>1530</v>
      </c>
      <c r="J648" s="151" t="s">
        <v>82</v>
      </c>
      <c r="K648" s="154">
        <v>27130</v>
      </c>
      <c r="L648" s="154">
        <v>14830</v>
      </c>
      <c r="M648" s="155">
        <v>25.5</v>
      </c>
      <c r="N648" s="154">
        <v>12300</v>
      </c>
      <c r="O648" s="154">
        <v>9163.5</v>
      </c>
    </row>
    <row r="649" spans="2:15" ht="12.75" hidden="1" customHeight="1" outlineLevel="1" x14ac:dyDescent="0.25">
      <c r="B649" s="570" t="s">
        <v>550</v>
      </c>
      <c r="C649" s="570"/>
      <c r="D649" s="570"/>
      <c r="E649" s="570"/>
      <c r="F649" s="570"/>
      <c r="G649" s="570"/>
      <c r="H649" s="570"/>
      <c r="I649" s="570"/>
      <c r="J649" s="570"/>
      <c r="K649" s="156"/>
      <c r="L649" s="156"/>
      <c r="M649" s="156"/>
      <c r="N649" s="154">
        <v>12300</v>
      </c>
      <c r="O649" s="154">
        <v>9163.5</v>
      </c>
    </row>
    <row r="650" spans="2:15" ht="36.75" customHeight="1" collapsed="1" x14ac:dyDescent="0.25">
      <c r="B650" s="151" t="s">
        <v>1550</v>
      </c>
      <c r="C650" s="152">
        <v>802</v>
      </c>
      <c r="D650" s="153">
        <v>147</v>
      </c>
      <c r="E650" s="151" t="s">
        <v>1167</v>
      </c>
      <c r="F650" s="151" t="s">
        <v>272</v>
      </c>
      <c r="G650" s="151" t="s">
        <v>276</v>
      </c>
      <c r="H650" s="151" t="s">
        <v>1485</v>
      </c>
      <c r="I650" s="151" t="s">
        <v>1530</v>
      </c>
      <c r="J650" s="151" t="s">
        <v>82</v>
      </c>
      <c r="K650" s="154">
        <v>26390</v>
      </c>
      <c r="L650" s="154">
        <v>14500</v>
      </c>
      <c r="M650" s="155">
        <v>11.5</v>
      </c>
      <c r="N650" s="154">
        <v>11890</v>
      </c>
      <c r="O650" s="154">
        <v>10522.6</v>
      </c>
    </row>
    <row r="651" spans="2:15" ht="12.75" hidden="1" customHeight="1" outlineLevel="1" x14ac:dyDescent="0.25">
      <c r="B651" s="570" t="s">
        <v>550</v>
      </c>
      <c r="C651" s="570"/>
      <c r="D651" s="570"/>
      <c r="E651" s="570"/>
      <c r="F651" s="570"/>
      <c r="G651" s="570"/>
      <c r="H651" s="570"/>
      <c r="I651" s="570"/>
      <c r="J651" s="570"/>
      <c r="K651" s="156"/>
      <c r="L651" s="156"/>
      <c r="M651" s="156"/>
      <c r="N651" s="154">
        <v>11890</v>
      </c>
      <c r="O651" s="154">
        <v>10522.6</v>
      </c>
    </row>
    <row r="652" spans="2:15" ht="36.75" customHeight="1" collapsed="1" x14ac:dyDescent="0.25">
      <c r="B652" s="151" t="s">
        <v>1551</v>
      </c>
      <c r="C652" s="152">
        <v>803</v>
      </c>
      <c r="D652" s="153">
        <v>145</v>
      </c>
      <c r="E652" s="151" t="s">
        <v>1167</v>
      </c>
      <c r="F652" s="151" t="s">
        <v>1461</v>
      </c>
      <c r="G652" s="151" t="s">
        <v>149</v>
      </c>
      <c r="H652" s="151" t="s">
        <v>1485</v>
      </c>
      <c r="I652" s="151" t="s">
        <v>1530</v>
      </c>
      <c r="J652" s="151" t="s">
        <v>82</v>
      </c>
      <c r="K652" s="154">
        <v>26950</v>
      </c>
      <c r="L652" s="154">
        <v>14890</v>
      </c>
      <c r="M652" s="155">
        <v>16.5</v>
      </c>
      <c r="N652" s="154">
        <v>12060</v>
      </c>
      <c r="O652" s="154">
        <v>10070.1</v>
      </c>
    </row>
    <row r="653" spans="2:15" ht="12.75" hidden="1" customHeight="1" outlineLevel="1" x14ac:dyDescent="0.25">
      <c r="B653" s="570" t="s">
        <v>833</v>
      </c>
      <c r="C653" s="570"/>
      <c r="D653" s="570"/>
      <c r="E653" s="570"/>
      <c r="F653" s="570"/>
      <c r="G653" s="570"/>
      <c r="H653" s="570"/>
      <c r="I653" s="570"/>
      <c r="J653" s="570"/>
      <c r="K653" s="156"/>
      <c r="L653" s="156"/>
      <c r="M653" s="156"/>
      <c r="N653" s="154">
        <v>12060</v>
      </c>
      <c r="O653" s="154">
        <v>10070.1</v>
      </c>
    </row>
    <row r="654" spans="2:15" ht="36.75" customHeight="1" collapsed="1" x14ac:dyDescent="0.25">
      <c r="B654" s="151" t="s">
        <v>1552</v>
      </c>
      <c r="C654" s="152">
        <v>804</v>
      </c>
      <c r="D654" s="153">
        <v>146</v>
      </c>
      <c r="E654" s="151" t="s">
        <v>1167</v>
      </c>
      <c r="F654" s="151" t="s">
        <v>1373</v>
      </c>
      <c r="G654" s="151" t="s">
        <v>1374</v>
      </c>
      <c r="H654" s="151" t="s">
        <v>1485</v>
      </c>
      <c r="I654" s="151" t="s">
        <v>1530</v>
      </c>
      <c r="J654" s="151" t="s">
        <v>82</v>
      </c>
      <c r="K654" s="154">
        <v>38830</v>
      </c>
      <c r="L654" s="154">
        <v>24310</v>
      </c>
      <c r="M654" s="155">
        <v>26</v>
      </c>
      <c r="N654" s="154">
        <v>14520</v>
      </c>
      <c r="O654" s="154">
        <v>10744.8</v>
      </c>
    </row>
    <row r="655" spans="2:15" ht="12.75" hidden="1" customHeight="1" outlineLevel="1" x14ac:dyDescent="0.25">
      <c r="B655" s="570" t="s">
        <v>550</v>
      </c>
      <c r="C655" s="570"/>
      <c r="D655" s="570"/>
      <c r="E655" s="570"/>
      <c r="F655" s="570"/>
      <c r="G655" s="570"/>
      <c r="H655" s="570"/>
      <c r="I655" s="570"/>
      <c r="J655" s="570"/>
      <c r="K655" s="156"/>
      <c r="L655" s="156"/>
      <c r="M655" s="156"/>
      <c r="N655" s="154">
        <v>14520</v>
      </c>
      <c r="O655" s="154">
        <v>10744.8</v>
      </c>
    </row>
    <row r="656" spans="2:15" ht="36.75" customHeight="1" collapsed="1" x14ac:dyDescent="0.25">
      <c r="B656" s="151" t="s">
        <v>77</v>
      </c>
      <c r="C656" s="152">
        <v>104</v>
      </c>
      <c r="D656" s="153">
        <v>1</v>
      </c>
      <c r="E656" s="151" t="s">
        <v>78</v>
      </c>
      <c r="F656" s="151" t="s">
        <v>79</v>
      </c>
      <c r="G656" s="151" t="s">
        <v>80</v>
      </c>
      <c r="H656" s="151" t="s">
        <v>110</v>
      </c>
      <c r="I656" s="151" t="s">
        <v>81</v>
      </c>
      <c r="J656" s="151" t="s">
        <v>82</v>
      </c>
      <c r="K656" s="154">
        <v>11320</v>
      </c>
      <c r="L656" s="154">
        <v>9270</v>
      </c>
      <c r="M656" s="155">
        <v>22</v>
      </c>
      <c r="N656" s="154">
        <v>2050</v>
      </c>
      <c r="O656" s="154">
        <v>1599</v>
      </c>
    </row>
    <row r="657" spans="2:15" ht="12.75" hidden="1" customHeight="1" outlineLevel="1" x14ac:dyDescent="0.25">
      <c r="B657" s="570" t="s">
        <v>511</v>
      </c>
      <c r="C657" s="570"/>
      <c r="D657" s="570"/>
      <c r="E657" s="570"/>
      <c r="F657" s="570"/>
      <c r="G657" s="570"/>
      <c r="H657" s="570"/>
      <c r="I657" s="570"/>
      <c r="J657" s="570"/>
      <c r="K657" s="156"/>
      <c r="L657" s="156"/>
      <c r="M657" s="156"/>
      <c r="N657" s="154">
        <v>2050</v>
      </c>
      <c r="O657" s="154">
        <v>1599</v>
      </c>
    </row>
    <row r="658" spans="2:15" ht="36.75" customHeight="1" collapsed="1" x14ac:dyDescent="0.25">
      <c r="B658" s="151" t="s">
        <v>359</v>
      </c>
      <c r="C658" s="152">
        <v>102</v>
      </c>
      <c r="D658" s="153">
        <v>65889</v>
      </c>
      <c r="E658" s="151" t="s">
        <v>105</v>
      </c>
      <c r="F658" s="151" t="s">
        <v>79</v>
      </c>
      <c r="G658" s="151" t="s">
        <v>80</v>
      </c>
      <c r="H658" s="151" t="s">
        <v>460</v>
      </c>
      <c r="I658" s="151" t="s">
        <v>21</v>
      </c>
      <c r="J658" s="151" t="s">
        <v>82</v>
      </c>
      <c r="K658" s="154">
        <v>27380</v>
      </c>
      <c r="L658" s="154">
        <v>13950</v>
      </c>
      <c r="M658" s="155">
        <v>27</v>
      </c>
      <c r="N658" s="154">
        <v>13430</v>
      </c>
      <c r="O658" s="154">
        <v>9803.9</v>
      </c>
    </row>
    <row r="659" spans="2:15" ht="12.75" hidden="1" customHeight="1" outlineLevel="1" x14ac:dyDescent="0.25">
      <c r="B659" s="570" t="s">
        <v>511</v>
      </c>
      <c r="C659" s="570"/>
      <c r="D659" s="570"/>
      <c r="E659" s="570"/>
      <c r="F659" s="570"/>
      <c r="G659" s="570"/>
      <c r="H659" s="570"/>
      <c r="I659" s="570"/>
      <c r="J659" s="570"/>
      <c r="K659" s="156"/>
      <c r="L659" s="156"/>
      <c r="M659" s="156"/>
      <c r="N659" s="154">
        <v>13430</v>
      </c>
      <c r="O659" s="154">
        <v>9803.9</v>
      </c>
    </row>
    <row r="660" spans="2:15" ht="36.75" customHeight="1" collapsed="1" x14ac:dyDescent="0.25">
      <c r="B660" s="151" t="s">
        <v>360</v>
      </c>
      <c r="C660" s="152">
        <v>103</v>
      </c>
      <c r="D660" s="157">
        <v>65901</v>
      </c>
      <c r="E660" s="151" t="s">
        <v>105</v>
      </c>
      <c r="F660" s="151" t="s">
        <v>127</v>
      </c>
      <c r="G660" s="151" t="s">
        <v>131</v>
      </c>
      <c r="H660" s="151" t="s">
        <v>460</v>
      </c>
      <c r="I660" s="151" t="s">
        <v>21</v>
      </c>
      <c r="J660" s="151" t="s">
        <v>82</v>
      </c>
      <c r="K660" s="154">
        <v>28260</v>
      </c>
      <c r="L660" s="154">
        <v>14290</v>
      </c>
      <c r="M660" s="155">
        <v>26</v>
      </c>
      <c r="N660" s="154">
        <v>13970</v>
      </c>
      <c r="O660" s="154">
        <v>10337.799999999999</v>
      </c>
    </row>
    <row r="661" spans="2:15" ht="12.75" hidden="1" customHeight="1" outlineLevel="1" x14ac:dyDescent="0.25">
      <c r="B661" s="570" t="s">
        <v>511</v>
      </c>
      <c r="C661" s="570"/>
      <c r="D661" s="570"/>
      <c r="E661" s="570"/>
      <c r="F661" s="570"/>
      <c r="G661" s="570"/>
      <c r="H661" s="570"/>
      <c r="I661" s="570"/>
      <c r="J661" s="570"/>
      <c r="K661" s="156"/>
      <c r="L661" s="156"/>
      <c r="M661" s="156"/>
      <c r="N661" s="154">
        <v>13970</v>
      </c>
      <c r="O661" s="154">
        <v>10337.799999999999</v>
      </c>
    </row>
    <row r="662" spans="2:15" ht="36.75" customHeight="1" collapsed="1" x14ac:dyDescent="0.25">
      <c r="B662" s="151" t="s">
        <v>361</v>
      </c>
      <c r="C662" s="152">
        <v>105</v>
      </c>
      <c r="D662" s="153">
        <v>65902</v>
      </c>
      <c r="E662" s="151" t="s">
        <v>105</v>
      </c>
      <c r="F662" s="151" t="s">
        <v>212</v>
      </c>
      <c r="G662" s="151" t="s">
        <v>216</v>
      </c>
      <c r="H662" s="151" t="s">
        <v>460</v>
      </c>
      <c r="I662" s="151" t="s">
        <v>21</v>
      </c>
      <c r="J662" s="151" t="s">
        <v>82</v>
      </c>
      <c r="K662" s="154">
        <v>27680</v>
      </c>
      <c r="L662" s="154">
        <v>13880</v>
      </c>
      <c r="M662" s="155">
        <v>20</v>
      </c>
      <c r="N662" s="154">
        <v>13800</v>
      </c>
      <c r="O662" s="154">
        <v>11040</v>
      </c>
    </row>
    <row r="663" spans="2:15" ht="12.75" hidden="1" customHeight="1" outlineLevel="1" x14ac:dyDescent="0.25">
      <c r="B663" s="570" t="s">
        <v>511</v>
      </c>
      <c r="C663" s="570"/>
      <c r="D663" s="570"/>
      <c r="E663" s="570"/>
      <c r="F663" s="570"/>
      <c r="G663" s="570"/>
      <c r="H663" s="570"/>
      <c r="I663" s="570"/>
      <c r="J663" s="570"/>
      <c r="K663" s="156"/>
      <c r="L663" s="156"/>
      <c r="M663" s="156"/>
      <c r="N663" s="154">
        <v>13800</v>
      </c>
      <c r="O663" s="154">
        <v>11040</v>
      </c>
    </row>
    <row r="664" spans="2:15" ht="36.75" customHeight="1" collapsed="1" x14ac:dyDescent="0.25">
      <c r="B664" s="151" t="s">
        <v>362</v>
      </c>
      <c r="C664" s="152">
        <v>108</v>
      </c>
      <c r="D664" s="153">
        <v>65903</v>
      </c>
      <c r="E664" s="151" t="s">
        <v>105</v>
      </c>
      <c r="F664" s="151" t="s">
        <v>1152</v>
      </c>
      <c r="G664" s="151" t="s">
        <v>119</v>
      </c>
      <c r="H664" s="151" t="s">
        <v>460</v>
      </c>
      <c r="I664" s="151" t="s">
        <v>21</v>
      </c>
      <c r="J664" s="151" t="s">
        <v>82</v>
      </c>
      <c r="K664" s="154">
        <v>34970</v>
      </c>
      <c r="L664" s="154">
        <v>20920</v>
      </c>
      <c r="M664" s="155">
        <v>21</v>
      </c>
      <c r="N664" s="154">
        <v>14050</v>
      </c>
      <c r="O664" s="154">
        <v>11099.5</v>
      </c>
    </row>
    <row r="665" spans="2:15" ht="12.75" hidden="1" customHeight="1" outlineLevel="1" x14ac:dyDescent="0.25">
      <c r="B665" s="570" t="s">
        <v>511</v>
      </c>
      <c r="C665" s="570"/>
      <c r="D665" s="570"/>
      <c r="E665" s="570"/>
      <c r="F665" s="570"/>
      <c r="G665" s="570"/>
      <c r="H665" s="570"/>
      <c r="I665" s="570"/>
      <c r="J665" s="570"/>
      <c r="K665" s="156"/>
      <c r="L665" s="156"/>
      <c r="M665" s="156"/>
      <c r="N665" s="154">
        <v>14050</v>
      </c>
      <c r="O665" s="154">
        <v>11099.5</v>
      </c>
    </row>
    <row r="666" spans="2:15" ht="36.75" customHeight="1" collapsed="1" x14ac:dyDescent="0.25">
      <c r="B666" s="151" t="s">
        <v>363</v>
      </c>
      <c r="C666" s="152">
        <v>110</v>
      </c>
      <c r="D666" s="153">
        <v>65904</v>
      </c>
      <c r="E666" s="151" t="s">
        <v>105</v>
      </c>
      <c r="F666" s="151" t="s">
        <v>151</v>
      </c>
      <c r="G666" s="151" t="s">
        <v>155</v>
      </c>
      <c r="H666" s="151" t="s">
        <v>460</v>
      </c>
      <c r="I666" s="151" t="s">
        <v>21</v>
      </c>
      <c r="J666" s="151" t="s">
        <v>82</v>
      </c>
      <c r="K666" s="154">
        <v>28940</v>
      </c>
      <c r="L666" s="154">
        <v>14890</v>
      </c>
      <c r="M666" s="155">
        <v>31.5</v>
      </c>
      <c r="N666" s="154">
        <v>14050</v>
      </c>
      <c r="O666" s="154">
        <v>9624.2000000000007</v>
      </c>
    </row>
    <row r="667" spans="2:15" ht="12.75" hidden="1" customHeight="1" outlineLevel="1" x14ac:dyDescent="0.25">
      <c r="B667" s="570" t="s">
        <v>511</v>
      </c>
      <c r="C667" s="570"/>
      <c r="D667" s="570"/>
      <c r="E667" s="570"/>
      <c r="F667" s="570"/>
      <c r="G667" s="570"/>
      <c r="H667" s="570"/>
      <c r="I667" s="570"/>
      <c r="J667" s="570"/>
      <c r="K667" s="156"/>
      <c r="L667" s="156"/>
      <c r="M667" s="156"/>
      <c r="N667" s="154">
        <v>14050</v>
      </c>
      <c r="O667" s="154">
        <v>9624.2000000000007</v>
      </c>
    </row>
    <row r="668" spans="2:15" ht="36.75" customHeight="1" collapsed="1" x14ac:dyDescent="0.25">
      <c r="B668" s="151" t="s">
        <v>364</v>
      </c>
      <c r="C668" s="152">
        <v>111</v>
      </c>
      <c r="D668" s="153">
        <v>65905</v>
      </c>
      <c r="E668" s="151" t="s">
        <v>105</v>
      </c>
      <c r="F668" s="151" t="s">
        <v>160</v>
      </c>
      <c r="G668" s="151" t="s">
        <v>164</v>
      </c>
      <c r="H668" s="151" t="s">
        <v>460</v>
      </c>
      <c r="I668" s="151" t="s">
        <v>21</v>
      </c>
      <c r="J668" s="151" t="s">
        <v>82</v>
      </c>
      <c r="K668" s="154">
        <v>38160</v>
      </c>
      <c r="L668" s="154">
        <v>24140</v>
      </c>
      <c r="M668" s="155">
        <v>31.5</v>
      </c>
      <c r="N668" s="154">
        <v>14180</v>
      </c>
      <c r="O668" s="154">
        <v>9713.2999999999993</v>
      </c>
    </row>
    <row r="669" spans="2:15" ht="12.75" hidden="1" customHeight="1" outlineLevel="1" x14ac:dyDescent="0.25">
      <c r="B669" s="570" t="s">
        <v>511</v>
      </c>
      <c r="C669" s="570"/>
      <c r="D669" s="570"/>
      <c r="E669" s="570"/>
      <c r="F669" s="570"/>
      <c r="G669" s="570"/>
      <c r="H669" s="570"/>
      <c r="I669" s="570"/>
      <c r="J669" s="570"/>
      <c r="K669" s="156"/>
      <c r="L669" s="156"/>
      <c r="M669" s="156"/>
      <c r="N669" s="154">
        <v>14180</v>
      </c>
      <c r="O669" s="154">
        <v>9713.2999999999993</v>
      </c>
    </row>
    <row r="670" spans="2:15" ht="36.75" customHeight="1" collapsed="1" x14ac:dyDescent="0.25">
      <c r="B670" s="151" t="s">
        <v>366</v>
      </c>
      <c r="C670" s="152">
        <v>112</v>
      </c>
      <c r="D670" s="153">
        <v>65907</v>
      </c>
      <c r="E670" s="151" t="s">
        <v>105</v>
      </c>
      <c r="F670" s="151" t="s">
        <v>1151</v>
      </c>
      <c r="G670" s="151" t="s">
        <v>145</v>
      </c>
      <c r="H670" s="151" t="s">
        <v>460</v>
      </c>
      <c r="I670" s="151" t="s">
        <v>21</v>
      </c>
      <c r="J670" s="151" t="s">
        <v>82</v>
      </c>
      <c r="K670" s="154">
        <v>29800</v>
      </c>
      <c r="L670" s="154">
        <v>15690</v>
      </c>
      <c r="M670" s="155">
        <v>30.5</v>
      </c>
      <c r="N670" s="154">
        <v>14110</v>
      </c>
      <c r="O670" s="154">
        <v>9806.4</v>
      </c>
    </row>
    <row r="671" spans="2:15" ht="12.75" hidden="1" customHeight="1" outlineLevel="1" x14ac:dyDescent="0.25">
      <c r="B671" s="570" t="s">
        <v>511</v>
      </c>
      <c r="C671" s="570"/>
      <c r="D671" s="570"/>
      <c r="E671" s="570"/>
      <c r="F671" s="570"/>
      <c r="G671" s="570"/>
      <c r="H671" s="570"/>
      <c r="I671" s="570"/>
      <c r="J671" s="570"/>
      <c r="K671" s="156"/>
      <c r="L671" s="156"/>
      <c r="M671" s="156"/>
      <c r="N671" s="154">
        <v>14110</v>
      </c>
      <c r="O671" s="154">
        <v>9806.4</v>
      </c>
    </row>
    <row r="672" spans="2:15" ht="36.75" customHeight="1" collapsed="1" x14ac:dyDescent="0.25">
      <c r="B672" s="151" t="s">
        <v>367</v>
      </c>
      <c r="C672" s="152">
        <v>113</v>
      </c>
      <c r="D672" s="153">
        <v>65906</v>
      </c>
      <c r="E672" s="151" t="s">
        <v>105</v>
      </c>
      <c r="F672" s="151" t="s">
        <v>1461</v>
      </c>
      <c r="G672" s="151" t="s">
        <v>149</v>
      </c>
      <c r="H672" s="151" t="s">
        <v>460</v>
      </c>
      <c r="I672" s="151" t="s">
        <v>21</v>
      </c>
      <c r="J672" s="151" t="s">
        <v>82</v>
      </c>
      <c r="K672" s="154">
        <v>29560</v>
      </c>
      <c r="L672" s="154">
        <v>15050</v>
      </c>
      <c r="M672" s="155">
        <v>27.5</v>
      </c>
      <c r="N672" s="154">
        <v>14510</v>
      </c>
      <c r="O672" s="154">
        <v>10519.7</v>
      </c>
    </row>
    <row r="673" spans="2:15" ht="12.75" hidden="1" customHeight="1" outlineLevel="1" x14ac:dyDescent="0.25">
      <c r="B673" s="570" t="s">
        <v>511</v>
      </c>
      <c r="C673" s="570"/>
      <c r="D673" s="570"/>
      <c r="E673" s="570"/>
      <c r="F673" s="570"/>
      <c r="G673" s="570"/>
      <c r="H673" s="570"/>
      <c r="I673" s="570"/>
      <c r="J673" s="570"/>
      <c r="K673" s="156"/>
      <c r="L673" s="156"/>
      <c r="M673" s="156"/>
      <c r="N673" s="154">
        <v>14510</v>
      </c>
      <c r="O673" s="154">
        <v>10519.7</v>
      </c>
    </row>
    <row r="674" spans="2:15" ht="36.75" customHeight="1" collapsed="1" x14ac:dyDescent="0.25">
      <c r="B674" s="151" t="s">
        <v>368</v>
      </c>
      <c r="C674" s="152">
        <v>114</v>
      </c>
      <c r="D674" s="153">
        <v>65908</v>
      </c>
      <c r="E674" s="151" t="s">
        <v>105</v>
      </c>
      <c r="F674" s="151" t="s">
        <v>133</v>
      </c>
      <c r="G674" s="151" t="s">
        <v>137</v>
      </c>
      <c r="H674" s="151" t="s">
        <v>460</v>
      </c>
      <c r="I674" s="151" t="s">
        <v>21</v>
      </c>
      <c r="J674" s="151" t="s">
        <v>82</v>
      </c>
      <c r="K674" s="154">
        <v>28960</v>
      </c>
      <c r="L674" s="154">
        <v>14870</v>
      </c>
      <c r="M674" s="155">
        <v>30.5</v>
      </c>
      <c r="N674" s="154">
        <v>14090</v>
      </c>
      <c r="O674" s="154">
        <v>9792.5</v>
      </c>
    </row>
    <row r="675" spans="2:15" ht="12.75" hidden="1" customHeight="1" outlineLevel="1" x14ac:dyDescent="0.25">
      <c r="B675" s="570" t="s">
        <v>511</v>
      </c>
      <c r="C675" s="570"/>
      <c r="D675" s="570"/>
      <c r="E675" s="570"/>
      <c r="F675" s="570"/>
      <c r="G675" s="570"/>
      <c r="H675" s="570"/>
      <c r="I675" s="570"/>
      <c r="J675" s="570"/>
      <c r="K675" s="156"/>
      <c r="L675" s="156"/>
      <c r="M675" s="156"/>
      <c r="N675" s="154">
        <v>14090</v>
      </c>
      <c r="O675" s="154">
        <v>9792.5</v>
      </c>
    </row>
    <row r="676" spans="2:15" ht="36.75" customHeight="1" collapsed="1" x14ac:dyDescent="0.25">
      <c r="B676" s="151" t="s">
        <v>370</v>
      </c>
      <c r="C676" s="152">
        <v>117</v>
      </c>
      <c r="D676" s="153">
        <v>65910</v>
      </c>
      <c r="E676" s="151" t="s">
        <v>105</v>
      </c>
      <c r="F676" s="151" t="s">
        <v>166</v>
      </c>
      <c r="G676" s="151" t="s">
        <v>170</v>
      </c>
      <c r="H676" s="151" t="s">
        <v>460</v>
      </c>
      <c r="I676" s="151" t="s">
        <v>21</v>
      </c>
      <c r="J676" s="151" t="s">
        <v>82</v>
      </c>
      <c r="K676" s="154">
        <v>28830</v>
      </c>
      <c r="L676" s="154">
        <v>14830</v>
      </c>
      <c r="M676" s="155">
        <v>27.5</v>
      </c>
      <c r="N676" s="154">
        <v>14000</v>
      </c>
      <c r="O676" s="154">
        <v>10150</v>
      </c>
    </row>
    <row r="677" spans="2:15" ht="12.75" hidden="1" customHeight="1" outlineLevel="1" x14ac:dyDescent="0.25">
      <c r="B677" s="570" t="s">
        <v>511</v>
      </c>
      <c r="C677" s="570"/>
      <c r="D677" s="570"/>
      <c r="E677" s="570"/>
      <c r="F677" s="570"/>
      <c r="G677" s="570"/>
      <c r="H677" s="570"/>
      <c r="I677" s="570"/>
      <c r="J677" s="570"/>
      <c r="K677" s="156"/>
      <c r="L677" s="156"/>
      <c r="M677" s="156"/>
      <c r="N677" s="154">
        <v>14000</v>
      </c>
      <c r="O677" s="154">
        <v>10150</v>
      </c>
    </row>
    <row r="678" spans="2:15" ht="36.75" customHeight="1" collapsed="1" x14ac:dyDescent="0.25">
      <c r="B678" s="151" t="s">
        <v>371</v>
      </c>
      <c r="C678" s="152">
        <v>118</v>
      </c>
      <c r="D678" s="153">
        <v>65911</v>
      </c>
      <c r="E678" s="151" t="s">
        <v>105</v>
      </c>
      <c r="F678" s="151" t="s">
        <v>111</v>
      </c>
      <c r="G678" s="151" t="s">
        <v>114</v>
      </c>
      <c r="H678" s="151" t="s">
        <v>460</v>
      </c>
      <c r="I678" s="151" t="s">
        <v>21</v>
      </c>
      <c r="J678" s="151" t="s">
        <v>82</v>
      </c>
      <c r="K678" s="154">
        <v>29110</v>
      </c>
      <c r="L678" s="154">
        <v>15320</v>
      </c>
      <c r="M678" s="155">
        <v>30</v>
      </c>
      <c r="N678" s="154">
        <v>13790</v>
      </c>
      <c r="O678" s="154">
        <v>9653</v>
      </c>
    </row>
    <row r="679" spans="2:15" ht="12.75" hidden="1" customHeight="1" outlineLevel="1" x14ac:dyDescent="0.25">
      <c r="B679" s="570" t="s">
        <v>511</v>
      </c>
      <c r="C679" s="570"/>
      <c r="D679" s="570"/>
      <c r="E679" s="570"/>
      <c r="F679" s="570"/>
      <c r="G679" s="570"/>
      <c r="H679" s="570"/>
      <c r="I679" s="570"/>
      <c r="J679" s="570"/>
      <c r="K679" s="156"/>
      <c r="L679" s="156"/>
      <c r="M679" s="156"/>
      <c r="N679" s="154">
        <v>13790</v>
      </c>
      <c r="O679" s="154">
        <v>9653</v>
      </c>
    </row>
    <row r="680" spans="2:15" ht="36.75" customHeight="1" collapsed="1" x14ac:dyDescent="0.25">
      <c r="B680" s="151" t="s">
        <v>369</v>
      </c>
      <c r="C680" s="152">
        <v>115</v>
      </c>
      <c r="D680" s="153">
        <v>65909</v>
      </c>
      <c r="E680" s="151" t="s">
        <v>105</v>
      </c>
      <c r="F680" s="151" t="s">
        <v>121</v>
      </c>
      <c r="G680" s="151" t="s">
        <v>125</v>
      </c>
      <c r="H680" s="151" t="s">
        <v>460</v>
      </c>
      <c r="I680" s="151" t="s">
        <v>21</v>
      </c>
      <c r="J680" s="151" t="s">
        <v>82</v>
      </c>
      <c r="K680" s="154">
        <v>28680</v>
      </c>
      <c r="L680" s="154">
        <v>14580</v>
      </c>
      <c r="M680" s="155">
        <v>32</v>
      </c>
      <c r="N680" s="154">
        <v>14100</v>
      </c>
      <c r="O680" s="154">
        <v>9588</v>
      </c>
    </row>
    <row r="681" spans="2:15" ht="12.75" hidden="1" customHeight="1" outlineLevel="1" x14ac:dyDescent="0.25">
      <c r="B681" s="570" t="s">
        <v>511</v>
      </c>
      <c r="C681" s="570"/>
      <c r="D681" s="570"/>
      <c r="E681" s="570"/>
      <c r="F681" s="570"/>
      <c r="G681" s="570"/>
      <c r="H681" s="570"/>
      <c r="I681" s="570"/>
      <c r="J681" s="570"/>
      <c r="K681" s="156"/>
      <c r="L681" s="156"/>
      <c r="M681" s="156"/>
      <c r="N681" s="154">
        <v>14100</v>
      </c>
      <c r="O681" s="154">
        <v>9588</v>
      </c>
    </row>
    <row r="682" spans="2:15" ht="36.75" customHeight="1" collapsed="1" x14ac:dyDescent="0.25">
      <c r="B682" s="151" t="s">
        <v>372</v>
      </c>
      <c r="C682" s="152">
        <v>122</v>
      </c>
      <c r="D682" s="153">
        <v>2</v>
      </c>
      <c r="E682" s="151" t="s">
        <v>78</v>
      </c>
      <c r="F682" s="151" t="s">
        <v>111</v>
      </c>
      <c r="G682" s="151" t="s">
        <v>114</v>
      </c>
      <c r="H682" s="151" t="s">
        <v>110</v>
      </c>
      <c r="I682" s="151" t="s">
        <v>81</v>
      </c>
      <c r="J682" s="151" t="s">
        <v>82</v>
      </c>
      <c r="K682" s="154">
        <v>13930</v>
      </c>
      <c r="L682" s="154">
        <v>9710</v>
      </c>
      <c r="M682" s="155">
        <v>27</v>
      </c>
      <c r="N682" s="154">
        <v>4220</v>
      </c>
      <c r="O682" s="154">
        <v>3080.6</v>
      </c>
    </row>
    <row r="683" spans="2:15" ht="12.75" hidden="1" customHeight="1" outlineLevel="1" x14ac:dyDescent="0.25">
      <c r="B683" s="570" t="s">
        <v>511</v>
      </c>
      <c r="C683" s="570"/>
      <c r="D683" s="570"/>
      <c r="E683" s="570"/>
      <c r="F683" s="570"/>
      <c r="G683" s="570"/>
      <c r="H683" s="570"/>
      <c r="I683" s="570"/>
      <c r="J683" s="570"/>
      <c r="K683" s="156"/>
      <c r="L683" s="156"/>
      <c r="M683" s="156"/>
      <c r="N683" s="154">
        <v>4220</v>
      </c>
      <c r="O683" s="154">
        <v>3080.6</v>
      </c>
    </row>
    <row r="684" spans="2:15" ht="36.75" customHeight="1" collapsed="1" x14ac:dyDescent="0.25">
      <c r="B684" s="151" t="s">
        <v>373</v>
      </c>
      <c r="C684" s="152">
        <v>123</v>
      </c>
      <c r="D684" s="153">
        <v>3</v>
      </c>
      <c r="E684" s="151" t="s">
        <v>78</v>
      </c>
      <c r="F684" s="151" t="s">
        <v>111</v>
      </c>
      <c r="G684" s="151" t="s">
        <v>114</v>
      </c>
      <c r="H684" s="151" t="s">
        <v>110</v>
      </c>
      <c r="I684" s="151" t="s">
        <v>81</v>
      </c>
      <c r="J684" s="151" t="s">
        <v>82</v>
      </c>
      <c r="K684" s="154">
        <v>21910</v>
      </c>
      <c r="L684" s="154">
        <v>15390</v>
      </c>
      <c r="M684" s="155">
        <v>23</v>
      </c>
      <c r="N684" s="154">
        <v>6520</v>
      </c>
      <c r="O684" s="154">
        <v>5020.3999999999996</v>
      </c>
    </row>
    <row r="685" spans="2:15" ht="12.75" hidden="1" customHeight="1" outlineLevel="1" x14ac:dyDescent="0.25">
      <c r="B685" s="570" t="s">
        <v>511</v>
      </c>
      <c r="C685" s="570"/>
      <c r="D685" s="570"/>
      <c r="E685" s="570"/>
      <c r="F685" s="570"/>
      <c r="G685" s="570"/>
      <c r="H685" s="570"/>
      <c r="I685" s="570"/>
      <c r="J685" s="570"/>
      <c r="K685" s="156"/>
      <c r="L685" s="156"/>
      <c r="M685" s="156"/>
      <c r="N685" s="154">
        <v>6520</v>
      </c>
      <c r="O685" s="154">
        <v>5020.3999999999996</v>
      </c>
    </row>
    <row r="686" spans="2:15" ht="36.75" customHeight="1" collapsed="1" x14ac:dyDescent="0.25">
      <c r="B686" s="151" t="s">
        <v>374</v>
      </c>
      <c r="C686" s="152">
        <v>126</v>
      </c>
      <c r="D686" s="153">
        <v>4</v>
      </c>
      <c r="E686" s="151" t="s">
        <v>78</v>
      </c>
      <c r="F686" s="151" t="s">
        <v>127</v>
      </c>
      <c r="G686" s="151" t="s">
        <v>131</v>
      </c>
      <c r="H686" s="151" t="s">
        <v>110</v>
      </c>
      <c r="I686" s="151" t="s">
        <v>81</v>
      </c>
      <c r="J686" s="151" t="s">
        <v>82</v>
      </c>
      <c r="K686" s="154">
        <v>14120</v>
      </c>
      <c r="L686" s="154">
        <v>9740</v>
      </c>
      <c r="M686" s="155">
        <v>24.5</v>
      </c>
      <c r="N686" s="154">
        <v>4380</v>
      </c>
      <c r="O686" s="154">
        <v>3306.9</v>
      </c>
    </row>
    <row r="687" spans="2:15" ht="12.75" hidden="1" customHeight="1" outlineLevel="1" x14ac:dyDescent="0.25">
      <c r="B687" s="570" t="s">
        <v>511</v>
      </c>
      <c r="C687" s="570"/>
      <c r="D687" s="570"/>
      <c r="E687" s="570"/>
      <c r="F687" s="570"/>
      <c r="G687" s="570"/>
      <c r="H687" s="570"/>
      <c r="I687" s="570"/>
      <c r="J687" s="570"/>
      <c r="K687" s="156"/>
      <c r="L687" s="156"/>
      <c r="M687" s="156"/>
      <c r="N687" s="154">
        <v>4380</v>
      </c>
      <c r="O687" s="154">
        <v>3306.9</v>
      </c>
    </row>
    <row r="688" spans="2:15" ht="36.75" customHeight="1" collapsed="1" x14ac:dyDescent="0.25">
      <c r="B688" s="151" t="s">
        <v>375</v>
      </c>
      <c r="C688" s="152">
        <v>127</v>
      </c>
      <c r="D688" s="153">
        <v>5</v>
      </c>
      <c r="E688" s="151" t="s">
        <v>78</v>
      </c>
      <c r="F688" s="151" t="s">
        <v>127</v>
      </c>
      <c r="G688" s="151" t="s">
        <v>131</v>
      </c>
      <c r="H688" s="151" t="s">
        <v>110</v>
      </c>
      <c r="I688" s="151" t="s">
        <v>81</v>
      </c>
      <c r="J688" s="151" t="s">
        <v>82</v>
      </c>
      <c r="K688" s="154">
        <v>14320</v>
      </c>
      <c r="L688" s="154">
        <v>9730</v>
      </c>
      <c r="M688" s="155">
        <v>22.5</v>
      </c>
      <c r="N688" s="154">
        <v>4590</v>
      </c>
      <c r="O688" s="154">
        <v>3557.2</v>
      </c>
    </row>
    <row r="689" spans="2:15" ht="12.75" hidden="1" customHeight="1" outlineLevel="1" x14ac:dyDescent="0.25">
      <c r="B689" s="570" t="s">
        <v>511</v>
      </c>
      <c r="C689" s="570"/>
      <c r="D689" s="570"/>
      <c r="E689" s="570"/>
      <c r="F689" s="570"/>
      <c r="G689" s="570"/>
      <c r="H689" s="570"/>
      <c r="I689" s="570"/>
      <c r="J689" s="570"/>
      <c r="K689" s="156"/>
      <c r="L689" s="156"/>
      <c r="M689" s="156"/>
      <c r="N689" s="154">
        <v>4590</v>
      </c>
      <c r="O689" s="154">
        <v>3557.2</v>
      </c>
    </row>
    <row r="690" spans="2:15" ht="36.75" customHeight="1" collapsed="1" x14ac:dyDescent="0.25">
      <c r="B690" s="151" t="s">
        <v>376</v>
      </c>
      <c r="C690" s="152">
        <v>128</v>
      </c>
      <c r="D690" s="153">
        <v>6</v>
      </c>
      <c r="E690" s="151" t="s">
        <v>78</v>
      </c>
      <c r="F690" s="151" t="s">
        <v>127</v>
      </c>
      <c r="G690" s="151" t="s">
        <v>131</v>
      </c>
      <c r="H690" s="151" t="s">
        <v>110</v>
      </c>
      <c r="I690" s="151" t="s">
        <v>81</v>
      </c>
      <c r="J690" s="151" t="s">
        <v>82</v>
      </c>
      <c r="K690" s="154">
        <v>23120</v>
      </c>
      <c r="L690" s="154">
        <v>14360</v>
      </c>
      <c r="M690" s="155">
        <v>28.5</v>
      </c>
      <c r="N690" s="154">
        <v>8760</v>
      </c>
      <c r="O690" s="154">
        <v>6263.4</v>
      </c>
    </row>
    <row r="691" spans="2:15" ht="12.75" hidden="1" customHeight="1" outlineLevel="1" x14ac:dyDescent="0.25">
      <c r="B691" s="570" t="s">
        <v>511</v>
      </c>
      <c r="C691" s="570"/>
      <c r="D691" s="570"/>
      <c r="E691" s="570"/>
      <c r="F691" s="570"/>
      <c r="G691" s="570"/>
      <c r="H691" s="570"/>
      <c r="I691" s="570"/>
      <c r="J691" s="570"/>
      <c r="K691" s="156"/>
      <c r="L691" s="156"/>
      <c r="M691" s="156"/>
      <c r="N691" s="154">
        <v>8760</v>
      </c>
      <c r="O691" s="154">
        <v>6263.4</v>
      </c>
    </row>
    <row r="692" spans="2:15" ht="36.75" customHeight="1" collapsed="1" x14ac:dyDescent="0.25">
      <c r="B692" s="151" t="s">
        <v>377</v>
      </c>
      <c r="C692" s="152">
        <v>129</v>
      </c>
      <c r="D692" s="153">
        <v>7</v>
      </c>
      <c r="E692" s="151" t="s">
        <v>78</v>
      </c>
      <c r="F692" s="151" t="s">
        <v>127</v>
      </c>
      <c r="G692" s="151" t="s">
        <v>131</v>
      </c>
      <c r="H692" s="151" t="s">
        <v>110</v>
      </c>
      <c r="I692" s="151" t="s">
        <v>81</v>
      </c>
      <c r="J692" s="151" t="s">
        <v>82</v>
      </c>
      <c r="K692" s="154">
        <v>14470</v>
      </c>
      <c r="L692" s="154">
        <v>9700</v>
      </c>
      <c r="M692" s="155">
        <v>31</v>
      </c>
      <c r="N692" s="154">
        <v>4770</v>
      </c>
      <c r="O692" s="154">
        <v>3291.3</v>
      </c>
    </row>
    <row r="693" spans="2:15" ht="12.75" hidden="1" customHeight="1" outlineLevel="1" x14ac:dyDescent="0.25">
      <c r="B693" s="570" t="s">
        <v>511</v>
      </c>
      <c r="C693" s="570"/>
      <c r="D693" s="570"/>
      <c r="E693" s="570"/>
      <c r="F693" s="570"/>
      <c r="G693" s="570"/>
      <c r="H693" s="570"/>
      <c r="I693" s="570"/>
      <c r="J693" s="570"/>
      <c r="K693" s="156"/>
      <c r="L693" s="156"/>
      <c r="M693" s="156"/>
      <c r="N693" s="154">
        <v>4770</v>
      </c>
      <c r="O693" s="154">
        <v>3291.3</v>
      </c>
    </row>
    <row r="694" spans="2:15" ht="36.75" customHeight="1" collapsed="1" x14ac:dyDescent="0.25">
      <c r="B694" s="151" t="s">
        <v>378</v>
      </c>
      <c r="C694" s="152">
        <v>130</v>
      </c>
      <c r="D694" s="153">
        <v>8</v>
      </c>
      <c r="E694" s="151" t="s">
        <v>78</v>
      </c>
      <c r="F694" s="151" t="s">
        <v>127</v>
      </c>
      <c r="G694" s="151" t="s">
        <v>131</v>
      </c>
      <c r="H694" s="151" t="s">
        <v>110</v>
      </c>
      <c r="I694" s="151" t="s">
        <v>81</v>
      </c>
      <c r="J694" s="151" t="s">
        <v>82</v>
      </c>
      <c r="K694" s="154">
        <v>14140</v>
      </c>
      <c r="L694" s="154">
        <v>9690</v>
      </c>
      <c r="M694" s="155">
        <v>33</v>
      </c>
      <c r="N694" s="154">
        <v>4450</v>
      </c>
      <c r="O694" s="154">
        <v>2981.5</v>
      </c>
    </row>
    <row r="695" spans="2:15" ht="12.75" hidden="1" customHeight="1" outlineLevel="1" x14ac:dyDescent="0.25">
      <c r="B695" s="570" t="s">
        <v>511</v>
      </c>
      <c r="C695" s="570"/>
      <c r="D695" s="570"/>
      <c r="E695" s="570"/>
      <c r="F695" s="570"/>
      <c r="G695" s="570"/>
      <c r="H695" s="570"/>
      <c r="I695" s="570"/>
      <c r="J695" s="570"/>
      <c r="K695" s="156"/>
      <c r="L695" s="156"/>
      <c r="M695" s="156"/>
      <c r="N695" s="154">
        <v>4450</v>
      </c>
      <c r="O695" s="154">
        <v>2981.5</v>
      </c>
    </row>
    <row r="696" spans="2:15" ht="36.75" customHeight="1" collapsed="1" x14ac:dyDescent="0.25">
      <c r="B696" s="151" t="s">
        <v>379</v>
      </c>
      <c r="C696" s="152">
        <v>131</v>
      </c>
      <c r="D696" s="153">
        <v>9</v>
      </c>
      <c r="E696" s="151" t="s">
        <v>78</v>
      </c>
      <c r="F696" s="151" t="s">
        <v>127</v>
      </c>
      <c r="G696" s="151" t="s">
        <v>131</v>
      </c>
      <c r="H696" s="151" t="s">
        <v>110</v>
      </c>
      <c r="I696" s="151" t="s">
        <v>81</v>
      </c>
      <c r="J696" s="151" t="s">
        <v>82</v>
      </c>
      <c r="K696" s="154">
        <v>24430</v>
      </c>
      <c r="L696" s="154">
        <v>14330</v>
      </c>
      <c r="M696" s="155">
        <v>29</v>
      </c>
      <c r="N696" s="154">
        <v>10100</v>
      </c>
      <c r="O696" s="154">
        <v>7171</v>
      </c>
    </row>
    <row r="697" spans="2:15" ht="12.75" hidden="1" customHeight="1" outlineLevel="1" x14ac:dyDescent="0.25">
      <c r="B697" s="570" t="s">
        <v>511</v>
      </c>
      <c r="C697" s="570"/>
      <c r="D697" s="570"/>
      <c r="E697" s="570"/>
      <c r="F697" s="570"/>
      <c r="G697" s="570"/>
      <c r="H697" s="570"/>
      <c r="I697" s="570"/>
      <c r="J697" s="570"/>
      <c r="K697" s="156"/>
      <c r="L697" s="156"/>
      <c r="M697" s="156"/>
      <c r="N697" s="154">
        <v>10100</v>
      </c>
      <c r="O697" s="154">
        <v>7171</v>
      </c>
    </row>
    <row r="698" spans="2:15" ht="36.75" customHeight="1" collapsed="1" x14ac:dyDescent="0.25">
      <c r="B698" s="151" t="s">
        <v>380</v>
      </c>
      <c r="C698" s="152">
        <v>132</v>
      </c>
      <c r="D698" s="153">
        <v>10</v>
      </c>
      <c r="E698" s="151" t="s">
        <v>78</v>
      </c>
      <c r="F698" s="151" t="s">
        <v>127</v>
      </c>
      <c r="G698" s="151" t="s">
        <v>131</v>
      </c>
      <c r="H698" s="151" t="s">
        <v>110</v>
      </c>
      <c r="I698" s="151" t="s">
        <v>81</v>
      </c>
      <c r="J698" s="151" t="s">
        <v>82</v>
      </c>
      <c r="K698" s="154">
        <v>23580</v>
      </c>
      <c r="L698" s="154">
        <v>14320</v>
      </c>
      <c r="M698" s="155">
        <v>23</v>
      </c>
      <c r="N698" s="154">
        <v>9260</v>
      </c>
      <c r="O698" s="154">
        <v>7130.2</v>
      </c>
    </row>
    <row r="699" spans="2:15" ht="12.75" hidden="1" customHeight="1" outlineLevel="1" x14ac:dyDescent="0.25">
      <c r="B699" s="570" t="s">
        <v>511</v>
      </c>
      <c r="C699" s="570"/>
      <c r="D699" s="570"/>
      <c r="E699" s="570"/>
      <c r="F699" s="570"/>
      <c r="G699" s="570"/>
      <c r="H699" s="570"/>
      <c r="I699" s="570"/>
      <c r="J699" s="570"/>
      <c r="K699" s="156"/>
      <c r="L699" s="156"/>
      <c r="M699" s="156"/>
      <c r="N699" s="154">
        <v>9260</v>
      </c>
      <c r="O699" s="154">
        <v>7130.2</v>
      </c>
    </row>
    <row r="700" spans="2:15" ht="36.75" customHeight="1" collapsed="1" x14ac:dyDescent="0.25">
      <c r="B700" s="151" t="s">
        <v>381</v>
      </c>
      <c r="C700" s="152">
        <v>133</v>
      </c>
      <c r="D700" s="153">
        <v>11</v>
      </c>
      <c r="E700" s="151" t="s">
        <v>78</v>
      </c>
      <c r="F700" s="151" t="s">
        <v>127</v>
      </c>
      <c r="G700" s="151" t="s">
        <v>131</v>
      </c>
      <c r="H700" s="151" t="s">
        <v>110</v>
      </c>
      <c r="I700" s="151" t="s">
        <v>81</v>
      </c>
      <c r="J700" s="151" t="s">
        <v>82</v>
      </c>
      <c r="K700" s="154">
        <v>23620</v>
      </c>
      <c r="L700" s="154">
        <v>14320</v>
      </c>
      <c r="M700" s="155">
        <v>27</v>
      </c>
      <c r="N700" s="154">
        <v>9300</v>
      </c>
      <c r="O700" s="154">
        <v>6789</v>
      </c>
    </row>
    <row r="701" spans="2:15" ht="12.75" hidden="1" customHeight="1" outlineLevel="1" x14ac:dyDescent="0.25">
      <c r="B701" s="570" t="s">
        <v>511</v>
      </c>
      <c r="C701" s="570"/>
      <c r="D701" s="570"/>
      <c r="E701" s="570"/>
      <c r="F701" s="570"/>
      <c r="G701" s="570"/>
      <c r="H701" s="570"/>
      <c r="I701" s="570"/>
      <c r="J701" s="570"/>
      <c r="K701" s="156"/>
      <c r="L701" s="156"/>
      <c r="M701" s="156"/>
      <c r="N701" s="154">
        <v>9300</v>
      </c>
      <c r="O701" s="154">
        <v>6789</v>
      </c>
    </row>
    <row r="702" spans="2:15" ht="36.75" customHeight="1" collapsed="1" x14ac:dyDescent="0.25">
      <c r="B702" s="151" t="s">
        <v>383</v>
      </c>
      <c r="C702" s="152">
        <v>135</v>
      </c>
      <c r="D702" s="153">
        <v>13</v>
      </c>
      <c r="E702" s="151" t="s">
        <v>78</v>
      </c>
      <c r="F702" s="151" t="s">
        <v>127</v>
      </c>
      <c r="G702" s="151" t="s">
        <v>131</v>
      </c>
      <c r="H702" s="151" t="s">
        <v>110</v>
      </c>
      <c r="I702" s="151" t="s">
        <v>81</v>
      </c>
      <c r="J702" s="151" t="s">
        <v>82</v>
      </c>
      <c r="K702" s="154">
        <v>23430</v>
      </c>
      <c r="L702" s="154">
        <v>14300</v>
      </c>
      <c r="M702" s="155">
        <v>21</v>
      </c>
      <c r="N702" s="154">
        <v>9130</v>
      </c>
      <c r="O702" s="154">
        <v>7212.7</v>
      </c>
    </row>
    <row r="703" spans="2:15" ht="12.75" hidden="1" customHeight="1" outlineLevel="1" x14ac:dyDescent="0.25">
      <c r="B703" s="570" t="s">
        <v>511</v>
      </c>
      <c r="C703" s="570"/>
      <c r="D703" s="570"/>
      <c r="E703" s="570"/>
      <c r="F703" s="570"/>
      <c r="G703" s="570"/>
      <c r="H703" s="570"/>
      <c r="I703" s="570"/>
      <c r="J703" s="570"/>
      <c r="K703" s="156"/>
      <c r="L703" s="156"/>
      <c r="M703" s="156"/>
      <c r="N703" s="154">
        <v>9130</v>
      </c>
      <c r="O703" s="154">
        <v>7212.7</v>
      </c>
    </row>
    <row r="704" spans="2:15" ht="36.75" customHeight="1" collapsed="1" x14ac:dyDescent="0.25">
      <c r="B704" s="151" t="s">
        <v>382</v>
      </c>
      <c r="C704" s="152">
        <v>134</v>
      </c>
      <c r="D704" s="153">
        <v>12</v>
      </c>
      <c r="E704" s="151" t="s">
        <v>78</v>
      </c>
      <c r="F704" s="151" t="s">
        <v>127</v>
      </c>
      <c r="G704" s="151" t="s">
        <v>131</v>
      </c>
      <c r="H704" s="151" t="s">
        <v>110</v>
      </c>
      <c r="I704" s="151" t="s">
        <v>81</v>
      </c>
      <c r="J704" s="151" t="s">
        <v>82</v>
      </c>
      <c r="K704" s="154">
        <v>23600</v>
      </c>
      <c r="L704" s="154">
        <v>14310</v>
      </c>
      <c r="M704" s="155">
        <v>28</v>
      </c>
      <c r="N704" s="154">
        <v>9290</v>
      </c>
      <c r="O704" s="154">
        <v>6688.8</v>
      </c>
    </row>
    <row r="705" spans="2:15" ht="12.75" hidden="1" customHeight="1" outlineLevel="1" x14ac:dyDescent="0.25">
      <c r="B705" s="570" t="s">
        <v>511</v>
      </c>
      <c r="C705" s="570"/>
      <c r="D705" s="570"/>
      <c r="E705" s="570"/>
      <c r="F705" s="570"/>
      <c r="G705" s="570"/>
      <c r="H705" s="570"/>
      <c r="I705" s="570"/>
      <c r="J705" s="570"/>
      <c r="K705" s="156"/>
      <c r="L705" s="156"/>
      <c r="M705" s="156"/>
      <c r="N705" s="154">
        <v>9290</v>
      </c>
      <c r="O705" s="154">
        <v>6688.8</v>
      </c>
    </row>
    <row r="706" spans="2:15" ht="36.75" customHeight="1" collapsed="1" x14ac:dyDescent="0.25">
      <c r="B706" s="151" t="s">
        <v>384</v>
      </c>
      <c r="C706" s="152">
        <v>137</v>
      </c>
      <c r="D706" s="153">
        <v>14</v>
      </c>
      <c r="E706" s="151" t="s">
        <v>78</v>
      </c>
      <c r="F706" s="151" t="s">
        <v>212</v>
      </c>
      <c r="G706" s="151" t="s">
        <v>216</v>
      </c>
      <c r="H706" s="151" t="s">
        <v>110</v>
      </c>
      <c r="I706" s="151" t="s">
        <v>81</v>
      </c>
      <c r="J706" s="151" t="s">
        <v>82</v>
      </c>
      <c r="K706" s="154">
        <v>18150</v>
      </c>
      <c r="L706" s="154">
        <v>13850</v>
      </c>
      <c r="M706" s="155">
        <v>26</v>
      </c>
      <c r="N706" s="154">
        <v>4300</v>
      </c>
      <c r="O706" s="154">
        <v>3182</v>
      </c>
    </row>
    <row r="707" spans="2:15" ht="12.75" hidden="1" customHeight="1" outlineLevel="1" x14ac:dyDescent="0.25">
      <c r="B707" s="570" t="s">
        <v>511</v>
      </c>
      <c r="C707" s="570"/>
      <c r="D707" s="570"/>
      <c r="E707" s="570"/>
      <c r="F707" s="570"/>
      <c r="G707" s="570"/>
      <c r="H707" s="570"/>
      <c r="I707" s="570"/>
      <c r="J707" s="570"/>
      <c r="K707" s="156"/>
      <c r="L707" s="156"/>
      <c r="M707" s="156"/>
      <c r="N707" s="154">
        <v>4300</v>
      </c>
      <c r="O707" s="154">
        <v>3182</v>
      </c>
    </row>
    <row r="708" spans="2:15" ht="36.75" customHeight="1" collapsed="1" x14ac:dyDescent="0.25">
      <c r="B708" s="151" t="s">
        <v>385</v>
      </c>
      <c r="C708" s="152">
        <v>138</v>
      </c>
      <c r="D708" s="153">
        <v>15</v>
      </c>
      <c r="E708" s="151" t="s">
        <v>78</v>
      </c>
      <c r="F708" s="151" t="s">
        <v>212</v>
      </c>
      <c r="G708" s="151" t="s">
        <v>216</v>
      </c>
      <c r="H708" s="151" t="s">
        <v>110</v>
      </c>
      <c r="I708" s="151" t="s">
        <v>81</v>
      </c>
      <c r="J708" s="151" t="s">
        <v>82</v>
      </c>
      <c r="K708" s="154">
        <v>23060</v>
      </c>
      <c r="L708" s="154">
        <v>13840</v>
      </c>
      <c r="M708" s="155">
        <v>31</v>
      </c>
      <c r="N708" s="154">
        <v>9220</v>
      </c>
      <c r="O708" s="154">
        <v>6361.8</v>
      </c>
    </row>
    <row r="709" spans="2:15" ht="12.75" hidden="1" customHeight="1" outlineLevel="1" x14ac:dyDescent="0.25">
      <c r="B709" s="570" t="s">
        <v>511</v>
      </c>
      <c r="C709" s="570"/>
      <c r="D709" s="570"/>
      <c r="E709" s="570"/>
      <c r="F709" s="570"/>
      <c r="G709" s="570"/>
      <c r="H709" s="570"/>
      <c r="I709" s="570"/>
      <c r="J709" s="570"/>
      <c r="K709" s="156"/>
      <c r="L709" s="156"/>
      <c r="M709" s="156"/>
      <c r="N709" s="154">
        <v>9220</v>
      </c>
      <c r="O709" s="154">
        <v>6361.8</v>
      </c>
    </row>
    <row r="710" spans="2:15" ht="36.75" customHeight="1" collapsed="1" x14ac:dyDescent="0.25">
      <c r="B710" s="151" t="s">
        <v>386</v>
      </c>
      <c r="C710" s="152">
        <v>139</v>
      </c>
      <c r="D710" s="153">
        <v>65912</v>
      </c>
      <c r="E710" s="151" t="s">
        <v>105</v>
      </c>
      <c r="F710" s="151" t="s">
        <v>262</v>
      </c>
      <c r="G710" s="151" t="s">
        <v>266</v>
      </c>
      <c r="H710" s="151" t="s">
        <v>460</v>
      </c>
      <c r="I710" s="151" t="s">
        <v>21</v>
      </c>
      <c r="J710" s="151" t="s">
        <v>82</v>
      </c>
      <c r="K710" s="154">
        <v>28520</v>
      </c>
      <c r="L710" s="154">
        <v>14800</v>
      </c>
      <c r="M710" s="155">
        <v>17.5</v>
      </c>
      <c r="N710" s="154">
        <v>13720</v>
      </c>
      <c r="O710" s="154">
        <v>11319</v>
      </c>
    </row>
    <row r="711" spans="2:15" ht="12.75" hidden="1" customHeight="1" outlineLevel="1" x14ac:dyDescent="0.25">
      <c r="B711" s="570" t="s">
        <v>511</v>
      </c>
      <c r="C711" s="570"/>
      <c r="D711" s="570"/>
      <c r="E711" s="570"/>
      <c r="F711" s="570"/>
      <c r="G711" s="570"/>
      <c r="H711" s="570"/>
      <c r="I711" s="570"/>
      <c r="J711" s="570"/>
      <c r="K711" s="156"/>
      <c r="L711" s="156"/>
      <c r="M711" s="156"/>
      <c r="N711" s="154">
        <v>13720</v>
      </c>
      <c r="O711" s="154">
        <v>11319</v>
      </c>
    </row>
    <row r="712" spans="2:15" ht="36.75" customHeight="1" collapsed="1" x14ac:dyDescent="0.25">
      <c r="B712" s="151" t="s">
        <v>387</v>
      </c>
      <c r="C712" s="152">
        <v>140</v>
      </c>
      <c r="D712" s="153">
        <v>16</v>
      </c>
      <c r="E712" s="151" t="s">
        <v>78</v>
      </c>
      <c r="F712" s="151" t="s">
        <v>212</v>
      </c>
      <c r="G712" s="151" t="s">
        <v>216</v>
      </c>
      <c r="H712" s="151" t="s">
        <v>110</v>
      </c>
      <c r="I712" s="151" t="s">
        <v>81</v>
      </c>
      <c r="J712" s="151" t="s">
        <v>82</v>
      </c>
      <c r="K712" s="154">
        <v>27950</v>
      </c>
      <c r="L712" s="154">
        <v>13830</v>
      </c>
      <c r="M712" s="155">
        <v>28</v>
      </c>
      <c r="N712" s="154">
        <v>14120</v>
      </c>
      <c r="O712" s="154">
        <v>10166.4</v>
      </c>
    </row>
    <row r="713" spans="2:15" ht="12.75" hidden="1" customHeight="1" outlineLevel="1" x14ac:dyDescent="0.25">
      <c r="B713" s="570" t="s">
        <v>511</v>
      </c>
      <c r="C713" s="570"/>
      <c r="D713" s="570"/>
      <c r="E713" s="570"/>
      <c r="F713" s="570"/>
      <c r="G713" s="570"/>
      <c r="H713" s="570"/>
      <c r="I713" s="570"/>
      <c r="J713" s="570"/>
      <c r="K713" s="156"/>
      <c r="L713" s="156"/>
      <c r="M713" s="156"/>
      <c r="N713" s="154">
        <v>14120</v>
      </c>
      <c r="O713" s="154">
        <v>10166.4</v>
      </c>
    </row>
    <row r="714" spans="2:15" ht="36.75" customHeight="1" collapsed="1" x14ac:dyDescent="0.25">
      <c r="B714" s="151" t="s">
        <v>388</v>
      </c>
      <c r="C714" s="152">
        <v>141</v>
      </c>
      <c r="D714" s="153">
        <v>65914</v>
      </c>
      <c r="E714" s="151" t="s">
        <v>105</v>
      </c>
      <c r="F714" s="151" t="s">
        <v>79</v>
      </c>
      <c r="G714" s="151" t="s">
        <v>80</v>
      </c>
      <c r="H714" s="151" t="s">
        <v>460</v>
      </c>
      <c r="I714" s="151" t="s">
        <v>21</v>
      </c>
      <c r="J714" s="151" t="s">
        <v>82</v>
      </c>
      <c r="K714" s="154">
        <v>27720</v>
      </c>
      <c r="L714" s="154">
        <v>14090</v>
      </c>
      <c r="M714" s="155">
        <v>22</v>
      </c>
      <c r="N714" s="154">
        <v>13630</v>
      </c>
      <c r="O714" s="154">
        <v>10631.4</v>
      </c>
    </row>
    <row r="715" spans="2:15" ht="12.75" hidden="1" customHeight="1" outlineLevel="1" x14ac:dyDescent="0.25">
      <c r="B715" s="570" t="s">
        <v>511</v>
      </c>
      <c r="C715" s="570"/>
      <c r="D715" s="570"/>
      <c r="E715" s="570"/>
      <c r="F715" s="570"/>
      <c r="G715" s="570"/>
      <c r="H715" s="570"/>
      <c r="I715" s="570"/>
      <c r="J715" s="570"/>
      <c r="K715" s="156"/>
      <c r="L715" s="156"/>
      <c r="M715" s="156"/>
      <c r="N715" s="154">
        <v>13630</v>
      </c>
      <c r="O715" s="154">
        <v>10631.4</v>
      </c>
    </row>
    <row r="716" spans="2:15" ht="48.75" customHeight="1" collapsed="1" x14ac:dyDescent="0.25">
      <c r="B716" s="151" t="s">
        <v>389</v>
      </c>
      <c r="C716" s="152">
        <v>142</v>
      </c>
      <c r="D716" s="153">
        <v>65915</v>
      </c>
      <c r="E716" s="151" t="s">
        <v>105</v>
      </c>
      <c r="F716" s="151" t="s">
        <v>244</v>
      </c>
      <c r="G716" s="151" t="s">
        <v>248</v>
      </c>
      <c r="H716" s="151" t="s">
        <v>460</v>
      </c>
      <c r="I716" s="151" t="s">
        <v>21</v>
      </c>
      <c r="J716" s="151" t="s">
        <v>82</v>
      </c>
      <c r="K716" s="154">
        <v>29140</v>
      </c>
      <c r="L716" s="154">
        <v>15640</v>
      </c>
      <c r="M716" s="155">
        <v>21</v>
      </c>
      <c r="N716" s="154">
        <v>13500</v>
      </c>
      <c r="O716" s="154">
        <v>10665</v>
      </c>
    </row>
    <row r="717" spans="2:15" ht="12.75" hidden="1" customHeight="1" outlineLevel="1" x14ac:dyDescent="0.25">
      <c r="B717" s="570" t="s">
        <v>511</v>
      </c>
      <c r="C717" s="570"/>
      <c r="D717" s="570"/>
      <c r="E717" s="570"/>
      <c r="F717" s="570"/>
      <c r="G717" s="570"/>
      <c r="H717" s="570"/>
      <c r="I717" s="570"/>
      <c r="J717" s="570"/>
      <c r="K717" s="156"/>
      <c r="L717" s="156"/>
      <c r="M717" s="156"/>
      <c r="N717" s="154">
        <v>13500</v>
      </c>
      <c r="O717" s="154">
        <v>10665</v>
      </c>
    </row>
    <row r="718" spans="2:15" ht="36.75" customHeight="1" collapsed="1" x14ac:dyDescent="0.25">
      <c r="B718" s="151" t="s">
        <v>391</v>
      </c>
      <c r="C718" s="152">
        <v>144</v>
      </c>
      <c r="D718" s="153">
        <v>65917</v>
      </c>
      <c r="E718" s="151" t="s">
        <v>105</v>
      </c>
      <c r="F718" s="151" t="s">
        <v>195</v>
      </c>
      <c r="G718" s="151" t="s">
        <v>199</v>
      </c>
      <c r="H718" s="151" t="s">
        <v>460</v>
      </c>
      <c r="I718" s="151" t="s">
        <v>21</v>
      </c>
      <c r="J718" s="151" t="s">
        <v>82</v>
      </c>
      <c r="K718" s="154">
        <v>29030</v>
      </c>
      <c r="L718" s="154">
        <v>15150</v>
      </c>
      <c r="M718" s="155">
        <v>22</v>
      </c>
      <c r="N718" s="154">
        <v>13880</v>
      </c>
      <c r="O718" s="154">
        <v>10826.4</v>
      </c>
    </row>
    <row r="719" spans="2:15" ht="12.75" hidden="1" customHeight="1" outlineLevel="1" x14ac:dyDescent="0.25">
      <c r="B719" s="570" t="s">
        <v>511</v>
      </c>
      <c r="C719" s="570"/>
      <c r="D719" s="570"/>
      <c r="E719" s="570"/>
      <c r="F719" s="570"/>
      <c r="G719" s="570"/>
      <c r="H719" s="570"/>
      <c r="I719" s="570"/>
      <c r="J719" s="570"/>
      <c r="K719" s="156"/>
      <c r="L719" s="156"/>
      <c r="M719" s="156"/>
      <c r="N719" s="154">
        <v>13880</v>
      </c>
      <c r="O719" s="154">
        <v>10826.4</v>
      </c>
    </row>
    <row r="720" spans="2:15" ht="36.75" customHeight="1" collapsed="1" x14ac:dyDescent="0.25">
      <c r="B720" s="151" t="s">
        <v>393</v>
      </c>
      <c r="C720" s="152">
        <v>145</v>
      </c>
      <c r="D720" s="153">
        <v>17</v>
      </c>
      <c r="E720" s="151" t="s">
        <v>78</v>
      </c>
      <c r="F720" s="151" t="s">
        <v>79</v>
      </c>
      <c r="G720" s="151" t="s">
        <v>80</v>
      </c>
      <c r="H720" s="151" t="s">
        <v>110</v>
      </c>
      <c r="I720" s="151" t="s">
        <v>81</v>
      </c>
      <c r="J720" s="151" t="s">
        <v>82</v>
      </c>
      <c r="K720" s="154">
        <v>26540</v>
      </c>
      <c r="L720" s="154">
        <v>14200</v>
      </c>
      <c r="M720" s="155">
        <v>31</v>
      </c>
      <c r="N720" s="154">
        <v>12340</v>
      </c>
      <c r="O720" s="154">
        <v>8514.6</v>
      </c>
    </row>
    <row r="721" spans="2:15" ht="12.75" hidden="1" customHeight="1" outlineLevel="1" x14ac:dyDescent="0.25">
      <c r="B721" s="570" t="s">
        <v>511</v>
      </c>
      <c r="C721" s="570"/>
      <c r="D721" s="570"/>
      <c r="E721" s="570"/>
      <c r="F721" s="570"/>
      <c r="G721" s="570"/>
      <c r="H721" s="570"/>
      <c r="I721" s="570"/>
      <c r="J721" s="570"/>
      <c r="K721" s="156"/>
      <c r="L721" s="156"/>
      <c r="M721" s="156"/>
      <c r="N721" s="154">
        <v>12340</v>
      </c>
      <c r="O721" s="154">
        <v>8514.6</v>
      </c>
    </row>
    <row r="722" spans="2:15" ht="36.75" customHeight="1" collapsed="1" x14ac:dyDescent="0.25">
      <c r="B722" s="151" t="s">
        <v>392</v>
      </c>
      <c r="C722" s="152">
        <v>146</v>
      </c>
      <c r="D722" s="153">
        <v>65918</v>
      </c>
      <c r="E722" s="151" t="s">
        <v>105</v>
      </c>
      <c r="F722" s="151" t="s">
        <v>234</v>
      </c>
      <c r="G722" s="151" t="s">
        <v>238</v>
      </c>
      <c r="H722" s="151" t="s">
        <v>460</v>
      </c>
      <c r="I722" s="151" t="s">
        <v>21</v>
      </c>
      <c r="J722" s="151" t="s">
        <v>82</v>
      </c>
      <c r="K722" s="154">
        <v>29310</v>
      </c>
      <c r="L722" s="154">
        <v>15540</v>
      </c>
      <c r="M722" s="155">
        <v>27</v>
      </c>
      <c r="N722" s="154">
        <v>13770</v>
      </c>
      <c r="O722" s="154">
        <v>10052.1</v>
      </c>
    </row>
    <row r="723" spans="2:15" ht="12.75" hidden="1" customHeight="1" outlineLevel="1" x14ac:dyDescent="0.25">
      <c r="B723" s="570" t="s">
        <v>511</v>
      </c>
      <c r="C723" s="570"/>
      <c r="D723" s="570"/>
      <c r="E723" s="570"/>
      <c r="F723" s="570"/>
      <c r="G723" s="570"/>
      <c r="H723" s="570"/>
      <c r="I723" s="570"/>
      <c r="J723" s="570"/>
      <c r="K723" s="156"/>
      <c r="L723" s="156"/>
      <c r="M723" s="156"/>
      <c r="N723" s="154">
        <v>13770</v>
      </c>
      <c r="O723" s="154">
        <v>10052.1</v>
      </c>
    </row>
    <row r="724" spans="2:15" ht="36.75" customHeight="1" collapsed="1" x14ac:dyDescent="0.25">
      <c r="B724" s="151" t="s">
        <v>394</v>
      </c>
      <c r="C724" s="152">
        <v>147</v>
      </c>
      <c r="D724" s="153">
        <v>65919</v>
      </c>
      <c r="E724" s="151" t="s">
        <v>105</v>
      </c>
      <c r="F724" s="151" t="s">
        <v>249</v>
      </c>
      <c r="G724" s="151" t="s">
        <v>253</v>
      </c>
      <c r="H724" s="151" t="s">
        <v>460</v>
      </c>
      <c r="I724" s="151" t="s">
        <v>21</v>
      </c>
      <c r="J724" s="151" t="s">
        <v>82</v>
      </c>
      <c r="K724" s="154">
        <v>28810</v>
      </c>
      <c r="L724" s="154">
        <v>15140</v>
      </c>
      <c r="M724" s="155">
        <v>25</v>
      </c>
      <c r="N724" s="154">
        <v>13670</v>
      </c>
      <c r="O724" s="154">
        <v>10252.5</v>
      </c>
    </row>
    <row r="725" spans="2:15" ht="12.75" hidden="1" customHeight="1" outlineLevel="1" x14ac:dyDescent="0.25">
      <c r="B725" s="570" t="s">
        <v>511</v>
      </c>
      <c r="C725" s="570"/>
      <c r="D725" s="570"/>
      <c r="E725" s="570"/>
      <c r="F725" s="570"/>
      <c r="G725" s="570"/>
      <c r="H725" s="570"/>
      <c r="I725" s="570"/>
      <c r="J725" s="570"/>
      <c r="K725" s="156"/>
      <c r="L725" s="156"/>
      <c r="M725" s="156"/>
      <c r="N725" s="154">
        <v>13670</v>
      </c>
      <c r="O725" s="154">
        <v>10252.5</v>
      </c>
    </row>
    <row r="726" spans="2:15" ht="36.75" customHeight="1" collapsed="1" x14ac:dyDescent="0.25">
      <c r="B726" s="151" t="s">
        <v>390</v>
      </c>
      <c r="C726" s="152">
        <v>143</v>
      </c>
      <c r="D726" s="153">
        <v>65916</v>
      </c>
      <c r="E726" s="151" t="s">
        <v>105</v>
      </c>
      <c r="F726" s="151" t="s">
        <v>239</v>
      </c>
      <c r="G726" s="151" t="s">
        <v>243</v>
      </c>
      <c r="H726" s="151" t="s">
        <v>460</v>
      </c>
      <c r="I726" s="151" t="s">
        <v>21</v>
      </c>
      <c r="J726" s="151" t="s">
        <v>82</v>
      </c>
      <c r="K726" s="154">
        <v>28320</v>
      </c>
      <c r="L726" s="154">
        <v>14490</v>
      </c>
      <c r="M726" s="155">
        <v>17</v>
      </c>
      <c r="N726" s="154">
        <v>13830</v>
      </c>
      <c r="O726" s="154">
        <v>11478.9</v>
      </c>
    </row>
    <row r="727" spans="2:15" ht="12.75" hidden="1" customHeight="1" outlineLevel="1" x14ac:dyDescent="0.25">
      <c r="B727" s="570" t="s">
        <v>511</v>
      </c>
      <c r="C727" s="570"/>
      <c r="D727" s="570"/>
      <c r="E727" s="570"/>
      <c r="F727" s="570"/>
      <c r="G727" s="570"/>
      <c r="H727" s="570"/>
      <c r="I727" s="570"/>
      <c r="J727" s="570"/>
      <c r="K727" s="156"/>
      <c r="L727" s="156"/>
      <c r="M727" s="156"/>
      <c r="N727" s="154">
        <v>13830</v>
      </c>
      <c r="O727" s="154">
        <v>11478.9</v>
      </c>
    </row>
    <row r="728" spans="2:15" ht="36.75" customHeight="1" collapsed="1" x14ac:dyDescent="0.25">
      <c r="B728" s="151" t="s">
        <v>395</v>
      </c>
      <c r="C728" s="152">
        <v>150</v>
      </c>
      <c r="D728" s="153">
        <v>65920</v>
      </c>
      <c r="E728" s="151" t="s">
        <v>105</v>
      </c>
      <c r="F728" s="151" t="s">
        <v>254</v>
      </c>
      <c r="G728" s="151" t="s">
        <v>258</v>
      </c>
      <c r="H728" s="151" t="s">
        <v>460</v>
      </c>
      <c r="I728" s="151" t="s">
        <v>21</v>
      </c>
      <c r="J728" s="151" t="s">
        <v>82</v>
      </c>
      <c r="K728" s="154">
        <v>28330</v>
      </c>
      <c r="L728" s="154">
        <v>14550</v>
      </c>
      <c r="M728" s="155">
        <v>24</v>
      </c>
      <c r="N728" s="154">
        <v>13780</v>
      </c>
      <c r="O728" s="154">
        <v>10472.799999999999</v>
      </c>
    </row>
    <row r="729" spans="2:15" ht="12.75" hidden="1" customHeight="1" outlineLevel="1" x14ac:dyDescent="0.25">
      <c r="B729" s="570" t="s">
        <v>511</v>
      </c>
      <c r="C729" s="570"/>
      <c r="D729" s="570"/>
      <c r="E729" s="570"/>
      <c r="F729" s="570"/>
      <c r="G729" s="570"/>
      <c r="H729" s="570"/>
      <c r="I729" s="570"/>
      <c r="J729" s="570"/>
      <c r="K729" s="156"/>
      <c r="L729" s="156"/>
      <c r="M729" s="156"/>
      <c r="N729" s="154">
        <v>13780</v>
      </c>
      <c r="O729" s="154">
        <v>10472.799999999999</v>
      </c>
    </row>
    <row r="730" spans="2:15" ht="36.75" customHeight="1" collapsed="1" x14ac:dyDescent="0.25">
      <c r="B730" s="151" t="s">
        <v>396</v>
      </c>
      <c r="C730" s="152">
        <v>151</v>
      </c>
      <c r="D730" s="153">
        <v>65921</v>
      </c>
      <c r="E730" s="151" t="s">
        <v>105</v>
      </c>
      <c r="F730" s="151" t="s">
        <v>272</v>
      </c>
      <c r="G730" s="151" t="s">
        <v>276</v>
      </c>
      <c r="H730" s="151" t="s">
        <v>460</v>
      </c>
      <c r="I730" s="151" t="s">
        <v>21</v>
      </c>
      <c r="J730" s="151" t="s">
        <v>82</v>
      </c>
      <c r="K730" s="154">
        <v>28370</v>
      </c>
      <c r="L730" s="154">
        <v>14790</v>
      </c>
      <c r="M730" s="155">
        <v>21</v>
      </c>
      <c r="N730" s="154">
        <v>13580</v>
      </c>
      <c r="O730" s="154">
        <v>10728.2</v>
      </c>
    </row>
    <row r="731" spans="2:15" ht="12.75" hidden="1" customHeight="1" outlineLevel="1" x14ac:dyDescent="0.25">
      <c r="B731" s="570" t="s">
        <v>511</v>
      </c>
      <c r="C731" s="570"/>
      <c r="D731" s="570"/>
      <c r="E731" s="570"/>
      <c r="F731" s="570"/>
      <c r="G731" s="570"/>
      <c r="H731" s="570"/>
      <c r="I731" s="570"/>
      <c r="J731" s="570"/>
      <c r="K731" s="156"/>
      <c r="L731" s="156"/>
      <c r="M731" s="156"/>
      <c r="N731" s="154">
        <v>13580</v>
      </c>
      <c r="O731" s="154">
        <v>10728.2</v>
      </c>
    </row>
    <row r="732" spans="2:15" ht="36.75" customHeight="1" collapsed="1" x14ac:dyDescent="0.25">
      <c r="B732" s="151" t="s">
        <v>397</v>
      </c>
      <c r="C732" s="152">
        <v>152</v>
      </c>
      <c r="D732" s="153">
        <v>65922</v>
      </c>
      <c r="E732" s="151" t="s">
        <v>105</v>
      </c>
      <c r="F732" s="151" t="s">
        <v>1253</v>
      </c>
      <c r="G732" s="151" t="s">
        <v>270</v>
      </c>
      <c r="H732" s="151" t="s">
        <v>460</v>
      </c>
      <c r="I732" s="151" t="s">
        <v>21</v>
      </c>
      <c r="J732" s="151" t="s">
        <v>82</v>
      </c>
      <c r="K732" s="154">
        <v>28660</v>
      </c>
      <c r="L732" s="154">
        <v>14970</v>
      </c>
      <c r="M732" s="155">
        <v>24</v>
      </c>
      <c r="N732" s="154">
        <v>13690</v>
      </c>
      <c r="O732" s="154">
        <v>10404.4</v>
      </c>
    </row>
    <row r="733" spans="2:15" ht="12.75" hidden="1" customHeight="1" outlineLevel="1" x14ac:dyDescent="0.25">
      <c r="B733" s="570" t="s">
        <v>511</v>
      </c>
      <c r="C733" s="570"/>
      <c r="D733" s="570"/>
      <c r="E733" s="570"/>
      <c r="F733" s="570"/>
      <c r="G733" s="570"/>
      <c r="H733" s="570"/>
      <c r="I733" s="570"/>
      <c r="J733" s="570"/>
      <c r="K733" s="156"/>
      <c r="L733" s="156"/>
      <c r="M733" s="156"/>
      <c r="N733" s="154">
        <v>13690</v>
      </c>
      <c r="O733" s="154">
        <v>10404.4</v>
      </c>
    </row>
    <row r="734" spans="2:15" ht="36.75" customHeight="1" collapsed="1" x14ac:dyDescent="0.25">
      <c r="B734" s="151" t="s">
        <v>398</v>
      </c>
      <c r="C734" s="152">
        <v>149</v>
      </c>
      <c r="D734" s="153">
        <v>18</v>
      </c>
      <c r="E734" s="151" t="s">
        <v>78</v>
      </c>
      <c r="F734" s="151" t="s">
        <v>212</v>
      </c>
      <c r="G734" s="151" t="s">
        <v>216</v>
      </c>
      <c r="H734" s="151" t="s">
        <v>110</v>
      </c>
      <c r="I734" s="151" t="s">
        <v>81</v>
      </c>
      <c r="J734" s="151" t="s">
        <v>82</v>
      </c>
      <c r="K734" s="154">
        <v>24560</v>
      </c>
      <c r="L734" s="154">
        <v>13820</v>
      </c>
      <c r="M734" s="155">
        <v>29</v>
      </c>
      <c r="N734" s="154">
        <v>10740</v>
      </c>
      <c r="O734" s="154">
        <v>7625.4</v>
      </c>
    </row>
    <row r="735" spans="2:15" ht="12.75" hidden="1" customHeight="1" outlineLevel="1" x14ac:dyDescent="0.25">
      <c r="B735" s="570" t="s">
        <v>511</v>
      </c>
      <c r="C735" s="570"/>
      <c r="D735" s="570"/>
      <c r="E735" s="570"/>
      <c r="F735" s="570"/>
      <c r="G735" s="570"/>
      <c r="H735" s="570"/>
      <c r="I735" s="570"/>
      <c r="J735" s="570"/>
      <c r="K735" s="156"/>
      <c r="L735" s="156"/>
      <c r="M735" s="156"/>
      <c r="N735" s="154">
        <v>10740</v>
      </c>
      <c r="O735" s="154">
        <v>7625.4</v>
      </c>
    </row>
    <row r="736" spans="2:15" ht="36.75" customHeight="1" collapsed="1" x14ac:dyDescent="0.25">
      <c r="B736" s="151" t="s">
        <v>399</v>
      </c>
      <c r="C736" s="152">
        <v>153</v>
      </c>
      <c r="D736" s="153">
        <v>65923</v>
      </c>
      <c r="E736" s="151" t="s">
        <v>105</v>
      </c>
      <c r="F736" s="151" t="s">
        <v>305</v>
      </c>
      <c r="G736" s="151" t="s">
        <v>309</v>
      </c>
      <c r="H736" s="151" t="s">
        <v>460</v>
      </c>
      <c r="I736" s="151" t="s">
        <v>21</v>
      </c>
      <c r="J736" s="151" t="s">
        <v>82</v>
      </c>
      <c r="K736" s="154">
        <v>28060</v>
      </c>
      <c r="L736" s="154">
        <v>14390</v>
      </c>
      <c r="M736" s="155">
        <v>25</v>
      </c>
      <c r="N736" s="154">
        <v>13670</v>
      </c>
      <c r="O736" s="154">
        <v>10252.5</v>
      </c>
    </row>
    <row r="737" spans="2:15" ht="12.75" hidden="1" customHeight="1" outlineLevel="1" x14ac:dyDescent="0.25">
      <c r="B737" s="570" t="s">
        <v>511</v>
      </c>
      <c r="C737" s="570"/>
      <c r="D737" s="570"/>
      <c r="E737" s="570"/>
      <c r="F737" s="570"/>
      <c r="G737" s="570"/>
      <c r="H737" s="570"/>
      <c r="I737" s="570"/>
      <c r="J737" s="570"/>
      <c r="K737" s="156"/>
      <c r="L737" s="156"/>
      <c r="M737" s="156"/>
      <c r="N737" s="154">
        <v>13670</v>
      </c>
      <c r="O737" s="154">
        <v>10252.5</v>
      </c>
    </row>
    <row r="738" spans="2:15" ht="36.75" customHeight="1" collapsed="1" x14ac:dyDescent="0.25">
      <c r="B738" s="151" t="s">
        <v>411</v>
      </c>
      <c r="C738" s="152">
        <v>160</v>
      </c>
      <c r="D738" s="151" t="s">
        <v>528</v>
      </c>
      <c r="E738" s="151" t="s">
        <v>78</v>
      </c>
      <c r="F738" s="151" t="s">
        <v>283</v>
      </c>
      <c r="G738" s="151" t="s">
        <v>287</v>
      </c>
      <c r="H738" s="151" t="s">
        <v>110</v>
      </c>
      <c r="I738" s="151" t="s">
        <v>81</v>
      </c>
      <c r="J738" s="151" t="s">
        <v>82</v>
      </c>
      <c r="K738" s="154">
        <v>17590</v>
      </c>
      <c r="L738" s="154">
        <v>10530</v>
      </c>
      <c r="M738" s="155">
        <v>13.4</v>
      </c>
      <c r="N738" s="154">
        <v>7060</v>
      </c>
      <c r="O738" s="154">
        <v>6114.4</v>
      </c>
    </row>
    <row r="739" spans="2:15" ht="12.75" hidden="1" customHeight="1" outlineLevel="1" x14ac:dyDescent="0.25">
      <c r="B739" s="570" t="s">
        <v>511</v>
      </c>
      <c r="C739" s="570"/>
      <c r="D739" s="570"/>
      <c r="E739" s="570"/>
      <c r="F739" s="570"/>
      <c r="G739" s="570"/>
      <c r="H739" s="570"/>
      <c r="I739" s="570"/>
      <c r="J739" s="570"/>
      <c r="K739" s="156"/>
      <c r="L739" s="156"/>
      <c r="M739" s="156"/>
      <c r="N739" s="154">
        <v>7060</v>
      </c>
      <c r="O739" s="154">
        <v>6114.4</v>
      </c>
    </row>
    <row r="740" spans="2:15" ht="36.75" customHeight="1" collapsed="1" x14ac:dyDescent="0.25">
      <c r="B740" s="151" t="s">
        <v>400</v>
      </c>
      <c r="C740" s="152">
        <v>154</v>
      </c>
      <c r="D740" s="153">
        <v>65924</v>
      </c>
      <c r="E740" s="151" t="s">
        <v>105</v>
      </c>
      <c r="F740" s="151" t="s">
        <v>329</v>
      </c>
      <c r="G740" s="151" t="s">
        <v>333</v>
      </c>
      <c r="H740" s="151" t="s">
        <v>460</v>
      </c>
      <c r="I740" s="151" t="s">
        <v>21</v>
      </c>
      <c r="J740" s="151" t="s">
        <v>82</v>
      </c>
      <c r="K740" s="154">
        <v>28740</v>
      </c>
      <c r="L740" s="154">
        <v>14950</v>
      </c>
      <c r="M740" s="155">
        <v>25.5</v>
      </c>
      <c r="N740" s="154">
        <v>13790</v>
      </c>
      <c r="O740" s="154">
        <v>10273.5</v>
      </c>
    </row>
    <row r="741" spans="2:15" ht="12.75" hidden="1" customHeight="1" outlineLevel="1" x14ac:dyDescent="0.25">
      <c r="B741" s="570" t="s">
        <v>511</v>
      </c>
      <c r="C741" s="570"/>
      <c r="D741" s="570"/>
      <c r="E741" s="570"/>
      <c r="F741" s="570"/>
      <c r="G741" s="570"/>
      <c r="H741" s="570"/>
      <c r="I741" s="570"/>
      <c r="J741" s="570"/>
      <c r="K741" s="156"/>
      <c r="L741" s="156"/>
      <c r="M741" s="156"/>
      <c r="N741" s="154">
        <v>13790</v>
      </c>
      <c r="O741" s="154">
        <v>10273.5</v>
      </c>
    </row>
    <row r="742" spans="2:15" ht="36.75" customHeight="1" collapsed="1" x14ac:dyDescent="0.25">
      <c r="B742" s="151" t="s">
        <v>412</v>
      </c>
      <c r="C742" s="152">
        <v>162</v>
      </c>
      <c r="D742" s="151" t="s">
        <v>529</v>
      </c>
      <c r="E742" s="151" t="s">
        <v>78</v>
      </c>
      <c r="F742" s="151" t="s">
        <v>289</v>
      </c>
      <c r="G742" s="151" t="s">
        <v>293</v>
      </c>
      <c r="H742" s="151" t="s">
        <v>110</v>
      </c>
      <c r="I742" s="151" t="s">
        <v>81</v>
      </c>
      <c r="J742" s="151" t="s">
        <v>82</v>
      </c>
      <c r="K742" s="154">
        <v>27260</v>
      </c>
      <c r="L742" s="154">
        <v>17080</v>
      </c>
      <c r="M742" s="155">
        <v>13.7</v>
      </c>
      <c r="N742" s="154">
        <v>10180</v>
      </c>
      <c r="O742" s="154">
        <v>8787</v>
      </c>
    </row>
    <row r="743" spans="2:15" ht="12.75" hidden="1" customHeight="1" outlineLevel="1" x14ac:dyDescent="0.25">
      <c r="B743" s="570" t="s">
        <v>511</v>
      </c>
      <c r="C743" s="570"/>
      <c r="D743" s="570"/>
      <c r="E743" s="570"/>
      <c r="F743" s="570"/>
      <c r="G743" s="570"/>
      <c r="H743" s="570"/>
      <c r="I743" s="570"/>
      <c r="J743" s="570"/>
      <c r="K743" s="156"/>
      <c r="L743" s="156"/>
      <c r="M743" s="156"/>
      <c r="N743" s="154">
        <v>10180</v>
      </c>
      <c r="O743" s="154">
        <v>8787</v>
      </c>
    </row>
    <row r="744" spans="2:15" ht="36.75" customHeight="1" collapsed="1" x14ac:dyDescent="0.25">
      <c r="B744" s="151" t="s">
        <v>401</v>
      </c>
      <c r="C744" s="152">
        <v>155</v>
      </c>
      <c r="D744" s="153">
        <v>19</v>
      </c>
      <c r="E744" s="151" t="s">
        <v>78</v>
      </c>
      <c r="F744" s="151" t="s">
        <v>79</v>
      </c>
      <c r="G744" s="151" t="s">
        <v>80</v>
      </c>
      <c r="H744" s="151" t="s">
        <v>110</v>
      </c>
      <c r="I744" s="151" t="s">
        <v>81</v>
      </c>
      <c r="J744" s="151" t="s">
        <v>82</v>
      </c>
      <c r="K744" s="154">
        <v>26590</v>
      </c>
      <c r="L744" s="154">
        <v>14190</v>
      </c>
      <c r="M744" s="155">
        <v>21</v>
      </c>
      <c r="N744" s="154">
        <v>12400</v>
      </c>
      <c r="O744" s="154">
        <v>9796</v>
      </c>
    </row>
    <row r="745" spans="2:15" ht="12.75" hidden="1" customHeight="1" outlineLevel="1" x14ac:dyDescent="0.25">
      <c r="B745" s="570" t="s">
        <v>511</v>
      </c>
      <c r="C745" s="570"/>
      <c r="D745" s="570"/>
      <c r="E745" s="570"/>
      <c r="F745" s="570"/>
      <c r="G745" s="570"/>
      <c r="H745" s="570"/>
      <c r="I745" s="570"/>
      <c r="J745" s="570"/>
      <c r="K745" s="156"/>
      <c r="L745" s="156"/>
      <c r="M745" s="156"/>
      <c r="N745" s="154">
        <v>12400</v>
      </c>
      <c r="O745" s="154">
        <v>9796</v>
      </c>
    </row>
    <row r="746" spans="2:15" ht="36.75" customHeight="1" collapsed="1" x14ac:dyDescent="0.25">
      <c r="B746" s="151" t="s">
        <v>402</v>
      </c>
      <c r="C746" s="152">
        <v>156</v>
      </c>
      <c r="D746" s="153">
        <v>65927</v>
      </c>
      <c r="E746" s="151" t="s">
        <v>105</v>
      </c>
      <c r="F746" s="151" t="s">
        <v>1312</v>
      </c>
      <c r="G746" s="151" t="s">
        <v>320</v>
      </c>
      <c r="H746" s="151" t="s">
        <v>460</v>
      </c>
      <c r="I746" s="151" t="s">
        <v>21</v>
      </c>
      <c r="J746" s="151" t="s">
        <v>82</v>
      </c>
      <c r="K746" s="154">
        <v>28190</v>
      </c>
      <c r="L746" s="154">
        <v>14380</v>
      </c>
      <c r="M746" s="155">
        <v>23.5</v>
      </c>
      <c r="N746" s="154">
        <v>13810</v>
      </c>
      <c r="O746" s="154">
        <v>10564.6</v>
      </c>
    </row>
    <row r="747" spans="2:15" ht="12.75" hidden="1" customHeight="1" outlineLevel="1" x14ac:dyDescent="0.25">
      <c r="B747" s="570" t="s">
        <v>511</v>
      </c>
      <c r="C747" s="570"/>
      <c r="D747" s="570"/>
      <c r="E747" s="570"/>
      <c r="F747" s="570"/>
      <c r="G747" s="570"/>
      <c r="H747" s="570"/>
      <c r="I747" s="570"/>
      <c r="J747" s="570"/>
      <c r="K747" s="156"/>
      <c r="L747" s="156"/>
      <c r="M747" s="156"/>
      <c r="N747" s="154">
        <v>13810</v>
      </c>
      <c r="O747" s="154">
        <v>10564.6</v>
      </c>
    </row>
    <row r="748" spans="2:15" ht="48.75" customHeight="1" collapsed="1" x14ac:dyDescent="0.25">
      <c r="B748" s="151" t="s">
        <v>413</v>
      </c>
      <c r="C748" s="152">
        <v>163</v>
      </c>
      <c r="D748" s="151" t="s">
        <v>530</v>
      </c>
      <c r="E748" s="151" t="s">
        <v>78</v>
      </c>
      <c r="F748" s="151" t="s">
        <v>295</v>
      </c>
      <c r="G748" s="151" t="s">
        <v>299</v>
      </c>
      <c r="H748" s="151" t="s">
        <v>110</v>
      </c>
      <c r="I748" s="151" t="s">
        <v>81</v>
      </c>
      <c r="J748" s="151" t="s">
        <v>82</v>
      </c>
      <c r="K748" s="154">
        <v>32700</v>
      </c>
      <c r="L748" s="154">
        <v>17790</v>
      </c>
      <c r="M748" s="155">
        <v>13.4</v>
      </c>
      <c r="N748" s="154">
        <v>14910</v>
      </c>
      <c r="O748" s="154">
        <v>12905.6</v>
      </c>
    </row>
    <row r="749" spans="2:15" ht="12.75" hidden="1" customHeight="1" outlineLevel="1" x14ac:dyDescent="0.25">
      <c r="B749" s="570" t="s">
        <v>511</v>
      </c>
      <c r="C749" s="570"/>
      <c r="D749" s="570"/>
      <c r="E749" s="570"/>
      <c r="F749" s="570"/>
      <c r="G749" s="570"/>
      <c r="H749" s="570"/>
      <c r="I749" s="570"/>
      <c r="J749" s="570"/>
      <c r="K749" s="156"/>
      <c r="L749" s="156"/>
      <c r="M749" s="156"/>
      <c r="N749" s="154">
        <v>14910</v>
      </c>
      <c r="O749" s="154">
        <v>12905.6</v>
      </c>
    </row>
    <row r="750" spans="2:15" ht="36.75" customHeight="1" collapsed="1" x14ac:dyDescent="0.25">
      <c r="B750" s="151" t="s">
        <v>403</v>
      </c>
      <c r="C750" s="152">
        <v>158</v>
      </c>
      <c r="D750" s="153">
        <v>65928</v>
      </c>
      <c r="E750" s="151" t="s">
        <v>105</v>
      </c>
      <c r="F750" s="151" t="s">
        <v>335</v>
      </c>
      <c r="G750" s="151" t="s">
        <v>339</v>
      </c>
      <c r="H750" s="151" t="s">
        <v>460</v>
      </c>
      <c r="I750" s="151" t="s">
        <v>21</v>
      </c>
      <c r="J750" s="151" t="s">
        <v>82</v>
      </c>
      <c r="K750" s="154">
        <v>28300</v>
      </c>
      <c r="L750" s="154">
        <v>14800</v>
      </c>
      <c r="M750" s="155">
        <v>22.5</v>
      </c>
      <c r="N750" s="154">
        <v>13500</v>
      </c>
      <c r="O750" s="154">
        <v>10462.5</v>
      </c>
    </row>
    <row r="751" spans="2:15" ht="12.75" hidden="1" customHeight="1" outlineLevel="1" x14ac:dyDescent="0.25">
      <c r="B751" s="570" t="s">
        <v>511</v>
      </c>
      <c r="C751" s="570"/>
      <c r="D751" s="570"/>
      <c r="E751" s="570"/>
      <c r="F751" s="570"/>
      <c r="G751" s="570"/>
      <c r="H751" s="570"/>
      <c r="I751" s="570"/>
      <c r="J751" s="570"/>
      <c r="K751" s="156"/>
      <c r="L751" s="156"/>
      <c r="M751" s="156"/>
      <c r="N751" s="154">
        <v>13500</v>
      </c>
      <c r="O751" s="154">
        <v>10462.5</v>
      </c>
    </row>
    <row r="752" spans="2:15" ht="36.75" customHeight="1" collapsed="1" x14ac:dyDescent="0.25">
      <c r="B752" s="151" t="s">
        <v>404</v>
      </c>
      <c r="C752" s="152">
        <v>164</v>
      </c>
      <c r="D752" s="153">
        <v>65929</v>
      </c>
      <c r="E752" s="151" t="s">
        <v>105</v>
      </c>
      <c r="F752" s="151" t="s">
        <v>311</v>
      </c>
      <c r="G752" s="151" t="s">
        <v>315</v>
      </c>
      <c r="H752" s="151" t="s">
        <v>460</v>
      </c>
      <c r="I752" s="151" t="s">
        <v>301</v>
      </c>
      <c r="J752" s="151" t="s">
        <v>82</v>
      </c>
      <c r="K752" s="154">
        <v>28400</v>
      </c>
      <c r="L752" s="154">
        <v>14970</v>
      </c>
      <c r="M752" s="155">
        <v>21.5</v>
      </c>
      <c r="N752" s="154">
        <v>13430</v>
      </c>
      <c r="O752" s="154">
        <v>10542.5</v>
      </c>
    </row>
    <row r="753" spans="2:15" ht="12.75" hidden="1" customHeight="1" outlineLevel="1" x14ac:dyDescent="0.25">
      <c r="B753" s="570" t="s">
        <v>511</v>
      </c>
      <c r="C753" s="570"/>
      <c r="D753" s="570"/>
      <c r="E753" s="570"/>
      <c r="F753" s="570"/>
      <c r="G753" s="570"/>
      <c r="H753" s="570"/>
      <c r="I753" s="570"/>
      <c r="J753" s="570"/>
      <c r="K753" s="156"/>
      <c r="L753" s="156"/>
      <c r="M753" s="156"/>
      <c r="N753" s="154">
        <v>13430</v>
      </c>
      <c r="O753" s="154">
        <v>10542.5</v>
      </c>
    </row>
    <row r="754" spans="2:15" ht="36.75" customHeight="1" collapsed="1" x14ac:dyDescent="0.25">
      <c r="B754" s="151" t="s">
        <v>405</v>
      </c>
      <c r="C754" s="152">
        <v>165</v>
      </c>
      <c r="D754" s="153">
        <v>65940</v>
      </c>
      <c r="E754" s="151" t="s">
        <v>105</v>
      </c>
      <c r="F754" s="151" t="s">
        <v>347</v>
      </c>
      <c r="G754" s="151" t="s">
        <v>351</v>
      </c>
      <c r="H754" s="151" t="s">
        <v>460</v>
      </c>
      <c r="I754" s="151" t="s">
        <v>301</v>
      </c>
      <c r="J754" s="151" t="s">
        <v>82</v>
      </c>
      <c r="K754" s="154">
        <v>32140</v>
      </c>
      <c r="L754" s="154">
        <v>18690</v>
      </c>
      <c r="M754" s="155">
        <v>21</v>
      </c>
      <c r="N754" s="154">
        <v>13450</v>
      </c>
      <c r="O754" s="154">
        <v>10625.5</v>
      </c>
    </row>
    <row r="755" spans="2:15" ht="12.75" hidden="1" customHeight="1" outlineLevel="1" x14ac:dyDescent="0.25">
      <c r="B755" s="570" t="s">
        <v>511</v>
      </c>
      <c r="C755" s="570"/>
      <c r="D755" s="570"/>
      <c r="E755" s="570"/>
      <c r="F755" s="570"/>
      <c r="G755" s="570"/>
      <c r="H755" s="570"/>
      <c r="I755" s="570"/>
      <c r="J755" s="570"/>
      <c r="K755" s="156"/>
      <c r="L755" s="156"/>
      <c r="M755" s="156"/>
      <c r="N755" s="154">
        <v>13450</v>
      </c>
      <c r="O755" s="154">
        <v>10625.5</v>
      </c>
    </row>
    <row r="756" spans="2:15" ht="36.75" customHeight="1" collapsed="1" x14ac:dyDescent="0.25">
      <c r="B756" s="151" t="s">
        <v>406</v>
      </c>
      <c r="C756" s="152">
        <v>166</v>
      </c>
      <c r="D756" s="153">
        <v>65925</v>
      </c>
      <c r="E756" s="151" t="s">
        <v>105</v>
      </c>
      <c r="F756" s="151" t="s">
        <v>1151</v>
      </c>
      <c r="G756" s="151" t="s">
        <v>145</v>
      </c>
      <c r="H756" s="151" t="s">
        <v>460</v>
      </c>
      <c r="I756" s="151" t="s">
        <v>301</v>
      </c>
      <c r="J756" s="151" t="s">
        <v>82</v>
      </c>
      <c r="K756" s="154">
        <v>28920</v>
      </c>
      <c r="L756" s="154">
        <v>15610</v>
      </c>
      <c r="M756" s="155">
        <v>15.5</v>
      </c>
      <c r="N756" s="154">
        <v>13310</v>
      </c>
      <c r="O756" s="154">
        <v>11246.9</v>
      </c>
    </row>
    <row r="757" spans="2:15" ht="12.75" hidden="1" customHeight="1" outlineLevel="1" x14ac:dyDescent="0.25">
      <c r="B757" s="570" t="s">
        <v>511</v>
      </c>
      <c r="C757" s="570"/>
      <c r="D757" s="570"/>
      <c r="E757" s="570"/>
      <c r="F757" s="570"/>
      <c r="G757" s="570"/>
      <c r="H757" s="570"/>
      <c r="I757" s="570"/>
      <c r="J757" s="570"/>
      <c r="K757" s="156"/>
      <c r="L757" s="156"/>
      <c r="M757" s="156"/>
      <c r="N757" s="154">
        <v>13310</v>
      </c>
      <c r="O757" s="154">
        <v>11246.9</v>
      </c>
    </row>
    <row r="758" spans="2:15" ht="36.75" customHeight="1" collapsed="1" x14ac:dyDescent="0.25">
      <c r="B758" s="151" t="s">
        <v>407</v>
      </c>
      <c r="C758" s="152">
        <v>167</v>
      </c>
      <c r="D758" s="153">
        <v>23</v>
      </c>
      <c r="E758" s="151" t="s">
        <v>78</v>
      </c>
      <c r="F758" s="151" t="s">
        <v>127</v>
      </c>
      <c r="G758" s="151" t="s">
        <v>131</v>
      </c>
      <c r="H758" s="151" t="s">
        <v>110</v>
      </c>
      <c r="I758" s="151" t="s">
        <v>81</v>
      </c>
      <c r="J758" s="151" t="s">
        <v>82</v>
      </c>
      <c r="K758" s="154">
        <v>23520</v>
      </c>
      <c r="L758" s="154">
        <v>14390</v>
      </c>
      <c r="M758" s="155">
        <v>15.5</v>
      </c>
      <c r="N758" s="154">
        <v>9130</v>
      </c>
      <c r="O758" s="154">
        <v>7714.8</v>
      </c>
    </row>
    <row r="759" spans="2:15" ht="12.75" hidden="1" customHeight="1" outlineLevel="1" x14ac:dyDescent="0.25">
      <c r="B759" s="570" t="s">
        <v>511</v>
      </c>
      <c r="C759" s="570"/>
      <c r="D759" s="570"/>
      <c r="E759" s="570"/>
      <c r="F759" s="570"/>
      <c r="G759" s="570"/>
      <c r="H759" s="570"/>
      <c r="I759" s="570"/>
      <c r="J759" s="570"/>
      <c r="K759" s="156"/>
      <c r="L759" s="156"/>
      <c r="M759" s="156"/>
      <c r="N759" s="154">
        <v>9130</v>
      </c>
      <c r="O759" s="154">
        <v>7714.8</v>
      </c>
    </row>
    <row r="760" spans="2:15" ht="36.75" customHeight="1" collapsed="1" x14ac:dyDescent="0.25">
      <c r="B760" s="151" t="s">
        <v>408</v>
      </c>
      <c r="C760" s="152">
        <v>168</v>
      </c>
      <c r="D760" s="153">
        <v>65926</v>
      </c>
      <c r="E760" s="151" t="s">
        <v>105</v>
      </c>
      <c r="F760" s="151" t="s">
        <v>1461</v>
      </c>
      <c r="G760" s="151" t="s">
        <v>149</v>
      </c>
      <c r="H760" s="151" t="s">
        <v>460</v>
      </c>
      <c r="I760" s="151" t="s">
        <v>301</v>
      </c>
      <c r="J760" s="151" t="s">
        <v>82</v>
      </c>
      <c r="K760" s="154">
        <v>28350</v>
      </c>
      <c r="L760" s="154">
        <v>15010</v>
      </c>
      <c r="M760" s="155">
        <v>18.5</v>
      </c>
      <c r="N760" s="154">
        <v>13340</v>
      </c>
      <c r="O760" s="154">
        <v>10872.1</v>
      </c>
    </row>
    <row r="761" spans="2:15" ht="12.75" hidden="1" customHeight="1" outlineLevel="1" x14ac:dyDescent="0.25">
      <c r="B761" s="570" t="s">
        <v>511</v>
      </c>
      <c r="C761" s="570"/>
      <c r="D761" s="570"/>
      <c r="E761" s="570"/>
      <c r="F761" s="570"/>
      <c r="G761" s="570"/>
      <c r="H761" s="570"/>
      <c r="I761" s="570"/>
      <c r="J761" s="570"/>
      <c r="K761" s="156"/>
      <c r="L761" s="156"/>
      <c r="M761" s="156"/>
      <c r="N761" s="154">
        <v>13340</v>
      </c>
      <c r="O761" s="154">
        <v>10872.1</v>
      </c>
    </row>
    <row r="762" spans="2:15" ht="36.75" customHeight="1" collapsed="1" x14ac:dyDescent="0.25">
      <c r="B762" s="151" t="s">
        <v>414</v>
      </c>
      <c r="C762" s="152">
        <v>163</v>
      </c>
      <c r="D762" s="151" t="s">
        <v>415</v>
      </c>
      <c r="E762" s="151" t="s">
        <v>105</v>
      </c>
      <c r="F762" s="151" t="s">
        <v>302</v>
      </c>
      <c r="G762" s="151" t="s">
        <v>303</v>
      </c>
      <c r="H762" s="151" t="s">
        <v>460</v>
      </c>
      <c r="I762" s="151" t="s">
        <v>301</v>
      </c>
      <c r="J762" s="151" t="s">
        <v>82</v>
      </c>
      <c r="K762" s="154">
        <v>34160</v>
      </c>
      <c r="L762" s="154">
        <v>16200</v>
      </c>
      <c r="M762" s="155">
        <v>7.5</v>
      </c>
      <c r="N762" s="154">
        <v>17960</v>
      </c>
      <c r="O762" s="154">
        <v>16610</v>
      </c>
    </row>
    <row r="763" spans="2:15" ht="12.75" hidden="1" customHeight="1" outlineLevel="1" x14ac:dyDescent="0.25">
      <c r="B763" s="570" t="s">
        <v>511</v>
      </c>
      <c r="C763" s="570"/>
      <c r="D763" s="570"/>
      <c r="E763" s="570"/>
      <c r="F763" s="570"/>
      <c r="G763" s="570"/>
      <c r="H763" s="570"/>
      <c r="I763" s="570"/>
      <c r="J763" s="570"/>
      <c r="K763" s="156"/>
      <c r="L763" s="156"/>
      <c r="M763" s="156"/>
      <c r="N763" s="154">
        <v>17960</v>
      </c>
      <c r="O763" s="154">
        <v>16610</v>
      </c>
    </row>
    <row r="764" spans="2:15" ht="36.75" customHeight="1" collapsed="1" x14ac:dyDescent="0.25">
      <c r="B764" s="151" t="s">
        <v>438</v>
      </c>
      <c r="C764" s="152">
        <v>171</v>
      </c>
      <c r="D764" s="151" t="s">
        <v>531</v>
      </c>
      <c r="E764" s="151" t="s">
        <v>78</v>
      </c>
      <c r="F764" s="151" t="s">
        <v>439</v>
      </c>
      <c r="G764" s="151" t="s">
        <v>440</v>
      </c>
      <c r="H764" s="151" t="s">
        <v>110</v>
      </c>
      <c r="I764" s="151" t="s">
        <v>81</v>
      </c>
      <c r="J764" s="151" t="s">
        <v>82</v>
      </c>
      <c r="K764" s="154">
        <v>28790</v>
      </c>
      <c r="L764" s="154">
        <v>16660</v>
      </c>
      <c r="M764" s="155">
        <v>15.5</v>
      </c>
      <c r="N764" s="154">
        <v>12130</v>
      </c>
      <c r="O764" s="154">
        <v>10251</v>
      </c>
    </row>
    <row r="765" spans="2:15" ht="12.75" hidden="1" customHeight="1" outlineLevel="1" x14ac:dyDescent="0.25">
      <c r="B765" s="570" t="s">
        <v>511</v>
      </c>
      <c r="C765" s="570"/>
      <c r="D765" s="570"/>
      <c r="E765" s="570"/>
      <c r="F765" s="570"/>
      <c r="G765" s="570"/>
      <c r="H765" s="570"/>
      <c r="I765" s="570"/>
      <c r="J765" s="570"/>
      <c r="K765" s="156"/>
      <c r="L765" s="156"/>
      <c r="M765" s="156"/>
      <c r="N765" s="154">
        <v>12130</v>
      </c>
      <c r="O765" s="154">
        <v>10251</v>
      </c>
    </row>
    <row r="766" spans="2:15" ht="36.75" customHeight="1" collapsed="1" x14ac:dyDescent="0.25">
      <c r="B766" s="151" t="s">
        <v>409</v>
      </c>
      <c r="C766" s="152">
        <v>170</v>
      </c>
      <c r="D766" s="153">
        <v>24</v>
      </c>
      <c r="E766" s="151" t="s">
        <v>78</v>
      </c>
      <c r="F766" s="151" t="s">
        <v>335</v>
      </c>
      <c r="G766" s="151" t="s">
        <v>339</v>
      </c>
      <c r="H766" s="151" t="s">
        <v>110</v>
      </c>
      <c r="I766" s="151" t="s">
        <v>81</v>
      </c>
      <c r="J766" s="151" t="s">
        <v>82</v>
      </c>
      <c r="K766" s="154">
        <v>23950</v>
      </c>
      <c r="L766" s="154">
        <v>14790</v>
      </c>
      <c r="M766" s="155">
        <v>20.5</v>
      </c>
      <c r="N766" s="154">
        <v>9160</v>
      </c>
      <c r="O766" s="154">
        <v>7282.2</v>
      </c>
    </row>
    <row r="767" spans="2:15" ht="12.75" hidden="1" customHeight="1" outlineLevel="1" x14ac:dyDescent="0.25">
      <c r="B767" s="570" t="s">
        <v>511</v>
      </c>
      <c r="C767" s="570"/>
      <c r="D767" s="570"/>
      <c r="E767" s="570"/>
      <c r="F767" s="570"/>
      <c r="G767" s="570"/>
      <c r="H767" s="570"/>
      <c r="I767" s="570"/>
      <c r="J767" s="570"/>
      <c r="K767" s="156"/>
      <c r="L767" s="156"/>
      <c r="M767" s="156"/>
      <c r="N767" s="154">
        <v>9160</v>
      </c>
      <c r="O767" s="154">
        <v>7282.2</v>
      </c>
    </row>
    <row r="768" spans="2:15" ht="36.75" customHeight="1" collapsed="1" x14ac:dyDescent="0.25">
      <c r="B768" s="151" t="s">
        <v>410</v>
      </c>
      <c r="C768" s="152">
        <v>172</v>
      </c>
      <c r="D768" s="153">
        <v>26</v>
      </c>
      <c r="E768" s="151" t="s">
        <v>78</v>
      </c>
      <c r="F768" s="151" t="s">
        <v>127</v>
      </c>
      <c r="G768" s="151" t="s">
        <v>131</v>
      </c>
      <c r="H768" s="151" t="s">
        <v>110</v>
      </c>
      <c r="I768" s="151" t="s">
        <v>81</v>
      </c>
      <c r="J768" s="151" t="s">
        <v>82</v>
      </c>
      <c r="K768" s="154">
        <v>23580</v>
      </c>
      <c r="L768" s="154">
        <v>14380</v>
      </c>
      <c r="M768" s="155">
        <v>17.5</v>
      </c>
      <c r="N768" s="154">
        <v>9200</v>
      </c>
      <c r="O768" s="154">
        <v>7590</v>
      </c>
    </row>
    <row r="769" spans="2:15" ht="12.75" hidden="1" customHeight="1" outlineLevel="1" x14ac:dyDescent="0.25">
      <c r="B769" s="570" t="s">
        <v>511</v>
      </c>
      <c r="C769" s="570"/>
      <c r="D769" s="570"/>
      <c r="E769" s="570"/>
      <c r="F769" s="570"/>
      <c r="G769" s="570"/>
      <c r="H769" s="570"/>
      <c r="I769" s="570"/>
      <c r="J769" s="570"/>
      <c r="K769" s="156"/>
      <c r="L769" s="156"/>
      <c r="M769" s="156"/>
      <c r="N769" s="154">
        <v>9200</v>
      </c>
      <c r="O769" s="154">
        <v>7590</v>
      </c>
    </row>
    <row r="770" spans="2:15" ht="36.75" customHeight="1" collapsed="1" x14ac:dyDescent="0.25">
      <c r="B770" s="151" t="s">
        <v>444</v>
      </c>
      <c r="C770" s="152">
        <v>173</v>
      </c>
      <c r="D770" s="151" t="s">
        <v>533</v>
      </c>
      <c r="E770" s="151" t="s">
        <v>78</v>
      </c>
      <c r="F770" s="151" t="s">
        <v>283</v>
      </c>
      <c r="G770" s="151" t="s">
        <v>287</v>
      </c>
      <c r="H770" s="151" t="s">
        <v>422</v>
      </c>
      <c r="I770" s="151" t="s">
        <v>81</v>
      </c>
      <c r="J770" s="151" t="s">
        <v>82</v>
      </c>
      <c r="K770" s="154">
        <v>31130</v>
      </c>
      <c r="L770" s="154">
        <v>17880</v>
      </c>
      <c r="M770" s="155">
        <v>11.6</v>
      </c>
      <c r="N770" s="154">
        <v>13250</v>
      </c>
      <c r="O770" s="154">
        <v>11713</v>
      </c>
    </row>
    <row r="771" spans="2:15" ht="12.75" hidden="1" customHeight="1" outlineLevel="1" x14ac:dyDescent="0.25">
      <c r="B771" s="570" t="s">
        <v>511</v>
      </c>
      <c r="C771" s="570"/>
      <c r="D771" s="570"/>
      <c r="E771" s="570"/>
      <c r="F771" s="570"/>
      <c r="G771" s="570"/>
      <c r="H771" s="570"/>
      <c r="I771" s="570"/>
      <c r="J771" s="570"/>
      <c r="K771" s="156"/>
      <c r="L771" s="156"/>
      <c r="M771" s="156"/>
      <c r="N771" s="154">
        <v>13250</v>
      </c>
      <c r="O771" s="154">
        <v>11713</v>
      </c>
    </row>
    <row r="772" spans="2:15" ht="36.75" customHeight="1" collapsed="1" x14ac:dyDescent="0.25">
      <c r="B772" s="151" t="s">
        <v>441</v>
      </c>
      <c r="C772" s="152">
        <v>174</v>
      </c>
      <c r="D772" s="151" t="s">
        <v>532</v>
      </c>
      <c r="E772" s="151" t="s">
        <v>78</v>
      </c>
      <c r="F772" s="151" t="s">
        <v>442</v>
      </c>
      <c r="G772" s="151" t="s">
        <v>443</v>
      </c>
      <c r="H772" s="151" t="s">
        <v>422</v>
      </c>
      <c r="I772" s="151" t="s">
        <v>81</v>
      </c>
      <c r="J772" s="151" t="s">
        <v>82</v>
      </c>
      <c r="K772" s="154">
        <v>32620</v>
      </c>
      <c r="L772" s="154">
        <v>18780</v>
      </c>
      <c r="M772" s="155">
        <v>15.4</v>
      </c>
      <c r="N772" s="154">
        <v>13840</v>
      </c>
      <c r="O772" s="154">
        <v>11709.8</v>
      </c>
    </row>
    <row r="773" spans="2:15" ht="12.75" hidden="1" customHeight="1" outlineLevel="1" x14ac:dyDescent="0.25">
      <c r="B773" s="570" t="s">
        <v>511</v>
      </c>
      <c r="C773" s="570"/>
      <c r="D773" s="570"/>
      <c r="E773" s="570"/>
      <c r="F773" s="570"/>
      <c r="G773" s="570"/>
      <c r="H773" s="570"/>
      <c r="I773" s="570"/>
      <c r="J773" s="570"/>
      <c r="K773" s="156"/>
      <c r="L773" s="156"/>
      <c r="M773" s="156"/>
      <c r="N773" s="154">
        <v>13840</v>
      </c>
      <c r="O773" s="154">
        <v>11709.8</v>
      </c>
    </row>
    <row r="774" spans="2:15" ht="36.75" customHeight="1" collapsed="1" x14ac:dyDescent="0.25">
      <c r="B774" s="151" t="s">
        <v>445</v>
      </c>
      <c r="C774" s="152">
        <v>175</v>
      </c>
      <c r="D774" s="151" t="s">
        <v>534</v>
      </c>
      <c r="E774" s="151" t="s">
        <v>78</v>
      </c>
      <c r="F774" s="151" t="s">
        <v>289</v>
      </c>
      <c r="G774" s="151" t="s">
        <v>293</v>
      </c>
      <c r="H774" s="151" t="s">
        <v>422</v>
      </c>
      <c r="I774" s="151" t="s">
        <v>81</v>
      </c>
      <c r="J774" s="151" t="s">
        <v>82</v>
      </c>
      <c r="K774" s="154">
        <v>30790</v>
      </c>
      <c r="L774" s="154">
        <v>16990</v>
      </c>
      <c r="M774" s="155">
        <v>26.7</v>
      </c>
      <c r="N774" s="154">
        <v>13800</v>
      </c>
      <c r="O774" s="154">
        <v>10115.4</v>
      </c>
    </row>
    <row r="775" spans="2:15" ht="12.75" hidden="1" customHeight="1" outlineLevel="1" x14ac:dyDescent="0.25">
      <c r="B775" s="570" t="s">
        <v>511</v>
      </c>
      <c r="C775" s="570"/>
      <c r="D775" s="570"/>
      <c r="E775" s="570"/>
      <c r="F775" s="570"/>
      <c r="G775" s="570"/>
      <c r="H775" s="570"/>
      <c r="I775" s="570"/>
      <c r="J775" s="570"/>
      <c r="K775" s="156"/>
      <c r="L775" s="156"/>
      <c r="M775" s="156"/>
      <c r="N775" s="154">
        <v>13800</v>
      </c>
      <c r="O775" s="154">
        <v>10115.4</v>
      </c>
    </row>
    <row r="776" spans="2:15" ht="36.75" customHeight="1" collapsed="1" x14ac:dyDescent="0.25">
      <c r="B776" s="151" t="s">
        <v>421</v>
      </c>
      <c r="C776" s="152">
        <v>179</v>
      </c>
      <c r="D776" s="153">
        <v>30</v>
      </c>
      <c r="E776" s="151" t="s">
        <v>78</v>
      </c>
      <c r="F776" s="151" t="s">
        <v>79</v>
      </c>
      <c r="G776" s="151" t="s">
        <v>80</v>
      </c>
      <c r="H776" s="151" t="s">
        <v>422</v>
      </c>
      <c r="I776" s="151" t="s">
        <v>81</v>
      </c>
      <c r="J776" s="151" t="s">
        <v>82</v>
      </c>
      <c r="K776" s="154">
        <v>29230</v>
      </c>
      <c r="L776" s="154">
        <v>22520</v>
      </c>
      <c r="M776" s="155">
        <v>29</v>
      </c>
      <c r="N776" s="154">
        <v>6710</v>
      </c>
      <c r="O776" s="154">
        <v>4764.1000000000004</v>
      </c>
    </row>
    <row r="777" spans="2:15" ht="12.75" hidden="1" customHeight="1" outlineLevel="1" x14ac:dyDescent="0.25">
      <c r="B777" s="570" t="s">
        <v>511</v>
      </c>
      <c r="C777" s="570"/>
      <c r="D777" s="570"/>
      <c r="E777" s="570"/>
      <c r="F777" s="570"/>
      <c r="G777" s="570"/>
      <c r="H777" s="570"/>
      <c r="I777" s="570"/>
      <c r="J777" s="570"/>
      <c r="K777" s="156"/>
      <c r="L777" s="156"/>
      <c r="M777" s="156"/>
      <c r="N777" s="154">
        <v>6710</v>
      </c>
      <c r="O777" s="154">
        <v>4764.1000000000004</v>
      </c>
    </row>
    <row r="778" spans="2:15" ht="36.75" customHeight="1" collapsed="1" x14ac:dyDescent="0.25">
      <c r="B778" s="151" t="s">
        <v>423</v>
      </c>
      <c r="C778" s="152">
        <v>180</v>
      </c>
      <c r="D778" s="153">
        <v>30</v>
      </c>
      <c r="E778" s="151" t="s">
        <v>78</v>
      </c>
      <c r="F778" s="151" t="s">
        <v>79</v>
      </c>
      <c r="G778" s="151" t="s">
        <v>80</v>
      </c>
      <c r="H778" s="151" t="s">
        <v>110</v>
      </c>
      <c r="I778" s="151" t="s">
        <v>81</v>
      </c>
      <c r="J778" s="151" t="s">
        <v>82</v>
      </c>
      <c r="K778" s="154">
        <v>22520</v>
      </c>
      <c r="L778" s="154">
        <v>14140</v>
      </c>
      <c r="M778" s="155">
        <v>24</v>
      </c>
      <c r="N778" s="154">
        <v>8380</v>
      </c>
      <c r="O778" s="154">
        <v>6368.8</v>
      </c>
    </row>
    <row r="779" spans="2:15" ht="12.75" hidden="1" customHeight="1" outlineLevel="1" x14ac:dyDescent="0.25">
      <c r="B779" s="570" t="s">
        <v>511</v>
      </c>
      <c r="C779" s="570"/>
      <c r="D779" s="570"/>
      <c r="E779" s="570"/>
      <c r="F779" s="570"/>
      <c r="G779" s="570"/>
      <c r="H779" s="570"/>
      <c r="I779" s="570"/>
      <c r="J779" s="570"/>
      <c r="K779" s="156"/>
      <c r="L779" s="156"/>
      <c r="M779" s="156"/>
      <c r="N779" s="154">
        <v>8380</v>
      </c>
      <c r="O779" s="154">
        <v>6368.8</v>
      </c>
    </row>
    <row r="780" spans="2:15" ht="36.75" customHeight="1" collapsed="1" x14ac:dyDescent="0.25">
      <c r="B780" s="151" t="s">
        <v>424</v>
      </c>
      <c r="C780" s="152">
        <v>182</v>
      </c>
      <c r="D780" s="153">
        <v>30</v>
      </c>
      <c r="E780" s="151" t="s">
        <v>78</v>
      </c>
      <c r="F780" s="151" t="s">
        <v>79</v>
      </c>
      <c r="G780" s="151" t="s">
        <v>80</v>
      </c>
      <c r="H780" s="151" t="s">
        <v>422</v>
      </c>
      <c r="I780" s="151" t="s">
        <v>81</v>
      </c>
      <c r="J780" s="151" t="s">
        <v>82</v>
      </c>
      <c r="K780" s="154">
        <v>14110</v>
      </c>
      <c r="L780" s="154">
        <v>9450</v>
      </c>
      <c r="M780" s="155">
        <v>31</v>
      </c>
      <c r="N780" s="154">
        <v>4660</v>
      </c>
      <c r="O780" s="154">
        <v>3215.4</v>
      </c>
    </row>
    <row r="781" spans="2:15" ht="12.75" hidden="1" customHeight="1" outlineLevel="1" x14ac:dyDescent="0.25">
      <c r="B781" s="570" t="s">
        <v>511</v>
      </c>
      <c r="C781" s="570"/>
      <c r="D781" s="570"/>
      <c r="E781" s="570"/>
      <c r="F781" s="570"/>
      <c r="G781" s="570"/>
      <c r="H781" s="570"/>
      <c r="I781" s="570"/>
      <c r="J781" s="570"/>
      <c r="K781" s="156"/>
      <c r="L781" s="156"/>
      <c r="M781" s="156"/>
      <c r="N781" s="154">
        <v>4660</v>
      </c>
      <c r="O781" s="154">
        <v>3215.4</v>
      </c>
    </row>
    <row r="782" spans="2:15" ht="36.75" customHeight="1" collapsed="1" x14ac:dyDescent="0.25">
      <c r="B782" s="151" t="s">
        <v>425</v>
      </c>
      <c r="C782" s="152">
        <v>181</v>
      </c>
      <c r="D782" s="153">
        <v>65933</v>
      </c>
      <c r="E782" s="151" t="s">
        <v>105</v>
      </c>
      <c r="F782" s="151" t="s">
        <v>1152</v>
      </c>
      <c r="G782" s="151" t="s">
        <v>119</v>
      </c>
      <c r="H782" s="151" t="s">
        <v>460</v>
      </c>
      <c r="I782" s="151" t="s">
        <v>21</v>
      </c>
      <c r="J782" s="151" t="s">
        <v>82</v>
      </c>
      <c r="K782" s="154">
        <v>34390</v>
      </c>
      <c r="L782" s="154">
        <v>20870</v>
      </c>
      <c r="M782" s="155">
        <v>18.5</v>
      </c>
      <c r="N782" s="154">
        <v>13520</v>
      </c>
      <c r="O782" s="154">
        <v>11018.8</v>
      </c>
    </row>
    <row r="783" spans="2:15" ht="12.75" hidden="1" customHeight="1" outlineLevel="1" x14ac:dyDescent="0.25">
      <c r="B783" s="570" t="s">
        <v>511</v>
      </c>
      <c r="C783" s="570"/>
      <c r="D783" s="570"/>
      <c r="E783" s="570"/>
      <c r="F783" s="570"/>
      <c r="G783" s="570"/>
      <c r="H783" s="570"/>
      <c r="I783" s="570"/>
      <c r="J783" s="570"/>
      <c r="K783" s="156"/>
      <c r="L783" s="156"/>
      <c r="M783" s="156"/>
      <c r="N783" s="154">
        <v>13520</v>
      </c>
      <c r="O783" s="154">
        <v>11018.8</v>
      </c>
    </row>
    <row r="784" spans="2:15" ht="36.75" customHeight="1" collapsed="1" x14ac:dyDescent="0.25">
      <c r="B784" s="151" t="s">
        <v>426</v>
      </c>
      <c r="C784" s="152">
        <v>186</v>
      </c>
      <c r="D784" s="153">
        <v>65935</v>
      </c>
      <c r="E784" s="151" t="s">
        <v>105</v>
      </c>
      <c r="F784" s="151" t="s">
        <v>151</v>
      </c>
      <c r="G784" s="151" t="s">
        <v>155</v>
      </c>
      <c r="H784" s="151" t="s">
        <v>460</v>
      </c>
      <c r="I784" s="151" t="s">
        <v>21</v>
      </c>
      <c r="J784" s="151" t="s">
        <v>82</v>
      </c>
      <c r="K784" s="154">
        <v>28460</v>
      </c>
      <c r="L784" s="154">
        <v>14860</v>
      </c>
      <c r="M784" s="155">
        <v>16.5</v>
      </c>
      <c r="N784" s="154">
        <v>13600</v>
      </c>
      <c r="O784" s="154">
        <v>11356</v>
      </c>
    </row>
    <row r="785" spans="2:15" ht="12.75" hidden="1" customHeight="1" outlineLevel="1" x14ac:dyDescent="0.25">
      <c r="B785" s="570" t="s">
        <v>511</v>
      </c>
      <c r="C785" s="570"/>
      <c r="D785" s="570"/>
      <c r="E785" s="570"/>
      <c r="F785" s="570"/>
      <c r="G785" s="570"/>
      <c r="H785" s="570"/>
      <c r="I785" s="570"/>
      <c r="J785" s="570"/>
      <c r="K785" s="156"/>
      <c r="L785" s="156"/>
      <c r="M785" s="156"/>
      <c r="N785" s="154">
        <v>13600</v>
      </c>
      <c r="O785" s="154">
        <v>11356</v>
      </c>
    </row>
    <row r="786" spans="2:15" ht="36.75" customHeight="1" collapsed="1" x14ac:dyDescent="0.25">
      <c r="B786" s="151" t="s">
        <v>427</v>
      </c>
      <c r="C786" s="152">
        <v>187</v>
      </c>
      <c r="D786" s="153">
        <v>65936</v>
      </c>
      <c r="E786" s="151" t="s">
        <v>105</v>
      </c>
      <c r="F786" s="151" t="s">
        <v>160</v>
      </c>
      <c r="G786" s="151" t="s">
        <v>164</v>
      </c>
      <c r="H786" s="151" t="s">
        <v>460</v>
      </c>
      <c r="I786" s="151" t="s">
        <v>21</v>
      </c>
      <c r="J786" s="151" t="s">
        <v>82</v>
      </c>
      <c r="K786" s="154">
        <v>37510</v>
      </c>
      <c r="L786" s="154">
        <v>24030</v>
      </c>
      <c r="M786" s="155">
        <v>13.5</v>
      </c>
      <c r="N786" s="154">
        <v>13480</v>
      </c>
      <c r="O786" s="154">
        <v>11660.2</v>
      </c>
    </row>
    <row r="787" spans="2:15" ht="12.75" hidden="1" customHeight="1" outlineLevel="1" x14ac:dyDescent="0.25">
      <c r="B787" s="570" t="s">
        <v>511</v>
      </c>
      <c r="C787" s="570"/>
      <c r="D787" s="570"/>
      <c r="E787" s="570"/>
      <c r="F787" s="570"/>
      <c r="G787" s="570"/>
      <c r="H787" s="570"/>
      <c r="I787" s="570"/>
      <c r="J787" s="570"/>
      <c r="K787" s="156"/>
      <c r="L787" s="156"/>
      <c r="M787" s="156"/>
      <c r="N787" s="154">
        <v>13480</v>
      </c>
      <c r="O787" s="154">
        <v>11660.2</v>
      </c>
    </row>
    <row r="788" spans="2:15" ht="36.75" customHeight="1" collapsed="1" x14ac:dyDescent="0.25">
      <c r="B788" s="151" t="s">
        <v>428</v>
      </c>
      <c r="C788" s="152">
        <v>188</v>
      </c>
      <c r="D788" s="153">
        <v>31</v>
      </c>
      <c r="E788" s="151" t="s">
        <v>78</v>
      </c>
      <c r="F788" s="151" t="s">
        <v>79</v>
      </c>
      <c r="G788" s="151" t="s">
        <v>80</v>
      </c>
      <c r="H788" s="151" t="s">
        <v>422</v>
      </c>
      <c r="I788" s="151" t="s">
        <v>81</v>
      </c>
      <c r="J788" s="151" t="s">
        <v>82</v>
      </c>
      <c r="K788" s="154">
        <v>13910</v>
      </c>
      <c r="L788" s="154">
        <v>9460</v>
      </c>
      <c r="M788" s="155">
        <v>19.5</v>
      </c>
      <c r="N788" s="154">
        <v>4450</v>
      </c>
      <c r="O788" s="154">
        <v>3582.2</v>
      </c>
    </row>
    <row r="789" spans="2:15" ht="12.75" hidden="1" customHeight="1" outlineLevel="1" x14ac:dyDescent="0.25">
      <c r="B789" s="570" t="s">
        <v>511</v>
      </c>
      <c r="C789" s="570"/>
      <c r="D789" s="570"/>
      <c r="E789" s="570"/>
      <c r="F789" s="570"/>
      <c r="G789" s="570"/>
      <c r="H789" s="570"/>
      <c r="I789" s="570"/>
      <c r="J789" s="570"/>
      <c r="K789" s="156"/>
      <c r="L789" s="156"/>
      <c r="M789" s="156"/>
      <c r="N789" s="154">
        <v>4450</v>
      </c>
      <c r="O789" s="154">
        <v>3582.2</v>
      </c>
    </row>
    <row r="790" spans="2:15" ht="36.75" customHeight="1" collapsed="1" x14ac:dyDescent="0.25">
      <c r="B790" s="151" t="s">
        <v>430</v>
      </c>
      <c r="C790" s="152">
        <v>190</v>
      </c>
      <c r="D790" s="153">
        <v>65938</v>
      </c>
      <c r="E790" s="151" t="s">
        <v>105</v>
      </c>
      <c r="F790" s="151" t="s">
        <v>195</v>
      </c>
      <c r="G790" s="151" t="s">
        <v>199</v>
      </c>
      <c r="H790" s="151" t="s">
        <v>460</v>
      </c>
      <c r="I790" s="151" t="s">
        <v>21</v>
      </c>
      <c r="J790" s="151" t="s">
        <v>82</v>
      </c>
      <c r="K790" s="154">
        <v>28750</v>
      </c>
      <c r="L790" s="154">
        <v>15120</v>
      </c>
      <c r="M790" s="155">
        <v>20</v>
      </c>
      <c r="N790" s="154">
        <v>13630</v>
      </c>
      <c r="O790" s="154">
        <v>10904</v>
      </c>
    </row>
    <row r="791" spans="2:15" ht="12.75" hidden="1" customHeight="1" outlineLevel="1" x14ac:dyDescent="0.25">
      <c r="B791" s="570" t="s">
        <v>511</v>
      </c>
      <c r="C791" s="570"/>
      <c r="D791" s="570"/>
      <c r="E791" s="570"/>
      <c r="F791" s="570"/>
      <c r="G791" s="570"/>
      <c r="H791" s="570"/>
      <c r="I791" s="570"/>
      <c r="J791" s="570"/>
      <c r="K791" s="156"/>
      <c r="L791" s="156"/>
      <c r="M791" s="156"/>
      <c r="N791" s="154">
        <v>13630</v>
      </c>
      <c r="O791" s="154">
        <v>10904</v>
      </c>
    </row>
    <row r="792" spans="2:15" ht="36.75" customHeight="1" collapsed="1" x14ac:dyDescent="0.25">
      <c r="B792" s="151" t="s">
        <v>429</v>
      </c>
      <c r="C792" s="152">
        <v>189</v>
      </c>
      <c r="D792" s="153">
        <v>65937</v>
      </c>
      <c r="E792" s="151" t="s">
        <v>105</v>
      </c>
      <c r="F792" s="151" t="s">
        <v>166</v>
      </c>
      <c r="G792" s="151" t="s">
        <v>170</v>
      </c>
      <c r="H792" s="151" t="s">
        <v>460</v>
      </c>
      <c r="I792" s="151" t="s">
        <v>21</v>
      </c>
      <c r="J792" s="151" t="s">
        <v>82</v>
      </c>
      <c r="K792" s="154">
        <v>28520</v>
      </c>
      <c r="L792" s="154">
        <v>14820</v>
      </c>
      <c r="M792" s="155">
        <v>16</v>
      </c>
      <c r="N792" s="154">
        <v>13700</v>
      </c>
      <c r="O792" s="154">
        <v>11508</v>
      </c>
    </row>
    <row r="793" spans="2:15" ht="12.75" hidden="1" customHeight="1" outlineLevel="1" x14ac:dyDescent="0.25">
      <c r="B793" s="570" t="s">
        <v>511</v>
      </c>
      <c r="C793" s="570"/>
      <c r="D793" s="570"/>
      <c r="E793" s="570"/>
      <c r="F793" s="570"/>
      <c r="G793" s="570"/>
      <c r="H793" s="570"/>
      <c r="I793" s="570"/>
      <c r="J793" s="570"/>
      <c r="K793" s="156"/>
      <c r="L793" s="156"/>
      <c r="M793" s="156"/>
      <c r="N793" s="154">
        <v>13700</v>
      </c>
      <c r="O793" s="154">
        <v>11508</v>
      </c>
    </row>
    <row r="794" spans="2:15" ht="36.75" customHeight="1" collapsed="1" x14ac:dyDescent="0.25">
      <c r="B794" s="151" t="s">
        <v>431</v>
      </c>
      <c r="C794" s="152">
        <v>191</v>
      </c>
      <c r="D794" s="153">
        <v>65939</v>
      </c>
      <c r="E794" s="151" t="s">
        <v>105</v>
      </c>
      <c r="F794" s="151" t="s">
        <v>234</v>
      </c>
      <c r="G794" s="151" t="s">
        <v>238</v>
      </c>
      <c r="H794" s="151" t="s">
        <v>460</v>
      </c>
      <c r="I794" s="151" t="s">
        <v>21</v>
      </c>
      <c r="J794" s="151" t="s">
        <v>82</v>
      </c>
      <c r="K794" s="154">
        <v>28870</v>
      </c>
      <c r="L794" s="154">
        <v>15420</v>
      </c>
      <c r="M794" s="155">
        <v>18</v>
      </c>
      <c r="N794" s="154">
        <v>13450</v>
      </c>
      <c r="O794" s="154">
        <v>11029</v>
      </c>
    </row>
    <row r="795" spans="2:15" ht="12.75" hidden="1" customHeight="1" outlineLevel="1" x14ac:dyDescent="0.25">
      <c r="B795" s="570" t="s">
        <v>511</v>
      </c>
      <c r="C795" s="570"/>
      <c r="D795" s="570"/>
      <c r="E795" s="570"/>
      <c r="F795" s="570"/>
      <c r="G795" s="570"/>
      <c r="H795" s="570"/>
      <c r="I795" s="570"/>
      <c r="J795" s="570"/>
      <c r="K795" s="156"/>
      <c r="L795" s="156"/>
      <c r="M795" s="156"/>
      <c r="N795" s="154">
        <v>13450</v>
      </c>
      <c r="O795" s="154">
        <v>11029</v>
      </c>
    </row>
    <row r="796" spans="2:15" ht="36.75" customHeight="1" collapsed="1" x14ac:dyDescent="0.25">
      <c r="B796" s="151" t="s">
        <v>432</v>
      </c>
      <c r="C796" s="152">
        <v>192</v>
      </c>
      <c r="D796" s="153">
        <v>65941</v>
      </c>
      <c r="E796" s="151" t="s">
        <v>105</v>
      </c>
      <c r="F796" s="151" t="s">
        <v>133</v>
      </c>
      <c r="G796" s="151" t="s">
        <v>137</v>
      </c>
      <c r="H796" s="151" t="s">
        <v>460</v>
      </c>
      <c r="I796" s="151" t="s">
        <v>21</v>
      </c>
      <c r="J796" s="151" t="s">
        <v>82</v>
      </c>
      <c r="K796" s="154">
        <v>28210</v>
      </c>
      <c r="L796" s="154">
        <v>14770</v>
      </c>
      <c r="M796" s="155">
        <v>18.5</v>
      </c>
      <c r="N796" s="154">
        <v>13440</v>
      </c>
      <c r="O796" s="154">
        <v>10953.6</v>
      </c>
    </row>
    <row r="797" spans="2:15" ht="12.75" hidden="1" customHeight="1" outlineLevel="1" x14ac:dyDescent="0.25">
      <c r="B797" s="570" t="s">
        <v>511</v>
      </c>
      <c r="C797" s="570"/>
      <c r="D797" s="570"/>
      <c r="E797" s="570"/>
      <c r="F797" s="570"/>
      <c r="G797" s="570"/>
      <c r="H797" s="570"/>
      <c r="I797" s="570"/>
      <c r="J797" s="570"/>
      <c r="K797" s="156"/>
      <c r="L797" s="156"/>
      <c r="M797" s="156"/>
      <c r="N797" s="154">
        <v>13440</v>
      </c>
      <c r="O797" s="154">
        <v>10953.6</v>
      </c>
    </row>
    <row r="798" spans="2:15" ht="36.75" customHeight="1" collapsed="1" x14ac:dyDescent="0.25">
      <c r="B798" s="151" t="s">
        <v>562</v>
      </c>
      <c r="C798" s="151"/>
      <c r="D798" s="151" t="s">
        <v>563</v>
      </c>
      <c r="E798" s="151" t="s">
        <v>105</v>
      </c>
      <c r="F798" s="151" t="s">
        <v>564</v>
      </c>
      <c r="G798" s="151" t="s">
        <v>565</v>
      </c>
      <c r="H798" s="151" t="s">
        <v>460</v>
      </c>
      <c r="I798" s="151" t="s">
        <v>21</v>
      </c>
      <c r="J798" s="151" t="s">
        <v>82</v>
      </c>
      <c r="K798" s="154">
        <v>32800</v>
      </c>
      <c r="L798" s="154">
        <v>14500</v>
      </c>
      <c r="M798" s="155">
        <v>6.5</v>
      </c>
      <c r="N798" s="154">
        <v>18300</v>
      </c>
      <c r="O798" s="154">
        <v>17110</v>
      </c>
    </row>
    <row r="799" spans="2:15" ht="12.75" hidden="1" customHeight="1" outlineLevel="1" x14ac:dyDescent="0.25">
      <c r="B799" s="570" t="s">
        <v>511</v>
      </c>
      <c r="C799" s="570"/>
      <c r="D799" s="570"/>
      <c r="E799" s="570"/>
      <c r="F799" s="570"/>
      <c r="G799" s="570"/>
      <c r="H799" s="570"/>
      <c r="I799" s="570"/>
      <c r="J799" s="570"/>
      <c r="K799" s="156"/>
      <c r="L799" s="156"/>
      <c r="M799" s="156"/>
      <c r="N799" s="154">
        <v>18300</v>
      </c>
      <c r="O799" s="154">
        <v>17110</v>
      </c>
    </row>
    <row r="800" spans="2:15" ht="36.75" customHeight="1" collapsed="1" x14ac:dyDescent="0.25">
      <c r="B800" s="151" t="s">
        <v>558</v>
      </c>
      <c r="C800" s="152">
        <v>193</v>
      </c>
      <c r="D800" s="151" t="s">
        <v>559</v>
      </c>
      <c r="E800" s="151" t="s">
        <v>78</v>
      </c>
      <c r="F800" s="151" t="s">
        <v>439</v>
      </c>
      <c r="G800" s="151" t="s">
        <v>440</v>
      </c>
      <c r="H800" s="151" t="s">
        <v>422</v>
      </c>
      <c r="I800" s="151" t="s">
        <v>81</v>
      </c>
      <c r="J800" s="151" t="s">
        <v>82</v>
      </c>
      <c r="K800" s="154">
        <v>30820</v>
      </c>
      <c r="L800" s="154">
        <v>16480</v>
      </c>
      <c r="M800" s="155">
        <v>31.8</v>
      </c>
      <c r="N800" s="154">
        <v>14340</v>
      </c>
      <c r="O800" s="154">
        <v>9785</v>
      </c>
    </row>
    <row r="801" spans="2:15" ht="12.75" hidden="1" customHeight="1" outlineLevel="1" x14ac:dyDescent="0.25">
      <c r="B801" s="570" t="s">
        <v>511</v>
      </c>
      <c r="C801" s="570"/>
      <c r="D801" s="570"/>
      <c r="E801" s="570"/>
      <c r="F801" s="570"/>
      <c r="G801" s="570"/>
      <c r="H801" s="570"/>
      <c r="I801" s="570"/>
      <c r="J801" s="570"/>
      <c r="K801" s="156"/>
      <c r="L801" s="156"/>
      <c r="M801" s="156"/>
      <c r="N801" s="154">
        <v>14340</v>
      </c>
      <c r="O801" s="154">
        <v>9785</v>
      </c>
    </row>
    <row r="802" spans="2:15" ht="36.75" customHeight="1" collapsed="1" x14ac:dyDescent="0.25">
      <c r="B802" s="151" t="s">
        <v>548</v>
      </c>
      <c r="C802" s="152">
        <v>218</v>
      </c>
      <c r="D802" s="153">
        <v>39</v>
      </c>
      <c r="E802" s="151" t="s">
        <v>78</v>
      </c>
      <c r="F802" s="151" t="s">
        <v>127</v>
      </c>
      <c r="G802" s="151" t="s">
        <v>131</v>
      </c>
      <c r="H802" s="151" t="s">
        <v>422</v>
      </c>
      <c r="I802" s="151" t="s">
        <v>81</v>
      </c>
      <c r="J802" s="151" t="s">
        <v>82</v>
      </c>
      <c r="K802" s="154">
        <v>14600</v>
      </c>
      <c r="L802" s="154">
        <v>9720</v>
      </c>
      <c r="M802" s="155">
        <v>18</v>
      </c>
      <c r="N802" s="154">
        <v>4880</v>
      </c>
      <c r="O802" s="154">
        <v>4001.6</v>
      </c>
    </row>
    <row r="803" spans="2:15" ht="12.75" hidden="1" customHeight="1" outlineLevel="1" x14ac:dyDescent="0.25">
      <c r="B803" s="570" t="s">
        <v>511</v>
      </c>
      <c r="C803" s="570"/>
      <c r="D803" s="570"/>
      <c r="E803" s="570"/>
      <c r="F803" s="570"/>
      <c r="G803" s="570"/>
      <c r="H803" s="570"/>
      <c r="I803" s="570"/>
      <c r="J803" s="570"/>
      <c r="K803" s="156"/>
      <c r="L803" s="156"/>
      <c r="M803" s="156"/>
      <c r="N803" s="154">
        <v>4880</v>
      </c>
      <c r="O803" s="154">
        <v>4001.6</v>
      </c>
    </row>
    <row r="804" spans="2:15" ht="48.75" customHeight="1" collapsed="1" x14ac:dyDescent="0.25">
      <c r="B804" s="151" t="s">
        <v>433</v>
      </c>
      <c r="C804" s="152">
        <v>194</v>
      </c>
      <c r="D804" s="153">
        <v>65930</v>
      </c>
      <c r="E804" s="151" t="s">
        <v>105</v>
      </c>
      <c r="F804" s="151" t="s">
        <v>244</v>
      </c>
      <c r="G804" s="151" t="s">
        <v>248</v>
      </c>
      <c r="H804" s="151" t="s">
        <v>460</v>
      </c>
      <c r="I804" s="151" t="s">
        <v>21</v>
      </c>
      <c r="J804" s="151" t="s">
        <v>82</v>
      </c>
      <c r="K804" s="154">
        <v>29090</v>
      </c>
      <c r="L804" s="154">
        <v>15650</v>
      </c>
      <c r="M804" s="155">
        <v>22</v>
      </c>
      <c r="N804" s="154">
        <v>13440</v>
      </c>
      <c r="O804" s="154">
        <v>10483.200000000001</v>
      </c>
    </row>
    <row r="805" spans="2:15" ht="12.75" hidden="1" customHeight="1" outlineLevel="1" x14ac:dyDescent="0.25">
      <c r="B805" s="570" t="s">
        <v>511</v>
      </c>
      <c r="C805" s="570"/>
      <c r="D805" s="570"/>
      <c r="E805" s="570"/>
      <c r="F805" s="570"/>
      <c r="G805" s="570"/>
      <c r="H805" s="570"/>
      <c r="I805" s="570"/>
      <c r="J805" s="570"/>
      <c r="K805" s="156"/>
      <c r="L805" s="156"/>
      <c r="M805" s="156"/>
      <c r="N805" s="154">
        <v>13440</v>
      </c>
      <c r="O805" s="154">
        <v>10483.200000000001</v>
      </c>
    </row>
    <row r="806" spans="2:15" ht="36.75" customHeight="1" collapsed="1" x14ac:dyDescent="0.25">
      <c r="B806" s="151" t="s">
        <v>434</v>
      </c>
      <c r="C806" s="152">
        <v>195</v>
      </c>
      <c r="D806" s="153">
        <v>65942</v>
      </c>
      <c r="E806" s="151" t="s">
        <v>105</v>
      </c>
      <c r="F806" s="151" t="s">
        <v>121</v>
      </c>
      <c r="G806" s="151" t="s">
        <v>125</v>
      </c>
      <c r="H806" s="151" t="s">
        <v>460</v>
      </c>
      <c r="I806" s="151" t="s">
        <v>21</v>
      </c>
      <c r="J806" s="151" t="s">
        <v>82</v>
      </c>
      <c r="K806" s="154">
        <v>28130</v>
      </c>
      <c r="L806" s="154">
        <v>14690</v>
      </c>
      <c r="M806" s="155">
        <v>15.5</v>
      </c>
      <c r="N806" s="154">
        <v>13440</v>
      </c>
      <c r="O806" s="154">
        <v>11356.8</v>
      </c>
    </row>
    <row r="807" spans="2:15" ht="12.75" hidden="1" customHeight="1" outlineLevel="1" x14ac:dyDescent="0.25">
      <c r="B807" s="570" t="s">
        <v>511</v>
      </c>
      <c r="C807" s="570"/>
      <c r="D807" s="570"/>
      <c r="E807" s="570"/>
      <c r="F807" s="570"/>
      <c r="G807" s="570"/>
      <c r="H807" s="570"/>
      <c r="I807" s="570"/>
      <c r="J807" s="570"/>
      <c r="K807" s="156"/>
      <c r="L807" s="156"/>
      <c r="M807" s="156"/>
      <c r="N807" s="154">
        <v>13440</v>
      </c>
      <c r="O807" s="154">
        <v>11356.8</v>
      </c>
    </row>
    <row r="808" spans="2:15" ht="36.75" customHeight="1" collapsed="1" x14ac:dyDescent="0.25">
      <c r="B808" s="151" t="s">
        <v>435</v>
      </c>
      <c r="C808" s="152">
        <v>196</v>
      </c>
      <c r="D808" s="153">
        <v>65943</v>
      </c>
      <c r="E808" s="151" t="s">
        <v>105</v>
      </c>
      <c r="F808" s="151" t="s">
        <v>272</v>
      </c>
      <c r="G808" s="151" t="s">
        <v>276</v>
      </c>
      <c r="H808" s="151" t="s">
        <v>460</v>
      </c>
      <c r="I808" s="151" t="s">
        <v>21</v>
      </c>
      <c r="J808" s="151" t="s">
        <v>82</v>
      </c>
      <c r="K808" s="154">
        <v>28070</v>
      </c>
      <c r="L808" s="154">
        <v>14680</v>
      </c>
      <c r="M808" s="155">
        <v>20.5</v>
      </c>
      <c r="N808" s="154">
        <v>13390</v>
      </c>
      <c r="O808" s="154">
        <v>10645</v>
      </c>
    </row>
    <row r="809" spans="2:15" ht="12.75" hidden="1" customHeight="1" outlineLevel="1" x14ac:dyDescent="0.25">
      <c r="B809" s="570" t="s">
        <v>511</v>
      </c>
      <c r="C809" s="570"/>
      <c r="D809" s="570"/>
      <c r="E809" s="570"/>
      <c r="F809" s="570"/>
      <c r="G809" s="570"/>
      <c r="H809" s="570"/>
      <c r="I809" s="570"/>
      <c r="J809" s="570"/>
      <c r="K809" s="156"/>
      <c r="L809" s="156"/>
      <c r="M809" s="156"/>
      <c r="N809" s="154">
        <v>13390</v>
      </c>
      <c r="O809" s="154">
        <v>10645</v>
      </c>
    </row>
    <row r="810" spans="2:15" ht="36.75" customHeight="1" collapsed="1" x14ac:dyDescent="0.25">
      <c r="B810" s="151" t="s">
        <v>436</v>
      </c>
      <c r="C810" s="152">
        <v>197</v>
      </c>
      <c r="D810" s="153">
        <v>34</v>
      </c>
      <c r="E810" s="151" t="s">
        <v>78</v>
      </c>
      <c r="F810" s="151" t="s">
        <v>79</v>
      </c>
      <c r="G810" s="151" t="s">
        <v>80</v>
      </c>
      <c r="H810" s="151" t="s">
        <v>422</v>
      </c>
      <c r="I810" s="151" t="s">
        <v>81</v>
      </c>
      <c r="J810" s="151" t="s">
        <v>82</v>
      </c>
      <c r="K810" s="154">
        <v>16470</v>
      </c>
      <c r="L810" s="154">
        <v>9450</v>
      </c>
      <c r="M810" s="155">
        <v>21</v>
      </c>
      <c r="N810" s="154">
        <v>7020</v>
      </c>
      <c r="O810" s="154">
        <v>5545.8</v>
      </c>
    </row>
    <row r="811" spans="2:15" ht="12.75" hidden="1" customHeight="1" outlineLevel="1" x14ac:dyDescent="0.25">
      <c r="B811" s="570" t="s">
        <v>511</v>
      </c>
      <c r="C811" s="570"/>
      <c r="D811" s="570"/>
      <c r="E811" s="570"/>
      <c r="F811" s="570"/>
      <c r="G811" s="570"/>
      <c r="H811" s="570"/>
      <c r="I811" s="570"/>
      <c r="J811" s="570"/>
      <c r="K811" s="156"/>
      <c r="L811" s="156"/>
      <c r="M811" s="156"/>
      <c r="N811" s="154">
        <v>7020</v>
      </c>
      <c r="O811" s="154">
        <v>5545.8</v>
      </c>
    </row>
    <row r="812" spans="2:15" ht="36.75" customHeight="1" collapsed="1" x14ac:dyDescent="0.25">
      <c r="B812" s="151" t="s">
        <v>437</v>
      </c>
      <c r="C812" s="152">
        <v>198</v>
      </c>
      <c r="D812" s="153">
        <v>65947</v>
      </c>
      <c r="E812" s="151" t="s">
        <v>105</v>
      </c>
      <c r="F812" s="151" t="s">
        <v>1253</v>
      </c>
      <c r="G812" s="151" t="s">
        <v>270</v>
      </c>
      <c r="H812" s="151" t="s">
        <v>460</v>
      </c>
      <c r="I812" s="151" t="s">
        <v>21</v>
      </c>
      <c r="J812" s="151" t="s">
        <v>82</v>
      </c>
      <c r="K812" s="154">
        <v>28240</v>
      </c>
      <c r="L812" s="154">
        <v>14870</v>
      </c>
      <c r="M812" s="155">
        <v>17.5</v>
      </c>
      <c r="N812" s="154">
        <v>13370</v>
      </c>
      <c r="O812" s="154">
        <v>11030.2</v>
      </c>
    </row>
    <row r="813" spans="2:15" ht="12.75" hidden="1" customHeight="1" outlineLevel="1" x14ac:dyDescent="0.25">
      <c r="B813" s="570" t="s">
        <v>511</v>
      </c>
      <c r="C813" s="570"/>
      <c r="D813" s="570"/>
      <c r="E813" s="570"/>
      <c r="F813" s="570"/>
      <c r="G813" s="570"/>
      <c r="H813" s="570"/>
      <c r="I813" s="570"/>
      <c r="J813" s="570"/>
      <c r="K813" s="156"/>
      <c r="L813" s="156"/>
      <c r="M813" s="156"/>
      <c r="N813" s="154">
        <v>13370</v>
      </c>
      <c r="O813" s="154">
        <v>11030.2</v>
      </c>
    </row>
    <row r="814" spans="2:15" ht="48.75" customHeight="1" collapsed="1" x14ac:dyDescent="0.25">
      <c r="B814" s="151" t="s">
        <v>556</v>
      </c>
      <c r="C814" s="152">
        <v>200</v>
      </c>
      <c r="D814" s="151" t="s">
        <v>677</v>
      </c>
      <c r="E814" s="151" t="s">
        <v>557</v>
      </c>
      <c r="F814" s="151" t="s">
        <v>295</v>
      </c>
      <c r="G814" s="151" t="s">
        <v>299</v>
      </c>
      <c r="H814" s="151" t="s">
        <v>422</v>
      </c>
      <c r="I814" s="151" t="s">
        <v>81</v>
      </c>
      <c r="J814" s="151" t="s">
        <v>82</v>
      </c>
      <c r="K814" s="154">
        <v>32100</v>
      </c>
      <c r="L814" s="154">
        <v>17620</v>
      </c>
      <c r="M814" s="155">
        <v>23.7</v>
      </c>
      <c r="N814" s="154">
        <v>14480</v>
      </c>
      <c r="O814" s="154">
        <v>11044.8</v>
      </c>
    </row>
    <row r="815" spans="2:15" ht="12.75" hidden="1" customHeight="1" outlineLevel="1" x14ac:dyDescent="0.25">
      <c r="B815" s="570" t="s">
        <v>511</v>
      </c>
      <c r="C815" s="570"/>
      <c r="D815" s="570"/>
      <c r="E815" s="570"/>
      <c r="F815" s="570"/>
      <c r="G815" s="570"/>
      <c r="H815" s="570"/>
      <c r="I815" s="570"/>
      <c r="J815" s="570"/>
      <c r="K815" s="156"/>
      <c r="L815" s="156"/>
      <c r="M815" s="156"/>
      <c r="N815" s="154">
        <v>14480</v>
      </c>
      <c r="O815" s="154">
        <v>11044.8</v>
      </c>
    </row>
    <row r="816" spans="2:15" ht="36.75" customHeight="1" collapsed="1" x14ac:dyDescent="0.25">
      <c r="B816" s="151" t="s">
        <v>555</v>
      </c>
      <c r="C816" s="152">
        <v>204</v>
      </c>
      <c r="D816" s="151" t="s">
        <v>676</v>
      </c>
      <c r="E816" s="151" t="s">
        <v>78</v>
      </c>
      <c r="F816" s="151" t="s">
        <v>442</v>
      </c>
      <c r="G816" s="151" t="s">
        <v>443</v>
      </c>
      <c r="H816" s="151" t="s">
        <v>422</v>
      </c>
      <c r="I816" s="151" t="s">
        <v>81</v>
      </c>
      <c r="J816" s="151" t="s">
        <v>82</v>
      </c>
      <c r="K816" s="154">
        <v>33490</v>
      </c>
      <c r="L816" s="154">
        <v>18770</v>
      </c>
      <c r="M816" s="155">
        <v>16.899999999999999</v>
      </c>
      <c r="N816" s="154">
        <v>14720</v>
      </c>
      <c r="O816" s="154">
        <v>12230.4</v>
      </c>
    </row>
    <row r="817" spans="2:15" ht="12.75" hidden="1" customHeight="1" outlineLevel="1" x14ac:dyDescent="0.25">
      <c r="B817" s="570" t="s">
        <v>511</v>
      </c>
      <c r="C817" s="570"/>
      <c r="D817" s="570"/>
      <c r="E817" s="570"/>
      <c r="F817" s="570"/>
      <c r="G817" s="570"/>
      <c r="H817" s="570"/>
      <c r="I817" s="570"/>
      <c r="J817" s="570"/>
      <c r="K817" s="156"/>
      <c r="L817" s="156"/>
      <c r="M817" s="156"/>
      <c r="N817" s="154">
        <v>14720</v>
      </c>
      <c r="O817" s="154">
        <v>12230.4</v>
      </c>
    </row>
    <row r="818" spans="2:15" ht="36.75" customHeight="1" collapsed="1" x14ac:dyDescent="0.25">
      <c r="B818" s="151" t="s">
        <v>535</v>
      </c>
      <c r="C818" s="152">
        <v>201</v>
      </c>
      <c r="D818" s="153">
        <v>65950</v>
      </c>
      <c r="E818" s="151" t="s">
        <v>105</v>
      </c>
      <c r="F818" s="151" t="s">
        <v>254</v>
      </c>
      <c r="G818" s="151" t="s">
        <v>536</v>
      </c>
      <c r="H818" s="151" t="s">
        <v>460</v>
      </c>
      <c r="I818" s="151" t="s">
        <v>21</v>
      </c>
      <c r="J818" s="151" t="s">
        <v>82</v>
      </c>
      <c r="K818" s="154">
        <v>27790</v>
      </c>
      <c r="L818" s="154">
        <v>14630</v>
      </c>
      <c r="M818" s="155">
        <v>12.5</v>
      </c>
      <c r="N818" s="154">
        <v>13160</v>
      </c>
      <c r="O818" s="154">
        <v>11515</v>
      </c>
    </row>
    <row r="819" spans="2:15" ht="12.75" hidden="1" customHeight="1" outlineLevel="1" x14ac:dyDescent="0.25">
      <c r="B819" s="570" t="s">
        <v>511</v>
      </c>
      <c r="C819" s="570"/>
      <c r="D819" s="570"/>
      <c r="E819" s="570"/>
      <c r="F819" s="570"/>
      <c r="G819" s="570"/>
      <c r="H819" s="570"/>
      <c r="I819" s="570"/>
      <c r="J819" s="570"/>
      <c r="K819" s="156"/>
      <c r="L819" s="156"/>
      <c r="M819" s="156"/>
      <c r="N819" s="154">
        <v>13160</v>
      </c>
      <c r="O819" s="154">
        <v>11515</v>
      </c>
    </row>
    <row r="820" spans="2:15" ht="36.75" customHeight="1" collapsed="1" x14ac:dyDescent="0.25">
      <c r="B820" s="151" t="s">
        <v>537</v>
      </c>
      <c r="C820" s="152">
        <v>199</v>
      </c>
      <c r="D820" s="153">
        <v>65948</v>
      </c>
      <c r="E820" s="151" t="s">
        <v>105</v>
      </c>
      <c r="F820" s="151" t="s">
        <v>239</v>
      </c>
      <c r="G820" s="151" t="s">
        <v>243</v>
      </c>
      <c r="H820" s="151" t="s">
        <v>460</v>
      </c>
      <c r="I820" s="151" t="s">
        <v>21</v>
      </c>
      <c r="J820" s="151" t="s">
        <v>82</v>
      </c>
      <c r="K820" s="154">
        <v>27800</v>
      </c>
      <c r="L820" s="154">
        <v>14550</v>
      </c>
      <c r="M820" s="155">
        <v>12.5</v>
      </c>
      <c r="N820" s="154">
        <v>13250</v>
      </c>
      <c r="O820" s="154">
        <v>11593.7</v>
      </c>
    </row>
    <row r="821" spans="2:15" ht="12.75" hidden="1" customHeight="1" outlineLevel="1" x14ac:dyDescent="0.25">
      <c r="B821" s="570" t="s">
        <v>511</v>
      </c>
      <c r="C821" s="570"/>
      <c r="D821" s="570"/>
      <c r="E821" s="570"/>
      <c r="F821" s="570"/>
      <c r="G821" s="570"/>
      <c r="H821" s="570"/>
      <c r="I821" s="570"/>
      <c r="J821" s="570"/>
      <c r="K821" s="156"/>
      <c r="L821" s="156"/>
      <c r="M821" s="156"/>
      <c r="N821" s="154">
        <v>13250</v>
      </c>
      <c r="O821" s="154">
        <v>11593.7</v>
      </c>
    </row>
    <row r="822" spans="2:15" ht="36.75" customHeight="1" collapsed="1" x14ac:dyDescent="0.25">
      <c r="B822" s="151" t="s">
        <v>538</v>
      </c>
      <c r="C822" s="152">
        <v>202</v>
      </c>
      <c r="D822" s="153">
        <v>130776</v>
      </c>
      <c r="E822" s="151" t="s">
        <v>105</v>
      </c>
      <c r="F822" s="151" t="s">
        <v>249</v>
      </c>
      <c r="G822" s="151" t="s">
        <v>253</v>
      </c>
      <c r="H822" s="151" t="s">
        <v>460</v>
      </c>
      <c r="I822" s="151" t="s">
        <v>21</v>
      </c>
      <c r="J822" s="151" t="s">
        <v>82</v>
      </c>
      <c r="K822" s="154">
        <v>28330</v>
      </c>
      <c r="L822" s="154">
        <v>15030</v>
      </c>
      <c r="M822" s="155">
        <v>11.2</v>
      </c>
      <c r="N822" s="154">
        <v>13300</v>
      </c>
      <c r="O822" s="154">
        <v>11810.4</v>
      </c>
    </row>
    <row r="823" spans="2:15" ht="12.75" hidden="1" customHeight="1" outlineLevel="1" x14ac:dyDescent="0.25">
      <c r="B823" s="570" t="s">
        <v>511</v>
      </c>
      <c r="C823" s="570"/>
      <c r="D823" s="570"/>
      <c r="E823" s="570"/>
      <c r="F823" s="570"/>
      <c r="G823" s="570"/>
      <c r="H823" s="570"/>
      <c r="I823" s="570"/>
      <c r="J823" s="570"/>
      <c r="K823" s="156"/>
      <c r="L823" s="156"/>
      <c r="M823" s="156"/>
      <c r="N823" s="154">
        <v>13300</v>
      </c>
      <c r="O823" s="154">
        <v>11810.4</v>
      </c>
    </row>
    <row r="824" spans="2:15" ht="36.75" customHeight="1" collapsed="1" x14ac:dyDescent="0.25">
      <c r="B824" s="151" t="s">
        <v>539</v>
      </c>
      <c r="C824" s="152">
        <v>206</v>
      </c>
      <c r="D824" s="153">
        <v>130777</v>
      </c>
      <c r="E824" s="151" t="s">
        <v>105</v>
      </c>
      <c r="F824" s="151" t="s">
        <v>1151</v>
      </c>
      <c r="G824" s="151" t="s">
        <v>145</v>
      </c>
      <c r="H824" s="151" t="s">
        <v>460</v>
      </c>
      <c r="I824" s="151" t="s">
        <v>21</v>
      </c>
      <c r="J824" s="151" t="s">
        <v>82</v>
      </c>
      <c r="K824" s="154">
        <v>29200</v>
      </c>
      <c r="L824" s="154">
        <v>15700</v>
      </c>
      <c r="M824" s="155">
        <v>14.5</v>
      </c>
      <c r="N824" s="154">
        <v>13500</v>
      </c>
      <c r="O824" s="154">
        <v>11542.5</v>
      </c>
    </row>
    <row r="825" spans="2:15" ht="12.75" hidden="1" customHeight="1" outlineLevel="1" x14ac:dyDescent="0.25">
      <c r="B825" s="570" t="s">
        <v>511</v>
      </c>
      <c r="C825" s="570"/>
      <c r="D825" s="570"/>
      <c r="E825" s="570"/>
      <c r="F825" s="570"/>
      <c r="G825" s="570"/>
      <c r="H825" s="570"/>
      <c r="I825" s="570"/>
      <c r="J825" s="570"/>
      <c r="K825" s="156"/>
      <c r="L825" s="156"/>
      <c r="M825" s="156"/>
      <c r="N825" s="154">
        <v>13500</v>
      </c>
      <c r="O825" s="154">
        <v>11542.5</v>
      </c>
    </row>
    <row r="826" spans="2:15" ht="36.75" customHeight="1" collapsed="1" x14ac:dyDescent="0.25">
      <c r="B826" s="151" t="s">
        <v>540</v>
      </c>
      <c r="C826" s="152">
        <v>208</v>
      </c>
      <c r="D826" s="153">
        <v>130778</v>
      </c>
      <c r="E826" s="151" t="s">
        <v>105</v>
      </c>
      <c r="F826" s="151" t="s">
        <v>1461</v>
      </c>
      <c r="G826" s="151" t="s">
        <v>149</v>
      </c>
      <c r="H826" s="151" t="s">
        <v>460</v>
      </c>
      <c r="I826" s="151" t="s">
        <v>21</v>
      </c>
      <c r="J826" s="151" t="s">
        <v>82</v>
      </c>
      <c r="K826" s="154">
        <v>28280</v>
      </c>
      <c r="L826" s="154">
        <v>15050</v>
      </c>
      <c r="M826" s="155">
        <v>12.5</v>
      </c>
      <c r="N826" s="154">
        <v>13230</v>
      </c>
      <c r="O826" s="154">
        <v>11576.2</v>
      </c>
    </row>
    <row r="827" spans="2:15" ht="12.75" hidden="1" customHeight="1" outlineLevel="1" x14ac:dyDescent="0.25">
      <c r="B827" s="570" t="s">
        <v>511</v>
      </c>
      <c r="C827" s="570"/>
      <c r="D827" s="570"/>
      <c r="E827" s="570"/>
      <c r="F827" s="570"/>
      <c r="G827" s="570"/>
      <c r="H827" s="570"/>
      <c r="I827" s="570"/>
      <c r="J827" s="570"/>
      <c r="K827" s="156"/>
      <c r="L827" s="156"/>
      <c r="M827" s="156"/>
      <c r="N827" s="154">
        <v>13230</v>
      </c>
      <c r="O827" s="154">
        <v>11576.2</v>
      </c>
    </row>
    <row r="828" spans="2:15" ht="36.75" customHeight="1" collapsed="1" x14ac:dyDescent="0.25">
      <c r="B828" s="151" t="s">
        <v>541</v>
      </c>
      <c r="C828" s="152">
        <v>209</v>
      </c>
      <c r="D828" s="153">
        <v>130781</v>
      </c>
      <c r="E828" s="151" t="s">
        <v>105</v>
      </c>
      <c r="F828" s="151" t="s">
        <v>311</v>
      </c>
      <c r="G828" s="151" t="s">
        <v>315</v>
      </c>
      <c r="H828" s="151" t="s">
        <v>460</v>
      </c>
      <c r="I828" s="151" t="s">
        <v>301</v>
      </c>
      <c r="J828" s="151" t="s">
        <v>82</v>
      </c>
      <c r="K828" s="154">
        <v>28130</v>
      </c>
      <c r="L828" s="154">
        <v>14940</v>
      </c>
      <c r="M828" s="155">
        <v>13.5</v>
      </c>
      <c r="N828" s="154">
        <v>13190</v>
      </c>
      <c r="O828" s="154">
        <v>11409.3</v>
      </c>
    </row>
    <row r="829" spans="2:15" ht="12.75" hidden="1" customHeight="1" outlineLevel="1" x14ac:dyDescent="0.25">
      <c r="B829" s="570" t="s">
        <v>511</v>
      </c>
      <c r="C829" s="570"/>
      <c r="D829" s="570"/>
      <c r="E829" s="570"/>
      <c r="F829" s="570"/>
      <c r="G829" s="570"/>
      <c r="H829" s="570"/>
      <c r="I829" s="570"/>
      <c r="J829" s="570"/>
      <c r="K829" s="156"/>
      <c r="L829" s="156"/>
      <c r="M829" s="156"/>
      <c r="N829" s="154">
        <v>13190</v>
      </c>
      <c r="O829" s="154">
        <v>11409.3</v>
      </c>
    </row>
    <row r="830" spans="2:15" ht="36.75" customHeight="1" collapsed="1" x14ac:dyDescent="0.25">
      <c r="B830" s="151" t="s">
        <v>526</v>
      </c>
      <c r="C830" s="152">
        <v>213</v>
      </c>
      <c r="D830" s="153">
        <v>37</v>
      </c>
      <c r="E830" s="151" t="s">
        <v>78</v>
      </c>
      <c r="F830" s="151" t="s">
        <v>127</v>
      </c>
      <c r="G830" s="151" t="s">
        <v>131</v>
      </c>
      <c r="H830" s="151" t="s">
        <v>523</v>
      </c>
      <c r="I830" s="151" t="s">
        <v>524</v>
      </c>
      <c r="J830" s="151" t="s">
        <v>82</v>
      </c>
      <c r="K830" s="156"/>
      <c r="L830" s="156"/>
      <c r="M830" s="156"/>
      <c r="N830" s="156"/>
      <c r="O830" s="156"/>
    </row>
    <row r="831" spans="2:15" ht="36.75" customHeight="1" x14ac:dyDescent="0.25">
      <c r="B831" s="151" t="s">
        <v>560</v>
      </c>
      <c r="C831" s="152">
        <v>214</v>
      </c>
      <c r="D831" s="151" t="s">
        <v>863</v>
      </c>
      <c r="E831" s="151" t="s">
        <v>557</v>
      </c>
      <c r="F831" s="151" t="s">
        <v>283</v>
      </c>
      <c r="G831" s="151" t="s">
        <v>287</v>
      </c>
      <c r="H831" s="151" t="s">
        <v>422</v>
      </c>
      <c r="I831" s="151" t="s">
        <v>81</v>
      </c>
      <c r="J831" s="151" t="s">
        <v>82</v>
      </c>
      <c r="K831" s="154">
        <v>32190</v>
      </c>
      <c r="L831" s="154">
        <v>17740</v>
      </c>
      <c r="M831" s="155">
        <v>12</v>
      </c>
      <c r="N831" s="154">
        <v>14450</v>
      </c>
      <c r="O831" s="154">
        <v>12716</v>
      </c>
    </row>
    <row r="832" spans="2:15" ht="12.75" hidden="1" customHeight="1" outlineLevel="1" x14ac:dyDescent="0.25">
      <c r="B832" s="570" t="s">
        <v>511</v>
      </c>
      <c r="C832" s="570"/>
      <c r="D832" s="570"/>
      <c r="E832" s="570"/>
      <c r="F832" s="570"/>
      <c r="G832" s="570"/>
      <c r="H832" s="570"/>
      <c r="I832" s="570"/>
      <c r="J832" s="570"/>
      <c r="K832" s="156"/>
      <c r="L832" s="156"/>
      <c r="M832" s="156"/>
      <c r="N832" s="154">
        <v>14450</v>
      </c>
      <c r="O832" s="154">
        <v>12716</v>
      </c>
    </row>
    <row r="833" spans="2:15" ht="36.75" customHeight="1" collapsed="1" x14ac:dyDescent="0.25">
      <c r="B833" s="151" t="s">
        <v>542</v>
      </c>
      <c r="C833" s="152">
        <v>210</v>
      </c>
      <c r="D833" s="153">
        <v>130782</v>
      </c>
      <c r="E833" s="151" t="s">
        <v>105</v>
      </c>
      <c r="F833" s="151" t="s">
        <v>347</v>
      </c>
      <c r="G833" s="151" t="s">
        <v>351</v>
      </c>
      <c r="H833" s="151" t="s">
        <v>460</v>
      </c>
      <c r="I833" s="151" t="s">
        <v>21</v>
      </c>
      <c r="J833" s="151" t="s">
        <v>82</v>
      </c>
      <c r="K833" s="154">
        <v>34410</v>
      </c>
      <c r="L833" s="154">
        <v>18690</v>
      </c>
      <c r="M833" s="155">
        <v>12.5</v>
      </c>
      <c r="N833" s="154">
        <v>15720</v>
      </c>
      <c r="O833" s="154">
        <v>13755</v>
      </c>
    </row>
    <row r="834" spans="2:15" ht="12.75" hidden="1" customHeight="1" outlineLevel="1" x14ac:dyDescent="0.25">
      <c r="B834" s="570" t="s">
        <v>511</v>
      </c>
      <c r="C834" s="570"/>
      <c r="D834" s="570"/>
      <c r="E834" s="570"/>
      <c r="F834" s="570"/>
      <c r="G834" s="570"/>
      <c r="H834" s="570"/>
      <c r="I834" s="570"/>
      <c r="J834" s="570"/>
      <c r="K834" s="156"/>
      <c r="L834" s="156"/>
      <c r="M834" s="156"/>
      <c r="N834" s="154">
        <v>15720</v>
      </c>
      <c r="O834" s="154">
        <v>13755</v>
      </c>
    </row>
    <row r="835" spans="2:15" ht="36.75" customHeight="1" collapsed="1" x14ac:dyDescent="0.25">
      <c r="B835" s="151" t="s">
        <v>543</v>
      </c>
      <c r="C835" s="152">
        <v>211</v>
      </c>
      <c r="D835" s="153">
        <v>130783</v>
      </c>
      <c r="E835" s="151" t="s">
        <v>105</v>
      </c>
      <c r="F835" s="151" t="s">
        <v>1312</v>
      </c>
      <c r="G835" s="151" t="s">
        <v>320</v>
      </c>
      <c r="H835" s="151" t="s">
        <v>460</v>
      </c>
      <c r="I835" s="151" t="s">
        <v>21</v>
      </c>
      <c r="J835" s="151" t="s">
        <v>82</v>
      </c>
      <c r="K835" s="154">
        <v>27680</v>
      </c>
      <c r="L835" s="154">
        <v>14390</v>
      </c>
      <c r="M835" s="155">
        <v>13.5</v>
      </c>
      <c r="N835" s="154">
        <v>13290</v>
      </c>
      <c r="O835" s="154">
        <v>11495.8</v>
      </c>
    </row>
    <row r="836" spans="2:15" ht="12.75" hidden="1" customHeight="1" outlineLevel="1" x14ac:dyDescent="0.25">
      <c r="B836" s="570" t="s">
        <v>511</v>
      </c>
      <c r="C836" s="570"/>
      <c r="D836" s="570"/>
      <c r="E836" s="570"/>
      <c r="F836" s="570"/>
      <c r="G836" s="570"/>
      <c r="H836" s="570"/>
      <c r="I836" s="570"/>
      <c r="J836" s="570"/>
      <c r="K836" s="156"/>
      <c r="L836" s="156"/>
      <c r="M836" s="156"/>
      <c r="N836" s="154">
        <v>13290</v>
      </c>
      <c r="O836" s="154">
        <v>11495.8</v>
      </c>
    </row>
    <row r="837" spans="2:15" ht="36.75" customHeight="1" collapsed="1" x14ac:dyDescent="0.25">
      <c r="B837" s="151" t="s">
        <v>544</v>
      </c>
      <c r="C837" s="152">
        <v>213</v>
      </c>
      <c r="D837" s="153">
        <v>37</v>
      </c>
      <c r="E837" s="151" t="s">
        <v>78</v>
      </c>
      <c r="F837" s="151" t="s">
        <v>127</v>
      </c>
      <c r="G837" s="151" t="s">
        <v>131</v>
      </c>
      <c r="H837" s="151" t="s">
        <v>523</v>
      </c>
      <c r="I837" s="151" t="s">
        <v>524</v>
      </c>
      <c r="J837" s="151" t="s">
        <v>82</v>
      </c>
      <c r="K837" s="154">
        <v>11950</v>
      </c>
      <c r="L837" s="154">
        <v>9730</v>
      </c>
      <c r="M837" s="155">
        <v>15.5</v>
      </c>
      <c r="N837" s="154">
        <v>2220</v>
      </c>
      <c r="O837" s="154">
        <v>1875.9</v>
      </c>
    </row>
    <row r="838" spans="2:15" ht="12.75" hidden="1" customHeight="1" outlineLevel="1" x14ac:dyDescent="0.25">
      <c r="B838" s="570" t="s">
        <v>511</v>
      </c>
      <c r="C838" s="570"/>
      <c r="D838" s="570"/>
      <c r="E838" s="570"/>
      <c r="F838" s="570"/>
      <c r="G838" s="570"/>
      <c r="H838" s="570"/>
      <c r="I838" s="570"/>
      <c r="J838" s="570"/>
      <c r="K838" s="156"/>
      <c r="L838" s="156"/>
      <c r="M838" s="156"/>
      <c r="N838" s="154">
        <v>2220</v>
      </c>
      <c r="O838" s="154">
        <v>1875.9</v>
      </c>
    </row>
    <row r="839" spans="2:15" ht="36.75" customHeight="1" collapsed="1" x14ac:dyDescent="0.25">
      <c r="B839" s="151" t="s">
        <v>545</v>
      </c>
      <c r="C839" s="152">
        <v>212</v>
      </c>
      <c r="D839" s="153">
        <v>130784</v>
      </c>
      <c r="E839" s="151" t="s">
        <v>105</v>
      </c>
      <c r="F839" s="151" t="s">
        <v>335</v>
      </c>
      <c r="G839" s="151" t="s">
        <v>339</v>
      </c>
      <c r="H839" s="151" t="s">
        <v>460</v>
      </c>
      <c r="I839" s="151" t="s">
        <v>21</v>
      </c>
      <c r="J839" s="151" t="s">
        <v>82</v>
      </c>
      <c r="K839" s="154">
        <v>28130</v>
      </c>
      <c r="L839" s="154">
        <v>14780</v>
      </c>
      <c r="M839" s="155">
        <v>10.5</v>
      </c>
      <c r="N839" s="154">
        <v>13350</v>
      </c>
      <c r="O839" s="154">
        <v>11948.2</v>
      </c>
    </row>
    <row r="840" spans="2:15" ht="12.75" hidden="1" customHeight="1" outlineLevel="1" x14ac:dyDescent="0.25">
      <c r="B840" s="570" t="s">
        <v>511</v>
      </c>
      <c r="C840" s="570"/>
      <c r="D840" s="570"/>
      <c r="E840" s="570"/>
      <c r="F840" s="570"/>
      <c r="G840" s="570"/>
      <c r="H840" s="570"/>
      <c r="I840" s="570"/>
      <c r="J840" s="570"/>
      <c r="K840" s="156"/>
      <c r="L840" s="156"/>
      <c r="M840" s="156"/>
      <c r="N840" s="154">
        <v>13350</v>
      </c>
      <c r="O840" s="154">
        <v>11948.2</v>
      </c>
    </row>
    <row r="841" spans="2:15" ht="36.75" customHeight="1" collapsed="1" x14ac:dyDescent="0.25">
      <c r="B841" s="151" t="s">
        <v>546</v>
      </c>
      <c r="C841" s="152">
        <v>216</v>
      </c>
      <c r="D841" s="153">
        <v>130786</v>
      </c>
      <c r="E841" s="151" t="s">
        <v>105</v>
      </c>
      <c r="F841" s="151" t="s">
        <v>1152</v>
      </c>
      <c r="G841" s="151" t="s">
        <v>119</v>
      </c>
      <c r="H841" s="151" t="s">
        <v>460</v>
      </c>
      <c r="I841" s="151" t="s">
        <v>21</v>
      </c>
      <c r="J841" s="151" t="s">
        <v>82</v>
      </c>
      <c r="K841" s="154">
        <v>36430</v>
      </c>
      <c r="L841" s="154">
        <v>21070</v>
      </c>
      <c r="M841" s="155">
        <v>14</v>
      </c>
      <c r="N841" s="154">
        <v>15360</v>
      </c>
      <c r="O841" s="154">
        <v>13209.6</v>
      </c>
    </row>
    <row r="842" spans="2:15" ht="12.75" hidden="1" customHeight="1" outlineLevel="1" x14ac:dyDescent="0.25">
      <c r="B842" s="570" t="s">
        <v>511</v>
      </c>
      <c r="C842" s="570"/>
      <c r="D842" s="570"/>
      <c r="E842" s="570"/>
      <c r="F842" s="570"/>
      <c r="G842" s="570"/>
      <c r="H842" s="570"/>
      <c r="I842" s="570"/>
      <c r="J842" s="570"/>
      <c r="K842" s="156"/>
      <c r="L842" s="156"/>
      <c r="M842" s="156"/>
      <c r="N842" s="154">
        <v>15360</v>
      </c>
      <c r="O842" s="154">
        <v>13209.6</v>
      </c>
    </row>
    <row r="843" spans="2:15" ht="36.75" customHeight="1" collapsed="1" x14ac:dyDescent="0.25">
      <c r="B843" s="151" t="s">
        <v>547</v>
      </c>
      <c r="C843" s="152">
        <v>217</v>
      </c>
      <c r="D843" s="153">
        <v>130787</v>
      </c>
      <c r="E843" s="151" t="s">
        <v>105</v>
      </c>
      <c r="F843" s="151" t="s">
        <v>151</v>
      </c>
      <c r="G843" s="151" t="s">
        <v>155</v>
      </c>
      <c r="H843" s="151" t="s">
        <v>460</v>
      </c>
      <c r="I843" s="151" t="s">
        <v>21</v>
      </c>
      <c r="J843" s="151" t="s">
        <v>82</v>
      </c>
      <c r="K843" s="154">
        <v>28110</v>
      </c>
      <c r="L843" s="154">
        <v>14880</v>
      </c>
      <c r="M843" s="155">
        <v>8.5</v>
      </c>
      <c r="N843" s="154">
        <v>13230</v>
      </c>
      <c r="O843" s="154">
        <v>12105.4</v>
      </c>
    </row>
    <row r="844" spans="2:15" ht="12.75" hidden="1" customHeight="1" outlineLevel="1" x14ac:dyDescent="0.25">
      <c r="B844" s="570" t="s">
        <v>511</v>
      </c>
      <c r="C844" s="570"/>
      <c r="D844" s="570"/>
      <c r="E844" s="570"/>
      <c r="F844" s="570"/>
      <c r="G844" s="570"/>
      <c r="H844" s="570"/>
      <c r="I844" s="570"/>
      <c r="J844" s="570"/>
      <c r="K844" s="156"/>
      <c r="L844" s="156"/>
      <c r="M844" s="156"/>
      <c r="N844" s="154">
        <v>13230</v>
      </c>
      <c r="O844" s="154">
        <v>12105.4</v>
      </c>
    </row>
    <row r="845" spans="2:15" ht="36.75" customHeight="1" collapsed="1" x14ac:dyDescent="0.25">
      <c r="B845" s="151" t="s">
        <v>513</v>
      </c>
      <c r="C845" s="151"/>
      <c r="D845" s="151" t="s">
        <v>673</v>
      </c>
      <c r="E845" s="151" t="s">
        <v>105</v>
      </c>
      <c r="F845" s="151" t="s">
        <v>514</v>
      </c>
      <c r="G845" s="151" t="s">
        <v>515</v>
      </c>
      <c r="H845" s="151" t="s">
        <v>460</v>
      </c>
      <c r="I845" s="151" t="s">
        <v>21</v>
      </c>
      <c r="J845" s="151" t="s">
        <v>82</v>
      </c>
      <c r="K845" s="154">
        <v>33040</v>
      </c>
      <c r="L845" s="154">
        <v>17140</v>
      </c>
      <c r="M845" s="155">
        <v>14.8</v>
      </c>
      <c r="N845" s="154">
        <v>15900</v>
      </c>
      <c r="O845" s="154">
        <v>13550.6</v>
      </c>
    </row>
    <row r="846" spans="2:15" ht="12.75" hidden="1" customHeight="1" outlineLevel="1" x14ac:dyDescent="0.25">
      <c r="B846" s="570" t="s">
        <v>511</v>
      </c>
      <c r="C846" s="570"/>
      <c r="D846" s="570"/>
      <c r="E846" s="570"/>
      <c r="F846" s="570"/>
      <c r="G846" s="570"/>
      <c r="H846" s="570"/>
      <c r="I846" s="570"/>
      <c r="J846" s="570"/>
      <c r="K846" s="156"/>
      <c r="L846" s="156"/>
      <c r="M846" s="156"/>
      <c r="N846" s="154">
        <v>15900</v>
      </c>
      <c r="O846" s="154">
        <v>13550.6</v>
      </c>
    </row>
    <row r="847" spans="2:15" ht="36.75" customHeight="1" collapsed="1" x14ac:dyDescent="0.25">
      <c r="B847" s="151" t="s">
        <v>516</v>
      </c>
      <c r="C847" s="151"/>
      <c r="D847" s="151" t="s">
        <v>728</v>
      </c>
      <c r="E847" s="151" t="s">
        <v>105</v>
      </c>
      <c r="F847" s="151" t="s">
        <v>517</v>
      </c>
      <c r="G847" s="151" t="s">
        <v>518</v>
      </c>
      <c r="H847" s="151" t="s">
        <v>460</v>
      </c>
      <c r="I847" s="151" t="s">
        <v>21</v>
      </c>
      <c r="J847" s="151" t="s">
        <v>82</v>
      </c>
      <c r="K847" s="154">
        <v>34180</v>
      </c>
      <c r="L847" s="154">
        <v>18360</v>
      </c>
      <c r="M847" s="155">
        <v>13.5</v>
      </c>
      <c r="N847" s="154">
        <v>15820</v>
      </c>
      <c r="O847" s="154">
        <v>13692.1</v>
      </c>
    </row>
    <row r="848" spans="2:15" ht="12.75" hidden="1" customHeight="1" outlineLevel="1" x14ac:dyDescent="0.25">
      <c r="B848" s="570" t="s">
        <v>511</v>
      </c>
      <c r="C848" s="570"/>
      <c r="D848" s="570"/>
      <c r="E848" s="570"/>
      <c r="F848" s="570"/>
      <c r="G848" s="570"/>
      <c r="H848" s="570"/>
      <c r="I848" s="570"/>
      <c r="J848" s="570"/>
      <c r="K848" s="156"/>
      <c r="L848" s="156"/>
      <c r="M848" s="156"/>
      <c r="N848" s="154">
        <v>15820</v>
      </c>
      <c r="O848" s="154">
        <v>13692.1</v>
      </c>
    </row>
    <row r="849" spans="2:15" ht="36.75" customHeight="1" collapsed="1" x14ac:dyDescent="0.25">
      <c r="B849" s="151" t="s">
        <v>519</v>
      </c>
      <c r="C849" s="151"/>
      <c r="D849" s="151" t="s">
        <v>729</v>
      </c>
      <c r="E849" s="151" t="s">
        <v>105</v>
      </c>
      <c r="F849" s="151" t="s">
        <v>514</v>
      </c>
      <c r="G849" s="151" t="s">
        <v>515</v>
      </c>
      <c r="H849" s="151" t="s">
        <v>460</v>
      </c>
      <c r="I849" s="151" t="s">
        <v>21</v>
      </c>
      <c r="J849" s="151" t="s">
        <v>82</v>
      </c>
      <c r="K849" s="154">
        <v>32580</v>
      </c>
      <c r="L849" s="154">
        <v>17040</v>
      </c>
      <c r="M849" s="155">
        <v>12.7</v>
      </c>
      <c r="N849" s="154">
        <v>15540</v>
      </c>
      <c r="O849" s="154">
        <v>13560.5</v>
      </c>
    </row>
    <row r="850" spans="2:15" ht="12.75" hidden="1" customHeight="1" outlineLevel="1" x14ac:dyDescent="0.25">
      <c r="B850" s="570" t="s">
        <v>511</v>
      </c>
      <c r="C850" s="570"/>
      <c r="D850" s="570"/>
      <c r="E850" s="570"/>
      <c r="F850" s="570"/>
      <c r="G850" s="570"/>
      <c r="H850" s="570"/>
      <c r="I850" s="570"/>
      <c r="J850" s="570"/>
      <c r="K850" s="156"/>
      <c r="L850" s="156"/>
      <c r="M850" s="156"/>
      <c r="N850" s="154">
        <v>15540</v>
      </c>
      <c r="O850" s="154">
        <v>13560.5</v>
      </c>
    </row>
    <row r="851" spans="2:15" ht="36.75" customHeight="1" collapsed="1" x14ac:dyDescent="0.25">
      <c r="B851" s="151" t="s">
        <v>520</v>
      </c>
      <c r="C851" s="151"/>
      <c r="D851" s="151" t="s">
        <v>674</v>
      </c>
      <c r="E851" s="151" t="s">
        <v>105</v>
      </c>
      <c r="F851" s="151" t="s">
        <v>521</v>
      </c>
      <c r="G851" s="151" t="s">
        <v>675</v>
      </c>
      <c r="H851" s="151" t="s">
        <v>460</v>
      </c>
      <c r="I851" s="151" t="s">
        <v>21</v>
      </c>
      <c r="J851" s="151" t="s">
        <v>82</v>
      </c>
      <c r="K851" s="154">
        <v>32040</v>
      </c>
      <c r="L851" s="154">
        <v>16120</v>
      </c>
      <c r="M851" s="155">
        <v>14.4</v>
      </c>
      <c r="N851" s="154">
        <v>15920</v>
      </c>
      <c r="O851" s="154">
        <v>13632.4</v>
      </c>
    </row>
    <row r="852" spans="2:15" ht="12.75" hidden="1" customHeight="1" outlineLevel="1" x14ac:dyDescent="0.25">
      <c r="B852" s="570" t="s">
        <v>511</v>
      </c>
      <c r="C852" s="570"/>
      <c r="D852" s="570"/>
      <c r="E852" s="570"/>
      <c r="F852" s="570"/>
      <c r="G852" s="570"/>
      <c r="H852" s="570"/>
      <c r="I852" s="570"/>
      <c r="J852" s="570"/>
      <c r="K852" s="156"/>
      <c r="L852" s="156"/>
      <c r="M852" s="156"/>
      <c r="N852" s="154">
        <v>15920</v>
      </c>
      <c r="O852" s="154">
        <v>13632.4</v>
      </c>
    </row>
    <row r="853" spans="2:15" ht="36.75" customHeight="1" collapsed="1" x14ac:dyDescent="0.25">
      <c r="B853" s="151" t="s">
        <v>667</v>
      </c>
      <c r="C853" s="152">
        <v>219</v>
      </c>
      <c r="D853" s="151" t="s">
        <v>730</v>
      </c>
      <c r="E853" s="151" t="s">
        <v>557</v>
      </c>
      <c r="F853" s="151" t="s">
        <v>289</v>
      </c>
      <c r="G853" s="151" t="s">
        <v>293</v>
      </c>
      <c r="H853" s="151" t="s">
        <v>422</v>
      </c>
      <c r="I853" s="151" t="s">
        <v>81</v>
      </c>
      <c r="J853" s="151" t="s">
        <v>82</v>
      </c>
      <c r="K853" s="154">
        <v>31040</v>
      </c>
      <c r="L853" s="154">
        <v>17100</v>
      </c>
      <c r="M853" s="155">
        <v>25.3</v>
      </c>
      <c r="N853" s="154">
        <v>13940</v>
      </c>
      <c r="O853" s="154">
        <v>10413.200000000001</v>
      </c>
    </row>
    <row r="854" spans="2:15" ht="12.75" hidden="1" customHeight="1" outlineLevel="1" x14ac:dyDescent="0.25">
      <c r="B854" s="570" t="s">
        <v>511</v>
      </c>
      <c r="C854" s="570"/>
      <c r="D854" s="570"/>
      <c r="E854" s="570"/>
      <c r="F854" s="570"/>
      <c r="G854" s="570"/>
      <c r="H854" s="570"/>
      <c r="I854" s="570"/>
      <c r="J854" s="570"/>
      <c r="K854" s="156"/>
      <c r="L854" s="156"/>
      <c r="M854" s="156"/>
      <c r="N854" s="154">
        <v>13940</v>
      </c>
      <c r="O854" s="154">
        <v>10413.200000000001</v>
      </c>
    </row>
    <row r="855" spans="2:15" ht="36.75" customHeight="1" collapsed="1" x14ac:dyDescent="0.25">
      <c r="B855" s="151" t="s">
        <v>549</v>
      </c>
      <c r="C855" s="152">
        <v>220</v>
      </c>
      <c r="D855" s="153">
        <v>40</v>
      </c>
      <c r="E855" s="151" t="s">
        <v>78</v>
      </c>
      <c r="F855" s="151" t="s">
        <v>127</v>
      </c>
      <c r="G855" s="151" t="s">
        <v>131</v>
      </c>
      <c r="H855" s="151" t="s">
        <v>422</v>
      </c>
      <c r="I855" s="151" t="s">
        <v>81</v>
      </c>
      <c r="J855" s="151" t="s">
        <v>82</v>
      </c>
      <c r="K855" s="154">
        <v>14600</v>
      </c>
      <c r="L855" s="154">
        <v>9710</v>
      </c>
      <c r="M855" s="155">
        <v>17</v>
      </c>
      <c r="N855" s="154">
        <v>4890</v>
      </c>
      <c r="O855" s="154">
        <v>4058.7</v>
      </c>
    </row>
    <row r="856" spans="2:15" ht="12.75" hidden="1" customHeight="1" outlineLevel="1" x14ac:dyDescent="0.25">
      <c r="B856" s="570" t="s">
        <v>550</v>
      </c>
      <c r="C856" s="570"/>
      <c r="D856" s="570"/>
      <c r="E856" s="570"/>
      <c r="F856" s="570"/>
      <c r="G856" s="570"/>
      <c r="H856" s="570"/>
      <c r="I856" s="570"/>
      <c r="J856" s="570"/>
      <c r="K856" s="156"/>
      <c r="L856" s="156"/>
      <c r="M856" s="156"/>
      <c r="N856" s="154">
        <v>4890</v>
      </c>
      <c r="O856" s="154">
        <v>4058.7</v>
      </c>
    </row>
    <row r="857" spans="2:15" ht="36.75" customHeight="1" collapsed="1" x14ac:dyDescent="0.25">
      <c r="B857" s="151" t="s">
        <v>551</v>
      </c>
      <c r="C857" s="152">
        <v>221</v>
      </c>
      <c r="D857" s="153">
        <v>130788</v>
      </c>
      <c r="E857" s="151" t="s">
        <v>105</v>
      </c>
      <c r="F857" s="151" t="s">
        <v>160</v>
      </c>
      <c r="G857" s="151" t="s">
        <v>164</v>
      </c>
      <c r="H857" s="151" t="s">
        <v>460</v>
      </c>
      <c r="I857" s="151" t="s">
        <v>21</v>
      </c>
      <c r="J857" s="151" t="s">
        <v>82</v>
      </c>
      <c r="K857" s="154">
        <v>37550</v>
      </c>
      <c r="L857" s="154">
        <v>24020</v>
      </c>
      <c r="M857" s="155">
        <v>8.5</v>
      </c>
      <c r="N857" s="154">
        <v>13530</v>
      </c>
      <c r="O857" s="154">
        <v>12379.9</v>
      </c>
    </row>
    <row r="858" spans="2:15" ht="12.75" hidden="1" customHeight="1" outlineLevel="1" x14ac:dyDescent="0.25">
      <c r="B858" s="570" t="s">
        <v>511</v>
      </c>
      <c r="C858" s="570"/>
      <c r="D858" s="570"/>
      <c r="E858" s="570"/>
      <c r="F858" s="570"/>
      <c r="G858" s="570"/>
      <c r="H858" s="570"/>
      <c r="I858" s="570"/>
      <c r="J858" s="570"/>
      <c r="K858" s="156"/>
      <c r="L858" s="156"/>
      <c r="M858" s="156"/>
      <c r="N858" s="154">
        <v>13530</v>
      </c>
      <c r="O858" s="154">
        <v>12379.9</v>
      </c>
    </row>
    <row r="859" spans="2:15" ht="36.75" customHeight="1" collapsed="1" x14ac:dyDescent="0.25">
      <c r="B859" s="151" t="s">
        <v>552</v>
      </c>
      <c r="C859" s="152">
        <v>222</v>
      </c>
      <c r="D859" s="153">
        <v>41</v>
      </c>
      <c r="E859" s="151" t="s">
        <v>78</v>
      </c>
      <c r="F859" s="151" t="s">
        <v>127</v>
      </c>
      <c r="G859" s="151" t="s">
        <v>131</v>
      </c>
      <c r="H859" s="151" t="s">
        <v>422</v>
      </c>
      <c r="I859" s="151" t="s">
        <v>81</v>
      </c>
      <c r="J859" s="151" t="s">
        <v>82</v>
      </c>
      <c r="K859" s="154">
        <v>14640</v>
      </c>
      <c r="L859" s="154">
        <v>9700</v>
      </c>
      <c r="M859" s="155">
        <v>16</v>
      </c>
      <c r="N859" s="154">
        <v>4940</v>
      </c>
      <c r="O859" s="154">
        <v>4149.6000000000004</v>
      </c>
    </row>
    <row r="860" spans="2:15" ht="12.75" hidden="1" customHeight="1" outlineLevel="1" x14ac:dyDescent="0.25">
      <c r="B860" s="570" t="s">
        <v>550</v>
      </c>
      <c r="C860" s="570"/>
      <c r="D860" s="570"/>
      <c r="E860" s="570"/>
      <c r="F860" s="570"/>
      <c r="G860" s="570"/>
      <c r="H860" s="570"/>
      <c r="I860" s="570"/>
      <c r="J860" s="570"/>
      <c r="K860" s="156"/>
      <c r="L860" s="156"/>
      <c r="M860" s="156"/>
      <c r="N860" s="154">
        <v>4940</v>
      </c>
      <c r="O860" s="154">
        <v>4149.6000000000004</v>
      </c>
    </row>
    <row r="861" spans="2:15" ht="36.75" customHeight="1" collapsed="1" x14ac:dyDescent="0.25">
      <c r="B861" s="151" t="s">
        <v>553</v>
      </c>
      <c r="C861" s="152">
        <v>225</v>
      </c>
      <c r="D861" s="153">
        <v>42</v>
      </c>
      <c r="E861" s="151" t="s">
        <v>78</v>
      </c>
      <c r="F861" s="151" t="s">
        <v>127</v>
      </c>
      <c r="G861" s="151" t="s">
        <v>131</v>
      </c>
      <c r="H861" s="151" t="s">
        <v>422</v>
      </c>
      <c r="I861" s="151" t="s">
        <v>81</v>
      </c>
      <c r="J861" s="151" t="s">
        <v>82</v>
      </c>
      <c r="K861" s="154">
        <v>14670</v>
      </c>
      <c r="L861" s="154">
        <v>9690</v>
      </c>
      <c r="M861" s="155">
        <v>14</v>
      </c>
      <c r="N861" s="154">
        <v>4980</v>
      </c>
      <c r="O861" s="154">
        <v>4282.8</v>
      </c>
    </row>
    <row r="862" spans="2:15" ht="12.75" hidden="1" customHeight="1" outlineLevel="1" x14ac:dyDescent="0.25">
      <c r="B862" s="570" t="s">
        <v>511</v>
      </c>
      <c r="C862" s="570"/>
      <c r="D862" s="570"/>
      <c r="E862" s="570"/>
      <c r="F862" s="570"/>
      <c r="G862" s="570"/>
      <c r="H862" s="570"/>
      <c r="I862" s="570"/>
      <c r="J862" s="570"/>
      <c r="K862" s="156"/>
      <c r="L862" s="156"/>
      <c r="M862" s="156"/>
      <c r="N862" s="154">
        <v>4980</v>
      </c>
      <c r="O862" s="154">
        <v>4282.8</v>
      </c>
    </row>
    <row r="863" spans="2:15" ht="36.75" customHeight="1" collapsed="1" x14ac:dyDescent="0.25">
      <c r="B863" s="151" t="s">
        <v>554</v>
      </c>
      <c r="C863" s="152">
        <v>223</v>
      </c>
      <c r="D863" s="153">
        <v>130790</v>
      </c>
      <c r="E863" s="151" t="s">
        <v>105</v>
      </c>
      <c r="F863" s="151" t="s">
        <v>234</v>
      </c>
      <c r="G863" s="151" t="s">
        <v>238</v>
      </c>
      <c r="H863" s="151" t="s">
        <v>460</v>
      </c>
      <c r="I863" s="151" t="s">
        <v>21</v>
      </c>
      <c r="J863" s="151" t="s">
        <v>82</v>
      </c>
      <c r="K863" s="154">
        <v>28860</v>
      </c>
      <c r="L863" s="154">
        <v>15560</v>
      </c>
      <c r="M863" s="155">
        <v>11</v>
      </c>
      <c r="N863" s="154">
        <v>13300</v>
      </c>
      <c r="O863" s="154">
        <v>11837</v>
      </c>
    </row>
    <row r="864" spans="2:15" ht="12.75" hidden="1" customHeight="1" outlineLevel="1" x14ac:dyDescent="0.25">
      <c r="B864" s="570" t="s">
        <v>511</v>
      </c>
      <c r="C864" s="570"/>
      <c r="D864" s="570"/>
      <c r="E864" s="570"/>
      <c r="F864" s="570"/>
      <c r="G864" s="570"/>
      <c r="H864" s="570"/>
      <c r="I864" s="570"/>
      <c r="J864" s="570"/>
      <c r="K864" s="156"/>
      <c r="L864" s="156"/>
      <c r="M864" s="156"/>
      <c r="N864" s="154">
        <v>13300</v>
      </c>
      <c r="O864" s="154">
        <v>11837</v>
      </c>
    </row>
    <row r="865" spans="2:15" ht="48.75" customHeight="1" collapsed="1" x14ac:dyDescent="0.25">
      <c r="B865" s="151" t="s">
        <v>670</v>
      </c>
      <c r="C865" s="152">
        <v>227</v>
      </c>
      <c r="D865" s="151" t="s">
        <v>733</v>
      </c>
      <c r="E865" s="151" t="s">
        <v>557</v>
      </c>
      <c r="F865" s="151" t="s">
        <v>295</v>
      </c>
      <c r="G865" s="151" t="s">
        <v>299</v>
      </c>
      <c r="H865" s="151" t="s">
        <v>523</v>
      </c>
      <c r="I865" s="151" t="s">
        <v>524</v>
      </c>
      <c r="J865" s="151" t="s">
        <v>82</v>
      </c>
      <c r="K865" s="154">
        <v>31650</v>
      </c>
      <c r="L865" s="154">
        <v>17790</v>
      </c>
      <c r="M865" s="155">
        <v>17.399999999999999</v>
      </c>
      <c r="N865" s="154">
        <v>13860</v>
      </c>
      <c r="O865" s="154">
        <v>11448.4</v>
      </c>
    </row>
    <row r="866" spans="2:15" ht="12.75" hidden="1" customHeight="1" outlineLevel="1" x14ac:dyDescent="0.25">
      <c r="B866" s="570" t="s">
        <v>511</v>
      </c>
      <c r="C866" s="570"/>
      <c r="D866" s="570"/>
      <c r="E866" s="570"/>
      <c r="F866" s="570"/>
      <c r="G866" s="570"/>
      <c r="H866" s="570"/>
      <c r="I866" s="570"/>
      <c r="J866" s="570"/>
      <c r="K866" s="156"/>
      <c r="L866" s="156"/>
      <c r="M866" s="156"/>
      <c r="N866" s="154">
        <v>13860</v>
      </c>
      <c r="O866" s="154">
        <v>11448.4</v>
      </c>
    </row>
    <row r="867" spans="2:15" ht="36.75" customHeight="1" collapsed="1" x14ac:dyDescent="0.25">
      <c r="B867" s="151" t="s">
        <v>669</v>
      </c>
      <c r="C867" s="152">
        <v>232</v>
      </c>
      <c r="D867" s="151" t="s">
        <v>732</v>
      </c>
      <c r="E867" s="151" t="s">
        <v>78</v>
      </c>
      <c r="F867" s="151" t="s">
        <v>442</v>
      </c>
      <c r="G867" s="151" t="s">
        <v>443</v>
      </c>
      <c r="H867" s="151" t="s">
        <v>523</v>
      </c>
      <c r="I867" s="151" t="s">
        <v>81</v>
      </c>
      <c r="J867" s="151" t="s">
        <v>82</v>
      </c>
      <c r="K867" s="154">
        <v>33080</v>
      </c>
      <c r="L867" s="154">
        <v>18790</v>
      </c>
      <c r="M867" s="155">
        <v>10.9</v>
      </c>
      <c r="N867" s="154">
        <v>14290</v>
      </c>
      <c r="O867" s="154">
        <v>12725.4</v>
      </c>
    </row>
    <row r="868" spans="2:15" ht="12.75" hidden="1" customHeight="1" outlineLevel="1" x14ac:dyDescent="0.25">
      <c r="B868" s="570" t="s">
        <v>511</v>
      </c>
      <c r="C868" s="570"/>
      <c r="D868" s="570"/>
      <c r="E868" s="570"/>
      <c r="F868" s="570"/>
      <c r="G868" s="570"/>
      <c r="H868" s="570"/>
      <c r="I868" s="570"/>
      <c r="J868" s="570"/>
      <c r="K868" s="156"/>
      <c r="L868" s="156"/>
      <c r="M868" s="156"/>
      <c r="N868" s="154">
        <v>14290</v>
      </c>
      <c r="O868" s="154">
        <v>12725.4</v>
      </c>
    </row>
    <row r="869" spans="2:15" ht="36.75" customHeight="1" collapsed="1" x14ac:dyDescent="0.25">
      <c r="B869" s="151" t="s">
        <v>561</v>
      </c>
      <c r="C869" s="152">
        <v>224</v>
      </c>
      <c r="D869" s="153">
        <v>130791</v>
      </c>
      <c r="E869" s="151" t="s">
        <v>105</v>
      </c>
      <c r="F869" s="151" t="s">
        <v>272</v>
      </c>
      <c r="G869" s="151" t="s">
        <v>276</v>
      </c>
      <c r="H869" s="151" t="s">
        <v>460</v>
      </c>
      <c r="I869" s="151" t="s">
        <v>21</v>
      </c>
      <c r="J869" s="151" t="s">
        <v>82</v>
      </c>
      <c r="K869" s="154">
        <v>28060</v>
      </c>
      <c r="L869" s="154">
        <v>14730</v>
      </c>
      <c r="M869" s="155">
        <v>11.5</v>
      </c>
      <c r="N869" s="154">
        <v>13330</v>
      </c>
      <c r="O869" s="154">
        <v>11797</v>
      </c>
    </row>
    <row r="870" spans="2:15" ht="12.75" hidden="1" customHeight="1" outlineLevel="1" x14ac:dyDescent="0.25">
      <c r="B870" s="570" t="s">
        <v>511</v>
      </c>
      <c r="C870" s="570"/>
      <c r="D870" s="570"/>
      <c r="E870" s="570"/>
      <c r="F870" s="570"/>
      <c r="G870" s="570"/>
      <c r="H870" s="570"/>
      <c r="I870" s="570"/>
      <c r="J870" s="570"/>
      <c r="K870" s="156"/>
      <c r="L870" s="156"/>
      <c r="M870" s="156"/>
      <c r="N870" s="154">
        <v>13330</v>
      </c>
      <c r="O870" s="154">
        <v>11797</v>
      </c>
    </row>
    <row r="871" spans="2:15" ht="36.75" customHeight="1" collapsed="1" x14ac:dyDescent="0.25">
      <c r="B871" s="151" t="s">
        <v>566</v>
      </c>
      <c r="C871" s="152">
        <v>226</v>
      </c>
      <c r="D871" s="153">
        <v>130792</v>
      </c>
      <c r="E871" s="151" t="s">
        <v>105</v>
      </c>
      <c r="F871" s="151" t="s">
        <v>1253</v>
      </c>
      <c r="G871" s="151" t="s">
        <v>270</v>
      </c>
      <c r="H871" s="151" t="s">
        <v>365</v>
      </c>
      <c r="I871" s="151" t="s">
        <v>21</v>
      </c>
      <c r="J871" s="151" t="s">
        <v>82</v>
      </c>
      <c r="K871" s="154">
        <v>29030</v>
      </c>
      <c r="L871" s="154">
        <v>22250</v>
      </c>
      <c r="M871" s="156"/>
      <c r="N871" s="154">
        <v>14170</v>
      </c>
      <c r="O871" s="154">
        <v>12728.9</v>
      </c>
    </row>
    <row r="872" spans="2:15" ht="12.75" hidden="1" customHeight="1" outlineLevel="1" x14ac:dyDescent="0.25">
      <c r="B872" s="570" t="s">
        <v>511</v>
      </c>
      <c r="C872" s="570"/>
      <c r="D872" s="570"/>
      <c r="E872" s="570"/>
      <c r="F872" s="570"/>
      <c r="G872" s="570"/>
      <c r="H872" s="570"/>
      <c r="I872" s="570"/>
      <c r="J872" s="570"/>
      <c r="K872" s="156"/>
      <c r="L872" s="156"/>
      <c r="M872" s="156"/>
      <c r="N872" s="154">
        <v>6780</v>
      </c>
      <c r="O872" s="154">
        <v>6780</v>
      </c>
    </row>
    <row r="873" spans="2:15" ht="12.75" hidden="1" customHeight="1" outlineLevel="1" x14ac:dyDescent="0.25">
      <c r="B873" s="570" t="s">
        <v>511</v>
      </c>
      <c r="C873" s="570"/>
      <c r="D873" s="570"/>
      <c r="E873" s="570"/>
      <c r="F873" s="570"/>
      <c r="G873" s="570"/>
      <c r="H873" s="570"/>
      <c r="I873" s="570"/>
      <c r="J873" s="570"/>
      <c r="K873" s="156"/>
      <c r="L873" s="156"/>
      <c r="M873" s="156"/>
      <c r="N873" s="154">
        <v>7390</v>
      </c>
      <c r="O873" s="154">
        <v>5948.9</v>
      </c>
    </row>
    <row r="874" spans="2:15" ht="36.75" customHeight="1" collapsed="1" x14ac:dyDescent="0.25">
      <c r="B874" s="151" t="s">
        <v>510</v>
      </c>
      <c r="C874" s="152">
        <v>228</v>
      </c>
      <c r="D874" s="153">
        <v>130793</v>
      </c>
      <c r="E874" s="151" t="s">
        <v>105</v>
      </c>
      <c r="F874" s="151" t="s">
        <v>121</v>
      </c>
      <c r="G874" s="151" t="s">
        <v>125</v>
      </c>
      <c r="H874" s="151" t="s">
        <v>365</v>
      </c>
      <c r="I874" s="151" t="s">
        <v>21</v>
      </c>
      <c r="J874" s="151" t="s">
        <v>82</v>
      </c>
      <c r="K874" s="154">
        <v>28060</v>
      </c>
      <c r="L874" s="154">
        <v>14580</v>
      </c>
      <c r="M874" s="155">
        <v>20.5</v>
      </c>
      <c r="N874" s="154">
        <v>13480</v>
      </c>
      <c r="O874" s="154">
        <v>10716.6</v>
      </c>
    </row>
    <row r="875" spans="2:15" ht="12.75" hidden="1" customHeight="1" outlineLevel="1" x14ac:dyDescent="0.25">
      <c r="B875" s="570" t="s">
        <v>511</v>
      </c>
      <c r="C875" s="570"/>
      <c r="D875" s="570"/>
      <c r="E875" s="570"/>
      <c r="F875" s="570"/>
      <c r="G875" s="570"/>
      <c r="H875" s="570"/>
      <c r="I875" s="570"/>
      <c r="J875" s="570"/>
      <c r="K875" s="156"/>
      <c r="L875" s="156"/>
      <c r="M875" s="156"/>
      <c r="N875" s="154">
        <v>13480</v>
      </c>
      <c r="O875" s="154">
        <v>10716.6</v>
      </c>
    </row>
    <row r="876" spans="2:15" ht="36.75" customHeight="1" collapsed="1" x14ac:dyDescent="0.25">
      <c r="B876" s="151" t="s">
        <v>512</v>
      </c>
      <c r="C876" s="152">
        <v>230</v>
      </c>
      <c r="D876" s="153">
        <v>130794</v>
      </c>
      <c r="E876" s="151" t="s">
        <v>105</v>
      </c>
      <c r="F876" s="151" t="s">
        <v>133</v>
      </c>
      <c r="G876" s="151" t="s">
        <v>137</v>
      </c>
      <c r="H876" s="151" t="s">
        <v>365</v>
      </c>
      <c r="I876" s="151" t="s">
        <v>21</v>
      </c>
      <c r="J876" s="151" t="s">
        <v>82</v>
      </c>
      <c r="K876" s="154">
        <v>28080</v>
      </c>
      <c r="L876" s="154">
        <v>14850</v>
      </c>
      <c r="M876" s="155">
        <v>22.5</v>
      </c>
      <c r="N876" s="154">
        <v>13230</v>
      </c>
      <c r="O876" s="154">
        <v>10253.200000000001</v>
      </c>
    </row>
    <row r="877" spans="2:15" ht="12.75" hidden="1" customHeight="1" outlineLevel="1" x14ac:dyDescent="0.25">
      <c r="B877" s="570" t="s">
        <v>511</v>
      </c>
      <c r="C877" s="570"/>
      <c r="D877" s="570"/>
      <c r="E877" s="570"/>
      <c r="F877" s="570"/>
      <c r="G877" s="570"/>
      <c r="H877" s="570"/>
      <c r="I877" s="570"/>
      <c r="J877" s="570"/>
      <c r="K877" s="156"/>
      <c r="L877" s="156"/>
      <c r="M877" s="156"/>
      <c r="N877" s="154">
        <v>13230</v>
      </c>
      <c r="O877" s="154">
        <v>10253.200000000001</v>
      </c>
    </row>
    <row r="878" spans="2:15" ht="36.75" customHeight="1" collapsed="1" x14ac:dyDescent="0.25">
      <c r="B878" s="151" t="s">
        <v>522</v>
      </c>
      <c r="C878" s="152">
        <v>233</v>
      </c>
      <c r="D878" s="153">
        <v>45</v>
      </c>
      <c r="E878" s="151" t="s">
        <v>78</v>
      </c>
      <c r="F878" s="151" t="s">
        <v>79</v>
      </c>
      <c r="G878" s="151" t="s">
        <v>80</v>
      </c>
      <c r="H878" s="151" t="s">
        <v>523</v>
      </c>
      <c r="I878" s="151" t="s">
        <v>524</v>
      </c>
      <c r="J878" s="151" t="s">
        <v>82</v>
      </c>
      <c r="K878" s="154">
        <v>14400</v>
      </c>
      <c r="L878" s="154">
        <v>9480</v>
      </c>
      <c r="M878" s="155">
        <v>17.5</v>
      </c>
      <c r="N878" s="154">
        <v>4920</v>
      </c>
      <c r="O878" s="154">
        <v>4059</v>
      </c>
    </row>
    <row r="879" spans="2:15" ht="12.75" hidden="1" customHeight="1" outlineLevel="1" x14ac:dyDescent="0.25">
      <c r="B879" s="570" t="s">
        <v>511</v>
      </c>
      <c r="C879" s="570"/>
      <c r="D879" s="570"/>
      <c r="E879" s="570"/>
      <c r="F879" s="570"/>
      <c r="G879" s="570"/>
      <c r="H879" s="570"/>
      <c r="I879" s="570"/>
      <c r="J879" s="570"/>
      <c r="K879" s="156"/>
      <c r="L879" s="156"/>
      <c r="M879" s="156"/>
      <c r="N879" s="154">
        <v>4920</v>
      </c>
      <c r="O879" s="154">
        <v>4059</v>
      </c>
    </row>
    <row r="880" spans="2:15" ht="36.75" customHeight="1" collapsed="1" x14ac:dyDescent="0.25">
      <c r="B880" s="151" t="s">
        <v>525</v>
      </c>
      <c r="C880" s="152">
        <v>234</v>
      </c>
      <c r="D880" s="153">
        <v>130796</v>
      </c>
      <c r="E880" s="151" t="s">
        <v>105</v>
      </c>
      <c r="F880" s="151" t="s">
        <v>239</v>
      </c>
      <c r="G880" s="151" t="s">
        <v>243</v>
      </c>
      <c r="H880" s="151" t="s">
        <v>365</v>
      </c>
      <c r="I880" s="151" t="s">
        <v>21</v>
      </c>
      <c r="J880" s="151" t="s">
        <v>82</v>
      </c>
      <c r="K880" s="154">
        <v>28060</v>
      </c>
      <c r="L880" s="154">
        <v>14540</v>
      </c>
      <c r="M880" s="155">
        <v>17.5</v>
      </c>
      <c r="N880" s="154">
        <v>13520</v>
      </c>
      <c r="O880" s="154">
        <v>11154</v>
      </c>
    </row>
    <row r="881" spans="2:15" ht="12.75" hidden="1" customHeight="1" outlineLevel="1" x14ac:dyDescent="0.25">
      <c r="B881" s="570" t="s">
        <v>511</v>
      </c>
      <c r="C881" s="570"/>
      <c r="D881" s="570"/>
      <c r="E881" s="570"/>
      <c r="F881" s="570"/>
      <c r="G881" s="570"/>
      <c r="H881" s="570"/>
      <c r="I881" s="570"/>
      <c r="J881" s="570"/>
      <c r="K881" s="156"/>
      <c r="L881" s="156"/>
      <c r="M881" s="156"/>
      <c r="N881" s="154">
        <v>13520</v>
      </c>
      <c r="O881" s="154">
        <v>11154</v>
      </c>
    </row>
    <row r="882" spans="2:15" ht="36.75" customHeight="1" collapsed="1" x14ac:dyDescent="0.25">
      <c r="B882" s="151" t="s">
        <v>527</v>
      </c>
      <c r="C882" s="152">
        <v>235</v>
      </c>
      <c r="D882" s="153">
        <v>130797</v>
      </c>
      <c r="E882" s="151" t="s">
        <v>105</v>
      </c>
      <c r="F882" s="151" t="s">
        <v>249</v>
      </c>
      <c r="G882" s="151" t="s">
        <v>253</v>
      </c>
      <c r="H882" s="151" t="s">
        <v>365</v>
      </c>
      <c r="I882" s="151" t="s">
        <v>21</v>
      </c>
      <c r="J882" s="151" t="s">
        <v>82</v>
      </c>
      <c r="K882" s="154">
        <v>28680</v>
      </c>
      <c r="L882" s="154">
        <v>15170</v>
      </c>
      <c r="M882" s="155">
        <v>19.5</v>
      </c>
      <c r="N882" s="154">
        <v>13510</v>
      </c>
      <c r="O882" s="154">
        <v>10875.5</v>
      </c>
    </row>
    <row r="883" spans="2:15" ht="12.75" hidden="1" customHeight="1" outlineLevel="1" x14ac:dyDescent="0.25">
      <c r="B883" s="570" t="s">
        <v>511</v>
      </c>
      <c r="C883" s="570"/>
      <c r="D883" s="570"/>
      <c r="E883" s="570"/>
      <c r="F883" s="570"/>
      <c r="G883" s="570"/>
      <c r="H883" s="570"/>
      <c r="I883" s="570"/>
      <c r="J883" s="570"/>
      <c r="K883" s="156"/>
      <c r="L883" s="156"/>
      <c r="M883" s="156"/>
      <c r="N883" s="154">
        <v>13510</v>
      </c>
      <c r="O883" s="154">
        <v>10875.5</v>
      </c>
    </row>
    <row r="884" spans="2:15" ht="36.75" customHeight="1" collapsed="1" x14ac:dyDescent="0.25">
      <c r="B884" s="151" t="s">
        <v>656</v>
      </c>
      <c r="C884" s="152">
        <v>237</v>
      </c>
      <c r="D884" s="153">
        <v>130798</v>
      </c>
      <c r="E884" s="151" t="s">
        <v>105</v>
      </c>
      <c r="F884" s="151" t="s">
        <v>1151</v>
      </c>
      <c r="G884" s="151" t="s">
        <v>145</v>
      </c>
      <c r="H884" s="151" t="s">
        <v>365</v>
      </c>
      <c r="I884" s="151" t="s">
        <v>21</v>
      </c>
      <c r="J884" s="151" t="s">
        <v>82</v>
      </c>
      <c r="K884" s="154">
        <v>29330</v>
      </c>
      <c r="L884" s="154">
        <v>15640</v>
      </c>
      <c r="M884" s="155">
        <v>16.5</v>
      </c>
      <c r="N884" s="154">
        <v>13690</v>
      </c>
      <c r="O884" s="154">
        <v>11431.1</v>
      </c>
    </row>
    <row r="885" spans="2:15" ht="12.75" hidden="1" customHeight="1" outlineLevel="1" x14ac:dyDescent="0.25">
      <c r="B885" s="570" t="s">
        <v>511</v>
      </c>
      <c r="C885" s="570"/>
      <c r="D885" s="570"/>
      <c r="E885" s="570"/>
      <c r="F885" s="570"/>
      <c r="G885" s="570"/>
      <c r="H885" s="570"/>
      <c r="I885" s="570"/>
      <c r="J885" s="570"/>
      <c r="K885" s="156"/>
      <c r="L885" s="156"/>
      <c r="M885" s="156"/>
      <c r="N885" s="154">
        <v>13690</v>
      </c>
      <c r="O885" s="154">
        <v>11431.1</v>
      </c>
    </row>
    <row r="886" spans="2:15" ht="36.75" customHeight="1" collapsed="1" x14ac:dyDescent="0.25">
      <c r="B886" s="151" t="s">
        <v>661</v>
      </c>
      <c r="C886" s="152">
        <v>241</v>
      </c>
      <c r="D886" s="153">
        <v>47</v>
      </c>
      <c r="E886" s="151" t="s">
        <v>78</v>
      </c>
      <c r="F886" s="151" t="s">
        <v>79</v>
      </c>
      <c r="G886" s="151" t="s">
        <v>80</v>
      </c>
      <c r="H886" s="151" t="s">
        <v>523</v>
      </c>
      <c r="I886" s="151" t="s">
        <v>524</v>
      </c>
      <c r="J886" s="151" t="s">
        <v>82</v>
      </c>
      <c r="K886" s="154">
        <v>16370</v>
      </c>
      <c r="L886" s="154">
        <v>9470</v>
      </c>
      <c r="M886" s="155">
        <v>22.5</v>
      </c>
      <c r="N886" s="154">
        <v>6900</v>
      </c>
      <c r="O886" s="154">
        <v>5347.5</v>
      </c>
    </row>
    <row r="887" spans="2:15" ht="12.75" hidden="1" customHeight="1" outlineLevel="1" x14ac:dyDescent="0.25">
      <c r="B887" s="570" t="s">
        <v>511</v>
      </c>
      <c r="C887" s="570"/>
      <c r="D887" s="570"/>
      <c r="E887" s="570"/>
      <c r="F887" s="570"/>
      <c r="G887" s="570"/>
      <c r="H887" s="570"/>
      <c r="I887" s="570"/>
      <c r="J887" s="570"/>
      <c r="K887" s="156"/>
      <c r="L887" s="156"/>
      <c r="M887" s="156"/>
      <c r="N887" s="154">
        <v>6900</v>
      </c>
      <c r="O887" s="154">
        <v>5347.5</v>
      </c>
    </row>
    <row r="888" spans="2:15" ht="36.75" customHeight="1" collapsed="1" x14ac:dyDescent="0.25">
      <c r="B888" s="151" t="s">
        <v>657</v>
      </c>
      <c r="C888" s="152">
        <v>238</v>
      </c>
      <c r="D888" s="153">
        <v>130799</v>
      </c>
      <c r="E888" s="151" t="s">
        <v>105</v>
      </c>
      <c r="F888" s="151" t="s">
        <v>1461</v>
      </c>
      <c r="G888" s="151" t="s">
        <v>149</v>
      </c>
      <c r="H888" s="151" t="s">
        <v>365</v>
      </c>
      <c r="I888" s="151" t="s">
        <v>21</v>
      </c>
      <c r="J888" s="151" t="s">
        <v>82</v>
      </c>
      <c r="K888" s="154">
        <v>28640</v>
      </c>
      <c r="L888" s="154">
        <v>14910</v>
      </c>
      <c r="M888" s="155">
        <v>20.5</v>
      </c>
      <c r="N888" s="154">
        <v>13730</v>
      </c>
      <c r="O888" s="154">
        <v>10915.3</v>
      </c>
    </row>
    <row r="889" spans="2:15" ht="12.75" hidden="1" customHeight="1" outlineLevel="1" x14ac:dyDescent="0.25">
      <c r="B889" s="570" t="s">
        <v>511</v>
      </c>
      <c r="C889" s="570"/>
      <c r="D889" s="570"/>
      <c r="E889" s="570"/>
      <c r="F889" s="570"/>
      <c r="G889" s="570"/>
      <c r="H889" s="570"/>
      <c r="I889" s="570"/>
      <c r="J889" s="570"/>
      <c r="K889" s="156"/>
      <c r="L889" s="156"/>
      <c r="M889" s="156"/>
      <c r="N889" s="154">
        <v>13730</v>
      </c>
      <c r="O889" s="154">
        <v>10915.3</v>
      </c>
    </row>
    <row r="890" spans="2:15" ht="36.75" customHeight="1" collapsed="1" x14ac:dyDescent="0.25">
      <c r="B890" s="151" t="s">
        <v>658</v>
      </c>
      <c r="C890" s="152">
        <v>239</v>
      </c>
      <c r="D890" s="153">
        <v>130800</v>
      </c>
      <c r="E890" s="151" t="s">
        <v>105</v>
      </c>
      <c r="F890" s="151" t="s">
        <v>311</v>
      </c>
      <c r="G890" s="151" t="s">
        <v>315</v>
      </c>
      <c r="H890" s="151" t="s">
        <v>365</v>
      </c>
      <c r="I890" s="151" t="s">
        <v>21</v>
      </c>
      <c r="J890" s="151" t="s">
        <v>82</v>
      </c>
      <c r="K890" s="154">
        <v>28760</v>
      </c>
      <c r="L890" s="154">
        <v>14940</v>
      </c>
      <c r="M890" s="155">
        <v>18.5</v>
      </c>
      <c r="N890" s="154">
        <v>13820</v>
      </c>
      <c r="O890" s="154">
        <v>11263.3</v>
      </c>
    </row>
    <row r="891" spans="2:15" ht="12.75" hidden="1" customHeight="1" outlineLevel="1" x14ac:dyDescent="0.25">
      <c r="B891" s="570" t="s">
        <v>511</v>
      </c>
      <c r="C891" s="570"/>
      <c r="D891" s="570"/>
      <c r="E891" s="570"/>
      <c r="F891" s="570"/>
      <c r="G891" s="570"/>
      <c r="H891" s="570"/>
      <c r="I891" s="570"/>
      <c r="J891" s="570"/>
      <c r="K891" s="156"/>
      <c r="L891" s="156"/>
      <c r="M891" s="156"/>
      <c r="N891" s="154">
        <v>13820</v>
      </c>
      <c r="O891" s="154">
        <v>11263.3</v>
      </c>
    </row>
    <row r="892" spans="2:15" ht="36.75" customHeight="1" collapsed="1" x14ac:dyDescent="0.25">
      <c r="B892" s="151" t="s">
        <v>662</v>
      </c>
      <c r="C892" s="152">
        <v>244</v>
      </c>
      <c r="D892" s="153">
        <v>130753</v>
      </c>
      <c r="E892" s="151" t="s">
        <v>105</v>
      </c>
      <c r="F892" s="151" t="s">
        <v>335</v>
      </c>
      <c r="G892" s="151" t="s">
        <v>339</v>
      </c>
      <c r="H892" s="151" t="s">
        <v>365</v>
      </c>
      <c r="I892" s="151" t="s">
        <v>21</v>
      </c>
      <c r="J892" s="151" t="s">
        <v>82</v>
      </c>
      <c r="K892" s="154">
        <v>28130</v>
      </c>
      <c r="L892" s="154">
        <v>14680</v>
      </c>
      <c r="M892" s="155">
        <v>15.5</v>
      </c>
      <c r="N892" s="154">
        <v>13450</v>
      </c>
      <c r="O892" s="154">
        <v>11365.2</v>
      </c>
    </row>
    <row r="893" spans="2:15" ht="12.75" hidden="1" customHeight="1" outlineLevel="1" x14ac:dyDescent="0.25">
      <c r="B893" s="570" t="s">
        <v>511</v>
      </c>
      <c r="C893" s="570"/>
      <c r="D893" s="570"/>
      <c r="E893" s="570"/>
      <c r="F893" s="570"/>
      <c r="G893" s="570"/>
      <c r="H893" s="570"/>
      <c r="I893" s="570"/>
      <c r="J893" s="570"/>
      <c r="K893" s="156"/>
      <c r="L893" s="156"/>
      <c r="M893" s="156"/>
      <c r="N893" s="154">
        <v>13450</v>
      </c>
      <c r="O893" s="154">
        <v>11365.2</v>
      </c>
    </row>
    <row r="894" spans="2:15" ht="36.75" customHeight="1" collapsed="1" x14ac:dyDescent="0.25">
      <c r="B894" s="151" t="s">
        <v>663</v>
      </c>
      <c r="C894" s="152">
        <v>245</v>
      </c>
      <c r="D894" s="153">
        <v>130756</v>
      </c>
      <c r="E894" s="151" t="s">
        <v>105</v>
      </c>
      <c r="F894" s="151" t="s">
        <v>1152</v>
      </c>
      <c r="G894" s="151" t="s">
        <v>119</v>
      </c>
      <c r="H894" s="151" t="s">
        <v>365</v>
      </c>
      <c r="I894" s="151" t="s">
        <v>21</v>
      </c>
      <c r="J894" s="151" t="s">
        <v>82</v>
      </c>
      <c r="K894" s="154">
        <v>34520</v>
      </c>
      <c r="L894" s="154">
        <v>20910</v>
      </c>
      <c r="M894" s="155">
        <v>18.5</v>
      </c>
      <c r="N894" s="154">
        <v>13610</v>
      </c>
      <c r="O894" s="154">
        <v>11092.1</v>
      </c>
    </row>
    <row r="895" spans="2:15" ht="12.75" hidden="1" customHeight="1" outlineLevel="1" x14ac:dyDescent="0.25">
      <c r="B895" s="570" t="s">
        <v>511</v>
      </c>
      <c r="C895" s="570"/>
      <c r="D895" s="570"/>
      <c r="E895" s="570"/>
      <c r="F895" s="570"/>
      <c r="G895" s="570"/>
      <c r="H895" s="570"/>
      <c r="I895" s="570"/>
      <c r="J895" s="570"/>
      <c r="K895" s="156"/>
      <c r="L895" s="156"/>
      <c r="M895" s="156"/>
      <c r="N895" s="154">
        <v>13610</v>
      </c>
      <c r="O895" s="154">
        <v>11092.1</v>
      </c>
    </row>
    <row r="896" spans="2:15" ht="36.75" customHeight="1" collapsed="1" x14ac:dyDescent="0.25">
      <c r="B896" s="151" t="s">
        <v>668</v>
      </c>
      <c r="C896" s="152">
        <v>215</v>
      </c>
      <c r="D896" s="151" t="s">
        <v>731</v>
      </c>
      <c r="E896" s="151" t="s">
        <v>78</v>
      </c>
      <c r="F896" s="151" t="s">
        <v>439</v>
      </c>
      <c r="G896" s="151" t="s">
        <v>440</v>
      </c>
      <c r="H896" s="151" t="s">
        <v>523</v>
      </c>
      <c r="I896" s="151" t="s">
        <v>524</v>
      </c>
      <c r="J896" s="151" t="s">
        <v>82</v>
      </c>
      <c r="K896" s="154">
        <v>26090</v>
      </c>
      <c r="L896" s="154">
        <v>16540</v>
      </c>
      <c r="M896" s="155">
        <v>17</v>
      </c>
      <c r="N896" s="154">
        <v>9550</v>
      </c>
      <c r="O896" s="154">
        <v>7928.2</v>
      </c>
    </row>
    <row r="897" spans="2:15" ht="12.75" hidden="1" customHeight="1" outlineLevel="1" x14ac:dyDescent="0.25">
      <c r="B897" s="570" t="s">
        <v>511</v>
      </c>
      <c r="C897" s="570"/>
      <c r="D897" s="570"/>
      <c r="E897" s="570"/>
      <c r="F897" s="570"/>
      <c r="G897" s="570"/>
      <c r="H897" s="570"/>
      <c r="I897" s="570"/>
      <c r="J897" s="570"/>
      <c r="K897" s="156"/>
      <c r="L897" s="156"/>
      <c r="M897" s="156"/>
      <c r="N897" s="154">
        <v>9550</v>
      </c>
      <c r="O897" s="154">
        <v>7928.2</v>
      </c>
    </row>
    <row r="898" spans="2:15" ht="36.75" customHeight="1" collapsed="1" x14ac:dyDescent="0.25">
      <c r="B898" s="151" t="s">
        <v>664</v>
      </c>
      <c r="C898" s="152">
        <v>246</v>
      </c>
      <c r="D898" s="153">
        <v>130755</v>
      </c>
      <c r="E898" s="151" t="s">
        <v>105</v>
      </c>
      <c r="F898" s="151" t="s">
        <v>151</v>
      </c>
      <c r="G898" s="151" t="s">
        <v>155</v>
      </c>
      <c r="H898" s="151" t="s">
        <v>365</v>
      </c>
      <c r="I898" s="151" t="s">
        <v>21</v>
      </c>
      <c r="J898" s="151" t="s">
        <v>82</v>
      </c>
      <c r="K898" s="154">
        <v>28420</v>
      </c>
      <c r="L898" s="154">
        <v>14860</v>
      </c>
      <c r="M898" s="155">
        <v>15.5</v>
      </c>
      <c r="N898" s="154">
        <v>13560</v>
      </c>
      <c r="O898" s="154">
        <v>11458.2</v>
      </c>
    </row>
    <row r="899" spans="2:15" ht="12.75" hidden="1" customHeight="1" outlineLevel="1" x14ac:dyDescent="0.25">
      <c r="B899" s="570" t="s">
        <v>511</v>
      </c>
      <c r="C899" s="570"/>
      <c r="D899" s="570"/>
      <c r="E899" s="570"/>
      <c r="F899" s="570"/>
      <c r="G899" s="570"/>
      <c r="H899" s="570"/>
      <c r="I899" s="570"/>
      <c r="J899" s="570"/>
      <c r="K899" s="156"/>
      <c r="L899" s="156"/>
      <c r="M899" s="156"/>
      <c r="N899" s="154">
        <v>13560</v>
      </c>
      <c r="O899" s="154">
        <v>11458.2</v>
      </c>
    </row>
    <row r="900" spans="2:15" ht="36.75" customHeight="1" collapsed="1" x14ac:dyDescent="0.25">
      <c r="B900" s="151" t="s">
        <v>659</v>
      </c>
      <c r="C900" s="152">
        <v>240</v>
      </c>
      <c r="D900" s="153">
        <v>130751</v>
      </c>
      <c r="E900" s="151" t="s">
        <v>105</v>
      </c>
      <c r="F900" s="151" t="s">
        <v>347</v>
      </c>
      <c r="G900" s="151" t="s">
        <v>351</v>
      </c>
      <c r="H900" s="151" t="s">
        <v>365</v>
      </c>
      <c r="I900" s="151" t="s">
        <v>21</v>
      </c>
      <c r="J900" s="151" t="s">
        <v>82</v>
      </c>
      <c r="K900" s="154">
        <v>32460</v>
      </c>
      <c r="L900" s="154">
        <v>18700</v>
      </c>
      <c r="M900" s="155">
        <v>16.5</v>
      </c>
      <c r="N900" s="154">
        <v>13760</v>
      </c>
      <c r="O900" s="154">
        <v>11489.6</v>
      </c>
    </row>
    <row r="901" spans="2:15" ht="12.75" hidden="1" customHeight="1" outlineLevel="1" x14ac:dyDescent="0.25">
      <c r="B901" s="570" t="s">
        <v>511</v>
      </c>
      <c r="C901" s="570"/>
      <c r="D901" s="570"/>
      <c r="E901" s="570"/>
      <c r="F901" s="570"/>
      <c r="G901" s="570"/>
      <c r="H901" s="570"/>
      <c r="I901" s="570"/>
      <c r="J901" s="570"/>
      <c r="K901" s="156"/>
      <c r="L901" s="156"/>
      <c r="M901" s="156"/>
      <c r="N901" s="154">
        <v>13760</v>
      </c>
      <c r="O901" s="154">
        <v>11489.6</v>
      </c>
    </row>
    <row r="902" spans="2:15" ht="36.75" customHeight="1" collapsed="1" x14ac:dyDescent="0.25">
      <c r="B902" s="151" t="s">
        <v>660</v>
      </c>
      <c r="C902" s="152">
        <v>242</v>
      </c>
      <c r="D902" s="153">
        <v>130752</v>
      </c>
      <c r="E902" s="151" t="s">
        <v>105</v>
      </c>
      <c r="F902" s="151" t="s">
        <v>1312</v>
      </c>
      <c r="G902" s="151" t="s">
        <v>320</v>
      </c>
      <c r="H902" s="151" t="s">
        <v>365</v>
      </c>
      <c r="I902" s="151" t="s">
        <v>21</v>
      </c>
      <c r="J902" s="151" t="s">
        <v>82</v>
      </c>
      <c r="K902" s="154">
        <v>28200</v>
      </c>
      <c r="L902" s="154">
        <v>14390</v>
      </c>
      <c r="M902" s="155">
        <v>17.5</v>
      </c>
      <c r="N902" s="154">
        <v>13810</v>
      </c>
      <c r="O902" s="154">
        <v>11393.2</v>
      </c>
    </row>
    <row r="903" spans="2:15" ht="12.75" hidden="1" customHeight="1" outlineLevel="1" x14ac:dyDescent="0.25">
      <c r="B903" s="570" t="s">
        <v>511</v>
      </c>
      <c r="C903" s="570"/>
      <c r="D903" s="570"/>
      <c r="E903" s="570"/>
      <c r="F903" s="570"/>
      <c r="G903" s="570"/>
      <c r="H903" s="570"/>
      <c r="I903" s="570"/>
      <c r="J903" s="570"/>
      <c r="K903" s="156"/>
      <c r="L903" s="156"/>
      <c r="M903" s="156"/>
      <c r="N903" s="154">
        <v>13810</v>
      </c>
      <c r="O903" s="154">
        <v>11393.2</v>
      </c>
    </row>
    <row r="904" spans="2:15" ht="36.75" customHeight="1" collapsed="1" x14ac:dyDescent="0.25">
      <c r="B904" s="151" t="s">
        <v>665</v>
      </c>
      <c r="C904" s="152">
        <v>248</v>
      </c>
      <c r="D904" s="153">
        <v>130754</v>
      </c>
      <c r="E904" s="151" t="s">
        <v>105</v>
      </c>
      <c r="F904" s="151" t="s">
        <v>160</v>
      </c>
      <c r="G904" s="151" t="s">
        <v>164</v>
      </c>
      <c r="H904" s="151" t="s">
        <v>365</v>
      </c>
      <c r="I904" s="151" t="s">
        <v>21</v>
      </c>
      <c r="J904" s="151" t="s">
        <v>82</v>
      </c>
      <c r="K904" s="154">
        <v>37580</v>
      </c>
      <c r="L904" s="154">
        <v>24010</v>
      </c>
      <c r="M904" s="155">
        <v>13.5</v>
      </c>
      <c r="N904" s="154">
        <v>13570</v>
      </c>
      <c r="O904" s="154">
        <v>11738</v>
      </c>
    </row>
    <row r="905" spans="2:15" ht="12.75" hidden="1" customHeight="1" outlineLevel="1" x14ac:dyDescent="0.25">
      <c r="B905" s="570" t="s">
        <v>511</v>
      </c>
      <c r="C905" s="570"/>
      <c r="D905" s="570"/>
      <c r="E905" s="570"/>
      <c r="F905" s="570"/>
      <c r="G905" s="570"/>
      <c r="H905" s="570"/>
      <c r="I905" s="570"/>
      <c r="J905" s="570"/>
      <c r="K905" s="156"/>
      <c r="L905" s="156"/>
      <c r="M905" s="156"/>
      <c r="N905" s="154">
        <v>13570</v>
      </c>
      <c r="O905" s="154">
        <v>11738</v>
      </c>
    </row>
    <row r="906" spans="2:15" ht="36.75" customHeight="1" collapsed="1" x14ac:dyDescent="0.25">
      <c r="B906" s="151" t="s">
        <v>666</v>
      </c>
      <c r="C906" s="152">
        <v>250</v>
      </c>
      <c r="D906" s="153">
        <v>130757</v>
      </c>
      <c r="E906" s="151" t="s">
        <v>105</v>
      </c>
      <c r="F906" s="151" t="s">
        <v>212</v>
      </c>
      <c r="G906" s="151" t="s">
        <v>216</v>
      </c>
      <c r="H906" s="151" t="s">
        <v>672</v>
      </c>
      <c r="I906" s="151" t="s">
        <v>21</v>
      </c>
      <c r="J906" s="151" t="s">
        <v>82</v>
      </c>
      <c r="K906" s="154">
        <v>27270</v>
      </c>
      <c r="L906" s="154">
        <v>13760</v>
      </c>
      <c r="M906" s="155">
        <v>13.5</v>
      </c>
      <c r="N906" s="154">
        <v>13510</v>
      </c>
      <c r="O906" s="154">
        <v>11686.1</v>
      </c>
    </row>
    <row r="907" spans="2:15" ht="12.75" hidden="1" customHeight="1" outlineLevel="1" x14ac:dyDescent="0.25">
      <c r="B907" s="570" t="s">
        <v>511</v>
      </c>
      <c r="C907" s="570"/>
      <c r="D907" s="570"/>
      <c r="E907" s="570"/>
      <c r="F907" s="570"/>
      <c r="G907" s="570"/>
      <c r="H907" s="570"/>
      <c r="I907" s="570"/>
      <c r="J907" s="570"/>
      <c r="K907" s="156"/>
      <c r="L907" s="156"/>
      <c r="M907" s="156"/>
      <c r="N907" s="154">
        <v>13510</v>
      </c>
      <c r="O907" s="154">
        <v>11686.1</v>
      </c>
    </row>
    <row r="908" spans="2:15" ht="36.75" customHeight="1" collapsed="1" x14ac:dyDescent="0.25">
      <c r="B908" s="151" t="s">
        <v>671</v>
      </c>
      <c r="C908" s="152">
        <v>251</v>
      </c>
      <c r="D908" s="153">
        <v>130758</v>
      </c>
      <c r="E908" s="151" t="s">
        <v>105</v>
      </c>
      <c r="F908" s="151" t="s">
        <v>254</v>
      </c>
      <c r="G908" s="151" t="s">
        <v>536</v>
      </c>
      <c r="H908" s="151" t="s">
        <v>672</v>
      </c>
      <c r="I908" s="151" t="s">
        <v>21</v>
      </c>
      <c r="J908" s="151" t="s">
        <v>82</v>
      </c>
      <c r="K908" s="154">
        <v>28040</v>
      </c>
      <c r="L908" s="154">
        <v>14590</v>
      </c>
      <c r="M908" s="155">
        <v>12.5</v>
      </c>
      <c r="N908" s="154">
        <v>13450</v>
      </c>
      <c r="O908" s="154">
        <v>11768.7</v>
      </c>
    </row>
    <row r="909" spans="2:15" ht="12.75" hidden="1" customHeight="1" outlineLevel="1" x14ac:dyDescent="0.25">
      <c r="B909" s="570" t="s">
        <v>511</v>
      </c>
      <c r="C909" s="570"/>
      <c r="D909" s="570"/>
      <c r="E909" s="570"/>
      <c r="F909" s="570"/>
      <c r="G909" s="570"/>
      <c r="H909" s="570"/>
      <c r="I909" s="570"/>
      <c r="J909" s="570"/>
      <c r="K909" s="156"/>
      <c r="L909" s="156"/>
      <c r="M909" s="156"/>
      <c r="N909" s="154">
        <v>13450</v>
      </c>
      <c r="O909" s="154">
        <v>11768.7</v>
      </c>
    </row>
    <row r="910" spans="2:15" ht="36.75" customHeight="1" collapsed="1" x14ac:dyDescent="0.25">
      <c r="B910" s="151" t="s">
        <v>734</v>
      </c>
      <c r="C910" s="152">
        <v>252</v>
      </c>
      <c r="D910" s="153">
        <v>130759</v>
      </c>
      <c r="E910" s="151" t="s">
        <v>105</v>
      </c>
      <c r="F910" s="151" t="s">
        <v>272</v>
      </c>
      <c r="G910" s="151" t="s">
        <v>276</v>
      </c>
      <c r="H910" s="151" t="s">
        <v>672</v>
      </c>
      <c r="I910" s="151" t="s">
        <v>21</v>
      </c>
      <c r="J910" s="151" t="s">
        <v>82</v>
      </c>
      <c r="K910" s="154">
        <v>28180</v>
      </c>
      <c r="L910" s="154">
        <v>14740</v>
      </c>
      <c r="M910" s="155">
        <v>15.5</v>
      </c>
      <c r="N910" s="154">
        <v>13440</v>
      </c>
      <c r="O910" s="154">
        <v>11356.8</v>
      </c>
    </row>
    <row r="911" spans="2:15" ht="12.75" hidden="1" customHeight="1" outlineLevel="1" x14ac:dyDescent="0.25">
      <c r="B911" s="570" t="s">
        <v>511</v>
      </c>
      <c r="C911" s="570"/>
      <c r="D911" s="570"/>
      <c r="E911" s="570"/>
      <c r="F911" s="570"/>
      <c r="G911" s="570"/>
      <c r="H911" s="570"/>
      <c r="I911" s="570"/>
      <c r="J911" s="570"/>
      <c r="K911" s="156"/>
      <c r="L911" s="156"/>
      <c r="M911" s="156"/>
      <c r="N911" s="154">
        <v>13440</v>
      </c>
      <c r="O911" s="154">
        <v>11356.8</v>
      </c>
    </row>
    <row r="912" spans="2:15" ht="36.75" customHeight="1" collapsed="1" x14ac:dyDescent="0.25">
      <c r="B912" s="151" t="s">
        <v>735</v>
      </c>
      <c r="C912" s="152">
        <v>253</v>
      </c>
      <c r="D912" s="153">
        <v>130760</v>
      </c>
      <c r="E912" s="151" t="s">
        <v>105</v>
      </c>
      <c r="F912" s="151" t="s">
        <v>1253</v>
      </c>
      <c r="G912" s="151" t="s">
        <v>270</v>
      </c>
      <c r="H912" s="151" t="s">
        <v>672</v>
      </c>
      <c r="I912" s="151" t="s">
        <v>21</v>
      </c>
      <c r="J912" s="151" t="s">
        <v>82</v>
      </c>
      <c r="K912" s="154">
        <v>28240</v>
      </c>
      <c r="L912" s="154">
        <v>14820</v>
      </c>
      <c r="M912" s="155">
        <v>14.5</v>
      </c>
      <c r="N912" s="154">
        <v>13420</v>
      </c>
      <c r="O912" s="154">
        <v>11474.1</v>
      </c>
    </row>
    <row r="913" spans="2:15" ht="12.75" hidden="1" customHeight="1" outlineLevel="1" x14ac:dyDescent="0.25">
      <c r="B913" s="570" t="s">
        <v>511</v>
      </c>
      <c r="C913" s="570"/>
      <c r="D913" s="570"/>
      <c r="E913" s="570"/>
      <c r="F913" s="570"/>
      <c r="G913" s="570"/>
      <c r="H913" s="570"/>
      <c r="I913" s="570"/>
      <c r="J913" s="570"/>
      <c r="K913" s="156"/>
      <c r="L913" s="156"/>
      <c r="M913" s="156"/>
      <c r="N913" s="154">
        <v>13420</v>
      </c>
      <c r="O913" s="154">
        <v>11474.1</v>
      </c>
    </row>
    <row r="914" spans="2:15" ht="36.75" customHeight="1" collapsed="1" x14ac:dyDescent="0.25">
      <c r="B914" s="151" t="s">
        <v>736</v>
      </c>
      <c r="C914" s="152">
        <v>258</v>
      </c>
      <c r="D914" s="153">
        <v>51</v>
      </c>
      <c r="E914" s="151" t="s">
        <v>78</v>
      </c>
      <c r="F914" s="151" t="s">
        <v>737</v>
      </c>
      <c r="G914" s="151" t="s">
        <v>738</v>
      </c>
      <c r="H914" s="151" t="s">
        <v>523</v>
      </c>
      <c r="I914" s="151" t="s">
        <v>524</v>
      </c>
      <c r="J914" s="151" t="s">
        <v>82</v>
      </c>
      <c r="K914" s="154">
        <v>9090</v>
      </c>
      <c r="L914" s="154">
        <v>4600</v>
      </c>
      <c r="M914" s="155">
        <v>13</v>
      </c>
      <c r="N914" s="154">
        <v>4490</v>
      </c>
      <c r="O914" s="154">
        <v>3906.3</v>
      </c>
    </row>
    <row r="915" spans="2:15" ht="12.75" hidden="1" customHeight="1" outlineLevel="1" x14ac:dyDescent="0.25">
      <c r="B915" s="570" t="s">
        <v>511</v>
      </c>
      <c r="C915" s="570"/>
      <c r="D915" s="570"/>
      <c r="E915" s="570"/>
      <c r="F915" s="570"/>
      <c r="G915" s="570"/>
      <c r="H915" s="570"/>
      <c r="I915" s="570"/>
      <c r="J915" s="570"/>
      <c r="K915" s="156"/>
      <c r="L915" s="156"/>
      <c r="M915" s="156"/>
      <c r="N915" s="154">
        <v>4490</v>
      </c>
      <c r="O915" s="154">
        <v>3906.3</v>
      </c>
    </row>
    <row r="916" spans="2:15" ht="36.75" customHeight="1" collapsed="1" x14ac:dyDescent="0.25">
      <c r="B916" s="151" t="s">
        <v>739</v>
      </c>
      <c r="C916" s="152">
        <v>254</v>
      </c>
      <c r="D916" s="153">
        <v>130761</v>
      </c>
      <c r="E916" s="151" t="s">
        <v>105</v>
      </c>
      <c r="F916" s="151" t="s">
        <v>234</v>
      </c>
      <c r="G916" s="151" t="s">
        <v>238</v>
      </c>
      <c r="H916" s="151" t="s">
        <v>672</v>
      </c>
      <c r="I916" s="151" t="s">
        <v>21</v>
      </c>
      <c r="J916" s="151" t="s">
        <v>82</v>
      </c>
      <c r="K916" s="154">
        <v>28880</v>
      </c>
      <c r="L916" s="154">
        <v>15440</v>
      </c>
      <c r="M916" s="155">
        <v>18.5</v>
      </c>
      <c r="N916" s="154">
        <v>13440</v>
      </c>
      <c r="O916" s="154">
        <v>10953.6</v>
      </c>
    </row>
    <row r="917" spans="2:15" ht="12.75" hidden="1" customHeight="1" outlineLevel="1" x14ac:dyDescent="0.25">
      <c r="B917" s="570" t="s">
        <v>511</v>
      </c>
      <c r="C917" s="570"/>
      <c r="D917" s="570"/>
      <c r="E917" s="570"/>
      <c r="F917" s="570"/>
      <c r="G917" s="570"/>
      <c r="H917" s="570"/>
      <c r="I917" s="570"/>
      <c r="J917" s="570"/>
      <c r="K917" s="156"/>
      <c r="L917" s="156"/>
      <c r="M917" s="156"/>
      <c r="N917" s="154">
        <v>13440</v>
      </c>
      <c r="O917" s="154">
        <v>10953.6</v>
      </c>
    </row>
    <row r="918" spans="2:15" ht="36.75" customHeight="1" collapsed="1" x14ac:dyDescent="0.25">
      <c r="B918" s="151" t="s">
        <v>856</v>
      </c>
      <c r="C918" s="151"/>
      <c r="D918" s="151" t="s">
        <v>857</v>
      </c>
      <c r="E918" s="151" t="s">
        <v>105</v>
      </c>
      <c r="F918" s="151" t="s">
        <v>521</v>
      </c>
      <c r="G918" s="151" t="s">
        <v>858</v>
      </c>
      <c r="H918" s="151" t="s">
        <v>365</v>
      </c>
      <c r="I918" s="151" t="s">
        <v>21</v>
      </c>
      <c r="J918" s="151" t="s">
        <v>82</v>
      </c>
      <c r="K918" s="154">
        <v>31840</v>
      </c>
      <c r="L918" s="154">
        <v>16000</v>
      </c>
      <c r="M918" s="155">
        <v>19</v>
      </c>
      <c r="N918" s="154">
        <v>15840</v>
      </c>
      <c r="O918" s="154">
        <v>12823.2</v>
      </c>
    </row>
    <row r="919" spans="2:15" ht="12.75" hidden="1" customHeight="1" outlineLevel="1" x14ac:dyDescent="0.25">
      <c r="B919" s="570" t="s">
        <v>511</v>
      </c>
      <c r="C919" s="570"/>
      <c r="D919" s="570"/>
      <c r="E919" s="570"/>
      <c r="F919" s="570"/>
      <c r="G919" s="570"/>
      <c r="H919" s="570"/>
      <c r="I919" s="570"/>
      <c r="J919" s="570"/>
      <c r="K919" s="156"/>
      <c r="L919" s="156"/>
      <c r="M919" s="156"/>
      <c r="N919" s="154">
        <v>15840</v>
      </c>
      <c r="O919" s="154">
        <v>12823.2</v>
      </c>
    </row>
    <row r="920" spans="2:15" ht="36.75" customHeight="1" collapsed="1" x14ac:dyDescent="0.25">
      <c r="B920" s="151" t="s">
        <v>819</v>
      </c>
      <c r="C920" s="152">
        <v>261</v>
      </c>
      <c r="D920" s="151" t="s">
        <v>846</v>
      </c>
      <c r="E920" s="151" t="s">
        <v>78</v>
      </c>
      <c r="F920" s="151" t="s">
        <v>442</v>
      </c>
      <c r="G920" s="151" t="s">
        <v>443</v>
      </c>
      <c r="H920" s="151" t="s">
        <v>754</v>
      </c>
      <c r="I920" s="151" t="s">
        <v>21</v>
      </c>
      <c r="J920" s="151" t="s">
        <v>82</v>
      </c>
      <c r="K920" s="154">
        <v>35150</v>
      </c>
      <c r="L920" s="154">
        <v>18810</v>
      </c>
      <c r="M920" s="155">
        <v>13.5</v>
      </c>
      <c r="N920" s="154">
        <v>16340</v>
      </c>
      <c r="O920" s="154">
        <v>14133.1</v>
      </c>
    </row>
    <row r="921" spans="2:15" ht="12.75" hidden="1" customHeight="1" outlineLevel="1" x14ac:dyDescent="0.25">
      <c r="B921" s="570" t="s">
        <v>511</v>
      </c>
      <c r="C921" s="570"/>
      <c r="D921" s="570"/>
      <c r="E921" s="570"/>
      <c r="F921" s="570"/>
      <c r="G921" s="570"/>
      <c r="H921" s="570"/>
      <c r="I921" s="570"/>
      <c r="J921" s="570"/>
      <c r="K921" s="156"/>
      <c r="L921" s="156"/>
      <c r="M921" s="156"/>
      <c r="N921" s="154">
        <v>16340</v>
      </c>
      <c r="O921" s="154">
        <v>14133.1</v>
      </c>
    </row>
    <row r="922" spans="2:15" ht="36.75" customHeight="1" collapsed="1" x14ac:dyDescent="0.25">
      <c r="B922" s="151" t="s">
        <v>817</v>
      </c>
      <c r="C922" s="152">
        <v>262</v>
      </c>
      <c r="D922" s="151" t="s">
        <v>844</v>
      </c>
      <c r="E922" s="151" t="s">
        <v>78</v>
      </c>
      <c r="F922" s="151" t="s">
        <v>439</v>
      </c>
      <c r="G922" s="151" t="s">
        <v>440</v>
      </c>
      <c r="H922" s="151" t="s">
        <v>523</v>
      </c>
      <c r="I922" s="151" t="s">
        <v>524</v>
      </c>
      <c r="J922" s="151" t="s">
        <v>82</v>
      </c>
      <c r="K922" s="154">
        <v>32070</v>
      </c>
      <c r="L922" s="154">
        <v>16710</v>
      </c>
      <c r="M922" s="155">
        <v>18.3</v>
      </c>
      <c r="N922" s="154">
        <v>15360</v>
      </c>
      <c r="O922" s="154">
        <v>12544.9</v>
      </c>
    </row>
    <row r="923" spans="2:15" ht="12.75" hidden="1" customHeight="1" outlineLevel="1" x14ac:dyDescent="0.25">
      <c r="B923" s="570" t="s">
        <v>511</v>
      </c>
      <c r="C923" s="570"/>
      <c r="D923" s="570"/>
      <c r="E923" s="570"/>
      <c r="F923" s="570"/>
      <c r="G923" s="570"/>
      <c r="H923" s="570"/>
      <c r="I923" s="570"/>
      <c r="J923" s="570"/>
      <c r="K923" s="156"/>
      <c r="L923" s="156"/>
      <c r="M923" s="156"/>
      <c r="N923" s="154">
        <v>15360</v>
      </c>
      <c r="O923" s="154">
        <v>12544.9</v>
      </c>
    </row>
    <row r="924" spans="2:15" ht="48.75" customHeight="1" collapsed="1" x14ac:dyDescent="0.25">
      <c r="B924" s="151" t="s">
        <v>818</v>
      </c>
      <c r="C924" s="152">
        <v>264</v>
      </c>
      <c r="D924" s="151" t="s">
        <v>845</v>
      </c>
      <c r="E924" s="151" t="s">
        <v>557</v>
      </c>
      <c r="F924" s="151" t="s">
        <v>295</v>
      </c>
      <c r="G924" s="151" t="s">
        <v>299</v>
      </c>
      <c r="H924" s="151" t="s">
        <v>523</v>
      </c>
      <c r="I924" s="151" t="s">
        <v>21</v>
      </c>
      <c r="J924" s="151" t="s">
        <v>82</v>
      </c>
      <c r="K924" s="154">
        <v>30510</v>
      </c>
      <c r="L924" s="154">
        <v>17670</v>
      </c>
      <c r="M924" s="155">
        <v>16.7</v>
      </c>
      <c r="N924" s="154">
        <v>12840</v>
      </c>
      <c r="O924" s="154">
        <v>10697.5</v>
      </c>
    </row>
    <row r="925" spans="2:15" ht="12.75" hidden="1" customHeight="1" outlineLevel="1" x14ac:dyDescent="0.25">
      <c r="B925" s="570" t="s">
        <v>511</v>
      </c>
      <c r="C925" s="570"/>
      <c r="D925" s="570"/>
      <c r="E925" s="570"/>
      <c r="F925" s="570"/>
      <c r="G925" s="570"/>
      <c r="H925" s="570"/>
      <c r="I925" s="570"/>
      <c r="J925" s="570"/>
      <c r="K925" s="156"/>
      <c r="L925" s="156"/>
      <c r="M925" s="156"/>
      <c r="N925" s="154">
        <v>12840</v>
      </c>
      <c r="O925" s="154">
        <v>10697.5</v>
      </c>
    </row>
    <row r="926" spans="2:15" ht="36.75" customHeight="1" collapsed="1" x14ac:dyDescent="0.25">
      <c r="B926" s="151" t="s">
        <v>740</v>
      </c>
      <c r="C926" s="152">
        <v>255</v>
      </c>
      <c r="D926" s="153">
        <v>130762</v>
      </c>
      <c r="E926" s="151" t="s">
        <v>105</v>
      </c>
      <c r="F926" s="151" t="s">
        <v>133</v>
      </c>
      <c r="G926" s="151" t="s">
        <v>137</v>
      </c>
      <c r="H926" s="151" t="s">
        <v>672</v>
      </c>
      <c r="I926" s="151" t="s">
        <v>21</v>
      </c>
      <c r="J926" s="151" t="s">
        <v>82</v>
      </c>
      <c r="K926" s="154">
        <v>28090</v>
      </c>
      <c r="L926" s="154">
        <v>14790</v>
      </c>
      <c r="M926" s="155">
        <v>17.5</v>
      </c>
      <c r="N926" s="154">
        <v>13300</v>
      </c>
      <c r="O926" s="154">
        <v>10972.5</v>
      </c>
    </row>
    <row r="927" spans="2:15" ht="12.75" hidden="1" customHeight="1" outlineLevel="1" x14ac:dyDescent="0.25">
      <c r="B927" s="570" t="s">
        <v>511</v>
      </c>
      <c r="C927" s="570"/>
      <c r="D927" s="570"/>
      <c r="E927" s="570"/>
      <c r="F927" s="570"/>
      <c r="G927" s="570"/>
      <c r="H927" s="570"/>
      <c r="I927" s="570"/>
      <c r="J927" s="570"/>
      <c r="K927" s="156"/>
      <c r="L927" s="156"/>
      <c r="M927" s="156"/>
      <c r="N927" s="154">
        <v>13300</v>
      </c>
      <c r="O927" s="154">
        <v>10972.5</v>
      </c>
    </row>
    <row r="928" spans="2:15" ht="36.75" customHeight="1" collapsed="1" x14ac:dyDescent="0.25">
      <c r="B928" s="151" t="s">
        <v>741</v>
      </c>
      <c r="C928" s="152">
        <v>257</v>
      </c>
      <c r="D928" s="153">
        <v>130763</v>
      </c>
      <c r="E928" s="151" t="s">
        <v>105</v>
      </c>
      <c r="F928" s="151" t="s">
        <v>249</v>
      </c>
      <c r="G928" s="151" t="s">
        <v>253</v>
      </c>
      <c r="H928" s="151" t="s">
        <v>672</v>
      </c>
      <c r="I928" s="151" t="s">
        <v>21</v>
      </c>
      <c r="J928" s="151" t="s">
        <v>82</v>
      </c>
      <c r="K928" s="154">
        <v>28290</v>
      </c>
      <c r="L928" s="154">
        <v>15060</v>
      </c>
      <c r="M928" s="155">
        <v>10.5</v>
      </c>
      <c r="N928" s="154">
        <v>13230</v>
      </c>
      <c r="O928" s="154">
        <v>11840.8</v>
      </c>
    </row>
    <row r="929" spans="2:15" ht="12.75" hidden="1" customHeight="1" outlineLevel="1" x14ac:dyDescent="0.25">
      <c r="B929" s="570" t="s">
        <v>511</v>
      </c>
      <c r="C929" s="570"/>
      <c r="D929" s="570"/>
      <c r="E929" s="570"/>
      <c r="F929" s="570"/>
      <c r="G929" s="570"/>
      <c r="H929" s="570"/>
      <c r="I929" s="570"/>
      <c r="J929" s="570"/>
      <c r="K929" s="156"/>
      <c r="L929" s="156"/>
      <c r="M929" s="156"/>
      <c r="N929" s="154">
        <v>13230</v>
      </c>
      <c r="O929" s="154">
        <v>11840.8</v>
      </c>
    </row>
    <row r="930" spans="2:15" ht="36.75" customHeight="1" collapsed="1" x14ac:dyDescent="0.25">
      <c r="B930" s="151" t="s">
        <v>742</v>
      </c>
      <c r="C930" s="152">
        <v>259</v>
      </c>
      <c r="D930" s="153">
        <v>52</v>
      </c>
      <c r="E930" s="151" t="s">
        <v>78</v>
      </c>
      <c r="F930" s="151" t="s">
        <v>127</v>
      </c>
      <c r="G930" s="151" t="s">
        <v>131</v>
      </c>
      <c r="H930" s="151" t="s">
        <v>523</v>
      </c>
      <c r="I930" s="151" t="s">
        <v>524</v>
      </c>
      <c r="J930" s="151" t="s">
        <v>82</v>
      </c>
      <c r="K930" s="154">
        <v>14210</v>
      </c>
      <c r="L930" s="154">
        <v>9720</v>
      </c>
      <c r="M930" s="155">
        <v>10.5</v>
      </c>
      <c r="N930" s="154">
        <v>4490</v>
      </c>
      <c r="O930" s="154">
        <v>4018.5</v>
      </c>
    </row>
    <row r="931" spans="2:15" ht="12.75" hidden="1" customHeight="1" outlineLevel="1" x14ac:dyDescent="0.25">
      <c r="B931" s="570" t="s">
        <v>511</v>
      </c>
      <c r="C931" s="570"/>
      <c r="D931" s="570"/>
      <c r="E931" s="570"/>
      <c r="F931" s="570"/>
      <c r="G931" s="570"/>
      <c r="H931" s="570"/>
      <c r="I931" s="570"/>
      <c r="J931" s="570"/>
      <c r="K931" s="156"/>
      <c r="L931" s="156"/>
      <c r="M931" s="156"/>
      <c r="N931" s="154">
        <v>4490</v>
      </c>
      <c r="O931" s="154">
        <v>4018.5</v>
      </c>
    </row>
    <row r="932" spans="2:15" ht="36.75" customHeight="1" collapsed="1" x14ac:dyDescent="0.25">
      <c r="B932" s="151" t="s">
        <v>743</v>
      </c>
      <c r="C932" s="152">
        <v>260</v>
      </c>
      <c r="D932" s="153">
        <v>130764</v>
      </c>
      <c r="E932" s="151" t="s">
        <v>105</v>
      </c>
      <c r="F932" s="151" t="s">
        <v>1151</v>
      </c>
      <c r="G932" s="151" t="s">
        <v>145</v>
      </c>
      <c r="H932" s="151" t="s">
        <v>672</v>
      </c>
      <c r="I932" s="151" t="s">
        <v>21</v>
      </c>
      <c r="J932" s="151" t="s">
        <v>82</v>
      </c>
      <c r="K932" s="154">
        <v>29310</v>
      </c>
      <c r="L932" s="154">
        <v>15640</v>
      </c>
      <c r="M932" s="155">
        <v>20</v>
      </c>
      <c r="N932" s="154">
        <v>13670</v>
      </c>
      <c r="O932" s="154">
        <v>10936</v>
      </c>
    </row>
    <row r="933" spans="2:15" ht="12.75" hidden="1" customHeight="1" outlineLevel="1" x14ac:dyDescent="0.25">
      <c r="B933" s="570" t="s">
        <v>511</v>
      </c>
      <c r="C933" s="570"/>
      <c r="D933" s="570"/>
      <c r="E933" s="570"/>
      <c r="F933" s="570"/>
      <c r="G933" s="570"/>
      <c r="H933" s="570"/>
      <c r="I933" s="570"/>
      <c r="J933" s="570"/>
      <c r="K933" s="156"/>
      <c r="L933" s="156"/>
      <c r="M933" s="156"/>
      <c r="N933" s="154">
        <v>13670</v>
      </c>
      <c r="O933" s="154">
        <v>10936</v>
      </c>
    </row>
    <row r="934" spans="2:15" ht="36.75" customHeight="1" collapsed="1" x14ac:dyDescent="0.25">
      <c r="B934" s="151" t="s">
        <v>744</v>
      </c>
      <c r="C934" s="152">
        <v>266</v>
      </c>
      <c r="D934" s="153">
        <v>130765</v>
      </c>
      <c r="E934" s="151" t="s">
        <v>105</v>
      </c>
      <c r="F934" s="151" t="s">
        <v>1461</v>
      </c>
      <c r="G934" s="151" t="s">
        <v>149</v>
      </c>
      <c r="H934" s="151" t="s">
        <v>672</v>
      </c>
      <c r="I934" s="151" t="s">
        <v>21</v>
      </c>
      <c r="J934" s="151" t="s">
        <v>82</v>
      </c>
      <c r="K934" s="154">
        <v>28580</v>
      </c>
      <c r="L934" s="154">
        <v>14910</v>
      </c>
      <c r="M934" s="155">
        <v>19.5</v>
      </c>
      <c r="N934" s="154">
        <v>13670</v>
      </c>
      <c r="O934" s="154">
        <v>11004.3</v>
      </c>
    </row>
    <row r="935" spans="2:15" ht="12.75" hidden="1" customHeight="1" outlineLevel="1" x14ac:dyDescent="0.25">
      <c r="B935" s="570" t="s">
        <v>511</v>
      </c>
      <c r="C935" s="570"/>
      <c r="D935" s="570"/>
      <c r="E935" s="570"/>
      <c r="F935" s="570"/>
      <c r="G935" s="570"/>
      <c r="H935" s="570"/>
      <c r="I935" s="570"/>
      <c r="J935" s="570"/>
      <c r="K935" s="156"/>
      <c r="L935" s="156"/>
      <c r="M935" s="156"/>
      <c r="N935" s="154">
        <v>13670</v>
      </c>
      <c r="O935" s="154">
        <v>11004.3</v>
      </c>
    </row>
    <row r="936" spans="2:15" ht="36.75" customHeight="1" collapsed="1" x14ac:dyDescent="0.25">
      <c r="B936" s="151" t="s">
        <v>745</v>
      </c>
      <c r="C936" s="152">
        <v>263</v>
      </c>
      <c r="D936" s="153">
        <v>53</v>
      </c>
      <c r="E936" s="151" t="s">
        <v>78</v>
      </c>
      <c r="F936" s="151" t="s">
        <v>737</v>
      </c>
      <c r="G936" s="151" t="s">
        <v>738</v>
      </c>
      <c r="H936" s="151" t="s">
        <v>746</v>
      </c>
      <c r="I936" s="151" t="s">
        <v>747</v>
      </c>
      <c r="J936" s="151" t="s">
        <v>82</v>
      </c>
      <c r="K936" s="154">
        <v>6920</v>
      </c>
      <c r="L936" s="154">
        <v>4600</v>
      </c>
      <c r="M936" s="155">
        <v>12.5</v>
      </c>
      <c r="N936" s="154">
        <v>2320</v>
      </c>
      <c r="O936" s="154">
        <v>2030</v>
      </c>
    </row>
    <row r="937" spans="2:15" ht="12.75" hidden="1" customHeight="1" outlineLevel="1" x14ac:dyDescent="0.25">
      <c r="B937" s="570" t="s">
        <v>511</v>
      </c>
      <c r="C937" s="570"/>
      <c r="D937" s="570"/>
      <c r="E937" s="570"/>
      <c r="F937" s="570"/>
      <c r="G937" s="570"/>
      <c r="H937" s="570"/>
      <c r="I937" s="570"/>
      <c r="J937" s="570"/>
      <c r="K937" s="156"/>
      <c r="L937" s="156"/>
      <c r="M937" s="156"/>
      <c r="N937" s="154">
        <v>2320</v>
      </c>
      <c r="O937" s="154">
        <v>2030</v>
      </c>
    </row>
    <row r="938" spans="2:15" ht="36.75" customHeight="1" collapsed="1" x14ac:dyDescent="0.25">
      <c r="B938" s="151" t="s">
        <v>815</v>
      </c>
      <c r="C938" s="152">
        <v>243</v>
      </c>
      <c r="D938" s="151" t="s">
        <v>842</v>
      </c>
      <c r="E938" s="151" t="s">
        <v>78</v>
      </c>
      <c r="F938" s="151" t="s">
        <v>283</v>
      </c>
      <c r="G938" s="151" t="s">
        <v>287</v>
      </c>
      <c r="H938" s="151" t="s">
        <v>523</v>
      </c>
      <c r="I938" s="151" t="s">
        <v>524</v>
      </c>
      <c r="J938" s="151" t="s">
        <v>82</v>
      </c>
      <c r="K938" s="154">
        <v>31330</v>
      </c>
      <c r="L938" s="154">
        <v>17860</v>
      </c>
      <c r="M938" s="155">
        <v>17.600000000000001</v>
      </c>
      <c r="N938" s="154">
        <v>13470</v>
      </c>
      <c r="O938" s="154">
        <v>11105.4</v>
      </c>
    </row>
    <row r="939" spans="2:15" ht="12.75" hidden="1" customHeight="1" outlineLevel="1" x14ac:dyDescent="0.25">
      <c r="B939" s="570" t="s">
        <v>511</v>
      </c>
      <c r="C939" s="570"/>
      <c r="D939" s="570"/>
      <c r="E939" s="570"/>
      <c r="F939" s="570"/>
      <c r="G939" s="570"/>
      <c r="H939" s="570"/>
      <c r="I939" s="570"/>
      <c r="J939" s="570"/>
      <c r="K939" s="156"/>
      <c r="L939" s="156"/>
      <c r="M939" s="156"/>
      <c r="N939" s="154">
        <v>13470</v>
      </c>
      <c r="O939" s="154">
        <v>11105.4</v>
      </c>
    </row>
    <row r="940" spans="2:15" ht="36.75" customHeight="1" collapsed="1" x14ac:dyDescent="0.25">
      <c r="B940" s="151" t="s">
        <v>748</v>
      </c>
      <c r="C940" s="152">
        <v>270</v>
      </c>
      <c r="D940" s="153">
        <v>130767</v>
      </c>
      <c r="E940" s="151" t="s">
        <v>105</v>
      </c>
      <c r="F940" s="151" t="s">
        <v>329</v>
      </c>
      <c r="G940" s="151" t="s">
        <v>333</v>
      </c>
      <c r="H940" s="151" t="s">
        <v>672</v>
      </c>
      <c r="I940" s="151" t="s">
        <v>21</v>
      </c>
      <c r="J940" s="151" t="s">
        <v>82</v>
      </c>
      <c r="K940" s="154">
        <v>28770</v>
      </c>
      <c r="L940" s="154">
        <v>14930</v>
      </c>
      <c r="M940" s="155">
        <v>16.5</v>
      </c>
      <c r="N940" s="154">
        <v>13840</v>
      </c>
      <c r="O940" s="154">
        <v>11556.4</v>
      </c>
    </row>
    <row r="941" spans="2:15" ht="12.75" hidden="1" customHeight="1" outlineLevel="1" x14ac:dyDescent="0.25">
      <c r="B941" s="570" t="s">
        <v>511</v>
      </c>
      <c r="C941" s="570"/>
      <c r="D941" s="570"/>
      <c r="E941" s="570"/>
      <c r="F941" s="570"/>
      <c r="G941" s="570"/>
      <c r="H941" s="570"/>
      <c r="I941" s="570"/>
      <c r="J941" s="570"/>
      <c r="K941" s="156"/>
      <c r="L941" s="156"/>
      <c r="M941" s="156"/>
      <c r="N941" s="154">
        <v>13840</v>
      </c>
      <c r="O941" s="154">
        <v>11556.4</v>
      </c>
    </row>
    <row r="942" spans="2:15" ht="36.75" customHeight="1" collapsed="1" x14ac:dyDescent="0.25">
      <c r="B942" s="151" t="s">
        <v>816</v>
      </c>
      <c r="C942" s="152">
        <v>247</v>
      </c>
      <c r="D942" s="151" t="s">
        <v>843</v>
      </c>
      <c r="E942" s="151" t="s">
        <v>557</v>
      </c>
      <c r="F942" s="151" t="s">
        <v>289</v>
      </c>
      <c r="G942" s="151" t="s">
        <v>293</v>
      </c>
      <c r="H942" s="151" t="s">
        <v>523</v>
      </c>
      <c r="I942" s="151" t="s">
        <v>524</v>
      </c>
      <c r="J942" s="151" t="s">
        <v>82</v>
      </c>
      <c r="K942" s="154">
        <v>30930</v>
      </c>
      <c r="L942" s="154">
        <v>16950</v>
      </c>
      <c r="M942" s="155">
        <v>17.100000000000001</v>
      </c>
      <c r="N942" s="154">
        <v>13980</v>
      </c>
      <c r="O942" s="154">
        <v>11587</v>
      </c>
    </row>
    <row r="943" spans="2:15" ht="12.75" hidden="1" customHeight="1" outlineLevel="1" x14ac:dyDescent="0.25">
      <c r="B943" s="570" t="s">
        <v>511</v>
      </c>
      <c r="C943" s="570"/>
      <c r="D943" s="570"/>
      <c r="E943" s="570"/>
      <c r="F943" s="570"/>
      <c r="G943" s="570"/>
      <c r="H943" s="570"/>
      <c r="I943" s="570"/>
      <c r="J943" s="570"/>
      <c r="K943" s="156"/>
      <c r="L943" s="156"/>
      <c r="M943" s="156"/>
      <c r="N943" s="154">
        <v>13980</v>
      </c>
      <c r="O943" s="154">
        <v>11587</v>
      </c>
    </row>
    <row r="944" spans="2:15" ht="36.75" customHeight="1" collapsed="1" x14ac:dyDescent="0.25">
      <c r="B944" s="151" t="s">
        <v>749</v>
      </c>
      <c r="C944" s="152">
        <v>268</v>
      </c>
      <c r="D944" s="153">
        <v>130766</v>
      </c>
      <c r="E944" s="151" t="s">
        <v>105</v>
      </c>
      <c r="F944" s="151" t="s">
        <v>166</v>
      </c>
      <c r="G944" s="151" t="s">
        <v>170</v>
      </c>
      <c r="H944" s="151" t="s">
        <v>672</v>
      </c>
      <c r="I944" s="151" t="s">
        <v>21</v>
      </c>
      <c r="J944" s="151" t="s">
        <v>82</v>
      </c>
      <c r="K944" s="154">
        <v>28260</v>
      </c>
      <c r="L944" s="154">
        <v>14630</v>
      </c>
      <c r="M944" s="155">
        <v>17.5</v>
      </c>
      <c r="N944" s="154">
        <v>13630</v>
      </c>
      <c r="O944" s="154">
        <v>11244.7</v>
      </c>
    </row>
    <row r="945" spans="2:15" ht="12.75" hidden="1" customHeight="1" outlineLevel="1" x14ac:dyDescent="0.25">
      <c r="B945" s="570" t="s">
        <v>511</v>
      </c>
      <c r="C945" s="570"/>
      <c r="D945" s="570"/>
      <c r="E945" s="570"/>
      <c r="F945" s="570"/>
      <c r="G945" s="570"/>
      <c r="H945" s="570"/>
      <c r="I945" s="570"/>
      <c r="J945" s="570"/>
      <c r="K945" s="156"/>
      <c r="L945" s="156"/>
      <c r="M945" s="156"/>
      <c r="N945" s="154">
        <v>13630</v>
      </c>
      <c r="O945" s="154">
        <v>11244.7</v>
      </c>
    </row>
    <row r="946" spans="2:15" ht="36.75" customHeight="1" collapsed="1" x14ac:dyDescent="0.25">
      <c r="B946" s="151" t="s">
        <v>751</v>
      </c>
      <c r="C946" s="152">
        <v>272</v>
      </c>
      <c r="D946" s="153">
        <v>130770</v>
      </c>
      <c r="E946" s="151" t="s">
        <v>105</v>
      </c>
      <c r="F946" s="151" t="s">
        <v>311</v>
      </c>
      <c r="G946" s="151" t="s">
        <v>315</v>
      </c>
      <c r="H946" s="151" t="s">
        <v>672</v>
      </c>
      <c r="I946" s="151" t="s">
        <v>21</v>
      </c>
      <c r="J946" s="151" t="s">
        <v>82</v>
      </c>
      <c r="K946" s="154">
        <v>28690</v>
      </c>
      <c r="L946" s="154">
        <v>14960</v>
      </c>
      <c r="M946" s="155">
        <v>17.5</v>
      </c>
      <c r="N946" s="154">
        <v>13730</v>
      </c>
      <c r="O946" s="154">
        <v>11327.2</v>
      </c>
    </row>
    <row r="947" spans="2:15" ht="12.75" hidden="1" customHeight="1" outlineLevel="1" x14ac:dyDescent="0.25">
      <c r="B947" s="570" t="s">
        <v>511</v>
      </c>
      <c r="C947" s="570"/>
      <c r="D947" s="570"/>
      <c r="E947" s="570"/>
      <c r="F947" s="570"/>
      <c r="G947" s="570"/>
      <c r="H947" s="570"/>
      <c r="I947" s="570"/>
      <c r="J947" s="570"/>
      <c r="K947" s="156"/>
      <c r="L947" s="156"/>
      <c r="M947" s="156"/>
      <c r="N947" s="154">
        <v>13730</v>
      </c>
      <c r="O947" s="154">
        <v>11327.2</v>
      </c>
    </row>
    <row r="948" spans="2:15" ht="36.75" customHeight="1" collapsed="1" x14ac:dyDescent="0.25">
      <c r="B948" s="151" t="s">
        <v>750</v>
      </c>
      <c r="C948" s="152">
        <v>271</v>
      </c>
      <c r="D948" s="153">
        <v>130768</v>
      </c>
      <c r="E948" s="151" t="s">
        <v>105</v>
      </c>
      <c r="F948" s="151" t="s">
        <v>111</v>
      </c>
      <c r="G948" s="151" t="s">
        <v>114</v>
      </c>
      <c r="H948" s="151" t="s">
        <v>672</v>
      </c>
      <c r="I948" s="151" t="s">
        <v>21</v>
      </c>
      <c r="J948" s="151" t="s">
        <v>82</v>
      </c>
      <c r="K948" s="154">
        <v>29270</v>
      </c>
      <c r="L948" s="154">
        <v>15360</v>
      </c>
      <c r="M948" s="155">
        <v>18.5</v>
      </c>
      <c r="N948" s="154">
        <v>13910</v>
      </c>
      <c r="O948" s="154">
        <v>11336.6</v>
      </c>
    </row>
    <row r="949" spans="2:15" ht="12.75" hidden="1" customHeight="1" outlineLevel="1" x14ac:dyDescent="0.25">
      <c r="B949" s="570" t="s">
        <v>511</v>
      </c>
      <c r="C949" s="570"/>
      <c r="D949" s="570"/>
      <c r="E949" s="570"/>
      <c r="F949" s="570"/>
      <c r="G949" s="570"/>
      <c r="H949" s="570"/>
      <c r="I949" s="570"/>
      <c r="J949" s="570"/>
      <c r="K949" s="156"/>
      <c r="L949" s="156"/>
      <c r="M949" s="156"/>
      <c r="N949" s="154">
        <v>13910</v>
      </c>
      <c r="O949" s="154">
        <v>11336.6</v>
      </c>
    </row>
    <row r="950" spans="2:15" ht="36.75" customHeight="1" collapsed="1" x14ac:dyDescent="0.25">
      <c r="B950" s="151" t="s">
        <v>853</v>
      </c>
      <c r="C950" s="151"/>
      <c r="D950" s="151" t="s">
        <v>854</v>
      </c>
      <c r="E950" s="151" t="s">
        <v>105</v>
      </c>
      <c r="F950" s="151" t="s">
        <v>855</v>
      </c>
      <c r="G950" s="151" t="s">
        <v>518</v>
      </c>
      <c r="H950" s="151" t="s">
        <v>365</v>
      </c>
      <c r="I950" s="151" t="s">
        <v>21</v>
      </c>
      <c r="J950" s="151" t="s">
        <v>82</v>
      </c>
      <c r="K950" s="154">
        <v>34840</v>
      </c>
      <c r="L950" s="154">
        <v>18500</v>
      </c>
      <c r="M950" s="155">
        <v>21.4</v>
      </c>
      <c r="N950" s="154">
        <v>16340</v>
      </c>
      <c r="O950" s="154">
        <v>12845.4</v>
      </c>
    </row>
    <row r="951" spans="2:15" ht="12.75" hidden="1" customHeight="1" outlineLevel="1" x14ac:dyDescent="0.25">
      <c r="B951" s="570" t="s">
        <v>511</v>
      </c>
      <c r="C951" s="570"/>
      <c r="D951" s="570"/>
      <c r="E951" s="570"/>
      <c r="F951" s="570"/>
      <c r="G951" s="570"/>
      <c r="H951" s="570"/>
      <c r="I951" s="570"/>
      <c r="J951" s="570"/>
      <c r="K951" s="156"/>
      <c r="L951" s="156"/>
      <c r="M951" s="156"/>
      <c r="N951" s="154">
        <v>16340</v>
      </c>
      <c r="O951" s="154">
        <v>12845.4</v>
      </c>
    </row>
    <row r="952" spans="2:15" ht="36.75" customHeight="1" collapsed="1" x14ac:dyDescent="0.25">
      <c r="B952" s="151" t="s">
        <v>835</v>
      </c>
      <c r="C952" s="152">
        <v>280</v>
      </c>
      <c r="D952" s="151" t="s">
        <v>847</v>
      </c>
      <c r="E952" s="151" t="s">
        <v>78</v>
      </c>
      <c r="F952" s="151" t="s">
        <v>514</v>
      </c>
      <c r="G952" s="151" t="s">
        <v>515</v>
      </c>
      <c r="H952" s="151" t="s">
        <v>754</v>
      </c>
      <c r="I952" s="151" t="s">
        <v>21</v>
      </c>
      <c r="J952" s="151" t="s">
        <v>82</v>
      </c>
      <c r="K952" s="154">
        <v>31050</v>
      </c>
      <c r="L952" s="154">
        <v>17130</v>
      </c>
      <c r="M952" s="155">
        <v>19</v>
      </c>
      <c r="N952" s="154">
        <v>13920</v>
      </c>
      <c r="O952" s="154">
        <v>11279.6</v>
      </c>
    </row>
    <row r="953" spans="2:15" ht="12.75" hidden="1" customHeight="1" outlineLevel="1" x14ac:dyDescent="0.25">
      <c r="B953" s="570" t="s">
        <v>511</v>
      </c>
      <c r="C953" s="570"/>
      <c r="D953" s="570"/>
      <c r="E953" s="570"/>
      <c r="F953" s="570"/>
      <c r="G953" s="570"/>
      <c r="H953" s="570"/>
      <c r="I953" s="570"/>
      <c r="J953" s="570"/>
      <c r="K953" s="156"/>
      <c r="L953" s="156"/>
      <c r="M953" s="156"/>
      <c r="N953" s="154">
        <v>13920</v>
      </c>
      <c r="O953" s="154">
        <v>11279.6</v>
      </c>
    </row>
    <row r="954" spans="2:15" ht="36.75" customHeight="1" collapsed="1" x14ac:dyDescent="0.25">
      <c r="B954" s="151" t="s">
        <v>752</v>
      </c>
      <c r="C954" s="152">
        <v>274</v>
      </c>
      <c r="D954" s="153">
        <v>130771</v>
      </c>
      <c r="E954" s="151" t="s">
        <v>105</v>
      </c>
      <c r="F954" s="151" t="s">
        <v>347</v>
      </c>
      <c r="G954" s="151" t="s">
        <v>351</v>
      </c>
      <c r="H954" s="151" t="s">
        <v>672</v>
      </c>
      <c r="I954" s="151" t="s">
        <v>21</v>
      </c>
      <c r="J954" s="151" t="s">
        <v>82</v>
      </c>
      <c r="K954" s="154">
        <v>32400</v>
      </c>
      <c r="L954" s="154">
        <v>18720</v>
      </c>
      <c r="M954" s="155">
        <v>18.5</v>
      </c>
      <c r="N954" s="154">
        <v>13680</v>
      </c>
      <c r="O954" s="154">
        <v>11149.2</v>
      </c>
    </row>
    <row r="955" spans="2:15" ht="12.75" hidden="1" customHeight="1" outlineLevel="1" x14ac:dyDescent="0.25">
      <c r="B955" s="570" t="s">
        <v>511</v>
      </c>
      <c r="C955" s="570"/>
      <c r="D955" s="570"/>
      <c r="E955" s="570"/>
      <c r="F955" s="570"/>
      <c r="G955" s="570"/>
      <c r="H955" s="570"/>
      <c r="I955" s="570"/>
      <c r="J955" s="570"/>
      <c r="K955" s="156"/>
      <c r="L955" s="156"/>
      <c r="M955" s="156"/>
      <c r="N955" s="154">
        <v>13680</v>
      </c>
      <c r="O955" s="154">
        <v>11149.2</v>
      </c>
    </row>
    <row r="956" spans="2:15" ht="36.75" customHeight="1" collapsed="1" x14ac:dyDescent="0.25">
      <c r="B956" s="151" t="s">
        <v>753</v>
      </c>
      <c r="C956" s="152">
        <v>275</v>
      </c>
      <c r="D956" s="153">
        <v>59</v>
      </c>
      <c r="E956" s="151" t="s">
        <v>78</v>
      </c>
      <c r="F956" s="151" t="s">
        <v>127</v>
      </c>
      <c r="G956" s="151" t="s">
        <v>131</v>
      </c>
      <c r="H956" s="151" t="s">
        <v>754</v>
      </c>
      <c r="I956" s="151" t="s">
        <v>21</v>
      </c>
      <c r="J956" s="151" t="s">
        <v>82</v>
      </c>
      <c r="K956" s="154">
        <v>28010</v>
      </c>
      <c r="L956" s="154">
        <v>14400</v>
      </c>
      <c r="M956" s="155">
        <v>13.5</v>
      </c>
      <c r="N956" s="154">
        <v>13610</v>
      </c>
      <c r="O956" s="154">
        <v>11772.6</v>
      </c>
    </row>
    <row r="957" spans="2:15" ht="12.75" hidden="1" customHeight="1" outlineLevel="1" x14ac:dyDescent="0.25">
      <c r="B957" s="570" t="s">
        <v>511</v>
      </c>
      <c r="C957" s="570"/>
      <c r="D957" s="570"/>
      <c r="E957" s="570"/>
      <c r="F957" s="570"/>
      <c r="G957" s="570"/>
      <c r="H957" s="570"/>
      <c r="I957" s="570"/>
      <c r="J957" s="570"/>
      <c r="K957" s="156"/>
      <c r="L957" s="156"/>
      <c r="M957" s="156"/>
      <c r="N957" s="154">
        <v>13610</v>
      </c>
      <c r="O957" s="154">
        <v>11772.6</v>
      </c>
    </row>
    <row r="958" spans="2:15" ht="36.75" customHeight="1" collapsed="1" x14ac:dyDescent="0.25">
      <c r="B958" s="151" t="s">
        <v>755</v>
      </c>
      <c r="C958" s="152">
        <v>276</v>
      </c>
      <c r="D958" s="153">
        <v>60</v>
      </c>
      <c r="E958" s="151" t="s">
        <v>726</v>
      </c>
      <c r="F958" s="151" t="s">
        <v>737</v>
      </c>
      <c r="G958" s="151" t="s">
        <v>738</v>
      </c>
      <c r="H958" s="151" t="s">
        <v>754</v>
      </c>
      <c r="I958" s="151" t="s">
        <v>21</v>
      </c>
      <c r="J958" s="151" t="s">
        <v>82</v>
      </c>
      <c r="K958" s="154">
        <v>9050</v>
      </c>
      <c r="L958" s="154">
        <v>4580</v>
      </c>
      <c r="M958" s="155">
        <v>11.5</v>
      </c>
      <c r="N958" s="154">
        <v>4470</v>
      </c>
      <c r="O958" s="154">
        <v>3955.9</v>
      </c>
    </row>
    <row r="959" spans="2:15" ht="12.75" hidden="1" customHeight="1" outlineLevel="1" x14ac:dyDescent="0.25">
      <c r="B959" s="570" t="s">
        <v>511</v>
      </c>
      <c r="C959" s="570"/>
      <c r="D959" s="570"/>
      <c r="E959" s="570"/>
      <c r="F959" s="570"/>
      <c r="G959" s="570"/>
      <c r="H959" s="570"/>
      <c r="I959" s="570"/>
      <c r="J959" s="570"/>
      <c r="K959" s="156"/>
      <c r="L959" s="156"/>
      <c r="M959" s="156"/>
      <c r="N959" s="154">
        <v>4470</v>
      </c>
      <c r="O959" s="154">
        <v>3955.9</v>
      </c>
    </row>
    <row r="960" spans="2:15" ht="36.75" customHeight="1" collapsed="1" x14ac:dyDescent="0.25">
      <c r="B960" s="151" t="s">
        <v>756</v>
      </c>
      <c r="C960" s="152">
        <v>277</v>
      </c>
      <c r="D960" s="153">
        <v>130775</v>
      </c>
      <c r="E960" s="151" t="s">
        <v>105</v>
      </c>
      <c r="F960" s="151" t="s">
        <v>335</v>
      </c>
      <c r="G960" s="151" t="s">
        <v>339</v>
      </c>
      <c r="H960" s="151" t="s">
        <v>672</v>
      </c>
      <c r="I960" s="151" t="s">
        <v>21</v>
      </c>
      <c r="J960" s="151" t="s">
        <v>82</v>
      </c>
      <c r="K960" s="154">
        <v>28430</v>
      </c>
      <c r="L960" s="154">
        <v>14730</v>
      </c>
      <c r="M960" s="155">
        <v>18.5</v>
      </c>
      <c r="N960" s="154">
        <v>13700</v>
      </c>
      <c r="O960" s="154">
        <v>11165.5</v>
      </c>
    </row>
    <row r="961" spans="2:15" ht="12.75" hidden="1" customHeight="1" outlineLevel="1" x14ac:dyDescent="0.25">
      <c r="B961" s="570" t="s">
        <v>511</v>
      </c>
      <c r="C961" s="570"/>
      <c r="D961" s="570"/>
      <c r="E961" s="570"/>
      <c r="F961" s="570"/>
      <c r="G961" s="570"/>
      <c r="H961" s="570"/>
      <c r="I961" s="570"/>
      <c r="J961" s="570"/>
      <c r="K961" s="156"/>
      <c r="L961" s="156"/>
      <c r="M961" s="156"/>
      <c r="N961" s="154">
        <v>13700</v>
      </c>
      <c r="O961" s="154">
        <v>11165.5</v>
      </c>
    </row>
    <row r="962" spans="2:15" ht="36.75" customHeight="1" collapsed="1" x14ac:dyDescent="0.25">
      <c r="B962" s="151" t="s">
        <v>757</v>
      </c>
      <c r="C962" s="152">
        <v>278</v>
      </c>
      <c r="D962" s="153">
        <v>130773</v>
      </c>
      <c r="E962" s="151" t="s">
        <v>105</v>
      </c>
      <c r="F962" s="151" t="s">
        <v>305</v>
      </c>
      <c r="G962" s="151" t="s">
        <v>309</v>
      </c>
      <c r="H962" s="151" t="s">
        <v>672</v>
      </c>
      <c r="I962" s="151" t="s">
        <v>21</v>
      </c>
      <c r="J962" s="151" t="s">
        <v>82</v>
      </c>
      <c r="K962" s="154">
        <v>28030</v>
      </c>
      <c r="L962" s="154">
        <v>14280</v>
      </c>
      <c r="M962" s="155">
        <v>11.5</v>
      </c>
      <c r="N962" s="154">
        <v>13750</v>
      </c>
      <c r="O962" s="154">
        <v>12168.7</v>
      </c>
    </row>
    <row r="963" spans="2:15" ht="12.75" hidden="1" customHeight="1" outlineLevel="1" x14ac:dyDescent="0.25">
      <c r="B963" s="570" t="s">
        <v>511</v>
      </c>
      <c r="C963" s="570"/>
      <c r="D963" s="570"/>
      <c r="E963" s="570"/>
      <c r="F963" s="570"/>
      <c r="G963" s="570"/>
      <c r="H963" s="570"/>
      <c r="I963" s="570"/>
      <c r="J963" s="570"/>
      <c r="K963" s="156"/>
      <c r="L963" s="156"/>
      <c r="M963" s="156"/>
      <c r="N963" s="154">
        <v>13750</v>
      </c>
      <c r="O963" s="154">
        <v>12168.7</v>
      </c>
    </row>
    <row r="964" spans="2:15" ht="36.75" customHeight="1" collapsed="1" x14ac:dyDescent="0.25">
      <c r="B964" s="151" t="s">
        <v>829</v>
      </c>
      <c r="C964" s="152">
        <v>337</v>
      </c>
      <c r="D964" s="153">
        <v>64</v>
      </c>
      <c r="E964" s="151" t="s">
        <v>78</v>
      </c>
      <c r="F964" s="151" t="s">
        <v>329</v>
      </c>
      <c r="G964" s="151" t="s">
        <v>333</v>
      </c>
      <c r="H964" s="151" t="s">
        <v>754</v>
      </c>
      <c r="I964" s="151" t="s">
        <v>21</v>
      </c>
      <c r="J964" s="151" t="s">
        <v>82</v>
      </c>
      <c r="K964" s="154">
        <v>23850</v>
      </c>
      <c r="L964" s="154">
        <v>14890</v>
      </c>
      <c r="M964" s="155">
        <v>16</v>
      </c>
      <c r="N964" s="154">
        <v>8960</v>
      </c>
      <c r="O964" s="154">
        <v>7526.4</v>
      </c>
    </row>
    <row r="965" spans="2:15" ht="12.75" hidden="1" customHeight="1" outlineLevel="1" x14ac:dyDescent="0.25">
      <c r="B965" s="570" t="s">
        <v>511</v>
      </c>
      <c r="C965" s="570"/>
      <c r="D965" s="570"/>
      <c r="E965" s="570"/>
      <c r="F965" s="570"/>
      <c r="G965" s="570"/>
      <c r="H965" s="570"/>
      <c r="I965" s="570"/>
      <c r="J965" s="570"/>
      <c r="K965" s="156"/>
      <c r="L965" s="156"/>
      <c r="M965" s="156"/>
      <c r="N965" s="154">
        <v>8960</v>
      </c>
      <c r="O965" s="154">
        <v>7526.4</v>
      </c>
    </row>
    <row r="966" spans="2:15" ht="36.75" customHeight="1" collapsed="1" x14ac:dyDescent="0.25">
      <c r="B966" s="151" t="s">
        <v>758</v>
      </c>
      <c r="C966" s="152">
        <v>279</v>
      </c>
      <c r="D966" s="153">
        <v>130774</v>
      </c>
      <c r="E966" s="151" t="s">
        <v>105</v>
      </c>
      <c r="F966" s="151" t="s">
        <v>195</v>
      </c>
      <c r="G966" s="151" t="s">
        <v>199</v>
      </c>
      <c r="H966" s="151" t="s">
        <v>672</v>
      </c>
      <c r="I966" s="151" t="s">
        <v>21</v>
      </c>
      <c r="J966" s="151" t="s">
        <v>82</v>
      </c>
      <c r="K966" s="154">
        <v>28730</v>
      </c>
      <c r="L966" s="154">
        <v>15080</v>
      </c>
      <c r="M966" s="155">
        <v>16.5</v>
      </c>
      <c r="N966" s="154">
        <v>13650</v>
      </c>
      <c r="O966" s="154">
        <v>11397.7</v>
      </c>
    </row>
    <row r="967" spans="2:15" ht="12.75" hidden="1" customHeight="1" outlineLevel="1" x14ac:dyDescent="0.25">
      <c r="B967" s="570" t="s">
        <v>511</v>
      </c>
      <c r="C967" s="570"/>
      <c r="D967" s="570"/>
      <c r="E967" s="570"/>
      <c r="F967" s="570"/>
      <c r="G967" s="570"/>
      <c r="H967" s="570"/>
      <c r="I967" s="570"/>
      <c r="J967" s="570"/>
      <c r="K967" s="156"/>
      <c r="L967" s="156"/>
      <c r="M967" s="156"/>
      <c r="N967" s="154">
        <v>13650</v>
      </c>
      <c r="O967" s="154">
        <v>11397.7</v>
      </c>
    </row>
    <row r="968" spans="2:15" ht="36.75" customHeight="1" collapsed="1" x14ac:dyDescent="0.25">
      <c r="B968" s="151" t="s">
        <v>759</v>
      </c>
      <c r="C968" s="152">
        <v>281</v>
      </c>
      <c r="D968" s="153">
        <v>83501</v>
      </c>
      <c r="E968" s="151" t="s">
        <v>105</v>
      </c>
      <c r="F968" s="151" t="s">
        <v>160</v>
      </c>
      <c r="G968" s="151" t="s">
        <v>164</v>
      </c>
      <c r="H968" s="151" t="s">
        <v>672</v>
      </c>
      <c r="I968" s="151" t="s">
        <v>21</v>
      </c>
      <c r="J968" s="151" t="s">
        <v>82</v>
      </c>
      <c r="K968" s="154">
        <v>37850</v>
      </c>
      <c r="L968" s="154">
        <v>23900</v>
      </c>
      <c r="M968" s="155">
        <v>19.5</v>
      </c>
      <c r="N968" s="154">
        <v>13950</v>
      </c>
      <c r="O968" s="154">
        <v>11229.7</v>
      </c>
    </row>
    <row r="969" spans="2:15" ht="12.75" hidden="1" customHeight="1" outlineLevel="1" x14ac:dyDescent="0.25">
      <c r="B969" s="570" t="s">
        <v>511</v>
      </c>
      <c r="C969" s="570"/>
      <c r="D969" s="570"/>
      <c r="E969" s="570"/>
      <c r="F969" s="570"/>
      <c r="G969" s="570"/>
      <c r="H969" s="570"/>
      <c r="I969" s="570"/>
      <c r="J969" s="570"/>
      <c r="K969" s="156"/>
      <c r="L969" s="156"/>
      <c r="M969" s="156"/>
      <c r="N969" s="154">
        <v>13950</v>
      </c>
      <c r="O969" s="154">
        <v>11229.7</v>
      </c>
    </row>
    <row r="970" spans="2:15" ht="36.75" customHeight="1" collapsed="1" x14ac:dyDescent="0.25">
      <c r="B970" s="151" t="s">
        <v>760</v>
      </c>
      <c r="C970" s="152">
        <v>285</v>
      </c>
      <c r="D970" s="153">
        <v>65</v>
      </c>
      <c r="E970" s="151" t="s">
        <v>78</v>
      </c>
      <c r="F970" s="151" t="s">
        <v>79</v>
      </c>
      <c r="G970" s="151" t="s">
        <v>80</v>
      </c>
      <c r="H970" s="151" t="s">
        <v>754</v>
      </c>
      <c r="I970" s="151" t="s">
        <v>21</v>
      </c>
      <c r="J970" s="151" t="s">
        <v>82</v>
      </c>
      <c r="K970" s="154">
        <v>23240</v>
      </c>
      <c r="L970" s="154">
        <v>14120</v>
      </c>
      <c r="M970" s="155">
        <v>11</v>
      </c>
      <c r="N970" s="154">
        <v>9120</v>
      </c>
      <c r="O970" s="154">
        <v>8116.8</v>
      </c>
    </row>
    <row r="971" spans="2:15" ht="12.75" hidden="1" customHeight="1" outlineLevel="1" x14ac:dyDescent="0.25">
      <c r="B971" s="570" t="s">
        <v>511</v>
      </c>
      <c r="C971" s="570"/>
      <c r="D971" s="570"/>
      <c r="E971" s="570"/>
      <c r="F971" s="570"/>
      <c r="G971" s="570"/>
      <c r="H971" s="570"/>
      <c r="I971" s="570"/>
      <c r="J971" s="570"/>
      <c r="K971" s="156"/>
      <c r="L971" s="156"/>
      <c r="M971" s="156"/>
      <c r="N971" s="154">
        <v>9120</v>
      </c>
      <c r="O971" s="154">
        <v>8116.8</v>
      </c>
    </row>
    <row r="972" spans="2:15" ht="36.75" customHeight="1" collapsed="1" x14ac:dyDescent="0.25">
      <c r="B972" s="151" t="s">
        <v>761</v>
      </c>
      <c r="C972" s="152">
        <v>286</v>
      </c>
      <c r="D972" s="153">
        <v>66</v>
      </c>
      <c r="E972" s="151" t="s">
        <v>78</v>
      </c>
      <c r="F972" s="151" t="s">
        <v>762</v>
      </c>
      <c r="G972" s="151" t="s">
        <v>763</v>
      </c>
      <c r="H972" s="151" t="s">
        <v>754</v>
      </c>
      <c r="I972" s="151" t="s">
        <v>21</v>
      </c>
      <c r="J972" s="151" t="s">
        <v>82</v>
      </c>
      <c r="K972" s="154">
        <v>8900</v>
      </c>
      <c r="L972" s="154">
        <v>4630</v>
      </c>
      <c r="M972" s="155">
        <v>8.5</v>
      </c>
      <c r="N972" s="154">
        <v>4270</v>
      </c>
      <c r="O972" s="154">
        <v>3907</v>
      </c>
    </row>
    <row r="973" spans="2:15" ht="12.75" hidden="1" customHeight="1" outlineLevel="1" x14ac:dyDescent="0.25">
      <c r="B973" s="570" t="s">
        <v>511</v>
      </c>
      <c r="C973" s="570"/>
      <c r="D973" s="570"/>
      <c r="E973" s="570"/>
      <c r="F973" s="570"/>
      <c r="G973" s="570"/>
      <c r="H973" s="570"/>
      <c r="I973" s="570"/>
      <c r="J973" s="570"/>
      <c r="K973" s="156"/>
      <c r="L973" s="156"/>
      <c r="M973" s="156"/>
      <c r="N973" s="154">
        <v>4270</v>
      </c>
      <c r="O973" s="154">
        <v>3907</v>
      </c>
    </row>
    <row r="974" spans="2:15" ht="36.75" customHeight="1" collapsed="1" x14ac:dyDescent="0.25">
      <c r="B974" s="151" t="s">
        <v>764</v>
      </c>
      <c r="C974" s="152">
        <v>288</v>
      </c>
      <c r="D974" s="153">
        <v>67</v>
      </c>
      <c r="E974" s="151" t="s">
        <v>78</v>
      </c>
      <c r="F974" s="151" t="s">
        <v>1312</v>
      </c>
      <c r="G974" s="151" t="s">
        <v>320</v>
      </c>
      <c r="H974" s="151" t="s">
        <v>754</v>
      </c>
      <c r="I974" s="151" t="s">
        <v>21</v>
      </c>
      <c r="J974" s="151" t="s">
        <v>82</v>
      </c>
      <c r="K974" s="154">
        <v>27260</v>
      </c>
      <c r="L974" s="154">
        <v>14480</v>
      </c>
      <c r="M974" s="155">
        <v>16</v>
      </c>
      <c r="N974" s="154">
        <v>12780</v>
      </c>
      <c r="O974" s="154">
        <v>10735.2</v>
      </c>
    </row>
    <row r="975" spans="2:15" ht="12.75" hidden="1" customHeight="1" outlineLevel="1" x14ac:dyDescent="0.25">
      <c r="B975" s="570" t="s">
        <v>511</v>
      </c>
      <c r="C975" s="570"/>
      <c r="D975" s="570"/>
      <c r="E975" s="570"/>
      <c r="F975" s="570"/>
      <c r="G975" s="570"/>
      <c r="H975" s="570"/>
      <c r="I975" s="570"/>
      <c r="J975" s="570"/>
      <c r="K975" s="156"/>
      <c r="L975" s="156"/>
      <c r="M975" s="156"/>
      <c r="N975" s="154">
        <v>12780</v>
      </c>
      <c r="O975" s="154">
        <v>10735.2</v>
      </c>
    </row>
    <row r="976" spans="2:15" ht="36.75" customHeight="1" collapsed="1" x14ac:dyDescent="0.25">
      <c r="B976" s="151" t="s">
        <v>765</v>
      </c>
      <c r="C976" s="152">
        <v>289</v>
      </c>
      <c r="D976" s="153">
        <v>68</v>
      </c>
      <c r="E976" s="151" t="s">
        <v>78</v>
      </c>
      <c r="F976" s="151" t="s">
        <v>329</v>
      </c>
      <c r="G976" s="151" t="s">
        <v>333</v>
      </c>
      <c r="H976" s="151" t="s">
        <v>754</v>
      </c>
      <c r="I976" s="151" t="s">
        <v>21</v>
      </c>
      <c r="J976" s="151" t="s">
        <v>82</v>
      </c>
      <c r="K976" s="154">
        <v>24210</v>
      </c>
      <c r="L976" s="154">
        <v>14880</v>
      </c>
      <c r="M976" s="155">
        <v>15</v>
      </c>
      <c r="N976" s="154">
        <v>9330</v>
      </c>
      <c r="O976" s="154">
        <v>7930.5</v>
      </c>
    </row>
    <row r="977" spans="2:15" ht="12.75" hidden="1" customHeight="1" outlineLevel="1" x14ac:dyDescent="0.25">
      <c r="B977" s="570" t="s">
        <v>511</v>
      </c>
      <c r="C977" s="570"/>
      <c r="D977" s="570"/>
      <c r="E977" s="570"/>
      <c r="F977" s="570"/>
      <c r="G977" s="570"/>
      <c r="H977" s="570"/>
      <c r="I977" s="570"/>
      <c r="J977" s="570"/>
      <c r="K977" s="156"/>
      <c r="L977" s="156"/>
      <c r="M977" s="156"/>
      <c r="N977" s="154">
        <v>9330</v>
      </c>
      <c r="O977" s="154">
        <v>7930.5</v>
      </c>
    </row>
    <row r="978" spans="2:15" ht="36.75" customHeight="1" collapsed="1" x14ac:dyDescent="0.25">
      <c r="B978" s="151" t="s">
        <v>784</v>
      </c>
      <c r="C978" s="152">
        <v>292</v>
      </c>
      <c r="D978" s="153">
        <v>65</v>
      </c>
      <c r="E978" s="151" t="s">
        <v>78</v>
      </c>
      <c r="F978" s="151" t="s">
        <v>79</v>
      </c>
      <c r="G978" s="151" t="s">
        <v>80</v>
      </c>
      <c r="H978" s="151"/>
      <c r="I978" s="151" t="s">
        <v>21</v>
      </c>
      <c r="J978" s="151" t="s">
        <v>82</v>
      </c>
      <c r="K978" s="156"/>
      <c r="L978" s="156"/>
      <c r="M978" s="156"/>
      <c r="N978" s="156"/>
      <c r="O978" s="156"/>
    </row>
    <row r="979" spans="2:15" ht="36.75" customHeight="1" x14ac:dyDescent="0.25">
      <c r="B979" s="151" t="s">
        <v>830</v>
      </c>
      <c r="C979" s="152">
        <v>269</v>
      </c>
      <c r="D979" s="151" t="s">
        <v>848</v>
      </c>
      <c r="E979" s="151" t="s">
        <v>78</v>
      </c>
      <c r="F979" s="151" t="s">
        <v>521</v>
      </c>
      <c r="G979" s="151" t="s">
        <v>675</v>
      </c>
      <c r="H979" s="151" t="s">
        <v>754</v>
      </c>
      <c r="I979" s="151" t="s">
        <v>21</v>
      </c>
      <c r="J979" s="151" t="s">
        <v>82</v>
      </c>
      <c r="K979" s="154">
        <v>32130</v>
      </c>
      <c r="L979" s="154">
        <v>16130</v>
      </c>
      <c r="M979" s="155">
        <v>18.899999999999999</v>
      </c>
      <c r="N979" s="154">
        <v>16000</v>
      </c>
      <c r="O979" s="154">
        <v>12975.8</v>
      </c>
    </row>
    <row r="980" spans="2:15" ht="12.75" hidden="1" customHeight="1" outlineLevel="1" x14ac:dyDescent="0.25">
      <c r="B980" s="570" t="s">
        <v>511</v>
      </c>
      <c r="C980" s="570"/>
      <c r="D980" s="570"/>
      <c r="E980" s="570"/>
      <c r="F980" s="570"/>
      <c r="G980" s="570"/>
      <c r="H980" s="570"/>
      <c r="I980" s="570"/>
      <c r="J980" s="570"/>
      <c r="K980" s="156"/>
      <c r="L980" s="156"/>
      <c r="M980" s="156"/>
      <c r="N980" s="154">
        <v>16000</v>
      </c>
      <c r="O980" s="154">
        <v>12975.8</v>
      </c>
    </row>
    <row r="981" spans="2:15" ht="36.75" customHeight="1" collapsed="1" x14ac:dyDescent="0.25">
      <c r="B981" s="151" t="s">
        <v>766</v>
      </c>
      <c r="C981" s="152">
        <v>290</v>
      </c>
      <c r="D981" s="153">
        <v>69</v>
      </c>
      <c r="E981" s="151" t="s">
        <v>78</v>
      </c>
      <c r="F981" s="151" t="s">
        <v>79</v>
      </c>
      <c r="G981" s="151" t="s">
        <v>767</v>
      </c>
      <c r="H981" s="151" t="s">
        <v>754</v>
      </c>
      <c r="I981" s="151" t="s">
        <v>21</v>
      </c>
      <c r="J981" s="151" t="s">
        <v>82</v>
      </c>
      <c r="K981" s="154">
        <v>23310</v>
      </c>
      <c r="L981" s="154">
        <v>14100</v>
      </c>
      <c r="M981" s="155">
        <v>18.5</v>
      </c>
      <c r="N981" s="154">
        <v>9210</v>
      </c>
      <c r="O981" s="154">
        <v>7506.1</v>
      </c>
    </row>
    <row r="982" spans="2:15" ht="12.75" hidden="1" customHeight="1" outlineLevel="1" x14ac:dyDescent="0.25">
      <c r="B982" s="570" t="s">
        <v>511</v>
      </c>
      <c r="C982" s="570"/>
      <c r="D982" s="570"/>
      <c r="E982" s="570"/>
      <c r="F982" s="570"/>
      <c r="G982" s="570"/>
      <c r="H982" s="570"/>
      <c r="I982" s="570"/>
      <c r="J982" s="570"/>
      <c r="K982" s="156"/>
      <c r="L982" s="156"/>
      <c r="M982" s="156"/>
      <c r="N982" s="154">
        <v>9210</v>
      </c>
      <c r="O982" s="154">
        <v>7506.1</v>
      </c>
    </row>
    <row r="983" spans="2:15" ht="36.75" customHeight="1" collapsed="1" x14ac:dyDescent="0.25">
      <c r="B983" s="151" t="s">
        <v>768</v>
      </c>
      <c r="C983" s="152">
        <v>291</v>
      </c>
      <c r="D983" s="153">
        <v>70</v>
      </c>
      <c r="E983" s="151" t="s">
        <v>78</v>
      </c>
      <c r="F983" s="151" t="s">
        <v>762</v>
      </c>
      <c r="G983" s="151" t="s">
        <v>763</v>
      </c>
      <c r="H983" s="151" t="s">
        <v>754</v>
      </c>
      <c r="I983" s="151" t="s">
        <v>21</v>
      </c>
      <c r="J983" s="151" t="s">
        <v>82</v>
      </c>
      <c r="K983" s="154">
        <v>9180</v>
      </c>
      <c r="L983" s="154">
        <v>4620</v>
      </c>
      <c r="M983" s="155">
        <v>15.5</v>
      </c>
      <c r="N983" s="154">
        <v>4560</v>
      </c>
      <c r="O983" s="154">
        <v>3853.2</v>
      </c>
    </row>
    <row r="984" spans="2:15" ht="12.75" hidden="1" customHeight="1" outlineLevel="1" x14ac:dyDescent="0.25">
      <c r="B984" s="570" t="s">
        <v>511</v>
      </c>
      <c r="C984" s="570"/>
      <c r="D984" s="570"/>
      <c r="E984" s="570"/>
      <c r="F984" s="570"/>
      <c r="G984" s="570"/>
      <c r="H984" s="570"/>
      <c r="I984" s="570"/>
      <c r="J984" s="570"/>
      <c r="K984" s="156"/>
      <c r="L984" s="156"/>
      <c r="M984" s="156"/>
      <c r="N984" s="154">
        <v>4560</v>
      </c>
      <c r="O984" s="154">
        <v>3853.2</v>
      </c>
    </row>
    <row r="985" spans="2:15" ht="36.75" customHeight="1" collapsed="1" x14ac:dyDescent="0.25">
      <c r="B985" s="151" t="s">
        <v>769</v>
      </c>
      <c r="C985" s="152">
        <v>293</v>
      </c>
      <c r="D985" s="153">
        <v>71</v>
      </c>
      <c r="E985" s="151" t="s">
        <v>78</v>
      </c>
      <c r="F985" s="151" t="s">
        <v>1312</v>
      </c>
      <c r="G985" s="151" t="s">
        <v>320</v>
      </c>
      <c r="H985" s="151" t="s">
        <v>754</v>
      </c>
      <c r="I985" s="151" t="s">
        <v>21</v>
      </c>
      <c r="J985" s="151" t="s">
        <v>82</v>
      </c>
      <c r="K985" s="154">
        <v>31060</v>
      </c>
      <c r="L985" s="154">
        <v>14460</v>
      </c>
      <c r="M985" s="155">
        <v>14</v>
      </c>
      <c r="N985" s="154">
        <v>16600</v>
      </c>
      <c r="O985" s="154">
        <v>14276</v>
      </c>
    </row>
    <row r="986" spans="2:15" ht="12.75" hidden="1" customHeight="1" outlineLevel="1" x14ac:dyDescent="0.25">
      <c r="B986" s="570" t="s">
        <v>511</v>
      </c>
      <c r="C986" s="570"/>
      <c r="D986" s="570"/>
      <c r="E986" s="570"/>
      <c r="F986" s="570"/>
      <c r="G986" s="570"/>
      <c r="H986" s="570"/>
      <c r="I986" s="570"/>
      <c r="J986" s="570"/>
      <c r="K986" s="156"/>
      <c r="L986" s="156"/>
      <c r="M986" s="156"/>
      <c r="N986" s="154">
        <v>16600</v>
      </c>
      <c r="O986" s="154">
        <v>14276</v>
      </c>
    </row>
    <row r="987" spans="2:15" ht="36.75" customHeight="1" collapsed="1" x14ac:dyDescent="0.25">
      <c r="B987" s="151" t="s">
        <v>770</v>
      </c>
      <c r="C987" s="152">
        <v>294</v>
      </c>
      <c r="D987" s="153">
        <v>72</v>
      </c>
      <c r="E987" s="151" t="s">
        <v>78</v>
      </c>
      <c r="F987" s="151" t="s">
        <v>329</v>
      </c>
      <c r="G987" s="151" t="s">
        <v>333</v>
      </c>
      <c r="H987" s="151" t="s">
        <v>771</v>
      </c>
      <c r="I987" s="151" t="s">
        <v>772</v>
      </c>
      <c r="J987" s="151" t="s">
        <v>82</v>
      </c>
      <c r="K987" s="154">
        <v>28630</v>
      </c>
      <c r="L987" s="154">
        <v>14990</v>
      </c>
      <c r="M987" s="155">
        <v>12</v>
      </c>
      <c r="N987" s="154">
        <v>13640</v>
      </c>
      <c r="O987" s="154">
        <v>12003.2</v>
      </c>
    </row>
    <row r="988" spans="2:15" ht="12.75" hidden="1" customHeight="1" outlineLevel="1" x14ac:dyDescent="0.25">
      <c r="B988" s="570" t="s">
        <v>511</v>
      </c>
      <c r="C988" s="570"/>
      <c r="D988" s="570"/>
      <c r="E988" s="570"/>
      <c r="F988" s="570"/>
      <c r="G988" s="570"/>
      <c r="H988" s="570"/>
      <c r="I988" s="570"/>
      <c r="J988" s="570"/>
      <c r="K988" s="156"/>
      <c r="L988" s="156"/>
      <c r="M988" s="156"/>
      <c r="N988" s="154">
        <v>13640</v>
      </c>
      <c r="O988" s="154">
        <v>12003.2</v>
      </c>
    </row>
    <row r="989" spans="2:15" ht="36.75" customHeight="1" collapsed="1" x14ac:dyDescent="0.25">
      <c r="B989" s="151" t="s">
        <v>773</v>
      </c>
      <c r="C989" s="152">
        <v>295</v>
      </c>
      <c r="D989" s="153">
        <v>73</v>
      </c>
      <c r="E989" s="151" t="s">
        <v>78</v>
      </c>
      <c r="F989" s="151" t="s">
        <v>79</v>
      </c>
      <c r="G989" s="151" t="s">
        <v>80</v>
      </c>
      <c r="H989" s="151" t="s">
        <v>771</v>
      </c>
      <c r="I989" s="151" t="s">
        <v>772</v>
      </c>
      <c r="J989" s="151" t="s">
        <v>82</v>
      </c>
      <c r="K989" s="154">
        <v>27400</v>
      </c>
      <c r="L989" s="154">
        <v>14090</v>
      </c>
      <c r="M989" s="155">
        <v>15</v>
      </c>
      <c r="N989" s="154">
        <v>13310</v>
      </c>
      <c r="O989" s="154">
        <v>11313.5</v>
      </c>
    </row>
    <row r="990" spans="2:15" ht="12.75" hidden="1" customHeight="1" outlineLevel="1" x14ac:dyDescent="0.25">
      <c r="B990" s="570" t="s">
        <v>511</v>
      </c>
      <c r="C990" s="570"/>
      <c r="D990" s="570"/>
      <c r="E990" s="570"/>
      <c r="F990" s="570"/>
      <c r="G990" s="570"/>
      <c r="H990" s="570"/>
      <c r="I990" s="570"/>
      <c r="J990" s="570"/>
      <c r="K990" s="156"/>
      <c r="L990" s="156"/>
      <c r="M990" s="156"/>
      <c r="N990" s="154">
        <v>13310</v>
      </c>
      <c r="O990" s="154">
        <v>11313.5</v>
      </c>
    </row>
    <row r="991" spans="2:15" ht="36.75" customHeight="1" collapsed="1" x14ac:dyDescent="0.25">
      <c r="B991" s="151" t="s">
        <v>774</v>
      </c>
      <c r="C991" s="152">
        <v>296</v>
      </c>
      <c r="D991" s="153">
        <v>74</v>
      </c>
      <c r="E991" s="151" t="s">
        <v>78</v>
      </c>
      <c r="F991" s="151" t="s">
        <v>762</v>
      </c>
      <c r="G991" s="151" t="s">
        <v>763</v>
      </c>
      <c r="H991" s="151" t="s">
        <v>771</v>
      </c>
      <c r="I991" s="151" t="s">
        <v>772</v>
      </c>
      <c r="J991" s="151" t="s">
        <v>82</v>
      </c>
      <c r="K991" s="154">
        <v>8620</v>
      </c>
      <c r="L991" s="154">
        <v>4610</v>
      </c>
      <c r="M991" s="155">
        <v>16.5</v>
      </c>
      <c r="N991" s="154">
        <v>4010</v>
      </c>
      <c r="O991" s="154">
        <v>3348.3</v>
      </c>
    </row>
    <row r="992" spans="2:15" ht="12.75" hidden="1" customHeight="1" outlineLevel="1" x14ac:dyDescent="0.25">
      <c r="B992" s="570" t="s">
        <v>550</v>
      </c>
      <c r="C992" s="570"/>
      <c r="D992" s="570"/>
      <c r="E992" s="570"/>
      <c r="F992" s="570"/>
      <c r="G992" s="570"/>
      <c r="H992" s="570"/>
      <c r="I992" s="570"/>
      <c r="J992" s="570"/>
      <c r="K992" s="156"/>
      <c r="L992" s="156"/>
      <c r="M992" s="156"/>
      <c r="N992" s="154">
        <v>4010</v>
      </c>
      <c r="O992" s="154">
        <v>3348.3</v>
      </c>
    </row>
    <row r="993" spans="2:15" ht="36.75" customHeight="1" collapsed="1" x14ac:dyDescent="0.25">
      <c r="B993" s="151" t="s">
        <v>775</v>
      </c>
      <c r="C993" s="152">
        <v>297</v>
      </c>
      <c r="D993" s="153">
        <v>75</v>
      </c>
      <c r="E993" s="151" t="s">
        <v>78</v>
      </c>
      <c r="F993" s="151" t="s">
        <v>1312</v>
      </c>
      <c r="G993" s="151" t="s">
        <v>320</v>
      </c>
      <c r="H993" s="151" t="s">
        <v>771</v>
      </c>
      <c r="I993" s="151" t="s">
        <v>772</v>
      </c>
      <c r="J993" s="151" t="s">
        <v>82</v>
      </c>
      <c r="K993" s="154">
        <v>31480</v>
      </c>
      <c r="L993" s="154">
        <v>14460</v>
      </c>
      <c r="M993" s="155">
        <v>12</v>
      </c>
      <c r="N993" s="154">
        <v>17020</v>
      </c>
      <c r="O993" s="154">
        <v>14977.6</v>
      </c>
    </row>
    <row r="994" spans="2:15" ht="12.75" hidden="1" customHeight="1" outlineLevel="1" x14ac:dyDescent="0.25">
      <c r="B994" s="570" t="s">
        <v>550</v>
      </c>
      <c r="C994" s="570"/>
      <c r="D994" s="570"/>
      <c r="E994" s="570"/>
      <c r="F994" s="570"/>
      <c r="G994" s="570"/>
      <c r="H994" s="570"/>
      <c r="I994" s="570"/>
      <c r="J994" s="570"/>
      <c r="K994" s="156"/>
      <c r="L994" s="156"/>
      <c r="M994" s="156"/>
      <c r="N994" s="154">
        <v>17020</v>
      </c>
      <c r="O994" s="154">
        <v>14977.6</v>
      </c>
    </row>
    <row r="995" spans="2:15" ht="36.75" customHeight="1" collapsed="1" x14ac:dyDescent="0.25">
      <c r="B995" s="151" t="s">
        <v>776</v>
      </c>
      <c r="C995" s="152">
        <v>298</v>
      </c>
      <c r="D995" s="153">
        <v>76</v>
      </c>
      <c r="E995" s="151" t="s">
        <v>78</v>
      </c>
      <c r="F995" s="151" t="s">
        <v>329</v>
      </c>
      <c r="G995" s="151" t="s">
        <v>333</v>
      </c>
      <c r="H995" s="151" t="s">
        <v>771</v>
      </c>
      <c r="I995" s="151" t="s">
        <v>772</v>
      </c>
      <c r="J995" s="151" t="s">
        <v>82</v>
      </c>
      <c r="K995" s="154">
        <v>28100</v>
      </c>
      <c r="L995" s="154">
        <v>14970</v>
      </c>
      <c r="M995" s="155">
        <v>17</v>
      </c>
      <c r="N995" s="154">
        <v>13130</v>
      </c>
      <c r="O995" s="154">
        <v>10897.9</v>
      </c>
    </row>
    <row r="996" spans="2:15" ht="12.75" hidden="1" customHeight="1" outlineLevel="1" x14ac:dyDescent="0.25">
      <c r="B996" s="570" t="s">
        <v>550</v>
      </c>
      <c r="C996" s="570"/>
      <c r="D996" s="570"/>
      <c r="E996" s="570"/>
      <c r="F996" s="570"/>
      <c r="G996" s="570"/>
      <c r="H996" s="570"/>
      <c r="I996" s="570"/>
      <c r="J996" s="570"/>
      <c r="K996" s="156"/>
      <c r="L996" s="156"/>
      <c r="M996" s="156"/>
      <c r="N996" s="154">
        <v>13130</v>
      </c>
      <c r="O996" s="154">
        <v>10897.9</v>
      </c>
    </row>
    <row r="997" spans="2:15" ht="36.75" customHeight="1" collapsed="1" x14ac:dyDescent="0.25">
      <c r="B997" s="151" t="s">
        <v>779</v>
      </c>
      <c r="C997" s="152">
        <v>300</v>
      </c>
      <c r="D997" s="153">
        <v>78</v>
      </c>
      <c r="E997" s="151" t="s">
        <v>78</v>
      </c>
      <c r="F997" s="151" t="s">
        <v>762</v>
      </c>
      <c r="G997" s="151" t="s">
        <v>763</v>
      </c>
      <c r="H997" s="151" t="s">
        <v>771</v>
      </c>
      <c r="I997" s="151" t="s">
        <v>772</v>
      </c>
      <c r="J997" s="151" t="s">
        <v>82</v>
      </c>
      <c r="K997" s="156"/>
      <c r="L997" s="156"/>
      <c r="M997" s="156"/>
      <c r="N997" s="156"/>
      <c r="O997" s="156"/>
    </row>
    <row r="998" spans="2:15" ht="36.75" customHeight="1" x14ac:dyDescent="0.25">
      <c r="B998" s="151" t="s">
        <v>777</v>
      </c>
      <c r="C998" s="152">
        <v>299</v>
      </c>
      <c r="D998" s="153">
        <v>77</v>
      </c>
      <c r="E998" s="151" t="s">
        <v>78</v>
      </c>
      <c r="F998" s="151" t="s">
        <v>79</v>
      </c>
      <c r="G998" s="151" t="s">
        <v>80</v>
      </c>
      <c r="H998" s="151" t="s">
        <v>771</v>
      </c>
      <c r="I998" s="151" t="s">
        <v>772</v>
      </c>
      <c r="J998" s="151" t="s">
        <v>82</v>
      </c>
      <c r="K998" s="154">
        <v>27200</v>
      </c>
      <c r="L998" s="154">
        <v>14080</v>
      </c>
      <c r="M998" s="155">
        <v>11</v>
      </c>
      <c r="N998" s="154">
        <v>13120</v>
      </c>
      <c r="O998" s="154">
        <v>11676.8</v>
      </c>
    </row>
    <row r="999" spans="2:15" ht="12.75" hidden="1" customHeight="1" outlineLevel="1" x14ac:dyDescent="0.25">
      <c r="B999" s="570" t="s">
        <v>550</v>
      </c>
      <c r="C999" s="570"/>
      <c r="D999" s="570"/>
      <c r="E999" s="570"/>
      <c r="F999" s="570"/>
      <c r="G999" s="570"/>
      <c r="H999" s="570"/>
      <c r="I999" s="570"/>
      <c r="J999" s="570"/>
      <c r="K999" s="156"/>
      <c r="L999" s="156"/>
      <c r="M999" s="156"/>
      <c r="N999" s="154">
        <v>13120</v>
      </c>
      <c r="O999" s="154">
        <v>11676.8</v>
      </c>
    </row>
    <row r="1000" spans="2:15" ht="36.75" customHeight="1" collapsed="1" x14ac:dyDescent="0.25">
      <c r="B1000" s="151" t="s">
        <v>778</v>
      </c>
      <c r="C1000" s="152">
        <v>300</v>
      </c>
      <c r="D1000" s="153">
        <v>78</v>
      </c>
      <c r="E1000" s="151" t="s">
        <v>78</v>
      </c>
      <c r="F1000" s="151" t="s">
        <v>762</v>
      </c>
      <c r="G1000" s="151" t="s">
        <v>763</v>
      </c>
      <c r="H1000" s="151" t="s">
        <v>771</v>
      </c>
      <c r="I1000" s="151" t="s">
        <v>772</v>
      </c>
      <c r="J1000" s="151" t="s">
        <v>82</v>
      </c>
      <c r="K1000" s="154">
        <v>9060</v>
      </c>
      <c r="L1000" s="154">
        <v>4530</v>
      </c>
      <c r="M1000" s="155">
        <v>9.5</v>
      </c>
      <c r="N1000" s="154">
        <v>4530</v>
      </c>
      <c r="O1000" s="154">
        <v>4099.6000000000004</v>
      </c>
    </row>
    <row r="1001" spans="2:15" ht="12.75" hidden="1" customHeight="1" outlineLevel="1" x14ac:dyDescent="0.25">
      <c r="B1001" s="570" t="s">
        <v>550</v>
      </c>
      <c r="C1001" s="570"/>
      <c r="D1001" s="570"/>
      <c r="E1001" s="570"/>
      <c r="F1001" s="570"/>
      <c r="G1001" s="570"/>
      <c r="H1001" s="570"/>
      <c r="I1001" s="570"/>
      <c r="J1001" s="570"/>
      <c r="K1001" s="156"/>
      <c r="L1001" s="156"/>
      <c r="M1001" s="156"/>
      <c r="N1001" s="154">
        <v>4530</v>
      </c>
      <c r="O1001" s="154">
        <v>4099.6000000000004</v>
      </c>
    </row>
    <row r="1002" spans="2:15" ht="36.75" customHeight="1" collapsed="1" x14ac:dyDescent="0.25">
      <c r="B1002" s="151" t="s">
        <v>780</v>
      </c>
      <c r="C1002" s="152">
        <v>302</v>
      </c>
      <c r="D1002" s="153">
        <v>80</v>
      </c>
      <c r="E1002" s="151" t="s">
        <v>78</v>
      </c>
      <c r="F1002" s="151" t="s">
        <v>1312</v>
      </c>
      <c r="G1002" s="151" t="s">
        <v>320</v>
      </c>
      <c r="H1002" s="151" t="s">
        <v>771</v>
      </c>
      <c r="I1002" s="151" t="s">
        <v>772</v>
      </c>
      <c r="J1002" s="151" t="s">
        <v>82</v>
      </c>
      <c r="K1002" s="154">
        <v>20660</v>
      </c>
      <c r="L1002" s="154">
        <v>14450</v>
      </c>
      <c r="M1002" s="155">
        <v>11.5</v>
      </c>
      <c r="N1002" s="154">
        <v>6210</v>
      </c>
      <c r="O1002" s="154">
        <v>5495.8</v>
      </c>
    </row>
    <row r="1003" spans="2:15" ht="12.75" hidden="1" customHeight="1" outlineLevel="1" x14ac:dyDescent="0.25">
      <c r="B1003" s="570" t="s">
        <v>550</v>
      </c>
      <c r="C1003" s="570"/>
      <c r="D1003" s="570"/>
      <c r="E1003" s="570"/>
      <c r="F1003" s="570"/>
      <c r="G1003" s="570"/>
      <c r="H1003" s="570"/>
      <c r="I1003" s="570"/>
      <c r="J1003" s="570"/>
      <c r="K1003" s="156"/>
      <c r="L1003" s="156"/>
      <c r="M1003" s="156"/>
      <c r="N1003" s="154">
        <v>6210</v>
      </c>
      <c r="O1003" s="154">
        <v>5495.8</v>
      </c>
    </row>
    <row r="1004" spans="2:15" ht="36.75" customHeight="1" collapsed="1" x14ac:dyDescent="0.25">
      <c r="B1004" s="151" t="s">
        <v>781</v>
      </c>
      <c r="C1004" s="152">
        <v>301</v>
      </c>
      <c r="D1004" s="153">
        <v>79</v>
      </c>
      <c r="E1004" s="151" t="s">
        <v>78</v>
      </c>
      <c r="F1004" s="151" t="s">
        <v>1312</v>
      </c>
      <c r="G1004" s="151" t="s">
        <v>320</v>
      </c>
      <c r="H1004" s="151" t="s">
        <v>523</v>
      </c>
      <c r="I1004" s="151" t="s">
        <v>782</v>
      </c>
      <c r="J1004" s="151" t="s">
        <v>82</v>
      </c>
      <c r="K1004" s="154">
        <v>27510</v>
      </c>
      <c r="L1004" s="154">
        <v>20660</v>
      </c>
      <c r="M1004" s="155">
        <v>13.5</v>
      </c>
      <c r="N1004" s="154">
        <v>6850</v>
      </c>
      <c r="O1004" s="154">
        <v>5925.2</v>
      </c>
    </row>
    <row r="1005" spans="2:15" ht="12.75" hidden="1" customHeight="1" outlineLevel="1" x14ac:dyDescent="0.25">
      <c r="B1005" s="570" t="s">
        <v>511</v>
      </c>
      <c r="C1005" s="570"/>
      <c r="D1005" s="570"/>
      <c r="E1005" s="570"/>
      <c r="F1005" s="570"/>
      <c r="G1005" s="570"/>
      <c r="H1005" s="570"/>
      <c r="I1005" s="570"/>
      <c r="J1005" s="570"/>
      <c r="K1005" s="156"/>
      <c r="L1005" s="156"/>
      <c r="M1005" s="156"/>
      <c r="N1005" s="154">
        <v>6850</v>
      </c>
      <c r="O1005" s="154">
        <v>5925.2</v>
      </c>
    </row>
    <row r="1006" spans="2:15" ht="36.75" customHeight="1" collapsed="1" x14ac:dyDescent="0.25">
      <c r="B1006" s="151" t="s">
        <v>783</v>
      </c>
      <c r="C1006" s="152">
        <v>303</v>
      </c>
      <c r="D1006" s="153">
        <v>81</v>
      </c>
      <c r="E1006" s="151" t="s">
        <v>78</v>
      </c>
      <c r="F1006" s="151" t="s">
        <v>329</v>
      </c>
      <c r="G1006" s="151" t="s">
        <v>333</v>
      </c>
      <c r="H1006" s="151" t="s">
        <v>523</v>
      </c>
      <c r="I1006" s="151" t="s">
        <v>782</v>
      </c>
      <c r="J1006" s="151" t="s">
        <v>82</v>
      </c>
      <c r="K1006" s="154">
        <v>28740</v>
      </c>
      <c r="L1006" s="154">
        <v>14970</v>
      </c>
      <c r="M1006" s="155">
        <v>16</v>
      </c>
      <c r="N1006" s="154">
        <v>13770</v>
      </c>
      <c r="O1006" s="154">
        <v>11566.8</v>
      </c>
    </row>
    <row r="1007" spans="2:15" ht="12.75" hidden="1" customHeight="1" outlineLevel="1" x14ac:dyDescent="0.25">
      <c r="B1007" s="570" t="s">
        <v>511</v>
      </c>
      <c r="C1007" s="570"/>
      <c r="D1007" s="570"/>
      <c r="E1007" s="570"/>
      <c r="F1007" s="570"/>
      <c r="G1007" s="570"/>
      <c r="H1007" s="570"/>
      <c r="I1007" s="570"/>
      <c r="J1007" s="570"/>
      <c r="K1007" s="156"/>
      <c r="L1007" s="156"/>
      <c r="M1007" s="156"/>
      <c r="N1007" s="154">
        <v>13770</v>
      </c>
      <c r="O1007" s="154">
        <v>11566.8</v>
      </c>
    </row>
    <row r="1008" spans="2:15" ht="36.75" customHeight="1" collapsed="1" x14ac:dyDescent="0.25">
      <c r="B1008" s="151" t="s">
        <v>785</v>
      </c>
      <c r="C1008" s="152">
        <v>304</v>
      </c>
      <c r="D1008" s="153">
        <v>82</v>
      </c>
      <c r="E1008" s="151" t="s">
        <v>78</v>
      </c>
      <c r="F1008" s="151" t="s">
        <v>79</v>
      </c>
      <c r="G1008" s="151" t="s">
        <v>80</v>
      </c>
      <c r="H1008" s="151" t="s">
        <v>523</v>
      </c>
      <c r="I1008" s="151" t="s">
        <v>782</v>
      </c>
      <c r="J1008" s="151" t="s">
        <v>82</v>
      </c>
      <c r="K1008" s="154">
        <v>27790</v>
      </c>
      <c r="L1008" s="154">
        <v>14070</v>
      </c>
      <c r="M1008" s="155">
        <v>9</v>
      </c>
      <c r="N1008" s="154">
        <v>13720</v>
      </c>
      <c r="O1008" s="154">
        <v>12485.2</v>
      </c>
    </row>
    <row r="1009" spans="2:15" ht="12.75" hidden="1" customHeight="1" outlineLevel="1" x14ac:dyDescent="0.25">
      <c r="B1009" s="570" t="s">
        <v>511</v>
      </c>
      <c r="C1009" s="570"/>
      <c r="D1009" s="570"/>
      <c r="E1009" s="570"/>
      <c r="F1009" s="570"/>
      <c r="G1009" s="570"/>
      <c r="H1009" s="570"/>
      <c r="I1009" s="570"/>
      <c r="J1009" s="570"/>
      <c r="K1009" s="156"/>
      <c r="L1009" s="156"/>
      <c r="M1009" s="156"/>
      <c r="N1009" s="154">
        <v>13720</v>
      </c>
      <c r="O1009" s="154">
        <v>12485.2</v>
      </c>
    </row>
    <row r="1010" spans="2:15" ht="36.75" customHeight="1" collapsed="1" x14ac:dyDescent="0.25">
      <c r="B1010" s="151" t="s">
        <v>786</v>
      </c>
      <c r="C1010" s="152">
        <v>305</v>
      </c>
      <c r="D1010" s="153">
        <v>83</v>
      </c>
      <c r="E1010" s="151" t="s">
        <v>78</v>
      </c>
      <c r="F1010" s="151" t="s">
        <v>762</v>
      </c>
      <c r="G1010" s="151" t="s">
        <v>763</v>
      </c>
      <c r="H1010" s="151" t="s">
        <v>523</v>
      </c>
      <c r="I1010" s="151" t="s">
        <v>782</v>
      </c>
      <c r="J1010" s="151" t="s">
        <v>82</v>
      </c>
      <c r="K1010" s="154">
        <v>9040</v>
      </c>
      <c r="L1010" s="154">
        <v>4520</v>
      </c>
      <c r="M1010" s="155">
        <v>7.5</v>
      </c>
      <c r="N1010" s="154">
        <v>4520</v>
      </c>
      <c r="O1010" s="154">
        <v>4181</v>
      </c>
    </row>
    <row r="1011" spans="2:15" ht="12.75" hidden="1" customHeight="1" outlineLevel="1" x14ac:dyDescent="0.25">
      <c r="B1011" s="570" t="s">
        <v>511</v>
      </c>
      <c r="C1011" s="570"/>
      <c r="D1011" s="570"/>
      <c r="E1011" s="570"/>
      <c r="F1011" s="570"/>
      <c r="G1011" s="570"/>
      <c r="H1011" s="570"/>
      <c r="I1011" s="570"/>
      <c r="J1011" s="570"/>
      <c r="K1011" s="156"/>
      <c r="L1011" s="156"/>
      <c r="M1011" s="156"/>
      <c r="N1011" s="154">
        <v>4520</v>
      </c>
      <c r="O1011" s="154">
        <v>4181</v>
      </c>
    </row>
    <row r="1012" spans="2:15" ht="36.75" customHeight="1" collapsed="1" x14ac:dyDescent="0.25">
      <c r="B1012" s="151" t="s">
        <v>787</v>
      </c>
      <c r="C1012" s="152">
        <v>306</v>
      </c>
      <c r="D1012" s="153">
        <v>84</v>
      </c>
      <c r="E1012" s="151" t="s">
        <v>78</v>
      </c>
      <c r="F1012" s="151" t="s">
        <v>1312</v>
      </c>
      <c r="G1012" s="151" t="s">
        <v>320</v>
      </c>
      <c r="H1012" s="151" t="s">
        <v>523</v>
      </c>
      <c r="I1012" s="151" t="s">
        <v>782</v>
      </c>
      <c r="J1012" s="151" t="s">
        <v>82</v>
      </c>
      <c r="K1012" s="154">
        <v>27630</v>
      </c>
      <c r="L1012" s="154">
        <v>14440</v>
      </c>
      <c r="M1012" s="155">
        <v>9.5</v>
      </c>
      <c r="N1012" s="154">
        <v>13190</v>
      </c>
      <c r="O1012" s="154">
        <v>11936.9</v>
      </c>
    </row>
    <row r="1013" spans="2:15" ht="12.75" hidden="1" customHeight="1" outlineLevel="1" x14ac:dyDescent="0.25">
      <c r="B1013" s="570" t="s">
        <v>511</v>
      </c>
      <c r="C1013" s="570"/>
      <c r="D1013" s="570"/>
      <c r="E1013" s="570"/>
      <c r="F1013" s="570"/>
      <c r="G1013" s="570"/>
      <c r="H1013" s="570"/>
      <c r="I1013" s="570"/>
      <c r="J1013" s="570"/>
      <c r="K1013" s="156"/>
      <c r="L1013" s="156"/>
      <c r="M1013" s="156"/>
      <c r="N1013" s="154">
        <v>13190</v>
      </c>
      <c r="O1013" s="154">
        <v>11936.9</v>
      </c>
    </row>
    <row r="1014" spans="2:15" ht="36.75" customHeight="1" collapsed="1" x14ac:dyDescent="0.25">
      <c r="B1014" s="151" t="s">
        <v>788</v>
      </c>
      <c r="C1014" s="152">
        <v>307</v>
      </c>
      <c r="D1014" s="153">
        <v>85</v>
      </c>
      <c r="E1014" s="151" t="s">
        <v>78</v>
      </c>
      <c r="F1014" s="151" t="s">
        <v>329</v>
      </c>
      <c r="G1014" s="151" t="s">
        <v>333</v>
      </c>
      <c r="H1014" s="151" t="s">
        <v>523</v>
      </c>
      <c r="I1014" s="151" t="s">
        <v>782</v>
      </c>
      <c r="J1014" s="151" t="s">
        <v>82</v>
      </c>
      <c r="K1014" s="154">
        <v>28590</v>
      </c>
      <c r="L1014" s="154">
        <v>14950</v>
      </c>
      <c r="M1014" s="155">
        <v>9.5</v>
      </c>
      <c r="N1014" s="154">
        <v>13640</v>
      </c>
      <c r="O1014" s="154">
        <v>12344.2</v>
      </c>
    </row>
    <row r="1015" spans="2:15" ht="12.75" hidden="1" customHeight="1" outlineLevel="1" x14ac:dyDescent="0.25">
      <c r="B1015" s="570" t="s">
        <v>511</v>
      </c>
      <c r="C1015" s="570"/>
      <c r="D1015" s="570"/>
      <c r="E1015" s="570"/>
      <c r="F1015" s="570"/>
      <c r="G1015" s="570"/>
      <c r="H1015" s="570"/>
      <c r="I1015" s="570"/>
      <c r="J1015" s="570"/>
      <c r="K1015" s="156"/>
      <c r="L1015" s="156"/>
      <c r="M1015" s="156"/>
      <c r="N1015" s="154">
        <v>13640</v>
      </c>
      <c r="O1015" s="154">
        <v>12344.2</v>
      </c>
    </row>
    <row r="1016" spans="2:15" ht="36.75" customHeight="1" collapsed="1" x14ac:dyDescent="0.25">
      <c r="B1016" s="151" t="s">
        <v>789</v>
      </c>
      <c r="C1016" s="152">
        <v>309</v>
      </c>
      <c r="D1016" s="153">
        <v>86</v>
      </c>
      <c r="E1016" s="151" t="s">
        <v>78</v>
      </c>
      <c r="F1016" s="151" t="s">
        <v>790</v>
      </c>
      <c r="G1016" s="151" t="s">
        <v>243</v>
      </c>
      <c r="H1016" s="151" t="s">
        <v>523</v>
      </c>
      <c r="I1016" s="151" t="s">
        <v>782</v>
      </c>
      <c r="J1016" s="151" t="s">
        <v>82</v>
      </c>
      <c r="K1016" s="154">
        <v>27300</v>
      </c>
      <c r="L1016" s="154">
        <v>14610</v>
      </c>
      <c r="M1016" s="155">
        <v>10.5</v>
      </c>
      <c r="N1016" s="154">
        <v>12690</v>
      </c>
      <c r="O1016" s="154">
        <v>11357.5</v>
      </c>
    </row>
    <row r="1017" spans="2:15" ht="12.75" hidden="1" customHeight="1" outlineLevel="1" x14ac:dyDescent="0.25">
      <c r="B1017" s="570" t="s">
        <v>511</v>
      </c>
      <c r="C1017" s="570"/>
      <c r="D1017" s="570"/>
      <c r="E1017" s="570"/>
      <c r="F1017" s="570"/>
      <c r="G1017" s="570"/>
      <c r="H1017" s="570"/>
      <c r="I1017" s="570"/>
      <c r="J1017" s="570"/>
      <c r="K1017" s="156"/>
      <c r="L1017" s="156"/>
      <c r="M1017" s="156"/>
      <c r="N1017" s="154">
        <v>12690</v>
      </c>
      <c r="O1017" s="154">
        <v>11357.5</v>
      </c>
    </row>
    <row r="1018" spans="2:15" ht="36.75" customHeight="1" collapsed="1" x14ac:dyDescent="0.25">
      <c r="B1018" s="151" t="s">
        <v>791</v>
      </c>
      <c r="C1018" s="152">
        <v>310</v>
      </c>
      <c r="D1018" s="153">
        <v>87</v>
      </c>
      <c r="E1018" s="151" t="s">
        <v>726</v>
      </c>
      <c r="F1018" s="151" t="s">
        <v>737</v>
      </c>
      <c r="G1018" s="151" t="s">
        <v>738</v>
      </c>
      <c r="H1018" s="151" t="s">
        <v>523</v>
      </c>
      <c r="I1018" s="151" t="s">
        <v>782</v>
      </c>
      <c r="J1018" s="151" t="s">
        <v>82</v>
      </c>
      <c r="K1018" s="154">
        <v>9060</v>
      </c>
      <c r="L1018" s="154">
        <v>4570</v>
      </c>
      <c r="M1018" s="155">
        <v>14</v>
      </c>
      <c r="N1018" s="154">
        <v>4490</v>
      </c>
      <c r="O1018" s="154">
        <v>3861.4</v>
      </c>
    </row>
    <row r="1019" spans="2:15" ht="12.75" hidden="1" customHeight="1" outlineLevel="1" x14ac:dyDescent="0.25">
      <c r="B1019" s="570" t="s">
        <v>511</v>
      </c>
      <c r="C1019" s="570"/>
      <c r="D1019" s="570"/>
      <c r="E1019" s="570"/>
      <c r="F1019" s="570"/>
      <c r="G1019" s="570"/>
      <c r="H1019" s="570"/>
      <c r="I1019" s="570"/>
      <c r="J1019" s="570"/>
      <c r="K1019" s="156"/>
      <c r="L1019" s="156"/>
      <c r="M1019" s="156"/>
      <c r="N1019" s="154">
        <v>4490</v>
      </c>
      <c r="O1019" s="154">
        <v>3861.4</v>
      </c>
    </row>
    <row r="1020" spans="2:15" ht="36.75" customHeight="1" collapsed="1" x14ac:dyDescent="0.25">
      <c r="B1020" s="151" t="s">
        <v>792</v>
      </c>
      <c r="C1020" s="152">
        <v>311</v>
      </c>
      <c r="D1020" s="153">
        <v>88</v>
      </c>
      <c r="E1020" s="151" t="s">
        <v>78</v>
      </c>
      <c r="F1020" s="151" t="s">
        <v>127</v>
      </c>
      <c r="G1020" s="151" t="s">
        <v>131</v>
      </c>
      <c r="H1020" s="151" t="s">
        <v>523</v>
      </c>
      <c r="I1020" s="151" t="s">
        <v>782</v>
      </c>
      <c r="J1020" s="151" t="s">
        <v>82</v>
      </c>
      <c r="K1020" s="154">
        <v>28280</v>
      </c>
      <c r="L1020" s="154">
        <v>14320</v>
      </c>
      <c r="M1020" s="155">
        <v>12.5</v>
      </c>
      <c r="N1020" s="154">
        <v>13960</v>
      </c>
      <c r="O1020" s="154">
        <v>12215</v>
      </c>
    </row>
    <row r="1021" spans="2:15" ht="12.75" hidden="1" customHeight="1" outlineLevel="1" x14ac:dyDescent="0.25">
      <c r="B1021" s="570" t="s">
        <v>511</v>
      </c>
      <c r="C1021" s="570"/>
      <c r="D1021" s="570"/>
      <c r="E1021" s="570"/>
      <c r="F1021" s="570"/>
      <c r="G1021" s="570"/>
      <c r="H1021" s="570"/>
      <c r="I1021" s="570"/>
      <c r="J1021" s="570"/>
      <c r="K1021" s="156"/>
      <c r="L1021" s="156"/>
      <c r="M1021" s="156"/>
      <c r="N1021" s="154">
        <v>13960</v>
      </c>
      <c r="O1021" s="154">
        <v>12215</v>
      </c>
    </row>
    <row r="1022" spans="2:15" ht="36.75" customHeight="1" collapsed="1" x14ac:dyDescent="0.25">
      <c r="B1022" s="151" t="s">
        <v>793</v>
      </c>
      <c r="C1022" s="152">
        <v>313</v>
      </c>
      <c r="D1022" s="153">
        <v>89</v>
      </c>
      <c r="E1022" s="151" t="s">
        <v>78</v>
      </c>
      <c r="F1022" s="151" t="s">
        <v>311</v>
      </c>
      <c r="G1022" s="151" t="s">
        <v>315</v>
      </c>
      <c r="H1022" s="151" t="s">
        <v>523</v>
      </c>
      <c r="I1022" s="151" t="s">
        <v>782</v>
      </c>
      <c r="J1022" s="151" t="s">
        <v>82</v>
      </c>
      <c r="K1022" s="154">
        <v>28870</v>
      </c>
      <c r="L1022" s="154">
        <v>14930</v>
      </c>
      <c r="M1022" s="155">
        <v>11</v>
      </c>
      <c r="N1022" s="154">
        <v>13940</v>
      </c>
      <c r="O1022" s="154">
        <v>12406.6</v>
      </c>
    </row>
    <row r="1023" spans="2:15" ht="12.75" hidden="1" customHeight="1" outlineLevel="1" x14ac:dyDescent="0.25">
      <c r="B1023" s="570" t="s">
        <v>550</v>
      </c>
      <c r="C1023" s="570"/>
      <c r="D1023" s="570"/>
      <c r="E1023" s="570"/>
      <c r="F1023" s="570"/>
      <c r="G1023" s="570"/>
      <c r="H1023" s="570"/>
      <c r="I1023" s="570"/>
      <c r="J1023" s="570"/>
      <c r="K1023" s="156"/>
      <c r="L1023" s="156"/>
      <c r="M1023" s="156"/>
      <c r="N1023" s="154">
        <v>13940</v>
      </c>
      <c r="O1023" s="154">
        <v>12406.6</v>
      </c>
    </row>
    <row r="1024" spans="2:15" ht="36.75" customHeight="1" collapsed="1" x14ac:dyDescent="0.25">
      <c r="B1024" s="151" t="s">
        <v>794</v>
      </c>
      <c r="C1024" s="152">
        <v>314</v>
      </c>
      <c r="D1024" s="153">
        <v>90</v>
      </c>
      <c r="E1024" s="151" t="s">
        <v>78</v>
      </c>
      <c r="F1024" s="151" t="s">
        <v>133</v>
      </c>
      <c r="G1024" s="151" t="s">
        <v>137</v>
      </c>
      <c r="H1024" s="151" t="s">
        <v>523</v>
      </c>
      <c r="I1024" s="151" t="s">
        <v>782</v>
      </c>
      <c r="J1024" s="151" t="s">
        <v>82</v>
      </c>
      <c r="K1024" s="154">
        <v>29020</v>
      </c>
      <c r="L1024" s="154">
        <v>14980</v>
      </c>
      <c r="M1024" s="155">
        <v>14</v>
      </c>
      <c r="N1024" s="154">
        <v>14040</v>
      </c>
      <c r="O1024" s="154">
        <v>12074.4</v>
      </c>
    </row>
    <row r="1025" spans="2:15" ht="12.75" hidden="1" customHeight="1" outlineLevel="1" x14ac:dyDescent="0.25">
      <c r="B1025" s="570" t="s">
        <v>550</v>
      </c>
      <c r="C1025" s="570"/>
      <c r="D1025" s="570"/>
      <c r="E1025" s="570"/>
      <c r="F1025" s="570"/>
      <c r="G1025" s="570"/>
      <c r="H1025" s="570"/>
      <c r="I1025" s="570"/>
      <c r="J1025" s="570"/>
      <c r="K1025" s="156"/>
      <c r="L1025" s="156"/>
      <c r="M1025" s="156"/>
      <c r="N1025" s="154">
        <v>14040</v>
      </c>
      <c r="O1025" s="154">
        <v>12074.4</v>
      </c>
    </row>
    <row r="1026" spans="2:15" ht="36.75" customHeight="1" collapsed="1" x14ac:dyDescent="0.25">
      <c r="B1026" s="151" t="s">
        <v>795</v>
      </c>
      <c r="C1026" s="152">
        <v>316</v>
      </c>
      <c r="D1026" s="153">
        <v>91</v>
      </c>
      <c r="E1026" s="151" t="s">
        <v>726</v>
      </c>
      <c r="F1026" s="151" t="s">
        <v>737</v>
      </c>
      <c r="G1026" s="151" t="s">
        <v>738</v>
      </c>
      <c r="H1026" s="151" t="s">
        <v>796</v>
      </c>
      <c r="I1026" s="151" t="s">
        <v>782</v>
      </c>
      <c r="J1026" s="151" t="s">
        <v>82</v>
      </c>
      <c r="K1026" s="154">
        <v>9360</v>
      </c>
      <c r="L1026" s="154">
        <v>4590</v>
      </c>
      <c r="M1026" s="155">
        <v>22</v>
      </c>
      <c r="N1026" s="154">
        <v>4770</v>
      </c>
      <c r="O1026" s="154">
        <v>3720.6</v>
      </c>
    </row>
    <row r="1027" spans="2:15" ht="12.75" hidden="1" customHeight="1" outlineLevel="1" x14ac:dyDescent="0.25">
      <c r="B1027" s="570" t="s">
        <v>511</v>
      </c>
      <c r="C1027" s="570"/>
      <c r="D1027" s="570"/>
      <c r="E1027" s="570"/>
      <c r="F1027" s="570"/>
      <c r="G1027" s="570"/>
      <c r="H1027" s="570"/>
      <c r="I1027" s="570"/>
      <c r="J1027" s="570"/>
      <c r="K1027" s="156"/>
      <c r="L1027" s="156"/>
      <c r="M1027" s="156"/>
      <c r="N1027" s="154">
        <v>4770</v>
      </c>
      <c r="O1027" s="154">
        <v>3720.6</v>
      </c>
    </row>
    <row r="1028" spans="2:15" ht="36.75" customHeight="1" collapsed="1" x14ac:dyDescent="0.25">
      <c r="B1028" s="151" t="s">
        <v>797</v>
      </c>
      <c r="C1028" s="152">
        <v>317</v>
      </c>
      <c r="D1028" s="153">
        <v>92</v>
      </c>
      <c r="E1028" s="151" t="s">
        <v>78</v>
      </c>
      <c r="F1028" s="151" t="s">
        <v>239</v>
      </c>
      <c r="G1028" s="151" t="s">
        <v>243</v>
      </c>
      <c r="H1028" s="151" t="s">
        <v>523</v>
      </c>
      <c r="I1028" s="151" t="s">
        <v>782</v>
      </c>
      <c r="J1028" s="151" t="s">
        <v>82</v>
      </c>
      <c r="K1028" s="154">
        <v>28500</v>
      </c>
      <c r="L1028" s="154">
        <v>14590</v>
      </c>
      <c r="M1028" s="155">
        <v>23</v>
      </c>
      <c r="N1028" s="154">
        <v>13910</v>
      </c>
      <c r="O1028" s="154">
        <v>10710.7</v>
      </c>
    </row>
    <row r="1029" spans="2:15" ht="12.75" hidden="1" customHeight="1" outlineLevel="1" x14ac:dyDescent="0.25">
      <c r="B1029" s="570" t="s">
        <v>550</v>
      </c>
      <c r="C1029" s="570"/>
      <c r="D1029" s="570"/>
      <c r="E1029" s="570"/>
      <c r="F1029" s="570"/>
      <c r="G1029" s="570"/>
      <c r="H1029" s="570"/>
      <c r="I1029" s="570"/>
      <c r="J1029" s="570"/>
      <c r="K1029" s="156"/>
      <c r="L1029" s="156"/>
      <c r="M1029" s="156"/>
      <c r="N1029" s="154">
        <v>13910</v>
      </c>
      <c r="O1029" s="154">
        <v>10710.7</v>
      </c>
    </row>
    <row r="1030" spans="2:15" ht="36.75" customHeight="1" collapsed="1" x14ac:dyDescent="0.25">
      <c r="B1030" s="151" t="s">
        <v>798</v>
      </c>
      <c r="C1030" s="152">
        <v>318</v>
      </c>
      <c r="D1030" s="153">
        <v>93</v>
      </c>
      <c r="E1030" s="151" t="s">
        <v>78</v>
      </c>
      <c r="F1030" s="151" t="s">
        <v>127</v>
      </c>
      <c r="G1030" s="151" t="s">
        <v>799</v>
      </c>
      <c r="H1030" s="151" t="s">
        <v>523</v>
      </c>
      <c r="I1030" s="151" t="s">
        <v>782</v>
      </c>
      <c r="J1030" s="151" t="s">
        <v>82</v>
      </c>
      <c r="K1030" s="154">
        <v>25680</v>
      </c>
      <c r="L1030" s="154">
        <v>14310</v>
      </c>
      <c r="M1030" s="155">
        <v>14</v>
      </c>
      <c r="N1030" s="154">
        <v>11370</v>
      </c>
      <c r="O1030" s="154">
        <v>9778.2000000000007</v>
      </c>
    </row>
    <row r="1031" spans="2:15" ht="12.75" hidden="1" customHeight="1" outlineLevel="1" x14ac:dyDescent="0.25">
      <c r="B1031" s="570" t="s">
        <v>550</v>
      </c>
      <c r="C1031" s="570"/>
      <c r="D1031" s="570"/>
      <c r="E1031" s="570"/>
      <c r="F1031" s="570"/>
      <c r="G1031" s="570"/>
      <c r="H1031" s="570"/>
      <c r="I1031" s="570"/>
      <c r="J1031" s="570"/>
      <c r="K1031" s="156"/>
      <c r="L1031" s="156"/>
      <c r="M1031" s="156"/>
      <c r="N1031" s="154">
        <v>11370</v>
      </c>
      <c r="O1031" s="154">
        <v>9778.2000000000007</v>
      </c>
    </row>
    <row r="1032" spans="2:15" ht="36.75" customHeight="1" collapsed="1" x14ac:dyDescent="0.25">
      <c r="B1032" s="151" t="s">
        <v>800</v>
      </c>
      <c r="C1032" s="152">
        <v>319</v>
      </c>
      <c r="D1032" s="153">
        <v>94</v>
      </c>
      <c r="E1032" s="151" t="s">
        <v>78</v>
      </c>
      <c r="F1032" s="151" t="s">
        <v>737</v>
      </c>
      <c r="G1032" s="151" t="s">
        <v>738</v>
      </c>
      <c r="H1032" s="151" t="s">
        <v>796</v>
      </c>
      <c r="I1032" s="151" t="s">
        <v>782</v>
      </c>
      <c r="J1032" s="151" t="s">
        <v>82</v>
      </c>
      <c r="K1032" s="154">
        <v>9380</v>
      </c>
      <c r="L1032" s="154">
        <v>4590</v>
      </c>
      <c r="M1032" s="155">
        <v>17.5</v>
      </c>
      <c r="N1032" s="154">
        <v>4790</v>
      </c>
      <c r="O1032" s="154">
        <v>3951.7</v>
      </c>
    </row>
    <row r="1033" spans="2:15" ht="12.75" hidden="1" customHeight="1" outlineLevel="1" x14ac:dyDescent="0.25">
      <c r="B1033" s="570" t="s">
        <v>511</v>
      </c>
      <c r="C1033" s="570"/>
      <c r="D1033" s="570"/>
      <c r="E1033" s="570"/>
      <c r="F1033" s="570"/>
      <c r="G1033" s="570"/>
      <c r="H1033" s="570"/>
      <c r="I1033" s="570"/>
      <c r="J1033" s="570"/>
      <c r="K1033" s="156"/>
      <c r="L1033" s="156"/>
      <c r="M1033" s="156"/>
      <c r="N1033" s="154">
        <v>4790</v>
      </c>
      <c r="O1033" s="154">
        <v>3951.7</v>
      </c>
    </row>
    <row r="1034" spans="2:15" ht="36.75" customHeight="1" collapsed="1" x14ac:dyDescent="0.25">
      <c r="B1034" s="151" t="s">
        <v>801</v>
      </c>
      <c r="C1034" s="152">
        <v>320</v>
      </c>
      <c r="D1034" s="153">
        <v>95</v>
      </c>
      <c r="E1034" s="151" t="s">
        <v>78</v>
      </c>
      <c r="F1034" s="151" t="s">
        <v>311</v>
      </c>
      <c r="G1034" s="151" t="s">
        <v>315</v>
      </c>
      <c r="H1034" s="151" t="s">
        <v>523</v>
      </c>
      <c r="I1034" s="151" t="s">
        <v>782</v>
      </c>
      <c r="J1034" s="151" t="s">
        <v>82</v>
      </c>
      <c r="K1034" s="154">
        <v>28720</v>
      </c>
      <c r="L1034" s="154">
        <v>14930</v>
      </c>
      <c r="M1034" s="155">
        <v>8.5</v>
      </c>
      <c r="N1034" s="154">
        <v>13790</v>
      </c>
      <c r="O1034" s="154">
        <v>12617.8</v>
      </c>
    </row>
    <row r="1035" spans="2:15" ht="12.75" hidden="1" customHeight="1" outlineLevel="1" x14ac:dyDescent="0.25">
      <c r="B1035" s="570" t="s">
        <v>550</v>
      </c>
      <c r="C1035" s="570"/>
      <c r="D1035" s="570"/>
      <c r="E1035" s="570"/>
      <c r="F1035" s="570"/>
      <c r="G1035" s="570"/>
      <c r="H1035" s="570"/>
      <c r="I1035" s="570"/>
      <c r="J1035" s="570"/>
      <c r="K1035" s="156"/>
      <c r="L1035" s="156"/>
      <c r="M1035" s="156"/>
      <c r="N1035" s="154">
        <v>13790</v>
      </c>
      <c r="O1035" s="154">
        <v>12617.8</v>
      </c>
    </row>
    <row r="1036" spans="2:15" ht="36.75" customHeight="1" collapsed="1" x14ac:dyDescent="0.25">
      <c r="B1036" s="151" t="s">
        <v>807</v>
      </c>
      <c r="C1036" s="152">
        <v>325</v>
      </c>
      <c r="D1036" s="153">
        <v>98</v>
      </c>
      <c r="E1036" s="151" t="s">
        <v>78</v>
      </c>
      <c r="F1036" s="151" t="s">
        <v>737</v>
      </c>
      <c r="G1036" s="151" t="s">
        <v>738</v>
      </c>
      <c r="H1036" s="151" t="s">
        <v>796</v>
      </c>
      <c r="I1036" s="151" t="s">
        <v>805</v>
      </c>
      <c r="J1036" s="151" t="s">
        <v>82</v>
      </c>
      <c r="K1036" s="154">
        <v>9220</v>
      </c>
      <c r="L1036" s="154">
        <v>4580</v>
      </c>
      <c r="M1036" s="155">
        <v>14.5</v>
      </c>
      <c r="N1036" s="154">
        <v>4640</v>
      </c>
      <c r="O1036" s="154">
        <v>3967.2</v>
      </c>
    </row>
    <row r="1037" spans="2:15" ht="12.75" hidden="1" customHeight="1" outlineLevel="1" x14ac:dyDescent="0.25">
      <c r="B1037" s="570" t="s">
        <v>511</v>
      </c>
      <c r="C1037" s="570"/>
      <c r="D1037" s="570"/>
      <c r="E1037" s="570"/>
      <c r="F1037" s="570"/>
      <c r="G1037" s="570"/>
      <c r="H1037" s="570"/>
      <c r="I1037" s="570"/>
      <c r="J1037" s="570"/>
      <c r="K1037" s="156"/>
      <c r="L1037" s="156"/>
      <c r="M1037" s="156"/>
      <c r="N1037" s="154">
        <v>4640</v>
      </c>
      <c r="O1037" s="154">
        <v>3967.2</v>
      </c>
    </row>
    <row r="1038" spans="2:15" ht="36.75" customHeight="1" collapsed="1" x14ac:dyDescent="0.25">
      <c r="B1038" s="151" t="s">
        <v>802</v>
      </c>
      <c r="C1038" s="152">
        <v>322</v>
      </c>
      <c r="D1038" s="153">
        <v>97</v>
      </c>
      <c r="E1038" s="151" t="s">
        <v>78</v>
      </c>
      <c r="F1038" s="151" t="s">
        <v>133</v>
      </c>
      <c r="G1038" s="151" t="s">
        <v>137</v>
      </c>
      <c r="H1038" s="151" t="s">
        <v>754</v>
      </c>
      <c r="I1038" s="151" t="s">
        <v>21</v>
      </c>
      <c r="J1038" s="151" t="s">
        <v>82</v>
      </c>
      <c r="K1038" s="154">
        <v>29060</v>
      </c>
      <c r="L1038" s="154">
        <v>22220</v>
      </c>
      <c r="M1038" s="155">
        <v>8.5</v>
      </c>
      <c r="N1038" s="154">
        <v>6840</v>
      </c>
      <c r="O1038" s="154">
        <v>6258.6</v>
      </c>
    </row>
    <row r="1039" spans="2:15" ht="12.75" hidden="1" customHeight="1" outlineLevel="1" x14ac:dyDescent="0.25">
      <c r="B1039" s="570" t="s">
        <v>550</v>
      </c>
      <c r="C1039" s="570"/>
      <c r="D1039" s="570"/>
      <c r="E1039" s="570"/>
      <c r="F1039" s="570"/>
      <c r="G1039" s="570"/>
      <c r="H1039" s="570"/>
      <c r="I1039" s="570"/>
      <c r="J1039" s="570"/>
      <c r="K1039" s="156"/>
      <c r="L1039" s="156"/>
      <c r="M1039" s="156"/>
      <c r="N1039" s="154">
        <v>6840</v>
      </c>
      <c r="O1039" s="154">
        <v>6258.6</v>
      </c>
    </row>
    <row r="1040" spans="2:15" ht="36.75" customHeight="1" collapsed="1" x14ac:dyDescent="0.25">
      <c r="B1040" s="151" t="s">
        <v>803</v>
      </c>
      <c r="C1040" s="152">
        <v>324</v>
      </c>
      <c r="D1040" s="153">
        <v>97</v>
      </c>
      <c r="E1040" s="151" t="s">
        <v>78</v>
      </c>
      <c r="F1040" s="151" t="s">
        <v>133</v>
      </c>
      <c r="G1040" s="151" t="s">
        <v>137</v>
      </c>
      <c r="H1040" s="151" t="s">
        <v>523</v>
      </c>
      <c r="I1040" s="151" t="s">
        <v>782</v>
      </c>
      <c r="J1040" s="151" t="s">
        <v>82</v>
      </c>
      <c r="K1040" s="154">
        <v>22220</v>
      </c>
      <c r="L1040" s="154">
        <v>14960</v>
      </c>
      <c r="M1040" s="155">
        <v>10</v>
      </c>
      <c r="N1040" s="154">
        <v>7260</v>
      </c>
      <c r="O1040" s="154">
        <v>6534</v>
      </c>
    </row>
    <row r="1041" spans="2:15" ht="12.75" hidden="1" customHeight="1" outlineLevel="1" x14ac:dyDescent="0.25">
      <c r="B1041" s="570" t="s">
        <v>550</v>
      </c>
      <c r="C1041" s="570"/>
      <c r="D1041" s="570"/>
      <c r="E1041" s="570"/>
      <c r="F1041" s="570"/>
      <c r="G1041" s="570"/>
      <c r="H1041" s="570"/>
      <c r="I1041" s="570"/>
      <c r="J1041" s="570"/>
      <c r="K1041" s="156"/>
      <c r="L1041" s="156"/>
      <c r="M1041" s="156"/>
      <c r="N1041" s="154">
        <v>7260</v>
      </c>
      <c r="O1041" s="154">
        <v>6534</v>
      </c>
    </row>
    <row r="1042" spans="2:15" ht="36.75" customHeight="1" collapsed="1" x14ac:dyDescent="0.25">
      <c r="B1042" s="151" t="s">
        <v>804</v>
      </c>
      <c r="C1042" s="152">
        <v>323</v>
      </c>
      <c r="D1042" s="153">
        <v>96</v>
      </c>
      <c r="E1042" s="151" t="s">
        <v>78</v>
      </c>
      <c r="F1042" s="151" t="s">
        <v>239</v>
      </c>
      <c r="G1042" s="151" t="s">
        <v>243</v>
      </c>
      <c r="H1042" s="151" t="s">
        <v>796</v>
      </c>
      <c r="I1042" s="151" t="s">
        <v>805</v>
      </c>
      <c r="J1042" s="151" t="s">
        <v>82</v>
      </c>
      <c r="K1042" s="154">
        <v>29740</v>
      </c>
      <c r="L1042" s="154">
        <v>22640</v>
      </c>
      <c r="M1042" s="155">
        <v>14.5</v>
      </c>
      <c r="N1042" s="154">
        <v>7100</v>
      </c>
      <c r="O1042" s="154">
        <v>6070.5</v>
      </c>
    </row>
    <row r="1043" spans="2:15" ht="12.75" hidden="1" customHeight="1" outlineLevel="1" x14ac:dyDescent="0.25">
      <c r="B1043" s="570" t="s">
        <v>511</v>
      </c>
      <c r="C1043" s="570"/>
      <c r="D1043" s="570"/>
      <c r="E1043" s="570"/>
      <c r="F1043" s="570"/>
      <c r="G1043" s="570"/>
      <c r="H1043" s="570"/>
      <c r="I1043" s="570"/>
      <c r="J1043" s="570"/>
      <c r="K1043" s="156"/>
      <c r="L1043" s="156"/>
      <c r="M1043" s="156"/>
      <c r="N1043" s="154">
        <v>7100</v>
      </c>
      <c r="O1043" s="154">
        <v>6070.5</v>
      </c>
    </row>
    <row r="1044" spans="2:15" ht="36.75" customHeight="1" collapsed="1" x14ac:dyDescent="0.25">
      <c r="B1044" s="151" t="s">
        <v>806</v>
      </c>
      <c r="C1044" s="152">
        <v>326</v>
      </c>
      <c r="D1044" s="153">
        <v>96</v>
      </c>
      <c r="E1044" s="151" t="s">
        <v>78</v>
      </c>
      <c r="F1044" s="151" t="s">
        <v>239</v>
      </c>
      <c r="G1044" s="151" t="s">
        <v>243</v>
      </c>
      <c r="H1044" s="151" t="s">
        <v>796</v>
      </c>
      <c r="I1044" s="151" t="s">
        <v>782</v>
      </c>
      <c r="J1044" s="151" t="s">
        <v>82</v>
      </c>
      <c r="K1044" s="154">
        <v>22640</v>
      </c>
      <c r="L1044" s="154">
        <v>14580</v>
      </c>
      <c r="M1044" s="155">
        <v>14.5</v>
      </c>
      <c r="N1044" s="154">
        <v>8060</v>
      </c>
      <c r="O1044" s="154">
        <v>6891.3</v>
      </c>
    </row>
    <row r="1045" spans="2:15" ht="12.75" hidden="1" customHeight="1" outlineLevel="1" x14ac:dyDescent="0.25">
      <c r="B1045" s="570" t="s">
        <v>511</v>
      </c>
      <c r="C1045" s="570"/>
      <c r="D1045" s="570"/>
      <c r="E1045" s="570"/>
      <c r="F1045" s="570"/>
      <c r="G1045" s="570"/>
      <c r="H1045" s="570"/>
      <c r="I1045" s="570"/>
      <c r="J1045" s="570"/>
      <c r="K1045" s="156"/>
      <c r="L1045" s="156"/>
      <c r="M1045" s="156"/>
      <c r="N1045" s="154">
        <v>8060</v>
      </c>
      <c r="O1045" s="154">
        <v>6891.3</v>
      </c>
    </row>
    <row r="1046" spans="2:15" ht="36.75" customHeight="1" collapsed="1" x14ac:dyDescent="0.25">
      <c r="B1046" s="151" t="s">
        <v>808</v>
      </c>
      <c r="C1046" s="152">
        <v>327</v>
      </c>
      <c r="D1046" s="153">
        <v>99</v>
      </c>
      <c r="E1046" s="151" t="s">
        <v>78</v>
      </c>
      <c r="F1046" s="151" t="s">
        <v>127</v>
      </c>
      <c r="G1046" s="151" t="s">
        <v>131</v>
      </c>
      <c r="H1046" s="151" t="s">
        <v>754</v>
      </c>
      <c r="I1046" s="151" t="s">
        <v>21</v>
      </c>
      <c r="J1046" s="151" t="s">
        <v>82</v>
      </c>
      <c r="K1046" s="154">
        <v>27940</v>
      </c>
      <c r="L1046" s="154">
        <v>14300</v>
      </c>
      <c r="M1046" s="155">
        <v>11.5</v>
      </c>
      <c r="N1046" s="154">
        <v>13640</v>
      </c>
      <c r="O1046" s="154">
        <v>12071.4</v>
      </c>
    </row>
    <row r="1047" spans="2:15" ht="12.75" hidden="1" customHeight="1" outlineLevel="1" x14ac:dyDescent="0.25">
      <c r="B1047" s="570" t="s">
        <v>550</v>
      </c>
      <c r="C1047" s="570"/>
      <c r="D1047" s="570"/>
      <c r="E1047" s="570"/>
      <c r="F1047" s="570"/>
      <c r="G1047" s="570"/>
      <c r="H1047" s="570"/>
      <c r="I1047" s="570"/>
      <c r="J1047" s="570"/>
      <c r="K1047" s="156"/>
      <c r="L1047" s="156"/>
      <c r="M1047" s="156"/>
      <c r="N1047" s="154">
        <v>13640</v>
      </c>
      <c r="O1047" s="154">
        <v>12071.4</v>
      </c>
    </row>
    <row r="1048" spans="2:15" ht="36.75" customHeight="1" collapsed="1" x14ac:dyDescent="0.25">
      <c r="B1048" s="151" t="s">
        <v>809</v>
      </c>
      <c r="C1048" s="152">
        <v>328</v>
      </c>
      <c r="D1048" s="153">
        <v>100</v>
      </c>
      <c r="E1048" s="151" t="s">
        <v>78</v>
      </c>
      <c r="F1048" s="151" t="s">
        <v>311</v>
      </c>
      <c r="G1048" s="151" t="s">
        <v>315</v>
      </c>
      <c r="H1048" s="151" t="s">
        <v>754</v>
      </c>
      <c r="I1048" s="151" t="s">
        <v>21</v>
      </c>
      <c r="J1048" s="151" t="s">
        <v>82</v>
      </c>
      <c r="K1048" s="154">
        <v>28390</v>
      </c>
      <c r="L1048" s="154">
        <v>14920</v>
      </c>
      <c r="M1048" s="155">
        <v>14.5</v>
      </c>
      <c r="N1048" s="154">
        <v>13470</v>
      </c>
      <c r="O1048" s="154">
        <v>11516.8</v>
      </c>
    </row>
    <row r="1049" spans="2:15" ht="12.75" hidden="1" customHeight="1" outlineLevel="1" x14ac:dyDescent="0.25">
      <c r="B1049" s="570" t="s">
        <v>550</v>
      </c>
      <c r="C1049" s="570"/>
      <c r="D1049" s="570"/>
      <c r="E1049" s="570"/>
      <c r="F1049" s="570"/>
      <c r="G1049" s="570"/>
      <c r="H1049" s="570"/>
      <c r="I1049" s="570"/>
      <c r="J1049" s="570"/>
      <c r="K1049" s="156"/>
      <c r="L1049" s="156"/>
      <c r="M1049" s="156"/>
      <c r="N1049" s="154">
        <v>13470</v>
      </c>
      <c r="O1049" s="154">
        <v>11516.8</v>
      </c>
    </row>
    <row r="1050" spans="2:15" ht="36.75" customHeight="1" collapsed="1" x14ac:dyDescent="0.25">
      <c r="B1050" s="151" t="s">
        <v>810</v>
      </c>
      <c r="C1050" s="152">
        <v>329</v>
      </c>
      <c r="D1050" s="153">
        <v>101</v>
      </c>
      <c r="E1050" s="151" t="s">
        <v>78</v>
      </c>
      <c r="F1050" s="151" t="s">
        <v>239</v>
      </c>
      <c r="G1050" s="151" t="s">
        <v>243</v>
      </c>
      <c r="H1050" s="151" t="s">
        <v>754</v>
      </c>
      <c r="I1050" s="151" t="s">
        <v>21</v>
      </c>
      <c r="J1050" s="151" t="s">
        <v>82</v>
      </c>
      <c r="K1050" s="154">
        <v>28980</v>
      </c>
      <c r="L1050" s="154">
        <v>20040</v>
      </c>
      <c r="M1050" s="155">
        <v>26.5</v>
      </c>
      <c r="N1050" s="154">
        <v>8940</v>
      </c>
      <c r="O1050" s="154">
        <v>6570.9</v>
      </c>
    </row>
    <row r="1051" spans="2:15" ht="12.75" hidden="1" customHeight="1" outlineLevel="1" x14ac:dyDescent="0.25">
      <c r="B1051" s="570" t="s">
        <v>511</v>
      </c>
      <c r="C1051" s="570"/>
      <c r="D1051" s="570"/>
      <c r="E1051" s="570"/>
      <c r="F1051" s="570"/>
      <c r="G1051" s="570"/>
      <c r="H1051" s="570"/>
      <c r="I1051" s="570"/>
      <c r="J1051" s="570"/>
      <c r="K1051" s="156"/>
      <c r="L1051" s="156"/>
      <c r="M1051" s="156"/>
      <c r="N1051" s="154">
        <v>8940</v>
      </c>
      <c r="O1051" s="154">
        <v>6570.9</v>
      </c>
    </row>
    <row r="1052" spans="2:15" ht="36.75" customHeight="1" collapsed="1" x14ac:dyDescent="0.25">
      <c r="B1052" s="151" t="s">
        <v>811</v>
      </c>
      <c r="C1052" s="152">
        <v>330</v>
      </c>
      <c r="D1052" s="153">
        <v>101</v>
      </c>
      <c r="E1052" s="151" t="s">
        <v>78</v>
      </c>
      <c r="F1052" s="151" t="s">
        <v>239</v>
      </c>
      <c r="G1052" s="151" t="s">
        <v>243</v>
      </c>
      <c r="H1052" s="151" t="s">
        <v>796</v>
      </c>
      <c r="I1052" s="151" t="s">
        <v>805</v>
      </c>
      <c r="J1052" s="151" t="s">
        <v>82</v>
      </c>
      <c r="K1052" s="154">
        <v>20040</v>
      </c>
      <c r="L1052" s="154">
        <v>14560</v>
      </c>
      <c r="M1052" s="155">
        <v>15.5</v>
      </c>
      <c r="N1052" s="154">
        <v>5480</v>
      </c>
      <c r="O1052" s="154">
        <v>4630.6000000000004</v>
      </c>
    </row>
    <row r="1053" spans="2:15" ht="12.75" hidden="1" customHeight="1" outlineLevel="1" x14ac:dyDescent="0.25">
      <c r="B1053" s="570" t="s">
        <v>511</v>
      </c>
      <c r="C1053" s="570"/>
      <c r="D1053" s="570"/>
      <c r="E1053" s="570"/>
      <c r="F1053" s="570"/>
      <c r="G1053" s="570"/>
      <c r="H1053" s="570"/>
      <c r="I1053" s="570"/>
      <c r="J1053" s="570"/>
      <c r="K1053" s="156"/>
      <c r="L1053" s="156"/>
      <c r="M1053" s="156"/>
      <c r="N1053" s="154">
        <v>5480</v>
      </c>
      <c r="O1053" s="154">
        <v>4630.6000000000004</v>
      </c>
    </row>
    <row r="1054" spans="2:15" ht="36.75" customHeight="1" collapsed="1" x14ac:dyDescent="0.25">
      <c r="B1054" s="151" t="s">
        <v>812</v>
      </c>
      <c r="C1054" s="152">
        <v>331</v>
      </c>
      <c r="D1054" s="153">
        <v>102</v>
      </c>
      <c r="E1054" s="151" t="s">
        <v>78</v>
      </c>
      <c r="F1054" s="151" t="s">
        <v>133</v>
      </c>
      <c r="G1054" s="151" t="s">
        <v>137</v>
      </c>
      <c r="H1054" s="151" t="s">
        <v>754</v>
      </c>
      <c r="I1054" s="151" t="s">
        <v>21</v>
      </c>
      <c r="J1054" s="151" t="s">
        <v>82</v>
      </c>
      <c r="K1054" s="154">
        <v>29040</v>
      </c>
      <c r="L1054" s="154">
        <v>14960</v>
      </c>
      <c r="M1054" s="155">
        <v>27</v>
      </c>
      <c r="N1054" s="154">
        <v>14080</v>
      </c>
      <c r="O1054" s="154">
        <v>10278.4</v>
      </c>
    </row>
    <row r="1055" spans="2:15" ht="12.75" hidden="1" customHeight="1" outlineLevel="1" x14ac:dyDescent="0.25">
      <c r="B1055" s="570" t="s">
        <v>511</v>
      </c>
      <c r="C1055" s="570"/>
      <c r="D1055" s="570"/>
      <c r="E1055" s="570"/>
      <c r="F1055" s="570"/>
      <c r="G1055" s="570"/>
      <c r="H1055" s="570"/>
      <c r="I1055" s="570"/>
      <c r="J1055" s="570"/>
      <c r="K1055" s="156"/>
      <c r="L1055" s="156"/>
      <c r="M1055" s="156"/>
      <c r="N1055" s="154">
        <v>14080</v>
      </c>
      <c r="O1055" s="154">
        <v>10278.4</v>
      </c>
    </row>
    <row r="1056" spans="2:15" ht="36.75" customHeight="1" collapsed="1" x14ac:dyDescent="0.25">
      <c r="B1056" s="151" t="s">
        <v>813</v>
      </c>
      <c r="C1056" s="152">
        <v>332</v>
      </c>
      <c r="D1056" s="153">
        <v>103</v>
      </c>
      <c r="E1056" s="151" t="s">
        <v>78</v>
      </c>
      <c r="F1056" s="151" t="s">
        <v>737</v>
      </c>
      <c r="G1056" s="151" t="s">
        <v>738</v>
      </c>
      <c r="H1056" s="151" t="s">
        <v>754</v>
      </c>
      <c r="I1056" s="151" t="s">
        <v>21</v>
      </c>
      <c r="J1056" s="151" t="s">
        <v>82</v>
      </c>
      <c r="K1056" s="154">
        <v>7930</v>
      </c>
      <c r="L1056" s="154">
        <v>4570</v>
      </c>
      <c r="M1056" s="155">
        <v>11.5</v>
      </c>
      <c r="N1056" s="154">
        <v>3360</v>
      </c>
      <c r="O1056" s="154">
        <v>2973.6</v>
      </c>
    </row>
    <row r="1057" spans="2:15" ht="12.75" hidden="1" customHeight="1" outlineLevel="1" x14ac:dyDescent="0.25">
      <c r="B1057" s="570" t="s">
        <v>511</v>
      </c>
      <c r="C1057" s="570"/>
      <c r="D1057" s="570"/>
      <c r="E1057" s="570"/>
      <c r="F1057" s="570"/>
      <c r="G1057" s="570"/>
      <c r="H1057" s="570"/>
      <c r="I1057" s="570"/>
      <c r="J1057" s="570"/>
      <c r="K1057" s="156"/>
      <c r="L1057" s="156"/>
      <c r="M1057" s="156"/>
      <c r="N1057" s="154">
        <v>3360</v>
      </c>
      <c r="O1057" s="154">
        <v>2973.6</v>
      </c>
    </row>
    <row r="1058" spans="2:15" ht="36.75" customHeight="1" collapsed="1" x14ac:dyDescent="0.25">
      <c r="B1058" s="151" t="s">
        <v>814</v>
      </c>
      <c r="C1058" s="152">
        <v>333</v>
      </c>
      <c r="D1058" s="153">
        <v>104</v>
      </c>
      <c r="E1058" s="151" t="s">
        <v>78</v>
      </c>
      <c r="F1058" s="151" t="s">
        <v>127</v>
      </c>
      <c r="G1058" s="151" t="s">
        <v>131</v>
      </c>
      <c r="H1058" s="151" t="s">
        <v>754</v>
      </c>
      <c r="I1058" s="151" t="s">
        <v>21</v>
      </c>
      <c r="J1058" s="151" t="s">
        <v>82</v>
      </c>
      <c r="K1058" s="154">
        <v>29700</v>
      </c>
      <c r="L1058" s="154">
        <v>14290</v>
      </c>
      <c r="M1058" s="155">
        <v>13</v>
      </c>
      <c r="N1058" s="154">
        <v>15410</v>
      </c>
      <c r="O1058" s="154">
        <v>13406.7</v>
      </c>
    </row>
    <row r="1059" spans="2:15" ht="12.75" hidden="1" customHeight="1" outlineLevel="1" x14ac:dyDescent="0.25">
      <c r="B1059" s="570" t="s">
        <v>550</v>
      </c>
      <c r="C1059" s="570"/>
      <c r="D1059" s="570"/>
      <c r="E1059" s="570"/>
      <c r="F1059" s="570"/>
      <c r="G1059" s="570"/>
      <c r="H1059" s="570"/>
      <c r="I1059" s="570"/>
      <c r="J1059" s="570"/>
      <c r="K1059" s="156"/>
      <c r="L1059" s="156"/>
      <c r="M1059" s="156"/>
      <c r="N1059" s="154">
        <v>15410</v>
      </c>
      <c r="O1059" s="154">
        <v>13406.7</v>
      </c>
    </row>
    <row r="1060" spans="2:15" ht="36.75" customHeight="1" collapsed="1" x14ac:dyDescent="0.25">
      <c r="B1060" s="151" t="s">
        <v>834</v>
      </c>
      <c r="C1060" s="152">
        <v>336</v>
      </c>
      <c r="D1060" s="153">
        <v>105</v>
      </c>
      <c r="E1060" s="151" t="s">
        <v>78</v>
      </c>
      <c r="F1060" s="151" t="s">
        <v>212</v>
      </c>
      <c r="G1060" s="151" t="s">
        <v>216</v>
      </c>
      <c r="H1060" s="151" t="s">
        <v>849</v>
      </c>
      <c r="I1060" s="151" t="s">
        <v>524</v>
      </c>
      <c r="J1060" s="151" t="s">
        <v>82</v>
      </c>
      <c r="K1060" s="154">
        <v>22920</v>
      </c>
      <c r="L1060" s="154">
        <v>13920</v>
      </c>
      <c r="M1060" s="155">
        <v>12</v>
      </c>
      <c r="N1060" s="154">
        <v>9000</v>
      </c>
      <c r="O1060" s="154">
        <v>7920</v>
      </c>
    </row>
    <row r="1061" spans="2:15" ht="12.75" hidden="1" customHeight="1" outlineLevel="1" x14ac:dyDescent="0.25">
      <c r="B1061" s="570" t="s">
        <v>833</v>
      </c>
      <c r="C1061" s="570"/>
      <c r="D1061" s="570"/>
      <c r="E1061" s="570"/>
      <c r="F1061" s="570"/>
      <c r="G1061" s="570"/>
      <c r="H1061" s="570"/>
      <c r="I1061" s="570"/>
      <c r="J1061" s="570"/>
      <c r="K1061" s="156"/>
      <c r="L1061" s="156"/>
      <c r="M1061" s="156"/>
      <c r="N1061" s="154">
        <v>9000</v>
      </c>
      <c r="O1061" s="154">
        <v>7920</v>
      </c>
    </row>
    <row r="1062" spans="2:15" ht="36.75" customHeight="1" collapsed="1" x14ac:dyDescent="0.25">
      <c r="B1062" s="151" t="s">
        <v>832</v>
      </c>
      <c r="C1062" s="152">
        <v>338</v>
      </c>
      <c r="D1062" s="153">
        <v>106</v>
      </c>
      <c r="E1062" s="151" t="s">
        <v>78</v>
      </c>
      <c r="F1062" s="151" t="s">
        <v>121</v>
      </c>
      <c r="G1062" s="151" t="s">
        <v>125</v>
      </c>
      <c r="H1062" s="151" t="s">
        <v>754</v>
      </c>
      <c r="I1062" s="151" t="s">
        <v>21</v>
      </c>
      <c r="J1062" s="151" t="s">
        <v>82</v>
      </c>
      <c r="K1062" s="154">
        <v>27980</v>
      </c>
      <c r="L1062" s="154">
        <v>14750</v>
      </c>
      <c r="M1062" s="155">
        <v>16</v>
      </c>
      <c r="N1062" s="154">
        <v>13230</v>
      </c>
      <c r="O1062" s="154">
        <v>11113.2</v>
      </c>
    </row>
    <row r="1063" spans="2:15" ht="12.75" hidden="1" customHeight="1" outlineLevel="1" x14ac:dyDescent="0.25">
      <c r="B1063" s="570" t="s">
        <v>550</v>
      </c>
      <c r="C1063" s="570"/>
      <c r="D1063" s="570"/>
      <c r="E1063" s="570"/>
      <c r="F1063" s="570"/>
      <c r="G1063" s="570"/>
      <c r="H1063" s="570"/>
      <c r="I1063" s="570"/>
      <c r="J1063" s="570"/>
      <c r="K1063" s="156"/>
      <c r="L1063" s="156"/>
      <c r="M1063" s="156"/>
      <c r="N1063" s="154">
        <v>13230</v>
      </c>
      <c r="O1063" s="154">
        <v>11113.2</v>
      </c>
    </row>
    <row r="1064" spans="2:15" ht="36.75" customHeight="1" collapsed="1" x14ac:dyDescent="0.25">
      <c r="B1064" s="151" t="s">
        <v>831</v>
      </c>
      <c r="C1064" s="152">
        <v>339</v>
      </c>
      <c r="D1064" s="153">
        <v>107</v>
      </c>
      <c r="E1064" s="151" t="s">
        <v>78</v>
      </c>
      <c r="F1064" s="151" t="s">
        <v>79</v>
      </c>
      <c r="G1064" s="151" t="s">
        <v>850</v>
      </c>
      <c r="H1064" s="151" t="s">
        <v>849</v>
      </c>
      <c r="I1064" s="151" t="s">
        <v>524</v>
      </c>
      <c r="J1064" s="151" t="s">
        <v>82</v>
      </c>
      <c r="K1064" s="154">
        <v>23280</v>
      </c>
      <c r="L1064" s="154">
        <v>14180</v>
      </c>
      <c r="M1064" s="155">
        <v>14.5</v>
      </c>
      <c r="N1064" s="154">
        <v>9100</v>
      </c>
      <c r="O1064" s="154">
        <v>7780.5</v>
      </c>
    </row>
    <row r="1065" spans="2:15" ht="12.75" hidden="1" customHeight="1" outlineLevel="1" x14ac:dyDescent="0.25">
      <c r="B1065" s="570" t="s">
        <v>550</v>
      </c>
      <c r="C1065" s="570"/>
      <c r="D1065" s="570"/>
      <c r="E1065" s="570"/>
      <c r="F1065" s="570"/>
      <c r="G1065" s="570"/>
      <c r="H1065" s="570"/>
      <c r="I1065" s="570"/>
      <c r="J1065" s="570"/>
      <c r="K1065" s="156"/>
      <c r="L1065" s="156"/>
      <c r="M1065" s="156"/>
      <c r="N1065" s="154">
        <v>9100</v>
      </c>
      <c r="O1065" s="154">
        <v>7780.5</v>
      </c>
    </row>
    <row r="1066" spans="2:15" ht="36.75" customHeight="1" collapsed="1" x14ac:dyDescent="0.25">
      <c r="B1066" s="151" t="s">
        <v>851</v>
      </c>
      <c r="C1066" s="152">
        <v>340</v>
      </c>
      <c r="D1066" s="153">
        <v>108</v>
      </c>
      <c r="E1066" s="151" t="s">
        <v>78</v>
      </c>
      <c r="F1066" s="151" t="s">
        <v>762</v>
      </c>
      <c r="G1066" s="151" t="s">
        <v>763</v>
      </c>
      <c r="H1066" s="151" t="s">
        <v>754</v>
      </c>
      <c r="I1066" s="151" t="s">
        <v>21</v>
      </c>
      <c r="J1066" s="151" t="s">
        <v>82</v>
      </c>
      <c r="K1066" s="154">
        <v>9270</v>
      </c>
      <c r="L1066" s="154">
        <v>4600</v>
      </c>
      <c r="M1066" s="155">
        <v>20.5</v>
      </c>
      <c r="N1066" s="154">
        <v>4670</v>
      </c>
      <c r="O1066" s="154">
        <v>3712.6</v>
      </c>
    </row>
    <row r="1067" spans="2:15" ht="12.75" hidden="1" customHeight="1" outlineLevel="1" x14ac:dyDescent="0.25">
      <c r="B1067" s="570" t="s">
        <v>550</v>
      </c>
      <c r="C1067" s="570"/>
      <c r="D1067" s="570"/>
      <c r="E1067" s="570"/>
      <c r="F1067" s="570"/>
      <c r="G1067" s="570"/>
      <c r="H1067" s="570"/>
      <c r="I1067" s="570"/>
      <c r="J1067" s="570"/>
      <c r="K1067" s="156"/>
      <c r="L1067" s="156"/>
      <c r="M1067" s="156"/>
      <c r="N1067" s="154">
        <v>4670</v>
      </c>
      <c r="O1067" s="154">
        <v>3712.6</v>
      </c>
    </row>
    <row r="1068" spans="2:15" ht="36.75" customHeight="1" collapsed="1" x14ac:dyDescent="0.25">
      <c r="B1068" s="151" t="s">
        <v>852</v>
      </c>
      <c r="C1068" s="152">
        <v>341</v>
      </c>
      <c r="D1068" s="153">
        <v>109</v>
      </c>
      <c r="E1068" s="151" t="s">
        <v>78</v>
      </c>
      <c r="F1068" s="151" t="s">
        <v>212</v>
      </c>
      <c r="G1068" s="151" t="s">
        <v>216</v>
      </c>
      <c r="H1068" s="151" t="s">
        <v>849</v>
      </c>
      <c r="I1068" s="151" t="s">
        <v>524</v>
      </c>
      <c r="J1068" s="151" t="s">
        <v>82</v>
      </c>
      <c r="K1068" s="154">
        <v>22650</v>
      </c>
      <c r="L1068" s="154">
        <v>13900</v>
      </c>
      <c r="M1068" s="155">
        <v>15.5</v>
      </c>
      <c r="N1068" s="154">
        <v>8750</v>
      </c>
      <c r="O1068" s="154">
        <v>7393.7</v>
      </c>
    </row>
    <row r="1069" spans="2:15" ht="12.75" hidden="1" customHeight="1" outlineLevel="1" x14ac:dyDescent="0.25">
      <c r="B1069" s="570" t="s">
        <v>833</v>
      </c>
      <c r="C1069" s="570"/>
      <c r="D1069" s="570"/>
      <c r="E1069" s="570"/>
      <c r="F1069" s="570"/>
      <c r="G1069" s="570"/>
      <c r="H1069" s="570"/>
      <c r="I1069" s="570"/>
      <c r="J1069" s="570"/>
      <c r="K1069" s="156"/>
      <c r="L1069" s="156"/>
      <c r="M1069" s="156"/>
      <c r="N1069" s="154">
        <v>8750</v>
      </c>
      <c r="O1069" s="154">
        <v>7393.7</v>
      </c>
    </row>
    <row r="1070" spans="2:15" ht="36.75" customHeight="1" collapsed="1" x14ac:dyDescent="0.25">
      <c r="B1070" s="151" t="s">
        <v>859</v>
      </c>
      <c r="C1070" s="152">
        <v>343</v>
      </c>
      <c r="D1070" s="153">
        <v>110</v>
      </c>
      <c r="E1070" s="151" t="s">
        <v>78</v>
      </c>
      <c r="F1070" s="151" t="s">
        <v>329</v>
      </c>
      <c r="G1070" s="151" t="s">
        <v>333</v>
      </c>
      <c r="H1070" s="151" t="s">
        <v>754</v>
      </c>
      <c r="I1070" s="151" t="s">
        <v>21</v>
      </c>
      <c r="J1070" s="151" t="s">
        <v>82</v>
      </c>
      <c r="K1070" s="154">
        <v>28400</v>
      </c>
      <c r="L1070" s="154">
        <v>14930</v>
      </c>
      <c r="M1070" s="155">
        <v>15.5</v>
      </c>
      <c r="N1070" s="154">
        <v>13470</v>
      </c>
      <c r="O1070" s="154">
        <v>11382.1</v>
      </c>
    </row>
    <row r="1071" spans="2:15" ht="12.75" hidden="1" customHeight="1" outlineLevel="1" x14ac:dyDescent="0.25">
      <c r="B1071" s="570" t="s">
        <v>550</v>
      </c>
      <c r="C1071" s="570"/>
      <c r="D1071" s="570"/>
      <c r="E1071" s="570"/>
      <c r="F1071" s="570"/>
      <c r="G1071" s="570"/>
      <c r="H1071" s="570"/>
      <c r="I1071" s="570"/>
      <c r="J1071" s="570"/>
      <c r="K1071" s="156"/>
      <c r="L1071" s="156"/>
      <c r="M1071" s="156"/>
      <c r="N1071" s="154">
        <v>13470</v>
      </c>
      <c r="O1071" s="154">
        <v>11382.1</v>
      </c>
    </row>
    <row r="1072" spans="2:15" ht="36.75" customHeight="1" collapsed="1" x14ac:dyDescent="0.25">
      <c r="B1072" s="151" t="s">
        <v>860</v>
      </c>
      <c r="C1072" s="152">
        <v>344</v>
      </c>
      <c r="D1072" s="153">
        <v>111</v>
      </c>
      <c r="E1072" s="151" t="s">
        <v>78</v>
      </c>
      <c r="F1072" s="151" t="s">
        <v>79</v>
      </c>
      <c r="G1072" s="151" t="s">
        <v>80</v>
      </c>
      <c r="H1072" s="151" t="s">
        <v>849</v>
      </c>
      <c r="I1072" s="151" t="s">
        <v>524</v>
      </c>
      <c r="J1072" s="151" t="s">
        <v>82</v>
      </c>
      <c r="K1072" s="154">
        <v>23630</v>
      </c>
      <c r="L1072" s="154">
        <v>14160</v>
      </c>
      <c r="M1072" s="155">
        <v>14.5</v>
      </c>
      <c r="N1072" s="154">
        <v>9470</v>
      </c>
      <c r="O1072" s="154">
        <v>8096.8</v>
      </c>
    </row>
    <row r="1073" spans="2:15" ht="12.75" hidden="1" customHeight="1" outlineLevel="1" x14ac:dyDescent="0.25">
      <c r="B1073" s="570" t="s">
        <v>550</v>
      </c>
      <c r="C1073" s="570"/>
      <c r="D1073" s="570"/>
      <c r="E1073" s="570"/>
      <c r="F1073" s="570"/>
      <c r="G1073" s="570"/>
      <c r="H1073" s="570"/>
      <c r="I1073" s="570"/>
      <c r="J1073" s="570"/>
      <c r="K1073" s="156"/>
      <c r="L1073" s="156"/>
      <c r="M1073" s="156"/>
      <c r="N1073" s="154">
        <v>9470</v>
      </c>
      <c r="O1073" s="154">
        <v>8096.8</v>
      </c>
    </row>
    <row r="1074" spans="2:15" ht="36.75" customHeight="1" collapsed="1" x14ac:dyDescent="0.25">
      <c r="B1074" s="151" t="s">
        <v>861</v>
      </c>
      <c r="C1074" s="152">
        <v>346</v>
      </c>
      <c r="D1074" s="153">
        <v>112</v>
      </c>
      <c r="E1074" s="151" t="s">
        <v>78</v>
      </c>
      <c r="F1074" s="151" t="s">
        <v>212</v>
      </c>
      <c r="G1074" s="151" t="s">
        <v>216</v>
      </c>
      <c r="H1074" s="151" t="s">
        <v>849</v>
      </c>
      <c r="I1074" s="151" t="s">
        <v>524</v>
      </c>
      <c r="J1074" s="151" t="s">
        <v>82</v>
      </c>
      <c r="K1074" s="154">
        <v>24450</v>
      </c>
      <c r="L1074" s="154">
        <v>13910</v>
      </c>
      <c r="M1074" s="155">
        <v>11.5</v>
      </c>
      <c r="N1074" s="154">
        <v>10540</v>
      </c>
      <c r="O1074" s="154">
        <v>9327.9</v>
      </c>
    </row>
    <row r="1075" spans="2:15" ht="12.75" hidden="1" customHeight="1" outlineLevel="1" x14ac:dyDescent="0.25">
      <c r="B1075" s="570" t="s">
        <v>833</v>
      </c>
      <c r="C1075" s="570"/>
      <c r="D1075" s="570"/>
      <c r="E1075" s="570"/>
      <c r="F1075" s="570"/>
      <c r="G1075" s="570"/>
      <c r="H1075" s="570"/>
      <c r="I1075" s="570"/>
      <c r="J1075" s="570"/>
      <c r="K1075" s="156"/>
      <c r="L1075" s="156"/>
      <c r="M1075" s="156"/>
      <c r="N1075" s="154">
        <v>10540</v>
      </c>
      <c r="O1075" s="154">
        <v>9327.9</v>
      </c>
    </row>
    <row r="1076" spans="2:15" ht="36.75" customHeight="1" collapsed="1" x14ac:dyDescent="0.25">
      <c r="B1076" s="151" t="s">
        <v>862</v>
      </c>
      <c r="C1076" s="152">
        <v>347</v>
      </c>
      <c r="D1076" s="153">
        <v>106</v>
      </c>
      <c r="E1076" s="151" t="s">
        <v>78</v>
      </c>
      <c r="F1076" s="151" t="s">
        <v>121</v>
      </c>
      <c r="G1076" s="151" t="s">
        <v>125</v>
      </c>
      <c r="H1076" s="151" t="s">
        <v>754</v>
      </c>
      <c r="I1076" s="151" t="s">
        <v>21</v>
      </c>
      <c r="J1076" s="151" t="s">
        <v>82</v>
      </c>
      <c r="K1076" s="154">
        <v>28260</v>
      </c>
      <c r="L1076" s="154">
        <v>14720</v>
      </c>
      <c r="M1076" s="155">
        <v>18.5</v>
      </c>
      <c r="N1076" s="154">
        <v>13540</v>
      </c>
      <c r="O1076" s="154">
        <v>11035.1</v>
      </c>
    </row>
    <row r="1077" spans="2:15" ht="12.75" hidden="1" customHeight="1" outlineLevel="1" x14ac:dyDescent="0.25">
      <c r="B1077" s="570" t="s">
        <v>550</v>
      </c>
      <c r="C1077" s="570"/>
      <c r="D1077" s="570"/>
      <c r="E1077" s="570"/>
      <c r="F1077" s="570"/>
      <c r="G1077" s="570"/>
      <c r="H1077" s="570"/>
      <c r="I1077" s="570"/>
      <c r="J1077" s="570"/>
      <c r="K1077" s="156"/>
      <c r="L1077" s="156"/>
      <c r="M1077" s="156"/>
      <c r="N1077" s="154">
        <v>13540</v>
      </c>
      <c r="O1077" s="154">
        <v>11035.1</v>
      </c>
    </row>
    <row r="1078" spans="2:15" ht="36.75" customHeight="1" collapsed="1" x14ac:dyDescent="0.25">
      <c r="B1078" s="151" t="s">
        <v>868</v>
      </c>
      <c r="C1078" s="152">
        <v>348</v>
      </c>
      <c r="D1078" s="153">
        <v>114</v>
      </c>
      <c r="E1078" s="151" t="s">
        <v>78</v>
      </c>
      <c r="F1078" s="151" t="s">
        <v>1312</v>
      </c>
      <c r="G1078" s="151" t="s">
        <v>320</v>
      </c>
      <c r="H1078" s="151" t="s">
        <v>771</v>
      </c>
      <c r="I1078" s="151" t="s">
        <v>21</v>
      </c>
      <c r="J1078" s="151" t="s">
        <v>82</v>
      </c>
      <c r="K1078" s="154">
        <v>31620</v>
      </c>
      <c r="L1078" s="154">
        <v>14480</v>
      </c>
      <c r="M1078" s="155">
        <v>12</v>
      </c>
      <c r="N1078" s="154">
        <v>17140</v>
      </c>
      <c r="O1078" s="154">
        <v>15083.2</v>
      </c>
    </row>
    <row r="1079" spans="2:15" ht="12.75" hidden="1" customHeight="1" outlineLevel="1" x14ac:dyDescent="0.25">
      <c r="B1079" s="570" t="s">
        <v>550</v>
      </c>
      <c r="C1079" s="570"/>
      <c r="D1079" s="570"/>
      <c r="E1079" s="570"/>
      <c r="F1079" s="570"/>
      <c r="G1079" s="570"/>
      <c r="H1079" s="570"/>
      <c r="I1079" s="570"/>
      <c r="J1079" s="570"/>
      <c r="K1079" s="156"/>
      <c r="L1079" s="156"/>
      <c r="M1079" s="156"/>
      <c r="N1079" s="154">
        <v>17140</v>
      </c>
      <c r="O1079" s="154">
        <v>15083.2</v>
      </c>
    </row>
    <row r="1080" spans="2:15" ht="36.75" customHeight="1" collapsed="1" x14ac:dyDescent="0.25">
      <c r="B1080" s="151" t="s">
        <v>881</v>
      </c>
      <c r="C1080" s="152">
        <v>349</v>
      </c>
      <c r="D1080" s="153">
        <v>115</v>
      </c>
      <c r="E1080" s="151" t="s">
        <v>78</v>
      </c>
      <c r="F1080" s="151" t="s">
        <v>335</v>
      </c>
      <c r="G1080" s="151" t="s">
        <v>339</v>
      </c>
      <c r="H1080" s="151" t="s">
        <v>796</v>
      </c>
      <c r="I1080" s="151" t="s">
        <v>893</v>
      </c>
      <c r="J1080" s="151" t="s">
        <v>82</v>
      </c>
      <c r="K1080" s="154">
        <v>32670</v>
      </c>
      <c r="L1080" s="154">
        <v>14700</v>
      </c>
      <c r="M1080" s="155">
        <v>16</v>
      </c>
      <c r="N1080" s="154">
        <v>17970</v>
      </c>
      <c r="O1080" s="154">
        <v>15094.8</v>
      </c>
    </row>
    <row r="1081" spans="2:15" ht="12.75" hidden="1" customHeight="1" outlineLevel="1" x14ac:dyDescent="0.25">
      <c r="B1081" s="570" t="s">
        <v>511</v>
      </c>
      <c r="C1081" s="570"/>
      <c r="D1081" s="570"/>
      <c r="E1081" s="570"/>
      <c r="F1081" s="570"/>
      <c r="G1081" s="570"/>
      <c r="H1081" s="570"/>
      <c r="I1081" s="570"/>
      <c r="J1081" s="570"/>
      <c r="K1081" s="156"/>
      <c r="L1081" s="156"/>
      <c r="M1081" s="156"/>
      <c r="N1081" s="154">
        <v>17970</v>
      </c>
      <c r="O1081" s="154">
        <v>15094.8</v>
      </c>
    </row>
    <row r="1082" spans="2:15" ht="36.75" customHeight="1" collapsed="1" x14ac:dyDescent="0.25">
      <c r="B1082" s="151" t="s">
        <v>877</v>
      </c>
      <c r="C1082" s="152">
        <v>351</v>
      </c>
      <c r="D1082" s="153">
        <v>116</v>
      </c>
      <c r="E1082" s="151" t="s">
        <v>78</v>
      </c>
      <c r="F1082" s="151" t="s">
        <v>1312</v>
      </c>
      <c r="G1082" s="151" t="s">
        <v>320</v>
      </c>
      <c r="H1082" s="151" t="s">
        <v>771</v>
      </c>
      <c r="I1082" s="151" t="s">
        <v>21</v>
      </c>
      <c r="J1082" s="151" t="s">
        <v>82</v>
      </c>
      <c r="K1082" s="154">
        <v>24440</v>
      </c>
      <c r="L1082" s="154">
        <v>14460</v>
      </c>
      <c r="M1082" s="155">
        <v>8.5</v>
      </c>
      <c r="N1082" s="154">
        <v>9980</v>
      </c>
      <c r="O1082" s="154">
        <v>9131.7000000000007</v>
      </c>
    </row>
    <row r="1083" spans="2:15" ht="12.75" hidden="1" customHeight="1" outlineLevel="1" x14ac:dyDescent="0.25">
      <c r="B1083" s="570" t="s">
        <v>550</v>
      </c>
      <c r="C1083" s="570"/>
      <c r="D1083" s="570"/>
      <c r="E1083" s="570"/>
      <c r="F1083" s="570"/>
      <c r="G1083" s="570"/>
      <c r="H1083" s="570"/>
      <c r="I1083" s="570"/>
      <c r="J1083" s="570"/>
      <c r="K1083" s="156"/>
      <c r="L1083" s="156"/>
      <c r="M1083" s="156"/>
      <c r="N1083" s="154">
        <v>9980</v>
      </c>
      <c r="O1083" s="154">
        <v>9131.7000000000007</v>
      </c>
    </row>
    <row r="1084" spans="2:15" ht="36.75" customHeight="1" collapsed="1" x14ac:dyDescent="0.25">
      <c r="B1084" s="151" t="s">
        <v>882</v>
      </c>
      <c r="C1084" s="152">
        <v>352</v>
      </c>
      <c r="D1084" s="153">
        <v>117</v>
      </c>
      <c r="E1084" s="151" t="s">
        <v>78</v>
      </c>
      <c r="F1084" s="151" t="s">
        <v>894</v>
      </c>
      <c r="G1084" s="151" t="s">
        <v>895</v>
      </c>
      <c r="H1084" s="151" t="s">
        <v>796</v>
      </c>
      <c r="I1084" s="151" t="s">
        <v>896</v>
      </c>
      <c r="J1084" s="151" t="s">
        <v>82</v>
      </c>
      <c r="K1084" s="154">
        <v>25900</v>
      </c>
      <c r="L1084" s="154">
        <v>14860</v>
      </c>
      <c r="M1084" s="155">
        <v>20.5</v>
      </c>
      <c r="N1084" s="154">
        <v>11040</v>
      </c>
      <c r="O1084" s="154">
        <v>8776.7999999999993</v>
      </c>
    </row>
    <row r="1085" spans="2:15" ht="12.75" hidden="1" customHeight="1" outlineLevel="1" x14ac:dyDescent="0.25">
      <c r="B1085" s="570" t="s">
        <v>511</v>
      </c>
      <c r="C1085" s="570"/>
      <c r="D1085" s="570"/>
      <c r="E1085" s="570"/>
      <c r="F1085" s="570"/>
      <c r="G1085" s="570"/>
      <c r="H1085" s="570"/>
      <c r="I1085" s="570"/>
      <c r="J1085" s="570"/>
      <c r="K1085" s="156"/>
      <c r="L1085" s="156"/>
      <c r="M1085" s="156"/>
      <c r="N1085" s="154">
        <v>11040</v>
      </c>
      <c r="O1085" s="154">
        <v>8776.7999999999993</v>
      </c>
    </row>
    <row r="1086" spans="2:15" ht="36.75" customHeight="1" collapsed="1" x14ac:dyDescent="0.25">
      <c r="B1086" s="151" t="s">
        <v>885</v>
      </c>
      <c r="C1086" s="152">
        <v>353</v>
      </c>
      <c r="D1086" s="153">
        <v>118</v>
      </c>
      <c r="E1086" s="151" t="s">
        <v>78</v>
      </c>
      <c r="F1086" s="151" t="s">
        <v>127</v>
      </c>
      <c r="G1086" s="151" t="s">
        <v>131</v>
      </c>
      <c r="H1086" s="151" t="s">
        <v>796</v>
      </c>
      <c r="I1086" s="151" t="s">
        <v>897</v>
      </c>
      <c r="J1086" s="151" t="s">
        <v>82</v>
      </c>
      <c r="K1086" s="154">
        <v>23280</v>
      </c>
      <c r="L1086" s="154">
        <v>18880</v>
      </c>
      <c r="M1086" s="155">
        <v>12.5</v>
      </c>
      <c r="N1086" s="154">
        <v>4400</v>
      </c>
      <c r="O1086" s="154">
        <v>3850</v>
      </c>
    </row>
    <row r="1087" spans="2:15" ht="12.75" hidden="1" customHeight="1" outlineLevel="1" x14ac:dyDescent="0.25">
      <c r="B1087" s="570" t="s">
        <v>511</v>
      </c>
      <c r="C1087" s="570"/>
      <c r="D1087" s="570"/>
      <c r="E1087" s="570"/>
      <c r="F1087" s="570"/>
      <c r="G1087" s="570"/>
      <c r="H1087" s="570"/>
      <c r="I1087" s="570"/>
      <c r="J1087" s="570"/>
      <c r="K1087" s="156"/>
      <c r="L1087" s="156"/>
      <c r="M1087" s="156"/>
      <c r="N1087" s="154">
        <v>4400</v>
      </c>
      <c r="O1087" s="154">
        <v>3850</v>
      </c>
    </row>
    <row r="1088" spans="2:15" ht="36.75" customHeight="1" collapsed="1" x14ac:dyDescent="0.25">
      <c r="B1088" s="151" t="s">
        <v>883</v>
      </c>
      <c r="C1088" s="152">
        <v>354</v>
      </c>
      <c r="D1088" s="153">
        <v>118</v>
      </c>
      <c r="E1088" s="151" t="s">
        <v>78</v>
      </c>
      <c r="F1088" s="151" t="s">
        <v>127</v>
      </c>
      <c r="G1088" s="151" t="s">
        <v>131</v>
      </c>
      <c r="H1088" s="151" t="s">
        <v>796</v>
      </c>
      <c r="I1088" s="151" t="s">
        <v>896</v>
      </c>
      <c r="J1088" s="151" t="s">
        <v>82</v>
      </c>
      <c r="K1088" s="154">
        <v>18880</v>
      </c>
      <c r="L1088" s="154">
        <v>14290</v>
      </c>
      <c r="M1088" s="155">
        <v>29.5</v>
      </c>
      <c r="N1088" s="154">
        <v>4590</v>
      </c>
      <c r="O1088" s="154">
        <v>3235.9</v>
      </c>
    </row>
    <row r="1089" spans="2:15" ht="12.75" hidden="1" customHeight="1" outlineLevel="1" x14ac:dyDescent="0.25">
      <c r="B1089" s="570" t="s">
        <v>511</v>
      </c>
      <c r="C1089" s="570"/>
      <c r="D1089" s="570"/>
      <c r="E1089" s="570"/>
      <c r="F1089" s="570"/>
      <c r="G1089" s="570"/>
      <c r="H1089" s="570"/>
      <c r="I1089" s="570"/>
      <c r="J1089" s="570"/>
      <c r="K1089" s="156"/>
      <c r="L1089" s="156"/>
      <c r="M1089" s="156"/>
      <c r="N1089" s="154">
        <v>4590</v>
      </c>
      <c r="O1089" s="154">
        <v>3235.9</v>
      </c>
    </row>
    <row r="1090" spans="2:15" ht="36.75" customHeight="1" collapsed="1" x14ac:dyDescent="0.25">
      <c r="B1090" s="151" t="s">
        <v>880</v>
      </c>
      <c r="C1090" s="152">
        <v>356</v>
      </c>
      <c r="D1090" s="153">
        <v>119</v>
      </c>
      <c r="E1090" s="151" t="s">
        <v>78</v>
      </c>
      <c r="F1090" s="151" t="s">
        <v>335</v>
      </c>
      <c r="G1090" s="151" t="s">
        <v>339</v>
      </c>
      <c r="H1090" s="151" t="s">
        <v>898</v>
      </c>
      <c r="I1090" s="151" t="s">
        <v>747</v>
      </c>
      <c r="J1090" s="151" t="s">
        <v>82</v>
      </c>
      <c r="K1090" s="154">
        <v>28700</v>
      </c>
      <c r="L1090" s="154">
        <v>14680</v>
      </c>
      <c r="M1090" s="155">
        <v>10</v>
      </c>
      <c r="N1090" s="154">
        <v>14020</v>
      </c>
      <c r="O1090" s="154">
        <v>12618</v>
      </c>
    </row>
    <row r="1091" spans="2:15" ht="12.75" hidden="1" customHeight="1" outlineLevel="1" x14ac:dyDescent="0.25">
      <c r="B1091" s="570" t="s">
        <v>550</v>
      </c>
      <c r="C1091" s="570"/>
      <c r="D1091" s="570"/>
      <c r="E1091" s="570"/>
      <c r="F1091" s="570"/>
      <c r="G1091" s="570"/>
      <c r="H1091" s="570"/>
      <c r="I1091" s="570"/>
      <c r="J1091" s="570"/>
      <c r="K1091" s="156"/>
      <c r="L1091" s="156"/>
      <c r="M1091" s="156"/>
      <c r="N1091" s="154">
        <v>14020</v>
      </c>
      <c r="O1091" s="154">
        <v>12618</v>
      </c>
    </row>
    <row r="1092" spans="2:15" ht="36.75" customHeight="1" collapsed="1" x14ac:dyDescent="0.25">
      <c r="B1092" s="151" t="s">
        <v>866</v>
      </c>
      <c r="C1092" s="152">
        <v>360</v>
      </c>
      <c r="D1092" s="153">
        <v>122</v>
      </c>
      <c r="E1092" s="151" t="s">
        <v>78</v>
      </c>
      <c r="F1092" s="151" t="s">
        <v>127</v>
      </c>
      <c r="G1092" s="151" t="s">
        <v>131</v>
      </c>
      <c r="H1092" s="151" t="s">
        <v>796</v>
      </c>
      <c r="I1092" s="151" t="s">
        <v>899</v>
      </c>
      <c r="J1092" s="151" t="s">
        <v>82</v>
      </c>
      <c r="K1092" s="154">
        <v>22670</v>
      </c>
      <c r="L1092" s="154">
        <v>14280</v>
      </c>
      <c r="M1092" s="155">
        <v>19</v>
      </c>
      <c r="N1092" s="154">
        <v>8390</v>
      </c>
      <c r="O1092" s="154">
        <v>6795.9</v>
      </c>
    </row>
    <row r="1093" spans="2:15" ht="12.75" hidden="1" customHeight="1" outlineLevel="1" x14ac:dyDescent="0.25">
      <c r="B1093" s="570" t="s">
        <v>511</v>
      </c>
      <c r="C1093" s="570"/>
      <c r="D1093" s="570"/>
      <c r="E1093" s="570"/>
      <c r="F1093" s="570"/>
      <c r="G1093" s="570"/>
      <c r="H1093" s="570"/>
      <c r="I1093" s="570"/>
      <c r="J1093" s="570"/>
      <c r="K1093" s="156"/>
      <c r="L1093" s="156"/>
      <c r="M1093" s="156"/>
      <c r="N1093" s="154">
        <v>4195</v>
      </c>
      <c r="O1093" s="154">
        <v>3083.3</v>
      </c>
    </row>
    <row r="1094" spans="2:15" ht="12.75" hidden="1" customHeight="1" outlineLevel="1" x14ac:dyDescent="0.25">
      <c r="B1094" s="570" t="s">
        <v>550</v>
      </c>
      <c r="C1094" s="570"/>
      <c r="D1094" s="570"/>
      <c r="E1094" s="570"/>
      <c r="F1094" s="570"/>
      <c r="G1094" s="570"/>
      <c r="H1094" s="570"/>
      <c r="I1094" s="570"/>
      <c r="J1094" s="570"/>
      <c r="K1094" s="156"/>
      <c r="L1094" s="156"/>
      <c r="M1094" s="156"/>
      <c r="N1094" s="154">
        <v>4195</v>
      </c>
      <c r="O1094" s="154">
        <v>3712.6</v>
      </c>
    </row>
    <row r="1095" spans="2:15" ht="36.75" customHeight="1" collapsed="1" x14ac:dyDescent="0.25">
      <c r="B1095" s="151" t="s">
        <v>887</v>
      </c>
      <c r="C1095" s="152">
        <v>357</v>
      </c>
      <c r="D1095" s="153">
        <v>120</v>
      </c>
      <c r="E1095" s="151" t="s">
        <v>78</v>
      </c>
      <c r="F1095" s="151" t="s">
        <v>1312</v>
      </c>
      <c r="G1095" s="151" t="s">
        <v>320</v>
      </c>
      <c r="H1095" s="151" t="s">
        <v>796</v>
      </c>
      <c r="I1095" s="151" t="s">
        <v>899</v>
      </c>
      <c r="J1095" s="151" t="s">
        <v>82</v>
      </c>
      <c r="K1095" s="154">
        <v>25050</v>
      </c>
      <c r="L1095" s="154">
        <v>20660</v>
      </c>
      <c r="M1095" s="155">
        <v>29.5</v>
      </c>
      <c r="N1095" s="154">
        <v>4390</v>
      </c>
      <c r="O1095" s="154">
        <v>3094.9</v>
      </c>
    </row>
    <row r="1096" spans="2:15" ht="12.75" hidden="1" customHeight="1" outlineLevel="1" x14ac:dyDescent="0.25">
      <c r="B1096" s="570" t="s">
        <v>511</v>
      </c>
      <c r="C1096" s="570"/>
      <c r="D1096" s="570"/>
      <c r="E1096" s="570"/>
      <c r="F1096" s="570"/>
      <c r="G1096" s="570"/>
      <c r="H1096" s="570"/>
      <c r="I1096" s="570"/>
      <c r="J1096" s="570"/>
      <c r="K1096" s="156"/>
      <c r="L1096" s="156"/>
      <c r="M1096" s="156"/>
      <c r="N1096" s="154">
        <v>4390</v>
      </c>
      <c r="O1096" s="154">
        <v>3094.9</v>
      </c>
    </row>
    <row r="1097" spans="2:15" ht="36.75" customHeight="1" collapsed="1" x14ac:dyDescent="0.25">
      <c r="B1097" s="151" t="s">
        <v>884</v>
      </c>
      <c r="C1097" s="152">
        <v>358</v>
      </c>
      <c r="D1097" s="153">
        <v>120</v>
      </c>
      <c r="E1097" s="151" t="s">
        <v>78</v>
      </c>
      <c r="F1097" s="151" t="s">
        <v>1312</v>
      </c>
      <c r="G1097" s="151" t="s">
        <v>320</v>
      </c>
      <c r="H1097" s="151" t="s">
        <v>796</v>
      </c>
      <c r="I1097" s="151" t="s">
        <v>900</v>
      </c>
      <c r="J1097" s="151" t="s">
        <v>82</v>
      </c>
      <c r="K1097" s="154">
        <v>20660</v>
      </c>
      <c r="L1097" s="154">
        <v>14480</v>
      </c>
      <c r="M1097" s="155">
        <v>21.5</v>
      </c>
      <c r="N1097" s="154">
        <v>6180</v>
      </c>
      <c r="O1097" s="154">
        <v>4851.3</v>
      </c>
    </row>
    <row r="1098" spans="2:15" ht="12.75" hidden="1" customHeight="1" outlineLevel="1" x14ac:dyDescent="0.25">
      <c r="B1098" s="570" t="s">
        <v>511</v>
      </c>
      <c r="C1098" s="570"/>
      <c r="D1098" s="570"/>
      <c r="E1098" s="570"/>
      <c r="F1098" s="570"/>
      <c r="G1098" s="570"/>
      <c r="H1098" s="570"/>
      <c r="I1098" s="570"/>
      <c r="J1098" s="570"/>
      <c r="K1098" s="156"/>
      <c r="L1098" s="156"/>
      <c r="M1098" s="156"/>
      <c r="N1098" s="154">
        <v>6180</v>
      </c>
      <c r="O1098" s="154">
        <v>4851.3</v>
      </c>
    </row>
    <row r="1099" spans="2:15" ht="36.75" customHeight="1" collapsed="1" x14ac:dyDescent="0.25">
      <c r="B1099" s="151" t="s">
        <v>873</v>
      </c>
      <c r="C1099" s="152">
        <v>359</v>
      </c>
      <c r="D1099" s="153">
        <v>121</v>
      </c>
      <c r="E1099" s="151" t="s">
        <v>78</v>
      </c>
      <c r="F1099" s="151" t="s">
        <v>894</v>
      </c>
      <c r="G1099" s="151" t="s">
        <v>895</v>
      </c>
      <c r="H1099" s="151" t="s">
        <v>898</v>
      </c>
      <c r="I1099" s="151" t="s">
        <v>524</v>
      </c>
      <c r="J1099" s="151" t="s">
        <v>82</v>
      </c>
      <c r="K1099" s="154">
        <v>30340</v>
      </c>
      <c r="L1099" s="154">
        <v>23450</v>
      </c>
      <c r="M1099" s="155">
        <v>6.5</v>
      </c>
      <c r="N1099" s="154">
        <v>6890</v>
      </c>
      <c r="O1099" s="154">
        <v>6442.1</v>
      </c>
    </row>
    <row r="1100" spans="2:15" ht="12.75" hidden="1" customHeight="1" outlineLevel="1" x14ac:dyDescent="0.25">
      <c r="B1100" s="570" t="s">
        <v>550</v>
      </c>
      <c r="C1100" s="570"/>
      <c r="D1100" s="570"/>
      <c r="E1100" s="570"/>
      <c r="F1100" s="570"/>
      <c r="G1100" s="570"/>
      <c r="H1100" s="570"/>
      <c r="I1100" s="570"/>
      <c r="J1100" s="570"/>
      <c r="K1100" s="156"/>
      <c r="L1100" s="156"/>
      <c r="M1100" s="156"/>
      <c r="N1100" s="154">
        <v>6890</v>
      </c>
      <c r="O1100" s="154">
        <v>6442.1</v>
      </c>
    </row>
    <row r="1101" spans="2:15" ht="36.75" customHeight="1" collapsed="1" x14ac:dyDescent="0.25">
      <c r="B1101" s="151" t="s">
        <v>869</v>
      </c>
      <c r="C1101" s="152">
        <v>361</v>
      </c>
      <c r="D1101" s="153">
        <v>121</v>
      </c>
      <c r="E1101" s="151" t="s">
        <v>78</v>
      </c>
      <c r="F1101" s="151" t="s">
        <v>894</v>
      </c>
      <c r="G1101" s="151" t="s">
        <v>895</v>
      </c>
      <c r="H1101" s="151" t="s">
        <v>898</v>
      </c>
      <c r="I1101" s="151" t="s">
        <v>747</v>
      </c>
      <c r="J1101" s="151" t="s">
        <v>82</v>
      </c>
      <c r="K1101" s="154">
        <v>23450</v>
      </c>
      <c r="L1101" s="154">
        <v>14840</v>
      </c>
      <c r="M1101" s="155">
        <v>8.5</v>
      </c>
      <c r="N1101" s="154">
        <v>8610</v>
      </c>
      <c r="O1101" s="154">
        <v>7878.1</v>
      </c>
    </row>
    <row r="1102" spans="2:15" ht="12.75" hidden="1" customHeight="1" outlineLevel="1" x14ac:dyDescent="0.25">
      <c r="B1102" s="570" t="s">
        <v>550</v>
      </c>
      <c r="C1102" s="570"/>
      <c r="D1102" s="570"/>
      <c r="E1102" s="570"/>
      <c r="F1102" s="570"/>
      <c r="G1102" s="570"/>
      <c r="H1102" s="570"/>
      <c r="I1102" s="570"/>
      <c r="J1102" s="570"/>
      <c r="K1102" s="156"/>
      <c r="L1102" s="156"/>
      <c r="M1102" s="156"/>
      <c r="N1102" s="154">
        <v>8610</v>
      </c>
      <c r="O1102" s="154">
        <v>7878.1</v>
      </c>
    </row>
    <row r="1103" spans="2:15" ht="36.75" customHeight="1" collapsed="1" x14ac:dyDescent="0.25">
      <c r="B1103" s="151" t="s">
        <v>886</v>
      </c>
      <c r="C1103" s="152">
        <v>362</v>
      </c>
      <c r="D1103" s="153">
        <v>28</v>
      </c>
      <c r="E1103" s="151" t="s">
        <v>903</v>
      </c>
      <c r="F1103" s="151" t="s">
        <v>737</v>
      </c>
      <c r="G1103" s="151" t="s">
        <v>738</v>
      </c>
      <c r="H1103" s="151" t="s">
        <v>957</v>
      </c>
      <c r="I1103" s="151" t="s">
        <v>901</v>
      </c>
      <c r="J1103" s="151" t="s">
        <v>82</v>
      </c>
      <c r="K1103" s="154">
        <v>6240</v>
      </c>
      <c r="L1103" s="154">
        <v>4560</v>
      </c>
      <c r="M1103" s="155">
        <v>12</v>
      </c>
      <c r="N1103" s="154">
        <v>1680</v>
      </c>
      <c r="O1103" s="154">
        <v>1478.4</v>
      </c>
    </row>
    <row r="1104" spans="2:15" ht="12.75" hidden="1" customHeight="1" outlineLevel="1" x14ac:dyDescent="0.25">
      <c r="B1104" s="570" t="s">
        <v>511</v>
      </c>
      <c r="C1104" s="570"/>
      <c r="D1104" s="570"/>
      <c r="E1104" s="570"/>
      <c r="F1104" s="570"/>
      <c r="G1104" s="570"/>
      <c r="H1104" s="570"/>
      <c r="I1104" s="570"/>
      <c r="J1104" s="570"/>
      <c r="K1104" s="156"/>
      <c r="L1104" s="156"/>
      <c r="M1104" s="156"/>
      <c r="N1104" s="154">
        <v>1680</v>
      </c>
      <c r="O1104" s="154">
        <v>1478.4</v>
      </c>
    </row>
    <row r="1105" spans="2:15" ht="36.75" customHeight="1" collapsed="1" x14ac:dyDescent="0.25">
      <c r="B1105" s="151" t="s">
        <v>889</v>
      </c>
      <c r="C1105" s="152">
        <v>363</v>
      </c>
      <c r="D1105" s="153">
        <v>123</v>
      </c>
      <c r="E1105" s="151" t="s">
        <v>78</v>
      </c>
      <c r="F1105" s="151" t="s">
        <v>1312</v>
      </c>
      <c r="G1105" s="151" t="s">
        <v>320</v>
      </c>
      <c r="H1105" s="151" t="s">
        <v>796</v>
      </c>
      <c r="I1105" s="151" t="s">
        <v>747</v>
      </c>
      <c r="J1105" s="151" t="s">
        <v>82</v>
      </c>
      <c r="K1105" s="154">
        <v>27420</v>
      </c>
      <c r="L1105" s="154">
        <v>14450</v>
      </c>
      <c r="M1105" s="155">
        <v>13.5</v>
      </c>
      <c r="N1105" s="154">
        <v>12970</v>
      </c>
      <c r="O1105" s="154">
        <v>11219</v>
      </c>
    </row>
    <row r="1106" spans="2:15" ht="12.75" hidden="1" customHeight="1" outlineLevel="1" x14ac:dyDescent="0.25">
      <c r="B1106" s="570" t="s">
        <v>833</v>
      </c>
      <c r="C1106" s="570"/>
      <c r="D1106" s="570"/>
      <c r="E1106" s="570"/>
      <c r="F1106" s="570"/>
      <c r="G1106" s="570"/>
      <c r="H1106" s="570"/>
      <c r="I1106" s="570"/>
      <c r="J1106" s="570"/>
      <c r="K1106" s="156"/>
      <c r="L1106" s="156"/>
      <c r="M1106" s="156"/>
      <c r="N1106" s="154">
        <v>12970</v>
      </c>
      <c r="O1106" s="154">
        <v>11219</v>
      </c>
    </row>
    <row r="1107" spans="2:15" ht="36.75" customHeight="1" collapsed="1" x14ac:dyDescent="0.25">
      <c r="B1107" s="151" t="s">
        <v>867</v>
      </c>
      <c r="C1107" s="152">
        <v>365</v>
      </c>
      <c r="D1107" s="153">
        <v>125</v>
      </c>
      <c r="E1107" s="151" t="s">
        <v>78</v>
      </c>
      <c r="F1107" s="151" t="s">
        <v>127</v>
      </c>
      <c r="G1107" s="151" t="s">
        <v>131</v>
      </c>
      <c r="H1107" s="151" t="s">
        <v>796</v>
      </c>
      <c r="I1107" s="151" t="s">
        <v>747</v>
      </c>
      <c r="J1107" s="151" t="s">
        <v>82</v>
      </c>
      <c r="K1107" s="154">
        <v>27130</v>
      </c>
      <c r="L1107" s="154">
        <v>14260</v>
      </c>
      <c r="M1107" s="155">
        <v>10.5</v>
      </c>
      <c r="N1107" s="154">
        <v>12870</v>
      </c>
      <c r="O1107" s="154">
        <v>11518.6</v>
      </c>
    </row>
    <row r="1108" spans="2:15" ht="12.75" hidden="1" customHeight="1" outlineLevel="1" x14ac:dyDescent="0.25">
      <c r="B1108" s="570" t="s">
        <v>550</v>
      </c>
      <c r="C1108" s="570"/>
      <c r="D1108" s="570"/>
      <c r="E1108" s="570"/>
      <c r="F1108" s="570"/>
      <c r="G1108" s="570"/>
      <c r="H1108" s="570"/>
      <c r="I1108" s="570"/>
      <c r="J1108" s="570"/>
      <c r="K1108" s="156"/>
      <c r="L1108" s="156"/>
      <c r="M1108" s="156"/>
      <c r="N1108" s="154">
        <v>12870</v>
      </c>
      <c r="O1108" s="154">
        <v>11518.6</v>
      </c>
    </row>
    <row r="1109" spans="2:15" ht="36.75" customHeight="1" collapsed="1" x14ac:dyDescent="0.25">
      <c r="B1109" s="151" t="s">
        <v>875</v>
      </c>
      <c r="C1109" s="152">
        <v>366</v>
      </c>
      <c r="D1109" s="153">
        <v>126</v>
      </c>
      <c r="E1109" s="151" t="s">
        <v>78</v>
      </c>
      <c r="F1109" s="151" t="s">
        <v>737</v>
      </c>
      <c r="G1109" s="151" t="s">
        <v>738</v>
      </c>
      <c r="H1109" s="151" t="s">
        <v>796</v>
      </c>
      <c r="I1109" s="151" t="s">
        <v>747</v>
      </c>
      <c r="J1109" s="151" t="s">
        <v>82</v>
      </c>
      <c r="K1109" s="154">
        <v>8820</v>
      </c>
      <c r="L1109" s="154">
        <v>4560</v>
      </c>
      <c r="M1109" s="155">
        <v>10.5</v>
      </c>
      <c r="N1109" s="154">
        <v>4260</v>
      </c>
      <c r="O1109" s="154">
        <v>3812.7</v>
      </c>
    </row>
    <row r="1110" spans="2:15" ht="12.75" hidden="1" customHeight="1" outlineLevel="1" x14ac:dyDescent="0.25">
      <c r="B1110" s="570" t="s">
        <v>550</v>
      </c>
      <c r="C1110" s="570"/>
      <c r="D1110" s="570"/>
      <c r="E1110" s="570"/>
      <c r="F1110" s="570"/>
      <c r="G1110" s="570"/>
      <c r="H1110" s="570"/>
      <c r="I1110" s="570"/>
      <c r="J1110" s="570"/>
      <c r="K1110" s="156"/>
      <c r="L1110" s="156"/>
      <c r="M1110" s="156"/>
      <c r="N1110" s="154">
        <v>4260</v>
      </c>
      <c r="O1110" s="154">
        <v>3812.7</v>
      </c>
    </row>
    <row r="1111" spans="2:15" ht="36.75" customHeight="1" collapsed="1" x14ac:dyDescent="0.25">
      <c r="B1111" s="151" t="s">
        <v>891</v>
      </c>
      <c r="C1111" s="152">
        <v>367</v>
      </c>
      <c r="D1111" s="153">
        <v>127</v>
      </c>
      <c r="E1111" s="151" t="s">
        <v>78</v>
      </c>
      <c r="F1111" s="151" t="s">
        <v>894</v>
      </c>
      <c r="G1111" s="151" t="s">
        <v>895</v>
      </c>
      <c r="H1111" s="151" t="s">
        <v>898</v>
      </c>
      <c r="I1111" s="151" t="s">
        <v>524</v>
      </c>
      <c r="J1111" s="151" t="s">
        <v>82</v>
      </c>
      <c r="K1111" s="154">
        <v>28410</v>
      </c>
      <c r="L1111" s="154">
        <v>14850</v>
      </c>
      <c r="M1111" s="155">
        <v>13.5</v>
      </c>
      <c r="N1111" s="154">
        <v>13560</v>
      </c>
      <c r="O1111" s="154">
        <v>11729.4</v>
      </c>
    </row>
    <row r="1112" spans="2:15" ht="12.75" hidden="1" customHeight="1" outlineLevel="1" x14ac:dyDescent="0.25">
      <c r="B1112" s="570" t="s">
        <v>833</v>
      </c>
      <c r="C1112" s="570"/>
      <c r="D1112" s="570"/>
      <c r="E1112" s="570"/>
      <c r="F1112" s="570"/>
      <c r="G1112" s="570"/>
      <c r="H1112" s="570"/>
      <c r="I1112" s="570"/>
      <c r="J1112" s="570"/>
      <c r="K1112" s="156"/>
      <c r="L1112" s="156"/>
      <c r="M1112" s="156"/>
      <c r="N1112" s="154">
        <v>13560</v>
      </c>
      <c r="O1112" s="154">
        <v>11729.4</v>
      </c>
    </row>
    <row r="1113" spans="2:15" ht="36.75" customHeight="1" collapsed="1" x14ac:dyDescent="0.25">
      <c r="B1113" s="151" t="s">
        <v>878</v>
      </c>
      <c r="C1113" s="152">
        <v>368</v>
      </c>
      <c r="D1113" s="153">
        <v>128</v>
      </c>
      <c r="E1113" s="151" t="s">
        <v>78</v>
      </c>
      <c r="F1113" s="151" t="s">
        <v>1312</v>
      </c>
      <c r="G1113" s="151" t="s">
        <v>320</v>
      </c>
      <c r="H1113" s="151" t="s">
        <v>796</v>
      </c>
      <c r="I1113" s="151" t="s">
        <v>747</v>
      </c>
      <c r="J1113" s="151" t="s">
        <v>82</v>
      </c>
      <c r="K1113" s="154">
        <v>27150</v>
      </c>
      <c r="L1113" s="154">
        <v>14430</v>
      </c>
      <c r="M1113" s="155">
        <v>11.5</v>
      </c>
      <c r="N1113" s="154">
        <v>12720</v>
      </c>
      <c r="O1113" s="154">
        <v>11257.2</v>
      </c>
    </row>
    <row r="1114" spans="2:15" ht="12.75" hidden="1" customHeight="1" outlineLevel="1" x14ac:dyDescent="0.25">
      <c r="B1114" s="570" t="s">
        <v>550</v>
      </c>
      <c r="C1114" s="570"/>
      <c r="D1114" s="570"/>
      <c r="E1114" s="570"/>
      <c r="F1114" s="570"/>
      <c r="G1114" s="570"/>
      <c r="H1114" s="570"/>
      <c r="I1114" s="570"/>
      <c r="J1114" s="570"/>
      <c r="K1114" s="156"/>
      <c r="L1114" s="156"/>
      <c r="M1114" s="156"/>
      <c r="N1114" s="154">
        <v>12720</v>
      </c>
      <c r="O1114" s="154">
        <v>11257.2</v>
      </c>
    </row>
    <row r="1115" spans="2:15" ht="36.75" customHeight="1" collapsed="1" x14ac:dyDescent="0.25">
      <c r="B1115" s="151" t="s">
        <v>890</v>
      </c>
      <c r="C1115" s="152">
        <v>364</v>
      </c>
      <c r="D1115" s="153">
        <v>124</v>
      </c>
      <c r="E1115" s="151" t="s">
        <v>78</v>
      </c>
      <c r="F1115" s="151" t="s">
        <v>335</v>
      </c>
      <c r="G1115" s="151" t="s">
        <v>339</v>
      </c>
      <c r="H1115" s="151" t="s">
        <v>898</v>
      </c>
      <c r="I1115" s="151" t="s">
        <v>524</v>
      </c>
      <c r="J1115" s="151" t="s">
        <v>82</v>
      </c>
      <c r="K1115" s="154">
        <v>28620</v>
      </c>
      <c r="L1115" s="154">
        <v>14660</v>
      </c>
      <c r="M1115" s="155">
        <v>13.5</v>
      </c>
      <c r="N1115" s="154">
        <v>13960</v>
      </c>
      <c r="O1115" s="154">
        <v>12075.4</v>
      </c>
    </row>
    <row r="1116" spans="2:15" ht="12.75" hidden="1" customHeight="1" outlineLevel="1" x14ac:dyDescent="0.25">
      <c r="B1116" s="570" t="s">
        <v>833</v>
      </c>
      <c r="C1116" s="570"/>
      <c r="D1116" s="570"/>
      <c r="E1116" s="570"/>
      <c r="F1116" s="570"/>
      <c r="G1116" s="570"/>
      <c r="H1116" s="570"/>
      <c r="I1116" s="570"/>
      <c r="J1116" s="570"/>
      <c r="K1116" s="156"/>
      <c r="L1116" s="156"/>
      <c r="M1116" s="156"/>
      <c r="N1116" s="154">
        <v>13960</v>
      </c>
      <c r="O1116" s="154">
        <v>12075.4</v>
      </c>
    </row>
    <row r="1117" spans="2:15" ht="36.75" customHeight="1" collapsed="1" x14ac:dyDescent="0.25">
      <c r="B1117" s="151" t="s">
        <v>879</v>
      </c>
      <c r="C1117" s="152">
        <v>369</v>
      </c>
      <c r="D1117" s="153">
        <v>129</v>
      </c>
      <c r="E1117" s="151" t="s">
        <v>78</v>
      </c>
      <c r="F1117" s="151" t="s">
        <v>335</v>
      </c>
      <c r="G1117" s="151" t="s">
        <v>339</v>
      </c>
      <c r="H1117" s="151" t="s">
        <v>898</v>
      </c>
      <c r="I1117" s="151" t="s">
        <v>524</v>
      </c>
      <c r="J1117" s="151" t="s">
        <v>82</v>
      </c>
      <c r="K1117" s="154">
        <v>28490</v>
      </c>
      <c r="L1117" s="154">
        <v>14640</v>
      </c>
      <c r="M1117" s="155">
        <v>12</v>
      </c>
      <c r="N1117" s="154">
        <v>13850</v>
      </c>
      <c r="O1117" s="154">
        <v>12188</v>
      </c>
    </row>
    <row r="1118" spans="2:15" ht="12.75" hidden="1" customHeight="1" outlineLevel="1" x14ac:dyDescent="0.25">
      <c r="B1118" s="570" t="s">
        <v>550</v>
      </c>
      <c r="C1118" s="570"/>
      <c r="D1118" s="570"/>
      <c r="E1118" s="570"/>
      <c r="F1118" s="570"/>
      <c r="G1118" s="570"/>
      <c r="H1118" s="570"/>
      <c r="I1118" s="570"/>
      <c r="J1118" s="570"/>
      <c r="K1118" s="156"/>
      <c r="L1118" s="156"/>
      <c r="M1118" s="156"/>
      <c r="N1118" s="154">
        <v>13850</v>
      </c>
      <c r="O1118" s="154">
        <v>12188</v>
      </c>
    </row>
    <row r="1119" spans="2:15" ht="36.75" customHeight="1" collapsed="1" x14ac:dyDescent="0.25">
      <c r="B1119" s="151" t="s">
        <v>876</v>
      </c>
      <c r="C1119" s="152">
        <v>371</v>
      </c>
      <c r="D1119" s="153">
        <v>131</v>
      </c>
      <c r="E1119" s="151" t="s">
        <v>78</v>
      </c>
      <c r="F1119" s="151" t="s">
        <v>737</v>
      </c>
      <c r="G1119" s="151" t="s">
        <v>738</v>
      </c>
      <c r="H1119" s="151" t="s">
        <v>796</v>
      </c>
      <c r="I1119" s="151" t="s">
        <v>747</v>
      </c>
      <c r="J1119" s="151" t="s">
        <v>82</v>
      </c>
      <c r="K1119" s="154">
        <v>8840</v>
      </c>
      <c r="L1119" s="154">
        <v>4550</v>
      </c>
      <c r="M1119" s="155">
        <v>7</v>
      </c>
      <c r="N1119" s="154">
        <v>4290</v>
      </c>
      <c r="O1119" s="154">
        <v>3989.7</v>
      </c>
    </row>
    <row r="1120" spans="2:15" ht="12.75" hidden="1" customHeight="1" outlineLevel="1" x14ac:dyDescent="0.25">
      <c r="B1120" s="570" t="s">
        <v>550</v>
      </c>
      <c r="C1120" s="570"/>
      <c r="D1120" s="570"/>
      <c r="E1120" s="570"/>
      <c r="F1120" s="570"/>
      <c r="G1120" s="570"/>
      <c r="H1120" s="570"/>
      <c r="I1120" s="570"/>
      <c r="J1120" s="570"/>
      <c r="K1120" s="156"/>
      <c r="L1120" s="156"/>
      <c r="M1120" s="156"/>
      <c r="N1120" s="154">
        <v>4290</v>
      </c>
      <c r="O1120" s="154">
        <v>3989.7</v>
      </c>
    </row>
    <row r="1121" spans="2:15" ht="36.75" customHeight="1" collapsed="1" x14ac:dyDescent="0.25">
      <c r="B1121" s="151" t="s">
        <v>871</v>
      </c>
      <c r="C1121" s="152">
        <v>370</v>
      </c>
      <c r="D1121" s="153">
        <v>130</v>
      </c>
      <c r="E1121" s="151" t="s">
        <v>78</v>
      </c>
      <c r="F1121" s="151" t="s">
        <v>127</v>
      </c>
      <c r="G1121" s="151" t="s">
        <v>131</v>
      </c>
      <c r="H1121" s="151" t="s">
        <v>796</v>
      </c>
      <c r="I1121" s="151" t="s">
        <v>747</v>
      </c>
      <c r="J1121" s="151" t="s">
        <v>82</v>
      </c>
      <c r="K1121" s="154">
        <v>27160</v>
      </c>
      <c r="L1121" s="154">
        <v>14250</v>
      </c>
      <c r="M1121" s="155">
        <v>10.5</v>
      </c>
      <c r="N1121" s="154">
        <v>12910</v>
      </c>
      <c r="O1121" s="154">
        <v>11554.4</v>
      </c>
    </row>
    <row r="1122" spans="2:15" ht="12.75" hidden="1" customHeight="1" outlineLevel="1" x14ac:dyDescent="0.25">
      <c r="B1122" s="570" t="s">
        <v>550</v>
      </c>
      <c r="C1122" s="570"/>
      <c r="D1122" s="570"/>
      <c r="E1122" s="570"/>
      <c r="F1122" s="570"/>
      <c r="G1122" s="570"/>
      <c r="H1122" s="570"/>
      <c r="I1122" s="570"/>
      <c r="J1122" s="570"/>
      <c r="K1122" s="156"/>
      <c r="L1122" s="156"/>
      <c r="M1122" s="156"/>
      <c r="N1122" s="154">
        <v>12910</v>
      </c>
      <c r="O1122" s="154">
        <v>11554.4</v>
      </c>
    </row>
    <row r="1123" spans="2:15" ht="36.75" customHeight="1" collapsed="1" x14ac:dyDescent="0.25">
      <c r="B1123" s="151" t="s">
        <v>870</v>
      </c>
      <c r="C1123" s="152">
        <v>372</v>
      </c>
      <c r="D1123" s="153">
        <v>132</v>
      </c>
      <c r="E1123" s="151" t="s">
        <v>78</v>
      </c>
      <c r="F1123" s="151" t="s">
        <v>894</v>
      </c>
      <c r="G1123" s="151" t="s">
        <v>895</v>
      </c>
      <c r="H1123" s="151" t="s">
        <v>849</v>
      </c>
      <c r="I1123" s="151" t="s">
        <v>524</v>
      </c>
      <c r="J1123" s="151" t="s">
        <v>82</v>
      </c>
      <c r="K1123" s="154">
        <v>28460</v>
      </c>
      <c r="L1123" s="154">
        <v>14840</v>
      </c>
      <c r="M1123" s="155">
        <v>9.5</v>
      </c>
      <c r="N1123" s="154">
        <v>13620</v>
      </c>
      <c r="O1123" s="154">
        <v>12326.1</v>
      </c>
    </row>
    <row r="1124" spans="2:15" ht="12.75" hidden="1" customHeight="1" outlineLevel="1" x14ac:dyDescent="0.25">
      <c r="B1124" s="570" t="s">
        <v>550</v>
      </c>
      <c r="C1124" s="570"/>
      <c r="D1124" s="570"/>
      <c r="E1124" s="570"/>
      <c r="F1124" s="570"/>
      <c r="G1124" s="570"/>
      <c r="H1124" s="570"/>
      <c r="I1124" s="570"/>
      <c r="J1124" s="570"/>
      <c r="K1124" s="156"/>
      <c r="L1124" s="156"/>
      <c r="M1124" s="156"/>
      <c r="N1124" s="154">
        <v>13620</v>
      </c>
      <c r="O1124" s="154">
        <v>12326.1</v>
      </c>
    </row>
    <row r="1125" spans="2:15" ht="36.75" customHeight="1" collapsed="1" x14ac:dyDescent="0.25">
      <c r="B1125" s="151" t="s">
        <v>874</v>
      </c>
      <c r="C1125" s="152">
        <v>373</v>
      </c>
      <c r="D1125" s="153">
        <v>133</v>
      </c>
      <c r="E1125" s="151" t="s">
        <v>78</v>
      </c>
      <c r="F1125" s="151" t="s">
        <v>335</v>
      </c>
      <c r="G1125" s="151" t="s">
        <v>339</v>
      </c>
      <c r="H1125" s="151" t="s">
        <v>796</v>
      </c>
      <c r="I1125" s="151" t="s">
        <v>747</v>
      </c>
      <c r="J1125" s="151" t="s">
        <v>82</v>
      </c>
      <c r="K1125" s="154">
        <v>27930</v>
      </c>
      <c r="L1125" s="154">
        <v>14640</v>
      </c>
      <c r="M1125" s="155">
        <v>10</v>
      </c>
      <c r="N1125" s="154">
        <v>13290</v>
      </c>
      <c r="O1125" s="154">
        <v>11961</v>
      </c>
    </row>
    <row r="1126" spans="2:15" ht="12.75" hidden="1" customHeight="1" outlineLevel="1" x14ac:dyDescent="0.25">
      <c r="B1126" s="570" t="s">
        <v>550</v>
      </c>
      <c r="C1126" s="570"/>
      <c r="D1126" s="570"/>
      <c r="E1126" s="570"/>
      <c r="F1126" s="570"/>
      <c r="G1126" s="570"/>
      <c r="H1126" s="570"/>
      <c r="I1126" s="570"/>
      <c r="J1126" s="570"/>
      <c r="K1126" s="156"/>
      <c r="L1126" s="156"/>
      <c r="M1126" s="156"/>
      <c r="N1126" s="154">
        <v>13290</v>
      </c>
      <c r="O1126" s="154">
        <v>11961</v>
      </c>
    </row>
    <row r="1127" spans="2:15" ht="36.75" customHeight="1" collapsed="1" x14ac:dyDescent="0.25">
      <c r="B1127" s="151" t="s">
        <v>892</v>
      </c>
      <c r="C1127" s="152">
        <v>375</v>
      </c>
      <c r="D1127" s="153">
        <v>134</v>
      </c>
      <c r="E1127" s="151" t="s">
        <v>78</v>
      </c>
      <c r="F1127" s="151" t="s">
        <v>133</v>
      </c>
      <c r="G1127" s="151" t="s">
        <v>137</v>
      </c>
      <c r="H1127" s="151" t="s">
        <v>796</v>
      </c>
      <c r="I1127" s="151" t="s">
        <v>747</v>
      </c>
      <c r="J1127" s="151" t="s">
        <v>82</v>
      </c>
      <c r="K1127" s="154">
        <v>25280</v>
      </c>
      <c r="L1127" s="154">
        <v>14940</v>
      </c>
      <c r="M1127" s="155">
        <v>5</v>
      </c>
      <c r="N1127" s="154">
        <v>10340</v>
      </c>
      <c r="O1127" s="154">
        <v>9823</v>
      </c>
    </row>
    <row r="1128" spans="2:15" ht="12.75" hidden="1" customHeight="1" outlineLevel="1" x14ac:dyDescent="0.25">
      <c r="B1128" s="570" t="s">
        <v>833</v>
      </c>
      <c r="C1128" s="570"/>
      <c r="D1128" s="570"/>
      <c r="E1128" s="570"/>
      <c r="F1128" s="570"/>
      <c r="G1128" s="570"/>
      <c r="H1128" s="570"/>
      <c r="I1128" s="570"/>
      <c r="J1128" s="570"/>
      <c r="K1128" s="156"/>
      <c r="L1128" s="156"/>
      <c r="M1128" s="156"/>
      <c r="N1128" s="154">
        <v>10340</v>
      </c>
      <c r="O1128" s="154">
        <v>9823</v>
      </c>
    </row>
    <row r="1129" spans="2:15" ht="36.75" customHeight="1" collapsed="1" x14ac:dyDescent="0.25">
      <c r="B1129" s="151" t="s">
        <v>888</v>
      </c>
      <c r="C1129" s="152">
        <v>377</v>
      </c>
      <c r="D1129" s="153">
        <v>135</v>
      </c>
      <c r="E1129" s="151" t="s">
        <v>78</v>
      </c>
      <c r="F1129" s="151" t="s">
        <v>311</v>
      </c>
      <c r="G1129" s="151" t="s">
        <v>315</v>
      </c>
      <c r="H1129" s="151" t="s">
        <v>796</v>
      </c>
      <c r="I1129" s="151" t="s">
        <v>747</v>
      </c>
      <c r="J1129" s="151" t="s">
        <v>82</v>
      </c>
      <c r="K1129" s="154">
        <v>25720</v>
      </c>
      <c r="L1129" s="154">
        <v>15020</v>
      </c>
      <c r="M1129" s="155">
        <v>6.5</v>
      </c>
      <c r="N1129" s="154">
        <v>10700</v>
      </c>
      <c r="O1129" s="154">
        <v>10004.5</v>
      </c>
    </row>
    <row r="1130" spans="2:15" ht="12.75" hidden="1" customHeight="1" outlineLevel="1" x14ac:dyDescent="0.25">
      <c r="B1130" s="570" t="s">
        <v>833</v>
      </c>
      <c r="C1130" s="570"/>
      <c r="D1130" s="570"/>
      <c r="E1130" s="570"/>
      <c r="F1130" s="570"/>
      <c r="G1130" s="570"/>
      <c r="H1130" s="570"/>
      <c r="I1130" s="570"/>
      <c r="J1130" s="570"/>
      <c r="K1130" s="156"/>
      <c r="L1130" s="156"/>
      <c r="M1130" s="156"/>
      <c r="N1130" s="154">
        <v>10700</v>
      </c>
      <c r="O1130" s="154">
        <v>10004.5</v>
      </c>
    </row>
    <row r="1131" spans="2:15" ht="36.75" customHeight="1" collapsed="1" x14ac:dyDescent="0.25">
      <c r="B1131" s="151" t="s">
        <v>872</v>
      </c>
      <c r="C1131" s="152">
        <v>378</v>
      </c>
      <c r="D1131" s="153">
        <v>3</v>
      </c>
      <c r="E1131" s="151" t="s">
        <v>903</v>
      </c>
      <c r="F1131" s="151" t="s">
        <v>762</v>
      </c>
      <c r="G1131" s="151" t="s">
        <v>763</v>
      </c>
      <c r="H1131" s="151" t="s">
        <v>904</v>
      </c>
      <c r="I1131" s="151" t="s">
        <v>901</v>
      </c>
      <c r="J1131" s="151" t="s">
        <v>82</v>
      </c>
      <c r="K1131" s="154">
        <v>8800</v>
      </c>
      <c r="L1131" s="154">
        <v>4600</v>
      </c>
      <c r="M1131" s="155">
        <v>7</v>
      </c>
      <c r="N1131" s="154">
        <v>4200</v>
      </c>
      <c r="O1131" s="154">
        <v>3906</v>
      </c>
    </row>
    <row r="1132" spans="2:15" ht="12.75" hidden="1" customHeight="1" outlineLevel="1" x14ac:dyDescent="0.25">
      <c r="B1132" s="570" t="s">
        <v>550</v>
      </c>
      <c r="C1132" s="570"/>
      <c r="D1132" s="570"/>
      <c r="E1132" s="570"/>
      <c r="F1132" s="570"/>
      <c r="G1132" s="570"/>
      <c r="H1132" s="570"/>
      <c r="I1132" s="570"/>
      <c r="J1132" s="570"/>
      <c r="K1132" s="156"/>
      <c r="L1132" s="156"/>
      <c r="M1132" s="156"/>
      <c r="N1132" s="154">
        <v>4200</v>
      </c>
      <c r="O1132" s="154">
        <v>3906</v>
      </c>
    </row>
    <row r="1133" spans="2:15" ht="36.75" customHeight="1" collapsed="1" x14ac:dyDescent="0.25">
      <c r="B1133" s="151" t="s">
        <v>937</v>
      </c>
      <c r="C1133" s="152">
        <v>380</v>
      </c>
      <c r="D1133" s="153">
        <v>1</v>
      </c>
      <c r="E1133" s="151" t="s">
        <v>903</v>
      </c>
      <c r="F1133" s="151" t="s">
        <v>1253</v>
      </c>
      <c r="G1133" s="151" t="s">
        <v>270</v>
      </c>
      <c r="H1133" s="151" t="s">
        <v>904</v>
      </c>
      <c r="I1133" s="151" t="s">
        <v>901</v>
      </c>
      <c r="J1133" s="151" t="s">
        <v>82</v>
      </c>
      <c r="K1133" s="154">
        <v>27810</v>
      </c>
      <c r="L1133" s="154">
        <v>14980</v>
      </c>
      <c r="M1133" s="155">
        <v>9.5</v>
      </c>
      <c r="N1133" s="154">
        <v>12830</v>
      </c>
      <c r="O1133" s="154">
        <v>11611.1</v>
      </c>
    </row>
    <row r="1134" spans="2:15" ht="12.75" hidden="1" customHeight="1" outlineLevel="1" x14ac:dyDescent="0.25">
      <c r="B1134" s="570" t="s">
        <v>550</v>
      </c>
      <c r="C1134" s="570"/>
      <c r="D1134" s="570"/>
      <c r="E1134" s="570"/>
      <c r="F1134" s="570"/>
      <c r="G1134" s="570"/>
      <c r="H1134" s="570"/>
      <c r="I1134" s="570"/>
      <c r="J1134" s="570"/>
      <c r="K1134" s="156"/>
      <c r="L1134" s="156"/>
      <c r="M1134" s="156"/>
      <c r="N1134" s="154">
        <v>12830</v>
      </c>
      <c r="O1134" s="154">
        <v>11611.1</v>
      </c>
    </row>
    <row r="1135" spans="2:15" ht="36.75" customHeight="1" collapsed="1" x14ac:dyDescent="0.25">
      <c r="B1135" s="151" t="s">
        <v>938</v>
      </c>
      <c r="C1135" s="152">
        <v>381</v>
      </c>
      <c r="D1135" s="153">
        <v>2</v>
      </c>
      <c r="E1135" s="151" t="s">
        <v>903</v>
      </c>
      <c r="F1135" s="151" t="s">
        <v>272</v>
      </c>
      <c r="G1135" s="151" t="s">
        <v>276</v>
      </c>
      <c r="H1135" s="151" t="s">
        <v>904</v>
      </c>
      <c r="I1135" s="151" t="s">
        <v>901</v>
      </c>
      <c r="J1135" s="151" t="s">
        <v>82</v>
      </c>
      <c r="K1135" s="154">
        <v>27520</v>
      </c>
      <c r="L1135" s="154">
        <v>14770</v>
      </c>
      <c r="M1135" s="155">
        <v>5</v>
      </c>
      <c r="N1135" s="154">
        <v>12750</v>
      </c>
      <c r="O1135" s="154">
        <v>12112.5</v>
      </c>
    </row>
    <row r="1136" spans="2:15" ht="12.75" hidden="1" customHeight="1" outlineLevel="1" x14ac:dyDescent="0.25">
      <c r="B1136" s="570" t="s">
        <v>550</v>
      </c>
      <c r="C1136" s="570"/>
      <c r="D1136" s="570"/>
      <c r="E1136" s="570"/>
      <c r="F1136" s="570"/>
      <c r="G1136" s="570"/>
      <c r="H1136" s="570"/>
      <c r="I1136" s="570"/>
      <c r="J1136" s="570"/>
      <c r="K1136" s="156"/>
      <c r="L1136" s="156"/>
      <c r="M1136" s="156"/>
      <c r="N1136" s="154">
        <v>12750</v>
      </c>
      <c r="O1136" s="154">
        <v>12112.5</v>
      </c>
    </row>
    <row r="1137" spans="2:15" ht="36.75" customHeight="1" collapsed="1" x14ac:dyDescent="0.25">
      <c r="B1137" s="151" t="s">
        <v>939</v>
      </c>
      <c r="C1137" s="152">
        <v>382</v>
      </c>
      <c r="D1137" s="153">
        <v>4</v>
      </c>
      <c r="E1137" s="151" t="s">
        <v>903</v>
      </c>
      <c r="F1137" s="151" t="s">
        <v>239</v>
      </c>
      <c r="G1137" s="151" t="s">
        <v>243</v>
      </c>
      <c r="H1137" s="151" t="s">
        <v>904</v>
      </c>
      <c r="I1137" s="151" t="s">
        <v>901</v>
      </c>
      <c r="J1137" s="151" t="s">
        <v>82</v>
      </c>
      <c r="K1137" s="154">
        <v>27190</v>
      </c>
      <c r="L1137" s="154">
        <v>14530</v>
      </c>
      <c r="M1137" s="155">
        <v>8</v>
      </c>
      <c r="N1137" s="154">
        <v>12660</v>
      </c>
      <c r="O1137" s="154">
        <v>11647.2</v>
      </c>
    </row>
    <row r="1138" spans="2:15" ht="12.75" hidden="1" customHeight="1" outlineLevel="1" x14ac:dyDescent="0.25">
      <c r="B1138" s="570" t="s">
        <v>550</v>
      </c>
      <c r="C1138" s="570"/>
      <c r="D1138" s="570"/>
      <c r="E1138" s="570"/>
      <c r="F1138" s="570"/>
      <c r="G1138" s="570"/>
      <c r="H1138" s="570"/>
      <c r="I1138" s="570"/>
      <c r="J1138" s="570"/>
      <c r="K1138" s="156"/>
      <c r="L1138" s="156"/>
      <c r="M1138" s="156"/>
      <c r="N1138" s="154">
        <v>12660</v>
      </c>
      <c r="O1138" s="154">
        <v>11647.2</v>
      </c>
    </row>
    <row r="1139" spans="2:15" ht="36.75" customHeight="1" collapsed="1" x14ac:dyDescent="0.25">
      <c r="B1139" s="151" t="s">
        <v>940</v>
      </c>
      <c r="C1139" s="152">
        <v>383</v>
      </c>
      <c r="D1139" s="153">
        <v>5</v>
      </c>
      <c r="E1139" s="151" t="s">
        <v>903</v>
      </c>
      <c r="F1139" s="151" t="s">
        <v>121</v>
      </c>
      <c r="G1139" s="151" t="s">
        <v>125</v>
      </c>
      <c r="H1139" s="151" t="s">
        <v>904</v>
      </c>
      <c r="I1139" s="151" t="s">
        <v>901</v>
      </c>
      <c r="J1139" s="151" t="s">
        <v>82</v>
      </c>
      <c r="K1139" s="154">
        <v>27620</v>
      </c>
      <c r="L1139" s="154">
        <v>14630</v>
      </c>
      <c r="M1139" s="155">
        <v>7</v>
      </c>
      <c r="N1139" s="154">
        <v>12990</v>
      </c>
      <c r="O1139" s="154">
        <v>12080.7</v>
      </c>
    </row>
    <row r="1140" spans="2:15" ht="12.75" hidden="1" customHeight="1" outlineLevel="1" x14ac:dyDescent="0.25">
      <c r="B1140" s="570" t="s">
        <v>550</v>
      </c>
      <c r="C1140" s="570"/>
      <c r="D1140" s="570"/>
      <c r="E1140" s="570"/>
      <c r="F1140" s="570"/>
      <c r="G1140" s="570"/>
      <c r="H1140" s="570"/>
      <c r="I1140" s="570"/>
      <c r="J1140" s="570"/>
      <c r="K1140" s="156"/>
      <c r="L1140" s="156"/>
      <c r="M1140" s="156"/>
      <c r="N1140" s="154">
        <v>12990</v>
      </c>
      <c r="O1140" s="154">
        <v>12080.7</v>
      </c>
    </row>
    <row r="1141" spans="2:15" ht="36.75" customHeight="1" collapsed="1" x14ac:dyDescent="0.25">
      <c r="B1141" s="151" t="s">
        <v>941</v>
      </c>
      <c r="C1141" s="152">
        <v>384</v>
      </c>
      <c r="D1141" s="153">
        <v>7</v>
      </c>
      <c r="E1141" s="151" t="s">
        <v>903</v>
      </c>
      <c r="F1141" s="151" t="s">
        <v>1461</v>
      </c>
      <c r="G1141" s="151" t="s">
        <v>149</v>
      </c>
      <c r="H1141" s="153">
        <v>40</v>
      </c>
      <c r="I1141" s="151" t="s">
        <v>901</v>
      </c>
      <c r="J1141" s="151" t="s">
        <v>82</v>
      </c>
      <c r="K1141" s="154">
        <v>27430</v>
      </c>
      <c r="L1141" s="154">
        <v>15070</v>
      </c>
      <c r="M1141" s="155">
        <v>6</v>
      </c>
      <c r="N1141" s="154">
        <v>12360</v>
      </c>
      <c r="O1141" s="154">
        <v>11618.4</v>
      </c>
    </row>
    <row r="1142" spans="2:15" ht="12.75" hidden="1" customHeight="1" outlineLevel="1" x14ac:dyDescent="0.25">
      <c r="B1142" s="570" t="s">
        <v>550</v>
      </c>
      <c r="C1142" s="570"/>
      <c r="D1142" s="570"/>
      <c r="E1142" s="570"/>
      <c r="F1142" s="570"/>
      <c r="G1142" s="570"/>
      <c r="H1142" s="570"/>
      <c r="I1142" s="570"/>
      <c r="J1142" s="570"/>
      <c r="K1142" s="156"/>
      <c r="L1142" s="156"/>
      <c r="M1142" s="156"/>
      <c r="N1142" s="154">
        <v>12360</v>
      </c>
      <c r="O1142" s="154">
        <v>11618.4</v>
      </c>
    </row>
    <row r="1143" spans="2:15" ht="36.75" customHeight="1" collapsed="1" x14ac:dyDescent="0.25">
      <c r="B1143" s="151" t="s">
        <v>942</v>
      </c>
      <c r="C1143" s="152">
        <v>385</v>
      </c>
      <c r="D1143" s="153">
        <v>6</v>
      </c>
      <c r="E1143" s="151" t="s">
        <v>903</v>
      </c>
      <c r="F1143" s="151" t="s">
        <v>1151</v>
      </c>
      <c r="G1143" s="151" t="s">
        <v>145</v>
      </c>
      <c r="H1143" s="153">
        <v>40</v>
      </c>
      <c r="I1143" s="151" t="s">
        <v>901</v>
      </c>
      <c r="J1143" s="151" t="s">
        <v>82</v>
      </c>
      <c r="K1143" s="154">
        <v>28580</v>
      </c>
      <c r="L1143" s="154">
        <v>15740</v>
      </c>
      <c r="M1143" s="155">
        <v>7</v>
      </c>
      <c r="N1143" s="154">
        <v>12840</v>
      </c>
      <c r="O1143" s="154">
        <v>11941.2</v>
      </c>
    </row>
    <row r="1144" spans="2:15" ht="12.75" hidden="1" customHeight="1" outlineLevel="1" x14ac:dyDescent="0.25">
      <c r="B1144" s="570" t="s">
        <v>550</v>
      </c>
      <c r="C1144" s="570"/>
      <c r="D1144" s="570"/>
      <c r="E1144" s="570"/>
      <c r="F1144" s="570"/>
      <c r="G1144" s="570"/>
      <c r="H1144" s="570"/>
      <c r="I1144" s="570"/>
      <c r="J1144" s="570"/>
      <c r="K1144" s="156"/>
      <c r="L1144" s="156"/>
      <c r="M1144" s="156"/>
      <c r="N1144" s="154">
        <v>12840</v>
      </c>
      <c r="O1144" s="154">
        <v>11941.2</v>
      </c>
    </row>
    <row r="1145" spans="2:15" ht="36.75" customHeight="1" collapsed="1" x14ac:dyDescent="0.25">
      <c r="B1145" s="151" t="s">
        <v>943</v>
      </c>
      <c r="C1145" s="152">
        <v>386</v>
      </c>
      <c r="D1145" s="151" t="s">
        <v>902</v>
      </c>
      <c r="E1145" s="151" t="s">
        <v>903</v>
      </c>
      <c r="F1145" s="151" t="s">
        <v>335</v>
      </c>
      <c r="G1145" s="151" t="s">
        <v>339</v>
      </c>
      <c r="H1145" s="153">
        <v>45</v>
      </c>
      <c r="I1145" s="151" t="s">
        <v>909</v>
      </c>
      <c r="J1145" s="151" t="s">
        <v>82</v>
      </c>
      <c r="K1145" s="154">
        <v>27660</v>
      </c>
      <c r="L1145" s="154">
        <v>14730</v>
      </c>
      <c r="M1145" s="155">
        <v>18.5</v>
      </c>
      <c r="N1145" s="154">
        <v>12930</v>
      </c>
      <c r="O1145" s="154">
        <v>10537.9</v>
      </c>
    </row>
    <row r="1146" spans="2:15" ht="12.75" hidden="1" customHeight="1" outlineLevel="1" x14ac:dyDescent="0.25">
      <c r="B1146" s="570" t="s">
        <v>511</v>
      </c>
      <c r="C1146" s="570"/>
      <c r="D1146" s="570"/>
      <c r="E1146" s="570"/>
      <c r="F1146" s="570"/>
      <c r="G1146" s="570"/>
      <c r="H1146" s="570"/>
      <c r="I1146" s="570"/>
      <c r="J1146" s="570"/>
      <c r="K1146" s="156"/>
      <c r="L1146" s="156"/>
      <c r="M1146" s="156"/>
      <c r="N1146" s="154">
        <v>12930</v>
      </c>
      <c r="O1146" s="154">
        <v>10537.9</v>
      </c>
    </row>
    <row r="1147" spans="2:15" ht="36.75" customHeight="1" collapsed="1" x14ac:dyDescent="0.25">
      <c r="B1147" s="151" t="s">
        <v>944</v>
      </c>
      <c r="C1147" s="152">
        <v>387</v>
      </c>
      <c r="D1147" s="151" t="s">
        <v>902</v>
      </c>
      <c r="E1147" s="151" t="s">
        <v>903</v>
      </c>
      <c r="F1147" s="151" t="s">
        <v>111</v>
      </c>
      <c r="G1147" s="151" t="s">
        <v>114</v>
      </c>
      <c r="H1147" s="153">
        <v>45</v>
      </c>
      <c r="I1147" s="151" t="s">
        <v>909</v>
      </c>
      <c r="J1147" s="151" t="s">
        <v>82</v>
      </c>
      <c r="K1147" s="154">
        <v>28780</v>
      </c>
      <c r="L1147" s="154">
        <v>15390</v>
      </c>
      <c r="M1147" s="155">
        <v>12.5</v>
      </c>
      <c r="N1147" s="154">
        <v>13390</v>
      </c>
      <c r="O1147" s="154">
        <v>11716.2</v>
      </c>
    </row>
    <row r="1148" spans="2:15" ht="12.75" hidden="1" customHeight="1" outlineLevel="1" x14ac:dyDescent="0.25">
      <c r="B1148" s="570" t="s">
        <v>511</v>
      </c>
      <c r="C1148" s="570"/>
      <c r="D1148" s="570"/>
      <c r="E1148" s="570"/>
      <c r="F1148" s="570"/>
      <c r="G1148" s="570"/>
      <c r="H1148" s="570"/>
      <c r="I1148" s="570"/>
      <c r="J1148" s="570"/>
      <c r="K1148" s="156"/>
      <c r="L1148" s="156"/>
      <c r="M1148" s="156"/>
      <c r="N1148" s="154">
        <v>13390</v>
      </c>
      <c r="O1148" s="154">
        <v>11716.2</v>
      </c>
    </row>
    <row r="1149" spans="2:15" ht="36.75" customHeight="1" collapsed="1" x14ac:dyDescent="0.25">
      <c r="B1149" s="151" t="s">
        <v>945</v>
      </c>
      <c r="C1149" s="152">
        <v>388</v>
      </c>
      <c r="D1149" s="151" t="s">
        <v>902</v>
      </c>
      <c r="E1149" s="151" t="s">
        <v>903</v>
      </c>
      <c r="F1149" s="151" t="s">
        <v>234</v>
      </c>
      <c r="G1149" s="151" t="s">
        <v>238</v>
      </c>
      <c r="H1149" s="153">
        <v>45</v>
      </c>
      <c r="I1149" s="151" t="s">
        <v>909</v>
      </c>
      <c r="J1149" s="151" t="s">
        <v>82</v>
      </c>
      <c r="K1149" s="154">
        <v>28770</v>
      </c>
      <c r="L1149" s="154">
        <v>15590</v>
      </c>
      <c r="M1149" s="155">
        <v>20.5</v>
      </c>
      <c r="N1149" s="154">
        <v>13180</v>
      </c>
      <c r="O1149" s="154">
        <v>10478.1</v>
      </c>
    </row>
    <row r="1150" spans="2:15" ht="12.75" hidden="1" customHeight="1" outlineLevel="1" x14ac:dyDescent="0.25">
      <c r="B1150" s="570" t="s">
        <v>511</v>
      </c>
      <c r="C1150" s="570"/>
      <c r="D1150" s="570"/>
      <c r="E1150" s="570"/>
      <c r="F1150" s="570"/>
      <c r="G1150" s="570"/>
      <c r="H1150" s="570"/>
      <c r="I1150" s="570"/>
      <c r="J1150" s="570"/>
      <c r="K1150" s="156"/>
      <c r="L1150" s="156"/>
      <c r="M1150" s="156"/>
      <c r="N1150" s="154">
        <v>13180</v>
      </c>
      <c r="O1150" s="154">
        <v>10478.1</v>
      </c>
    </row>
    <row r="1151" spans="2:15" ht="36.75" customHeight="1" collapsed="1" x14ac:dyDescent="0.25">
      <c r="B1151" s="151" t="s">
        <v>1052</v>
      </c>
      <c r="C1151" s="152">
        <v>406</v>
      </c>
      <c r="D1151" s="153">
        <v>26</v>
      </c>
      <c r="E1151" s="151" t="s">
        <v>903</v>
      </c>
      <c r="F1151" s="151" t="s">
        <v>305</v>
      </c>
      <c r="G1151" s="151" t="s">
        <v>309</v>
      </c>
      <c r="H1151" s="151" t="s">
        <v>967</v>
      </c>
      <c r="I1151" s="151" t="s">
        <v>909</v>
      </c>
      <c r="J1151" s="151" t="s">
        <v>82</v>
      </c>
      <c r="K1151" s="154">
        <v>27890</v>
      </c>
      <c r="L1151" s="154">
        <v>14420</v>
      </c>
      <c r="M1151" s="155">
        <v>13.5</v>
      </c>
      <c r="N1151" s="154">
        <v>13470</v>
      </c>
      <c r="O1151" s="154">
        <v>11651.5</v>
      </c>
    </row>
    <row r="1152" spans="2:15" ht="12.75" hidden="1" customHeight="1" outlineLevel="1" x14ac:dyDescent="0.25">
      <c r="B1152" s="570" t="s">
        <v>511</v>
      </c>
      <c r="C1152" s="570"/>
      <c r="D1152" s="570"/>
      <c r="E1152" s="570"/>
      <c r="F1152" s="570"/>
      <c r="G1152" s="570"/>
      <c r="H1152" s="570"/>
      <c r="I1152" s="570"/>
      <c r="J1152" s="570"/>
      <c r="K1152" s="156"/>
      <c r="L1152" s="156"/>
      <c r="M1152" s="156"/>
      <c r="N1152" s="154">
        <v>13470</v>
      </c>
      <c r="O1152" s="154">
        <v>11651.5</v>
      </c>
    </row>
    <row r="1153" spans="2:15" ht="36.75" customHeight="1" collapsed="1" x14ac:dyDescent="0.25">
      <c r="B1153" s="151" t="s">
        <v>1053</v>
      </c>
      <c r="C1153" s="152">
        <v>408</v>
      </c>
      <c r="D1153" s="151" t="s">
        <v>902</v>
      </c>
      <c r="E1153" s="151" t="s">
        <v>903</v>
      </c>
      <c r="F1153" s="151" t="s">
        <v>195</v>
      </c>
      <c r="G1153" s="151" t="s">
        <v>199</v>
      </c>
      <c r="H1153" s="151" t="s">
        <v>967</v>
      </c>
      <c r="I1153" s="151" t="s">
        <v>909</v>
      </c>
      <c r="J1153" s="151" t="s">
        <v>82</v>
      </c>
      <c r="K1153" s="154">
        <v>23210</v>
      </c>
      <c r="L1153" s="154">
        <v>15130</v>
      </c>
      <c r="M1153" s="155">
        <v>21</v>
      </c>
      <c r="N1153" s="154">
        <v>8080</v>
      </c>
      <c r="O1153" s="154">
        <v>6383.2</v>
      </c>
    </row>
    <row r="1154" spans="2:15" ht="12.75" hidden="1" customHeight="1" outlineLevel="1" x14ac:dyDescent="0.25">
      <c r="B1154" s="570" t="s">
        <v>511</v>
      </c>
      <c r="C1154" s="570"/>
      <c r="D1154" s="570"/>
      <c r="E1154" s="570"/>
      <c r="F1154" s="570"/>
      <c r="G1154" s="570"/>
      <c r="H1154" s="570"/>
      <c r="I1154" s="570"/>
      <c r="J1154" s="570"/>
      <c r="K1154" s="156"/>
      <c r="L1154" s="156"/>
      <c r="M1154" s="156"/>
      <c r="N1154" s="154">
        <v>8080</v>
      </c>
      <c r="O1154" s="154">
        <v>6383.2</v>
      </c>
    </row>
    <row r="1155" spans="2:15" ht="36.75" customHeight="1" collapsed="1" x14ac:dyDescent="0.25">
      <c r="B1155" s="151" t="s">
        <v>946</v>
      </c>
      <c r="C1155" s="152">
        <v>389</v>
      </c>
      <c r="D1155" s="151" t="s">
        <v>902</v>
      </c>
      <c r="E1155" s="151" t="s">
        <v>903</v>
      </c>
      <c r="F1155" s="151" t="s">
        <v>1152</v>
      </c>
      <c r="G1155" s="151" t="s">
        <v>119</v>
      </c>
      <c r="H1155" s="153">
        <v>45</v>
      </c>
      <c r="I1155" s="151" t="s">
        <v>909</v>
      </c>
      <c r="J1155" s="151" t="s">
        <v>82</v>
      </c>
      <c r="K1155" s="154">
        <v>34210</v>
      </c>
      <c r="L1155" s="154">
        <v>21060</v>
      </c>
      <c r="M1155" s="155">
        <v>16</v>
      </c>
      <c r="N1155" s="154">
        <v>13150</v>
      </c>
      <c r="O1155" s="154">
        <v>11046</v>
      </c>
    </row>
    <row r="1156" spans="2:15" ht="12.75" hidden="1" customHeight="1" outlineLevel="1" x14ac:dyDescent="0.25">
      <c r="B1156" s="570" t="s">
        <v>511</v>
      </c>
      <c r="C1156" s="570"/>
      <c r="D1156" s="570"/>
      <c r="E1156" s="570"/>
      <c r="F1156" s="570"/>
      <c r="G1156" s="570"/>
      <c r="H1156" s="570"/>
      <c r="I1156" s="570"/>
      <c r="J1156" s="570"/>
      <c r="K1156" s="156"/>
      <c r="L1156" s="156"/>
      <c r="M1156" s="156"/>
      <c r="N1156" s="154">
        <v>13150</v>
      </c>
      <c r="O1156" s="154">
        <v>11046</v>
      </c>
    </row>
    <row r="1157" spans="2:15" ht="36.75" customHeight="1" collapsed="1" x14ac:dyDescent="0.25">
      <c r="B1157" s="151" t="s">
        <v>1056</v>
      </c>
      <c r="C1157" s="152">
        <v>405</v>
      </c>
      <c r="D1157" s="151" t="s">
        <v>902</v>
      </c>
      <c r="E1157" s="151" t="s">
        <v>903</v>
      </c>
      <c r="F1157" s="151" t="s">
        <v>195</v>
      </c>
      <c r="G1157" s="151" t="s">
        <v>199</v>
      </c>
      <c r="H1157" s="151" t="s">
        <v>957</v>
      </c>
      <c r="I1157" s="151" t="s">
        <v>901</v>
      </c>
      <c r="J1157" s="151" t="s">
        <v>82</v>
      </c>
      <c r="K1157" s="154">
        <v>29840</v>
      </c>
      <c r="L1157" s="154">
        <v>23210</v>
      </c>
      <c r="M1157" s="155">
        <v>14.5</v>
      </c>
      <c r="N1157" s="154">
        <v>6630</v>
      </c>
      <c r="O1157" s="154">
        <v>5668.6</v>
      </c>
    </row>
    <row r="1158" spans="2:15" ht="12.75" hidden="1" customHeight="1" outlineLevel="1" x14ac:dyDescent="0.25">
      <c r="B1158" s="570" t="s">
        <v>511</v>
      </c>
      <c r="C1158" s="570"/>
      <c r="D1158" s="570"/>
      <c r="E1158" s="570"/>
      <c r="F1158" s="570"/>
      <c r="G1158" s="570"/>
      <c r="H1158" s="570"/>
      <c r="I1158" s="570"/>
      <c r="J1158" s="570"/>
      <c r="K1158" s="156"/>
      <c r="L1158" s="156"/>
      <c r="M1158" s="156"/>
      <c r="N1158" s="154">
        <v>6630</v>
      </c>
      <c r="O1158" s="154">
        <v>5668.6</v>
      </c>
    </row>
    <row r="1159" spans="2:15" ht="36.75" customHeight="1" collapsed="1" x14ac:dyDescent="0.25">
      <c r="B1159" s="151" t="s">
        <v>947</v>
      </c>
      <c r="C1159" s="152">
        <v>390</v>
      </c>
      <c r="D1159" s="151" t="s">
        <v>902</v>
      </c>
      <c r="E1159" s="151" t="s">
        <v>903</v>
      </c>
      <c r="F1159" s="151" t="s">
        <v>160</v>
      </c>
      <c r="G1159" s="151" t="s">
        <v>164</v>
      </c>
      <c r="H1159" s="153">
        <v>45</v>
      </c>
      <c r="I1159" s="151" t="s">
        <v>909</v>
      </c>
      <c r="J1159" s="151" t="s">
        <v>82</v>
      </c>
      <c r="K1159" s="154">
        <v>37250</v>
      </c>
      <c r="L1159" s="154">
        <v>24020</v>
      </c>
      <c r="M1159" s="155">
        <v>12.5</v>
      </c>
      <c r="N1159" s="154">
        <v>13230</v>
      </c>
      <c r="O1159" s="154">
        <v>11576.2</v>
      </c>
    </row>
    <row r="1160" spans="2:15" ht="12.75" hidden="1" customHeight="1" outlineLevel="1" x14ac:dyDescent="0.25">
      <c r="B1160" s="570" t="s">
        <v>511</v>
      </c>
      <c r="C1160" s="570"/>
      <c r="D1160" s="570"/>
      <c r="E1160" s="570"/>
      <c r="F1160" s="570"/>
      <c r="G1160" s="570"/>
      <c r="H1160" s="570"/>
      <c r="I1160" s="570"/>
      <c r="J1160" s="570"/>
      <c r="K1160" s="156"/>
      <c r="L1160" s="156"/>
      <c r="M1160" s="156"/>
      <c r="N1160" s="154">
        <v>13230</v>
      </c>
      <c r="O1160" s="154">
        <v>11576.2</v>
      </c>
    </row>
    <row r="1161" spans="2:15" ht="36.75" customHeight="1" collapsed="1" x14ac:dyDescent="0.25">
      <c r="B1161" s="151" t="s">
        <v>948</v>
      </c>
      <c r="C1161" s="152">
        <v>391</v>
      </c>
      <c r="D1161" s="151" t="s">
        <v>902</v>
      </c>
      <c r="E1161" s="151" t="s">
        <v>903</v>
      </c>
      <c r="F1161" s="151" t="s">
        <v>151</v>
      </c>
      <c r="G1161" s="151" t="s">
        <v>155</v>
      </c>
      <c r="H1161" s="153">
        <v>45</v>
      </c>
      <c r="I1161" s="151" t="s">
        <v>909</v>
      </c>
      <c r="J1161" s="151" t="s">
        <v>82</v>
      </c>
      <c r="K1161" s="154">
        <v>27970</v>
      </c>
      <c r="L1161" s="154">
        <v>14910</v>
      </c>
      <c r="M1161" s="155">
        <v>14.5</v>
      </c>
      <c r="N1161" s="154">
        <v>13060</v>
      </c>
      <c r="O1161" s="154">
        <v>11166.3</v>
      </c>
    </row>
    <row r="1162" spans="2:15" ht="12.75" hidden="1" customHeight="1" outlineLevel="1" x14ac:dyDescent="0.25">
      <c r="B1162" s="570" t="s">
        <v>511</v>
      </c>
      <c r="C1162" s="570"/>
      <c r="D1162" s="570"/>
      <c r="E1162" s="570"/>
      <c r="F1162" s="570"/>
      <c r="G1162" s="570"/>
      <c r="H1162" s="570"/>
      <c r="I1162" s="570"/>
      <c r="J1162" s="570"/>
      <c r="K1162" s="156"/>
      <c r="L1162" s="156"/>
      <c r="M1162" s="156"/>
      <c r="N1162" s="154">
        <v>13060</v>
      </c>
      <c r="O1162" s="154">
        <v>11166.3</v>
      </c>
    </row>
    <row r="1163" spans="2:15" ht="36.75" customHeight="1" collapsed="1" x14ac:dyDescent="0.25">
      <c r="B1163" s="151" t="s">
        <v>949</v>
      </c>
      <c r="C1163" s="152">
        <v>392</v>
      </c>
      <c r="D1163" s="151" t="s">
        <v>902</v>
      </c>
      <c r="E1163" s="151" t="s">
        <v>903</v>
      </c>
      <c r="F1163" s="151" t="s">
        <v>347</v>
      </c>
      <c r="G1163" s="151" t="s">
        <v>351</v>
      </c>
      <c r="H1163" s="153">
        <v>45</v>
      </c>
      <c r="I1163" s="151" t="s">
        <v>909</v>
      </c>
      <c r="J1163" s="151" t="s">
        <v>82</v>
      </c>
      <c r="K1163" s="154">
        <v>31920</v>
      </c>
      <c r="L1163" s="154">
        <v>18730</v>
      </c>
      <c r="M1163" s="155">
        <v>8.5</v>
      </c>
      <c r="N1163" s="154">
        <v>13190</v>
      </c>
      <c r="O1163" s="154">
        <v>12068.8</v>
      </c>
    </row>
    <row r="1164" spans="2:15" ht="12.75" hidden="1" customHeight="1" outlineLevel="1" x14ac:dyDescent="0.25">
      <c r="B1164" s="570" t="s">
        <v>511</v>
      </c>
      <c r="C1164" s="570"/>
      <c r="D1164" s="570"/>
      <c r="E1164" s="570"/>
      <c r="F1164" s="570"/>
      <c r="G1164" s="570"/>
      <c r="H1164" s="570"/>
      <c r="I1164" s="570"/>
      <c r="J1164" s="570"/>
      <c r="K1164" s="156"/>
      <c r="L1164" s="156"/>
      <c r="M1164" s="156"/>
      <c r="N1164" s="154">
        <v>13190</v>
      </c>
      <c r="O1164" s="154">
        <v>12068.8</v>
      </c>
    </row>
    <row r="1165" spans="2:15" ht="36.75" customHeight="1" collapsed="1" x14ac:dyDescent="0.25">
      <c r="B1165" s="151" t="s">
        <v>950</v>
      </c>
      <c r="C1165" s="152">
        <v>393</v>
      </c>
      <c r="D1165" s="151" t="s">
        <v>902</v>
      </c>
      <c r="E1165" s="151" t="s">
        <v>903</v>
      </c>
      <c r="F1165" s="151" t="s">
        <v>133</v>
      </c>
      <c r="G1165" s="151" t="s">
        <v>137</v>
      </c>
      <c r="H1165" s="153">
        <v>45</v>
      </c>
      <c r="I1165" s="151" t="s">
        <v>909</v>
      </c>
      <c r="J1165" s="151" t="s">
        <v>82</v>
      </c>
      <c r="K1165" s="154">
        <v>28050</v>
      </c>
      <c r="L1165" s="154">
        <v>14910</v>
      </c>
      <c r="M1165" s="155">
        <v>14.5</v>
      </c>
      <c r="N1165" s="154">
        <v>13140</v>
      </c>
      <c r="O1165" s="154">
        <v>11234.7</v>
      </c>
    </row>
    <row r="1166" spans="2:15" ht="12.75" hidden="1" customHeight="1" outlineLevel="1" x14ac:dyDescent="0.25">
      <c r="B1166" s="570" t="s">
        <v>511</v>
      </c>
      <c r="C1166" s="570"/>
      <c r="D1166" s="570"/>
      <c r="E1166" s="570"/>
      <c r="F1166" s="570"/>
      <c r="G1166" s="570"/>
      <c r="H1166" s="570"/>
      <c r="I1166" s="570"/>
      <c r="J1166" s="570"/>
      <c r="K1166" s="156"/>
      <c r="L1166" s="156"/>
      <c r="M1166" s="156"/>
      <c r="N1166" s="154">
        <v>13140</v>
      </c>
      <c r="O1166" s="154">
        <v>11234.7</v>
      </c>
    </row>
    <row r="1167" spans="2:15" ht="36.75" customHeight="1" collapsed="1" x14ac:dyDescent="0.25">
      <c r="B1167" s="151" t="s">
        <v>951</v>
      </c>
      <c r="C1167" s="152">
        <v>394</v>
      </c>
      <c r="D1167" s="151" t="s">
        <v>902</v>
      </c>
      <c r="E1167" s="151" t="s">
        <v>903</v>
      </c>
      <c r="F1167" s="151" t="s">
        <v>212</v>
      </c>
      <c r="G1167" s="151" t="s">
        <v>216</v>
      </c>
      <c r="H1167" s="153">
        <v>45</v>
      </c>
      <c r="I1167" s="151" t="s">
        <v>909</v>
      </c>
      <c r="J1167" s="151" t="s">
        <v>82</v>
      </c>
      <c r="K1167" s="154">
        <v>28480</v>
      </c>
      <c r="L1167" s="154">
        <v>13810</v>
      </c>
      <c r="M1167" s="155">
        <v>10.5</v>
      </c>
      <c r="N1167" s="154">
        <v>14670</v>
      </c>
      <c r="O1167" s="154">
        <v>13129.6</v>
      </c>
    </row>
    <row r="1168" spans="2:15" ht="12.75" hidden="1" customHeight="1" outlineLevel="1" x14ac:dyDescent="0.25">
      <c r="B1168" s="570" t="s">
        <v>511</v>
      </c>
      <c r="C1168" s="570"/>
      <c r="D1168" s="570"/>
      <c r="E1168" s="570"/>
      <c r="F1168" s="570"/>
      <c r="G1168" s="570"/>
      <c r="H1168" s="570"/>
      <c r="I1168" s="570"/>
      <c r="J1168" s="570"/>
      <c r="K1168" s="156"/>
      <c r="L1168" s="156"/>
      <c r="M1168" s="156"/>
      <c r="N1168" s="154">
        <v>14670</v>
      </c>
      <c r="O1168" s="154">
        <v>13129.6</v>
      </c>
    </row>
    <row r="1169" spans="2:15" ht="36.75" customHeight="1" collapsed="1" x14ac:dyDescent="0.25">
      <c r="B1169" s="151" t="s">
        <v>952</v>
      </c>
      <c r="C1169" s="152">
        <v>395</v>
      </c>
      <c r="D1169" s="151" t="s">
        <v>902</v>
      </c>
      <c r="E1169" s="151" t="s">
        <v>903</v>
      </c>
      <c r="F1169" s="151" t="s">
        <v>1253</v>
      </c>
      <c r="G1169" s="151" t="s">
        <v>270</v>
      </c>
      <c r="H1169" s="153">
        <v>45</v>
      </c>
      <c r="I1169" s="151" t="s">
        <v>909</v>
      </c>
      <c r="J1169" s="151" t="s">
        <v>82</v>
      </c>
      <c r="K1169" s="154">
        <v>28580</v>
      </c>
      <c r="L1169" s="154">
        <v>14940</v>
      </c>
      <c r="M1169" s="155">
        <v>12</v>
      </c>
      <c r="N1169" s="154">
        <v>13640</v>
      </c>
      <c r="O1169" s="154">
        <v>12003.2</v>
      </c>
    </row>
    <row r="1170" spans="2:15" ht="12.75" hidden="1" customHeight="1" outlineLevel="1" x14ac:dyDescent="0.25">
      <c r="B1170" s="570" t="s">
        <v>511</v>
      </c>
      <c r="C1170" s="570"/>
      <c r="D1170" s="570"/>
      <c r="E1170" s="570"/>
      <c r="F1170" s="570"/>
      <c r="G1170" s="570"/>
      <c r="H1170" s="570"/>
      <c r="I1170" s="570"/>
      <c r="J1170" s="570"/>
      <c r="K1170" s="156"/>
      <c r="L1170" s="156"/>
      <c r="M1170" s="156"/>
      <c r="N1170" s="154">
        <v>13640</v>
      </c>
      <c r="O1170" s="154">
        <v>12003.2</v>
      </c>
    </row>
    <row r="1171" spans="2:15" ht="36.75" customHeight="1" collapsed="1" x14ac:dyDescent="0.25">
      <c r="B1171" s="151" t="s">
        <v>1044</v>
      </c>
      <c r="C1171" s="152">
        <v>397</v>
      </c>
      <c r="D1171" s="151" t="s">
        <v>902</v>
      </c>
      <c r="E1171" s="151" t="s">
        <v>903</v>
      </c>
      <c r="F1171" s="151" t="s">
        <v>272</v>
      </c>
      <c r="G1171" s="151" t="s">
        <v>276</v>
      </c>
      <c r="H1171" s="153">
        <v>45</v>
      </c>
      <c r="I1171" s="151" t="s">
        <v>909</v>
      </c>
      <c r="J1171" s="151" t="s">
        <v>82</v>
      </c>
      <c r="K1171" s="154">
        <v>28480</v>
      </c>
      <c r="L1171" s="154">
        <v>14720</v>
      </c>
      <c r="M1171" s="155">
        <v>14.5</v>
      </c>
      <c r="N1171" s="154">
        <v>13760</v>
      </c>
      <c r="O1171" s="154">
        <v>11764.8</v>
      </c>
    </row>
    <row r="1172" spans="2:15" ht="12.75" hidden="1" customHeight="1" outlineLevel="1" x14ac:dyDescent="0.25">
      <c r="B1172" s="570" t="s">
        <v>511</v>
      </c>
      <c r="C1172" s="570"/>
      <c r="D1172" s="570"/>
      <c r="E1172" s="570"/>
      <c r="F1172" s="570"/>
      <c r="G1172" s="570"/>
      <c r="H1172" s="570"/>
      <c r="I1172" s="570"/>
      <c r="J1172" s="570"/>
      <c r="K1172" s="156"/>
      <c r="L1172" s="156"/>
      <c r="M1172" s="156"/>
      <c r="N1172" s="154">
        <v>13760</v>
      </c>
      <c r="O1172" s="154">
        <v>11764.8</v>
      </c>
    </row>
    <row r="1173" spans="2:15" ht="36.75" customHeight="1" collapsed="1" x14ac:dyDescent="0.25">
      <c r="B1173" s="151" t="s">
        <v>1045</v>
      </c>
      <c r="C1173" s="152">
        <v>398</v>
      </c>
      <c r="D1173" s="151"/>
      <c r="E1173" s="151" t="s">
        <v>903</v>
      </c>
      <c r="F1173" s="151" t="s">
        <v>239</v>
      </c>
      <c r="G1173" s="151" t="s">
        <v>243</v>
      </c>
      <c r="H1173" s="153">
        <v>45</v>
      </c>
      <c r="I1173" s="151" t="s">
        <v>909</v>
      </c>
      <c r="J1173" s="151" t="s">
        <v>82</v>
      </c>
      <c r="K1173" s="154">
        <v>28360</v>
      </c>
      <c r="L1173" s="154">
        <v>14550</v>
      </c>
      <c r="M1173" s="155">
        <v>13.5</v>
      </c>
      <c r="N1173" s="154">
        <v>13810</v>
      </c>
      <c r="O1173" s="154">
        <v>11945.6</v>
      </c>
    </row>
    <row r="1174" spans="2:15" ht="12.75" hidden="1" customHeight="1" outlineLevel="1" x14ac:dyDescent="0.25">
      <c r="B1174" s="570" t="s">
        <v>511</v>
      </c>
      <c r="C1174" s="570"/>
      <c r="D1174" s="570"/>
      <c r="E1174" s="570"/>
      <c r="F1174" s="570"/>
      <c r="G1174" s="570"/>
      <c r="H1174" s="570"/>
      <c r="I1174" s="570"/>
      <c r="J1174" s="570"/>
      <c r="K1174" s="156"/>
      <c r="L1174" s="156"/>
      <c r="M1174" s="156"/>
      <c r="N1174" s="154">
        <v>13810</v>
      </c>
      <c r="O1174" s="154">
        <v>11945.6</v>
      </c>
    </row>
    <row r="1175" spans="2:15" ht="36.75" customHeight="1" collapsed="1" x14ac:dyDescent="0.25">
      <c r="B1175" s="151" t="s">
        <v>1046</v>
      </c>
      <c r="C1175" s="152">
        <v>399</v>
      </c>
      <c r="D1175" s="151" t="s">
        <v>902</v>
      </c>
      <c r="E1175" s="151" t="s">
        <v>903</v>
      </c>
      <c r="F1175" s="151" t="s">
        <v>121</v>
      </c>
      <c r="G1175" s="151" t="s">
        <v>125</v>
      </c>
      <c r="H1175" s="153">
        <v>45</v>
      </c>
      <c r="I1175" s="151" t="s">
        <v>909</v>
      </c>
      <c r="J1175" s="151" t="s">
        <v>82</v>
      </c>
      <c r="K1175" s="154">
        <v>28180</v>
      </c>
      <c r="L1175" s="154">
        <v>14660</v>
      </c>
      <c r="M1175" s="155">
        <v>13</v>
      </c>
      <c r="N1175" s="154">
        <v>13520</v>
      </c>
      <c r="O1175" s="154">
        <v>11762.4</v>
      </c>
    </row>
    <row r="1176" spans="2:15" ht="12.75" hidden="1" customHeight="1" outlineLevel="1" x14ac:dyDescent="0.25">
      <c r="B1176" s="570" t="s">
        <v>511</v>
      </c>
      <c r="C1176" s="570"/>
      <c r="D1176" s="570"/>
      <c r="E1176" s="570"/>
      <c r="F1176" s="570"/>
      <c r="G1176" s="570"/>
      <c r="H1176" s="570"/>
      <c r="I1176" s="570"/>
      <c r="J1176" s="570"/>
      <c r="K1176" s="156"/>
      <c r="L1176" s="156"/>
      <c r="M1176" s="156"/>
      <c r="N1176" s="154">
        <v>13520</v>
      </c>
      <c r="O1176" s="154">
        <v>11762.4</v>
      </c>
    </row>
    <row r="1177" spans="2:15" ht="36.75" customHeight="1" collapsed="1" x14ac:dyDescent="0.25">
      <c r="B1177" s="151" t="s">
        <v>1047</v>
      </c>
      <c r="C1177" s="152">
        <v>400</v>
      </c>
      <c r="D1177" s="151" t="s">
        <v>902</v>
      </c>
      <c r="E1177" s="151" t="s">
        <v>903</v>
      </c>
      <c r="F1177" s="151" t="s">
        <v>1151</v>
      </c>
      <c r="G1177" s="151" t="s">
        <v>145</v>
      </c>
      <c r="H1177" s="151" t="s">
        <v>967</v>
      </c>
      <c r="I1177" s="151" t="s">
        <v>909</v>
      </c>
      <c r="J1177" s="151" t="s">
        <v>82</v>
      </c>
      <c r="K1177" s="154">
        <v>29060</v>
      </c>
      <c r="L1177" s="154">
        <v>15720</v>
      </c>
      <c r="M1177" s="155">
        <v>11.5</v>
      </c>
      <c r="N1177" s="154">
        <v>13340</v>
      </c>
      <c r="O1177" s="154">
        <v>11805.9</v>
      </c>
    </row>
    <row r="1178" spans="2:15" ht="12.75" hidden="1" customHeight="1" outlineLevel="1" x14ac:dyDescent="0.25">
      <c r="B1178" s="570" t="s">
        <v>550</v>
      </c>
      <c r="C1178" s="570"/>
      <c r="D1178" s="570"/>
      <c r="E1178" s="570"/>
      <c r="F1178" s="570"/>
      <c r="G1178" s="570"/>
      <c r="H1178" s="570"/>
      <c r="I1178" s="570"/>
      <c r="J1178" s="570"/>
      <c r="K1178" s="156"/>
      <c r="L1178" s="156"/>
      <c r="M1178" s="156"/>
      <c r="N1178" s="154">
        <v>13340</v>
      </c>
      <c r="O1178" s="154">
        <v>11805.9</v>
      </c>
    </row>
    <row r="1179" spans="2:15" ht="36.75" customHeight="1" collapsed="1" x14ac:dyDescent="0.25">
      <c r="B1179" s="151" t="s">
        <v>1050</v>
      </c>
      <c r="C1179" s="152">
        <v>403</v>
      </c>
      <c r="D1179" s="151" t="s">
        <v>902</v>
      </c>
      <c r="E1179" s="151" t="s">
        <v>903</v>
      </c>
      <c r="F1179" s="151" t="s">
        <v>234</v>
      </c>
      <c r="G1179" s="151" t="s">
        <v>238</v>
      </c>
      <c r="H1179" s="151" t="s">
        <v>967</v>
      </c>
      <c r="I1179" s="151" t="s">
        <v>909</v>
      </c>
      <c r="J1179" s="151" t="s">
        <v>82</v>
      </c>
      <c r="K1179" s="154">
        <v>28930</v>
      </c>
      <c r="L1179" s="154">
        <v>15520</v>
      </c>
      <c r="M1179" s="155">
        <v>12.5</v>
      </c>
      <c r="N1179" s="154">
        <v>13410</v>
      </c>
      <c r="O1179" s="154">
        <v>11733.7</v>
      </c>
    </row>
    <row r="1180" spans="2:15" ht="12.75" hidden="1" customHeight="1" outlineLevel="1" x14ac:dyDescent="0.25">
      <c r="B1180" s="570" t="s">
        <v>511</v>
      </c>
      <c r="C1180" s="570"/>
      <c r="D1180" s="570"/>
      <c r="E1180" s="570"/>
      <c r="F1180" s="570"/>
      <c r="G1180" s="570"/>
      <c r="H1180" s="570"/>
      <c r="I1180" s="570"/>
      <c r="J1180" s="570"/>
      <c r="K1180" s="156"/>
      <c r="L1180" s="156"/>
      <c r="M1180" s="156"/>
      <c r="N1180" s="154">
        <v>13410</v>
      </c>
      <c r="O1180" s="154">
        <v>11733.7</v>
      </c>
    </row>
    <row r="1181" spans="2:15" ht="36.75" customHeight="1" collapsed="1" x14ac:dyDescent="0.25">
      <c r="B1181" s="151" t="s">
        <v>1051</v>
      </c>
      <c r="C1181" s="152">
        <v>404</v>
      </c>
      <c r="D1181" s="151" t="s">
        <v>902</v>
      </c>
      <c r="E1181" s="151" t="s">
        <v>903</v>
      </c>
      <c r="F1181" s="151" t="s">
        <v>111</v>
      </c>
      <c r="G1181" s="151" t="s">
        <v>114</v>
      </c>
      <c r="H1181" s="151" t="s">
        <v>967</v>
      </c>
      <c r="I1181" s="151" t="s">
        <v>909</v>
      </c>
      <c r="J1181" s="151" t="s">
        <v>82</v>
      </c>
      <c r="K1181" s="154">
        <v>28570</v>
      </c>
      <c r="L1181" s="154">
        <v>15350</v>
      </c>
      <c r="M1181" s="155">
        <v>9.5</v>
      </c>
      <c r="N1181" s="154">
        <v>13220</v>
      </c>
      <c r="O1181" s="154">
        <v>11964.1</v>
      </c>
    </row>
    <row r="1182" spans="2:15" ht="12.75" hidden="1" customHeight="1" outlineLevel="1" x14ac:dyDescent="0.25">
      <c r="B1182" s="570" t="s">
        <v>511</v>
      </c>
      <c r="C1182" s="570"/>
      <c r="D1182" s="570"/>
      <c r="E1182" s="570"/>
      <c r="F1182" s="570"/>
      <c r="G1182" s="570"/>
      <c r="H1182" s="570"/>
      <c r="I1182" s="570"/>
      <c r="J1182" s="570"/>
      <c r="K1182" s="156"/>
      <c r="L1182" s="156"/>
      <c r="M1182" s="156"/>
      <c r="N1182" s="154">
        <v>13220</v>
      </c>
      <c r="O1182" s="154">
        <v>11964.1</v>
      </c>
    </row>
    <row r="1183" spans="2:15" ht="36.75" customHeight="1" collapsed="1" x14ac:dyDescent="0.25">
      <c r="B1183" s="151" t="s">
        <v>1048</v>
      </c>
      <c r="C1183" s="152">
        <v>401</v>
      </c>
      <c r="D1183" s="151" t="s">
        <v>902</v>
      </c>
      <c r="E1183" s="151" t="s">
        <v>903</v>
      </c>
      <c r="F1183" s="151" t="s">
        <v>1461</v>
      </c>
      <c r="G1183" s="151" t="s">
        <v>149</v>
      </c>
      <c r="H1183" s="151" t="s">
        <v>967</v>
      </c>
      <c r="I1183" s="151" t="s">
        <v>909</v>
      </c>
      <c r="J1183" s="151" t="s">
        <v>82</v>
      </c>
      <c r="K1183" s="154">
        <v>28460</v>
      </c>
      <c r="L1183" s="154">
        <v>15050</v>
      </c>
      <c r="M1183" s="155">
        <v>12</v>
      </c>
      <c r="N1183" s="154">
        <v>13410</v>
      </c>
      <c r="O1183" s="154">
        <v>11800.8</v>
      </c>
    </row>
    <row r="1184" spans="2:15" ht="12.75" hidden="1" customHeight="1" outlineLevel="1" x14ac:dyDescent="0.25">
      <c r="B1184" s="570" t="s">
        <v>511</v>
      </c>
      <c r="C1184" s="570"/>
      <c r="D1184" s="570"/>
      <c r="E1184" s="570"/>
      <c r="F1184" s="570"/>
      <c r="G1184" s="570"/>
      <c r="H1184" s="570"/>
      <c r="I1184" s="570"/>
      <c r="J1184" s="570"/>
      <c r="K1184" s="156"/>
      <c r="L1184" s="156"/>
      <c r="M1184" s="156"/>
      <c r="N1184" s="154">
        <v>13410</v>
      </c>
      <c r="O1184" s="154">
        <v>11800.8</v>
      </c>
    </row>
    <row r="1185" spans="2:15" ht="36.75" customHeight="1" collapsed="1" x14ac:dyDescent="0.25">
      <c r="B1185" s="151" t="s">
        <v>1049</v>
      </c>
      <c r="C1185" s="152">
        <v>402</v>
      </c>
      <c r="D1185" s="151" t="s">
        <v>902</v>
      </c>
      <c r="E1185" s="151" t="s">
        <v>903</v>
      </c>
      <c r="F1185" s="151" t="s">
        <v>335</v>
      </c>
      <c r="G1185" s="151" t="s">
        <v>339</v>
      </c>
      <c r="H1185" s="151" t="s">
        <v>967</v>
      </c>
      <c r="I1185" s="151" t="s">
        <v>909</v>
      </c>
      <c r="J1185" s="151" t="s">
        <v>82</v>
      </c>
      <c r="K1185" s="154">
        <v>28070</v>
      </c>
      <c r="L1185" s="154">
        <v>14720</v>
      </c>
      <c r="M1185" s="155">
        <v>12.5</v>
      </c>
      <c r="N1185" s="154">
        <v>13350</v>
      </c>
      <c r="O1185" s="154">
        <v>11681.2</v>
      </c>
    </row>
    <row r="1186" spans="2:15" ht="12.75" hidden="1" customHeight="1" outlineLevel="1" x14ac:dyDescent="0.25">
      <c r="B1186" s="570" t="s">
        <v>511</v>
      </c>
      <c r="C1186" s="570"/>
      <c r="D1186" s="570"/>
      <c r="E1186" s="570"/>
      <c r="F1186" s="570"/>
      <c r="G1186" s="570"/>
      <c r="H1186" s="570"/>
      <c r="I1186" s="570"/>
      <c r="J1186" s="570"/>
      <c r="K1186" s="156"/>
      <c r="L1186" s="156"/>
      <c r="M1186" s="156"/>
      <c r="N1186" s="154">
        <v>13350</v>
      </c>
      <c r="O1186" s="154">
        <v>11681.2</v>
      </c>
    </row>
    <row r="1187" spans="2:15" ht="36.75" customHeight="1" collapsed="1" x14ac:dyDescent="0.25">
      <c r="B1187" s="151" t="s">
        <v>1054</v>
      </c>
      <c r="C1187" s="152">
        <v>407</v>
      </c>
      <c r="D1187" s="153">
        <v>28</v>
      </c>
      <c r="E1187" s="151" t="s">
        <v>903</v>
      </c>
      <c r="F1187" s="151" t="s">
        <v>1312</v>
      </c>
      <c r="G1187" s="151" t="s">
        <v>320</v>
      </c>
      <c r="H1187" s="151" t="s">
        <v>957</v>
      </c>
      <c r="I1187" s="151" t="s">
        <v>901</v>
      </c>
      <c r="J1187" s="151" t="s">
        <v>82</v>
      </c>
      <c r="K1187" s="154">
        <v>27530</v>
      </c>
      <c r="L1187" s="154">
        <v>14450</v>
      </c>
      <c r="M1187" s="155">
        <v>17</v>
      </c>
      <c r="N1187" s="154">
        <v>13080</v>
      </c>
      <c r="O1187" s="154">
        <v>10856.4</v>
      </c>
    </row>
    <row r="1188" spans="2:15" ht="12.75" hidden="1" customHeight="1" outlineLevel="1" x14ac:dyDescent="0.25">
      <c r="B1188" s="570" t="s">
        <v>511</v>
      </c>
      <c r="C1188" s="570"/>
      <c r="D1188" s="570"/>
      <c r="E1188" s="570"/>
      <c r="F1188" s="570"/>
      <c r="G1188" s="570"/>
      <c r="H1188" s="570"/>
      <c r="I1188" s="570"/>
      <c r="J1188" s="570"/>
      <c r="K1188" s="156"/>
      <c r="L1188" s="156"/>
      <c r="M1188" s="156"/>
      <c r="N1188" s="154">
        <v>13080</v>
      </c>
      <c r="O1188" s="154">
        <v>10856.4</v>
      </c>
    </row>
    <row r="1189" spans="2:15" ht="36.75" customHeight="1" collapsed="1" x14ac:dyDescent="0.25">
      <c r="B1189" s="151" t="s">
        <v>1055</v>
      </c>
      <c r="C1189" s="152">
        <v>409</v>
      </c>
      <c r="D1189" s="153">
        <v>29</v>
      </c>
      <c r="E1189" s="151" t="s">
        <v>903</v>
      </c>
      <c r="F1189" s="151" t="s">
        <v>894</v>
      </c>
      <c r="G1189" s="151" t="s">
        <v>895</v>
      </c>
      <c r="H1189" s="151" t="s">
        <v>957</v>
      </c>
      <c r="I1189" s="151" t="s">
        <v>901</v>
      </c>
      <c r="J1189" s="151" t="s">
        <v>82</v>
      </c>
      <c r="K1189" s="154">
        <v>28900</v>
      </c>
      <c r="L1189" s="154">
        <v>14890</v>
      </c>
      <c r="M1189" s="155">
        <v>13.5</v>
      </c>
      <c r="N1189" s="154">
        <v>14010</v>
      </c>
      <c r="O1189" s="154">
        <v>12118.6</v>
      </c>
    </row>
    <row r="1190" spans="2:15" ht="12.75" hidden="1" customHeight="1" outlineLevel="1" x14ac:dyDescent="0.25">
      <c r="B1190" s="570" t="s">
        <v>511</v>
      </c>
      <c r="C1190" s="570"/>
      <c r="D1190" s="570"/>
      <c r="E1190" s="570"/>
      <c r="F1190" s="570"/>
      <c r="G1190" s="570"/>
      <c r="H1190" s="570"/>
      <c r="I1190" s="570"/>
      <c r="J1190" s="570"/>
      <c r="K1190" s="156"/>
      <c r="L1190" s="156"/>
      <c r="M1190" s="156"/>
      <c r="N1190" s="154">
        <v>14010</v>
      </c>
      <c r="O1190" s="154">
        <v>12118.6</v>
      </c>
    </row>
    <row r="1191" spans="2:15" ht="36.75" customHeight="1" collapsed="1" x14ac:dyDescent="0.25">
      <c r="B1191" s="151" t="s">
        <v>1057</v>
      </c>
      <c r="C1191" s="152">
        <v>410</v>
      </c>
      <c r="D1191" s="153">
        <v>30</v>
      </c>
      <c r="E1191" s="151" t="s">
        <v>903</v>
      </c>
      <c r="F1191" s="151" t="s">
        <v>1152</v>
      </c>
      <c r="G1191" s="151" t="s">
        <v>119</v>
      </c>
      <c r="H1191" s="151" t="s">
        <v>957</v>
      </c>
      <c r="I1191" s="151" t="s">
        <v>909</v>
      </c>
      <c r="J1191" s="151" t="s">
        <v>82</v>
      </c>
      <c r="K1191" s="154">
        <v>36780</v>
      </c>
      <c r="L1191" s="154">
        <v>20960</v>
      </c>
      <c r="M1191" s="155">
        <v>14.8</v>
      </c>
      <c r="N1191" s="154">
        <v>15820</v>
      </c>
      <c r="O1191" s="154">
        <v>13482.7</v>
      </c>
    </row>
    <row r="1192" spans="2:15" ht="12.75" hidden="1" customHeight="1" outlineLevel="1" x14ac:dyDescent="0.25">
      <c r="B1192" s="570" t="s">
        <v>511</v>
      </c>
      <c r="C1192" s="570"/>
      <c r="D1192" s="570"/>
      <c r="E1192" s="570"/>
      <c r="F1192" s="570"/>
      <c r="G1192" s="570"/>
      <c r="H1192" s="570"/>
      <c r="I1192" s="570"/>
      <c r="J1192" s="570"/>
      <c r="K1192" s="156"/>
      <c r="L1192" s="156"/>
      <c r="M1192" s="156"/>
      <c r="N1192" s="154">
        <v>6720</v>
      </c>
      <c r="O1192" s="154">
        <v>5611.2</v>
      </c>
    </row>
    <row r="1193" spans="2:15" ht="12.75" hidden="1" customHeight="1" outlineLevel="1" x14ac:dyDescent="0.25">
      <c r="B1193" s="570" t="s">
        <v>511</v>
      </c>
      <c r="C1193" s="570"/>
      <c r="D1193" s="570"/>
      <c r="E1193" s="570"/>
      <c r="F1193" s="570"/>
      <c r="G1193" s="570"/>
      <c r="H1193" s="570"/>
      <c r="I1193" s="570"/>
      <c r="J1193" s="570"/>
      <c r="K1193" s="156"/>
      <c r="L1193" s="156"/>
      <c r="M1193" s="156"/>
      <c r="N1193" s="154">
        <v>9100</v>
      </c>
      <c r="O1193" s="154">
        <v>7871.5</v>
      </c>
    </row>
    <row r="1194" spans="2:15" ht="12.75" customHeight="1" collapsed="1" x14ac:dyDescent="0.25">
      <c r="B1194" s="571" t="s">
        <v>820</v>
      </c>
      <c r="C1194" s="571"/>
      <c r="D1194" s="571"/>
      <c r="E1194" s="571"/>
      <c r="F1194" s="571"/>
      <c r="G1194" s="571"/>
      <c r="H1194" s="571"/>
      <c r="I1194" s="571"/>
      <c r="J1194" s="571"/>
      <c r="K1194" s="154">
        <v>16147495</v>
      </c>
      <c r="L1194" s="154">
        <v>9056905</v>
      </c>
      <c r="M1194" s="155">
        <v>14.5</v>
      </c>
      <c r="N1194" s="154">
        <v>7098140</v>
      </c>
      <c r="O1194" s="154">
        <v>6087068.5</v>
      </c>
    </row>
    <row r="1196" spans="2:15" ht="12.75" customHeight="1" x14ac:dyDescent="0.25">
      <c r="B1196" s="150" t="s">
        <v>821</v>
      </c>
      <c r="C1196" s="572" t="s">
        <v>76</v>
      </c>
      <c r="D1196" s="572" t="s">
        <v>75</v>
      </c>
      <c r="E1196" s="572" t="s">
        <v>37</v>
      </c>
    </row>
    <row r="1197" spans="2:15" ht="12.75" customHeight="1" x14ac:dyDescent="0.25">
      <c r="B1197" s="150" t="s">
        <v>71</v>
      </c>
      <c r="C1197" s="573"/>
      <c r="D1197" s="573"/>
      <c r="E1197" s="573"/>
    </row>
    <row r="1198" spans="2:15" ht="12.75" customHeight="1" x14ac:dyDescent="0.25">
      <c r="B1198" s="151" t="s">
        <v>82</v>
      </c>
      <c r="C1198" s="151"/>
      <c r="D1198" s="151"/>
      <c r="E1198" s="151"/>
    </row>
    <row r="1199" spans="2:15" ht="12.75" hidden="1" customHeight="1" outlineLevel="1" x14ac:dyDescent="0.25">
      <c r="B1199" s="151" t="s">
        <v>524</v>
      </c>
      <c r="C1199" s="154">
        <v>172680</v>
      </c>
      <c r="D1199" s="156"/>
      <c r="E1199" s="154">
        <v>147857.60000000001</v>
      </c>
    </row>
    <row r="1200" spans="2:15" ht="12.75" hidden="1" customHeight="1" outlineLevel="2" x14ac:dyDescent="0.25">
      <c r="B1200" s="151" t="s">
        <v>511</v>
      </c>
      <c r="C1200" s="154">
        <v>73040</v>
      </c>
      <c r="D1200" s="155">
        <v>16.7</v>
      </c>
      <c r="E1200" s="154">
        <v>60358.2</v>
      </c>
    </row>
    <row r="1201" spans="2:5" ht="12.75" hidden="1" customHeight="1" outlineLevel="2" x14ac:dyDescent="0.25">
      <c r="B1201" s="151" t="s">
        <v>550</v>
      </c>
      <c r="C1201" s="154">
        <v>43830</v>
      </c>
      <c r="D1201" s="155">
        <v>10.6</v>
      </c>
      <c r="E1201" s="154">
        <v>39053</v>
      </c>
    </row>
    <row r="1202" spans="2:5" ht="12.75" hidden="1" customHeight="1" outlineLevel="2" x14ac:dyDescent="0.25">
      <c r="B1202" s="151" t="s">
        <v>833</v>
      </c>
      <c r="C1202" s="154">
        <v>55810</v>
      </c>
      <c r="D1202" s="155">
        <v>13.2</v>
      </c>
      <c r="E1202" s="154">
        <v>48446.400000000001</v>
      </c>
    </row>
    <row r="1203" spans="2:5" ht="12.75" hidden="1" customHeight="1" outlineLevel="1" x14ac:dyDescent="0.25">
      <c r="B1203" s="151" t="s">
        <v>81</v>
      </c>
      <c r="C1203" s="154">
        <v>399730</v>
      </c>
      <c r="D1203" s="156"/>
      <c r="E1203" s="154">
        <v>312805.2</v>
      </c>
    </row>
    <row r="1204" spans="2:5" ht="12.75" hidden="1" customHeight="1" outlineLevel="2" x14ac:dyDescent="0.25">
      <c r="B1204" s="151" t="s">
        <v>511</v>
      </c>
      <c r="C1204" s="154">
        <v>389900</v>
      </c>
      <c r="D1204" s="155">
        <v>22.5</v>
      </c>
      <c r="E1204" s="154">
        <v>304596.90000000002</v>
      </c>
    </row>
    <row r="1205" spans="2:5" ht="12.75" hidden="1" customHeight="1" outlineLevel="2" x14ac:dyDescent="0.25">
      <c r="B1205" s="151" t="s">
        <v>550</v>
      </c>
      <c r="C1205" s="154">
        <v>9830</v>
      </c>
      <c r="D1205" s="155">
        <v>16.5</v>
      </c>
      <c r="E1205" s="154">
        <v>8208.2999999999993</v>
      </c>
    </row>
    <row r="1206" spans="2:5" ht="12.75" hidden="1" customHeight="1" outlineLevel="1" x14ac:dyDescent="0.25">
      <c r="B1206" s="151" t="s">
        <v>909</v>
      </c>
      <c r="C1206" s="154">
        <v>2212825</v>
      </c>
      <c r="D1206" s="156"/>
      <c r="E1206" s="154">
        <v>1947700.9</v>
      </c>
    </row>
    <row r="1207" spans="2:5" ht="12.75" hidden="1" customHeight="1" outlineLevel="2" x14ac:dyDescent="0.25">
      <c r="B1207" s="151" t="s">
        <v>511</v>
      </c>
      <c r="C1207" s="154">
        <v>1651395</v>
      </c>
      <c r="D1207" s="155">
        <v>13.4</v>
      </c>
      <c r="E1207" s="154">
        <v>1434887.7</v>
      </c>
    </row>
    <row r="1208" spans="2:5" ht="12.75" hidden="1" customHeight="1" outlineLevel="2" x14ac:dyDescent="0.25">
      <c r="B1208" s="151" t="s">
        <v>550</v>
      </c>
      <c r="C1208" s="154">
        <v>419310</v>
      </c>
      <c r="D1208" s="155">
        <v>8</v>
      </c>
      <c r="E1208" s="154">
        <v>385507.8</v>
      </c>
    </row>
    <row r="1209" spans="2:5" ht="12.75" hidden="1" customHeight="1" outlineLevel="2" x14ac:dyDescent="0.25">
      <c r="B1209" s="151" t="s">
        <v>833</v>
      </c>
      <c r="C1209" s="154">
        <v>142120</v>
      </c>
      <c r="D1209" s="155">
        <v>10.1</v>
      </c>
      <c r="E1209" s="154">
        <v>127305.4</v>
      </c>
    </row>
    <row r="1210" spans="2:5" ht="12.75" hidden="1" customHeight="1" outlineLevel="1" x14ac:dyDescent="0.25">
      <c r="B1210" s="151" t="s">
        <v>747</v>
      </c>
      <c r="C1210" s="154">
        <v>119300</v>
      </c>
      <c r="D1210" s="156"/>
      <c r="E1210" s="154">
        <v>107666.2</v>
      </c>
    </row>
    <row r="1211" spans="2:5" ht="12.75" hidden="1" customHeight="1" outlineLevel="2" x14ac:dyDescent="0.25">
      <c r="B1211" s="151" t="s">
        <v>511</v>
      </c>
      <c r="C1211" s="154">
        <v>2320</v>
      </c>
      <c r="D1211" s="155">
        <v>12.5</v>
      </c>
      <c r="E1211" s="154">
        <v>2030</v>
      </c>
    </row>
    <row r="1212" spans="2:5" ht="12.75" hidden="1" customHeight="1" outlineLevel="2" x14ac:dyDescent="0.25">
      <c r="B1212" s="151" t="s">
        <v>550</v>
      </c>
      <c r="C1212" s="154">
        <v>82970</v>
      </c>
      <c r="D1212" s="155">
        <v>9.8000000000000007</v>
      </c>
      <c r="E1212" s="154">
        <v>74589.7</v>
      </c>
    </row>
    <row r="1213" spans="2:5" ht="12.75" hidden="1" customHeight="1" outlineLevel="2" x14ac:dyDescent="0.25">
      <c r="B1213" s="151" t="s">
        <v>833</v>
      </c>
      <c r="C1213" s="154">
        <v>34010</v>
      </c>
      <c r="D1213" s="155">
        <v>8.3000000000000007</v>
      </c>
      <c r="E1213" s="154">
        <v>31046.5</v>
      </c>
    </row>
    <row r="1214" spans="2:5" ht="12.75" hidden="1" customHeight="1" outlineLevel="1" x14ac:dyDescent="0.25">
      <c r="B1214" s="151" t="s">
        <v>772</v>
      </c>
      <c r="C1214" s="154">
        <v>84970</v>
      </c>
      <c r="D1214" s="156"/>
      <c r="E1214" s="154">
        <v>73812.7</v>
      </c>
    </row>
    <row r="1215" spans="2:5" ht="12.75" hidden="1" customHeight="1" outlineLevel="2" x14ac:dyDescent="0.25">
      <c r="B1215" s="151"/>
      <c r="C1215" s="156"/>
      <c r="D1215" s="156"/>
      <c r="E1215" s="156"/>
    </row>
    <row r="1216" spans="2:5" ht="12.75" hidden="1" customHeight="1" outlineLevel="2" x14ac:dyDescent="0.25">
      <c r="B1216" s="151" t="s">
        <v>511</v>
      </c>
      <c r="C1216" s="154">
        <v>26950</v>
      </c>
      <c r="D1216" s="155">
        <v>13.5</v>
      </c>
      <c r="E1216" s="154">
        <v>23316.7</v>
      </c>
    </row>
    <row r="1217" spans="2:5" ht="12.75" hidden="1" customHeight="1" outlineLevel="2" x14ac:dyDescent="0.25">
      <c r="B1217" s="151" t="s">
        <v>550</v>
      </c>
      <c r="C1217" s="154">
        <v>58020</v>
      </c>
      <c r="D1217" s="155">
        <v>12.9</v>
      </c>
      <c r="E1217" s="154">
        <v>50496</v>
      </c>
    </row>
    <row r="1218" spans="2:5" ht="12.75" hidden="1" customHeight="1" outlineLevel="1" x14ac:dyDescent="0.25">
      <c r="B1218" s="151" t="s">
        <v>21</v>
      </c>
      <c r="C1218" s="154">
        <v>1535230</v>
      </c>
      <c r="D1218" s="156"/>
      <c r="E1218" s="154">
        <v>1260879.6000000001</v>
      </c>
    </row>
    <row r="1219" spans="2:5" ht="12.75" hidden="1" customHeight="1" outlineLevel="2" x14ac:dyDescent="0.25">
      <c r="B1219" s="151"/>
      <c r="C1219" s="156"/>
      <c r="D1219" s="156"/>
      <c r="E1219" s="156"/>
    </row>
    <row r="1220" spans="2:5" ht="12.75" hidden="1" customHeight="1" outlineLevel="2" x14ac:dyDescent="0.25">
      <c r="B1220" s="151" t="s">
        <v>511</v>
      </c>
      <c r="C1220" s="154">
        <v>1413840</v>
      </c>
      <c r="D1220" s="155">
        <v>18.100000000000001</v>
      </c>
      <c r="E1220" s="154">
        <v>1156168.2</v>
      </c>
    </row>
    <row r="1221" spans="2:5" ht="12.75" hidden="1" customHeight="1" outlineLevel="2" x14ac:dyDescent="0.25">
      <c r="B1221" s="151" t="s">
        <v>550</v>
      </c>
      <c r="C1221" s="154">
        <v>121390</v>
      </c>
      <c r="D1221" s="155">
        <v>13.9</v>
      </c>
      <c r="E1221" s="154">
        <v>104711.4</v>
      </c>
    </row>
    <row r="1222" spans="2:5" ht="12.75" hidden="1" customHeight="1" outlineLevel="1" x14ac:dyDescent="0.25">
      <c r="B1222" s="151" t="s">
        <v>1185</v>
      </c>
      <c r="C1222" s="154">
        <v>361360</v>
      </c>
      <c r="D1222" s="156"/>
      <c r="E1222" s="154">
        <v>300345.7</v>
      </c>
    </row>
    <row r="1223" spans="2:5" ht="12.75" hidden="1" customHeight="1" outlineLevel="2" x14ac:dyDescent="0.25">
      <c r="B1223" s="151" t="s">
        <v>511</v>
      </c>
      <c r="C1223" s="154">
        <v>361360</v>
      </c>
      <c r="D1223" s="155">
        <v>16.8</v>
      </c>
      <c r="E1223" s="154">
        <v>300345.7</v>
      </c>
    </row>
    <row r="1224" spans="2:5" ht="12.75" hidden="1" customHeight="1" outlineLevel="1" x14ac:dyDescent="0.25">
      <c r="B1224" s="151" t="s">
        <v>301</v>
      </c>
      <c r="C1224" s="154">
        <v>84680</v>
      </c>
      <c r="D1224" s="156"/>
      <c r="E1224" s="154">
        <v>71306.3</v>
      </c>
    </row>
    <row r="1225" spans="2:5" ht="12.75" hidden="1" customHeight="1" outlineLevel="2" x14ac:dyDescent="0.25">
      <c r="B1225" s="151" t="s">
        <v>511</v>
      </c>
      <c r="C1225" s="154">
        <v>84680</v>
      </c>
      <c r="D1225" s="155">
        <v>16.3</v>
      </c>
      <c r="E1225" s="154">
        <v>71306.3</v>
      </c>
    </row>
    <row r="1226" spans="2:5" ht="12.75" hidden="1" customHeight="1" outlineLevel="1" x14ac:dyDescent="0.25">
      <c r="B1226" s="151" t="s">
        <v>897</v>
      </c>
      <c r="C1226" s="154">
        <v>4400</v>
      </c>
      <c r="D1226" s="156"/>
      <c r="E1226" s="154">
        <v>3850</v>
      </c>
    </row>
    <row r="1227" spans="2:5" ht="12.75" hidden="1" customHeight="1" outlineLevel="2" x14ac:dyDescent="0.25">
      <c r="B1227" s="151" t="s">
        <v>511</v>
      </c>
      <c r="C1227" s="154">
        <v>4400</v>
      </c>
      <c r="D1227" s="155">
        <v>12.5</v>
      </c>
      <c r="E1227" s="154">
        <v>3850</v>
      </c>
    </row>
    <row r="1228" spans="2:5" ht="12.75" hidden="1" customHeight="1" outlineLevel="1" x14ac:dyDescent="0.25">
      <c r="B1228" s="151" t="s">
        <v>893</v>
      </c>
      <c r="C1228" s="154">
        <v>17970</v>
      </c>
      <c r="D1228" s="156"/>
      <c r="E1228" s="154">
        <v>15094.8</v>
      </c>
    </row>
    <row r="1229" spans="2:5" ht="12.75" hidden="1" customHeight="1" outlineLevel="2" x14ac:dyDescent="0.25">
      <c r="B1229" s="151" t="s">
        <v>511</v>
      </c>
      <c r="C1229" s="154">
        <v>17970</v>
      </c>
      <c r="D1229" s="155">
        <v>16</v>
      </c>
      <c r="E1229" s="154">
        <v>15094.8</v>
      </c>
    </row>
    <row r="1230" spans="2:5" ht="12.75" hidden="1" customHeight="1" outlineLevel="1" x14ac:dyDescent="0.25">
      <c r="B1230" s="151" t="s">
        <v>900</v>
      </c>
      <c r="C1230" s="154">
        <v>6180</v>
      </c>
      <c r="D1230" s="156"/>
      <c r="E1230" s="154">
        <v>4851.3</v>
      </c>
    </row>
    <row r="1231" spans="2:5" ht="12.75" hidden="1" customHeight="1" outlineLevel="2" x14ac:dyDescent="0.25">
      <c r="B1231" s="151" t="s">
        <v>511</v>
      </c>
      <c r="C1231" s="154">
        <v>6180</v>
      </c>
      <c r="D1231" s="155">
        <v>21.5</v>
      </c>
      <c r="E1231" s="154">
        <v>4851.3</v>
      </c>
    </row>
    <row r="1232" spans="2:5" ht="12.75" hidden="1" customHeight="1" outlineLevel="1" x14ac:dyDescent="0.25">
      <c r="B1232" s="151" t="s">
        <v>1316</v>
      </c>
      <c r="C1232" s="154">
        <v>285580</v>
      </c>
      <c r="D1232" s="156"/>
      <c r="E1232" s="154">
        <v>255721</v>
      </c>
    </row>
    <row r="1233" spans="2:5" ht="12.75" hidden="1" customHeight="1" outlineLevel="2" x14ac:dyDescent="0.25">
      <c r="B1233" s="151" t="s">
        <v>511</v>
      </c>
      <c r="C1233" s="154">
        <v>219630</v>
      </c>
      <c r="D1233" s="155">
        <v>11.8</v>
      </c>
      <c r="E1233" s="154">
        <v>194586.1</v>
      </c>
    </row>
    <row r="1234" spans="2:5" ht="12.75" hidden="1" customHeight="1" outlineLevel="2" x14ac:dyDescent="0.25">
      <c r="B1234" s="151" t="s">
        <v>550</v>
      </c>
      <c r="C1234" s="154">
        <v>39660</v>
      </c>
      <c r="D1234" s="155">
        <v>7.8</v>
      </c>
      <c r="E1234" s="154">
        <v>36553.300000000003</v>
      </c>
    </row>
    <row r="1235" spans="2:5" ht="12.75" hidden="1" customHeight="1" outlineLevel="2" x14ac:dyDescent="0.25">
      <c r="B1235" s="151" t="s">
        <v>833</v>
      </c>
      <c r="C1235" s="154">
        <v>26290</v>
      </c>
      <c r="D1235" s="155">
        <v>6.5</v>
      </c>
      <c r="E1235" s="154">
        <v>24581.599999999999</v>
      </c>
    </row>
    <row r="1236" spans="2:5" ht="12.75" hidden="1" customHeight="1" outlineLevel="1" x14ac:dyDescent="0.25">
      <c r="B1236" s="151" t="s">
        <v>524</v>
      </c>
      <c r="C1236" s="154">
        <v>25300</v>
      </c>
      <c r="D1236" s="156"/>
      <c r="E1236" s="154">
        <v>21243.4</v>
      </c>
    </row>
    <row r="1237" spans="2:5" ht="12.75" hidden="1" customHeight="1" outlineLevel="2" x14ac:dyDescent="0.25">
      <c r="B1237" s="151"/>
      <c r="C1237" s="156"/>
      <c r="D1237" s="156"/>
      <c r="E1237" s="156"/>
    </row>
    <row r="1238" spans="2:5" ht="12.75" hidden="1" customHeight="1" outlineLevel="2" x14ac:dyDescent="0.25">
      <c r="B1238" s="151" t="s">
        <v>511</v>
      </c>
      <c r="C1238" s="154">
        <v>16200</v>
      </c>
      <c r="D1238" s="155">
        <v>16.3</v>
      </c>
      <c r="E1238" s="154">
        <v>13462.9</v>
      </c>
    </row>
    <row r="1239" spans="2:5" ht="12.75" hidden="1" customHeight="1" outlineLevel="2" x14ac:dyDescent="0.25">
      <c r="B1239" s="151" t="s">
        <v>550</v>
      </c>
      <c r="C1239" s="154">
        <v>9100</v>
      </c>
      <c r="D1239" s="155">
        <v>14.5</v>
      </c>
      <c r="E1239" s="154">
        <v>7780.5</v>
      </c>
    </row>
    <row r="1240" spans="2:5" ht="12.75" hidden="1" customHeight="1" outlineLevel="1" x14ac:dyDescent="0.25">
      <c r="B1240" s="151" t="s">
        <v>782</v>
      </c>
      <c r="C1240" s="154">
        <v>188760</v>
      </c>
      <c r="D1240" s="156"/>
      <c r="E1240" s="154">
        <v>164558.5</v>
      </c>
    </row>
    <row r="1241" spans="2:5" ht="12.75" hidden="1" customHeight="1" outlineLevel="2" x14ac:dyDescent="0.25">
      <c r="B1241" s="151" t="s">
        <v>511</v>
      </c>
      <c r="C1241" s="154">
        <v>114450</v>
      </c>
      <c r="D1241" s="155">
        <v>13</v>
      </c>
      <c r="E1241" s="154">
        <v>100436.8</v>
      </c>
    </row>
    <row r="1242" spans="2:5" ht="12.75" hidden="1" customHeight="1" outlineLevel="2" x14ac:dyDescent="0.25">
      <c r="B1242" s="151" t="s">
        <v>550</v>
      </c>
      <c r="C1242" s="154">
        <v>74310</v>
      </c>
      <c r="D1242" s="155">
        <v>13.4</v>
      </c>
      <c r="E1242" s="154">
        <v>64121.7</v>
      </c>
    </row>
    <row r="1243" spans="2:5" ht="12.75" hidden="1" customHeight="1" outlineLevel="1" x14ac:dyDescent="0.25">
      <c r="B1243" s="151" t="s">
        <v>805</v>
      </c>
      <c r="C1243" s="154">
        <v>17220</v>
      </c>
      <c r="D1243" s="156"/>
      <c r="E1243" s="154">
        <v>14668.3</v>
      </c>
    </row>
    <row r="1244" spans="2:5" ht="12.75" hidden="1" customHeight="1" outlineLevel="2" x14ac:dyDescent="0.25">
      <c r="B1244" s="151" t="s">
        <v>511</v>
      </c>
      <c r="C1244" s="154">
        <v>17220</v>
      </c>
      <c r="D1244" s="155">
        <v>14.8</v>
      </c>
      <c r="E1244" s="154">
        <v>14668.3</v>
      </c>
    </row>
    <row r="1245" spans="2:5" ht="12.75" hidden="1" customHeight="1" outlineLevel="1" x14ac:dyDescent="0.25">
      <c r="B1245" s="151" t="s">
        <v>896</v>
      </c>
      <c r="C1245" s="154">
        <v>15630</v>
      </c>
      <c r="D1245" s="156"/>
      <c r="E1245" s="154">
        <v>12012.7</v>
      </c>
    </row>
    <row r="1246" spans="2:5" ht="12.75" hidden="1" customHeight="1" outlineLevel="2" x14ac:dyDescent="0.25">
      <c r="B1246" s="151" t="s">
        <v>511</v>
      </c>
      <c r="C1246" s="154">
        <v>15630</v>
      </c>
      <c r="D1246" s="155">
        <v>25</v>
      </c>
      <c r="E1246" s="154">
        <v>12012.7</v>
      </c>
    </row>
    <row r="1247" spans="2:5" ht="12.75" hidden="1" customHeight="1" outlineLevel="1" x14ac:dyDescent="0.25">
      <c r="B1247" s="151" t="s">
        <v>899</v>
      </c>
      <c r="C1247" s="154">
        <v>12780</v>
      </c>
      <c r="D1247" s="156"/>
      <c r="E1247" s="154">
        <v>9890.7999999999993</v>
      </c>
    </row>
    <row r="1248" spans="2:5" ht="12.75" hidden="1" customHeight="1" outlineLevel="2" x14ac:dyDescent="0.25">
      <c r="B1248" s="151" t="s">
        <v>511</v>
      </c>
      <c r="C1248" s="154">
        <v>8585</v>
      </c>
      <c r="D1248" s="155">
        <v>24.3</v>
      </c>
      <c r="E1248" s="154">
        <v>6178.2</v>
      </c>
    </row>
    <row r="1249" spans="2:5" ht="12.75" hidden="1" customHeight="1" outlineLevel="2" x14ac:dyDescent="0.25">
      <c r="B1249" s="151" t="s">
        <v>550</v>
      </c>
      <c r="C1249" s="154">
        <v>4195</v>
      </c>
      <c r="D1249" s="155">
        <v>19</v>
      </c>
      <c r="E1249" s="154">
        <v>3712.6</v>
      </c>
    </row>
    <row r="1250" spans="2:5" ht="12.75" hidden="1" customHeight="1" outlineLevel="1" x14ac:dyDescent="0.25">
      <c r="B1250" s="151" t="s">
        <v>901</v>
      </c>
      <c r="C1250" s="154">
        <v>315390</v>
      </c>
      <c r="D1250" s="156"/>
      <c r="E1250" s="154">
        <v>271949.2</v>
      </c>
    </row>
    <row r="1251" spans="2:5" ht="12.75" hidden="1" customHeight="1" outlineLevel="2" x14ac:dyDescent="0.25">
      <c r="B1251" s="151" t="s">
        <v>511</v>
      </c>
      <c r="C1251" s="154">
        <v>234760</v>
      </c>
      <c r="D1251" s="155">
        <v>15.9</v>
      </c>
      <c r="E1251" s="154">
        <v>197032.1</v>
      </c>
    </row>
    <row r="1252" spans="2:5" ht="12.75" hidden="1" customHeight="1" outlineLevel="2" x14ac:dyDescent="0.25">
      <c r="B1252" s="151" t="s">
        <v>550</v>
      </c>
      <c r="C1252" s="154">
        <v>80630</v>
      </c>
      <c r="D1252" s="155">
        <v>7.1</v>
      </c>
      <c r="E1252" s="154">
        <v>74917.100000000006</v>
      </c>
    </row>
    <row r="1253" spans="2:5" ht="12.75" hidden="1" customHeight="1" outlineLevel="1" x14ac:dyDescent="0.25">
      <c r="B1253" s="151" t="s">
        <v>916</v>
      </c>
      <c r="C1253" s="154">
        <v>779510</v>
      </c>
      <c r="D1253" s="156"/>
      <c r="E1253" s="154">
        <v>696410.9</v>
      </c>
    </row>
    <row r="1254" spans="2:5" ht="12.75" hidden="1" customHeight="1" outlineLevel="2" x14ac:dyDescent="0.25">
      <c r="B1254" s="151" t="s">
        <v>511</v>
      </c>
      <c r="C1254" s="154">
        <v>119860</v>
      </c>
      <c r="D1254" s="155">
        <v>14</v>
      </c>
      <c r="E1254" s="154">
        <v>103109.3</v>
      </c>
    </row>
    <row r="1255" spans="2:5" ht="12.75" hidden="1" customHeight="1" outlineLevel="2" x14ac:dyDescent="0.25">
      <c r="B1255" s="151" t="s">
        <v>550</v>
      </c>
      <c r="C1255" s="154">
        <v>444240</v>
      </c>
      <c r="D1255" s="155">
        <v>10.3</v>
      </c>
      <c r="E1255" s="154">
        <v>398743.1</v>
      </c>
    </row>
    <row r="1256" spans="2:5" ht="12.75" hidden="1" customHeight="1" outlineLevel="2" x14ac:dyDescent="0.25">
      <c r="B1256" s="151" t="s">
        <v>833</v>
      </c>
      <c r="C1256" s="154">
        <v>215410</v>
      </c>
      <c r="D1256" s="155">
        <v>11.9</v>
      </c>
      <c r="E1256" s="154">
        <v>194558.5</v>
      </c>
    </row>
    <row r="1257" spans="2:5" ht="12.75" hidden="1" customHeight="1" outlineLevel="1" x14ac:dyDescent="0.25">
      <c r="B1257" s="151" t="s">
        <v>901</v>
      </c>
      <c r="C1257" s="154">
        <v>92070</v>
      </c>
      <c r="D1257" s="156"/>
      <c r="E1257" s="154">
        <v>72979.3</v>
      </c>
    </row>
    <row r="1258" spans="2:5" ht="12.75" hidden="1" customHeight="1" outlineLevel="2" x14ac:dyDescent="0.25">
      <c r="B1258" s="151" t="s">
        <v>511</v>
      </c>
      <c r="C1258" s="154">
        <v>92070</v>
      </c>
      <c r="D1258" s="155">
        <v>20.7</v>
      </c>
      <c r="E1258" s="154">
        <v>72979.3</v>
      </c>
    </row>
    <row r="1259" spans="2:5" ht="12.75" hidden="1" customHeight="1" outlineLevel="1" x14ac:dyDescent="0.25">
      <c r="B1259" s="151" t="s">
        <v>1318</v>
      </c>
      <c r="C1259" s="154">
        <v>224085</v>
      </c>
      <c r="D1259" s="156"/>
      <c r="E1259" s="154">
        <v>197548.7</v>
      </c>
    </row>
    <row r="1260" spans="2:5" ht="12.75" hidden="1" customHeight="1" outlineLevel="2" x14ac:dyDescent="0.25">
      <c r="B1260" s="151" t="s">
        <v>511</v>
      </c>
      <c r="C1260" s="154">
        <v>224085</v>
      </c>
      <c r="D1260" s="155">
        <v>11.9</v>
      </c>
      <c r="E1260" s="154">
        <v>197548.7</v>
      </c>
    </row>
    <row r="1261" spans="2:5" ht="12.75" hidden="1" customHeight="1" outlineLevel="1" x14ac:dyDescent="0.25">
      <c r="B1261" s="151" t="s">
        <v>1530</v>
      </c>
      <c r="C1261" s="154">
        <v>142490</v>
      </c>
      <c r="D1261" s="156"/>
      <c r="E1261" s="154">
        <v>123915.4</v>
      </c>
    </row>
    <row r="1262" spans="2:5" ht="12.75" hidden="1" customHeight="1" outlineLevel="2" x14ac:dyDescent="0.25">
      <c r="B1262" s="151" t="s">
        <v>550</v>
      </c>
      <c r="C1262" s="154">
        <v>77840</v>
      </c>
      <c r="D1262" s="155">
        <v>14.9</v>
      </c>
      <c r="E1262" s="154">
        <v>66106.5</v>
      </c>
    </row>
    <row r="1263" spans="2:5" ht="12.75" hidden="1" customHeight="1" outlineLevel="2" x14ac:dyDescent="0.25">
      <c r="B1263" s="151" t="s">
        <v>833</v>
      </c>
      <c r="C1263" s="154">
        <v>64650</v>
      </c>
      <c r="D1263" s="155">
        <v>10.7</v>
      </c>
      <c r="E1263" s="154">
        <v>57808.9</v>
      </c>
    </row>
    <row r="1264" spans="2:5" ht="12.75" customHeight="1" collapsed="1" x14ac:dyDescent="0.25">
      <c r="B1264" s="571" t="s">
        <v>820</v>
      </c>
      <c r="C1264" s="571"/>
      <c r="D1264" s="571"/>
      <c r="E1264" s="571"/>
    </row>
    <row r="1265" spans="2:5" ht="12.75" customHeight="1" x14ac:dyDescent="0.25">
      <c r="B1265" s="151" t="s">
        <v>82</v>
      </c>
      <c r="C1265" s="154">
        <v>7098140</v>
      </c>
      <c r="D1265" s="155">
        <v>14.5</v>
      </c>
      <c r="E1265" s="154">
        <v>6087068.5</v>
      </c>
    </row>
  </sheetData>
  <mergeCells count="607">
    <mergeCell ref="B2:N2"/>
    <mergeCell ref="I6:I7"/>
    <mergeCell ref="J6:J7"/>
    <mergeCell ref="K6:K7"/>
    <mergeCell ref="L6:L7"/>
    <mergeCell ref="M6:M7"/>
    <mergeCell ref="N6:N7"/>
    <mergeCell ref="B17:J17"/>
    <mergeCell ref="B19:J19"/>
    <mergeCell ref="B21:J21"/>
    <mergeCell ref="B23:J23"/>
    <mergeCell ref="B25:J25"/>
    <mergeCell ref="B27:J27"/>
    <mergeCell ref="O6:O7"/>
    <mergeCell ref="B7:H7"/>
    <mergeCell ref="B9:J9"/>
    <mergeCell ref="B11:J11"/>
    <mergeCell ref="B13:J13"/>
    <mergeCell ref="B15:J15"/>
    <mergeCell ref="B41:J41"/>
    <mergeCell ref="B43:J43"/>
    <mergeCell ref="B45:J45"/>
    <mergeCell ref="B47:J47"/>
    <mergeCell ref="B49:J49"/>
    <mergeCell ref="B51:J51"/>
    <mergeCell ref="B29:J29"/>
    <mergeCell ref="B31:J31"/>
    <mergeCell ref="B33:J33"/>
    <mergeCell ref="B35:J35"/>
    <mergeCell ref="B37:J37"/>
    <mergeCell ref="B39:J39"/>
    <mergeCell ref="B65:J65"/>
    <mergeCell ref="B67:J67"/>
    <mergeCell ref="B69:J69"/>
    <mergeCell ref="B71:J71"/>
    <mergeCell ref="B73:J73"/>
    <mergeCell ref="B75:J75"/>
    <mergeCell ref="B53:J53"/>
    <mergeCell ref="B55:J55"/>
    <mergeCell ref="B57:J57"/>
    <mergeCell ref="B59:J59"/>
    <mergeCell ref="B61:J61"/>
    <mergeCell ref="B63:J63"/>
    <mergeCell ref="B89:J89"/>
    <mergeCell ref="B91:J91"/>
    <mergeCell ref="B93:J93"/>
    <mergeCell ref="B95:J95"/>
    <mergeCell ref="B97:J97"/>
    <mergeCell ref="B99:J99"/>
    <mergeCell ref="B77:J77"/>
    <mergeCell ref="B79:J79"/>
    <mergeCell ref="B81:J81"/>
    <mergeCell ref="B83:J83"/>
    <mergeCell ref="B85:J85"/>
    <mergeCell ref="B87:J87"/>
    <mergeCell ref="B113:J113"/>
    <mergeCell ref="B115:J115"/>
    <mergeCell ref="B117:J117"/>
    <mergeCell ref="B119:J119"/>
    <mergeCell ref="B121:J121"/>
    <mergeCell ref="B123:J123"/>
    <mergeCell ref="B101:J101"/>
    <mergeCell ref="B103:J103"/>
    <mergeCell ref="B105:J105"/>
    <mergeCell ref="B107:J107"/>
    <mergeCell ref="B109:J109"/>
    <mergeCell ref="B111:J111"/>
    <mergeCell ref="B137:J137"/>
    <mergeCell ref="B139:J139"/>
    <mergeCell ref="B141:J141"/>
    <mergeCell ref="B143:J143"/>
    <mergeCell ref="B145:J145"/>
    <mergeCell ref="B147:J147"/>
    <mergeCell ref="B125:J125"/>
    <mergeCell ref="B127:J127"/>
    <mergeCell ref="B129:J129"/>
    <mergeCell ref="B131:J131"/>
    <mergeCell ref="B133:J133"/>
    <mergeCell ref="B135:J135"/>
    <mergeCell ref="B161:J161"/>
    <mergeCell ref="B163:J163"/>
    <mergeCell ref="B165:J165"/>
    <mergeCell ref="B167:J167"/>
    <mergeCell ref="B169:J169"/>
    <mergeCell ref="B171:J171"/>
    <mergeCell ref="B149:J149"/>
    <mergeCell ref="B151:J151"/>
    <mergeCell ref="B153:J153"/>
    <mergeCell ref="B155:J155"/>
    <mergeCell ref="B157:J157"/>
    <mergeCell ref="B159:J159"/>
    <mergeCell ref="B185:J185"/>
    <mergeCell ref="B187:J187"/>
    <mergeCell ref="B189:J189"/>
    <mergeCell ref="B191:J191"/>
    <mergeCell ref="B193:J193"/>
    <mergeCell ref="B195:J195"/>
    <mergeCell ref="B173:J173"/>
    <mergeCell ref="B175:J175"/>
    <mergeCell ref="B177:J177"/>
    <mergeCell ref="B179:J179"/>
    <mergeCell ref="B181:J181"/>
    <mergeCell ref="B183:J183"/>
    <mergeCell ref="B209:J209"/>
    <mergeCell ref="B211:J211"/>
    <mergeCell ref="B213:J213"/>
    <mergeCell ref="B215:J215"/>
    <mergeCell ref="B217:J217"/>
    <mergeCell ref="B219:J219"/>
    <mergeCell ref="B197:J197"/>
    <mergeCell ref="B199:J199"/>
    <mergeCell ref="B201:J201"/>
    <mergeCell ref="B203:J203"/>
    <mergeCell ref="B205:J205"/>
    <mergeCell ref="B207:J207"/>
    <mergeCell ref="B233:J233"/>
    <mergeCell ref="B235:J235"/>
    <mergeCell ref="B237:J237"/>
    <mergeCell ref="B239:J239"/>
    <mergeCell ref="B241:J241"/>
    <mergeCell ref="B243:J243"/>
    <mergeCell ref="B221:J221"/>
    <mergeCell ref="B223:J223"/>
    <mergeCell ref="B225:J225"/>
    <mergeCell ref="B227:J227"/>
    <mergeCell ref="B229:J229"/>
    <mergeCell ref="B231:J231"/>
    <mergeCell ref="B257:J257"/>
    <mergeCell ref="B259:J259"/>
    <mergeCell ref="B261:J261"/>
    <mergeCell ref="B263:J263"/>
    <mergeCell ref="B265:J265"/>
    <mergeCell ref="B267:J267"/>
    <mergeCell ref="B245:J245"/>
    <mergeCell ref="B247:J247"/>
    <mergeCell ref="B249:J249"/>
    <mergeCell ref="B251:J251"/>
    <mergeCell ref="B253:J253"/>
    <mergeCell ref="B255:J255"/>
    <mergeCell ref="B281:J281"/>
    <mergeCell ref="B283:J283"/>
    <mergeCell ref="B285:J285"/>
    <mergeCell ref="B287:J287"/>
    <mergeCell ref="B289:J289"/>
    <mergeCell ref="B291:J291"/>
    <mergeCell ref="B269:J269"/>
    <mergeCell ref="B271:J271"/>
    <mergeCell ref="B273:J273"/>
    <mergeCell ref="B275:J275"/>
    <mergeCell ref="B277:J277"/>
    <mergeCell ref="B279:J279"/>
    <mergeCell ref="B305:J305"/>
    <mergeCell ref="B307:J307"/>
    <mergeCell ref="B309:J309"/>
    <mergeCell ref="B311:J311"/>
    <mergeCell ref="B313:J313"/>
    <mergeCell ref="B315:J315"/>
    <mergeCell ref="B293:J293"/>
    <mergeCell ref="B295:J295"/>
    <mergeCell ref="B297:J297"/>
    <mergeCell ref="B299:J299"/>
    <mergeCell ref="B301:J301"/>
    <mergeCell ref="B303:J303"/>
    <mergeCell ref="B329:J329"/>
    <mergeCell ref="B331:J331"/>
    <mergeCell ref="B333:J333"/>
    <mergeCell ref="B335:J335"/>
    <mergeCell ref="B337:J337"/>
    <mergeCell ref="B339:J339"/>
    <mergeCell ref="B317:J317"/>
    <mergeCell ref="B319:J319"/>
    <mergeCell ref="B321:J321"/>
    <mergeCell ref="B323:J323"/>
    <mergeCell ref="B325:J325"/>
    <mergeCell ref="B327:J327"/>
    <mergeCell ref="B353:J353"/>
    <mergeCell ref="B355:J355"/>
    <mergeCell ref="B357:J357"/>
    <mergeCell ref="B359:J359"/>
    <mergeCell ref="B361:J361"/>
    <mergeCell ref="B363:J363"/>
    <mergeCell ref="B341:J341"/>
    <mergeCell ref="B343:J343"/>
    <mergeCell ref="B345:J345"/>
    <mergeCell ref="B347:J347"/>
    <mergeCell ref="B349:J349"/>
    <mergeCell ref="B351:J351"/>
    <mergeCell ref="B377:J377"/>
    <mergeCell ref="B379:J379"/>
    <mergeCell ref="B381:J381"/>
    <mergeCell ref="B383:J383"/>
    <mergeCell ref="B385:J385"/>
    <mergeCell ref="B387:J387"/>
    <mergeCell ref="B365:J365"/>
    <mergeCell ref="B367:J367"/>
    <mergeCell ref="B369:J369"/>
    <mergeCell ref="B371:J371"/>
    <mergeCell ref="B373:J373"/>
    <mergeCell ref="B375:J375"/>
    <mergeCell ref="B401:J401"/>
    <mergeCell ref="B403:J403"/>
    <mergeCell ref="B405:J405"/>
    <mergeCell ref="B407:J407"/>
    <mergeCell ref="B409:J409"/>
    <mergeCell ref="B411:J411"/>
    <mergeCell ref="B389:J389"/>
    <mergeCell ref="B391:J391"/>
    <mergeCell ref="B393:J393"/>
    <mergeCell ref="B395:J395"/>
    <mergeCell ref="B397:J397"/>
    <mergeCell ref="B399:J399"/>
    <mergeCell ref="B425:J425"/>
    <mergeCell ref="B427:J427"/>
    <mergeCell ref="B429:J429"/>
    <mergeCell ref="B431:J431"/>
    <mergeCell ref="B433:J433"/>
    <mergeCell ref="B435:J435"/>
    <mergeCell ref="B413:J413"/>
    <mergeCell ref="B415:J415"/>
    <mergeCell ref="B417:J417"/>
    <mergeCell ref="B419:J419"/>
    <mergeCell ref="B421:J421"/>
    <mergeCell ref="B423:J423"/>
    <mergeCell ref="B449:J449"/>
    <mergeCell ref="B451:J451"/>
    <mergeCell ref="B453:J453"/>
    <mergeCell ref="B455:J455"/>
    <mergeCell ref="B457:J457"/>
    <mergeCell ref="B459:J459"/>
    <mergeCell ref="B437:J437"/>
    <mergeCell ref="B439:J439"/>
    <mergeCell ref="B441:J441"/>
    <mergeCell ref="B443:J443"/>
    <mergeCell ref="B445:J445"/>
    <mergeCell ref="B447:J447"/>
    <mergeCell ref="B473:J473"/>
    <mergeCell ref="B475:J475"/>
    <mergeCell ref="B477:J477"/>
    <mergeCell ref="B479:J479"/>
    <mergeCell ref="B481:J481"/>
    <mergeCell ref="B483:J483"/>
    <mergeCell ref="B461:J461"/>
    <mergeCell ref="B463:J463"/>
    <mergeCell ref="B465:J465"/>
    <mergeCell ref="B467:J467"/>
    <mergeCell ref="B469:J469"/>
    <mergeCell ref="B471:J471"/>
    <mergeCell ref="B497:J497"/>
    <mergeCell ref="B499:J499"/>
    <mergeCell ref="B501:J501"/>
    <mergeCell ref="B503:J503"/>
    <mergeCell ref="B505:J505"/>
    <mergeCell ref="B507:J507"/>
    <mergeCell ref="B485:J485"/>
    <mergeCell ref="B487:J487"/>
    <mergeCell ref="B489:J489"/>
    <mergeCell ref="B491:J491"/>
    <mergeCell ref="B493:J493"/>
    <mergeCell ref="B495:J495"/>
    <mergeCell ref="B521:J521"/>
    <mergeCell ref="B523:J523"/>
    <mergeCell ref="B525:J525"/>
    <mergeCell ref="B527:J527"/>
    <mergeCell ref="B529:J529"/>
    <mergeCell ref="B531:J531"/>
    <mergeCell ref="B509:J509"/>
    <mergeCell ref="B511:J511"/>
    <mergeCell ref="B513:J513"/>
    <mergeCell ref="B515:J515"/>
    <mergeCell ref="B517:J517"/>
    <mergeCell ref="B519:J519"/>
    <mergeCell ref="B545:J545"/>
    <mergeCell ref="B547:J547"/>
    <mergeCell ref="B549:J549"/>
    <mergeCell ref="B551:J551"/>
    <mergeCell ref="B553:J553"/>
    <mergeCell ref="B555:J555"/>
    <mergeCell ref="B533:J533"/>
    <mergeCell ref="B535:J535"/>
    <mergeCell ref="B537:J537"/>
    <mergeCell ref="B539:J539"/>
    <mergeCell ref="B541:J541"/>
    <mergeCell ref="B543:J543"/>
    <mergeCell ref="B569:J569"/>
    <mergeCell ref="B571:J571"/>
    <mergeCell ref="B573:J573"/>
    <mergeCell ref="B575:J575"/>
    <mergeCell ref="B577:J577"/>
    <mergeCell ref="B579:J579"/>
    <mergeCell ref="B557:J557"/>
    <mergeCell ref="B559:J559"/>
    <mergeCell ref="B561:J561"/>
    <mergeCell ref="B563:J563"/>
    <mergeCell ref="B565:J565"/>
    <mergeCell ref="B567:J567"/>
    <mergeCell ref="B593:J593"/>
    <mergeCell ref="B595:J595"/>
    <mergeCell ref="B597:J597"/>
    <mergeCell ref="B599:J599"/>
    <mergeCell ref="B601:J601"/>
    <mergeCell ref="B603:J603"/>
    <mergeCell ref="B581:J581"/>
    <mergeCell ref="B583:J583"/>
    <mergeCell ref="B585:J585"/>
    <mergeCell ref="B587:J587"/>
    <mergeCell ref="B589:J589"/>
    <mergeCell ref="B591:J591"/>
    <mergeCell ref="B617:J617"/>
    <mergeCell ref="B619:J619"/>
    <mergeCell ref="B621:J621"/>
    <mergeCell ref="B623:J623"/>
    <mergeCell ref="B625:J625"/>
    <mergeCell ref="B627:J627"/>
    <mergeCell ref="B605:J605"/>
    <mergeCell ref="B607:J607"/>
    <mergeCell ref="B609:J609"/>
    <mergeCell ref="B611:J611"/>
    <mergeCell ref="B613:J613"/>
    <mergeCell ref="B615:J615"/>
    <mergeCell ref="B641:J641"/>
    <mergeCell ref="B643:J643"/>
    <mergeCell ref="B645:J645"/>
    <mergeCell ref="B647:J647"/>
    <mergeCell ref="B649:J649"/>
    <mergeCell ref="B651:J651"/>
    <mergeCell ref="B629:J629"/>
    <mergeCell ref="B631:J631"/>
    <mergeCell ref="B633:J633"/>
    <mergeCell ref="B635:J635"/>
    <mergeCell ref="B637:J637"/>
    <mergeCell ref="B639:J639"/>
    <mergeCell ref="B665:J665"/>
    <mergeCell ref="B667:J667"/>
    <mergeCell ref="B669:J669"/>
    <mergeCell ref="B671:J671"/>
    <mergeCell ref="B673:J673"/>
    <mergeCell ref="B675:J675"/>
    <mergeCell ref="B653:J653"/>
    <mergeCell ref="B655:J655"/>
    <mergeCell ref="B657:J657"/>
    <mergeCell ref="B659:J659"/>
    <mergeCell ref="B661:J661"/>
    <mergeCell ref="B663:J663"/>
    <mergeCell ref="B689:J689"/>
    <mergeCell ref="B691:J691"/>
    <mergeCell ref="B693:J693"/>
    <mergeCell ref="B695:J695"/>
    <mergeCell ref="B697:J697"/>
    <mergeCell ref="B699:J699"/>
    <mergeCell ref="B677:J677"/>
    <mergeCell ref="B679:J679"/>
    <mergeCell ref="B681:J681"/>
    <mergeCell ref="B683:J683"/>
    <mergeCell ref="B685:J685"/>
    <mergeCell ref="B687:J687"/>
    <mergeCell ref="B713:J713"/>
    <mergeCell ref="B715:J715"/>
    <mergeCell ref="B717:J717"/>
    <mergeCell ref="B719:J719"/>
    <mergeCell ref="B721:J721"/>
    <mergeCell ref="B723:J723"/>
    <mergeCell ref="B701:J701"/>
    <mergeCell ref="B703:J703"/>
    <mergeCell ref="B705:J705"/>
    <mergeCell ref="B707:J707"/>
    <mergeCell ref="B709:J709"/>
    <mergeCell ref="B711:J711"/>
    <mergeCell ref="B737:J737"/>
    <mergeCell ref="B739:J739"/>
    <mergeCell ref="B741:J741"/>
    <mergeCell ref="B743:J743"/>
    <mergeCell ref="B745:J745"/>
    <mergeCell ref="B747:J747"/>
    <mergeCell ref="B725:J725"/>
    <mergeCell ref="B727:J727"/>
    <mergeCell ref="B729:J729"/>
    <mergeCell ref="B731:J731"/>
    <mergeCell ref="B733:J733"/>
    <mergeCell ref="B735:J735"/>
    <mergeCell ref="B761:J761"/>
    <mergeCell ref="B763:J763"/>
    <mergeCell ref="B765:J765"/>
    <mergeCell ref="B767:J767"/>
    <mergeCell ref="B769:J769"/>
    <mergeCell ref="B771:J771"/>
    <mergeCell ref="B749:J749"/>
    <mergeCell ref="B751:J751"/>
    <mergeCell ref="B753:J753"/>
    <mergeCell ref="B755:J755"/>
    <mergeCell ref="B757:J757"/>
    <mergeCell ref="B759:J759"/>
    <mergeCell ref="B785:J785"/>
    <mergeCell ref="B787:J787"/>
    <mergeCell ref="B789:J789"/>
    <mergeCell ref="B791:J791"/>
    <mergeCell ref="B793:J793"/>
    <mergeCell ref="B795:J795"/>
    <mergeCell ref="B773:J773"/>
    <mergeCell ref="B775:J775"/>
    <mergeCell ref="B777:J777"/>
    <mergeCell ref="B779:J779"/>
    <mergeCell ref="B781:J781"/>
    <mergeCell ref="B783:J783"/>
    <mergeCell ref="B809:J809"/>
    <mergeCell ref="B811:J811"/>
    <mergeCell ref="B813:J813"/>
    <mergeCell ref="B815:J815"/>
    <mergeCell ref="B817:J817"/>
    <mergeCell ref="B819:J819"/>
    <mergeCell ref="B797:J797"/>
    <mergeCell ref="B799:J799"/>
    <mergeCell ref="B801:J801"/>
    <mergeCell ref="B803:J803"/>
    <mergeCell ref="B805:J805"/>
    <mergeCell ref="B807:J807"/>
    <mergeCell ref="B834:J834"/>
    <mergeCell ref="B836:J836"/>
    <mergeCell ref="B838:J838"/>
    <mergeCell ref="B840:J840"/>
    <mergeCell ref="B842:J842"/>
    <mergeCell ref="B844:J844"/>
    <mergeCell ref="B821:J821"/>
    <mergeCell ref="B823:J823"/>
    <mergeCell ref="B825:J825"/>
    <mergeCell ref="B827:J827"/>
    <mergeCell ref="B829:J829"/>
    <mergeCell ref="B832:J832"/>
    <mergeCell ref="B858:J858"/>
    <mergeCell ref="B860:J860"/>
    <mergeCell ref="B862:J862"/>
    <mergeCell ref="B864:J864"/>
    <mergeCell ref="B866:J866"/>
    <mergeCell ref="B868:J868"/>
    <mergeCell ref="B846:J846"/>
    <mergeCell ref="B848:J848"/>
    <mergeCell ref="B850:J850"/>
    <mergeCell ref="B852:J852"/>
    <mergeCell ref="B854:J854"/>
    <mergeCell ref="B856:J856"/>
    <mergeCell ref="B881:J881"/>
    <mergeCell ref="B883:J883"/>
    <mergeCell ref="B885:J885"/>
    <mergeCell ref="B887:J887"/>
    <mergeCell ref="B889:J889"/>
    <mergeCell ref="B891:J891"/>
    <mergeCell ref="B870:J870"/>
    <mergeCell ref="B872:J872"/>
    <mergeCell ref="B873:J873"/>
    <mergeCell ref="B875:J875"/>
    <mergeCell ref="B877:J877"/>
    <mergeCell ref="B879:J879"/>
    <mergeCell ref="B905:J905"/>
    <mergeCell ref="B907:J907"/>
    <mergeCell ref="B909:J909"/>
    <mergeCell ref="B911:J911"/>
    <mergeCell ref="B913:J913"/>
    <mergeCell ref="B915:J915"/>
    <mergeCell ref="B893:J893"/>
    <mergeCell ref="B895:J895"/>
    <mergeCell ref="B897:J897"/>
    <mergeCell ref="B899:J899"/>
    <mergeCell ref="B901:J901"/>
    <mergeCell ref="B903:J903"/>
    <mergeCell ref="B929:J929"/>
    <mergeCell ref="B931:J931"/>
    <mergeCell ref="B933:J933"/>
    <mergeCell ref="B935:J935"/>
    <mergeCell ref="B937:J937"/>
    <mergeCell ref="B939:J939"/>
    <mergeCell ref="B917:J917"/>
    <mergeCell ref="B919:J919"/>
    <mergeCell ref="B921:J921"/>
    <mergeCell ref="B923:J923"/>
    <mergeCell ref="B925:J925"/>
    <mergeCell ref="B927:J927"/>
    <mergeCell ref="B953:J953"/>
    <mergeCell ref="B955:J955"/>
    <mergeCell ref="B957:J957"/>
    <mergeCell ref="B959:J959"/>
    <mergeCell ref="B961:J961"/>
    <mergeCell ref="B963:J963"/>
    <mergeCell ref="B941:J941"/>
    <mergeCell ref="B943:J943"/>
    <mergeCell ref="B945:J945"/>
    <mergeCell ref="B947:J947"/>
    <mergeCell ref="B949:J949"/>
    <mergeCell ref="B951:J951"/>
    <mergeCell ref="B977:J977"/>
    <mergeCell ref="B980:J980"/>
    <mergeCell ref="B982:J982"/>
    <mergeCell ref="B984:J984"/>
    <mergeCell ref="B986:J986"/>
    <mergeCell ref="B988:J988"/>
    <mergeCell ref="B965:J965"/>
    <mergeCell ref="B967:J967"/>
    <mergeCell ref="B969:J969"/>
    <mergeCell ref="B971:J971"/>
    <mergeCell ref="B973:J973"/>
    <mergeCell ref="B975:J975"/>
    <mergeCell ref="B1003:J1003"/>
    <mergeCell ref="B1005:J1005"/>
    <mergeCell ref="B1007:J1007"/>
    <mergeCell ref="B1009:J1009"/>
    <mergeCell ref="B1011:J1011"/>
    <mergeCell ref="B1013:J1013"/>
    <mergeCell ref="B990:J990"/>
    <mergeCell ref="B992:J992"/>
    <mergeCell ref="B994:J994"/>
    <mergeCell ref="B996:J996"/>
    <mergeCell ref="B999:J999"/>
    <mergeCell ref="B1001:J1001"/>
    <mergeCell ref="B1027:J1027"/>
    <mergeCell ref="B1029:J1029"/>
    <mergeCell ref="B1031:J1031"/>
    <mergeCell ref="B1033:J1033"/>
    <mergeCell ref="B1035:J1035"/>
    <mergeCell ref="B1037:J1037"/>
    <mergeCell ref="B1015:J1015"/>
    <mergeCell ref="B1017:J1017"/>
    <mergeCell ref="B1019:J1019"/>
    <mergeCell ref="B1021:J1021"/>
    <mergeCell ref="B1023:J1023"/>
    <mergeCell ref="B1025:J1025"/>
    <mergeCell ref="B1051:J1051"/>
    <mergeCell ref="B1053:J1053"/>
    <mergeCell ref="B1055:J1055"/>
    <mergeCell ref="B1057:J1057"/>
    <mergeCell ref="B1059:J1059"/>
    <mergeCell ref="B1061:J1061"/>
    <mergeCell ref="B1039:J1039"/>
    <mergeCell ref="B1041:J1041"/>
    <mergeCell ref="B1043:J1043"/>
    <mergeCell ref="B1045:J1045"/>
    <mergeCell ref="B1047:J1047"/>
    <mergeCell ref="B1049:J1049"/>
    <mergeCell ref="B1075:J1075"/>
    <mergeCell ref="B1077:J1077"/>
    <mergeCell ref="B1079:J1079"/>
    <mergeCell ref="B1081:J1081"/>
    <mergeCell ref="B1083:J1083"/>
    <mergeCell ref="B1085:J1085"/>
    <mergeCell ref="B1063:J1063"/>
    <mergeCell ref="B1065:J1065"/>
    <mergeCell ref="B1067:J1067"/>
    <mergeCell ref="B1069:J1069"/>
    <mergeCell ref="B1071:J1071"/>
    <mergeCell ref="B1073:J1073"/>
    <mergeCell ref="B1098:J1098"/>
    <mergeCell ref="B1100:J1100"/>
    <mergeCell ref="B1102:J1102"/>
    <mergeCell ref="B1104:J1104"/>
    <mergeCell ref="B1106:J1106"/>
    <mergeCell ref="B1108:J1108"/>
    <mergeCell ref="B1087:J1087"/>
    <mergeCell ref="B1089:J1089"/>
    <mergeCell ref="B1091:J1091"/>
    <mergeCell ref="B1093:J1093"/>
    <mergeCell ref="B1094:J1094"/>
    <mergeCell ref="B1096:J1096"/>
    <mergeCell ref="B1122:J1122"/>
    <mergeCell ref="B1124:J1124"/>
    <mergeCell ref="B1126:J1126"/>
    <mergeCell ref="B1128:J1128"/>
    <mergeCell ref="B1130:J1130"/>
    <mergeCell ref="B1132:J1132"/>
    <mergeCell ref="B1110:J1110"/>
    <mergeCell ref="B1112:J1112"/>
    <mergeCell ref="B1114:J1114"/>
    <mergeCell ref="B1116:J1116"/>
    <mergeCell ref="B1118:J1118"/>
    <mergeCell ref="B1120:J1120"/>
    <mergeCell ref="B1146:J1146"/>
    <mergeCell ref="B1148:J1148"/>
    <mergeCell ref="B1150:J1150"/>
    <mergeCell ref="B1152:J1152"/>
    <mergeCell ref="B1154:J1154"/>
    <mergeCell ref="B1156:J1156"/>
    <mergeCell ref="B1134:J1134"/>
    <mergeCell ref="B1136:J1136"/>
    <mergeCell ref="B1138:J1138"/>
    <mergeCell ref="B1140:J1140"/>
    <mergeCell ref="B1142:J1142"/>
    <mergeCell ref="B1144:J1144"/>
    <mergeCell ref="B1170:J1170"/>
    <mergeCell ref="B1172:J1172"/>
    <mergeCell ref="B1174:J1174"/>
    <mergeCell ref="B1176:J1176"/>
    <mergeCell ref="B1178:J1178"/>
    <mergeCell ref="B1180:J1180"/>
    <mergeCell ref="B1158:J1158"/>
    <mergeCell ref="B1160:J1160"/>
    <mergeCell ref="B1162:J1162"/>
    <mergeCell ref="B1164:J1164"/>
    <mergeCell ref="B1166:J1166"/>
    <mergeCell ref="B1168:J1168"/>
    <mergeCell ref="B1193:J1193"/>
    <mergeCell ref="B1194:J1194"/>
    <mergeCell ref="C1196:C1197"/>
    <mergeCell ref="D1196:D1197"/>
    <mergeCell ref="E1196:E1197"/>
    <mergeCell ref="B1264:E1264"/>
    <mergeCell ref="B1182:J1182"/>
    <mergeCell ref="B1184:J1184"/>
    <mergeCell ref="B1186:J1186"/>
    <mergeCell ref="B1188:J1188"/>
    <mergeCell ref="B1190:J1190"/>
    <mergeCell ref="B1192:J119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263A-BA4B-4C57-8DC2-3459BFFD2BEF}">
  <sheetPr codeName="Лист9"/>
  <dimension ref="A1:XEQ595"/>
  <sheetViews>
    <sheetView topLeftCell="G1" zoomScale="90" zoomScaleNormal="90" workbookViewId="0">
      <pane ySplit="1" topLeftCell="A586" activePane="bottomLeft" state="frozen"/>
      <selection pane="bottomLeft" activeCell="G2" sqref="G2:N594"/>
    </sheetView>
  </sheetViews>
  <sheetFormatPr defaultRowHeight="15" x14ac:dyDescent="0.25"/>
  <cols>
    <col min="1" max="1" width="24.42578125" customWidth="1"/>
    <col min="2" max="2" width="15.140625" customWidth="1"/>
    <col min="3" max="3" width="9.28515625" customWidth="1"/>
    <col min="4" max="4" width="20.42578125" customWidth="1"/>
    <col min="5" max="5" width="17" customWidth="1"/>
    <col min="6" max="6" width="14.5703125" customWidth="1"/>
    <col min="7" max="7" width="13" customWidth="1"/>
    <col min="8" max="8" width="18.7109375" customWidth="1"/>
    <col min="9" max="9" width="21" customWidth="1"/>
    <col min="10" max="10" width="13.28515625" customWidth="1"/>
    <col min="11" max="11" width="13" customWidth="1"/>
    <col min="12" max="12" width="22.28515625" customWidth="1"/>
    <col min="13" max="13" width="13" customWidth="1"/>
    <col min="14" max="14" width="17.5703125" style="142" customWidth="1"/>
    <col min="15" max="15" width="17.5703125" customWidth="1"/>
    <col min="16" max="16" width="14.140625" style="31" customWidth="1"/>
    <col min="17" max="17" width="17.7109375" style="34" customWidth="1"/>
    <col min="18" max="18" width="17.7109375" style="124" customWidth="1"/>
    <col min="236" max="236" width="1.7109375" customWidth="1"/>
    <col min="237" max="237" width="53.140625" customWidth="1"/>
    <col min="238" max="238" width="14.7109375" customWidth="1"/>
    <col min="239" max="239" width="20.140625" customWidth="1"/>
    <col min="240" max="240" width="20.42578125" customWidth="1"/>
    <col min="241" max="241" width="14" customWidth="1"/>
    <col min="242" max="242" width="12" customWidth="1"/>
    <col min="243" max="243" width="18" customWidth="1"/>
    <col min="244" max="244" width="9" customWidth="1"/>
    <col min="245" max="249" width="13" customWidth="1"/>
    <col min="250" max="250" width="17.5703125" customWidth="1"/>
    <col min="492" max="492" width="1.7109375" customWidth="1"/>
    <col min="493" max="493" width="53.140625" customWidth="1"/>
    <col min="494" max="494" width="14.7109375" customWidth="1"/>
    <col min="495" max="495" width="20.140625" customWidth="1"/>
    <col min="496" max="496" width="20.42578125" customWidth="1"/>
    <col min="497" max="497" width="14" customWidth="1"/>
    <col min="498" max="498" width="12" customWidth="1"/>
    <col min="499" max="499" width="18" customWidth="1"/>
    <col min="500" max="500" width="9" customWidth="1"/>
    <col min="501" max="505" width="13" customWidth="1"/>
    <col min="506" max="506" width="17.5703125" customWidth="1"/>
    <col min="748" max="748" width="1.7109375" customWidth="1"/>
    <col min="749" max="749" width="53.140625" customWidth="1"/>
    <col min="750" max="750" width="14.7109375" customWidth="1"/>
    <col min="751" max="751" width="20.140625" customWidth="1"/>
    <col min="752" max="752" width="20.42578125" customWidth="1"/>
    <col min="753" max="753" width="14" customWidth="1"/>
    <col min="754" max="754" width="12" customWidth="1"/>
    <col min="755" max="755" width="18" customWidth="1"/>
    <col min="756" max="756" width="9" customWidth="1"/>
    <col min="757" max="761" width="13" customWidth="1"/>
    <col min="762" max="762" width="17.5703125" customWidth="1"/>
    <col min="1004" max="1004" width="1.7109375" customWidth="1"/>
    <col min="1005" max="1005" width="53.140625" customWidth="1"/>
    <col min="1006" max="1006" width="14.7109375" customWidth="1"/>
    <col min="1007" max="1007" width="20.140625" customWidth="1"/>
    <col min="1008" max="1008" width="20.42578125" customWidth="1"/>
    <col min="1009" max="1009" width="14" customWidth="1"/>
    <col min="1010" max="1010" width="12" customWidth="1"/>
    <col min="1011" max="1011" width="18" customWidth="1"/>
    <col min="1012" max="1012" width="9" customWidth="1"/>
    <col min="1013" max="1017" width="13" customWidth="1"/>
    <col min="1018" max="1018" width="17.5703125" customWidth="1"/>
    <col min="1260" max="1260" width="1.7109375" customWidth="1"/>
    <col min="1261" max="1261" width="53.140625" customWidth="1"/>
    <col min="1262" max="1262" width="14.7109375" customWidth="1"/>
    <col min="1263" max="1263" width="20.140625" customWidth="1"/>
    <col min="1264" max="1264" width="20.42578125" customWidth="1"/>
    <col min="1265" max="1265" width="14" customWidth="1"/>
    <col min="1266" max="1266" width="12" customWidth="1"/>
    <col min="1267" max="1267" width="18" customWidth="1"/>
    <col min="1268" max="1268" width="9" customWidth="1"/>
    <col min="1269" max="1273" width="13" customWidth="1"/>
    <col min="1274" max="1274" width="17.5703125" customWidth="1"/>
    <col min="1516" max="1516" width="1.7109375" customWidth="1"/>
    <col min="1517" max="1517" width="53.140625" customWidth="1"/>
    <col min="1518" max="1518" width="14.7109375" customWidth="1"/>
    <col min="1519" max="1519" width="20.140625" customWidth="1"/>
    <col min="1520" max="1520" width="20.42578125" customWidth="1"/>
    <col min="1521" max="1521" width="14" customWidth="1"/>
    <col min="1522" max="1522" width="12" customWidth="1"/>
    <col min="1523" max="1523" width="18" customWidth="1"/>
    <col min="1524" max="1524" width="9" customWidth="1"/>
    <col min="1525" max="1529" width="13" customWidth="1"/>
    <col min="1530" max="1530" width="17.5703125" customWidth="1"/>
    <col min="1772" max="1772" width="1.7109375" customWidth="1"/>
    <col min="1773" max="1773" width="53.140625" customWidth="1"/>
    <col min="1774" max="1774" width="14.7109375" customWidth="1"/>
    <col min="1775" max="1775" width="20.140625" customWidth="1"/>
    <col min="1776" max="1776" width="20.42578125" customWidth="1"/>
    <col min="1777" max="1777" width="14" customWidth="1"/>
    <col min="1778" max="1778" width="12" customWidth="1"/>
    <col min="1779" max="1779" width="18" customWidth="1"/>
    <col min="1780" max="1780" width="9" customWidth="1"/>
    <col min="1781" max="1785" width="13" customWidth="1"/>
    <col min="1786" max="1786" width="17.5703125" customWidth="1"/>
    <col min="2028" max="2028" width="1.7109375" customWidth="1"/>
    <col min="2029" max="2029" width="53.140625" customWidth="1"/>
    <col min="2030" max="2030" width="14.7109375" customWidth="1"/>
    <col min="2031" max="2031" width="20.140625" customWidth="1"/>
    <col min="2032" max="2032" width="20.42578125" customWidth="1"/>
    <col min="2033" max="2033" width="14" customWidth="1"/>
    <col min="2034" max="2034" width="12" customWidth="1"/>
    <col min="2035" max="2035" width="18" customWidth="1"/>
    <col min="2036" max="2036" width="9" customWidth="1"/>
    <col min="2037" max="2041" width="13" customWidth="1"/>
    <col min="2042" max="2042" width="17.5703125" customWidth="1"/>
    <col min="2284" max="2284" width="1.7109375" customWidth="1"/>
    <col min="2285" max="2285" width="53.140625" customWidth="1"/>
    <col min="2286" max="2286" width="14.7109375" customWidth="1"/>
    <col min="2287" max="2287" width="20.140625" customWidth="1"/>
    <col min="2288" max="2288" width="20.42578125" customWidth="1"/>
    <col min="2289" max="2289" width="14" customWidth="1"/>
    <col min="2290" max="2290" width="12" customWidth="1"/>
    <col min="2291" max="2291" width="18" customWidth="1"/>
    <col min="2292" max="2292" width="9" customWidth="1"/>
    <col min="2293" max="2297" width="13" customWidth="1"/>
    <col min="2298" max="2298" width="17.5703125" customWidth="1"/>
    <col min="2540" max="2540" width="1.7109375" customWidth="1"/>
    <col min="2541" max="2541" width="53.140625" customWidth="1"/>
    <col min="2542" max="2542" width="14.7109375" customWidth="1"/>
    <col min="2543" max="2543" width="20.140625" customWidth="1"/>
    <col min="2544" max="2544" width="20.42578125" customWidth="1"/>
    <col min="2545" max="2545" width="14" customWidth="1"/>
    <col min="2546" max="2546" width="12" customWidth="1"/>
    <col min="2547" max="2547" width="18" customWidth="1"/>
    <col min="2548" max="2548" width="9" customWidth="1"/>
    <col min="2549" max="2553" width="13" customWidth="1"/>
    <col min="2554" max="2554" width="17.5703125" customWidth="1"/>
    <col min="2796" max="2796" width="1.7109375" customWidth="1"/>
    <col min="2797" max="2797" width="53.140625" customWidth="1"/>
    <col min="2798" max="2798" width="14.7109375" customWidth="1"/>
    <col min="2799" max="2799" width="20.140625" customWidth="1"/>
    <col min="2800" max="2800" width="20.42578125" customWidth="1"/>
    <col min="2801" max="2801" width="14" customWidth="1"/>
    <col min="2802" max="2802" width="12" customWidth="1"/>
    <col min="2803" max="2803" width="18" customWidth="1"/>
    <col min="2804" max="2804" width="9" customWidth="1"/>
    <col min="2805" max="2809" width="13" customWidth="1"/>
    <col min="2810" max="2810" width="17.5703125" customWidth="1"/>
    <col min="3052" max="3052" width="1.7109375" customWidth="1"/>
    <col min="3053" max="3053" width="53.140625" customWidth="1"/>
    <col min="3054" max="3054" width="14.7109375" customWidth="1"/>
    <col min="3055" max="3055" width="20.140625" customWidth="1"/>
    <col min="3056" max="3056" width="20.42578125" customWidth="1"/>
    <col min="3057" max="3057" width="14" customWidth="1"/>
    <col min="3058" max="3058" width="12" customWidth="1"/>
    <col min="3059" max="3059" width="18" customWidth="1"/>
    <col min="3060" max="3060" width="9" customWidth="1"/>
    <col min="3061" max="3065" width="13" customWidth="1"/>
    <col min="3066" max="3066" width="17.5703125" customWidth="1"/>
    <col min="3308" max="3308" width="1.7109375" customWidth="1"/>
    <col min="3309" max="3309" width="53.140625" customWidth="1"/>
    <col min="3310" max="3310" width="14.7109375" customWidth="1"/>
    <col min="3311" max="3311" width="20.140625" customWidth="1"/>
    <col min="3312" max="3312" width="20.42578125" customWidth="1"/>
    <col min="3313" max="3313" width="14" customWidth="1"/>
    <col min="3314" max="3314" width="12" customWidth="1"/>
    <col min="3315" max="3315" width="18" customWidth="1"/>
    <col min="3316" max="3316" width="9" customWidth="1"/>
    <col min="3317" max="3321" width="13" customWidth="1"/>
    <col min="3322" max="3322" width="17.5703125" customWidth="1"/>
    <col min="3564" max="3564" width="1.7109375" customWidth="1"/>
    <col min="3565" max="3565" width="53.140625" customWidth="1"/>
    <col min="3566" max="3566" width="14.7109375" customWidth="1"/>
    <col min="3567" max="3567" width="20.140625" customWidth="1"/>
    <col min="3568" max="3568" width="20.42578125" customWidth="1"/>
    <col min="3569" max="3569" width="14" customWidth="1"/>
    <col min="3570" max="3570" width="12" customWidth="1"/>
    <col min="3571" max="3571" width="18" customWidth="1"/>
    <col min="3572" max="3572" width="9" customWidth="1"/>
    <col min="3573" max="3577" width="13" customWidth="1"/>
    <col min="3578" max="3578" width="17.5703125" customWidth="1"/>
    <col min="3820" max="3820" width="1.7109375" customWidth="1"/>
    <col min="3821" max="3821" width="53.140625" customWidth="1"/>
    <col min="3822" max="3822" width="14.7109375" customWidth="1"/>
    <col min="3823" max="3823" width="20.140625" customWidth="1"/>
    <col min="3824" max="3824" width="20.42578125" customWidth="1"/>
    <col min="3825" max="3825" width="14" customWidth="1"/>
    <col min="3826" max="3826" width="12" customWidth="1"/>
    <col min="3827" max="3827" width="18" customWidth="1"/>
    <col min="3828" max="3828" width="9" customWidth="1"/>
    <col min="3829" max="3833" width="13" customWidth="1"/>
    <col min="3834" max="3834" width="17.5703125" customWidth="1"/>
    <col min="4076" max="4076" width="1.7109375" customWidth="1"/>
    <col min="4077" max="4077" width="53.140625" customWidth="1"/>
    <col min="4078" max="4078" width="14.7109375" customWidth="1"/>
    <col min="4079" max="4079" width="20.140625" customWidth="1"/>
    <col min="4080" max="4080" width="20.42578125" customWidth="1"/>
    <col min="4081" max="4081" width="14" customWidth="1"/>
    <col min="4082" max="4082" width="12" customWidth="1"/>
    <col min="4083" max="4083" width="18" customWidth="1"/>
    <col min="4084" max="4084" width="9" customWidth="1"/>
    <col min="4085" max="4089" width="13" customWidth="1"/>
    <col min="4090" max="4090" width="17.5703125" customWidth="1"/>
    <col min="4332" max="4332" width="1.7109375" customWidth="1"/>
    <col min="4333" max="4333" width="53.140625" customWidth="1"/>
    <col min="4334" max="4334" width="14.7109375" customWidth="1"/>
    <col min="4335" max="4335" width="20.140625" customWidth="1"/>
    <col min="4336" max="4336" width="20.42578125" customWidth="1"/>
    <col min="4337" max="4337" width="14" customWidth="1"/>
    <col min="4338" max="4338" width="12" customWidth="1"/>
    <col min="4339" max="4339" width="18" customWidth="1"/>
    <col min="4340" max="4340" width="9" customWidth="1"/>
    <col min="4341" max="4345" width="13" customWidth="1"/>
    <col min="4346" max="4346" width="17.5703125" customWidth="1"/>
    <col min="4588" max="4588" width="1.7109375" customWidth="1"/>
    <col min="4589" max="4589" width="53.140625" customWidth="1"/>
    <col min="4590" max="4590" width="14.7109375" customWidth="1"/>
    <col min="4591" max="4591" width="20.140625" customWidth="1"/>
    <col min="4592" max="4592" width="20.42578125" customWidth="1"/>
    <col min="4593" max="4593" width="14" customWidth="1"/>
    <col min="4594" max="4594" width="12" customWidth="1"/>
    <col min="4595" max="4595" width="18" customWidth="1"/>
    <col min="4596" max="4596" width="9" customWidth="1"/>
    <col min="4597" max="4601" width="13" customWidth="1"/>
    <col min="4602" max="4602" width="17.5703125" customWidth="1"/>
    <col min="4844" max="4844" width="1.7109375" customWidth="1"/>
    <col min="4845" max="4845" width="53.140625" customWidth="1"/>
    <col min="4846" max="4846" width="14.7109375" customWidth="1"/>
    <col min="4847" max="4847" width="20.140625" customWidth="1"/>
    <col min="4848" max="4848" width="20.42578125" customWidth="1"/>
    <col min="4849" max="4849" width="14" customWidth="1"/>
    <col min="4850" max="4850" width="12" customWidth="1"/>
    <col min="4851" max="4851" width="18" customWidth="1"/>
    <col min="4852" max="4852" width="9" customWidth="1"/>
    <col min="4853" max="4857" width="13" customWidth="1"/>
    <col min="4858" max="4858" width="17.5703125" customWidth="1"/>
    <col min="5100" max="5100" width="1.7109375" customWidth="1"/>
    <col min="5101" max="5101" width="53.140625" customWidth="1"/>
    <col min="5102" max="5102" width="14.7109375" customWidth="1"/>
    <col min="5103" max="5103" width="20.140625" customWidth="1"/>
    <col min="5104" max="5104" width="20.42578125" customWidth="1"/>
    <col min="5105" max="5105" width="14" customWidth="1"/>
    <col min="5106" max="5106" width="12" customWidth="1"/>
    <col min="5107" max="5107" width="18" customWidth="1"/>
    <col min="5108" max="5108" width="9" customWidth="1"/>
    <col min="5109" max="5113" width="13" customWidth="1"/>
    <col min="5114" max="5114" width="17.5703125" customWidth="1"/>
    <col min="5356" max="5356" width="1.7109375" customWidth="1"/>
    <col min="5357" max="5357" width="53.140625" customWidth="1"/>
    <col min="5358" max="5358" width="14.7109375" customWidth="1"/>
    <col min="5359" max="5359" width="20.140625" customWidth="1"/>
    <col min="5360" max="5360" width="20.42578125" customWidth="1"/>
    <col min="5361" max="5361" width="14" customWidth="1"/>
    <col min="5362" max="5362" width="12" customWidth="1"/>
    <col min="5363" max="5363" width="18" customWidth="1"/>
    <col min="5364" max="5364" width="9" customWidth="1"/>
    <col min="5365" max="5369" width="13" customWidth="1"/>
    <col min="5370" max="5370" width="17.5703125" customWidth="1"/>
    <col min="5612" max="5612" width="1.7109375" customWidth="1"/>
    <col min="5613" max="5613" width="53.140625" customWidth="1"/>
    <col min="5614" max="5614" width="14.7109375" customWidth="1"/>
    <col min="5615" max="5615" width="20.140625" customWidth="1"/>
    <col min="5616" max="5616" width="20.42578125" customWidth="1"/>
    <col min="5617" max="5617" width="14" customWidth="1"/>
    <col min="5618" max="5618" width="12" customWidth="1"/>
    <col min="5619" max="5619" width="18" customWidth="1"/>
    <col min="5620" max="5620" width="9" customWidth="1"/>
    <col min="5621" max="5625" width="13" customWidth="1"/>
    <col min="5626" max="5626" width="17.5703125" customWidth="1"/>
    <col min="5868" max="5868" width="1.7109375" customWidth="1"/>
    <col min="5869" max="5869" width="53.140625" customWidth="1"/>
    <col min="5870" max="5870" width="14.7109375" customWidth="1"/>
    <col min="5871" max="5871" width="20.140625" customWidth="1"/>
    <col min="5872" max="5872" width="20.42578125" customWidth="1"/>
    <col min="5873" max="5873" width="14" customWidth="1"/>
    <col min="5874" max="5874" width="12" customWidth="1"/>
    <col min="5875" max="5875" width="18" customWidth="1"/>
    <col min="5876" max="5876" width="9" customWidth="1"/>
    <col min="5877" max="5881" width="13" customWidth="1"/>
    <col min="5882" max="5882" width="17.5703125" customWidth="1"/>
    <col min="6124" max="6124" width="1.7109375" customWidth="1"/>
    <col min="6125" max="6125" width="53.140625" customWidth="1"/>
    <col min="6126" max="6126" width="14.7109375" customWidth="1"/>
    <col min="6127" max="6127" width="20.140625" customWidth="1"/>
    <col min="6128" max="6128" width="20.42578125" customWidth="1"/>
    <col min="6129" max="6129" width="14" customWidth="1"/>
    <col min="6130" max="6130" width="12" customWidth="1"/>
    <col min="6131" max="6131" width="18" customWidth="1"/>
    <col min="6132" max="6132" width="9" customWidth="1"/>
    <col min="6133" max="6137" width="13" customWidth="1"/>
    <col min="6138" max="6138" width="17.5703125" customWidth="1"/>
    <col min="6380" max="6380" width="1.7109375" customWidth="1"/>
    <col min="6381" max="6381" width="53.140625" customWidth="1"/>
    <col min="6382" max="6382" width="14.7109375" customWidth="1"/>
    <col min="6383" max="6383" width="20.140625" customWidth="1"/>
    <col min="6384" max="6384" width="20.42578125" customWidth="1"/>
    <col min="6385" max="6385" width="14" customWidth="1"/>
    <col min="6386" max="6386" width="12" customWidth="1"/>
    <col min="6387" max="6387" width="18" customWidth="1"/>
    <col min="6388" max="6388" width="9" customWidth="1"/>
    <col min="6389" max="6393" width="13" customWidth="1"/>
    <col min="6394" max="6394" width="17.5703125" customWidth="1"/>
    <col min="6636" max="6636" width="1.7109375" customWidth="1"/>
    <col min="6637" max="6637" width="53.140625" customWidth="1"/>
    <col min="6638" max="6638" width="14.7109375" customWidth="1"/>
    <col min="6639" max="6639" width="20.140625" customWidth="1"/>
    <col min="6640" max="6640" width="20.42578125" customWidth="1"/>
    <col min="6641" max="6641" width="14" customWidth="1"/>
    <col min="6642" max="6642" width="12" customWidth="1"/>
    <col min="6643" max="6643" width="18" customWidth="1"/>
    <col min="6644" max="6644" width="9" customWidth="1"/>
    <col min="6645" max="6649" width="13" customWidth="1"/>
    <col min="6650" max="6650" width="17.5703125" customWidth="1"/>
    <col min="6892" max="6892" width="1.7109375" customWidth="1"/>
    <col min="6893" max="6893" width="53.140625" customWidth="1"/>
    <col min="6894" max="6894" width="14.7109375" customWidth="1"/>
    <col min="6895" max="6895" width="20.140625" customWidth="1"/>
    <col min="6896" max="6896" width="20.42578125" customWidth="1"/>
    <col min="6897" max="6897" width="14" customWidth="1"/>
    <col min="6898" max="6898" width="12" customWidth="1"/>
    <col min="6899" max="6899" width="18" customWidth="1"/>
    <col min="6900" max="6900" width="9" customWidth="1"/>
    <col min="6901" max="6905" width="13" customWidth="1"/>
    <col min="6906" max="6906" width="17.5703125" customWidth="1"/>
    <col min="7148" max="7148" width="1.7109375" customWidth="1"/>
    <col min="7149" max="7149" width="53.140625" customWidth="1"/>
    <col min="7150" max="7150" width="14.7109375" customWidth="1"/>
    <col min="7151" max="7151" width="20.140625" customWidth="1"/>
    <col min="7152" max="7152" width="20.42578125" customWidth="1"/>
    <col min="7153" max="7153" width="14" customWidth="1"/>
    <col min="7154" max="7154" width="12" customWidth="1"/>
    <col min="7155" max="7155" width="18" customWidth="1"/>
    <col min="7156" max="7156" width="9" customWidth="1"/>
    <col min="7157" max="7161" width="13" customWidth="1"/>
    <col min="7162" max="7162" width="17.5703125" customWidth="1"/>
    <col min="7404" max="7404" width="1.7109375" customWidth="1"/>
    <col min="7405" max="7405" width="53.140625" customWidth="1"/>
    <col min="7406" max="7406" width="14.7109375" customWidth="1"/>
    <col min="7407" max="7407" width="20.140625" customWidth="1"/>
    <col min="7408" max="7408" width="20.42578125" customWidth="1"/>
    <col min="7409" max="7409" width="14" customWidth="1"/>
    <col min="7410" max="7410" width="12" customWidth="1"/>
    <col min="7411" max="7411" width="18" customWidth="1"/>
    <col min="7412" max="7412" width="9" customWidth="1"/>
    <col min="7413" max="7417" width="13" customWidth="1"/>
    <col min="7418" max="7418" width="17.5703125" customWidth="1"/>
    <col min="7660" max="7660" width="1.7109375" customWidth="1"/>
    <col min="7661" max="7661" width="53.140625" customWidth="1"/>
    <col min="7662" max="7662" width="14.7109375" customWidth="1"/>
    <col min="7663" max="7663" width="20.140625" customWidth="1"/>
    <col min="7664" max="7664" width="20.42578125" customWidth="1"/>
    <col min="7665" max="7665" width="14" customWidth="1"/>
    <col min="7666" max="7666" width="12" customWidth="1"/>
    <col min="7667" max="7667" width="18" customWidth="1"/>
    <col min="7668" max="7668" width="9" customWidth="1"/>
    <col min="7669" max="7673" width="13" customWidth="1"/>
    <col min="7674" max="7674" width="17.5703125" customWidth="1"/>
    <col min="7916" max="7916" width="1.7109375" customWidth="1"/>
    <col min="7917" max="7917" width="53.140625" customWidth="1"/>
    <col min="7918" max="7918" width="14.7109375" customWidth="1"/>
    <col min="7919" max="7919" width="20.140625" customWidth="1"/>
    <col min="7920" max="7920" width="20.42578125" customWidth="1"/>
    <col min="7921" max="7921" width="14" customWidth="1"/>
    <col min="7922" max="7922" width="12" customWidth="1"/>
    <col min="7923" max="7923" width="18" customWidth="1"/>
    <col min="7924" max="7924" width="9" customWidth="1"/>
    <col min="7925" max="7929" width="13" customWidth="1"/>
    <col min="7930" max="7930" width="17.5703125" customWidth="1"/>
    <col min="8172" max="8172" width="1.7109375" customWidth="1"/>
    <col min="8173" max="8173" width="53.140625" customWidth="1"/>
    <col min="8174" max="8174" width="14.7109375" customWidth="1"/>
    <col min="8175" max="8175" width="20.140625" customWidth="1"/>
    <col min="8176" max="8176" width="20.42578125" customWidth="1"/>
    <col min="8177" max="8177" width="14" customWidth="1"/>
    <col min="8178" max="8178" width="12" customWidth="1"/>
    <col min="8179" max="8179" width="18" customWidth="1"/>
    <col min="8180" max="8180" width="9" customWidth="1"/>
    <col min="8181" max="8185" width="13" customWidth="1"/>
    <col min="8186" max="8186" width="17.5703125" customWidth="1"/>
    <col min="8428" max="8428" width="1.7109375" customWidth="1"/>
    <col min="8429" max="8429" width="53.140625" customWidth="1"/>
    <col min="8430" max="8430" width="14.7109375" customWidth="1"/>
    <col min="8431" max="8431" width="20.140625" customWidth="1"/>
    <col min="8432" max="8432" width="20.42578125" customWidth="1"/>
    <col min="8433" max="8433" width="14" customWidth="1"/>
    <col min="8434" max="8434" width="12" customWidth="1"/>
    <col min="8435" max="8435" width="18" customWidth="1"/>
    <col min="8436" max="8436" width="9" customWidth="1"/>
    <col min="8437" max="8441" width="13" customWidth="1"/>
    <col min="8442" max="8442" width="17.5703125" customWidth="1"/>
    <col min="8684" max="8684" width="1.7109375" customWidth="1"/>
    <col min="8685" max="8685" width="53.140625" customWidth="1"/>
    <col min="8686" max="8686" width="14.7109375" customWidth="1"/>
    <col min="8687" max="8687" width="20.140625" customWidth="1"/>
    <col min="8688" max="8688" width="20.42578125" customWidth="1"/>
    <col min="8689" max="8689" width="14" customWidth="1"/>
    <col min="8690" max="8690" width="12" customWidth="1"/>
    <col min="8691" max="8691" width="18" customWidth="1"/>
    <col min="8692" max="8692" width="9" customWidth="1"/>
    <col min="8693" max="8697" width="13" customWidth="1"/>
    <col min="8698" max="8698" width="17.5703125" customWidth="1"/>
    <col min="8940" max="8940" width="1.7109375" customWidth="1"/>
    <col min="8941" max="8941" width="53.140625" customWidth="1"/>
    <col min="8942" max="8942" width="14.7109375" customWidth="1"/>
    <col min="8943" max="8943" width="20.140625" customWidth="1"/>
    <col min="8944" max="8944" width="20.42578125" customWidth="1"/>
    <col min="8945" max="8945" width="14" customWidth="1"/>
    <col min="8946" max="8946" width="12" customWidth="1"/>
    <col min="8947" max="8947" width="18" customWidth="1"/>
    <col min="8948" max="8948" width="9" customWidth="1"/>
    <col min="8949" max="8953" width="13" customWidth="1"/>
    <col min="8954" max="8954" width="17.5703125" customWidth="1"/>
    <col min="9196" max="9196" width="1.7109375" customWidth="1"/>
    <col min="9197" max="9197" width="53.140625" customWidth="1"/>
    <col min="9198" max="9198" width="14.7109375" customWidth="1"/>
    <col min="9199" max="9199" width="20.140625" customWidth="1"/>
    <col min="9200" max="9200" width="20.42578125" customWidth="1"/>
    <col min="9201" max="9201" width="14" customWidth="1"/>
    <col min="9202" max="9202" width="12" customWidth="1"/>
    <col min="9203" max="9203" width="18" customWidth="1"/>
    <col min="9204" max="9204" width="9" customWidth="1"/>
    <col min="9205" max="9209" width="13" customWidth="1"/>
    <col min="9210" max="9210" width="17.5703125" customWidth="1"/>
    <col min="9452" max="9452" width="1.7109375" customWidth="1"/>
    <col min="9453" max="9453" width="53.140625" customWidth="1"/>
    <col min="9454" max="9454" width="14.7109375" customWidth="1"/>
    <col min="9455" max="9455" width="20.140625" customWidth="1"/>
    <col min="9456" max="9456" width="20.42578125" customWidth="1"/>
    <col min="9457" max="9457" width="14" customWidth="1"/>
    <col min="9458" max="9458" width="12" customWidth="1"/>
    <col min="9459" max="9459" width="18" customWidth="1"/>
    <col min="9460" max="9460" width="9" customWidth="1"/>
    <col min="9461" max="9465" width="13" customWidth="1"/>
    <col min="9466" max="9466" width="17.5703125" customWidth="1"/>
    <col min="9708" max="9708" width="1.7109375" customWidth="1"/>
    <col min="9709" max="9709" width="53.140625" customWidth="1"/>
    <col min="9710" max="9710" width="14.7109375" customWidth="1"/>
    <col min="9711" max="9711" width="20.140625" customWidth="1"/>
    <col min="9712" max="9712" width="20.42578125" customWidth="1"/>
    <col min="9713" max="9713" width="14" customWidth="1"/>
    <col min="9714" max="9714" width="12" customWidth="1"/>
    <col min="9715" max="9715" width="18" customWidth="1"/>
    <col min="9716" max="9716" width="9" customWidth="1"/>
    <col min="9717" max="9721" width="13" customWidth="1"/>
    <col min="9722" max="9722" width="17.5703125" customWidth="1"/>
    <col min="9964" max="9964" width="1.7109375" customWidth="1"/>
    <col min="9965" max="9965" width="53.140625" customWidth="1"/>
    <col min="9966" max="9966" width="14.7109375" customWidth="1"/>
    <col min="9967" max="9967" width="20.140625" customWidth="1"/>
    <col min="9968" max="9968" width="20.42578125" customWidth="1"/>
    <col min="9969" max="9969" width="14" customWidth="1"/>
    <col min="9970" max="9970" width="12" customWidth="1"/>
    <col min="9971" max="9971" width="18" customWidth="1"/>
    <col min="9972" max="9972" width="9" customWidth="1"/>
    <col min="9973" max="9977" width="13" customWidth="1"/>
    <col min="9978" max="9978" width="17.5703125" customWidth="1"/>
    <col min="10220" max="10220" width="1.7109375" customWidth="1"/>
    <col min="10221" max="10221" width="53.140625" customWidth="1"/>
    <col min="10222" max="10222" width="14.7109375" customWidth="1"/>
    <col min="10223" max="10223" width="20.140625" customWidth="1"/>
    <col min="10224" max="10224" width="20.42578125" customWidth="1"/>
    <col min="10225" max="10225" width="14" customWidth="1"/>
    <col min="10226" max="10226" width="12" customWidth="1"/>
    <col min="10227" max="10227" width="18" customWidth="1"/>
    <col min="10228" max="10228" width="9" customWidth="1"/>
    <col min="10229" max="10233" width="13" customWidth="1"/>
    <col min="10234" max="10234" width="17.5703125" customWidth="1"/>
    <col min="10476" max="10476" width="1.7109375" customWidth="1"/>
    <col min="10477" max="10477" width="53.140625" customWidth="1"/>
    <col min="10478" max="10478" width="14.7109375" customWidth="1"/>
    <col min="10479" max="10479" width="20.140625" customWidth="1"/>
    <col min="10480" max="10480" width="20.42578125" customWidth="1"/>
    <col min="10481" max="10481" width="14" customWidth="1"/>
    <col min="10482" max="10482" width="12" customWidth="1"/>
    <col min="10483" max="10483" width="18" customWidth="1"/>
    <col min="10484" max="10484" width="9" customWidth="1"/>
    <col min="10485" max="10489" width="13" customWidth="1"/>
    <col min="10490" max="10490" width="17.5703125" customWidth="1"/>
    <col min="10732" max="10732" width="1.7109375" customWidth="1"/>
    <col min="10733" max="10733" width="53.140625" customWidth="1"/>
    <col min="10734" max="10734" width="14.7109375" customWidth="1"/>
    <col min="10735" max="10735" width="20.140625" customWidth="1"/>
    <col min="10736" max="10736" width="20.42578125" customWidth="1"/>
    <col min="10737" max="10737" width="14" customWidth="1"/>
    <col min="10738" max="10738" width="12" customWidth="1"/>
    <col min="10739" max="10739" width="18" customWidth="1"/>
    <col min="10740" max="10740" width="9" customWidth="1"/>
    <col min="10741" max="10745" width="13" customWidth="1"/>
    <col min="10746" max="10746" width="17.5703125" customWidth="1"/>
    <col min="10988" max="10988" width="1.7109375" customWidth="1"/>
    <col min="10989" max="10989" width="53.140625" customWidth="1"/>
    <col min="10990" max="10990" width="14.7109375" customWidth="1"/>
    <col min="10991" max="10991" width="20.140625" customWidth="1"/>
    <col min="10992" max="10992" width="20.42578125" customWidth="1"/>
    <col min="10993" max="10993" width="14" customWidth="1"/>
    <col min="10994" max="10994" width="12" customWidth="1"/>
    <col min="10995" max="10995" width="18" customWidth="1"/>
    <col min="10996" max="10996" width="9" customWidth="1"/>
    <col min="10997" max="11001" width="13" customWidth="1"/>
    <col min="11002" max="11002" width="17.5703125" customWidth="1"/>
    <col min="11244" max="11244" width="1.7109375" customWidth="1"/>
    <col min="11245" max="11245" width="53.140625" customWidth="1"/>
    <col min="11246" max="11246" width="14.7109375" customWidth="1"/>
    <col min="11247" max="11247" width="20.140625" customWidth="1"/>
    <col min="11248" max="11248" width="20.42578125" customWidth="1"/>
    <col min="11249" max="11249" width="14" customWidth="1"/>
    <col min="11250" max="11250" width="12" customWidth="1"/>
    <col min="11251" max="11251" width="18" customWidth="1"/>
    <col min="11252" max="11252" width="9" customWidth="1"/>
    <col min="11253" max="11257" width="13" customWidth="1"/>
    <col min="11258" max="11258" width="17.5703125" customWidth="1"/>
    <col min="11500" max="11500" width="1.7109375" customWidth="1"/>
    <col min="11501" max="11501" width="53.140625" customWidth="1"/>
    <col min="11502" max="11502" width="14.7109375" customWidth="1"/>
    <col min="11503" max="11503" width="20.140625" customWidth="1"/>
    <col min="11504" max="11504" width="20.42578125" customWidth="1"/>
    <col min="11505" max="11505" width="14" customWidth="1"/>
    <col min="11506" max="11506" width="12" customWidth="1"/>
    <col min="11507" max="11507" width="18" customWidth="1"/>
    <col min="11508" max="11508" width="9" customWidth="1"/>
    <col min="11509" max="11513" width="13" customWidth="1"/>
    <col min="11514" max="11514" width="17.5703125" customWidth="1"/>
    <col min="11756" max="11756" width="1.7109375" customWidth="1"/>
    <col min="11757" max="11757" width="53.140625" customWidth="1"/>
    <col min="11758" max="11758" width="14.7109375" customWidth="1"/>
    <col min="11759" max="11759" width="20.140625" customWidth="1"/>
    <col min="11760" max="11760" width="20.42578125" customWidth="1"/>
    <col min="11761" max="11761" width="14" customWidth="1"/>
    <col min="11762" max="11762" width="12" customWidth="1"/>
    <col min="11763" max="11763" width="18" customWidth="1"/>
    <col min="11764" max="11764" width="9" customWidth="1"/>
    <col min="11765" max="11769" width="13" customWidth="1"/>
    <col min="11770" max="11770" width="17.5703125" customWidth="1"/>
    <col min="12012" max="12012" width="1.7109375" customWidth="1"/>
    <col min="12013" max="12013" width="53.140625" customWidth="1"/>
    <col min="12014" max="12014" width="14.7109375" customWidth="1"/>
    <col min="12015" max="12015" width="20.140625" customWidth="1"/>
    <col min="12016" max="12016" width="20.42578125" customWidth="1"/>
    <col min="12017" max="12017" width="14" customWidth="1"/>
    <col min="12018" max="12018" width="12" customWidth="1"/>
    <col min="12019" max="12019" width="18" customWidth="1"/>
    <col min="12020" max="12020" width="9" customWidth="1"/>
    <col min="12021" max="12025" width="13" customWidth="1"/>
    <col min="12026" max="12026" width="17.5703125" customWidth="1"/>
    <col min="12268" max="12268" width="1.7109375" customWidth="1"/>
    <col min="12269" max="12269" width="53.140625" customWidth="1"/>
    <col min="12270" max="12270" width="14.7109375" customWidth="1"/>
    <col min="12271" max="12271" width="20.140625" customWidth="1"/>
    <col min="12272" max="12272" width="20.42578125" customWidth="1"/>
    <col min="12273" max="12273" width="14" customWidth="1"/>
    <col min="12274" max="12274" width="12" customWidth="1"/>
    <col min="12275" max="12275" width="18" customWidth="1"/>
    <col min="12276" max="12276" width="9" customWidth="1"/>
    <col min="12277" max="12281" width="13" customWidth="1"/>
    <col min="12282" max="12282" width="17.5703125" customWidth="1"/>
    <col min="12524" max="12524" width="1.7109375" customWidth="1"/>
    <col min="12525" max="12525" width="53.140625" customWidth="1"/>
    <col min="12526" max="12526" width="14.7109375" customWidth="1"/>
    <col min="12527" max="12527" width="20.140625" customWidth="1"/>
    <col min="12528" max="12528" width="20.42578125" customWidth="1"/>
    <col min="12529" max="12529" width="14" customWidth="1"/>
    <col min="12530" max="12530" width="12" customWidth="1"/>
    <col min="12531" max="12531" width="18" customWidth="1"/>
    <col min="12532" max="12532" width="9" customWidth="1"/>
    <col min="12533" max="12537" width="13" customWidth="1"/>
    <col min="12538" max="12538" width="17.5703125" customWidth="1"/>
    <col min="12780" max="12780" width="1.7109375" customWidth="1"/>
    <col min="12781" max="12781" width="53.140625" customWidth="1"/>
    <col min="12782" max="12782" width="14.7109375" customWidth="1"/>
    <col min="12783" max="12783" width="20.140625" customWidth="1"/>
    <col min="12784" max="12784" width="20.42578125" customWidth="1"/>
    <col min="12785" max="12785" width="14" customWidth="1"/>
    <col min="12786" max="12786" width="12" customWidth="1"/>
    <col min="12787" max="12787" width="18" customWidth="1"/>
    <col min="12788" max="12788" width="9" customWidth="1"/>
    <col min="12789" max="12793" width="13" customWidth="1"/>
    <col min="12794" max="12794" width="17.5703125" customWidth="1"/>
    <col min="13036" max="13036" width="1.7109375" customWidth="1"/>
    <col min="13037" max="13037" width="53.140625" customWidth="1"/>
    <col min="13038" max="13038" width="14.7109375" customWidth="1"/>
    <col min="13039" max="13039" width="20.140625" customWidth="1"/>
    <col min="13040" max="13040" width="20.42578125" customWidth="1"/>
    <col min="13041" max="13041" width="14" customWidth="1"/>
    <col min="13042" max="13042" width="12" customWidth="1"/>
    <col min="13043" max="13043" width="18" customWidth="1"/>
    <col min="13044" max="13044" width="9" customWidth="1"/>
    <col min="13045" max="13049" width="13" customWidth="1"/>
    <col min="13050" max="13050" width="17.5703125" customWidth="1"/>
    <col min="13292" max="13292" width="1.7109375" customWidth="1"/>
    <col min="13293" max="13293" width="53.140625" customWidth="1"/>
    <col min="13294" max="13294" width="14.7109375" customWidth="1"/>
    <col min="13295" max="13295" width="20.140625" customWidth="1"/>
    <col min="13296" max="13296" width="20.42578125" customWidth="1"/>
    <col min="13297" max="13297" width="14" customWidth="1"/>
    <col min="13298" max="13298" width="12" customWidth="1"/>
    <col min="13299" max="13299" width="18" customWidth="1"/>
    <col min="13300" max="13300" width="9" customWidth="1"/>
    <col min="13301" max="13305" width="13" customWidth="1"/>
    <col min="13306" max="13306" width="17.5703125" customWidth="1"/>
    <col min="13548" max="13548" width="1.7109375" customWidth="1"/>
    <col min="13549" max="13549" width="53.140625" customWidth="1"/>
    <col min="13550" max="13550" width="14.7109375" customWidth="1"/>
    <col min="13551" max="13551" width="20.140625" customWidth="1"/>
    <col min="13552" max="13552" width="20.42578125" customWidth="1"/>
    <col min="13553" max="13553" width="14" customWidth="1"/>
    <col min="13554" max="13554" width="12" customWidth="1"/>
    <col min="13555" max="13555" width="18" customWidth="1"/>
    <col min="13556" max="13556" width="9" customWidth="1"/>
    <col min="13557" max="13561" width="13" customWidth="1"/>
    <col min="13562" max="13562" width="17.5703125" customWidth="1"/>
    <col min="13804" max="13804" width="1.7109375" customWidth="1"/>
    <col min="13805" max="13805" width="53.140625" customWidth="1"/>
    <col min="13806" max="13806" width="14.7109375" customWidth="1"/>
    <col min="13807" max="13807" width="20.140625" customWidth="1"/>
    <col min="13808" max="13808" width="20.42578125" customWidth="1"/>
    <col min="13809" max="13809" width="14" customWidth="1"/>
    <col min="13810" max="13810" width="12" customWidth="1"/>
    <col min="13811" max="13811" width="18" customWidth="1"/>
    <col min="13812" max="13812" width="9" customWidth="1"/>
    <col min="13813" max="13817" width="13" customWidth="1"/>
    <col min="13818" max="13818" width="17.5703125" customWidth="1"/>
    <col min="14060" max="14060" width="1.7109375" customWidth="1"/>
    <col min="14061" max="14061" width="53.140625" customWidth="1"/>
    <col min="14062" max="14062" width="14.7109375" customWidth="1"/>
    <col min="14063" max="14063" width="20.140625" customWidth="1"/>
    <col min="14064" max="14064" width="20.42578125" customWidth="1"/>
    <col min="14065" max="14065" width="14" customWidth="1"/>
    <col min="14066" max="14066" width="12" customWidth="1"/>
    <col min="14067" max="14067" width="18" customWidth="1"/>
    <col min="14068" max="14068" width="9" customWidth="1"/>
    <col min="14069" max="14073" width="13" customWidth="1"/>
    <col min="14074" max="14074" width="17.5703125" customWidth="1"/>
    <col min="14316" max="14316" width="1.7109375" customWidth="1"/>
    <col min="14317" max="14317" width="53.140625" customWidth="1"/>
    <col min="14318" max="14318" width="14.7109375" customWidth="1"/>
    <col min="14319" max="14319" width="20.140625" customWidth="1"/>
    <col min="14320" max="14320" width="20.42578125" customWidth="1"/>
    <col min="14321" max="14321" width="14" customWidth="1"/>
    <col min="14322" max="14322" width="12" customWidth="1"/>
    <col min="14323" max="14323" width="18" customWidth="1"/>
    <col min="14324" max="14324" width="9" customWidth="1"/>
    <col min="14325" max="14329" width="13" customWidth="1"/>
    <col min="14330" max="14330" width="17.5703125" customWidth="1"/>
    <col min="14572" max="14572" width="1.7109375" customWidth="1"/>
    <col min="14573" max="14573" width="53.140625" customWidth="1"/>
    <col min="14574" max="14574" width="14.7109375" customWidth="1"/>
    <col min="14575" max="14575" width="20.140625" customWidth="1"/>
    <col min="14576" max="14576" width="20.42578125" customWidth="1"/>
    <col min="14577" max="14577" width="14" customWidth="1"/>
    <col min="14578" max="14578" width="12" customWidth="1"/>
    <col min="14579" max="14579" width="18" customWidth="1"/>
    <col min="14580" max="14580" width="9" customWidth="1"/>
    <col min="14581" max="14585" width="13" customWidth="1"/>
    <col min="14586" max="14586" width="17.5703125" customWidth="1"/>
    <col min="14828" max="14828" width="1.7109375" customWidth="1"/>
    <col min="14829" max="14829" width="53.140625" customWidth="1"/>
    <col min="14830" max="14830" width="14.7109375" customWidth="1"/>
    <col min="14831" max="14831" width="20.140625" customWidth="1"/>
    <col min="14832" max="14832" width="20.42578125" customWidth="1"/>
    <col min="14833" max="14833" width="14" customWidth="1"/>
    <col min="14834" max="14834" width="12" customWidth="1"/>
    <col min="14835" max="14835" width="18" customWidth="1"/>
    <col min="14836" max="14836" width="9" customWidth="1"/>
    <col min="14837" max="14841" width="13" customWidth="1"/>
    <col min="14842" max="14842" width="17.5703125" customWidth="1"/>
    <col min="15084" max="15084" width="1.7109375" customWidth="1"/>
    <col min="15085" max="15085" width="53.140625" customWidth="1"/>
    <col min="15086" max="15086" width="14.7109375" customWidth="1"/>
    <col min="15087" max="15087" width="20.140625" customWidth="1"/>
    <col min="15088" max="15088" width="20.42578125" customWidth="1"/>
    <col min="15089" max="15089" width="14" customWidth="1"/>
    <col min="15090" max="15090" width="12" customWidth="1"/>
    <col min="15091" max="15091" width="18" customWidth="1"/>
    <col min="15092" max="15092" width="9" customWidth="1"/>
    <col min="15093" max="15097" width="13" customWidth="1"/>
    <col min="15098" max="15098" width="17.5703125" customWidth="1"/>
    <col min="15340" max="15340" width="1.7109375" customWidth="1"/>
    <col min="15341" max="15341" width="53.140625" customWidth="1"/>
    <col min="15342" max="15342" width="14.7109375" customWidth="1"/>
    <col min="15343" max="15343" width="20.140625" customWidth="1"/>
    <col min="15344" max="15344" width="20.42578125" customWidth="1"/>
    <col min="15345" max="15345" width="14" customWidth="1"/>
    <col min="15346" max="15346" width="12" customWidth="1"/>
    <col min="15347" max="15347" width="18" customWidth="1"/>
    <col min="15348" max="15348" width="9" customWidth="1"/>
    <col min="15349" max="15353" width="13" customWidth="1"/>
    <col min="15354" max="15354" width="17.5703125" customWidth="1"/>
    <col min="15596" max="15596" width="1.7109375" customWidth="1"/>
    <col min="15597" max="15597" width="53.140625" customWidth="1"/>
    <col min="15598" max="15598" width="14.7109375" customWidth="1"/>
    <col min="15599" max="15599" width="20.140625" customWidth="1"/>
    <col min="15600" max="15600" width="20.42578125" customWidth="1"/>
    <col min="15601" max="15601" width="14" customWidth="1"/>
    <col min="15602" max="15602" width="12" customWidth="1"/>
    <col min="15603" max="15603" width="18" customWidth="1"/>
    <col min="15604" max="15604" width="9" customWidth="1"/>
    <col min="15605" max="15609" width="13" customWidth="1"/>
    <col min="15610" max="15610" width="17.5703125" customWidth="1"/>
    <col min="15852" max="15852" width="1.7109375" customWidth="1"/>
    <col min="15853" max="15853" width="53.140625" customWidth="1"/>
    <col min="15854" max="15854" width="14.7109375" customWidth="1"/>
    <col min="15855" max="15855" width="20.140625" customWidth="1"/>
    <col min="15856" max="15856" width="20.42578125" customWidth="1"/>
    <col min="15857" max="15857" width="14" customWidth="1"/>
    <col min="15858" max="15858" width="12" customWidth="1"/>
    <col min="15859" max="15859" width="18" customWidth="1"/>
    <col min="15860" max="15860" width="9" customWidth="1"/>
    <col min="15861" max="15865" width="13" customWidth="1"/>
    <col min="15866" max="15866" width="17.5703125" customWidth="1"/>
    <col min="16108" max="16108" width="1.7109375" customWidth="1"/>
    <col min="16109" max="16109" width="53.140625" customWidth="1"/>
    <col min="16110" max="16110" width="14.7109375" customWidth="1"/>
    <col min="16111" max="16111" width="20.140625" customWidth="1"/>
    <col min="16112" max="16112" width="20.42578125" customWidth="1"/>
    <col min="16113" max="16113" width="14" customWidth="1"/>
    <col min="16114" max="16114" width="12" customWidth="1"/>
    <col min="16115" max="16115" width="18" customWidth="1"/>
    <col min="16116" max="16116" width="9" customWidth="1"/>
    <col min="16117" max="16121" width="13" customWidth="1"/>
    <col min="16122" max="16122" width="17.5703125" customWidth="1"/>
  </cols>
  <sheetData>
    <row r="1" spans="1:18" s="135" customFormat="1" ht="30" customHeight="1" x14ac:dyDescent="0.25">
      <c r="A1" s="130" t="s">
        <v>66</v>
      </c>
      <c r="B1" s="130" t="s">
        <v>67</v>
      </c>
      <c r="C1" s="130" t="s">
        <v>68</v>
      </c>
      <c r="D1" s="130" t="s">
        <v>9</v>
      </c>
      <c r="E1" s="130" t="s">
        <v>69</v>
      </c>
      <c r="F1" s="130" t="s">
        <v>70</v>
      </c>
      <c r="G1" s="130" t="s">
        <v>11</v>
      </c>
      <c r="H1" s="130" t="s">
        <v>71</v>
      </c>
      <c r="I1" s="130" t="s">
        <v>72</v>
      </c>
      <c r="J1" s="130" t="s">
        <v>73</v>
      </c>
      <c r="K1" s="130" t="s">
        <v>74</v>
      </c>
      <c r="L1" s="130" t="s">
        <v>75</v>
      </c>
      <c r="M1" s="130" t="s">
        <v>76</v>
      </c>
      <c r="N1" s="131" t="s">
        <v>37</v>
      </c>
      <c r="O1" s="130" t="s">
        <v>567</v>
      </c>
      <c r="P1" s="132" t="s">
        <v>837</v>
      </c>
      <c r="Q1" s="133" t="s">
        <v>1058</v>
      </c>
      <c r="R1" s="134" t="s">
        <v>1066</v>
      </c>
    </row>
    <row r="2" spans="1:18" ht="36.75" customHeight="1" x14ac:dyDescent="0.25">
      <c r="A2" s="125" t="s">
        <v>359</v>
      </c>
      <c r="B2">
        <v>102</v>
      </c>
      <c r="C2" s="125">
        <v>65889</v>
      </c>
      <c r="D2" s="125" t="s">
        <v>105</v>
      </c>
      <c r="E2" s="125" t="s">
        <v>79</v>
      </c>
      <c r="F2" s="125" t="s">
        <v>80</v>
      </c>
      <c r="G2" s="125" t="s">
        <v>460</v>
      </c>
      <c r="H2" s="125" t="s">
        <v>21</v>
      </c>
      <c r="I2" s="125" t="s">
        <v>82</v>
      </c>
      <c r="J2" s="126">
        <v>27380</v>
      </c>
      <c r="K2" s="126">
        <v>13950</v>
      </c>
      <c r="L2" s="127">
        <v>27</v>
      </c>
      <c r="M2" s="126">
        <v>13430</v>
      </c>
      <c r="N2" s="126">
        <v>9803.9</v>
      </c>
      <c r="O2" s="126" t="s">
        <v>511</v>
      </c>
      <c r="P2" s="127">
        <v>44</v>
      </c>
      <c r="Q2" s="129">
        <v>45804</v>
      </c>
      <c r="R2" s="139">
        <v>0.78133101851851849</v>
      </c>
    </row>
    <row r="3" spans="1:18" ht="36.75" customHeight="1" x14ac:dyDescent="0.25">
      <c r="A3" s="125" t="s">
        <v>360</v>
      </c>
      <c r="B3">
        <v>103</v>
      </c>
      <c r="C3" s="125">
        <v>65901</v>
      </c>
      <c r="D3" s="125" t="s">
        <v>105</v>
      </c>
      <c r="E3" s="125" t="s">
        <v>127</v>
      </c>
      <c r="F3" s="125" t="s">
        <v>131</v>
      </c>
      <c r="G3" s="125" t="s">
        <v>460</v>
      </c>
      <c r="H3" s="125" t="s">
        <v>21</v>
      </c>
      <c r="I3" s="125" t="s">
        <v>82</v>
      </c>
      <c r="J3" s="126">
        <v>28260</v>
      </c>
      <c r="K3" s="126">
        <v>14290</v>
      </c>
      <c r="L3" s="127">
        <v>26</v>
      </c>
      <c r="M3" s="126">
        <v>13970</v>
      </c>
      <c r="N3" s="126">
        <v>10337.799999999999</v>
      </c>
      <c r="O3" s="126" t="s">
        <v>511</v>
      </c>
      <c r="P3" s="127">
        <v>45</v>
      </c>
      <c r="Q3" s="129">
        <v>45804</v>
      </c>
      <c r="R3" s="139">
        <v>0.78836805555555556</v>
      </c>
    </row>
    <row r="4" spans="1:18" ht="36.75" customHeight="1" x14ac:dyDescent="0.25">
      <c r="A4" s="125" t="s">
        <v>77</v>
      </c>
      <c r="B4">
        <v>104</v>
      </c>
      <c r="C4" s="125">
        <v>1</v>
      </c>
      <c r="D4" s="125" t="s">
        <v>78</v>
      </c>
      <c r="E4" s="125" t="s">
        <v>79</v>
      </c>
      <c r="F4" s="125" t="s">
        <v>80</v>
      </c>
      <c r="G4" s="125" t="s">
        <v>110</v>
      </c>
      <c r="H4" s="125" t="s">
        <v>81</v>
      </c>
      <c r="I4" s="125" t="s">
        <v>82</v>
      </c>
      <c r="J4" s="126">
        <v>11320</v>
      </c>
      <c r="K4" s="126">
        <v>9270</v>
      </c>
      <c r="L4" s="127">
        <v>22</v>
      </c>
      <c r="M4" s="126">
        <v>2050</v>
      </c>
      <c r="N4" s="126">
        <v>1599</v>
      </c>
      <c r="O4" s="126" t="s">
        <v>511</v>
      </c>
      <c r="P4" s="127">
        <v>46</v>
      </c>
      <c r="Q4" s="129">
        <v>45804</v>
      </c>
      <c r="R4" s="139">
        <v>0.7584953703703704</v>
      </c>
    </row>
    <row r="5" spans="1:18" ht="36.75" customHeight="1" x14ac:dyDescent="0.25">
      <c r="A5" s="125" t="s">
        <v>361</v>
      </c>
      <c r="B5">
        <v>105</v>
      </c>
      <c r="C5" s="125">
        <v>65902</v>
      </c>
      <c r="D5" s="125" t="s">
        <v>105</v>
      </c>
      <c r="E5" s="125" t="s">
        <v>212</v>
      </c>
      <c r="F5" s="125" t="s">
        <v>216</v>
      </c>
      <c r="G5" s="125" t="s">
        <v>460</v>
      </c>
      <c r="H5" s="125" t="s">
        <v>21</v>
      </c>
      <c r="I5" s="125" t="s">
        <v>82</v>
      </c>
      <c r="J5" s="126">
        <v>27680</v>
      </c>
      <c r="K5" s="126">
        <v>13880</v>
      </c>
      <c r="L5" s="127">
        <v>20</v>
      </c>
      <c r="M5" s="126">
        <v>13800</v>
      </c>
      <c r="N5" s="126">
        <v>11040</v>
      </c>
      <c r="O5" s="126" t="s">
        <v>511</v>
      </c>
      <c r="P5" s="127">
        <v>47</v>
      </c>
      <c r="Q5" s="129">
        <v>45805</v>
      </c>
      <c r="R5" s="139">
        <v>0.31565972222222222</v>
      </c>
    </row>
    <row r="6" spans="1:18" ht="36.75" customHeight="1" x14ac:dyDescent="0.25">
      <c r="A6" s="125" t="s">
        <v>362</v>
      </c>
      <c r="B6">
        <v>108</v>
      </c>
      <c r="C6" s="125">
        <v>65903</v>
      </c>
      <c r="D6" s="125" t="s">
        <v>105</v>
      </c>
      <c r="E6" s="125" t="s">
        <v>1152</v>
      </c>
      <c r="F6" s="125" t="s">
        <v>119</v>
      </c>
      <c r="G6" s="125" t="s">
        <v>460</v>
      </c>
      <c r="H6" s="125" t="s">
        <v>21</v>
      </c>
      <c r="I6" s="125" t="s">
        <v>82</v>
      </c>
      <c r="J6" s="126">
        <v>34970</v>
      </c>
      <c r="K6" s="126">
        <v>20920</v>
      </c>
      <c r="L6" s="127">
        <v>21</v>
      </c>
      <c r="M6" s="126">
        <v>14050</v>
      </c>
      <c r="N6" s="126">
        <v>11099.5</v>
      </c>
      <c r="O6" s="126" t="s">
        <v>511</v>
      </c>
      <c r="P6" s="127">
        <v>48</v>
      </c>
      <c r="Q6" s="129">
        <v>45805</v>
      </c>
      <c r="R6" s="139">
        <v>0.55638888888888893</v>
      </c>
    </row>
    <row r="7" spans="1:18" ht="36.75" customHeight="1" x14ac:dyDescent="0.25">
      <c r="A7" s="125" t="s">
        <v>363</v>
      </c>
      <c r="B7">
        <v>110</v>
      </c>
      <c r="C7" s="125">
        <v>65904</v>
      </c>
      <c r="D7" s="125" t="s">
        <v>105</v>
      </c>
      <c r="E7" s="125" t="s">
        <v>151</v>
      </c>
      <c r="F7" s="125" t="s">
        <v>155</v>
      </c>
      <c r="G7" s="125" t="s">
        <v>460</v>
      </c>
      <c r="H7" s="125" t="s">
        <v>21</v>
      </c>
      <c r="I7" s="125" t="s">
        <v>82</v>
      </c>
      <c r="J7" s="126">
        <v>28940</v>
      </c>
      <c r="K7" s="126">
        <v>14890</v>
      </c>
      <c r="L7" s="127">
        <v>31.5</v>
      </c>
      <c r="M7" s="126">
        <v>14050</v>
      </c>
      <c r="N7" s="126">
        <v>9624.2000000000007</v>
      </c>
      <c r="O7" s="126" t="s">
        <v>511</v>
      </c>
      <c r="P7" s="128">
        <v>52</v>
      </c>
      <c r="Q7" s="129">
        <v>45805</v>
      </c>
      <c r="R7" s="139">
        <v>0.71464120370370365</v>
      </c>
    </row>
    <row r="8" spans="1:18" ht="36.75" customHeight="1" x14ac:dyDescent="0.25">
      <c r="A8" s="125" t="s">
        <v>364</v>
      </c>
      <c r="B8">
        <v>111</v>
      </c>
      <c r="C8" s="125">
        <v>65905</v>
      </c>
      <c r="D8" s="125" t="s">
        <v>105</v>
      </c>
      <c r="E8" s="125" t="s">
        <v>160</v>
      </c>
      <c r="F8" s="125" t="s">
        <v>164</v>
      </c>
      <c r="G8" s="125" t="s">
        <v>460</v>
      </c>
      <c r="H8" s="125" t="s">
        <v>21</v>
      </c>
      <c r="I8" s="125" t="s">
        <v>82</v>
      </c>
      <c r="J8" s="126">
        <v>38160</v>
      </c>
      <c r="K8" s="126">
        <v>24140</v>
      </c>
      <c r="L8" s="127">
        <v>31.5</v>
      </c>
      <c r="M8" s="126">
        <v>14180</v>
      </c>
      <c r="N8" s="126">
        <v>9713.2999999999993</v>
      </c>
      <c r="O8" s="126" t="s">
        <v>511</v>
      </c>
      <c r="P8" s="128">
        <v>53</v>
      </c>
      <c r="Q8" s="129">
        <v>45805</v>
      </c>
      <c r="R8" s="139">
        <v>0.71745370370370365</v>
      </c>
    </row>
    <row r="9" spans="1:18" ht="36.75" customHeight="1" x14ac:dyDescent="0.25">
      <c r="A9" s="125" t="s">
        <v>366</v>
      </c>
      <c r="B9">
        <v>112</v>
      </c>
      <c r="C9" s="125">
        <v>65907</v>
      </c>
      <c r="D9" s="125" t="s">
        <v>105</v>
      </c>
      <c r="E9" s="125" t="s">
        <v>1151</v>
      </c>
      <c r="F9" s="125" t="s">
        <v>145</v>
      </c>
      <c r="G9" s="125" t="s">
        <v>460</v>
      </c>
      <c r="H9" s="125" t="s">
        <v>21</v>
      </c>
      <c r="I9" s="125" t="s">
        <v>82</v>
      </c>
      <c r="J9" s="126">
        <v>29800</v>
      </c>
      <c r="K9" s="126">
        <v>15690</v>
      </c>
      <c r="L9" s="127">
        <v>30.5</v>
      </c>
      <c r="M9" s="126">
        <v>14110</v>
      </c>
      <c r="N9" s="126">
        <v>9806.4</v>
      </c>
      <c r="O9" s="126" t="s">
        <v>511</v>
      </c>
      <c r="P9" s="128">
        <v>54</v>
      </c>
      <c r="Q9" s="129">
        <v>45805</v>
      </c>
      <c r="R9" s="139">
        <v>0.81226851851851856</v>
      </c>
    </row>
    <row r="10" spans="1:18" ht="36.75" customHeight="1" x14ac:dyDescent="0.25">
      <c r="A10" s="125" t="s">
        <v>367</v>
      </c>
      <c r="B10">
        <v>113</v>
      </c>
      <c r="C10" s="125">
        <v>65906</v>
      </c>
      <c r="D10" s="125" t="s">
        <v>105</v>
      </c>
      <c r="E10" s="125" t="s">
        <v>1461</v>
      </c>
      <c r="F10" s="125" t="s">
        <v>149</v>
      </c>
      <c r="G10" s="125" t="s">
        <v>460</v>
      </c>
      <c r="H10" s="125" t="s">
        <v>21</v>
      </c>
      <c r="I10" s="125" t="s">
        <v>82</v>
      </c>
      <c r="J10" s="126">
        <v>29560</v>
      </c>
      <c r="K10" s="126">
        <v>15050</v>
      </c>
      <c r="L10" s="127">
        <v>27.5</v>
      </c>
      <c r="M10" s="126">
        <v>14510</v>
      </c>
      <c r="N10" s="126">
        <v>10519.7</v>
      </c>
      <c r="O10" s="126" t="s">
        <v>511</v>
      </c>
      <c r="P10" s="128">
        <v>55</v>
      </c>
      <c r="Q10" s="129">
        <v>45805</v>
      </c>
      <c r="R10" s="139">
        <v>0.92144675925925923</v>
      </c>
    </row>
    <row r="11" spans="1:18" ht="36.75" customHeight="1" x14ac:dyDescent="0.25">
      <c r="A11" s="125" t="s">
        <v>368</v>
      </c>
      <c r="B11">
        <v>114</v>
      </c>
      <c r="C11" s="125">
        <v>65908</v>
      </c>
      <c r="D11" s="125" t="s">
        <v>105</v>
      </c>
      <c r="E11" s="125" t="s">
        <v>133</v>
      </c>
      <c r="F11" s="125" t="s">
        <v>137</v>
      </c>
      <c r="G11" s="125" t="s">
        <v>460</v>
      </c>
      <c r="H11" s="125" t="s">
        <v>21</v>
      </c>
      <c r="I11" s="125" t="s">
        <v>82</v>
      </c>
      <c r="J11" s="126">
        <v>28960</v>
      </c>
      <c r="K11" s="126">
        <v>14870</v>
      </c>
      <c r="L11" s="127">
        <v>30.5</v>
      </c>
      <c r="M11" s="126">
        <v>14090</v>
      </c>
      <c r="N11" s="126">
        <v>9792.5</v>
      </c>
      <c r="O11" s="126" t="s">
        <v>511</v>
      </c>
      <c r="P11" s="128">
        <v>56</v>
      </c>
      <c r="Q11" s="129">
        <v>45805</v>
      </c>
      <c r="R11" s="139">
        <v>0.97884259259259254</v>
      </c>
    </row>
    <row r="12" spans="1:18" ht="36.75" customHeight="1" x14ac:dyDescent="0.25">
      <c r="A12" s="125" t="s">
        <v>369</v>
      </c>
      <c r="B12">
        <v>115</v>
      </c>
      <c r="C12" s="125">
        <v>65909</v>
      </c>
      <c r="D12" s="125" t="s">
        <v>105</v>
      </c>
      <c r="E12" s="125" t="s">
        <v>121</v>
      </c>
      <c r="F12" s="125" t="s">
        <v>125</v>
      </c>
      <c r="G12" s="125" t="s">
        <v>460</v>
      </c>
      <c r="H12" s="125" t="s">
        <v>21</v>
      </c>
      <c r="I12" s="125" t="s">
        <v>82</v>
      </c>
      <c r="J12" s="126">
        <v>28680</v>
      </c>
      <c r="K12" s="126">
        <v>14580</v>
      </c>
      <c r="L12" s="127">
        <v>32</v>
      </c>
      <c r="M12" s="126">
        <v>14100</v>
      </c>
      <c r="N12" s="126">
        <v>9588</v>
      </c>
      <c r="O12" s="126" t="s">
        <v>511</v>
      </c>
      <c r="P12" s="128">
        <v>57</v>
      </c>
      <c r="Q12" s="129">
        <v>45806</v>
      </c>
      <c r="R12" s="139">
        <v>0.38511574074074073</v>
      </c>
    </row>
    <row r="13" spans="1:18" ht="36.75" customHeight="1" x14ac:dyDescent="0.25">
      <c r="A13" s="125" t="s">
        <v>370</v>
      </c>
      <c r="B13">
        <v>117</v>
      </c>
      <c r="C13" s="125">
        <v>65910</v>
      </c>
      <c r="D13" s="125" t="s">
        <v>105</v>
      </c>
      <c r="E13" s="125" t="s">
        <v>166</v>
      </c>
      <c r="F13" s="125" t="s">
        <v>170</v>
      </c>
      <c r="G13" s="125" t="s">
        <v>460</v>
      </c>
      <c r="H13" s="125" t="s">
        <v>21</v>
      </c>
      <c r="I13" s="125" t="s">
        <v>82</v>
      </c>
      <c r="J13" s="126">
        <v>28830</v>
      </c>
      <c r="K13" s="126">
        <v>14830</v>
      </c>
      <c r="L13" s="127">
        <v>27.5</v>
      </c>
      <c r="M13" s="126">
        <v>14000</v>
      </c>
      <c r="N13" s="126">
        <v>10150</v>
      </c>
      <c r="O13" s="126" t="s">
        <v>511</v>
      </c>
      <c r="P13" s="128">
        <v>58</v>
      </c>
      <c r="Q13" s="129">
        <v>45806</v>
      </c>
      <c r="R13" s="139">
        <v>0.1739236111111111</v>
      </c>
    </row>
    <row r="14" spans="1:18" ht="36.75" customHeight="1" x14ac:dyDescent="0.25">
      <c r="A14" s="125" t="s">
        <v>371</v>
      </c>
      <c r="B14">
        <v>118</v>
      </c>
      <c r="C14" s="125">
        <v>65911</v>
      </c>
      <c r="D14" s="125" t="s">
        <v>105</v>
      </c>
      <c r="E14" s="125" t="s">
        <v>111</v>
      </c>
      <c r="F14" s="125" t="s">
        <v>114</v>
      </c>
      <c r="G14" s="125" t="s">
        <v>460</v>
      </c>
      <c r="H14" s="125" t="s">
        <v>21</v>
      </c>
      <c r="I14" s="125" t="s">
        <v>82</v>
      </c>
      <c r="J14" s="126">
        <v>29110</v>
      </c>
      <c r="K14" s="126">
        <v>15320</v>
      </c>
      <c r="L14" s="127">
        <v>30</v>
      </c>
      <c r="M14" s="126">
        <v>13790</v>
      </c>
      <c r="N14" s="126">
        <v>9653</v>
      </c>
      <c r="O14" s="126" t="s">
        <v>511</v>
      </c>
      <c r="P14" s="128">
        <v>59</v>
      </c>
      <c r="Q14" s="129">
        <v>45806</v>
      </c>
      <c r="R14" s="139">
        <v>0.24512731481481481</v>
      </c>
    </row>
    <row r="15" spans="1:18" ht="36.75" customHeight="1" x14ac:dyDescent="0.25">
      <c r="A15" s="125" t="s">
        <v>372</v>
      </c>
      <c r="B15">
        <v>122</v>
      </c>
      <c r="C15" s="125">
        <v>2</v>
      </c>
      <c r="D15" s="125" t="s">
        <v>78</v>
      </c>
      <c r="E15" s="125" t="s">
        <v>111</v>
      </c>
      <c r="F15" s="125" t="s">
        <v>114</v>
      </c>
      <c r="G15" s="125" t="s">
        <v>110</v>
      </c>
      <c r="H15" s="125" t="s">
        <v>81</v>
      </c>
      <c r="I15" s="125" t="s">
        <v>82</v>
      </c>
      <c r="J15" s="126">
        <v>13930</v>
      </c>
      <c r="K15" s="126">
        <v>9710</v>
      </c>
      <c r="L15" s="127">
        <v>27</v>
      </c>
      <c r="M15" s="126">
        <v>4220</v>
      </c>
      <c r="N15" s="126">
        <v>3080.6</v>
      </c>
      <c r="O15" s="126" t="s">
        <v>511</v>
      </c>
      <c r="P15" s="128">
        <v>72</v>
      </c>
      <c r="Q15" s="129">
        <v>45806</v>
      </c>
      <c r="R15" s="139">
        <v>0.81936342592592593</v>
      </c>
    </row>
    <row r="16" spans="1:18" ht="36.75" customHeight="1" x14ac:dyDescent="0.25">
      <c r="A16" s="125" t="s">
        <v>373</v>
      </c>
      <c r="B16">
        <v>123</v>
      </c>
      <c r="C16" s="125">
        <v>3</v>
      </c>
      <c r="D16" s="125" t="s">
        <v>78</v>
      </c>
      <c r="E16" s="125" t="s">
        <v>111</v>
      </c>
      <c r="F16" s="125" t="s">
        <v>114</v>
      </c>
      <c r="G16" s="125" t="s">
        <v>110</v>
      </c>
      <c r="H16" s="125" t="s">
        <v>81</v>
      </c>
      <c r="I16" s="125" t="s">
        <v>82</v>
      </c>
      <c r="J16" s="126">
        <v>21910</v>
      </c>
      <c r="K16" s="126">
        <v>15390</v>
      </c>
      <c r="L16" s="127">
        <v>23</v>
      </c>
      <c r="M16" s="126">
        <v>6520</v>
      </c>
      <c r="N16" s="126">
        <v>5020.3999999999996</v>
      </c>
      <c r="O16" s="126" t="s">
        <v>511</v>
      </c>
      <c r="P16" s="128">
        <v>73</v>
      </c>
      <c r="Q16" s="129">
        <v>45806</v>
      </c>
      <c r="R16" s="139">
        <v>0.83284722222222218</v>
      </c>
    </row>
    <row r="17" spans="1:18" ht="36.75" customHeight="1" x14ac:dyDescent="0.25">
      <c r="A17" s="125" t="s">
        <v>374</v>
      </c>
      <c r="B17">
        <v>126</v>
      </c>
      <c r="C17" s="125">
        <v>4</v>
      </c>
      <c r="D17" s="125" t="s">
        <v>78</v>
      </c>
      <c r="E17" s="125" t="s">
        <v>127</v>
      </c>
      <c r="F17" s="125" t="s">
        <v>131</v>
      </c>
      <c r="G17" s="125" t="s">
        <v>110</v>
      </c>
      <c r="H17" s="125" t="s">
        <v>81</v>
      </c>
      <c r="I17" s="125" t="s">
        <v>82</v>
      </c>
      <c r="J17" s="126">
        <v>14120</v>
      </c>
      <c r="K17" s="126">
        <v>9740</v>
      </c>
      <c r="L17" s="127">
        <v>24.5</v>
      </c>
      <c r="M17" s="126">
        <v>4380</v>
      </c>
      <c r="N17" s="126">
        <v>3306.9</v>
      </c>
      <c r="O17" s="126" t="s">
        <v>511</v>
      </c>
      <c r="P17" s="128">
        <v>74</v>
      </c>
      <c r="Q17" s="129">
        <v>45808</v>
      </c>
      <c r="R17" s="139">
        <v>0.38186342592592593</v>
      </c>
    </row>
    <row r="18" spans="1:18" ht="36.75" customHeight="1" x14ac:dyDescent="0.25">
      <c r="A18" s="125" t="s">
        <v>375</v>
      </c>
      <c r="B18">
        <v>127</v>
      </c>
      <c r="C18" s="125">
        <v>5</v>
      </c>
      <c r="D18" s="125" t="s">
        <v>78</v>
      </c>
      <c r="E18" s="125" t="s">
        <v>127</v>
      </c>
      <c r="F18" s="125" t="s">
        <v>131</v>
      </c>
      <c r="G18" s="125" t="s">
        <v>110</v>
      </c>
      <c r="H18" s="125" t="s">
        <v>81</v>
      </c>
      <c r="I18" s="125" t="s">
        <v>82</v>
      </c>
      <c r="J18" s="126">
        <v>14320</v>
      </c>
      <c r="K18" s="126">
        <v>9730</v>
      </c>
      <c r="L18" s="127">
        <v>22.5</v>
      </c>
      <c r="M18" s="126">
        <v>4590</v>
      </c>
      <c r="N18" s="126">
        <v>3557.2</v>
      </c>
      <c r="O18" s="126" t="s">
        <v>511</v>
      </c>
      <c r="P18" s="128">
        <v>75</v>
      </c>
      <c r="Q18" s="129">
        <v>45808</v>
      </c>
      <c r="R18" s="139">
        <v>0.42413194444444446</v>
      </c>
    </row>
    <row r="19" spans="1:18" ht="36.75" customHeight="1" x14ac:dyDescent="0.25">
      <c r="A19" s="125" t="s">
        <v>376</v>
      </c>
      <c r="B19">
        <v>128</v>
      </c>
      <c r="C19" s="125">
        <v>6</v>
      </c>
      <c r="D19" s="125" t="s">
        <v>78</v>
      </c>
      <c r="E19" s="125" t="s">
        <v>127</v>
      </c>
      <c r="F19" s="125" t="s">
        <v>131</v>
      </c>
      <c r="G19" s="125" t="s">
        <v>110</v>
      </c>
      <c r="H19" s="125" t="s">
        <v>81</v>
      </c>
      <c r="I19" s="125" t="s">
        <v>82</v>
      </c>
      <c r="J19" s="126">
        <v>23120</v>
      </c>
      <c r="K19" s="126">
        <v>14360</v>
      </c>
      <c r="L19" s="127">
        <v>28.5</v>
      </c>
      <c r="M19" s="126">
        <v>8760</v>
      </c>
      <c r="N19" s="126">
        <v>6263.4</v>
      </c>
      <c r="O19" s="126" t="s">
        <v>511</v>
      </c>
      <c r="P19" s="128">
        <v>76</v>
      </c>
      <c r="Q19" s="129">
        <v>45808</v>
      </c>
      <c r="R19" s="139">
        <v>0.50885416666666672</v>
      </c>
    </row>
    <row r="20" spans="1:18" ht="36.75" customHeight="1" x14ac:dyDescent="0.25">
      <c r="A20" s="125" t="s">
        <v>377</v>
      </c>
      <c r="B20">
        <v>129</v>
      </c>
      <c r="C20" s="125">
        <v>7</v>
      </c>
      <c r="D20" s="125" t="s">
        <v>78</v>
      </c>
      <c r="E20" s="125" t="s">
        <v>127</v>
      </c>
      <c r="F20" s="125" t="s">
        <v>131</v>
      </c>
      <c r="G20" s="125" t="s">
        <v>110</v>
      </c>
      <c r="H20" s="125" t="s">
        <v>81</v>
      </c>
      <c r="I20" s="125" t="s">
        <v>82</v>
      </c>
      <c r="J20" s="126">
        <v>14470</v>
      </c>
      <c r="K20" s="126">
        <v>9700</v>
      </c>
      <c r="L20" s="127">
        <v>31</v>
      </c>
      <c r="M20" s="126">
        <v>4770</v>
      </c>
      <c r="N20" s="126">
        <v>3291.3</v>
      </c>
      <c r="O20" s="126" t="s">
        <v>511</v>
      </c>
      <c r="P20" s="128">
        <v>77</v>
      </c>
      <c r="Q20" s="129">
        <v>45808</v>
      </c>
      <c r="R20" s="139">
        <v>0.62850694444444444</v>
      </c>
    </row>
    <row r="21" spans="1:18" ht="36.75" customHeight="1" x14ac:dyDescent="0.25">
      <c r="A21" s="125" t="s">
        <v>378</v>
      </c>
      <c r="B21">
        <v>130</v>
      </c>
      <c r="C21" s="125">
        <v>8</v>
      </c>
      <c r="D21" s="125" t="s">
        <v>78</v>
      </c>
      <c r="E21" s="125" t="s">
        <v>127</v>
      </c>
      <c r="F21" s="125" t="s">
        <v>131</v>
      </c>
      <c r="G21" s="125" t="s">
        <v>110</v>
      </c>
      <c r="H21" s="125" t="s">
        <v>81</v>
      </c>
      <c r="I21" s="125" t="s">
        <v>82</v>
      </c>
      <c r="J21" s="126">
        <v>14140</v>
      </c>
      <c r="K21" s="126">
        <v>9690</v>
      </c>
      <c r="L21" s="127">
        <v>33</v>
      </c>
      <c r="M21" s="126">
        <v>4450</v>
      </c>
      <c r="N21" s="126">
        <v>2981.5</v>
      </c>
      <c r="O21" s="126" t="s">
        <v>511</v>
      </c>
      <c r="P21" s="128">
        <v>78</v>
      </c>
      <c r="Q21" s="129">
        <v>45808</v>
      </c>
      <c r="R21" s="139">
        <v>0.77011574074074074</v>
      </c>
    </row>
    <row r="22" spans="1:18" ht="36.75" customHeight="1" x14ac:dyDescent="0.25">
      <c r="A22" s="125" t="s">
        <v>379</v>
      </c>
      <c r="B22">
        <v>131</v>
      </c>
      <c r="C22" s="125">
        <v>9</v>
      </c>
      <c r="D22" s="125" t="s">
        <v>78</v>
      </c>
      <c r="E22" s="125" t="s">
        <v>127</v>
      </c>
      <c r="F22" s="125" t="s">
        <v>131</v>
      </c>
      <c r="G22" s="125" t="s">
        <v>110</v>
      </c>
      <c r="H22" s="125" t="s">
        <v>81</v>
      </c>
      <c r="I22" s="125" t="s">
        <v>82</v>
      </c>
      <c r="J22" s="126">
        <v>24430</v>
      </c>
      <c r="K22" s="126">
        <v>14330</v>
      </c>
      <c r="L22" s="127">
        <v>29</v>
      </c>
      <c r="M22" s="126">
        <v>10100</v>
      </c>
      <c r="N22" s="126">
        <v>7171</v>
      </c>
      <c r="O22" s="126" t="s">
        <v>511</v>
      </c>
      <c r="P22" s="128">
        <v>79</v>
      </c>
      <c r="Q22" s="129">
        <v>45808</v>
      </c>
      <c r="R22" s="139">
        <v>0.81118055555555557</v>
      </c>
    </row>
    <row r="23" spans="1:18" ht="36.75" customHeight="1" x14ac:dyDescent="0.25">
      <c r="A23" s="125" t="s">
        <v>380</v>
      </c>
      <c r="B23">
        <v>132</v>
      </c>
      <c r="C23" s="125">
        <v>10</v>
      </c>
      <c r="D23" s="125" t="s">
        <v>78</v>
      </c>
      <c r="E23" s="125" t="s">
        <v>127</v>
      </c>
      <c r="F23" s="125" t="s">
        <v>131</v>
      </c>
      <c r="G23" s="125" t="s">
        <v>110</v>
      </c>
      <c r="H23" s="125" t="s">
        <v>81</v>
      </c>
      <c r="I23" s="125" t="s">
        <v>82</v>
      </c>
      <c r="J23" s="126">
        <v>23580</v>
      </c>
      <c r="K23" s="126">
        <v>14320</v>
      </c>
      <c r="L23" s="127">
        <v>23</v>
      </c>
      <c r="M23" s="126">
        <v>9260</v>
      </c>
      <c r="N23" s="126">
        <v>7130.2</v>
      </c>
      <c r="O23" s="126" t="s">
        <v>511</v>
      </c>
      <c r="P23" s="128">
        <v>80</v>
      </c>
      <c r="Q23" s="129">
        <v>45808</v>
      </c>
      <c r="R23" s="139">
        <v>0.94362268518518522</v>
      </c>
    </row>
    <row r="24" spans="1:18" ht="36.75" customHeight="1" x14ac:dyDescent="0.25">
      <c r="A24" s="125" t="s">
        <v>381</v>
      </c>
      <c r="B24">
        <v>133</v>
      </c>
      <c r="C24" s="125">
        <v>11</v>
      </c>
      <c r="D24" s="125" t="s">
        <v>78</v>
      </c>
      <c r="E24" s="125" t="s">
        <v>127</v>
      </c>
      <c r="F24" s="125" t="s">
        <v>131</v>
      </c>
      <c r="G24" s="125" t="s">
        <v>110</v>
      </c>
      <c r="H24" s="125" t="s">
        <v>81</v>
      </c>
      <c r="I24" s="125" t="s">
        <v>82</v>
      </c>
      <c r="J24" s="126">
        <v>23620</v>
      </c>
      <c r="K24" s="126">
        <v>14320</v>
      </c>
      <c r="L24" s="127">
        <v>27</v>
      </c>
      <c r="M24" s="126">
        <v>9300</v>
      </c>
      <c r="N24" s="126">
        <v>6789</v>
      </c>
      <c r="O24" s="126" t="s">
        <v>511</v>
      </c>
      <c r="P24" s="128">
        <v>81</v>
      </c>
      <c r="Q24" s="129">
        <v>45809</v>
      </c>
      <c r="R24" s="139">
        <v>7.3078703703703701E-2</v>
      </c>
    </row>
    <row r="25" spans="1:18" ht="36.75" customHeight="1" x14ac:dyDescent="0.25">
      <c r="A25" s="125" t="s">
        <v>382</v>
      </c>
      <c r="B25">
        <v>134</v>
      </c>
      <c r="C25" s="125">
        <v>12</v>
      </c>
      <c r="D25" s="125" t="s">
        <v>78</v>
      </c>
      <c r="E25" s="125" t="s">
        <v>127</v>
      </c>
      <c r="F25" s="125" t="s">
        <v>131</v>
      </c>
      <c r="G25" s="125" t="s">
        <v>110</v>
      </c>
      <c r="H25" s="125" t="s">
        <v>81</v>
      </c>
      <c r="I25" s="125" t="s">
        <v>82</v>
      </c>
      <c r="J25" s="126">
        <v>23600</v>
      </c>
      <c r="K25" s="126">
        <v>14310</v>
      </c>
      <c r="L25" s="127">
        <v>28</v>
      </c>
      <c r="M25" s="126">
        <v>9290</v>
      </c>
      <c r="N25" s="126">
        <v>6688.8</v>
      </c>
      <c r="O25" s="126" t="s">
        <v>511</v>
      </c>
      <c r="P25" s="128">
        <v>82</v>
      </c>
      <c r="Q25" s="129">
        <v>45809</v>
      </c>
      <c r="R25" s="139">
        <v>0.32209490740740743</v>
      </c>
    </row>
    <row r="26" spans="1:18" ht="36.75" customHeight="1" x14ac:dyDescent="0.25">
      <c r="A26" s="125" t="s">
        <v>383</v>
      </c>
      <c r="B26">
        <v>135</v>
      </c>
      <c r="C26" s="125">
        <v>13</v>
      </c>
      <c r="D26" s="125" t="s">
        <v>78</v>
      </c>
      <c r="E26" s="125" t="s">
        <v>127</v>
      </c>
      <c r="F26" s="125" t="s">
        <v>131</v>
      </c>
      <c r="G26" s="125" t="s">
        <v>110</v>
      </c>
      <c r="H26" s="125" t="s">
        <v>81</v>
      </c>
      <c r="I26" s="125" t="s">
        <v>82</v>
      </c>
      <c r="J26" s="126">
        <v>23430</v>
      </c>
      <c r="K26" s="126">
        <v>14300</v>
      </c>
      <c r="L26" s="127">
        <v>21</v>
      </c>
      <c r="M26" s="126">
        <v>9130</v>
      </c>
      <c r="N26" s="126">
        <v>7212.7</v>
      </c>
      <c r="O26" s="126" t="s">
        <v>511</v>
      </c>
      <c r="P26" s="128">
        <v>83</v>
      </c>
      <c r="Q26" s="129">
        <v>45809</v>
      </c>
      <c r="R26" s="139">
        <v>0.32032407407407409</v>
      </c>
    </row>
    <row r="27" spans="1:18" ht="36.75" customHeight="1" x14ac:dyDescent="0.25">
      <c r="A27" s="125" t="s">
        <v>384</v>
      </c>
      <c r="B27">
        <v>137</v>
      </c>
      <c r="C27" s="125">
        <v>14</v>
      </c>
      <c r="D27" s="125" t="s">
        <v>78</v>
      </c>
      <c r="E27" s="125" t="s">
        <v>212</v>
      </c>
      <c r="F27" s="125" t="s">
        <v>216</v>
      </c>
      <c r="G27" s="125" t="s">
        <v>110</v>
      </c>
      <c r="H27" s="125" t="s">
        <v>81</v>
      </c>
      <c r="I27" s="125" t="s">
        <v>82</v>
      </c>
      <c r="J27" s="126">
        <v>18150</v>
      </c>
      <c r="K27" s="126">
        <v>13850</v>
      </c>
      <c r="L27" s="127">
        <v>26</v>
      </c>
      <c r="M27" s="126">
        <v>4300</v>
      </c>
      <c r="N27" s="126">
        <v>3182</v>
      </c>
      <c r="O27" s="126" t="s">
        <v>511</v>
      </c>
      <c r="P27" s="128">
        <v>84</v>
      </c>
      <c r="Q27" s="129">
        <v>45809</v>
      </c>
      <c r="R27" s="139">
        <v>0.5479398148148148</v>
      </c>
    </row>
    <row r="28" spans="1:18" ht="36.75" customHeight="1" x14ac:dyDescent="0.25">
      <c r="A28" s="125" t="s">
        <v>385</v>
      </c>
      <c r="B28">
        <v>138</v>
      </c>
      <c r="C28" s="125">
        <v>15</v>
      </c>
      <c r="D28" s="125" t="s">
        <v>78</v>
      </c>
      <c r="E28" s="125" t="s">
        <v>212</v>
      </c>
      <c r="F28" s="125" t="s">
        <v>216</v>
      </c>
      <c r="G28" s="125" t="s">
        <v>110</v>
      </c>
      <c r="H28" s="125" t="s">
        <v>81</v>
      </c>
      <c r="I28" s="125" t="s">
        <v>82</v>
      </c>
      <c r="J28" s="126">
        <v>23060</v>
      </c>
      <c r="K28" s="126">
        <v>13840</v>
      </c>
      <c r="L28" s="127">
        <v>31</v>
      </c>
      <c r="M28" s="126">
        <v>9220</v>
      </c>
      <c r="N28" s="126">
        <v>6361.8</v>
      </c>
      <c r="O28" s="126" t="s">
        <v>511</v>
      </c>
      <c r="P28" s="128">
        <v>85</v>
      </c>
      <c r="Q28" s="129">
        <v>45809</v>
      </c>
      <c r="R28" s="139">
        <v>0.69312499999999999</v>
      </c>
    </row>
    <row r="29" spans="1:18" ht="36.75" customHeight="1" x14ac:dyDescent="0.25">
      <c r="A29" s="125" t="s">
        <v>386</v>
      </c>
      <c r="B29">
        <v>139</v>
      </c>
      <c r="C29" s="125">
        <v>65912</v>
      </c>
      <c r="D29" s="125" t="s">
        <v>105</v>
      </c>
      <c r="E29" s="125" t="s">
        <v>262</v>
      </c>
      <c r="F29" s="125" t="s">
        <v>266</v>
      </c>
      <c r="G29" s="125" t="s">
        <v>460</v>
      </c>
      <c r="H29" s="125" t="s">
        <v>21</v>
      </c>
      <c r="I29" s="125" t="s">
        <v>82</v>
      </c>
      <c r="J29" s="126">
        <v>28520</v>
      </c>
      <c r="K29" s="126">
        <v>14800</v>
      </c>
      <c r="L29" s="127">
        <v>17.5</v>
      </c>
      <c r="M29" s="126">
        <v>13720</v>
      </c>
      <c r="N29" s="126">
        <v>11319</v>
      </c>
      <c r="O29" s="126" t="s">
        <v>511</v>
      </c>
      <c r="P29" s="128">
        <v>86</v>
      </c>
      <c r="Q29" s="129">
        <v>45809</v>
      </c>
      <c r="R29" s="139">
        <v>0.72809027777777779</v>
      </c>
    </row>
    <row r="30" spans="1:18" ht="36.75" customHeight="1" x14ac:dyDescent="0.25">
      <c r="A30" s="125" t="s">
        <v>387</v>
      </c>
      <c r="B30">
        <v>140</v>
      </c>
      <c r="C30" s="125">
        <v>16</v>
      </c>
      <c r="D30" s="125" t="s">
        <v>78</v>
      </c>
      <c r="E30" s="125" t="s">
        <v>212</v>
      </c>
      <c r="F30" s="125" t="s">
        <v>216</v>
      </c>
      <c r="G30" s="125" t="s">
        <v>110</v>
      </c>
      <c r="H30" s="125" t="s">
        <v>81</v>
      </c>
      <c r="I30" s="125" t="s">
        <v>82</v>
      </c>
      <c r="J30" s="126">
        <v>27950</v>
      </c>
      <c r="K30" s="126">
        <v>13830</v>
      </c>
      <c r="L30" s="127">
        <v>28</v>
      </c>
      <c r="M30" s="126">
        <v>14120</v>
      </c>
      <c r="N30" s="126">
        <v>10166.4</v>
      </c>
      <c r="O30" s="126" t="s">
        <v>511</v>
      </c>
      <c r="P30" s="128">
        <v>87</v>
      </c>
      <c r="Q30" s="129">
        <v>45809</v>
      </c>
      <c r="R30" s="139">
        <v>0.78887731481481482</v>
      </c>
    </row>
    <row r="31" spans="1:18" ht="36.75" customHeight="1" x14ac:dyDescent="0.25">
      <c r="A31" s="125" t="s">
        <v>388</v>
      </c>
      <c r="B31">
        <v>141</v>
      </c>
      <c r="C31" s="125">
        <v>65914</v>
      </c>
      <c r="D31" s="125" t="s">
        <v>105</v>
      </c>
      <c r="E31" s="125" t="s">
        <v>79</v>
      </c>
      <c r="F31" s="125" t="s">
        <v>80</v>
      </c>
      <c r="G31" s="125" t="s">
        <v>460</v>
      </c>
      <c r="H31" s="125" t="s">
        <v>21</v>
      </c>
      <c r="I31" s="125" t="s">
        <v>82</v>
      </c>
      <c r="J31" s="126">
        <v>27720</v>
      </c>
      <c r="K31" s="126">
        <v>14090</v>
      </c>
      <c r="L31" s="127">
        <v>22</v>
      </c>
      <c r="M31" s="126">
        <v>13630</v>
      </c>
      <c r="N31" s="126">
        <v>10631.4</v>
      </c>
      <c r="O31" s="126" t="s">
        <v>511</v>
      </c>
      <c r="P31" s="128">
        <v>88</v>
      </c>
      <c r="Q31" s="129">
        <v>45809</v>
      </c>
      <c r="R31" s="139">
        <v>0.79056712962962961</v>
      </c>
    </row>
    <row r="32" spans="1:18" ht="48.75" customHeight="1" x14ac:dyDescent="0.25">
      <c r="A32" s="125" t="s">
        <v>389</v>
      </c>
      <c r="B32">
        <v>142</v>
      </c>
      <c r="C32" s="125">
        <v>65915</v>
      </c>
      <c r="D32" s="125" t="s">
        <v>105</v>
      </c>
      <c r="E32" s="125" t="s">
        <v>244</v>
      </c>
      <c r="F32" s="125" t="s">
        <v>248</v>
      </c>
      <c r="G32" s="125" t="s">
        <v>460</v>
      </c>
      <c r="H32" s="125" t="s">
        <v>21</v>
      </c>
      <c r="I32" s="125" t="s">
        <v>82</v>
      </c>
      <c r="J32" s="126">
        <v>29140</v>
      </c>
      <c r="K32" s="126">
        <v>15640</v>
      </c>
      <c r="L32" s="127">
        <v>21</v>
      </c>
      <c r="M32" s="126">
        <v>13500</v>
      </c>
      <c r="N32" s="126">
        <v>10665</v>
      </c>
      <c r="O32" s="126" t="s">
        <v>511</v>
      </c>
      <c r="P32" s="128">
        <v>89</v>
      </c>
      <c r="Q32" s="129">
        <v>45809</v>
      </c>
      <c r="R32" s="139">
        <v>0.82359953703703703</v>
      </c>
    </row>
    <row r="33" spans="1:18" ht="36.75" customHeight="1" x14ac:dyDescent="0.25">
      <c r="A33" s="125" t="s">
        <v>390</v>
      </c>
      <c r="B33">
        <v>143</v>
      </c>
      <c r="C33" s="125">
        <v>65916</v>
      </c>
      <c r="D33" s="125" t="s">
        <v>105</v>
      </c>
      <c r="E33" s="125" t="s">
        <v>239</v>
      </c>
      <c r="F33" s="125" t="s">
        <v>243</v>
      </c>
      <c r="G33" s="125" t="s">
        <v>460</v>
      </c>
      <c r="H33" s="125" t="s">
        <v>21</v>
      </c>
      <c r="I33" s="125" t="s">
        <v>82</v>
      </c>
      <c r="J33" s="126">
        <v>28320</v>
      </c>
      <c r="K33" s="126">
        <v>14490</v>
      </c>
      <c r="L33" s="127">
        <v>17</v>
      </c>
      <c r="M33" s="126">
        <v>13830</v>
      </c>
      <c r="N33" s="126">
        <v>11478.9</v>
      </c>
      <c r="O33" s="126" t="s">
        <v>511</v>
      </c>
      <c r="P33" s="128">
        <v>90</v>
      </c>
      <c r="Q33" s="129">
        <v>45809</v>
      </c>
      <c r="R33" s="139">
        <v>0.99885416666666671</v>
      </c>
    </row>
    <row r="34" spans="1:18" ht="36.75" customHeight="1" x14ac:dyDescent="0.25">
      <c r="A34" s="125" t="s">
        <v>391</v>
      </c>
      <c r="B34">
        <v>144</v>
      </c>
      <c r="C34" s="125">
        <v>65917</v>
      </c>
      <c r="D34" s="125" t="s">
        <v>105</v>
      </c>
      <c r="E34" s="125" t="s">
        <v>195</v>
      </c>
      <c r="F34" s="125" t="s">
        <v>199</v>
      </c>
      <c r="G34" s="125" t="s">
        <v>460</v>
      </c>
      <c r="H34" s="125" t="s">
        <v>21</v>
      </c>
      <c r="I34" s="125" t="s">
        <v>82</v>
      </c>
      <c r="J34" s="126">
        <v>29030</v>
      </c>
      <c r="K34" s="126">
        <v>15150</v>
      </c>
      <c r="L34" s="127">
        <v>22</v>
      </c>
      <c r="M34" s="126">
        <v>13880</v>
      </c>
      <c r="N34" s="126">
        <v>10826.4</v>
      </c>
      <c r="O34" s="126" t="s">
        <v>511</v>
      </c>
      <c r="P34" s="128">
        <v>91</v>
      </c>
      <c r="Q34" s="129">
        <v>45809</v>
      </c>
      <c r="R34" s="139">
        <v>0.87701388888888887</v>
      </c>
    </row>
    <row r="35" spans="1:18" ht="36.75" customHeight="1" x14ac:dyDescent="0.25">
      <c r="A35" s="125" t="s">
        <v>392</v>
      </c>
      <c r="B35">
        <v>146</v>
      </c>
      <c r="C35" s="125">
        <v>65918</v>
      </c>
      <c r="D35" s="125" t="s">
        <v>105</v>
      </c>
      <c r="E35" s="125" t="s">
        <v>234</v>
      </c>
      <c r="F35" s="125" t="s">
        <v>238</v>
      </c>
      <c r="G35" s="125" t="s">
        <v>460</v>
      </c>
      <c r="H35" s="125" t="s">
        <v>21</v>
      </c>
      <c r="I35" s="125" t="s">
        <v>82</v>
      </c>
      <c r="J35" s="126">
        <v>29310</v>
      </c>
      <c r="K35" s="126">
        <v>15540</v>
      </c>
      <c r="L35" s="127">
        <v>27</v>
      </c>
      <c r="M35" s="126">
        <v>13770</v>
      </c>
      <c r="N35" s="126">
        <v>10052.1</v>
      </c>
      <c r="O35" s="126" t="s">
        <v>511</v>
      </c>
      <c r="P35" s="128">
        <v>92</v>
      </c>
      <c r="Q35" s="129">
        <v>45809</v>
      </c>
      <c r="R35" s="139">
        <v>0.93722222222222218</v>
      </c>
    </row>
    <row r="36" spans="1:18" ht="36.75" customHeight="1" x14ac:dyDescent="0.25">
      <c r="A36" s="125" t="s">
        <v>393</v>
      </c>
      <c r="B36">
        <v>145</v>
      </c>
      <c r="C36" s="125">
        <v>17</v>
      </c>
      <c r="D36" s="125" t="s">
        <v>78</v>
      </c>
      <c r="E36" s="125" t="s">
        <v>79</v>
      </c>
      <c r="F36" s="125" t="s">
        <v>80</v>
      </c>
      <c r="G36" s="125" t="s">
        <v>110</v>
      </c>
      <c r="H36" s="125" t="s">
        <v>81</v>
      </c>
      <c r="I36" s="125" t="s">
        <v>82</v>
      </c>
      <c r="J36" s="126">
        <v>26540</v>
      </c>
      <c r="K36" s="126">
        <v>14200</v>
      </c>
      <c r="L36" s="127">
        <v>31</v>
      </c>
      <c r="M36" s="126">
        <v>12340</v>
      </c>
      <c r="N36" s="126">
        <v>8514.6</v>
      </c>
      <c r="O36" s="126" t="s">
        <v>511</v>
      </c>
      <c r="P36" s="128">
        <v>93</v>
      </c>
      <c r="Q36" s="129">
        <v>45809</v>
      </c>
      <c r="R36" s="139">
        <v>0.91137731481481477</v>
      </c>
    </row>
    <row r="37" spans="1:18" ht="36.75" customHeight="1" x14ac:dyDescent="0.25">
      <c r="A37" s="125" t="s">
        <v>394</v>
      </c>
      <c r="B37">
        <v>147</v>
      </c>
      <c r="C37" s="125">
        <v>65919</v>
      </c>
      <c r="D37" s="125" t="s">
        <v>105</v>
      </c>
      <c r="E37" s="125" t="s">
        <v>249</v>
      </c>
      <c r="F37" s="125" t="s">
        <v>253</v>
      </c>
      <c r="G37" s="125" t="s">
        <v>460</v>
      </c>
      <c r="H37" s="125" t="s">
        <v>21</v>
      </c>
      <c r="I37" s="125" t="s">
        <v>82</v>
      </c>
      <c r="J37" s="126">
        <v>28810</v>
      </c>
      <c r="K37" s="126">
        <v>15140</v>
      </c>
      <c r="L37" s="127">
        <v>25</v>
      </c>
      <c r="M37" s="126">
        <v>13670</v>
      </c>
      <c r="N37" s="126">
        <v>10252.5</v>
      </c>
      <c r="O37" s="126" t="s">
        <v>511</v>
      </c>
      <c r="P37" s="128">
        <v>94</v>
      </c>
      <c r="Q37" s="129">
        <v>45809</v>
      </c>
      <c r="R37" s="139">
        <v>0.96743055555555557</v>
      </c>
    </row>
    <row r="38" spans="1:18" ht="36.75" customHeight="1" x14ac:dyDescent="0.25">
      <c r="A38" s="125" t="s">
        <v>395</v>
      </c>
      <c r="B38">
        <v>150</v>
      </c>
      <c r="C38" s="125">
        <v>65920</v>
      </c>
      <c r="D38" s="125" t="s">
        <v>105</v>
      </c>
      <c r="E38" s="125" t="s">
        <v>254</v>
      </c>
      <c r="F38" s="125" t="s">
        <v>258</v>
      </c>
      <c r="G38" s="125" t="s">
        <v>460</v>
      </c>
      <c r="H38" s="125" t="s">
        <v>21</v>
      </c>
      <c r="I38" s="125" t="s">
        <v>82</v>
      </c>
      <c r="J38" s="126">
        <v>28330</v>
      </c>
      <c r="K38" s="126">
        <v>14550</v>
      </c>
      <c r="L38" s="127">
        <v>24</v>
      </c>
      <c r="M38" s="126">
        <v>13780</v>
      </c>
      <c r="N38" s="126">
        <v>10472.799999999999</v>
      </c>
      <c r="O38" s="126" t="s">
        <v>511</v>
      </c>
      <c r="P38" s="128">
        <v>96</v>
      </c>
      <c r="Q38" s="129">
        <v>45810</v>
      </c>
      <c r="R38" s="139">
        <v>0.39408564814814817</v>
      </c>
    </row>
    <row r="39" spans="1:18" ht="36.75" customHeight="1" x14ac:dyDescent="0.25">
      <c r="A39" s="125" t="s">
        <v>396</v>
      </c>
      <c r="B39">
        <v>151</v>
      </c>
      <c r="C39" s="125">
        <v>65921</v>
      </c>
      <c r="D39" s="125" t="s">
        <v>105</v>
      </c>
      <c r="E39" s="125" t="s">
        <v>272</v>
      </c>
      <c r="F39" s="125" t="s">
        <v>276</v>
      </c>
      <c r="G39" s="125" t="s">
        <v>460</v>
      </c>
      <c r="H39" s="125" t="s">
        <v>21</v>
      </c>
      <c r="I39" s="125" t="s">
        <v>82</v>
      </c>
      <c r="J39" s="126">
        <v>28370</v>
      </c>
      <c r="K39" s="126">
        <v>14790</v>
      </c>
      <c r="L39" s="127">
        <v>21</v>
      </c>
      <c r="M39" s="126">
        <v>13580</v>
      </c>
      <c r="N39" s="126">
        <v>10728.2</v>
      </c>
      <c r="O39" s="126" t="s">
        <v>511</v>
      </c>
      <c r="P39" s="128">
        <v>97</v>
      </c>
      <c r="Q39" s="129">
        <v>45810</v>
      </c>
      <c r="R39" s="139">
        <v>0.51004629629629628</v>
      </c>
    </row>
    <row r="40" spans="1:18" ht="36.75" customHeight="1" x14ac:dyDescent="0.25">
      <c r="A40" s="125" t="s">
        <v>397</v>
      </c>
      <c r="B40">
        <v>152</v>
      </c>
      <c r="C40" s="125">
        <v>65922</v>
      </c>
      <c r="D40" s="125" t="s">
        <v>105</v>
      </c>
      <c r="E40" s="125" t="s">
        <v>1253</v>
      </c>
      <c r="F40" s="125" t="s">
        <v>270</v>
      </c>
      <c r="G40" s="125" t="s">
        <v>460</v>
      </c>
      <c r="H40" s="125" t="s">
        <v>21</v>
      </c>
      <c r="I40" s="125" t="s">
        <v>82</v>
      </c>
      <c r="J40" s="126">
        <v>28660</v>
      </c>
      <c r="K40" s="126">
        <v>14970</v>
      </c>
      <c r="L40" s="127">
        <v>24</v>
      </c>
      <c r="M40" s="126">
        <v>13690</v>
      </c>
      <c r="N40" s="126">
        <v>10404.4</v>
      </c>
      <c r="O40" s="126" t="s">
        <v>511</v>
      </c>
      <c r="P40" s="128">
        <v>98</v>
      </c>
      <c r="Q40" s="129">
        <v>45810</v>
      </c>
      <c r="R40" s="139">
        <v>0.54969907407407403</v>
      </c>
    </row>
    <row r="41" spans="1:18" ht="36.75" customHeight="1" x14ac:dyDescent="0.25">
      <c r="A41" s="125" t="s">
        <v>398</v>
      </c>
      <c r="B41">
        <v>149</v>
      </c>
      <c r="C41" s="125">
        <v>18</v>
      </c>
      <c r="D41" s="125" t="s">
        <v>78</v>
      </c>
      <c r="E41" s="125" t="s">
        <v>212</v>
      </c>
      <c r="F41" s="125" t="s">
        <v>216</v>
      </c>
      <c r="G41" s="125" t="s">
        <v>110</v>
      </c>
      <c r="H41" s="125" t="s">
        <v>81</v>
      </c>
      <c r="I41" s="125" t="s">
        <v>82</v>
      </c>
      <c r="J41" s="126">
        <v>24560</v>
      </c>
      <c r="K41" s="126">
        <v>13820</v>
      </c>
      <c r="L41" s="127">
        <v>29</v>
      </c>
      <c r="M41" s="126">
        <v>10740</v>
      </c>
      <c r="N41" s="126">
        <v>7625.4</v>
      </c>
      <c r="O41" s="126" t="s">
        <v>511</v>
      </c>
      <c r="P41" s="128">
        <v>99</v>
      </c>
      <c r="Q41" s="129">
        <v>45810</v>
      </c>
      <c r="R41" s="139">
        <v>0.5609143518518519</v>
      </c>
    </row>
    <row r="42" spans="1:18" ht="36.75" customHeight="1" x14ac:dyDescent="0.25">
      <c r="A42" s="125" t="s">
        <v>399</v>
      </c>
      <c r="B42">
        <v>153</v>
      </c>
      <c r="C42" s="125">
        <v>65923</v>
      </c>
      <c r="D42" s="125" t="s">
        <v>105</v>
      </c>
      <c r="E42" s="125" t="s">
        <v>305</v>
      </c>
      <c r="F42" s="125" t="s">
        <v>309</v>
      </c>
      <c r="G42" s="125" t="s">
        <v>460</v>
      </c>
      <c r="H42" s="125" t="s">
        <v>21</v>
      </c>
      <c r="I42" s="125" t="s">
        <v>82</v>
      </c>
      <c r="J42" s="126">
        <v>28060</v>
      </c>
      <c r="K42" s="126">
        <v>14390</v>
      </c>
      <c r="L42" s="127">
        <v>25</v>
      </c>
      <c r="M42" s="126">
        <v>13670</v>
      </c>
      <c r="N42" s="126">
        <v>10252.5</v>
      </c>
      <c r="O42" s="126" t="s">
        <v>511</v>
      </c>
      <c r="P42" s="128">
        <v>100</v>
      </c>
      <c r="Q42" s="129">
        <v>45810</v>
      </c>
      <c r="R42" s="139">
        <v>0.57398148148148154</v>
      </c>
    </row>
    <row r="43" spans="1:18" ht="36.75" customHeight="1" x14ac:dyDescent="0.25">
      <c r="A43" s="125" t="s">
        <v>400</v>
      </c>
      <c r="B43">
        <v>154</v>
      </c>
      <c r="C43" s="125">
        <v>65924</v>
      </c>
      <c r="D43" s="125" t="s">
        <v>105</v>
      </c>
      <c r="E43" s="125" t="s">
        <v>329</v>
      </c>
      <c r="F43" s="125" t="s">
        <v>333</v>
      </c>
      <c r="G43" s="125" t="s">
        <v>460</v>
      </c>
      <c r="H43" s="125" t="s">
        <v>21</v>
      </c>
      <c r="I43" s="125" t="s">
        <v>82</v>
      </c>
      <c r="J43" s="126">
        <v>28740</v>
      </c>
      <c r="K43" s="126">
        <v>14950</v>
      </c>
      <c r="L43" s="127">
        <v>25.5</v>
      </c>
      <c r="M43" s="126">
        <v>13790</v>
      </c>
      <c r="N43" s="126">
        <v>10273.5</v>
      </c>
      <c r="O43" s="126" t="s">
        <v>511</v>
      </c>
      <c r="P43" s="128">
        <v>101</v>
      </c>
      <c r="Q43" s="129">
        <v>45810</v>
      </c>
      <c r="R43" s="139">
        <v>0.58512731481481484</v>
      </c>
    </row>
    <row r="44" spans="1:18" ht="36.75" customHeight="1" x14ac:dyDescent="0.25">
      <c r="A44" s="125" t="s">
        <v>401</v>
      </c>
      <c r="B44">
        <v>155</v>
      </c>
      <c r="C44" s="125">
        <v>19</v>
      </c>
      <c r="D44" s="125" t="s">
        <v>78</v>
      </c>
      <c r="E44" s="125" t="s">
        <v>79</v>
      </c>
      <c r="F44" s="125" t="s">
        <v>80</v>
      </c>
      <c r="G44" s="125" t="s">
        <v>110</v>
      </c>
      <c r="H44" s="125" t="s">
        <v>81</v>
      </c>
      <c r="I44" s="125" t="s">
        <v>82</v>
      </c>
      <c r="J44" s="126">
        <v>26590</v>
      </c>
      <c r="K44" s="126">
        <v>14190</v>
      </c>
      <c r="L44" s="127">
        <v>21</v>
      </c>
      <c r="M44" s="126">
        <v>12400</v>
      </c>
      <c r="N44" s="126">
        <v>9796</v>
      </c>
      <c r="O44" s="126" t="s">
        <v>511</v>
      </c>
      <c r="P44" s="128">
        <v>102</v>
      </c>
      <c r="Q44" s="129">
        <v>45810</v>
      </c>
      <c r="R44" s="139">
        <v>0.67785879629629631</v>
      </c>
    </row>
    <row r="45" spans="1:18" ht="36.75" customHeight="1" x14ac:dyDescent="0.25">
      <c r="A45" s="125" t="s">
        <v>402</v>
      </c>
      <c r="B45">
        <v>156</v>
      </c>
      <c r="C45" s="125">
        <v>65927</v>
      </c>
      <c r="D45" s="125" t="s">
        <v>105</v>
      </c>
      <c r="E45" s="125" t="s">
        <v>1312</v>
      </c>
      <c r="F45" s="125" t="s">
        <v>320</v>
      </c>
      <c r="G45" s="125" t="s">
        <v>460</v>
      </c>
      <c r="H45" s="125" t="s">
        <v>21</v>
      </c>
      <c r="I45" s="125" t="s">
        <v>82</v>
      </c>
      <c r="J45" s="126">
        <v>28190</v>
      </c>
      <c r="K45" s="126">
        <v>14380</v>
      </c>
      <c r="L45" s="127">
        <v>23.5</v>
      </c>
      <c r="M45" s="126">
        <v>13810</v>
      </c>
      <c r="N45" s="126">
        <v>10564.6</v>
      </c>
      <c r="O45" s="126" t="s">
        <v>511</v>
      </c>
      <c r="P45" s="128">
        <v>103</v>
      </c>
      <c r="Q45" s="129">
        <v>45810</v>
      </c>
      <c r="R45" s="139">
        <v>0.68567129629629631</v>
      </c>
    </row>
    <row r="46" spans="1:18" ht="36.75" customHeight="1" x14ac:dyDescent="0.25">
      <c r="A46" s="125" t="s">
        <v>403</v>
      </c>
      <c r="B46">
        <v>158</v>
      </c>
      <c r="C46" s="125">
        <v>65928</v>
      </c>
      <c r="D46" s="125" t="s">
        <v>105</v>
      </c>
      <c r="E46" s="125" t="s">
        <v>335</v>
      </c>
      <c r="F46" s="125" t="s">
        <v>339</v>
      </c>
      <c r="G46" s="125" t="s">
        <v>460</v>
      </c>
      <c r="H46" s="125" t="s">
        <v>21</v>
      </c>
      <c r="I46" s="125" t="s">
        <v>82</v>
      </c>
      <c r="J46" s="126">
        <v>28300</v>
      </c>
      <c r="K46" s="126">
        <v>14800</v>
      </c>
      <c r="L46" s="127">
        <v>22.5</v>
      </c>
      <c r="M46" s="126">
        <v>13500</v>
      </c>
      <c r="N46" s="126">
        <v>10462.5</v>
      </c>
      <c r="O46" s="126" t="s">
        <v>511</v>
      </c>
      <c r="P46" s="128">
        <v>104</v>
      </c>
      <c r="Q46" s="129">
        <v>45810</v>
      </c>
      <c r="R46" s="139">
        <v>0.73667824074074073</v>
      </c>
    </row>
    <row r="47" spans="1:18" ht="36.75" customHeight="1" x14ac:dyDescent="0.25">
      <c r="A47" s="125" t="s">
        <v>404</v>
      </c>
      <c r="B47">
        <v>164</v>
      </c>
      <c r="C47" s="125">
        <v>65929</v>
      </c>
      <c r="D47" s="125" t="s">
        <v>105</v>
      </c>
      <c r="E47" s="125" t="s">
        <v>311</v>
      </c>
      <c r="F47" s="125" t="s">
        <v>315</v>
      </c>
      <c r="G47" s="125" t="s">
        <v>460</v>
      </c>
      <c r="H47" s="125" t="s">
        <v>301</v>
      </c>
      <c r="I47" s="125" t="s">
        <v>82</v>
      </c>
      <c r="J47" s="126">
        <v>28400</v>
      </c>
      <c r="K47" s="126">
        <v>14970</v>
      </c>
      <c r="L47" s="127">
        <v>21.5</v>
      </c>
      <c r="M47" s="126">
        <v>13430</v>
      </c>
      <c r="N47" s="126">
        <v>10542.5</v>
      </c>
      <c r="O47" s="126" t="s">
        <v>511</v>
      </c>
      <c r="P47" s="128">
        <v>105</v>
      </c>
      <c r="Q47" s="129">
        <v>45810</v>
      </c>
      <c r="R47" s="139">
        <v>0.93701388888888892</v>
      </c>
    </row>
    <row r="48" spans="1:18" ht="36.75" customHeight="1" x14ac:dyDescent="0.25">
      <c r="A48" s="125" t="s">
        <v>405</v>
      </c>
      <c r="B48">
        <v>165</v>
      </c>
      <c r="C48" s="125">
        <v>65940</v>
      </c>
      <c r="D48" s="125" t="s">
        <v>105</v>
      </c>
      <c r="E48" s="125" t="s">
        <v>347</v>
      </c>
      <c r="F48" s="125" t="s">
        <v>351</v>
      </c>
      <c r="G48" s="125" t="s">
        <v>460</v>
      </c>
      <c r="H48" s="125" t="s">
        <v>301</v>
      </c>
      <c r="I48" s="125" t="s">
        <v>82</v>
      </c>
      <c r="J48" s="126">
        <v>32140</v>
      </c>
      <c r="K48" s="126">
        <v>18690</v>
      </c>
      <c r="L48" s="127">
        <v>21</v>
      </c>
      <c r="M48" s="126">
        <v>13450</v>
      </c>
      <c r="N48" s="126">
        <v>10625.5</v>
      </c>
      <c r="O48" s="126" t="s">
        <v>511</v>
      </c>
      <c r="P48" s="128">
        <v>106</v>
      </c>
      <c r="Q48" s="129">
        <v>45810</v>
      </c>
      <c r="R48" s="139">
        <v>0.94148148148148147</v>
      </c>
    </row>
    <row r="49" spans="1:18 16371:16371" ht="36.75" customHeight="1" x14ac:dyDescent="0.25">
      <c r="A49" s="125" t="s">
        <v>406</v>
      </c>
      <c r="B49">
        <v>166</v>
      </c>
      <c r="C49" s="125">
        <v>65925</v>
      </c>
      <c r="D49" s="125" t="s">
        <v>105</v>
      </c>
      <c r="E49" s="125" t="s">
        <v>1151</v>
      </c>
      <c r="F49" s="125" t="s">
        <v>145</v>
      </c>
      <c r="G49" s="125" t="s">
        <v>460</v>
      </c>
      <c r="H49" s="125" t="s">
        <v>301</v>
      </c>
      <c r="I49" s="125" t="s">
        <v>82</v>
      </c>
      <c r="J49" s="126">
        <v>28920</v>
      </c>
      <c r="K49" s="126">
        <v>15610</v>
      </c>
      <c r="L49" s="127">
        <v>15.5</v>
      </c>
      <c r="M49" s="126">
        <v>13310</v>
      </c>
      <c r="N49" s="126">
        <v>11246.9</v>
      </c>
      <c r="O49" s="126" t="s">
        <v>511</v>
      </c>
      <c r="P49" s="128">
        <v>107</v>
      </c>
      <c r="Q49" s="129">
        <v>45810</v>
      </c>
      <c r="R49" s="139">
        <v>0.94398148148148153</v>
      </c>
    </row>
    <row r="50" spans="1:18 16371:16371" ht="36.75" customHeight="1" x14ac:dyDescent="0.25">
      <c r="A50" s="125" t="s">
        <v>407</v>
      </c>
      <c r="B50">
        <v>167</v>
      </c>
      <c r="C50" s="125">
        <v>23</v>
      </c>
      <c r="D50" s="125" t="s">
        <v>78</v>
      </c>
      <c r="E50" s="125" t="s">
        <v>127</v>
      </c>
      <c r="F50" s="125" t="s">
        <v>131</v>
      </c>
      <c r="G50" s="125" t="s">
        <v>110</v>
      </c>
      <c r="H50" s="125" t="s">
        <v>81</v>
      </c>
      <c r="I50" s="125" t="s">
        <v>82</v>
      </c>
      <c r="J50" s="126">
        <v>23520</v>
      </c>
      <c r="K50" s="126">
        <v>14390</v>
      </c>
      <c r="L50" s="127">
        <v>15.5</v>
      </c>
      <c r="M50" s="126">
        <v>9130</v>
      </c>
      <c r="N50" s="126">
        <v>7714.8</v>
      </c>
      <c r="O50" s="126" t="s">
        <v>511</v>
      </c>
      <c r="P50" s="128">
        <v>108</v>
      </c>
      <c r="Q50" s="129">
        <v>45810</v>
      </c>
      <c r="R50" s="139">
        <v>0.96843749999999995</v>
      </c>
    </row>
    <row r="51" spans="1:18 16371:16371" ht="36.75" customHeight="1" x14ac:dyDescent="0.25">
      <c r="A51" s="125" t="s">
        <v>408</v>
      </c>
      <c r="B51">
        <v>168</v>
      </c>
      <c r="C51" s="125">
        <v>65926</v>
      </c>
      <c r="D51" s="125" t="s">
        <v>105</v>
      </c>
      <c r="E51" s="125" t="s">
        <v>1461</v>
      </c>
      <c r="F51" s="125" t="s">
        <v>149</v>
      </c>
      <c r="G51" s="125" t="s">
        <v>460</v>
      </c>
      <c r="H51" s="125" t="s">
        <v>301</v>
      </c>
      <c r="I51" s="125" t="s">
        <v>82</v>
      </c>
      <c r="J51" s="126">
        <v>28350</v>
      </c>
      <c r="K51" s="126">
        <v>15010</v>
      </c>
      <c r="L51" s="127">
        <v>18.5</v>
      </c>
      <c r="M51" s="126">
        <v>13340</v>
      </c>
      <c r="N51" s="126">
        <v>10872.1</v>
      </c>
      <c r="O51" s="126" t="s">
        <v>511</v>
      </c>
      <c r="P51" s="128">
        <v>109</v>
      </c>
      <c r="Q51" s="129">
        <v>45810</v>
      </c>
      <c r="R51" s="139">
        <v>0.9745138888888889</v>
      </c>
    </row>
    <row r="52" spans="1:18 16371:16371" ht="36.75" customHeight="1" x14ac:dyDescent="0.25">
      <c r="A52" s="125" t="s">
        <v>409</v>
      </c>
      <c r="B52">
        <v>170</v>
      </c>
      <c r="C52" s="125">
        <v>24</v>
      </c>
      <c r="D52" s="125" t="s">
        <v>78</v>
      </c>
      <c r="E52" s="125" t="s">
        <v>335</v>
      </c>
      <c r="F52" s="125" t="s">
        <v>339</v>
      </c>
      <c r="G52" s="125" t="s">
        <v>110</v>
      </c>
      <c r="H52" s="125" t="s">
        <v>81</v>
      </c>
      <c r="I52" s="125" t="s">
        <v>82</v>
      </c>
      <c r="J52" s="126">
        <v>23950</v>
      </c>
      <c r="K52" s="126">
        <v>14790</v>
      </c>
      <c r="L52" s="127">
        <v>20.5</v>
      </c>
      <c r="M52" s="126">
        <v>9160</v>
      </c>
      <c r="N52" s="126">
        <v>7282.2</v>
      </c>
      <c r="O52" s="126" t="s">
        <v>511</v>
      </c>
      <c r="P52" s="128">
        <v>110</v>
      </c>
      <c r="Q52" s="129">
        <v>45811</v>
      </c>
      <c r="R52" s="139">
        <v>0.17798611111111112</v>
      </c>
    </row>
    <row r="53" spans="1:18 16371:16371" ht="36.75" customHeight="1" x14ac:dyDescent="0.25">
      <c r="A53" s="125" t="s">
        <v>410</v>
      </c>
      <c r="B53">
        <v>172</v>
      </c>
      <c r="C53" s="125">
        <v>26</v>
      </c>
      <c r="D53" s="125" t="s">
        <v>78</v>
      </c>
      <c r="E53" s="125" t="s">
        <v>127</v>
      </c>
      <c r="F53" s="125" t="s">
        <v>131</v>
      </c>
      <c r="G53" s="125" t="s">
        <v>110</v>
      </c>
      <c r="H53" s="125" t="s">
        <v>81</v>
      </c>
      <c r="I53" s="125" t="s">
        <v>82</v>
      </c>
      <c r="J53" s="126">
        <v>23580</v>
      </c>
      <c r="K53" s="126">
        <v>14380</v>
      </c>
      <c r="L53" s="127">
        <v>17.5</v>
      </c>
      <c r="M53" s="126">
        <v>9200</v>
      </c>
      <c r="N53" s="126">
        <v>7590</v>
      </c>
      <c r="O53" s="126" t="s">
        <v>511</v>
      </c>
      <c r="P53" s="128">
        <v>111</v>
      </c>
      <c r="Q53" s="129">
        <v>45811</v>
      </c>
      <c r="R53" s="139">
        <v>0.1799537037037037</v>
      </c>
    </row>
    <row r="54" spans="1:18 16371:16371" ht="36.75" customHeight="1" x14ac:dyDescent="0.25">
      <c r="A54" s="125" t="s">
        <v>411</v>
      </c>
      <c r="B54">
        <v>160</v>
      </c>
      <c r="C54" s="125" t="s">
        <v>528</v>
      </c>
      <c r="D54" s="125" t="s">
        <v>78</v>
      </c>
      <c r="E54" s="125" t="s">
        <v>283</v>
      </c>
      <c r="F54" s="125" t="s">
        <v>287</v>
      </c>
      <c r="G54" s="125" t="s">
        <v>110</v>
      </c>
      <c r="H54" s="125" t="s">
        <v>81</v>
      </c>
      <c r="I54" s="125" t="s">
        <v>82</v>
      </c>
      <c r="J54" s="126">
        <v>17590</v>
      </c>
      <c r="K54" s="126">
        <v>10530</v>
      </c>
      <c r="L54" s="127">
        <v>13.4</v>
      </c>
      <c r="M54" s="126">
        <v>7060</v>
      </c>
      <c r="N54" s="126">
        <v>6114.4</v>
      </c>
      <c r="O54" s="126" t="s">
        <v>511</v>
      </c>
      <c r="P54" s="128">
        <v>112</v>
      </c>
      <c r="Q54" s="129">
        <v>45810</v>
      </c>
      <c r="R54" s="139">
        <v>0.58008101851851857</v>
      </c>
    </row>
    <row r="55" spans="1:18 16371:16371" ht="36.75" customHeight="1" x14ac:dyDescent="0.25">
      <c r="A55" s="125" t="s">
        <v>412</v>
      </c>
      <c r="B55">
        <v>162</v>
      </c>
      <c r="C55" s="125" t="s">
        <v>529</v>
      </c>
      <c r="D55" s="125" t="s">
        <v>78</v>
      </c>
      <c r="E55" s="125" t="s">
        <v>289</v>
      </c>
      <c r="F55" s="125" t="s">
        <v>293</v>
      </c>
      <c r="G55" s="125" t="s">
        <v>110</v>
      </c>
      <c r="H55" s="125" t="s">
        <v>81</v>
      </c>
      <c r="I55" s="125" t="s">
        <v>82</v>
      </c>
      <c r="J55" s="126">
        <v>27260</v>
      </c>
      <c r="K55" s="126">
        <v>17080</v>
      </c>
      <c r="L55" s="127">
        <v>13.7</v>
      </c>
      <c r="M55" s="126">
        <v>10180</v>
      </c>
      <c r="N55" s="126">
        <v>8787</v>
      </c>
      <c r="O55" s="126" t="s">
        <v>511</v>
      </c>
      <c r="P55" s="128">
        <v>113</v>
      </c>
      <c r="Q55" s="129">
        <v>45810</v>
      </c>
      <c r="R55" s="139">
        <v>0.6341782407407407</v>
      </c>
    </row>
    <row r="56" spans="1:18 16371:16371" ht="48.75" customHeight="1" x14ac:dyDescent="0.25">
      <c r="A56" s="125" t="s">
        <v>413</v>
      </c>
      <c r="B56">
        <v>163</v>
      </c>
      <c r="C56" s="125" t="s">
        <v>530</v>
      </c>
      <c r="D56" s="125" t="s">
        <v>78</v>
      </c>
      <c r="E56" s="125" t="s">
        <v>295</v>
      </c>
      <c r="F56" s="125" t="s">
        <v>299</v>
      </c>
      <c r="G56" s="125" t="s">
        <v>110</v>
      </c>
      <c r="H56" s="125" t="s">
        <v>81</v>
      </c>
      <c r="I56" s="125" t="s">
        <v>82</v>
      </c>
      <c r="J56" s="126">
        <v>32700</v>
      </c>
      <c r="K56" s="126">
        <v>17790</v>
      </c>
      <c r="L56" s="127">
        <v>13.4</v>
      </c>
      <c r="M56" s="126">
        <v>14910</v>
      </c>
      <c r="N56" s="126">
        <v>12905.6</v>
      </c>
      <c r="O56" s="126" t="s">
        <v>511</v>
      </c>
      <c r="P56" s="128">
        <v>114</v>
      </c>
      <c r="Q56" s="129">
        <v>45810</v>
      </c>
      <c r="R56" s="139">
        <v>0.68752314814814819</v>
      </c>
    </row>
    <row r="57" spans="1:18 16371:16371" ht="36.75" customHeight="1" x14ac:dyDescent="0.25">
      <c r="A57" s="125" t="s">
        <v>414</v>
      </c>
      <c r="B57">
        <v>163</v>
      </c>
      <c r="C57" s="125" t="s">
        <v>415</v>
      </c>
      <c r="D57" s="125" t="s">
        <v>105</v>
      </c>
      <c r="E57" s="125" t="s">
        <v>302</v>
      </c>
      <c r="F57" s="125" t="s">
        <v>303</v>
      </c>
      <c r="G57" s="125" t="s">
        <v>460</v>
      </c>
      <c r="H57" s="125" t="s">
        <v>301</v>
      </c>
      <c r="I57" s="125" t="s">
        <v>82</v>
      </c>
      <c r="J57" s="126">
        <v>34160</v>
      </c>
      <c r="K57" s="126">
        <v>16200</v>
      </c>
      <c r="L57" s="127">
        <v>7.5</v>
      </c>
      <c r="M57" s="126">
        <v>17960</v>
      </c>
      <c r="N57" s="126">
        <v>16610</v>
      </c>
      <c r="O57" s="126" t="s">
        <v>511</v>
      </c>
      <c r="P57" s="128">
        <v>115</v>
      </c>
      <c r="Q57" s="129">
        <v>45810</v>
      </c>
      <c r="R57" s="139">
        <v>0.97452546296296294</v>
      </c>
      <c r="XEQ57" s="125"/>
    </row>
    <row r="58" spans="1:18 16371:16371" ht="38.25" x14ac:dyDescent="0.25">
      <c r="A58" s="125" t="s">
        <v>421</v>
      </c>
      <c r="B58">
        <v>179</v>
      </c>
      <c r="C58" s="125">
        <v>30</v>
      </c>
      <c r="D58" s="125" t="s">
        <v>78</v>
      </c>
      <c r="E58" s="125" t="s">
        <v>79</v>
      </c>
      <c r="F58" s="125" t="s">
        <v>80</v>
      </c>
      <c r="G58" s="125" t="s">
        <v>422</v>
      </c>
      <c r="H58" s="125" t="s">
        <v>81</v>
      </c>
      <c r="I58" s="125" t="s">
        <v>82</v>
      </c>
      <c r="J58" s="126">
        <v>29230</v>
      </c>
      <c r="K58" s="126">
        <v>22520</v>
      </c>
      <c r="L58" s="127">
        <v>29</v>
      </c>
      <c r="M58" s="126">
        <v>6710</v>
      </c>
      <c r="N58" s="126">
        <v>4764.1000000000004</v>
      </c>
      <c r="O58" s="126" t="s">
        <v>511</v>
      </c>
      <c r="P58" s="128">
        <v>132</v>
      </c>
      <c r="Q58" s="129">
        <v>45811</v>
      </c>
      <c r="R58" s="139">
        <v>0.66451388888888885</v>
      </c>
    </row>
    <row r="59" spans="1:18 16371:16371" ht="38.25" x14ac:dyDescent="0.25">
      <c r="A59" s="125" t="s">
        <v>423</v>
      </c>
      <c r="B59">
        <v>180</v>
      </c>
      <c r="C59" s="125">
        <v>30</v>
      </c>
      <c r="D59" s="125" t="s">
        <v>78</v>
      </c>
      <c r="E59" s="125" t="s">
        <v>79</v>
      </c>
      <c r="F59" s="125" t="s">
        <v>80</v>
      </c>
      <c r="G59" s="125" t="s">
        <v>110</v>
      </c>
      <c r="H59" s="125" t="s">
        <v>81</v>
      </c>
      <c r="I59" s="125" t="s">
        <v>82</v>
      </c>
      <c r="J59" s="126">
        <v>22520</v>
      </c>
      <c r="K59" s="126">
        <v>14140</v>
      </c>
      <c r="L59" s="127">
        <v>24</v>
      </c>
      <c r="M59" s="126">
        <v>8380</v>
      </c>
      <c r="N59" s="126">
        <v>6368.8</v>
      </c>
      <c r="O59" s="126" t="s">
        <v>511</v>
      </c>
      <c r="P59" s="128">
        <v>136</v>
      </c>
      <c r="Q59" s="129">
        <v>45811</v>
      </c>
      <c r="R59" s="139">
        <v>0.66589120370370369</v>
      </c>
    </row>
    <row r="60" spans="1:18 16371:16371" ht="38.25" x14ac:dyDescent="0.25">
      <c r="A60" s="125" t="s">
        <v>424</v>
      </c>
      <c r="B60">
        <v>182</v>
      </c>
      <c r="C60" s="125">
        <v>30</v>
      </c>
      <c r="D60" s="125" t="s">
        <v>78</v>
      </c>
      <c r="E60" s="125" t="s">
        <v>79</v>
      </c>
      <c r="F60" s="125" t="s">
        <v>80</v>
      </c>
      <c r="G60" s="125" t="s">
        <v>422</v>
      </c>
      <c r="H60" s="125" t="s">
        <v>81</v>
      </c>
      <c r="I60" s="125" t="s">
        <v>82</v>
      </c>
      <c r="J60" s="126">
        <v>14110</v>
      </c>
      <c r="K60" s="126">
        <v>9450</v>
      </c>
      <c r="L60" s="127">
        <v>31</v>
      </c>
      <c r="M60" s="126">
        <v>4660</v>
      </c>
      <c r="N60" s="126">
        <v>3215.4</v>
      </c>
      <c r="O60" s="126" t="s">
        <v>511</v>
      </c>
      <c r="P60" s="128">
        <v>137</v>
      </c>
      <c r="Q60" s="129">
        <v>45811</v>
      </c>
      <c r="R60" s="139">
        <v>0.69217592592592592</v>
      </c>
    </row>
    <row r="61" spans="1:18 16371:16371" ht="38.25" x14ac:dyDescent="0.25">
      <c r="A61" s="125" t="s">
        <v>425</v>
      </c>
      <c r="B61">
        <v>181</v>
      </c>
      <c r="C61" s="125">
        <v>65933</v>
      </c>
      <c r="D61" s="125" t="s">
        <v>105</v>
      </c>
      <c r="E61" s="125" t="s">
        <v>1152</v>
      </c>
      <c r="F61" s="125" t="s">
        <v>119</v>
      </c>
      <c r="G61" s="125" t="s">
        <v>460</v>
      </c>
      <c r="H61" s="125" t="s">
        <v>21</v>
      </c>
      <c r="I61" s="125" t="s">
        <v>82</v>
      </c>
      <c r="J61" s="126">
        <v>34390</v>
      </c>
      <c r="K61" s="126">
        <v>20870</v>
      </c>
      <c r="L61" s="127">
        <v>18.5</v>
      </c>
      <c r="M61" s="126">
        <v>13520</v>
      </c>
      <c r="N61" s="126">
        <v>11018.8</v>
      </c>
      <c r="O61" s="126" t="s">
        <v>511</v>
      </c>
      <c r="P61" s="128">
        <v>138</v>
      </c>
      <c r="Q61" s="129">
        <v>45811</v>
      </c>
      <c r="R61" s="139">
        <v>0.73034722222222226</v>
      </c>
    </row>
    <row r="62" spans="1:18 16371:16371" ht="38.25" x14ac:dyDescent="0.25">
      <c r="A62" s="125" t="s">
        <v>426</v>
      </c>
      <c r="B62">
        <v>186</v>
      </c>
      <c r="C62" s="125">
        <v>65935</v>
      </c>
      <c r="D62" s="125" t="s">
        <v>105</v>
      </c>
      <c r="E62" s="125" t="s">
        <v>151</v>
      </c>
      <c r="F62" s="125" t="s">
        <v>155</v>
      </c>
      <c r="G62" s="125" t="s">
        <v>460</v>
      </c>
      <c r="H62" s="125" t="s">
        <v>21</v>
      </c>
      <c r="I62" s="125" t="s">
        <v>82</v>
      </c>
      <c r="J62" s="126">
        <v>28460</v>
      </c>
      <c r="K62" s="126">
        <v>14860</v>
      </c>
      <c r="L62" s="127">
        <v>16.5</v>
      </c>
      <c r="M62" s="126">
        <v>13600</v>
      </c>
      <c r="N62" s="126">
        <v>11356</v>
      </c>
      <c r="O62" s="126" t="s">
        <v>511</v>
      </c>
      <c r="P62" s="128">
        <v>139</v>
      </c>
      <c r="Q62" s="129">
        <v>45811</v>
      </c>
      <c r="R62" s="139">
        <v>0.79424768518518518</v>
      </c>
    </row>
    <row r="63" spans="1:18 16371:16371" ht="38.25" x14ac:dyDescent="0.25">
      <c r="A63" s="125" t="s">
        <v>427</v>
      </c>
      <c r="B63">
        <v>187</v>
      </c>
      <c r="C63" s="125">
        <v>65936</v>
      </c>
      <c r="D63" s="125" t="s">
        <v>105</v>
      </c>
      <c r="E63" s="125" t="s">
        <v>160</v>
      </c>
      <c r="F63" s="125" t="s">
        <v>164</v>
      </c>
      <c r="G63" s="125" t="s">
        <v>460</v>
      </c>
      <c r="H63" s="125" t="s">
        <v>21</v>
      </c>
      <c r="I63" s="125" t="s">
        <v>82</v>
      </c>
      <c r="J63" s="126">
        <v>37510</v>
      </c>
      <c r="K63" s="126">
        <v>24030</v>
      </c>
      <c r="L63" s="127">
        <v>13.5</v>
      </c>
      <c r="M63" s="126">
        <v>13480</v>
      </c>
      <c r="N63" s="126">
        <v>11660.2</v>
      </c>
      <c r="O63" s="126" t="s">
        <v>511</v>
      </c>
      <c r="P63" s="128">
        <v>140</v>
      </c>
      <c r="Q63" s="129">
        <v>45811</v>
      </c>
      <c r="R63" s="139">
        <v>0.88895833333333329</v>
      </c>
    </row>
    <row r="64" spans="1:18 16371:16371" ht="38.25" x14ac:dyDescent="0.25">
      <c r="A64" s="125" t="s">
        <v>428</v>
      </c>
      <c r="B64">
        <v>188</v>
      </c>
      <c r="C64" s="125">
        <v>31</v>
      </c>
      <c r="D64" s="125" t="s">
        <v>78</v>
      </c>
      <c r="E64" s="125" t="s">
        <v>79</v>
      </c>
      <c r="F64" s="125" t="s">
        <v>80</v>
      </c>
      <c r="G64" s="125" t="s">
        <v>422</v>
      </c>
      <c r="H64" s="125" t="s">
        <v>81</v>
      </c>
      <c r="I64" s="125" t="s">
        <v>82</v>
      </c>
      <c r="J64" s="126">
        <v>13910</v>
      </c>
      <c r="K64" s="126">
        <v>9460</v>
      </c>
      <c r="L64" s="127">
        <v>19.5</v>
      </c>
      <c r="M64" s="126">
        <v>4450</v>
      </c>
      <c r="N64" s="126">
        <v>3582.2</v>
      </c>
      <c r="O64" s="126" t="s">
        <v>511</v>
      </c>
      <c r="P64" s="128">
        <v>141</v>
      </c>
      <c r="Q64" s="129">
        <v>45811</v>
      </c>
      <c r="R64" s="139">
        <v>0.90172453703703703</v>
      </c>
    </row>
    <row r="65" spans="1:18" ht="38.25" x14ac:dyDescent="0.25">
      <c r="A65" s="125" t="s">
        <v>429</v>
      </c>
      <c r="B65">
        <v>189</v>
      </c>
      <c r="C65" s="125">
        <v>65937</v>
      </c>
      <c r="D65" s="125" t="s">
        <v>105</v>
      </c>
      <c r="E65" s="125" t="s">
        <v>166</v>
      </c>
      <c r="F65" s="125" t="s">
        <v>170</v>
      </c>
      <c r="G65" s="125" t="s">
        <v>460</v>
      </c>
      <c r="H65" s="125" t="s">
        <v>21</v>
      </c>
      <c r="I65" s="125" t="s">
        <v>82</v>
      </c>
      <c r="J65" s="126">
        <v>28520</v>
      </c>
      <c r="K65" s="126">
        <v>14820</v>
      </c>
      <c r="L65" s="127">
        <v>16</v>
      </c>
      <c r="M65" s="126">
        <v>13700</v>
      </c>
      <c r="N65" s="126">
        <v>11508</v>
      </c>
      <c r="O65" s="126" t="s">
        <v>511</v>
      </c>
      <c r="P65" s="128">
        <v>142</v>
      </c>
      <c r="Q65" s="129">
        <v>45811</v>
      </c>
      <c r="R65" s="139">
        <v>0.93243055555555554</v>
      </c>
    </row>
    <row r="66" spans="1:18" ht="38.25" x14ac:dyDescent="0.25">
      <c r="A66" s="125" t="s">
        <v>430</v>
      </c>
      <c r="B66">
        <v>190</v>
      </c>
      <c r="C66" s="125">
        <v>65938</v>
      </c>
      <c r="D66" s="125" t="s">
        <v>105</v>
      </c>
      <c r="E66" s="125" t="s">
        <v>195</v>
      </c>
      <c r="F66" s="125" t="s">
        <v>199</v>
      </c>
      <c r="G66" s="125" t="s">
        <v>460</v>
      </c>
      <c r="H66" s="125" t="s">
        <v>21</v>
      </c>
      <c r="I66" s="125" t="s">
        <v>82</v>
      </c>
      <c r="J66" s="126">
        <v>28750</v>
      </c>
      <c r="K66" s="126">
        <v>15120</v>
      </c>
      <c r="L66" s="127">
        <v>20</v>
      </c>
      <c r="M66" s="126">
        <v>13630</v>
      </c>
      <c r="N66" s="126">
        <v>10904</v>
      </c>
      <c r="O66" s="126" t="s">
        <v>511</v>
      </c>
      <c r="P66" s="128">
        <v>143</v>
      </c>
      <c r="Q66" s="129">
        <v>45811</v>
      </c>
      <c r="R66" s="139">
        <v>0.91218750000000004</v>
      </c>
    </row>
    <row r="67" spans="1:18" ht="38.25" x14ac:dyDescent="0.25">
      <c r="A67" s="125" t="s">
        <v>431</v>
      </c>
      <c r="B67">
        <v>191</v>
      </c>
      <c r="C67" s="125">
        <v>65939</v>
      </c>
      <c r="D67" s="125" t="s">
        <v>105</v>
      </c>
      <c r="E67" s="125" t="s">
        <v>234</v>
      </c>
      <c r="F67" s="125" t="s">
        <v>238</v>
      </c>
      <c r="G67" s="125" t="s">
        <v>460</v>
      </c>
      <c r="H67" s="125" t="s">
        <v>21</v>
      </c>
      <c r="I67" s="125" t="s">
        <v>82</v>
      </c>
      <c r="J67" s="126">
        <v>28870</v>
      </c>
      <c r="K67" s="126">
        <v>15420</v>
      </c>
      <c r="L67" s="127">
        <v>18</v>
      </c>
      <c r="M67" s="126">
        <v>13450</v>
      </c>
      <c r="N67" s="126">
        <v>11029</v>
      </c>
      <c r="O67" s="126" t="s">
        <v>511</v>
      </c>
      <c r="P67" s="128">
        <v>144</v>
      </c>
      <c r="Q67" s="129">
        <v>45811</v>
      </c>
      <c r="R67" s="139">
        <v>0.96666666666666667</v>
      </c>
    </row>
    <row r="68" spans="1:18" ht="38.25" x14ac:dyDescent="0.25">
      <c r="A68" s="125" t="s">
        <v>432</v>
      </c>
      <c r="B68">
        <v>192</v>
      </c>
      <c r="C68" s="125">
        <v>65941</v>
      </c>
      <c r="D68" s="125" t="s">
        <v>105</v>
      </c>
      <c r="E68" s="125" t="s">
        <v>133</v>
      </c>
      <c r="F68" s="125" t="s">
        <v>137</v>
      </c>
      <c r="G68" s="125" t="s">
        <v>460</v>
      </c>
      <c r="H68" s="125" t="s">
        <v>21</v>
      </c>
      <c r="I68" s="125" t="s">
        <v>82</v>
      </c>
      <c r="J68" s="126">
        <v>28210</v>
      </c>
      <c r="K68" s="126">
        <v>14770</v>
      </c>
      <c r="L68" s="127">
        <v>18.5</v>
      </c>
      <c r="M68" s="126">
        <v>13440</v>
      </c>
      <c r="N68" s="126">
        <v>10953.6</v>
      </c>
      <c r="O68" s="126" t="s">
        <v>511</v>
      </c>
      <c r="P68" s="128">
        <v>145</v>
      </c>
      <c r="Q68" s="129">
        <v>45811</v>
      </c>
      <c r="R68" s="139">
        <v>0.99447916666666669</v>
      </c>
    </row>
    <row r="69" spans="1:18" ht="38.25" x14ac:dyDescent="0.25">
      <c r="A69" s="125" t="s">
        <v>433</v>
      </c>
      <c r="B69">
        <v>194</v>
      </c>
      <c r="C69" s="125">
        <v>65930</v>
      </c>
      <c r="D69" s="125" t="s">
        <v>105</v>
      </c>
      <c r="E69" s="125" t="s">
        <v>244</v>
      </c>
      <c r="F69" s="125" t="s">
        <v>248</v>
      </c>
      <c r="G69" s="125" t="s">
        <v>460</v>
      </c>
      <c r="H69" s="125" t="s">
        <v>21</v>
      </c>
      <c r="I69" s="125" t="s">
        <v>82</v>
      </c>
      <c r="J69" s="126">
        <v>29090</v>
      </c>
      <c r="K69" s="126">
        <v>15650</v>
      </c>
      <c r="L69" s="127">
        <v>22</v>
      </c>
      <c r="M69" s="126">
        <v>13440</v>
      </c>
      <c r="N69" s="126">
        <v>10483.200000000001</v>
      </c>
      <c r="O69" s="126" t="s">
        <v>511</v>
      </c>
      <c r="P69" s="128">
        <v>146</v>
      </c>
      <c r="Q69" s="129">
        <v>45812</v>
      </c>
      <c r="R69" s="139">
        <v>9.2997685185185183E-2</v>
      </c>
    </row>
    <row r="70" spans="1:18" ht="38.25" x14ac:dyDescent="0.25">
      <c r="A70" s="125" t="s">
        <v>434</v>
      </c>
      <c r="B70">
        <v>195</v>
      </c>
      <c r="C70" s="125">
        <v>65942</v>
      </c>
      <c r="D70" s="125" t="s">
        <v>105</v>
      </c>
      <c r="E70" s="125" t="s">
        <v>121</v>
      </c>
      <c r="F70" s="125" t="s">
        <v>125</v>
      </c>
      <c r="G70" s="125" t="s">
        <v>460</v>
      </c>
      <c r="H70" s="125" t="s">
        <v>21</v>
      </c>
      <c r="I70" s="125" t="s">
        <v>82</v>
      </c>
      <c r="J70" s="126">
        <v>28130</v>
      </c>
      <c r="K70" s="126">
        <v>14690</v>
      </c>
      <c r="L70" s="127">
        <v>15.5</v>
      </c>
      <c r="M70" s="126">
        <v>13440</v>
      </c>
      <c r="N70" s="126">
        <v>11356.8</v>
      </c>
      <c r="O70" s="126" t="s">
        <v>511</v>
      </c>
      <c r="P70" s="128">
        <v>147</v>
      </c>
      <c r="Q70" s="129">
        <v>45812</v>
      </c>
      <c r="R70" s="139">
        <v>0.17004629629629631</v>
      </c>
    </row>
    <row r="71" spans="1:18" ht="38.25" x14ac:dyDescent="0.25">
      <c r="A71" s="125" t="s">
        <v>435</v>
      </c>
      <c r="B71">
        <v>196</v>
      </c>
      <c r="C71" s="125">
        <v>65943</v>
      </c>
      <c r="D71" s="125" t="s">
        <v>105</v>
      </c>
      <c r="E71" s="125" t="s">
        <v>272</v>
      </c>
      <c r="F71" s="125" t="s">
        <v>276</v>
      </c>
      <c r="G71" s="125" t="s">
        <v>460</v>
      </c>
      <c r="H71" s="125" t="s">
        <v>21</v>
      </c>
      <c r="I71" s="125" t="s">
        <v>82</v>
      </c>
      <c r="J71" s="126">
        <v>28070</v>
      </c>
      <c r="K71" s="126">
        <v>14680</v>
      </c>
      <c r="L71" s="127">
        <v>20.5</v>
      </c>
      <c r="M71" s="126">
        <v>13390</v>
      </c>
      <c r="N71" s="126">
        <v>10645</v>
      </c>
      <c r="O71" s="126" t="s">
        <v>511</v>
      </c>
      <c r="P71" s="128">
        <v>148</v>
      </c>
      <c r="Q71" s="129">
        <v>45812</v>
      </c>
      <c r="R71" s="139">
        <v>0.19141203703703705</v>
      </c>
    </row>
    <row r="72" spans="1:18" ht="38.25" x14ac:dyDescent="0.25">
      <c r="A72" s="125" t="s">
        <v>436</v>
      </c>
      <c r="B72">
        <v>197</v>
      </c>
      <c r="C72" s="125">
        <v>34</v>
      </c>
      <c r="D72" s="125" t="s">
        <v>78</v>
      </c>
      <c r="E72" s="125" t="s">
        <v>79</v>
      </c>
      <c r="F72" s="125" t="s">
        <v>80</v>
      </c>
      <c r="G72" s="125" t="s">
        <v>422</v>
      </c>
      <c r="H72" s="125" t="s">
        <v>81</v>
      </c>
      <c r="I72" s="125" t="s">
        <v>82</v>
      </c>
      <c r="J72" s="126">
        <v>16470</v>
      </c>
      <c r="K72" s="126">
        <v>9450</v>
      </c>
      <c r="L72" s="127">
        <v>21</v>
      </c>
      <c r="M72" s="126">
        <v>7020</v>
      </c>
      <c r="N72" s="126">
        <v>5545.8</v>
      </c>
      <c r="O72" s="126" t="s">
        <v>511</v>
      </c>
      <c r="P72" s="128">
        <v>149</v>
      </c>
      <c r="Q72" s="129">
        <v>45812</v>
      </c>
      <c r="R72" s="139">
        <v>0.22796296296296295</v>
      </c>
    </row>
    <row r="73" spans="1:18" ht="38.25" x14ac:dyDescent="0.25">
      <c r="A73" s="125" t="s">
        <v>437</v>
      </c>
      <c r="B73">
        <v>198</v>
      </c>
      <c r="C73" s="125">
        <v>65947</v>
      </c>
      <c r="D73" s="125" t="s">
        <v>105</v>
      </c>
      <c r="E73" s="125" t="s">
        <v>1253</v>
      </c>
      <c r="F73" s="125" t="s">
        <v>270</v>
      </c>
      <c r="G73" s="125" t="s">
        <v>460</v>
      </c>
      <c r="H73" s="125" t="s">
        <v>21</v>
      </c>
      <c r="I73" s="125" t="s">
        <v>82</v>
      </c>
      <c r="J73" s="126">
        <v>28240</v>
      </c>
      <c r="K73" s="126">
        <v>14870</v>
      </c>
      <c r="L73" s="127">
        <v>17.5</v>
      </c>
      <c r="M73" s="126">
        <v>13370</v>
      </c>
      <c r="N73" s="126">
        <v>11030.2</v>
      </c>
      <c r="O73" s="126" t="s">
        <v>511</v>
      </c>
      <c r="P73" s="128">
        <v>150</v>
      </c>
      <c r="Q73" s="129">
        <v>45812</v>
      </c>
      <c r="R73" s="139">
        <v>0.28533564814814816</v>
      </c>
    </row>
    <row r="74" spans="1:18" ht="51" x14ac:dyDescent="0.25">
      <c r="A74" s="125" t="s">
        <v>438</v>
      </c>
      <c r="B74">
        <v>171</v>
      </c>
      <c r="C74" s="125" t="s">
        <v>531</v>
      </c>
      <c r="D74" s="125" t="s">
        <v>78</v>
      </c>
      <c r="E74" s="125" t="s">
        <v>439</v>
      </c>
      <c r="F74" s="125" t="s">
        <v>440</v>
      </c>
      <c r="G74" s="125" t="s">
        <v>110</v>
      </c>
      <c r="H74" s="125" t="s">
        <v>81</v>
      </c>
      <c r="I74" s="125" t="s">
        <v>82</v>
      </c>
      <c r="J74" s="126">
        <v>28790</v>
      </c>
      <c r="K74" s="126">
        <v>16660</v>
      </c>
      <c r="L74" s="127">
        <v>15.5</v>
      </c>
      <c r="M74" s="126">
        <v>12130</v>
      </c>
      <c r="N74" s="126">
        <v>10251</v>
      </c>
      <c r="O74" s="126" t="s">
        <v>511</v>
      </c>
      <c r="P74" s="128">
        <v>151</v>
      </c>
      <c r="Q74" s="129">
        <v>45811</v>
      </c>
      <c r="R74" s="139">
        <v>9.0694444444444439E-2</v>
      </c>
    </row>
    <row r="75" spans="1:18" ht="38.25" x14ac:dyDescent="0.25">
      <c r="A75" s="125" t="s">
        <v>441</v>
      </c>
      <c r="B75">
        <v>174</v>
      </c>
      <c r="C75" s="125" t="s">
        <v>532</v>
      </c>
      <c r="D75" s="125" t="s">
        <v>78</v>
      </c>
      <c r="E75" s="125" t="s">
        <v>442</v>
      </c>
      <c r="F75" s="125" t="s">
        <v>443</v>
      </c>
      <c r="G75" s="125" t="s">
        <v>422</v>
      </c>
      <c r="H75" s="125" t="s">
        <v>81</v>
      </c>
      <c r="I75" s="125" t="s">
        <v>82</v>
      </c>
      <c r="J75" s="126">
        <v>32620</v>
      </c>
      <c r="K75" s="126">
        <v>18780</v>
      </c>
      <c r="L75" s="127">
        <v>15.4</v>
      </c>
      <c r="M75" s="126">
        <v>13840</v>
      </c>
      <c r="N75" s="126">
        <v>11709.8</v>
      </c>
      <c r="O75" s="126" t="s">
        <v>511</v>
      </c>
      <c r="P75" s="128">
        <v>152</v>
      </c>
      <c r="Q75" s="129">
        <v>45811</v>
      </c>
      <c r="R75" s="139">
        <v>0.25563657407407409</v>
      </c>
    </row>
    <row r="76" spans="1:18" ht="38.25" x14ac:dyDescent="0.25">
      <c r="A76" s="125" t="s">
        <v>444</v>
      </c>
      <c r="B76">
        <v>173</v>
      </c>
      <c r="C76" s="125" t="s">
        <v>533</v>
      </c>
      <c r="D76" s="125" t="s">
        <v>78</v>
      </c>
      <c r="E76" s="125" t="s">
        <v>283</v>
      </c>
      <c r="F76" s="125" t="s">
        <v>287</v>
      </c>
      <c r="G76" s="125" t="s">
        <v>422</v>
      </c>
      <c r="H76" s="125" t="s">
        <v>81</v>
      </c>
      <c r="I76" s="125" t="s">
        <v>82</v>
      </c>
      <c r="J76" s="126">
        <v>31130</v>
      </c>
      <c r="K76" s="126">
        <v>17880</v>
      </c>
      <c r="L76" s="127">
        <v>11.6</v>
      </c>
      <c r="M76" s="126">
        <v>13250</v>
      </c>
      <c r="N76" s="126">
        <v>11713</v>
      </c>
      <c r="O76" s="126" t="s">
        <v>511</v>
      </c>
      <c r="P76" s="128">
        <v>153</v>
      </c>
      <c r="Q76" s="129">
        <v>45811</v>
      </c>
      <c r="R76" s="139">
        <v>0.2419212962962963</v>
      </c>
    </row>
    <row r="77" spans="1:18" ht="38.25" x14ac:dyDescent="0.25">
      <c r="A77" s="125" t="s">
        <v>445</v>
      </c>
      <c r="B77">
        <v>175</v>
      </c>
      <c r="C77" s="125" t="s">
        <v>534</v>
      </c>
      <c r="D77" s="125" t="s">
        <v>78</v>
      </c>
      <c r="E77" s="125" t="s">
        <v>289</v>
      </c>
      <c r="F77" s="125" t="s">
        <v>293</v>
      </c>
      <c r="G77" s="125" t="s">
        <v>422</v>
      </c>
      <c r="H77" s="125" t="s">
        <v>81</v>
      </c>
      <c r="I77" s="125" t="s">
        <v>82</v>
      </c>
      <c r="J77" s="126">
        <v>30790</v>
      </c>
      <c r="K77" s="126">
        <v>16990</v>
      </c>
      <c r="L77" s="127">
        <v>26.7</v>
      </c>
      <c r="M77" s="126">
        <v>13800</v>
      </c>
      <c r="N77" s="126">
        <v>10115.4</v>
      </c>
      <c r="O77" s="126" t="s">
        <v>511</v>
      </c>
      <c r="P77" s="128">
        <v>154</v>
      </c>
      <c r="Q77" s="129">
        <v>45811</v>
      </c>
      <c r="R77" s="139">
        <v>0.25868055555555558</v>
      </c>
    </row>
    <row r="78" spans="1:18" ht="38.25" x14ac:dyDescent="0.25">
      <c r="A78" s="125" t="s">
        <v>535</v>
      </c>
      <c r="B78">
        <v>201</v>
      </c>
      <c r="C78" s="125">
        <v>65950</v>
      </c>
      <c r="D78" s="125" t="s">
        <v>105</v>
      </c>
      <c r="E78" s="125" t="s">
        <v>254</v>
      </c>
      <c r="F78" s="125" t="s">
        <v>536</v>
      </c>
      <c r="G78" s="125" t="s">
        <v>460</v>
      </c>
      <c r="H78" s="125" t="s">
        <v>21</v>
      </c>
      <c r="I78" s="125" t="s">
        <v>82</v>
      </c>
      <c r="J78" s="126">
        <v>27790</v>
      </c>
      <c r="K78" s="126">
        <v>14630</v>
      </c>
      <c r="L78" s="127">
        <v>12.5</v>
      </c>
      <c r="M78" s="126">
        <v>13160</v>
      </c>
      <c r="N78" s="126">
        <v>11515</v>
      </c>
      <c r="O78" s="126" t="s">
        <v>511</v>
      </c>
      <c r="P78" s="128">
        <v>155</v>
      </c>
      <c r="Q78" s="129">
        <v>45812</v>
      </c>
      <c r="R78" s="139">
        <v>0.50990740740740736</v>
      </c>
    </row>
    <row r="79" spans="1:18" ht="38.25" x14ac:dyDescent="0.25">
      <c r="A79" s="125" t="s">
        <v>537</v>
      </c>
      <c r="B79">
        <v>199</v>
      </c>
      <c r="C79" s="125">
        <v>65948</v>
      </c>
      <c r="D79" s="125" t="s">
        <v>105</v>
      </c>
      <c r="E79" s="125" t="s">
        <v>239</v>
      </c>
      <c r="F79" s="125" t="s">
        <v>243</v>
      </c>
      <c r="G79" s="125" t="s">
        <v>460</v>
      </c>
      <c r="H79" s="125" t="s">
        <v>21</v>
      </c>
      <c r="I79" s="125" t="s">
        <v>82</v>
      </c>
      <c r="J79" s="126">
        <v>27800</v>
      </c>
      <c r="K79" s="126">
        <v>14550</v>
      </c>
      <c r="L79" s="127">
        <v>12.5</v>
      </c>
      <c r="M79" s="126">
        <v>13250</v>
      </c>
      <c r="N79" s="126">
        <v>11593.7</v>
      </c>
      <c r="O79" s="126" t="s">
        <v>511</v>
      </c>
      <c r="P79" s="128">
        <v>156</v>
      </c>
      <c r="Q79" s="129">
        <v>45812</v>
      </c>
      <c r="R79" s="139">
        <v>0.51460648148148147</v>
      </c>
    </row>
    <row r="80" spans="1:18" ht="38.25" x14ac:dyDescent="0.25">
      <c r="A80" s="125" t="s">
        <v>538</v>
      </c>
      <c r="B80">
        <v>202</v>
      </c>
      <c r="C80" s="125">
        <v>130776</v>
      </c>
      <c r="D80" s="125" t="s">
        <v>105</v>
      </c>
      <c r="E80" s="125" t="s">
        <v>249</v>
      </c>
      <c r="F80" s="125" t="s">
        <v>253</v>
      </c>
      <c r="G80" s="125" t="s">
        <v>460</v>
      </c>
      <c r="H80" s="125" t="s">
        <v>21</v>
      </c>
      <c r="I80" s="125" t="s">
        <v>82</v>
      </c>
      <c r="J80" s="126">
        <v>28330</v>
      </c>
      <c r="K80" s="126">
        <v>15030</v>
      </c>
      <c r="L80" s="127">
        <v>11.2</v>
      </c>
      <c r="M80" s="126">
        <v>13300</v>
      </c>
      <c r="N80" s="126">
        <v>11810.4</v>
      </c>
      <c r="O80" s="126" t="s">
        <v>511</v>
      </c>
      <c r="P80" s="128">
        <v>176</v>
      </c>
      <c r="Q80" s="129">
        <v>45812</v>
      </c>
      <c r="R80" s="139">
        <v>0.70373842592592595</v>
      </c>
    </row>
    <row r="81" spans="1:18" ht="38.25" x14ac:dyDescent="0.25">
      <c r="A81" s="125" t="s">
        <v>539</v>
      </c>
      <c r="B81">
        <v>206</v>
      </c>
      <c r="C81" s="125">
        <v>130777</v>
      </c>
      <c r="D81" s="125" t="s">
        <v>105</v>
      </c>
      <c r="E81" s="125" t="s">
        <v>1151</v>
      </c>
      <c r="F81" s="125" t="s">
        <v>145</v>
      </c>
      <c r="G81" s="125" t="s">
        <v>460</v>
      </c>
      <c r="H81" s="125" t="s">
        <v>21</v>
      </c>
      <c r="I81" s="125" t="s">
        <v>82</v>
      </c>
      <c r="J81" s="126">
        <v>29200</v>
      </c>
      <c r="K81" s="126">
        <v>15700</v>
      </c>
      <c r="L81" s="127">
        <v>14.5</v>
      </c>
      <c r="M81" s="126">
        <v>13500</v>
      </c>
      <c r="N81" s="126">
        <v>11542.5</v>
      </c>
      <c r="O81" s="126" t="s">
        <v>511</v>
      </c>
      <c r="P81" s="128">
        <v>177</v>
      </c>
      <c r="Q81" s="129">
        <v>45812</v>
      </c>
      <c r="R81" s="139">
        <v>0.70674768518518516</v>
      </c>
    </row>
    <row r="82" spans="1:18" ht="38.25" x14ac:dyDescent="0.25">
      <c r="A82" s="125" t="s">
        <v>540</v>
      </c>
      <c r="B82">
        <v>208</v>
      </c>
      <c r="C82" s="125">
        <v>130778</v>
      </c>
      <c r="D82" s="125" t="s">
        <v>105</v>
      </c>
      <c r="E82" s="125" t="s">
        <v>1461</v>
      </c>
      <c r="F82" s="125" t="s">
        <v>149</v>
      </c>
      <c r="G82" s="125" t="s">
        <v>460</v>
      </c>
      <c r="H82" s="125" t="s">
        <v>21</v>
      </c>
      <c r="I82" s="125" t="s">
        <v>82</v>
      </c>
      <c r="J82" s="126">
        <v>28280</v>
      </c>
      <c r="K82" s="126">
        <v>15050</v>
      </c>
      <c r="L82" s="127">
        <v>12.5</v>
      </c>
      <c r="M82" s="126">
        <v>13230</v>
      </c>
      <c r="N82" s="126">
        <v>11576.2</v>
      </c>
      <c r="O82" s="126" t="s">
        <v>511</v>
      </c>
      <c r="P82" s="128">
        <v>178</v>
      </c>
      <c r="Q82" s="129">
        <v>45812</v>
      </c>
      <c r="R82" s="139">
        <v>0.72445601851851849</v>
      </c>
    </row>
    <row r="83" spans="1:18" ht="38.25" x14ac:dyDescent="0.25">
      <c r="A83" s="125" t="s">
        <v>541</v>
      </c>
      <c r="B83">
        <v>209</v>
      </c>
      <c r="C83" s="125">
        <v>130781</v>
      </c>
      <c r="D83" s="125" t="s">
        <v>105</v>
      </c>
      <c r="E83" s="125" t="s">
        <v>311</v>
      </c>
      <c r="F83" s="125" t="s">
        <v>315</v>
      </c>
      <c r="G83" s="125" t="s">
        <v>460</v>
      </c>
      <c r="H83" s="125" t="s">
        <v>301</v>
      </c>
      <c r="I83" s="125" t="s">
        <v>82</v>
      </c>
      <c r="J83" s="126">
        <v>28130</v>
      </c>
      <c r="K83" s="126">
        <v>14940</v>
      </c>
      <c r="L83" s="127">
        <v>13.5</v>
      </c>
      <c r="M83" s="126">
        <v>13190</v>
      </c>
      <c r="N83" s="126">
        <v>11409.3</v>
      </c>
      <c r="O83" s="126" t="s">
        <v>511</v>
      </c>
      <c r="P83" s="128">
        <v>179</v>
      </c>
      <c r="Q83" s="129">
        <v>45812</v>
      </c>
      <c r="R83" s="139">
        <v>0.73993055555555554</v>
      </c>
    </row>
    <row r="84" spans="1:18" ht="38.25" x14ac:dyDescent="0.25">
      <c r="A84" s="125" t="s">
        <v>542</v>
      </c>
      <c r="B84">
        <v>210</v>
      </c>
      <c r="C84" s="125">
        <v>130782</v>
      </c>
      <c r="D84" s="125" t="s">
        <v>105</v>
      </c>
      <c r="E84" s="125" t="s">
        <v>347</v>
      </c>
      <c r="F84" s="125" t="s">
        <v>351</v>
      </c>
      <c r="G84" s="125" t="s">
        <v>460</v>
      </c>
      <c r="H84" s="125" t="s">
        <v>21</v>
      </c>
      <c r="I84" s="125" t="s">
        <v>82</v>
      </c>
      <c r="J84" s="126">
        <v>34410</v>
      </c>
      <c r="K84" s="126">
        <v>18690</v>
      </c>
      <c r="L84" s="127">
        <v>12.5</v>
      </c>
      <c r="M84" s="126">
        <v>15720</v>
      </c>
      <c r="N84" s="126">
        <v>13755</v>
      </c>
      <c r="O84" s="126" t="s">
        <v>511</v>
      </c>
      <c r="P84" s="128">
        <v>180</v>
      </c>
      <c r="Q84" s="129">
        <v>45812</v>
      </c>
      <c r="R84" s="139">
        <v>0.83673611111111112</v>
      </c>
    </row>
    <row r="85" spans="1:18" ht="38.25" x14ac:dyDescent="0.25">
      <c r="A85" s="125" t="s">
        <v>543</v>
      </c>
      <c r="B85">
        <v>211</v>
      </c>
      <c r="C85" s="125">
        <v>130783</v>
      </c>
      <c r="D85" s="125" t="s">
        <v>105</v>
      </c>
      <c r="E85" s="125" t="s">
        <v>1312</v>
      </c>
      <c r="F85" s="125" t="s">
        <v>320</v>
      </c>
      <c r="G85" s="125" t="s">
        <v>460</v>
      </c>
      <c r="H85" s="125" t="s">
        <v>21</v>
      </c>
      <c r="I85" s="125" t="s">
        <v>82</v>
      </c>
      <c r="J85" s="126">
        <v>27680</v>
      </c>
      <c r="K85" s="126">
        <v>14390</v>
      </c>
      <c r="L85" s="127">
        <v>13.5</v>
      </c>
      <c r="M85" s="126">
        <v>13290</v>
      </c>
      <c r="N85" s="126">
        <v>11495.8</v>
      </c>
      <c r="O85" s="126" t="s">
        <v>511</v>
      </c>
      <c r="P85" s="128">
        <v>181</v>
      </c>
      <c r="Q85" s="129">
        <v>45812</v>
      </c>
      <c r="R85" s="139">
        <v>0.86130787037037038</v>
      </c>
    </row>
    <row r="86" spans="1:18" ht="38.25" x14ac:dyDescent="0.25">
      <c r="A86" s="125" t="s">
        <v>544</v>
      </c>
      <c r="B86">
        <v>213</v>
      </c>
      <c r="C86" s="125">
        <v>37</v>
      </c>
      <c r="D86" s="125" t="s">
        <v>78</v>
      </c>
      <c r="E86" s="125" t="s">
        <v>127</v>
      </c>
      <c r="F86" s="125" t="s">
        <v>131</v>
      </c>
      <c r="G86" s="125" t="s">
        <v>523</v>
      </c>
      <c r="H86" s="125" t="s">
        <v>524</v>
      </c>
      <c r="I86" s="125" t="s">
        <v>82</v>
      </c>
      <c r="J86" s="126">
        <v>11950</v>
      </c>
      <c r="K86" s="126">
        <v>9730</v>
      </c>
      <c r="L86" s="127">
        <v>15.5</v>
      </c>
      <c r="M86" s="126">
        <v>2220</v>
      </c>
      <c r="N86" s="126">
        <v>1875.9</v>
      </c>
      <c r="O86" s="126" t="s">
        <v>511</v>
      </c>
      <c r="P86" s="128">
        <v>182</v>
      </c>
      <c r="Q86" s="129">
        <v>45812</v>
      </c>
      <c r="R86" s="139">
        <v>0.89491898148148152</v>
      </c>
    </row>
    <row r="87" spans="1:18" ht="38.25" x14ac:dyDescent="0.25">
      <c r="A87" s="125" t="s">
        <v>545</v>
      </c>
      <c r="B87">
        <v>212</v>
      </c>
      <c r="C87" s="125">
        <v>130784</v>
      </c>
      <c r="D87" s="125" t="s">
        <v>105</v>
      </c>
      <c r="E87" s="125" t="s">
        <v>335</v>
      </c>
      <c r="F87" s="125" t="s">
        <v>339</v>
      </c>
      <c r="G87" s="125" t="s">
        <v>460</v>
      </c>
      <c r="H87" s="125" t="s">
        <v>21</v>
      </c>
      <c r="I87" s="125" t="s">
        <v>82</v>
      </c>
      <c r="J87" s="126">
        <v>28130</v>
      </c>
      <c r="K87" s="126">
        <v>14780</v>
      </c>
      <c r="L87" s="127">
        <v>10.5</v>
      </c>
      <c r="M87" s="126">
        <v>13350</v>
      </c>
      <c r="N87" s="126">
        <v>11948.2</v>
      </c>
      <c r="O87" s="126" t="s">
        <v>511</v>
      </c>
      <c r="P87" s="128">
        <v>183</v>
      </c>
      <c r="Q87" s="129">
        <v>45812</v>
      </c>
      <c r="R87" s="139">
        <v>0.92874999999999996</v>
      </c>
    </row>
    <row r="88" spans="1:18" ht="38.25" x14ac:dyDescent="0.25">
      <c r="A88" s="125" t="s">
        <v>546</v>
      </c>
      <c r="B88">
        <v>216</v>
      </c>
      <c r="C88" s="125">
        <v>130786</v>
      </c>
      <c r="D88" s="125" t="s">
        <v>105</v>
      </c>
      <c r="E88" s="125" t="s">
        <v>1152</v>
      </c>
      <c r="F88" s="125" t="s">
        <v>119</v>
      </c>
      <c r="G88" s="125" t="s">
        <v>460</v>
      </c>
      <c r="H88" s="125" t="s">
        <v>21</v>
      </c>
      <c r="I88" s="125" t="s">
        <v>82</v>
      </c>
      <c r="J88" s="126">
        <v>36430</v>
      </c>
      <c r="K88" s="126">
        <v>21070</v>
      </c>
      <c r="L88" s="127">
        <v>14</v>
      </c>
      <c r="M88" s="126">
        <v>15360</v>
      </c>
      <c r="N88" s="126">
        <v>13209.6</v>
      </c>
      <c r="O88" s="126" t="s">
        <v>511</v>
      </c>
      <c r="P88" s="128">
        <v>184</v>
      </c>
      <c r="Q88" s="129">
        <v>45812</v>
      </c>
      <c r="R88" s="139">
        <v>0.98818287037037034</v>
      </c>
    </row>
    <row r="89" spans="1:18" ht="38.25" x14ac:dyDescent="0.25">
      <c r="A89" s="125" t="s">
        <v>547</v>
      </c>
      <c r="B89">
        <v>217</v>
      </c>
      <c r="C89" s="125">
        <v>130787</v>
      </c>
      <c r="D89" s="125" t="s">
        <v>105</v>
      </c>
      <c r="E89" s="125" t="s">
        <v>151</v>
      </c>
      <c r="F89" s="125" t="s">
        <v>155</v>
      </c>
      <c r="G89" s="125" t="s">
        <v>460</v>
      </c>
      <c r="H89" s="125" t="s">
        <v>21</v>
      </c>
      <c r="I89" s="125" t="s">
        <v>82</v>
      </c>
      <c r="J89" s="126">
        <v>28110</v>
      </c>
      <c r="K89" s="126">
        <v>14880</v>
      </c>
      <c r="L89" s="127">
        <v>8.5</v>
      </c>
      <c r="M89" s="126">
        <v>13230</v>
      </c>
      <c r="N89" s="126">
        <v>12105.4</v>
      </c>
      <c r="O89" s="126" t="s">
        <v>511</v>
      </c>
      <c r="P89" s="128">
        <v>185</v>
      </c>
      <c r="Q89" s="129">
        <v>45812</v>
      </c>
      <c r="R89" s="139">
        <v>0.99160879629629628</v>
      </c>
    </row>
    <row r="90" spans="1:18" ht="38.25" x14ac:dyDescent="0.25">
      <c r="A90" s="125" t="s">
        <v>548</v>
      </c>
      <c r="B90">
        <v>218</v>
      </c>
      <c r="C90" s="125">
        <v>39</v>
      </c>
      <c r="D90" s="125" t="s">
        <v>78</v>
      </c>
      <c r="E90" s="125" t="s">
        <v>127</v>
      </c>
      <c r="F90" s="125" t="s">
        <v>131</v>
      </c>
      <c r="G90" s="125" t="s">
        <v>422</v>
      </c>
      <c r="H90" s="125" t="s">
        <v>81</v>
      </c>
      <c r="I90" s="125" t="s">
        <v>82</v>
      </c>
      <c r="J90" s="126">
        <v>14600</v>
      </c>
      <c r="K90" s="126">
        <v>9720</v>
      </c>
      <c r="L90" s="127">
        <v>18</v>
      </c>
      <c r="M90" s="126">
        <v>4880</v>
      </c>
      <c r="N90" s="126">
        <v>4001.6</v>
      </c>
      <c r="O90" s="126" t="s">
        <v>511</v>
      </c>
      <c r="P90" s="128">
        <v>186</v>
      </c>
      <c r="Q90" s="129">
        <v>45812</v>
      </c>
      <c r="R90" s="139">
        <v>5.7662037037037039E-2</v>
      </c>
    </row>
    <row r="91" spans="1:18" ht="38.25" x14ac:dyDescent="0.25">
      <c r="A91" s="125" t="s">
        <v>549</v>
      </c>
      <c r="B91">
        <v>220</v>
      </c>
      <c r="C91" s="125">
        <v>40</v>
      </c>
      <c r="D91" s="125" t="s">
        <v>78</v>
      </c>
      <c r="E91" s="125" t="s">
        <v>127</v>
      </c>
      <c r="F91" s="125" t="s">
        <v>131</v>
      </c>
      <c r="G91" s="125" t="s">
        <v>422</v>
      </c>
      <c r="H91" s="125" t="s">
        <v>81</v>
      </c>
      <c r="I91" s="125" t="s">
        <v>82</v>
      </c>
      <c r="J91" s="126">
        <v>14600</v>
      </c>
      <c r="K91" s="126">
        <v>9710</v>
      </c>
      <c r="L91" s="127">
        <v>17</v>
      </c>
      <c r="M91" s="126">
        <v>4890</v>
      </c>
      <c r="N91" s="126">
        <v>4058.7</v>
      </c>
      <c r="O91" s="126" t="s">
        <v>550</v>
      </c>
      <c r="P91" s="128">
        <v>187</v>
      </c>
      <c r="Q91" s="129">
        <v>45813</v>
      </c>
      <c r="R91" s="139">
        <v>0.12344907407407407</v>
      </c>
    </row>
    <row r="92" spans="1:18" ht="38.25" x14ac:dyDescent="0.25">
      <c r="A92" s="125" t="s">
        <v>551</v>
      </c>
      <c r="B92">
        <v>221</v>
      </c>
      <c r="C92" s="125">
        <v>130788</v>
      </c>
      <c r="D92" s="125" t="s">
        <v>105</v>
      </c>
      <c r="E92" s="125" t="s">
        <v>160</v>
      </c>
      <c r="F92" s="125" t="s">
        <v>164</v>
      </c>
      <c r="G92" s="125" t="s">
        <v>460</v>
      </c>
      <c r="H92" s="125" t="s">
        <v>21</v>
      </c>
      <c r="I92" s="125" t="s">
        <v>82</v>
      </c>
      <c r="J92" s="126">
        <v>37550</v>
      </c>
      <c r="K92" s="126">
        <v>24020</v>
      </c>
      <c r="L92" s="127">
        <v>8.5</v>
      </c>
      <c r="M92" s="126">
        <v>13530</v>
      </c>
      <c r="N92" s="126">
        <v>12379.9</v>
      </c>
      <c r="O92" s="126" t="s">
        <v>511</v>
      </c>
      <c r="P92" s="128">
        <v>188</v>
      </c>
      <c r="Q92" s="129">
        <v>45813</v>
      </c>
      <c r="R92" s="139">
        <v>0.13155092592592593</v>
      </c>
    </row>
    <row r="93" spans="1:18" ht="38.25" x14ac:dyDescent="0.25">
      <c r="A93" s="125" t="s">
        <v>552</v>
      </c>
      <c r="B93">
        <v>222</v>
      </c>
      <c r="C93" s="125">
        <v>41</v>
      </c>
      <c r="D93" s="125" t="s">
        <v>78</v>
      </c>
      <c r="E93" s="125" t="s">
        <v>127</v>
      </c>
      <c r="F93" s="125" t="s">
        <v>131</v>
      </c>
      <c r="G93" s="125" t="s">
        <v>422</v>
      </c>
      <c r="H93" s="125" t="s">
        <v>81</v>
      </c>
      <c r="I93" s="125" t="s">
        <v>82</v>
      </c>
      <c r="J93" s="126">
        <v>14640</v>
      </c>
      <c r="K93" s="126">
        <v>9700</v>
      </c>
      <c r="L93" s="127">
        <v>16</v>
      </c>
      <c r="M93" s="126">
        <v>4940</v>
      </c>
      <c r="N93" s="126">
        <v>4149.6000000000004</v>
      </c>
      <c r="O93" s="126" t="s">
        <v>550</v>
      </c>
      <c r="P93" s="128">
        <v>189</v>
      </c>
      <c r="Q93" s="129">
        <v>45813</v>
      </c>
      <c r="R93" s="139">
        <v>0.15023148148148149</v>
      </c>
    </row>
    <row r="94" spans="1:18" ht="38.25" x14ac:dyDescent="0.25">
      <c r="A94" s="125" t="s">
        <v>553</v>
      </c>
      <c r="B94">
        <v>225</v>
      </c>
      <c r="C94" s="125">
        <v>42</v>
      </c>
      <c r="D94" s="125" t="s">
        <v>78</v>
      </c>
      <c r="E94" s="125" t="s">
        <v>127</v>
      </c>
      <c r="F94" s="125" t="s">
        <v>131</v>
      </c>
      <c r="G94" s="125" t="s">
        <v>422</v>
      </c>
      <c r="H94" s="125" t="s">
        <v>81</v>
      </c>
      <c r="I94" s="125" t="s">
        <v>82</v>
      </c>
      <c r="J94" s="126">
        <v>14670</v>
      </c>
      <c r="K94" s="126">
        <v>9690</v>
      </c>
      <c r="L94" s="127">
        <v>14</v>
      </c>
      <c r="M94" s="126">
        <v>4980</v>
      </c>
      <c r="N94" s="126">
        <v>4282.8</v>
      </c>
      <c r="O94" s="126" t="s">
        <v>511</v>
      </c>
      <c r="P94" s="128">
        <v>190</v>
      </c>
      <c r="Q94" s="129">
        <v>45813</v>
      </c>
      <c r="R94" s="139">
        <v>0.2184837962962963</v>
      </c>
    </row>
    <row r="95" spans="1:18" ht="38.25" x14ac:dyDescent="0.25">
      <c r="A95" s="125" t="s">
        <v>554</v>
      </c>
      <c r="B95">
        <v>223</v>
      </c>
      <c r="C95" s="125">
        <v>130790</v>
      </c>
      <c r="D95" s="125" t="s">
        <v>105</v>
      </c>
      <c r="E95" s="125" t="s">
        <v>234</v>
      </c>
      <c r="F95" s="125" t="s">
        <v>238</v>
      </c>
      <c r="G95" s="125" t="s">
        <v>460</v>
      </c>
      <c r="H95" s="125" t="s">
        <v>21</v>
      </c>
      <c r="I95" s="125" t="s">
        <v>82</v>
      </c>
      <c r="J95" s="126">
        <v>28860</v>
      </c>
      <c r="K95" s="126">
        <v>15560</v>
      </c>
      <c r="L95" s="127">
        <v>11</v>
      </c>
      <c r="M95" s="126">
        <v>13300</v>
      </c>
      <c r="N95" s="126">
        <v>11837</v>
      </c>
      <c r="O95" s="126" t="s">
        <v>511</v>
      </c>
      <c r="P95" s="128">
        <v>191</v>
      </c>
      <c r="Q95" s="129">
        <v>45813</v>
      </c>
      <c r="R95" s="139">
        <v>0.22827546296296297</v>
      </c>
    </row>
    <row r="96" spans="1:18" ht="51" x14ac:dyDescent="0.25">
      <c r="A96" s="125" t="s">
        <v>555</v>
      </c>
      <c r="B96">
        <v>204</v>
      </c>
      <c r="C96" s="125" t="s">
        <v>676</v>
      </c>
      <c r="D96" s="125" t="s">
        <v>78</v>
      </c>
      <c r="E96" s="125" t="s">
        <v>442</v>
      </c>
      <c r="F96" s="125" t="s">
        <v>443</v>
      </c>
      <c r="G96" s="125" t="s">
        <v>422</v>
      </c>
      <c r="H96" s="125" t="s">
        <v>81</v>
      </c>
      <c r="I96" s="125" t="s">
        <v>82</v>
      </c>
      <c r="J96" s="126">
        <v>33490</v>
      </c>
      <c r="K96" s="126">
        <v>18770</v>
      </c>
      <c r="L96" s="127">
        <v>16.899999999999999</v>
      </c>
      <c r="M96" s="126">
        <v>14720</v>
      </c>
      <c r="N96" s="126">
        <v>12230.4</v>
      </c>
      <c r="O96" s="126" t="s">
        <v>511</v>
      </c>
      <c r="P96" s="128">
        <v>192</v>
      </c>
      <c r="Q96" s="129">
        <v>45812</v>
      </c>
      <c r="R96" s="139">
        <v>0.39334490740740741</v>
      </c>
    </row>
    <row r="97" spans="1:18 16371:16371" ht="63.75" x14ac:dyDescent="0.25">
      <c r="A97" s="125" t="s">
        <v>556</v>
      </c>
      <c r="B97">
        <v>200</v>
      </c>
      <c r="C97" s="125" t="s">
        <v>677</v>
      </c>
      <c r="D97" s="125" t="s">
        <v>557</v>
      </c>
      <c r="E97" s="125" t="s">
        <v>295</v>
      </c>
      <c r="F97" s="125" t="s">
        <v>299</v>
      </c>
      <c r="G97" s="125" t="s">
        <v>422</v>
      </c>
      <c r="H97" s="125" t="s">
        <v>81</v>
      </c>
      <c r="I97" s="125" t="s">
        <v>82</v>
      </c>
      <c r="J97" s="126">
        <v>32100</v>
      </c>
      <c r="K97" s="126">
        <v>17620</v>
      </c>
      <c r="L97" s="127">
        <v>23.7</v>
      </c>
      <c r="M97" s="126">
        <v>14480</v>
      </c>
      <c r="N97" s="126">
        <v>11044.8</v>
      </c>
      <c r="O97" s="126" t="s">
        <v>511</v>
      </c>
      <c r="P97" s="128">
        <v>193</v>
      </c>
      <c r="Q97" s="129">
        <v>45812</v>
      </c>
      <c r="R97" s="139">
        <v>0.30578703703703702</v>
      </c>
    </row>
    <row r="98" spans="1:18 16371:16371" ht="51" x14ac:dyDescent="0.25">
      <c r="A98" s="125" t="s">
        <v>558</v>
      </c>
      <c r="B98">
        <v>193</v>
      </c>
      <c r="C98" s="125" t="s">
        <v>559</v>
      </c>
      <c r="D98" s="125" t="s">
        <v>78</v>
      </c>
      <c r="E98" s="125" t="s">
        <v>439</v>
      </c>
      <c r="F98" s="125" t="s">
        <v>440</v>
      </c>
      <c r="G98" s="125" t="s">
        <v>422</v>
      </c>
      <c r="H98" s="125" t="s">
        <v>81</v>
      </c>
      <c r="I98" s="125" t="s">
        <v>82</v>
      </c>
      <c r="J98" s="126">
        <v>30820</v>
      </c>
      <c r="K98" s="126">
        <v>16480</v>
      </c>
      <c r="L98" s="127">
        <v>31.8</v>
      </c>
      <c r="M98" s="126">
        <v>14340</v>
      </c>
      <c r="N98" s="126">
        <v>9785</v>
      </c>
      <c r="O98" s="126" t="s">
        <v>511</v>
      </c>
      <c r="P98" s="128">
        <v>194</v>
      </c>
      <c r="Q98" s="129">
        <v>45812</v>
      </c>
      <c r="R98" s="139">
        <v>1.3136574074074075E-2</v>
      </c>
    </row>
    <row r="99" spans="1:18 16371:16371" ht="51" x14ac:dyDescent="0.25">
      <c r="A99" s="125" t="s">
        <v>560</v>
      </c>
      <c r="B99">
        <v>214</v>
      </c>
      <c r="C99" s="125" t="s">
        <v>863</v>
      </c>
      <c r="D99" s="125" t="s">
        <v>557</v>
      </c>
      <c r="E99" s="125" t="s">
        <v>283</v>
      </c>
      <c r="F99" s="125" t="s">
        <v>287</v>
      </c>
      <c r="G99" s="125" t="s">
        <v>422</v>
      </c>
      <c r="H99" s="125" t="s">
        <v>81</v>
      </c>
      <c r="I99" s="125" t="s">
        <v>82</v>
      </c>
      <c r="J99" s="126">
        <v>32190</v>
      </c>
      <c r="K99" s="126">
        <v>17740</v>
      </c>
      <c r="L99" s="127">
        <v>12</v>
      </c>
      <c r="M99" s="126">
        <v>14450</v>
      </c>
      <c r="N99" s="126">
        <v>12716</v>
      </c>
      <c r="O99" s="126" t="s">
        <v>511</v>
      </c>
      <c r="P99" s="128">
        <v>195</v>
      </c>
      <c r="Q99" s="129">
        <v>45812</v>
      </c>
      <c r="R99" s="139">
        <v>0.81168981481481484</v>
      </c>
    </row>
    <row r="100" spans="1:18 16371:16371" ht="38.25" x14ac:dyDescent="0.25">
      <c r="A100" s="125" t="s">
        <v>561</v>
      </c>
      <c r="B100">
        <v>224</v>
      </c>
      <c r="C100" s="125">
        <v>130791</v>
      </c>
      <c r="D100" s="125" t="s">
        <v>105</v>
      </c>
      <c r="E100" s="125" t="s">
        <v>272</v>
      </c>
      <c r="F100" s="125" t="s">
        <v>276</v>
      </c>
      <c r="G100" s="125" t="s">
        <v>460</v>
      </c>
      <c r="H100" s="125" t="s">
        <v>21</v>
      </c>
      <c r="I100" s="125" t="s">
        <v>82</v>
      </c>
      <c r="J100" s="126">
        <v>28060</v>
      </c>
      <c r="K100" s="126">
        <v>14730</v>
      </c>
      <c r="L100" s="127">
        <v>11.5</v>
      </c>
      <c r="M100" s="126">
        <v>13330</v>
      </c>
      <c r="N100" s="126">
        <v>11797</v>
      </c>
      <c r="O100" s="126" t="s">
        <v>511</v>
      </c>
      <c r="P100" s="128">
        <v>196</v>
      </c>
      <c r="Q100" s="129">
        <v>45813</v>
      </c>
      <c r="R100" s="139">
        <v>0.45337962962962963</v>
      </c>
    </row>
    <row r="101" spans="1:18 16371:16371" ht="38.25" x14ac:dyDescent="0.25">
      <c r="A101" s="125" t="s">
        <v>562</v>
      </c>
      <c r="C101" s="125" t="s">
        <v>563</v>
      </c>
      <c r="D101" s="125" t="s">
        <v>105</v>
      </c>
      <c r="E101" s="125" t="s">
        <v>564</v>
      </c>
      <c r="F101" s="125" t="s">
        <v>565</v>
      </c>
      <c r="G101" s="125" t="s">
        <v>460</v>
      </c>
      <c r="H101" s="125" t="s">
        <v>21</v>
      </c>
      <c r="I101" s="125" t="s">
        <v>82</v>
      </c>
      <c r="J101" s="126">
        <v>32800</v>
      </c>
      <c r="K101" s="126">
        <v>14500</v>
      </c>
      <c r="L101" s="127">
        <v>6.5</v>
      </c>
      <c r="M101" s="126">
        <v>18300</v>
      </c>
      <c r="N101" s="126">
        <v>17110</v>
      </c>
      <c r="O101" s="126" t="s">
        <v>511</v>
      </c>
      <c r="P101" s="128">
        <v>197</v>
      </c>
      <c r="Q101" s="129">
        <v>45811</v>
      </c>
      <c r="R101" s="139">
        <v>0.99449074074074073</v>
      </c>
      <c r="XEQ101" s="125"/>
    </row>
    <row r="102" spans="1:18 16371:16371" ht="38.25" x14ac:dyDescent="0.25">
      <c r="A102" s="125" t="s">
        <v>566</v>
      </c>
      <c r="B102">
        <v>226</v>
      </c>
      <c r="C102" s="125">
        <v>130792</v>
      </c>
      <c r="D102" s="125" t="s">
        <v>105</v>
      </c>
      <c r="E102" s="125" t="s">
        <v>1253</v>
      </c>
      <c r="F102" s="125" t="s">
        <v>270</v>
      </c>
      <c r="G102" s="125" t="s">
        <v>365</v>
      </c>
      <c r="H102" s="125" t="s">
        <v>21</v>
      </c>
      <c r="I102" s="125" t="s">
        <v>82</v>
      </c>
      <c r="J102" s="126">
        <v>29030</v>
      </c>
      <c r="K102" s="126">
        <v>22250</v>
      </c>
      <c r="L102" s="127"/>
      <c r="M102" s="126">
        <v>14170</v>
      </c>
      <c r="N102" s="126">
        <v>12728.9</v>
      </c>
      <c r="O102" s="126" t="s">
        <v>511</v>
      </c>
      <c r="P102" s="128">
        <v>198</v>
      </c>
      <c r="Q102" s="129">
        <v>45813</v>
      </c>
      <c r="R102" s="139">
        <v>0.46998842592592593</v>
      </c>
    </row>
    <row r="103" spans="1:18 16371:16371" ht="38.25" x14ac:dyDescent="0.25">
      <c r="A103" s="125" t="s">
        <v>510</v>
      </c>
      <c r="B103">
        <v>228</v>
      </c>
      <c r="C103" s="125">
        <v>130793</v>
      </c>
      <c r="D103" s="125" t="s">
        <v>105</v>
      </c>
      <c r="E103" s="125" t="s">
        <v>121</v>
      </c>
      <c r="F103" s="125" t="s">
        <v>125</v>
      </c>
      <c r="G103" s="125" t="s">
        <v>365</v>
      </c>
      <c r="H103" s="125" t="s">
        <v>21</v>
      </c>
      <c r="I103" s="125" t="s">
        <v>82</v>
      </c>
      <c r="J103" s="126">
        <v>28060</v>
      </c>
      <c r="K103" s="126">
        <v>14580</v>
      </c>
      <c r="L103" s="127">
        <v>20.5</v>
      </c>
      <c r="M103" s="126">
        <v>13480</v>
      </c>
      <c r="N103" s="126">
        <v>10716.6</v>
      </c>
      <c r="O103" s="126" t="s">
        <v>511</v>
      </c>
      <c r="P103" s="128">
        <v>199</v>
      </c>
      <c r="Q103" s="129">
        <v>45813</v>
      </c>
      <c r="R103" s="139">
        <v>0.52563657407407405</v>
      </c>
    </row>
    <row r="104" spans="1:18 16371:16371" ht="38.25" x14ac:dyDescent="0.25">
      <c r="A104" s="125" t="s">
        <v>512</v>
      </c>
      <c r="B104">
        <v>230</v>
      </c>
      <c r="C104" s="125">
        <v>130794</v>
      </c>
      <c r="D104" s="125" t="s">
        <v>105</v>
      </c>
      <c r="E104" s="125" t="s">
        <v>133</v>
      </c>
      <c r="F104" s="125" t="s">
        <v>137</v>
      </c>
      <c r="G104" s="125" t="s">
        <v>365</v>
      </c>
      <c r="H104" s="125" t="s">
        <v>21</v>
      </c>
      <c r="I104" s="125" t="s">
        <v>82</v>
      </c>
      <c r="J104" s="126">
        <v>28080</v>
      </c>
      <c r="K104" s="126">
        <v>14850</v>
      </c>
      <c r="L104" s="127">
        <v>22.5</v>
      </c>
      <c r="M104" s="126">
        <v>13230</v>
      </c>
      <c r="N104" s="126">
        <v>10253.200000000001</v>
      </c>
      <c r="O104" s="126" t="s">
        <v>511</v>
      </c>
      <c r="P104" s="128">
        <v>200</v>
      </c>
      <c r="Q104" s="129">
        <v>45813</v>
      </c>
      <c r="R104" s="139">
        <v>0.53483796296296293</v>
      </c>
    </row>
    <row r="105" spans="1:18 16371:16371" ht="51" x14ac:dyDescent="0.25">
      <c r="A105" s="125" t="s">
        <v>513</v>
      </c>
      <c r="C105" s="125" t="s">
        <v>673</v>
      </c>
      <c r="D105" s="125" t="s">
        <v>105</v>
      </c>
      <c r="E105" s="125" t="s">
        <v>514</v>
      </c>
      <c r="F105" s="125" t="s">
        <v>515</v>
      </c>
      <c r="G105" s="125" t="s">
        <v>460</v>
      </c>
      <c r="H105" s="125" t="s">
        <v>21</v>
      </c>
      <c r="I105" s="125" t="s">
        <v>82</v>
      </c>
      <c r="J105" s="126">
        <v>33040</v>
      </c>
      <c r="K105" s="126">
        <v>17140</v>
      </c>
      <c r="L105" s="127">
        <v>14.8</v>
      </c>
      <c r="M105" s="126">
        <v>15900</v>
      </c>
      <c r="N105" s="126">
        <v>13550.6</v>
      </c>
      <c r="O105" s="126" t="s">
        <v>511</v>
      </c>
      <c r="P105" s="128">
        <v>201</v>
      </c>
      <c r="Q105" s="129">
        <v>45812</v>
      </c>
      <c r="R105" s="139">
        <v>0.99162037037037032</v>
      </c>
    </row>
    <row r="106" spans="1:18 16371:16371" ht="51" x14ac:dyDescent="0.25">
      <c r="A106" s="125" t="s">
        <v>516</v>
      </c>
      <c r="C106" s="125" t="s">
        <v>728</v>
      </c>
      <c r="D106" s="125" t="s">
        <v>105</v>
      </c>
      <c r="E106" s="125" t="s">
        <v>517</v>
      </c>
      <c r="F106" s="125" t="s">
        <v>518</v>
      </c>
      <c r="G106" s="125" t="s">
        <v>460</v>
      </c>
      <c r="H106" s="125" t="s">
        <v>21</v>
      </c>
      <c r="I106" s="125" t="s">
        <v>82</v>
      </c>
      <c r="J106" s="126">
        <v>34180</v>
      </c>
      <c r="K106" s="126">
        <v>18360</v>
      </c>
      <c r="L106" s="127">
        <v>13.5</v>
      </c>
      <c r="M106" s="126">
        <v>15820</v>
      </c>
      <c r="N106" s="126">
        <v>13692.1</v>
      </c>
      <c r="O106" s="126" t="s">
        <v>511</v>
      </c>
      <c r="P106" s="128">
        <v>202</v>
      </c>
      <c r="Q106" s="129">
        <v>45812</v>
      </c>
      <c r="R106" s="139">
        <v>0.99163194444444447</v>
      </c>
    </row>
    <row r="107" spans="1:18 16371:16371" ht="51" x14ac:dyDescent="0.25">
      <c r="A107" s="125" t="s">
        <v>519</v>
      </c>
      <c r="C107" s="125" t="s">
        <v>729</v>
      </c>
      <c r="D107" s="125" t="s">
        <v>105</v>
      </c>
      <c r="E107" s="125" t="s">
        <v>514</v>
      </c>
      <c r="F107" s="125" t="s">
        <v>515</v>
      </c>
      <c r="G107" s="125" t="s">
        <v>460</v>
      </c>
      <c r="H107" s="125" t="s">
        <v>21</v>
      </c>
      <c r="I107" s="125" t="s">
        <v>82</v>
      </c>
      <c r="J107" s="126">
        <v>32580</v>
      </c>
      <c r="K107" s="126">
        <v>17040</v>
      </c>
      <c r="L107" s="127">
        <v>12.7</v>
      </c>
      <c r="M107" s="126">
        <v>15540</v>
      </c>
      <c r="N107" s="126">
        <v>13560.5</v>
      </c>
      <c r="O107" s="126" t="s">
        <v>511</v>
      </c>
      <c r="P107" s="128">
        <v>203</v>
      </c>
      <c r="Q107" s="129">
        <v>45812</v>
      </c>
      <c r="R107" s="139">
        <v>0.99164351851851851</v>
      </c>
    </row>
    <row r="108" spans="1:18 16371:16371" ht="51" x14ac:dyDescent="0.25">
      <c r="A108" s="125" t="s">
        <v>520</v>
      </c>
      <c r="C108" s="125" t="s">
        <v>674</v>
      </c>
      <c r="D108" s="125" t="s">
        <v>105</v>
      </c>
      <c r="E108" s="125" t="s">
        <v>521</v>
      </c>
      <c r="F108" s="125" t="s">
        <v>675</v>
      </c>
      <c r="G108" s="125" t="s">
        <v>460</v>
      </c>
      <c r="H108" s="125" t="s">
        <v>21</v>
      </c>
      <c r="I108" s="125" t="s">
        <v>82</v>
      </c>
      <c r="J108" s="126">
        <v>32040</v>
      </c>
      <c r="K108" s="126">
        <v>16120</v>
      </c>
      <c r="L108" s="127">
        <v>14.4</v>
      </c>
      <c r="M108" s="126">
        <v>15920</v>
      </c>
      <c r="N108" s="126">
        <v>13632.4</v>
      </c>
      <c r="O108" s="126" t="s">
        <v>511</v>
      </c>
      <c r="P108" s="128">
        <v>204</v>
      </c>
      <c r="Q108" s="129">
        <v>45812</v>
      </c>
      <c r="R108" s="139">
        <v>0.99165509259259255</v>
      </c>
    </row>
    <row r="109" spans="1:18 16371:16371" ht="38.25" x14ac:dyDescent="0.25">
      <c r="A109" s="125" t="s">
        <v>522</v>
      </c>
      <c r="B109">
        <v>233</v>
      </c>
      <c r="C109" s="125">
        <v>45</v>
      </c>
      <c r="D109" s="125" t="s">
        <v>78</v>
      </c>
      <c r="E109" s="125" t="s">
        <v>79</v>
      </c>
      <c r="F109" s="125" t="s">
        <v>80</v>
      </c>
      <c r="G109" s="125" t="s">
        <v>523</v>
      </c>
      <c r="H109" s="125" t="s">
        <v>524</v>
      </c>
      <c r="I109" s="125" t="s">
        <v>82</v>
      </c>
      <c r="J109" s="126">
        <v>14400</v>
      </c>
      <c r="K109" s="126">
        <v>9480</v>
      </c>
      <c r="L109" s="127">
        <v>17.5</v>
      </c>
      <c r="M109" s="126">
        <v>4920</v>
      </c>
      <c r="N109" s="126">
        <v>4059</v>
      </c>
      <c r="O109" s="126" t="s">
        <v>511</v>
      </c>
      <c r="P109" s="128">
        <v>205</v>
      </c>
      <c r="Q109" s="129">
        <v>45813</v>
      </c>
      <c r="R109" s="139">
        <v>0.5638657407407407</v>
      </c>
    </row>
    <row r="110" spans="1:18 16371:16371" ht="38.25" x14ac:dyDescent="0.25">
      <c r="A110" s="125" t="s">
        <v>525</v>
      </c>
      <c r="B110">
        <v>234</v>
      </c>
      <c r="C110" s="125">
        <v>130796</v>
      </c>
      <c r="D110" s="125" t="s">
        <v>105</v>
      </c>
      <c r="E110" s="125" t="s">
        <v>239</v>
      </c>
      <c r="F110" s="125" t="s">
        <v>243</v>
      </c>
      <c r="G110" s="125" t="s">
        <v>365</v>
      </c>
      <c r="H110" s="125" t="s">
        <v>21</v>
      </c>
      <c r="I110" s="125" t="s">
        <v>82</v>
      </c>
      <c r="J110" s="126">
        <v>28060</v>
      </c>
      <c r="K110" s="126">
        <v>14540</v>
      </c>
      <c r="L110" s="127">
        <v>17.5</v>
      </c>
      <c r="M110" s="126">
        <v>13520</v>
      </c>
      <c r="N110" s="126">
        <v>11154</v>
      </c>
      <c r="O110" s="126" t="s">
        <v>511</v>
      </c>
      <c r="P110" s="128">
        <v>206</v>
      </c>
      <c r="Q110" s="129">
        <v>45813</v>
      </c>
      <c r="R110" s="139">
        <v>0.60091435185185182</v>
      </c>
    </row>
    <row r="111" spans="1:18 16371:16371" ht="38.25" x14ac:dyDescent="0.25">
      <c r="A111" s="125" t="s">
        <v>526</v>
      </c>
      <c r="B111">
        <v>213</v>
      </c>
      <c r="C111" s="125">
        <v>37</v>
      </c>
      <c r="D111" s="125" t="s">
        <v>78</v>
      </c>
      <c r="E111" s="125" t="s">
        <v>127</v>
      </c>
      <c r="F111" s="125" t="s">
        <v>131</v>
      </c>
      <c r="G111" s="125" t="s">
        <v>523</v>
      </c>
      <c r="H111" s="125" t="s">
        <v>524</v>
      </c>
      <c r="I111" s="125" t="s">
        <v>82</v>
      </c>
      <c r="J111" s="126"/>
      <c r="K111" s="126"/>
      <c r="L111" s="127"/>
      <c r="M111" s="126"/>
      <c r="N111" s="126"/>
      <c r="O111" s="126"/>
      <c r="P111" s="128">
        <v>207</v>
      </c>
      <c r="Q111" s="129">
        <v>45812</v>
      </c>
      <c r="R111" s="139">
        <v>0.80509259259259258</v>
      </c>
    </row>
    <row r="112" spans="1:18 16371:16371" ht="38.25" x14ac:dyDescent="0.25">
      <c r="A112" s="125" t="s">
        <v>527</v>
      </c>
      <c r="B112">
        <v>235</v>
      </c>
      <c r="C112" s="125">
        <v>130797</v>
      </c>
      <c r="D112" s="125" t="s">
        <v>105</v>
      </c>
      <c r="E112" s="125" t="s">
        <v>249</v>
      </c>
      <c r="F112" s="125" t="s">
        <v>253</v>
      </c>
      <c r="G112" s="125" t="s">
        <v>365</v>
      </c>
      <c r="H112" s="125" t="s">
        <v>21</v>
      </c>
      <c r="I112" s="125" t="s">
        <v>82</v>
      </c>
      <c r="J112" s="126">
        <v>28680</v>
      </c>
      <c r="K112" s="126">
        <v>15170</v>
      </c>
      <c r="L112" s="127">
        <v>19.5</v>
      </c>
      <c r="M112" s="126">
        <v>13510</v>
      </c>
      <c r="N112" s="126">
        <v>10875.5</v>
      </c>
      <c r="O112" s="126" t="s">
        <v>511</v>
      </c>
      <c r="P112" s="128">
        <v>208</v>
      </c>
      <c r="Q112" s="129">
        <v>45813</v>
      </c>
      <c r="R112" s="139">
        <v>0.66917824074074073</v>
      </c>
    </row>
    <row r="113" spans="1:18" ht="38.25" x14ac:dyDescent="0.25">
      <c r="A113" s="125" t="s">
        <v>656</v>
      </c>
      <c r="B113">
        <v>237</v>
      </c>
      <c r="C113" s="125">
        <v>130798</v>
      </c>
      <c r="D113" s="125" t="s">
        <v>105</v>
      </c>
      <c r="E113" s="125" t="s">
        <v>1151</v>
      </c>
      <c r="F113" s="125" t="s">
        <v>145</v>
      </c>
      <c r="G113" s="125" t="s">
        <v>365</v>
      </c>
      <c r="H113" s="125" t="s">
        <v>21</v>
      </c>
      <c r="I113" s="125" t="s">
        <v>82</v>
      </c>
      <c r="J113" s="126">
        <v>29330</v>
      </c>
      <c r="K113" s="126">
        <v>15640</v>
      </c>
      <c r="L113" s="127">
        <v>16.5</v>
      </c>
      <c r="M113" s="126">
        <v>13690</v>
      </c>
      <c r="N113" s="126">
        <v>11431.1</v>
      </c>
      <c r="O113" s="126" t="s">
        <v>511</v>
      </c>
      <c r="P113" s="128">
        <v>209</v>
      </c>
      <c r="Q113" s="129">
        <v>45813</v>
      </c>
      <c r="R113" s="139">
        <v>0.6892476851851852</v>
      </c>
    </row>
    <row r="114" spans="1:18" ht="38.25" x14ac:dyDescent="0.25">
      <c r="A114" s="125" t="s">
        <v>657</v>
      </c>
      <c r="B114">
        <v>238</v>
      </c>
      <c r="C114" s="125">
        <v>130799</v>
      </c>
      <c r="D114" s="125" t="s">
        <v>105</v>
      </c>
      <c r="E114" s="125" t="s">
        <v>1461</v>
      </c>
      <c r="F114" s="125" t="s">
        <v>149</v>
      </c>
      <c r="G114" s="125" t="s">
        <v>365</v>
      </c>
      <c r="H114" s="125" t="s">
        <v>21</v>
      </c>
      <c r="I114" s="125" t="s">
        <v>82</v>
      </c>
      <c r="J114" s="126">
        <v>28640</v>
      </c>
      <c r="K114" s="126">
        <v>14910</v>
      </c>
      <c r="L114" s="127">
        <v>20.5</v>
      </c>
      <c r="M114" s="126">
        <v>13730</v>
      </c>
      <c r="N114" s="126">
        <v>10915.3</v>
      </c>
      <c r="O114" s="126" t="s">
        <v>511</v>
      </c>
      <c r="P114" s="128">
        <v>210</v>
      </c>
      <c r="Q114" s="129">
        <v>45813</v>
      </c>
      <c r="R114" s="139">
        <v>0.752349537037037</v>
      </c>
    </row>
    <row r="115" spans="1:18" ht="38.25" x14ac:dyDescent="0.25">
      <c r="A115" s="125" t="s">
        <v>658</v>
      </c>
      <c r="B115">
        <v>239</v>
      </c>
      <c r="C115" s="125">
        <v>130800</v>
      </c>
      <c r="D115" s="125" t="s">
        <v>105</v>
      </c>
      <c r="E115" s="125" t="s">
        <v>311</v>
      </c>
      <c r="F115" s="125" t="s">
        <v>315</v>
      </c>
      <c r="G115" s="125" t="s">
        <v>365</v>
      </c>
      <c r="H115" s="125" t="s">
        <v>21</v>
      </c>
      <c r="I115" s="125" t="s">
        <v>82</v>
      </c>
      <c r="J115" s="126">
        <v>28760</v>
      </c>
      <c r="K115" s="126">
        <v>14940</v>
      </c>
      <c r="L115" s="127">
        <v>18.5</v>
      </c>
      <c r="M115" s="126">
        <v>13820</v>
      </c>
      <c r="N115" s="126">
        <v>11263.3</v>
      </c>
      <c r="O115" s="126" t="s">
        <v>511</v>
      </c>
      <c r="P115" s="128">
        <v>211</v>
      </c>
      <c r="Q115" s="129">
        <v>45813</v>
      </c>
      <c r="R115" s="139">
        <v>0.79175925925925927</v>
      </c>
    </row>
    <row r="116" spans="1:18" ht="38.25" x14ac:dyDescent="0.25">
      <c r="A116" s="125" t="s">
        <v>659</v>
      </c>
      <c r="B116">
        <v>240</v>
      </c>
      <c r="C116" s="125">
        <v>130751</v>
      </c>
      <c r="D116" s="125" t="s">
        <v>105</v>
      </c>
      <c r="E116" s="125" t="s">
        <v>347</v>
      </c>
      <c r="F116" s="125" t="s">
        <v>351</v>
      </c>
      <c r="G116" s="125" t="s">
        <v>365</v>
      </c>
      <c r="H116" s="125" t="s">
        <v>21</v>
      </c>
      <c r="I116" s="125" t="s">
        <v>82</v>
      </c>
      <c r="J116" s="126">
        <v>32460</v>
      </c>
      <c r="K116" s="126">
        <v>18700</v>
      </c>
      <c r="L116" s="127">
        <v>16.5</v>
      </c>
      <c r="M116" s="126">
        <v>13760</v>
      </c>
      <c r="N116" s="126">
        <v>11489.6</v>
      </c>
      <c r="O116" s="126" t="s">
        <v>511</v>
      </c>
      <c r="P116" s="128">
        <v>212</v>
      </c>
      <c r="Q116" s="129">
        <v>45813</v>
      </c>
      <c r="R116" s="139">
        <v>0.92891203703703706</v>
      </c>
    </row>
    <row r="117" spans="1:18" ht="38.25" x14ac:dyDescent="0.25">
      <c r="A117" s="125" t="s">
        <v>660</v>
      </c>
      <c r="B117">
        <v>242</v>
      </c>
      <c r="C117" s="125">
        <v>130752</v>
      </c>
      <c r="D117" s="125" t="s">
        <v>105</v>
      </c>
      <c r="E117" s="125" t="s">
        <v>1312</v>
      </c>
      <c r="F117" s="125" t="s">
        <v>320</v>
      </c>
      <c r="G117" s="125" t="s">
        <v>365</v>
      </c>
      <c r="H117" s="125" t="s">
        <v>21</v>
      </c>
      <c r="I117" s="125" t="s">
        <v>82</v>
      </c>
      <c r="J117" s="126">
        <v>28200</v>
      </c>
      <c r="K117" s="126">
        <v>14390</v>
      </c>
      <c r="L117" s="127">
        <v>17.5</v>
      </c>
      <c r="M117" s="126">
        <v>13810</v>
      </c>
      <c r="N117" s="126">
        <v>11393.2</v>
      </c>
      <c r="O117" s="126" t="s">
        <v>511</v>
      </c>
      <c r="P117" s="128">
        <v>213</v>
      </c>
      <c r="Q117" s="129">
        <v>45813</v>
      </c>
      <c r="R117" s="139">
        <v>0.93564814814814812</v>
      </c>
    </row>
    <row r="118" spans="1:18" ht="38.25" x14ac:dyDescent="0.25">
      <c r="A118" s="125" t="s">
        <v>661</v>
      </c>
      <c r="B118">
        <v>241</v>
      </c>
      <c r="C118" s="125">
        <v>47</v>
      </c>
      <c r="D118" s="125" t="s">
        <v>78</v>
      </c>
      <c r="E118" s="125" t="s">
        <v>79</v>
      </c>
      <c r="F118" s="125" t="s">
        <v>80</v>
      </c>
      <c r="G118" s="125" t="s">
        <v>523</v>
      </c>
      <c r="H118" s="125" t="s">
        <v>524</v>
      </c>
      <c r="I118" s="125" t="s">
        <v>82</v>
      </c>
      <c r="J118" s="126">
        <v>16370</v>
      </c>
      <c r="K118" s="126">
        <v>9470</v>
      </c>
      <c r="L118" s="127">
        <v>22.5</v>
      </c>
      <c r="M118" s="126">
        <v>6900</v>
      </c>
      <c r="N118" s="126">
        <v>5347.5</v>
      </c>
      <c r="O118" s="126" t="s">
        <v>511</v>
      </c>
      <c r="P118" s="128">
        <v>214</v>
      </c>
      <c r="Q118" s="129">
        <v>45813</v>
      </c>
      <c r="R118" s="139">
        <v>0.72993055555555553</v>
      </c>
    </row>
    <row r="119" spans="1:18" ht="38.25" x14ac:dyDescent="0.25">
      <c r="A119" s="125" t="s">
        <v>662</v>
      </c>
      <c r="B119">
        <v>244</v>
      </c>
      <c r="C119" s="125">
        <v>130753</v>
      </c>
      <c r="D119" s="125" t="s">
        <v>105</v>
      </c>
      <c r="E119" s="125" t="s">
        <v>335</v>
      </c>
      <c r="F119" s="125" t="s">
        <v>339</v>
      </c>
      <c r="G119" s="125" t="s">
        <v>365</v>
      </c>
      <c r="H119" s="125" t="s">
        <v>21</v>
      </c>
      <c r="I119" s="125" t="s">
        <v>82</v>
      </c>
      <c r="J119" s="126">
        <v>28130</v>
      </c>
      <c r="K119" s="126">
        <v>14680</v>
      </c>
      <c r="L119" s="127">
        <v>15.5</v>
      </c>
      <c r="M119" s="126">
        <v>13450</v>
      </c>
      <c r="N119" s="126">
        <v>11365.2</v>
      </c>
      <c r="O119" s="126" t="s">
        <v>511</v>
      </c>
      <c r="P119" s="128">
        <v>215</v>
      </c>
      <c r="Q119" s="129">
        <v>45813</v>
      </c>
      <c r="R119" s="139">
        <v>0.81704861111111116</v>
      </c>
    </row>
    <row r="120" spans="1:18" ht="38.25" x14ac:dyDescent="0.25">
      <c r="A120" s="125" t="s">
        <v>663</v>
      </c>
      <c r="B120">
        <v>245</v>
      </c>
      <c r="C120" s="125">
        <v>130756</v>
      </c>
      <c r="D120" s="125" t="s">
        <v>105</v>
      </c>
      <c r="E120" s="125" t="s">
        <v>1152</v>
      </c>
      <c r="F120" s="125" t="s">
        <v>119</v>
      </c>
      <c r="G120" s="125" t="s">
        <v>365</v>
      </c>
      <c r="H120" s="125" t="s">
        <v>21</v>
      </c>
      <c r="I120" s="125" t="s">
        <v>82</v>
      </c>
      <c r="J120" s="126">
        <v>34520</v>
      </c>
      <c r="K120" s="126">
        <v>20910</v>
      </c>
      <c r="L120" s="127">
        <v>18.5</v>
      </c>
      <c r="M120" s="126">
        <v>13610</v>
      </c>
      <c r="N120" s="126">
        <v>11092.1</v>
      </c>
      <c r="O120" s="126" t="s">
        <v>511</v>
      </c>
      <c r="P120" s="128">
        <v>216</v>
      </c>
      <c r="Q120" s="129">
        <v>45813</v>
      </c>
      <c r="R120" s="139">
        <v>0.87686342592592592</v>
      </c>
    </row>
    <row r="121" spans="1:18" ht="38.25" x14ac:dyDescent="0.25">
      <c r="A121" s="125" t="s">
        <v>664</v>
      </c>
      <c r="B121">
        <v>246</v>
      </c>
      <c r="C121" s="125">
        <v>130755</v>
      </c>
      <c r="D121" s="125" t="s">
        <v>105</v>
      </c>
      <c r="E121" s="125" t="s">
        <v>151</v>
      </c>
      <c r="F121" s="125" t="s">
        <v>155</v>
      </c>
      <c r="G121" s="125" t="s">
        <v>365</v>
      </c>
      <c r="H121" s="125" t="s">
        <v>21</v>
      </c>
      <c r="I121" s="125" t="s">
        <v>82</v>
      </c>
      <c r="J121" s="126">
        <v>28420</v>
      </c>
      <c r="K121" s="126">
        <v>14860</v>
      </c>
      <c r="L121" s="127">
        <v>15.5</v>
      </c>
      <c r="M121" s="126">
        <v>13560</v>
      </c>
      <c r="N121" s="126">
        <v>11458.2</v>
      </c>
      <c r="O121" s="126" t="s">
        <v>511</v>
      </c>
      <c r="P121" s="128">
        <v>217</v>
      </c>
      <c r="Q121" s="129">
        <v>45813</v>
      </c>
      <c r="R121" s="139">
        <v>0.90815972222222219</v>
      </c>
    </row>
    <row r="122" spans="1:18" ht="38.25" x14ac:dyDescent="0.25">
      <c r="A122" s="125" t="s">
        <v>665</v>
      </c>
      <c r="B122">
        <v>248</v>
      </c>
      <c r="C122" s="125">
        <v>130754</v>
      </c>
      <c r="D122" s="125" t="s">
        <v>105</v>
      </c>
      <c r="E122" s="125" t="s">
        <v>160</v>
      </c>
      <c r="F122" s="125" t="s">
        <v>164</v>
      </c>
      <c r="G122" s="125" t="s">
        <v>365</v>
      </c>
      <c r="H122" s="125" t="s">
        <v>21</v>
      </c>
      <c r="I122" s="125" t="s">
        <v>82</v>
      </c>
      <c r="J122" s="126">
        <v>37580</v>
      </c>
      <c r="K122" s="126">
        <v>24010</v>
      </c>
      <c r="L122" s="127">
        <v>13.5</v>
      </c>
      <c r="M122" s="126">
        <v>13570</v>
      </c>
      <c r="N122" s="126">
        <v>11738</v>
      </c>
      <c r="O122" s="126" t="s">
        <v>511</v>
      </c>
      <c r="P122" s="128">
        <v>218</v>
      </c>
      <c r="Q122" s="129">
        <v>45813</v>
      </c>
      <c r="R122" s="139">
        <v>0.94363425925925926</v>
      </c>
    </row>
    <row r="123" spans="1:18" ht="38.25" x14ac:dyDescent="0.25">
      <c r="A123" s="125" t="s">
        <v>666</v>
      </c>
      <c r="B123">
        <v>250</v>
      </c>
      <c r="C123" s="125">
        <v>130757</v>
      </c>
      <c r="D123" s="125" t="s">
        <v>105</v>
      </c>
      <c r="E123" s="125" t="s">
        <v>212</v>
      </c>
      <c r="F123" s="125" t="s">
        <v>216</v>
      </c>
      <c r="G123" s="125" t="s">
        <v>672</v>
      </c>
      <c r="H123" s="125" t="s">
        <v>21</v>
      </c>
      <c r="I123" s="125" t="s">
        <v>82</v>
      </c>
      <c r="J123" s="126">
        <v>27270</v>
      </c>
      <c r="K123" s="126">
        <v>13760</v>
      </c>
      <c r="L123" s="127">
        <v>13.5</v>
      </c>
      <c r="M123" s="126">
        <v>13510</v>
      </c>
      <c r="N123" s="126">
        <v>11686.1</v>
      </c>
      <c r="O123" s="126" t="s">
        <v>511</v>
      </c>
      <c r="P123" s="128">
        <v>219</v>
      </c>
      <c r="Q123" s="129">
        <v>45814</v>
      </c>
      <c r="R123" s="139">
        <v>0.25268518518518518</v>
      </c>
    </row>
    <row r="124" spans="1:18" ht="51" x14ac:dyDescent="0.25">
      <c r="A124" s="125" t="s">
        <v>667</v>
      </c>
      <c r="B124">
        <v>219</v>
      </c>
      <c r="C124" s="125" t="s">
        <v>730</v>
      </c>
      <c r="D124" s="125" t="s">
        <v>557</v>
      </c>
      <c r="E124" s="125" t="s">
        <v>289</v>
      </c>
      <c r="F124" s="125" t="s">
        <v>293</v>
      </c>
      <c r="G124" s="125" t="s">
        <v>422</v>
      </c>
      <c r="H124" s="125" t="s">
        <v>81</v>
      </c>
      <c r="I124" s="125" t="s">
        <v>82</v>
      </c>
      <c r="J124" s="126">
        <v>31040</v>
      </c>
      <c r="K124" s="126">
        <v>17100</v>
      </c>
      <c r="L124" s="127">
        <v>25.3</v>
      </c>
      <c r="M124" s="126">
        <v>13940</v>
      </c>
      <c r="N124" s="126">
        <v>10413.200000000001</v>
      </c>
      <c r="O124" s="126" t="s">
        <v>511</v>
      </c>
      <c r="P124" s="128">
        <v>220</v>
      </c>
      <c r="Q124" s="129">
        <v>45813</v>
      </c>
      <c r="R124" s="139">
        <v>2.1168981481481483E-2</v>
      </c>
    </row>
    <row r="125" spans="1:18" ht="38.25" x14ac:dyDescent="0.25">
      <c r="A125" s="125" t="s">
        <v>668</v>
      </c>
      <c r="B125">
        <v>215</v>
      </c>
      <c r="C125" s="125" t="s">
        <v>731</v>
      </c>
      <c r="D125" s="125" t="s">
        <v>78</v>
      </c>
      <c r="E125" s="125" t="s">
        <v>439</v>
      </c>
      <c r="F125" s="125" t="s">
        <v>440</v>
      </c>
      <c r="G125" s="125" t="s">
        <v>523</v>
      </c>
      <c r="H125" s="125" t="s">
        <v>524</v>
      </c>
      <c r="I125" s="125" t="s">
        <v>82</v>
      </c>
      <c r="J125" s="126">
        <v>26090</v>
      </c>
      <c r="K125" s="126">
        <v>16540</v>
      </c>
      <c r="L125" s="127">
        <v>17</v>
      </c>
      <c r="M125" s="126">
        <v>9550</v>
      </c>
      <c r="N125" s="126">
        <v>7928.2</v>
      </c>
      <c r="O125" s="126" t="s">
        <v>511</v>
      </c>
      <c r="P125" s="128">
        <v>221</v>
      </c>
      <c r="Q125" s="129">
        <v>45813</v>
      </c>
      <c r="R125" s="139">
        <v>0.90454861111111107</v>
      </c>
    </row>
    <row r="126" spans="1:18" ht="38.25" x14ac:dyDescent="0.25">
      <c r="A126" s="125" t="s">
        <v>669</v>
      </c>
      <c r="B126">
        <v>232</v>
      </c>
      <c r="C126" s="125" t="s">
        <v>732</v>
      </c>
      <c r="D126" s="125" t="s">
        <v>78</v>
      </c>
      <c r="E126" s="125" t="s">
        <v>442</v>
      </c>
      <c r="F126" s="125" t="s">
        <v>443</v>
      </c>
      <c r="G126" s="125" t="s">
        <v>523</v>
      </c>
      <c r="H126" s="125" t="s">
        <v>81</v>
      </c>
      <c r="I126" s="125" t="s">
        <v>82</v>
      </c>
      <c r="J126" s="126">
        <v>33080</v>
      </c>
      <c r="K126" s="126">
        <v>18790</v>
      </c>
      <c r="L126" s="127">
        <v>10.9</v>
      </c>
      <c r="M126" s="126">
        <v>14290</v>
      </c>
      <c r="N126" s="126">
        <v>12725.4</v>
      </c>
      <c r="O126" s="126" t="s">
        <v>511</v>
      </c>
      <c r="P126" s="128">
        <v>222</v>
      </c>
      <c r="Q126" s="129">
        <v>45813</v>
      </c>
      <c r="R126" s="139">
        <v>0.42886574074074074</v>
      </c>
    </row>
    <row r="127" spans="1:18" ht="38.25" x14ac:dyDescent="0.25">
      <c r="A127" s="125" t="s">
        <v>670</v>
      </c>
      <c r="B127">
        <v>227</v>
      </c>
      <c r="C127" s="125" t="s">
        <v>733</v>
      </c>
      <c r="D127" s="125" t="s">
        <v>557</v>
      </c>
      <c r="E127" s="125" t="s">
        <v>295</v>
      </c>
      <c r="F127" s="125" t="s">
        <v>299</v>
      </c>
      <c r="G127" s="125" t="s">
        <v>523</v>
      </c>
      <c r="H127" s="125" t="s">
        <v>524</v>
      </c>
      <c r="I127" s="125" t="s">
        <v>82</v>
      </c>
      <c r="J127" s="126">
        <v>31650</v>
      </c>
      <c r="K127" s="126">
        <v>17790</v>
      </c>
      <c r="L127" s="127">
        <v>17.399999999999999</v>
      </c>
      <c r="M127" s="126">
        <v>13860</v>
      </c>
      <c r="N127" s="126">
        <v>11448.4</v>
      </c>
      <c r="O127" s="126" t="s">
        <v>511</v>
      </c>
      <c r="P127" s="128">
        <v>223</v>
      </c>
      <c r="Q127" s="129">
        <v>45813</v>
      </c>
      <c r="R127" s="139">
        <v>0.28773148148148148</v>
      </c>
    </row>
    <row r="128" spans="1:18" ht="38.25" x14ac:dyDescent="0.25">
      <c r="A128" s="125" t="s">
        <v>671</v>
      </c>
      <c r="B128">
        <v>251</v>
      </c>
      <c r="C128" s="125">
        <v>130758</v>
      </c>
      <c r="D128" s="125" t="s">
        <v>105</v>
      </c>
      <c r="E128" s="125" t="s">
        <v>254</v>
      </c>
      <c r="F128" s="125" t="s">
        <v>536</v>
      </c>
      <c r="G128" s="125" t="s">
        <v>672</v>
      </c>
      <c r="H128" s="125" t="s">
        <v>21</v>
      </c>
      <c r="I128" s="125" t="s">
        <v>82</v>
      </c>
      <c r="J128" s="126">
        <v>28040</v>
      </c>
      <c r="K128" s="126">
        <v>14590</v>
      </c>
      <c r="L128" s="127">
        <v>12.5</v>
      </c>
      <c r="M128" s="126">
        <v>13450</v>
      </c>
      <c r="N128" s="126">
        <v>11768.7</v>
      </c>
      <c r="O128" s="126" t="s">
        <v>511</v>
      </c>
      <c r="P128" s="128">
        <v>224</v>
      </c>
      <c r="Q128" s="129">
        <v>45814</v>
      </c>
      <c r="R128" s="139">
        <v>0.42306712962962961</v>
      </c>
    </row>
    <row r="129" spans="1:18" ht="38.25" x14ac:dyDescent="0.25">
      <c r="A129" s="125" t="s">
        <v>734</v>
      </c>
      <c r="B129">
        <v>252</v>
      </c>
      <c r="C129" s="125">
        <v>130759</v>
      </c>
      <c r="D129" s="125" t="s">
        <v>105</v>
      </c>
      <c r="E129" s="125" t="s">
        <v>272</v>
      </c>
      <c r="F129" s="125" t="s">
        <v>276</v>
      </c>
      <c r="G129" s="125" t="s">
        <v>672</v>
      </c>
      <c r="H129" s="125" t="s">
        <v>21</v>
      </c>
      <c r="I129" s="125" t="s">
        <v>82</v>
      </c>
      <c r="J129" s="126">
        <v>28180</v>
      </c>
      <c r="K129" s="126">
        <v>14740</v>
      </c>
      <c r="L129" s="127">
        <v>15.5</v>
      </c>
      <c r="M129" s="126">
        <v>13440</v>
      </c>
      <c r="N129" s="126">
        <v>11356.8</v>
      </c>
      <c r="O129" s="126" t="s">
        <v>511</v>
      </c>
      <c r="P129" s="128">
        <v>225</v>
      </c>
      <c r="Q129" s="129">
        <v>45814</v>
      </c>
      <c r="R129" s="139">
        <v>0.44806712962962963</v>
      </c>
    </row>
    <row r="130" spans="1:18" ht="38.25" x14ac:dyDescent="0.25">
      <c r="A130" s="125" t="s">
        <v>735</v>
      </c>
      <c r="B130">
        <v>253</v>
      </c>
      <c r="C130" s="125">
        <v>130760</v>
      </c>
      <c r="D130" s="125" t="s">
        <v>105</v>
      </c>
      <c r="E130" s="125" t="s">
        <v>1253</v>
      </c>
      <c r="F130" s="125" t="s">
        <v>270</v>
      </c>
      <c r="G130" s="125" t="s">
        <v>672</v>
      </c>
      <c r="H130" s="125" t="s">
        <v>21</v>
      </c>
      <c r="I130" s="125" t="s">
        <v>82</v>
      </c>
      <c r="J130" s="126">
        <v>28240</v>
      </c>
      <c r="K130" s="126">
        <v>14820</v>
      </c>
      <c r="L130" s="127">
        <v>14.5</v>
      </c>
      <c r="M130" s="126">
        <v>13420</v>
      </c>
      <c r="N130" s="126">
        <v>11474.1</v>
      </c>
      <c r="O130" s="126" t="s">
        <v>511</v>
      </c>
      <c r="P130" s="128">
        <v>226</v>
      </c>
      <c r="Q130" s="129">
        <v>45814</v>
      </c>
      <c r="R130" s="139">
        <v>0.4893865740740741</v>
      </c>
    </row>
    <row r="131" spans="1:18" ht="38.25" x14ac:dyDescent="0.25">
      <c r="A131" s="125" t="s">
        <v>736</v>
      </c>
      <c r="B131">
        <v>258</v>
      </c>
      <c r="C131" s="125">
        <v>51</v>
      </c>
      <c r="D131" s="125" t="s">
        <v>78</v>
      </c>
      <c r="E131" s="125" t="s">
        <v>737</v>
      </c>
      <c r="F131" s="125" t="s">
        <v>738</v>
      </c>
      <c r="G131" s="125" t="s">
        <v>523</v>
      </c>
      <c r="H131" s="125" t="s">
        <v>524</v>
      </c>
      <c r="I131" s="125" t="s">
        <v>82</v>
      </c>
      <c r="J131" s="126">
        <v>9090</v>
      </c>
      <c r="K131" s="126">
        <v>4600</v>
      </c>
      <c r="L131" s="127">
        <v>13</v>
      </c>
      <c r="M131" s="126">
        <v>4490</v>
      </c>
      <c r="N131" s="126">
        <v>3906.3</v>
      </c>
      <c r="O131" s="126" t="s">
        <v>511</v>
      </c>
      <c r="P131" s="128">
        <v>227</v>
      </c>
      <c r="Q131" s="129">
        <v>45814</v>
      </c>
      <c r="R131" s="139">
        <v>0.50010416666666668</v>
      </c>
    </row>
    <row r="132" spans="1:18" ht="38.25" x14ac:dyDescent="0.25">
      <c r="A132" s="125" t="s">
        <v>739</v>
      </c>
      <c r="B132">
        <v>254</v>
      </c>
      <c r="C132" s="125">
        <v>130761</v>
      </c>
      <c r="D132" s="125" t="s">
        <v>105</v>
      </c>
      <c r="E132" s="125" t="s">
        <v>234</v>
      </c>
      <c r="F132" s="125" t="s">
        <v>238</v>
      </c>
      <c r="G132" s="125" t="s">
        <v>672</v>
      </c>
      <c r="H132" s="125" t="s">
        <v>21</v>
      </c>
      <c r="I132" s="125" t="s">
        <v>82</v>
      </c>
      <c r="J132" s="126">
        <v>28880</v>
      </c>
      <c r="K132" s="126">
        <v>15440</v>
      </c>
      <c r="L132" s="127">
        <v>18.5</v>
      </c>
      <c r="M132" s="126">
        <v>13440</v>
      </c>
      <c r="N132" s="126">
        <v>10953.6</v>
      </c>
      <c r="O132" s="126" t="s">
        <v>511</v>
      </c>
      <c r="P132" s="128">
        <v>228</v>
      </c>
      <c r="Q132" s="129">
        <v>45814</v>
      </c>
      <c r="R132" s="139">
        <v>0.54969907407407403</v>
      </c>
    </row>
    <row r="133" spans="1:18" ht="38.25" x14ac:dyDescent="0.25">
      <c r="A133" s="125" t="s">
        <v>740</v>
      </c>
      <c r="B133">
        <v>255</v>
      </c>
      <c r="C133" s="125">
        <v>130762</v>
      </c>
      <c r="D133" s="125" t="s">
        <v>105</v>
      </c>
      <c r="E133" s="125" t="s">
        <v>133</v>
      </c>
      <c r="F133" s="125" t="s">
        <v>137</v>
      </c>
      <c r="G133" s="125" t="s">
        <v>672</v>
      </c>
      <c r="H133" s="125" t="s">
        <v>21</v>
      </c>
      <c r="I133" s="125" t="s">
        <v>82</v>
      </c>
      <c r="J133" s="126">
        <v>28090</v>
      </c>
      <c r="K133" s="126">
        <v>14790</v>
      </c>
      <c r="L133" s="127">
        <v>17.5</v>
      </c>
      <c r="M133" s="126">
        <v>13300</v>
      </c>
      <c r="N133" s="126">
        <v>10972.5</v>
      </c>
      <c r="O133" s="126" t="s">
        <v>511</v>
      </c>
      <c r="P133" s="128">
        <v>229</v>
      </c>
      <c r="Q133" s="129">
        <v>45814</v>
      </c>
      <c r="R133" s="139">
        <v>0.71016203703703706</v>
      </c>
    </row>
    <row r="134" spans="1:18" ht="38.25" x14ac:dyDescent="0.25">
      <c r="A134" s="125" t="s">
        <v>741</v>
      </c>
      <c r="B134">
        <v>257</v>
      </c>
      <c r="C134" s="125">
        <v>130763</v>
      </c>
      <c r="D134" s="125" t="s">
        <v>105</v>
      </c>
      <c r="E134" s="125" t="s">
        <v>249</v>
      </c>
      <c r="F134" s="125" t="s">
        <v>253</v>
      </c>
      <c r="G134" s="125" t="s">
        <v>672</v>
      </c>
      <c r="H134" s="125" t="s">
        <v>21</v>
      </c>
      <c r="I134" s="125" t="s">
        <v>82</v>
      </c>
      <c r="J134" s="126">
        <v>28290</v>
      </c>
      <c r="K134" s="126">
        <v>15060</v>
      </c>
      <c r="L134" s="127">
        <v>10.5</v>
      </c>
      <c r="M134" s="126">
        <v>13230</v>
      </c>
      <c r="N134" s="126">
        <v>11840.8</v>
      </c>
      <c r="O134" s="126" t="s">
        <v>511</v>
      </c>
      <c r="P134" s="128">
        <v>230</v>
      </c>
      <c r="Q134" s="129">
        <v>45814</v>
      </c>
      <c r="R134" s="139">
        <v>0.72098379629629628</v>
      </c>
    </row>
    <row r="135" spans="1:18" ht="38.25" x14ac:dyDescent="0.25">
      <c r="A135" s="125" t="s">
        <v>742</v>
      </c>
      <c r="B135">
        <v>259</v>
      </c>
      <c r="C135" s="125">
        <v>52</v>
      </c>
      <c r="D135" s="125" t="s">
        <v>78</v>
      </c>
      <c r="E135" s="125" t="s">
        <v>127</v>
      </c>
      <c r="F135" s="125" t="s">
        <v>131</v>
      </c>
      <c r="G135" s="125" t="s">
        <v>523</v>
      </c>
      <c r="H135" s="125" t="s">
        <v>524</v>
      </c>
      <c r="I135" s="125" t="s">
        <v>82</v>
      </c>
      <c r="J135" s="126">
        <v>14210</v>
      </c>
      <c r="K135" s="126">
        <v>9720</v>
      </c>
      <c r="L135" s="127">
        <v>10.5</v>
      </c>
      <c r="M135" s="126">
        <v>4490</v>
      </c>
      <c r="N135" s="126">
        <v>4018.5</v>
      </c>
      <c r="O135" s="126" t="s">
        <v>511</v>
      </c>
      <c r="P135" s="128">
        <v>231</v>
      </c>
      <c r="Q135" s="129">
        <v>45814</v>
      </c>
      <c r="R135" s="139">
        <v>0.73187500000000005</v>
      </c>
    </row>
    <row r="136" spans="1:18" ht="38.25" x14ac:dyDescent="0.25">
      <c r="A136" s="125" t="s">
        <v>743</v>
      </c>
      <c r="B136">
        <v>260</v>
      </c>
      <c r="C136" s="125">
        <v>130764</v>
      </c>
      <c r="D136" s="125" t="s">
        <v>105</v>
      </c>
      <c r="E136" s="125" t="s">
        <v>1151</v>
      </c>
      <c r="F136" s="125" t="s">
        <v>145</v>
      </c>
      <c r="G136" s="125" t="s">
        <v>672</v>
      </c>
      <c r="H136" s="125" t="s">
        <v>21</v>
      </c>
      <c r="I136" s="125" t="s">
        <v>82</v>
      </c>
      <c r="J136" s="126">
        <v>29310</v>
      </c>
      <c r="K136" s="126">
        <v>15640</v>
      </c>
      <c r="L136" s="127">
        <v>20</v>
      </c>
      <c r="M136" s="126">
        <v>13670</v>
      </c>
      <c r="N136" s="126">
        <v>10936</v>
      </c>
      <c r="O136" s="126" t="s">
        <v>511</v>
      </c>
      <c r="P136" s="128">
        <v>232</v>
      </c>
      <c r="Q136" s="129">
        <v>45814</v>
      </c>
      <c r="R136" s="139">
        <v>0.73708333333333331</v>
      </c>
    </row>
    <row r="137" spans="1:18" ht="38.25" x14ac:dyDescent="0.25">
      <c r="A137" s="125" t="s">
        <v>744</v>
      </c>
      <c r="B137">
        <v>266</v>
      </c>
      <c r="C137" s="125">
        <v>130765</v>
      </c>
      <c r="D137" s="125" t="s">
        <v>105</v>
      </c>
      <c r="E137" s="125" t="s">
        <v>1461</v>
      </c>
      <c r="F137" s="125" t="s">
        <v>149</v>
      </c>
      <c r="G137" s="125" t="s">
        <v>672</v>
      </c>
      <c r="H137" s="125" t="s">
        <v>21</v>
      </c>
      <c r="I137" s="125" t="s">
        <v>82</v>
      </c>
      <c r="J137" s="126">
        <v>28580</v>
      </c>
      <c r="K137" s="126">
        <v>14910</v>
      </c>
      <c r="L137" s="127">
        <v>19.5</v>
      </c>
      <c r="M137" s="126">
        <v>13670</v>
      </c>
      <c r="N137" s="126">
        <v>11004.3</v>
      </c>
      <c r="O137" s="126" t="s">
        <v>511</v>
      </c>
      <c r="P137" s="128">
        <v>233</v>
      </c>
      <c r="Q137" s="129">
        <v>45814</v>
      </c>
      <c r="R137" s="139">
        <v>0.76237268518518519</v>
      </c>
    </row>
    <row r="138" spans="1:18" ht="38.25" x14ac:dyDescent="0.25">
      <c r="A138" s="125" t="s">
        <v>745</v>
      </c>
      <c r="B138">
        <v>263</v>
      </c>
      <c r="C138" s="125">
        <v>53</v>
      </c>
      <c r="D138" s="125" t="s">
        <v>78</v>
      </c>
      <c r="E138" s="125" t="s">
        <v>737</v>
      </c>
      <c r="F138" s="125" t="s">
        <v>738</v>
      </c>
      <c r="G138" s="125" t="s">
        <v>746</v>
      </c>
      <c r="H138" s="125" t="s">
        <v>747</v>
      </c>
      <c r="I138" s="125" t="s">
        <v>82</v>
      </c>
      <c r="J138" s="126">
        <v>6920</v>
      </c>
      <c r="K138" s="126">
        <v>4600</v>
      </c>
      <c r="L138" s="127">
        <v>12.5</v>
      </c>
      <c r="M138" s="126">
        <v>2320</v>
      </c>
      <c r="N138" s="126">
        <v>2030</v>
      </c>
      <c r="O138" s="126" t="s">
        <v>511</v>
      </c>
      <c r="P138" s="128">
        <v>234</v>
      </c>
      <c r="Q138" s="129">
        <v>45814</v>
      </c>
      <c r="R138" s="139">
        <v>0.80376157407407411</v>
      </c>
    </row>
    <row r="139" spans="1:18" ht="38.25" x14ac:dyDescent="0.25">
      <c r="A139" s="125" t="s">
        <v>748</v>
      </c>
      <c r="B139">
        <v>270</v>
      </c>
      <c r="C139" s="125">
        <v>130767</v>
      </c>
      <c r="D139" s="125" t="s">
        <v>105</v>
      </c>
      <c r="E139" s="125" t="s">
        <v>329</v>
      </c>
      <c r="F139" s="125" t="s">
        <v>333</v>
      </c>
      <c r="G139" s="125" t="s">
        <v>672</v>
      </c>
      <c r="H139" s="125" t="s">
        <v>21</v>
      </c>
      <c r="I139" s="125" t="s">
        <v>82</v>
      </c>
      <c r="J139" s="126">
        <v>28770</v>
      </c>
      <c r="K139" s="126">
        <v>14930</v>
      </c>
      <c r="L139" s="127">
        <v>16.5</v>
      </c>
      <c r="M139" s="126">
        <v>13840</v>
      </c>
      <c r="N139" s="126">
        <v>11556.4</v>
      </c>
      <c r="O139" s="126" t="s">
        <v>511</v>
      </c>
      <c r="P139" s="128">
        <v>235</v>
      </c>
      <c r="Q139" s="129">
        <v>45814</v>
      </c>
      <c r="R139" s="139">
        <v>0.87760416666666663</v>
      </c>
    </row>
    <row r="140" spans="1:18" ht="38.25" x14ac:dyDescent="0.25">
      <c r="A140" s="125" t="s">
        <v>749</v>
      </c>
      <c r="B140">
        <v>268</v>
      </c>
      <c r="C140" s="125">
        <v>130766</v>
      </c>
      <c r="D140" s="125" t="s">
        <v>105</v>
      </c>
      <c r="E140" s="125" t="s">
        <v>166</v>
      </c>
      <c r="F140" s="125" t="s">
        <v>170</v>
      </c>
      <c r="G140" s="125" t="s">
        <v>672</v>
      </c>
      <c r="H140" s="125" t="s">
        <v>21</v>
      </c>
      <c r="I140" s="125" t="s">
        <v>82</v>
      </c>
      <c r="J140" s="126">
        <v>28260</v>
      </c>
      <c r="K140" s="126">
        <v>14630</v>
      </c>
      <c r="L140" s="127">
        <v>17.5</v>
      </c>
      <c r="M140" s="126">
        <v>13630</v>
      </c>
      <c r="N140" s="126">
        <v>11244.7</v>
      </c>
      <c r="O140" s="126" t="s">
        <v>511</v>
      </c>
      <c r="P140" s="128">
        <v>236</v>
      </c>
      <c r="Q140" s="129">
        <v>45814</v>
      </c>
      <c r="R140" s="139">
        <v>0.91569444444444448</v>
      </c>
    </row>
    <row r="141" spans="1:18" ht="38.25" x14ac:dyDescent="0.25">
      <c r="A141" s="125" t="s">
        <v>750</v>
      </c>
      <c r="B141">
        <v>271</v>
      </c>
      <c r="C141" s="125">
        <v>130768</v>
      </c>
      <c r="D141" s="125" t="s">
        <v>105</v>
      </c>
      <c r="E141" s="125" t="s">
        <v>111</v>
      </c>
      <c r="F141" s="125" t="s">
        <v>114</v>
      </c>
      <c r="G141" s="125" t="s">
        <v>672</v>
      </c>
      <c r="H141" s="125" t="s">
        <v>21</v>
      </c>
      <c r="I141" s="125" t="s">
        <v>82</v>
      </c>
      <c r="J141" s="126">
        <v>29270</v>
      </c>
      <c r="K141" s="126">
        <v>15360</v>
      </c>
      <c r="L141" s="127">
        <v>18.5</v>
      </c>
      <c r="M141" s="126">
        <v>13910</v>
      </c>
      <c r="N141" s="126">
        <v>11336.6</v>
      </c>
      <c r="O141" s="126" t="s">
        <v>511</v>
      </c>
      <c r="P141" s="128">
        <v>237</v>
      </c>
      <c r="Q141" s="129">
        <v>45814</v>
      </c>
      <c r="R141" s="139">
        <v>0.96898148148148144</v>
      </c>
    </row>
    <row r="142" spans="1:18" ht="38.25" x14ac:dyDescent="0.25">
      <c r="A142" s="125" t="s">
        <v>751</v>
      </c>
      <c r="B142">
        <v>272</v>
      </c>
      <c r="C142" s="125">
        <v>130770</v>
      </c>
      <c r="D142" s="125" t="s">
        <v>105</v>
      </c>
      <c r="E142" s="125" t="s">
        <v>311</v>
      </c>
      <c r="F142" s="125" t="s">
        <v>315</v>
      </c>
      <c r="G142" s="125" t="s">
        <v>672</v>
      </c>
      <c r="H142" s="125" t="s">
        <v>21</v>
      </c>
      <c r="I142" s="125" t="s">
        <v>82</v>
      </c>
      <c r="J142" s="126">
        <v>28690</v>
      </c>
      <c r="K142" s="126">
        <v>14960</v>
      </c>
      <c r="L142" s="127">
        <v>17.5</v>
      </c>
      <c r="M142" s="126">
        <v>13730</v>
      </c>
      <c r="N142" s="126">
        <v>11327.2</v>
      </c>
      <c r="O142" s="126" t="s">
        <v>511</v>
      </c>
      <c r="P142" s="128">
        <v>238</v>
      </c>
      <c r="Q142" s="129">
        <v>45814</v>
      </c>
      <c r="R142" s="139">
        <v>0.93866898148148148</v>
      </c>
    </row>
    <row r="143" spans="1:18" ht="38.25" x14ac:dyDescent="0.25">
      <c r="A143" s="125" t="s">
        <v>752</v>
      </c>
      <c r="B143">
        <v>274</v>
      </c>
      <c r="C143" s="125">
        <v>130771</v>
      </c>
      <c r="D143" s="125" t="s">
        <v>105</v>
      </c>
      <c r="E143" s="125" t="s">
        <v>347</v>
      </c>
      <c r="F143" s="125" t="s">
        <v>351</v>
      </c>
      <c r="G143" s="125" t="s">
        <v>672</v>
      </c>
      <c r="H143" s="125" t="s">
        <v>21</v>
      </c>
      <c r="I143" s="125" t="s">
        <v>82</v>
      </c>
      <c r="J143" s="126">
        <v>32400</v>
      </c>
      <c r="K143" s="126">
        <v>18720</v>
      </c>
      <c r="L143" s="127">
        <v>18.5</v>
      </c>
      <c r="M143" s="126">
        <v>13680</v>
      </c>
      <c r="N143" s="126">
        <v>11149.2</v>
      </c>
      <c r="O143" s="126" t="s">
        <v>511</v>
      </c>
      <c r="P143" s="128">
        <v>239</v>
      </c>
      <c r="Q143" s="129">
        <v>45815</v>
      </c>
      <c r="R143" s="139">
        <v>0.34241898148148148</v>
      </c>
    </row>
    <row r="144" spans="1:18" ht="38.25" x14ac:dyDescent="0.25">
      <c r="A144" s="125" t="s">
        <v>753</v>
      </c>
      <c r="B144">
        <v>275</v>
      </c>
      <c r="C144" s="125">
        <v>59</v>
      </c>
      <c r="D144" s="125" t="s">
        <v>78</v>
      </c>
      <c r="E144" s="125" t="s">
        <v>127</v>
      </c>
      <c r="F144" s="125" t="s">
        <v>131</v>
      </c>
      <c r="G144" s="125" t="s">
        <v>754</v>
      </c>
      <c r="H144" s="125" t="s">
        <v>21</v>
      </c>
      <c r="I144" s="125" t="s">
        <v>82</v>
      </c>
      <c r="J144" s="126">
        <v>28010</v>
      </c>
      <c r="K144" s="126">
        <v>14400</v>
      </c>
      <c r="L144" s="127">
        <v>13.5</v>
      </c>
      <c r="M144" s="126">
        <v>13610</v>
      </c>
      <c r="N144" s="126">
        <v>11772.6</v>
      </c>
      <c r="O144" s="126" t="s">
        <v>511</v>
      </c>
      <c r="P144" s="128">
        <v>240</v>
      </c>
      <c r="Q144" s="129">
        <v>45815</v>
      </c>
      <c r="R144" s="139">
        <v>0.35048611111111111</v>
      </c>
    </row>
    <row r="145" spans="1:18" ht="38.25" x14ac:dyDescent="0.25">
      <c r="A145" s="125" t="s">
        <v>755</v>
      </c>
      <c r="B145">
        <v>276</v>
      </c>
      <c r="C145" s="125">
        <v>60</v>
      </c>
      <c r="D145" s="125" t="s">
        <v>726</v>
      </c>
      <c r="E145" s="125" t="s">
        <v>737</v>
      </c>
      <c r="F145" s="125" t="s">
        <v>738</v>
      </c>
      <c r="G145" s="125" t="s">
        <v>754</v>
      </c>
      <c r="H145" s="125" t="s">
        <v>21</v>
      </c>
      <c r="I145" s="125" t="s">
        <v>82</v>
      </c>
      <c r="J145" s="126">
        <v>9050</v>
      </c>
      <c r="K145" s="126">
        <v>4580</v>
      </c>
      <c r="L145" s="127">
        <v>11.5</v>
      </c>
      <c r="M145" s="126">
        <v>4470</v>
      </c>
      <c r="N145" s="126">
        <v>3955.9</v>
      </c>
      <c r="O145" s="126" t="s">
        <v>511</v>
      </c>
      <c r="P145" s="128">
        <v>241</v>
      </c>
      <c r="Q145" s="129">
        <v>45815</v>
      </c>
      <c r="R145" s="139">
        <v>0.45480324074074074</v>
      </c>
    </row>
    <row r="146" spans="1:18" ht="38.25" x14ac:dyDescent="0.25">
      <c r="A146" s="125" t="s">
        <v>756</v>
      </c>
      <c r="B146">
        <v>277</v>
      </c>
      <c r="C146" s="125">
        <v>130775</v>
      </c>
      <c r="D146" s="125" t="s">
        <v>105</v>
      </c>
      <c r="E146" s="125" t="s">
        <v>335</v>
      </c>
      <c r="F146" s="125" t="s">
        <v>339</v>
      </c>
      <c r="G146" s="125" t="s">
        <v>672</v>
      </c>
      <c r="H146" s="125" t="s">
        <v>21</v>
      </c>
      <c r="I146" s="125" t="s">
        <v>82</v>
      </c>
      <c r="J146" s="126">
        <v>28430</v>
      </c>
      <c r="K146" s="126">
        <v>14730</v>
      </c>
      <c r="L146" s="127">
        <v>18.5</v>
      </c>
      <c r="M146" s="126">
        <v>13700</v>
      </c>
      <c r="N146" s="126">
        <v>11165.5</v>
      </c>
      <c r="O146" s="126" t="s">
        <v>511</v>
      </c>
      <c r="P146" s="128">
        <v>242</v>
      </c>
      <c r="Q146" s="129">
        <v>45815</v>
      </c>
      <c r="R146" s="139">
        <v>0.45988425925925924</v>
      </c>
    </row>
    <row r="147" spans="1:18" ht="38.25" x14ac:dyDescent="0.25">
      <c r="A147" s="125" t="s">
        <v>757</v>
      </c>
      <c r="B147">
        <v>278</v>
      </c>
      <c r="C147" s="125">
        <v>130773</v>
      </c>
      <c r="D147" s="125" t="s">
        <v>105</v>
      </c>
      <c r="E147" s="125" t="s">
        <v>305</v>
      </c>
      <c r="F147" s="125" t="s">
        <v>309</v>
      </c>
      <c r="G147" s="125" t="s">
        <v>672</v>
      </c>
      <c r="H147" s="125" t="s">
        <v>21</v>
      </c>
      <c r="I147" s="125" t="s">
        <v>82</v>
      </c>
      <c r="J147" s="126">
        <v>28030</v>
      </c>
      <c r="K147" s="126">
        <v>14280</v>
      </c>
      <c r="L147" s="127">
        <v>11.5</v>
      </c>
      <c r="M147" s="126">
        <v>13750</v>
      </c>
      <c r="N147" s="126">
        <v>12168.7</v>
      </c>
      <c r="O147" s="126" t="s">
        <v>511</v>
      </c>
      <c r="P147" s="128">
        <v>243</v>
      </c>
      <c r="Q147" s="129">
        <v>45815</v>
      </c>
      <c r="R147" s="139">
        <v>0.46309027777777778</v>
      </c>
    </row>
    <row r="148" spans="1:18" ht="38.25" x14ac:dyDescent="0.25">
      <c r="A148" s="125" t="s">
        <v>758</v>
      </c>
      <c r="B148">
        <v>279</v>
      </c>
      <c r="C148" s="125">
        <v>130774</v>
      </c>
      <c r="D148" s="125" t="s">
        <v>105</v>
      </c>
      <c r="E148" s="125" t="s">
        <v>195</v>
      </c>
      <c r="F148" s="125" t="s">
        <v>199</v>
      </c>
      <c r="G148" s="125" t="s">
        <v>672</v>
      </c>
      <c r="H148" s="125" t="s">
        <v>21</v>
      </c>
      <c r="I148" s="125" t="s">
        <v>82</v>
      </c>
      <c r="J148" s="126">
        <v>28730</v>
      </c>
      <c r="K148" s="126">
        <v>15080</v>
      </c>
      <c r="L148" s="127">
        <v>16.5</v>
      </c>
      <c r="M148" s="126">
        <v>13650</v>
      </c>
      <c r="N148" s="126">
        <v>11397.7</v>
      </c>
      <c r="O148" s="126" t="s">
        <v>511</v>
      </c>
      <c r="P148" s="128">
        <v>244</v>
      </c>
      <c r="Q148" s="129">
        <v>45815</v>
      </c>
      <c r="R148" s="139">
        <v>0.4704976851851852</v>
      </c>
    </row>
    <row r="149" spans="1:18" ht="38.25" x14ac:dyDescent="0.25">
      <c r="A149" s="125" t="s">
        <v>759</v>
      </c>
      <c r="B149">
        <v>281</v>
      </c>
      <c r="C149" s="125">
        <v>83501</v>
      </c>
      <c r="D149" s="125" t="s">
        <v>105</v>
      </c>
      <c r="E149" s="125" t="s">
        <v>160</v>
      </c>
      <c r="F149" s="125" t="s">
        <v>164</v>
      </c>
      <c r="G149" s="125" t="s">
        <v>672</v>
      </c>
      <c r="H149" s="125" t="s">
        <v>21</v>
      </c>
      <c r="I149" s="125" t="s">
        <v>82</v>
      </c>
      <c r="J149" s="126">
        <v>37850</v>
      </c>
      <c r="K149" s="126">
        <v>23900</v>
      </c>
      <c r="L149" s="127">
        <v>19.5</v>
      </c>
      <c r="M149" s="126">
        <v>13950</v>
      </c>
      <c r="N149" s="126">
        <v>11229.7</v>
      </c>
      <c r="O149" s="126" t="s">
        <v>511</v>
      </c>
      <c r="P149" s="127">
        <v>245</v>
      </c>
      <c r="Q149" s="129">
        <v>45815</v>
      </c>
      <c r="R149" s="139">
        <v>0.47847222222222224</v>
      </c>
    </row>
    <row r="150" spans="1:18" ht="38.25" x14ac:dyDescent="0.25">
      <c r="A150" s="125" t="s">
        <v>760</v>
      </c>
      <c r="B150">
        <v>285</v>
      </c>
      <c r="C150" s="125">
        <v>65</v>
      </c>
      <c r="D150" s="125" t="s">
        <v>78</v>
      </c>
      <c r="E150" s="125" t="s">
        <v>79</v>
      </c>
      <c r="F150" s="125" t="s">
        <v>80</v>
      </c>
      <c r="G150" s="125" t="s">
        <v>754</v>
      </c>
      <c r="H150" s="125" t="s">
        <v>21</v>
      </c>
      <c r="I150" s="125" t="s">
        <v>82</v>
      </c>
      <c r="J150" s="126">
        <v>23240</v>
      </c>
      <c r="K150" s="126">
        <v>14120</v>
      </c>
      <c r="L150" s="127">
        <v>11</v>
      </c>
      <c r="M150" s="126">
        <v>9120</v>
      </c>
      <c r="N150" s="126">
        <v>8116.8</v>
      </c>
      <c r="O150" s="126" t="s">
        <v>511</v>
      </c>
      <c r="P150" s="127">
        <v>246</v>
      </c>
      <c r="Q150" s="129">
        <v>45815</v>
      </c>
      <c r="R150" s="139">
        <v>0.49659722222222225</v>
      </c>
    </row>
    <row r="151" spans="1:18" ht="38.25" x14ac:dyDescent="0.25">
      <c r="A151" s="125" t="s">
        <v>761</v>
      </c>
      <c r="B151">
        <v>286</v>
      </c>
      <c r="C151" s="125">
        <v>66</v>
      </c>
      <c r="D151" s="125" t="s">
        <v>78</v>
      </c>
      <c r="E151" s="125" t="s">
        <v>762</v>
      </c>
      <c r="F151" s="125" t="s">
        <v>763</v>
      </c>
      <c r="G151" s="125" t="s">
        <v>754</v>
      </c>
      <c r="H151" s="125" t="s">
        <v>21</v>
      </c>
      <c r="I151" s="125" t="s">
        <v>82</v>
      </c>
      <c r="J151" s="126">
        <v>8900</v>
      </c>
      <c r="K151" s="126">
        <v>4630</v>
      </c>
      <c r="L151" s="127">
        <v>8.5</v>
      </c>
      <c r="M151" s="126">
        <v>4270</v>
      </c>
      <c r="N151" s="126">
        <v>3907</v>
      </c>
      <c r="O151" s="126" t="s">
        <v>511</v>
      </c>
      <c r="P151" s="127">
        <v>247</v>
      </c>
      <c r="Q151" s="129">
        <v>45815</v>
      </c>
      <c r="R151" s="139">
        <v>0.52517361111111116</v>
      </c>
    </row>
    <row r="152" spans="1:18" ht="38.25" x14ac:dyDescent="0.25">
      <c r="A152" s="125" t="s">
        <v>764</v>
      </c>
      <c r="B152">
        <v>288</v>
      </c>
      <c r="C152" s="125">
        <v>67</v>
      </c>
      <c r="D152" s="125" t="s">
        <v>78</v>
      </c>
      <c r="E152" s="125" t="s">
        <v>1312</v>
      </c>
      <c r="F152" s="125" t="s">
        <v>320</v>
      </c>
      <c r="G152" s="125" t="s">
        <v>754</v>
      </c>
      <c r="H152" s="125" t="s">
        <v>21</v>
      </c>
      <c r="I152" s="125" t="s">
        <v>82</v>
      </c>
      <c r="J152" s="126">
        <v>27260</v>
      </c>
      <c r="K152" s="126">
        <v>14480</v>
      </c>
      <c r="L152" s="127">
        <v>16</v>
      </c>
      <c r="M152" s="126">
        <v>12780</v>
      </c>
      <c r="N152" s="126">
        <v>10735.2</v>
      </c>
      <c r="O152" s="126" t="s">
        <v>511</v>
      </c>
      <c r="P152" s="127">
        <v>248</v>
      </c>
      <c r="Q152" s="129">
        <v>45815</v>
      </c>
      <c r="R152" s="139">
        <v>0.56965277777777779</v>
      </c>
    </row>
    <row r="153" spans="1:18" ht="38.25" x14ac:dyDescent="0.25">
      <c r="A153" s="125" t="s">
        <v>765</v>
      </c>
      <c r="B153">
        <v>289</v>
      </c>
      <c r="C153" s="125">
        <v>68</v>
      </c>
      <c r="D153" s="125" t="s">
        <v>78</v>
      </c>
      <c r="E153" s="125" t="s">
        <v>329</v>
      </c>
      <c r="F153" s="125" t="s">
        <v>333</v>
      </c>
      <c r="G153" s="125" t="s">
        <v>754</v>
      </c>
      <c r="H153" s="125" t="s">
        <v>21</v>
      </c>
      <c r="I153" s="125" t="s">
        <v>82</v>
      </c>
      <c r="J153" s="126">
        <v>24210</v>
      </c>
      <c r="K153" s="126">
        <v>14880</v>
      </c>
      <c r="L153" s="127">
        <v>15</v>
      </c>
      <c r="M153" s="126">
        <v>9330</v>
      </c>
      <c r="N153" s="126">
        <v>7930.5</v>
      </c>
      <c r="O153" s="126" t="s">
        <v>511</v>
      </c>
      <c r="P153" s="127">
        <v>249</v>
      </c>
      <c r="Q153" s="129">
        <v>45815</v>
      </c>
      <c r="R153" s="139">
        <v>0.63680555555555551</v>
      </c>
    </row>
    <row r="154" spans="1:18" ht="38.25" x14ac:dyDescent="0.25">
      <c r="A154" s="125" t="s">
        <v>766</v>
      </c>
      <c r="B154">
        <v>290</v>
      </c>
      <c r="C154" s="125">
        <v>69</v>
      </c>
      <c r="D154" s="125" t="s">
        <v>78</v>
      </c>
      <c r="E154" s="125" t="s">
        <v>79</v>
      </c>
      <c r="F154" s="125" t="s">
        <v>767</v>
      </c>
      <c r="G154" s="125" t="s">
        <v>754</v>
      </c>
      <c r="H154" s="125" t="s">
        <v>21</v>
      </c>
      <c r="I154" s="125" t="s">
        <v>82</v>
      </c>
      <c r="J154" s="126">
        <v>23310</v>
      </c>
      <c r="K154" s="126">
        <v>14100</v>
      </c>
      <c r="L154" s="127">
        <v>18.5</v>
      </c>
      <c r="M154" s="126">
        <v>9210</v>
      </c>
      <c r="N154" s="126">
        <v>7506.1</v>
      </c>
      <c r="O154" s="126" t="s">
        <v>511</v>
      </c>
      <c r="P154" s="127">
        <v>250</v>
      </c>
      <c r="Q154" s="129">
        <v>45815</v>
      </c>
      <c r="R154" s="139">
        <v>0.77151620370370366</v>
      </c>
    </row>
    <row r="155" spans="1:18" ht="38.25" x14ac:dyDescent="0.25">
      <c r="A155" s="125" t="s">
        <v>768</v>
      </c>
      <c r="B155">
        <v>291</v>
      </c>
      <c r="C155" s="125">
        <v>70</v>
      </c>
      <c r="D155" s="125" t="s">
        <v>78</v>
      </c>
      <c r="E155" s="125" t="s">
        <v>762</v>
      </c>
      <c r="F155" s="125" t="s">
        <v>763</v>
      </c>
      <c r="G155" s="125" t="s">
        <v>754</v>
      </c>
      <c r="H155" s="125" t="s">
        <v>21</v>
      </c>
      <c r="I155" s="125" t="s">
        <v>82</v>
      </c>
      <c r="J155" s="126">
        <v>9180</v>
      </c>
      <c r="K155" s="126">
        <v>4620</v>
      </c>
      <c r="L155" s="127">
        <v>15.5</v>
      </c>
      <c r="M155" s="126">
        <v>4560</v>
      </c>
      <c r="N155" s="126">
        <v>3853.2</v>
      </c>
      <c r="O155" s="126" t="s">
        <v>511</v>
      </c>
      <c r="P155" s="127">
        <v>251</v>
      </c>
      <c r="Q155" s="129">
        <v>45815</v>
      </c>
      <c r="R155" s="139">
        <v>0.77682870370370372</v>
      </c>
    </row>
    <row r="156" spans="1:18" ht="38.25" x14ac:dyDescent="0.25">
      <c r="A156" s="125" t="s">
        <v>769</v>
      </c>
      <c r="B156">
        <v>293</v>
      </c>
      <c r="C156" s="125">
        <v>71</v>
      </c>
      <c r="D156" s="125" t="s">
        <v>78</v>
      </c>
      <c r="E156" s="125" t="s">
        <v>1312</v>
      </c>
      <c r="F156" s="125" t="s">
        <v>320</v>
      </c>
      <c r="G156" s="125" t="s">
        <v>754</v>
      </c>
      <c r="H156" s="125" t="s">
        <v>21</v>
      </c>
      <c r="I156" s="125" t="s">
        <v>82</v>
      </c>
      <c r="J156" s="126">
        <v>31060</v>
      </c>
      <c r="K156" s="126">
        <v>14460</v>
      </c>
      <c r="L156" s="127">
        <v>14</v>
      </c>
      <c r="M156" s="126">
        <v>16600</v>
      </c>
      <c r="N156" s="126">
        <v>14276</v>
      </c>
      <c r="O156" s="126" t="s">
        <v>511</v>
      </c>
      <c r="P156" s="127">
        <v>252</v>
      </c>
      <c r="Q156" s="129">
        <v>45815</v>
      </c>
      <c r="R156" s="139">
        <v>0.77869212962962964</v>
      </c>
    </row>
    <row r="157" spans="1:18" ht="38.25" x14ac:dyDescent="0.25">
      <c r="A157" s="125" t="s">
        <v>770</v>
      </c>
      <c r="B157">
        <v>294</v>
      </c>
      <c r="C157" s="125">
        <v>72</v>
      </c>
      <c r="D157" s="125" t="s">
        <v>78</v>
      </c>
      <c r="E157" s="125" t="s">
        <v>329</v>
      </c>
      <c r="F157" s="125" t="s">
        <v>333</v>
      </c>
      <c r="G157" s="125" t="s">
        <v>771</v>
      </c>
      <c r="H157" s="125" t="s">
        <v>772</v>
      </c>
      <c r="I157" s="125" t="s">
        <v>82</v>
      </c>
      <c r="J157" s="126">
        <v>28630</v>
      </c>
      <c r="K157" s="126">
        <v>14990</v>
      </c>
      <c r="L157" s="127">
        <v>12</v>
      </c>
      <c r="M157" s="126">
        <v>13640</v>
      </c>
      <c r="N157" s="126">
        <v>12003.2</v>
      </c>
      <c r="O157" s="126" t="s">
        <v>511</v>
      </c>
      <c r="P157" s="127">
        <v>253</v>
      </c>
      <c r="Q157" s="129">
        <v>45815</v>
      </c>
      <c r="R157" s="139">
        <v>0.82246527777777778</v>
      </c>
    </row>
    <row r="158" spans="1:18" ht="38.25" x14ac:dyDescent="0.25">
      <c r="A158" s="125" t="s">
        <v>773</v>
      </c>
      <c r="B158">
        <v>295</v>
      </c>
      <c r="C158" s="125">
        <v>73</v>
      </c>
      <c r="D158" s="125" t="s">
        <v>78</v>
      </c>
      <c r="E158" s="125" t="s">
        <v>79</v>
      </c>
      <c r="F158" s="125" t="s">
        <v>80</v>
      </c>
      <c r="G158" s="125" t="s">
        <v>771</v>
      </c>
      <c r="H158" s="125" t="s">
        <v>772</v>
      </c>
      <c r="I158" s="125" t="s">
        <v>82</v>
      </c>
      <c r="J158" s="126">
        <v>27400</v>
      </c>
      <c r="K158" s="126">
        <v>14090</v>
      </c>
      <c r="L158" s="127">
        <v>15</v>
      </c>
      <c r="M158" s="126">
        <v>13310</v>
      </c>
      <c r="N158" s="126">
        <v>11313.5</v>
      </c>
      <c r="O158" s="126" t="s">
        <v>511</v>
      </c>
      <c r="P158" s="127">
        <v>254</v>
      </c>
      <c r="Q158" s="129">
        <v>45815</v>
      </c>
      <c r="R158" s="139">
        <v>0.93692129629629628</v>
      </c>
    </row>
    <row r="159" spans="1:18" ht="38.25" x14ac:dyDescent="0.25">
      <c r="A159" s="125" t="s">
        <v>774</v>
      </c>
      <c r="B159">
        <v>296</v>
      </c>
      <c r="C159" s="125">
        <v>74</v>
      </c>
      <c r="D159" s="125" t="s">
        <v>78</v>
      </c>
      <c r="E159" s="125" t="s">
        <v>762</v>
      </c>
      <c r="F159" s="125" t="s">
        <v>763</v>
      </c>
      <c r="G159" s="125" t="s">
        <v>771</v>
      </c>
      <c r="H159" s="125" t="s">
        <v>772</v>
      </c>
      <c r="I159" s="125" t="s">
        <v>82</v>
      </c>
      <c r="J159" s="126">
        <v>8620</v>
      </c>
      <c r="K159" s="126">
        <v>4610</v>
      </c>
      <c r="L159" s="127">
        <v>16.5</v>
      </c>
      <c r="M159" s="126">
        <v>4010</v>
      </c>
      <c r="N159" s="126">
        <v>3348.3</v>
      </c>
      <c r="O159" s="126" t="s">
        <v>550</v>
      </c>
      <c r="P159" s="127">
        <v>255</v>
      </c>
      <c r="Q159" s="129">
        <v>45815</v>
      </c>
      <c r="R159" s="139">
        <v>0.94305555555555554</v>
      </c>
    </row>
    <row r="160" spans="1:18" ht="38.25" x14ac:dyDescent="0.25">
      <c r="A160" s="125" t="s">
        <v>775</v>
      </c>
      <c r="B160">
        <v>297</v>
      </c>
      <c r="C160" s="125">
        <v>75</v>
      </c>
      <c r="D160" s="125" t="s">
        <v>78</v>
      </c>
      <c r="E160" s="125" t="s">
        <v>1312</v>
      </c>
      <c r="F160" s="125" t="s">
        <v>320</v>
      </c>
      <c r="G160" s="125" t="s">
        <v>771</v>
      </c>
      <c r="H160" s="125" t="s">
        <v>772</v>
      </c>
      <c r="I160" s="125" t="s">
        <v>82</v>
      </c>
      <c r="J160" s="126">
        <v>31480</v>
      </c>
      <c r="K160" s="126">
        <v>14460</v>
      </c>
      <c r="L160" s="127">
        <v>12</v>
      </c>
      <c r="M160" s="126">
        <v>17020</v>
      </c>
      <c r="N160" s="126">
        <v>14977.6</v>
      </c>
      <c r="O160" s="126" t="s">
        <v>550</v>
      </c>
      <c r="P160" s="127">
        <v>256</v>
      </c>
      <c r="Q160" s="129">
        <v>45815</v>
      </c>
      <c r="R160" s="139">
        <v>0.95041666666666669</v>
      </c>
    </row>
    <row r="161" spans="1:18" ht="38.25" x14ac:dyDescent="0.25">
      <c r="A161" s="125" t="s">
        <v>776</v>
      </c>
      <c r="B161">
        <v>298</v>
      </c>
      <c r="C161" s="125">
        <v>76</v>
      </c>
      <c r="D161" s="125" t="s">
        <v>78</v>
      </c>
      <c r="E161" s="125" t="s">
        <v>329</v>
      </c>
      <c r="F161" s="125" t="s">
        <v>333</v>
      </c>
      <c r="G161" s="125" t="s">
        <v>771</v>
      </c>
      <c r="H161" s="125" t="s">
        <v>772</v>
      </c>
      <c r="I161" s="125" t="s">
        <v>82</v>
      </c>
      <c r="J161" s="126">
        <v>28100</v>
      </c>
      <c r="K161" s="126">
        <v>14970</v>
      </c>
      <c r="L161" s="127">
        <v>17</v>
      </c>
      <c r="M161" s="126">
        <v>13130</v>
      </c>
      <c r="N161" s="126">
        <v>10897.9</v>
      </c>
      <c r="O161" s="126" t="s">
        <v>550</v>
      </c>
      <c r="P161" s="127">
        <v>257</v>
      </c>
      <c r="Q161" s="129">
        <v>45815</v>
      </c>
      <c r="R161" s="139">
        <v>0.98071759259259261</v>
      </c>
    </row>
    <row r="162" spans="1:18" ht="38.25" x14ac:dyDescent="0.25">
      <c r="A162" s="125" t="s">
        <v>777</v>
      </c>
      <c r="B162">
        <v>299</v>
      </c>
      <c r="C162" s="125">
        <v>77</v>
      </c>
      <c r="D162" s="125" t="s">
        <v>78</v>
      </c>
      <c r="E162" s="125" t="s">
        <v>79</v>
      </c>
      <c r="F162" s="125" t="s">
        <v>80</v>
      </c>
      <c r="G162" s="125" t="s">
        <v>771</v>
      </c>
      <c r="H162" s="125" t="s">
        <v>772</v>
      </c>
      <c r="I162" s="125" t="s">
        <v>82</v>
      </c>
      <c r="J162" s="126">
        <v>27200</v>
      </c>
      <c r="K162" s="126">
        <v>14080</v>
      </c>
      <c r="L162" s="127">
        <v>11</v>
      </c>
      <c r="M162" s="126">
        <v>13120</v>
      </c>
      <c r="N162" s="126">
        <v>11676.8</v>
      </c>
      <c r="O162" s="126" t="s">
        <v>550</v>
      </c>
      <c r="P162" s="127">
        <v>258</v>
      </c>
      <c r="Q162" s="129">
        <v>45816</v>
      </c>
      <c r="R162" s="139">
        <v>8.4571759259259263E-2</v>
      </c>
    </row>
    <row r="163" spans="1:18" ht="38.25" x14ac:dyDescent="0.25">
      <c r="A163" s="125" t="s">
        <v>778</v>
      </c>
      <c r="B163">
        <v>300</v>
      </c>
      <c r="C163" s="125">
        <v>78</v>
      </c>
      <c r="D163" s="125" t="s">
        <v>78</v>
      </c>
      <c r="E163" s="125" t="s">
        <v>762</v>
      </c>
      <c r="F163" s="125" t="s">
        <v>763</v>
      </c>
      <c r="G163" s="125" t="s">
        <v>771</v>
      </c>
      <c r="H163" s="125" t="s">
        <v>772</v>
      </c>
      <c r="I163" s="125" t="s">
        <v>82</v>
      </c>
      <c r="J163" s="126">
        <v>9060</v>
      </c>
      <c r="K163" s="126">
        <v>4530</v>
      </c>
      <c r="L163" s="127">
        <v>9.5</v>
      </c>
      <c r="M163" s="126">
        <v>4530</v>
      </c>
      <c r="N163" s="126">
        <v>4099.6000000000004</v>
      </c>
      <c r="O163" s="126" t="s">
        <v>550</v>
      </c>
      <c r="P163" s="127">
        <v>259</v>
      </c>
      <c r="Q163" s="129">
        <v>45816</v>
      </c>
      <c r="R163" s="139">
        <v>0.1136574074074074</v>
      </c>
    </row>
    <row r="164" spans="1:18" ht="38.25" x14ac:dyDescent="0.25">
      <c r="A164" s="125" t="s">
        <v>779</v>
      </c>
      <c r="B164">
        <v>300</v>
      </c>
      <c r="C164" s="125">
        <v>78</v>
      </c>
      <c r="D164" s="125" t="s">
        <v>78</v>
      </c>
      <c r="E164" s="125" t="s">
        <v>762</v>
      </c>
      <c r="F164" s="125" t="s">
        <v>763</v>
      </c>
      <c r="G164" s="125" t="s">
        <v>771</v>
      </c>
      <c r="H164" s="125" t="s">
        <v>772</v>
      </c>
      <c r="I164" s="125" t="s">
        <v>82</v>
      </c>
      <c r="J164" s="126"/>
      <c r="K164" s="126"/>
      <c r="L164" s="127"/>
      <c r="M164" s="126"/>
      <c r="N164" s="126"/>
      <c r="O164" s="126"/>
      <c r="P164" s="127">
        <v>260</v>
      </c>
      <c r="Q164" s="129">
        <v>45816</v>
      </c>
      <c r="R164" s="139">
        <v>4.9236111111111112E-2</v>
      </c>
    </row>
    <row r="165" spans="1:18" ht="38.25" x14ac:dyDescent="0.25">
      <c r="A165" s="125" t="s">
        <v>780</v>
      </c>
      <c r="B165">
        <v>302</v>
      </c>
      <c r="C165" s="125">
        <v>80</v>
      </c>
      <c r="D165" s="125" t="s">
        <v>78</v>
      </c>
      <c r="E165" s="125" t="s">
        <v>1312</v>
      </c>
      <c r="F165" s="125" t="s">
        <v>320</v>
      </c>
      <c r="G165" s="125" t="s">
        <v>771</v>
      </c>
      <c r="H165" s="125" t="s">
        <v>772</v>
      </c>
      <c r="I165" s="125" t="s">
        <v>82</v>
      </c>
      <c r="J165" s="126">
        <v>20660</v>
      </c>
      <c r="K165" s="126">
        <v>14450</v>
      </c>
      <c r="L165" s="127">
        <v>11.5</v>
      </c>
      <c r="M165" s="126">
        <v>6210</v>
      </c>
      <c r="N165" s="126">
        <v>5495.8</v>
      </c>
      <c r="O165" s="126" t="s">
        <v>550</v>
      </c>
      <c r="P165" s="127">
        <v>261</v>
      </c>
      <c r="Q165" s="129">
        <v>45816</v>
      </c>
      <c r="R165" s="139">
        <v>0.18231481481481482</v>
      </c>
    </row>
    <row r="166" spans="1:18" ht="38.25" x14ac:dyDescent="0.25">
      <c r="A166" s="125" t="s">
        <v>781</v>
      </c>
      <c r="B166">
        <v>301</v>
      </c>
      <c r="C166" s="125">
        <v>79</v>
      </c>
      <c r="D166" s="125" t="s">
        <v>78</v>
      </c>
      <c r="E166" s="125" t="s">
        <v>1312</v>
      </c>
      <c r="F166" s="125" t="s">
        <v>320</v>
      </c>
      <c r="G166" s="125" t="s">
        <v>523</v>
      </c>
      <c r="H166" s="125" t="s">
        <v>782</v>
      </c>
      <c r="I166" s="125" t="s">
        <v>82</v>
      </c>
      <c r="J166" s="126">
        <v>27510</v>
      </c>
      <c r="K166" s="126">
        <v>20660</v>
      </c>
      <c r="L166" s="127">
        <v>13.5</v>
      </c>
      <c r="M166" s="126">
        <v>6850</v>
      </c>
      <c r="N166" s="126">
        <v>5925.2</v>
      </c>
      <c r="O166" s="126" t="s">
        <v>511</v>
      </c>
      <c r="P166" s="127">
        <v>262</v>
      </c>
      <c r="Q166" s="129">
        <v>45816</v>
      </c>
      <c r="R166" s="139">
        <v>0.35059027777777779</v>
      </c>
    </row>
    <row r="167" spans="1:18" ht="38.25" x14ac:dyDescent="0.25">
      <c r="A167" s="125" t="s">
        <v>783</v>
      </c>
      <c r="B167">
        <v>303</v>
      </c>
      <c r="C167" s="125">
        <v>81</v>
      </c>
      <c r="D167" s="125" t="s">
        <v>78</v>
      </c>
      <c r="E167" s="125" t="s">
        <v>329</v>
      </c>
      <c r="F167" s="125" t="s">
        <v>333</v>
      </c>
      <c r="G167" s="125" t="s">
        <v>523</v>
      </c>
      <c r="H167" s="125" t="s">
        <v>782</v>
      </c>
      <c r="I167" s="125" t="s">
        <v>82</v>
      </c>
      <c r="J167" s="126">
        <v>28740</v>
      </c>
      <c r="K167" s="126">
        <v>14970</v>
      </c>
      <c r="L167" s="127">
        <v>16</v>
      </c>
      <c r="M167" s="126">
        <v>13770</v>
      </c>
      <c r="N167" s="126">
        <v>11566.8</v>
      </c>
      <c r="O167" s="126" t="s">
        <v>511</v>
      </c>
      <c r="P167" s="127">
        <v>263</v>
      </c>
      <c r="Q167" s="129">
        <v>45816</v>
      </c>
      <c r="R167" s="139">
        <v>0.35116898148148146</v>
      </c>
    </row>
    <row r="168" spans="1:18" ht="38.25" x14ac:dyDescent="0.25">
      <c r="A168" s="125" t="s">
        <v>784</v>
      </c>
      <c r="B168">
        <v>292</v>
      </c>
      <c r="C168" s="125">
        <v>65</v>
      </c>
      <c r="D168" s="125" t="s">
        <v>78</v>
      </c>
      <c r="E168" s="125" t="s">
        <v>79</v>
      </c>
      <c r="F168" s="125" t="s">
        <v>80</v>
      </c>
      <c r="G168" s="125"/>
      <c r="H168" s="125" t="s">
        <v>21</v>
      </c>
      <c r="I168" s="125" t="s">
        <v>82</v>
      </c>
      <c r="J168" s="126"/>
      <c r="K168" s="126"/>
      <c r="L168" s="127"/>
      <c r="M168" s="126"/>
      <c r="N168" s="126"/>
      <c r="O168" s="126"/>
      <c r="P168" s="127">
        <v>264</v>
      </c>
      <c r="Q168" s="129">
        <v>45815</v>
      </c>
      <c r="R168" s="139">
        <v>0.70063657407407409</v>
      </c>
    </row>
    <row r="169" spans="1:18" ht="38.25" x14ac:dyDescent="0.25">
      <c r="A169" s="125" t="s">
        <v>785</v>
      </c>
      <c r="B169">
        <v>304</v>
      </c>
      <c r="C169" s="125">
        <v>82</v>
      </c>
      <c r="D169" s="125" t="s">
        <v>78</v>
      </c>
      <c r="E169" s="125" t="s">
        <v>79</v>
      </c>
      <c r="F169" s="125" t="s">
        <v>80</v>
      </c>
      <c r="G169" s="125" t="s">
        <v>523</v>
      </c>
      <c r="H169" s="125" t="s">
        <v>782</v>
      </c>
      <c r="I169" s="125" t="s">
        <v>82</v>
      </c>
      <c r="J169" s="126">
        <v>27790</v>
      </c>
      <c r="K169" s="126">
        <v>14070</v>
      </c>
      <c r="L169" s="127">
        <v>9</v>
      </c>
      <c r="M169" s="126">
        <v>13720</v>
      </c>
      <c r="N169" s="126">
        <v>12485.2</v>
      </c>
      <c r="O169" s="126" t="s">
        <v>511</v>
      </c>
      <c r="P169" s="127">
        <v>265</v>
      </c>
      <c r="Q169" s="129">
        <v>45816</v>
      </c>
      <c r="R169" s="139">
        <v>0.35263888888888889</v>
      </c>
    </row>
    <row r="170" spans="1:18" ht="38.25" x14ac:dyDescent="0.25">
      <c r="A170" s="125" t="s">
        <v>786</v>
      </c>
      <c r="B170">
        <v>305</v>
      </c>
      <c r="C170" s="125">
        <v>83</v>
      </c>
      <c r="D170" s="125" t="s">
        <v>78</v>
      </c>
      <c r="E170" s="125" t="s">
        <v>762</v>
      </c>
      <c r="F170" s="125" t="s">
        <v>763</v>
      </c>
      <c r="G170" s="125" t="s">
        <v>523</v>
      </c>
      <c r="H170" s="125" t="s">
        <v>782</v>
      </c>
      <c r="I170" s="125" t="s">
        <v>82</v>
      </c>
      <c r="J170" s="126">
        <v>9040</v>
      </c>
      <c r="K170" s="126">
        <v>4520</v>
      </c>
      <c r="L170" s="127">
        <v>7.5</v>
      </c>
      <c r="M170" s="126">
        <v>4520</v>
      </c>
      <c r="N170" s="126">
        <v>4181</v>
      </c>
      <c r="O170" s="126" t="s">
        <v>511</v>
      </c>
      <c r="P170" s="127">
        <v>266</v>
      </c>
      <c r="Q170" s="129">
        <v>45816</v>
      </c>
      <c r="R170" s="139">
        <v>0.35380787037037037</v>
      </c>
    </row>
    <row r="171" spans="1:18" ht="38.25" x14ac:dyDescent="0.25">
      <c r="A171" s="125" t="s">
        <v>787</v>
      </c>
      <c r="B171">
        <v>306</v>
      </c>
      <c r="C171" s="125">
        <v>84</v>
      </c>
      <c r="D171" s="125" t="s">
        <v>78</v>
      </c>
      <c r="E171" s="125" t="s">
        <v>1312</v>
      </c>
      <c r="F171" s="125" t="s">
        <v>320</v>
      </c>
      <c r="G171" s="125" t="s">
        <v>523</v>
      </c>
      <c r="H171" s="125" t="s">
        <v>782</v>
      </c>
      <c r="I171" s="125" t="s">
        <v>82</v>
      </c>
      <c r="J171" s="126">
        <v>27630</v>
      </c>
      <c r="K171" s="126">
        <v>14440</v>
      </c>
      <c r="L171" s="127">
        <v>9.5</v>
      </c>
      <c r="M171" s="126">
        <v>13190</v>
      </c>
      <c r="N171" s="126">
        <v>11936.9</v>
      </c>
      <c r="O171" s="126" t="s">
        <v>511</v>
      </c>
      <c r="P171" s="127">
        <v>267</v>
      </c>
      <c r="Q171" s="129">
        <v>45816</v>
      </c>
      <c r="R171" s="139">
        <v>0.35704861111111114</v>
      </c>
    </row>
    <row r="172" spans="1:18" ht="38.25" x14ac:dyDescent="0.25">
      <c r="A172" s="125" t="s">
        <v>788</v>
      </c>
      <c r="B172">
        <v>307</v>
      </c>
      <c r="C172" s="125">
        <v>85</v>
      </c>
      <c r="D172" s="125" t="s">
        <v>78</v>
      </c>
      <c r="E172" s="125" t="s">
        <v>329</v>
      </c>
      <c r="F172" s="125" t="s">
        <v>333</v>
      </c>
      <c r="G172" s="125" t="s">
        <v>523</v>
      </c>
      <c r="H172" s="125" t="s">
        <v>782</v>
      </c>
      <c r="I172" s="125" t="s">
        <v>82</v>
      </c>
      <c r="J172" s="126">
        <v>28590</v>
      </c>
      <c r="K172" s="126">
        <v>14950</v>
      </c>
      <c r="L172" s="127">
        <v>9.5</v>
      </c>
      <c r="M172" s="126">
        <v>13640</v>
      </c>
      <c r="N172" s="126">
        <v>12344.2</v>
      </c>
      <c r="O172" s="126" t="s">
        <v>511</v>
      </c>
      <c r="P172" s="127">
        <v>268</v>
      </c>
      <c r="Q172" s="129">
        <v>45816</v>
      </c>
      <c r="R172" s="139">
        <v>0.4624537037037037</v>
      </c>
    </row>
    <row r="173" spans="1:18" ht="38.25" x14ac:dyDescent="0.25">
      <c r="A173" s="125" t="s">
        <v>789</v>
      </c>
      <c r="B173">
        <v>309</v>
      </c>
      <c r="C173" s="125">
        <v>86</v>
      </c>
      <c r="D173" s="125" t="s">
        <v>78</v>
      </c>
      <c r="E173" s="125" t="s">
        <v>790</v>
      </c>
      <c r="F173" s="125" t="s">
        <v>243</v>
      </c>
      <c r="G173" s="125" t="s">
        <v>523</v>
      </c>
      <c r="H173" s="125" t="s">
        <v>782</v>
      </c>
      <c r="I173" s="125" t="s">
        <v>82</v>
      </c>
      <c r="J173" s="126">
        <v>27300</v>
      </c>
      <c r="K173" s="126">
        <v>14610</v>
      </c>
      <c r="L173" s="127">
        <v>10.5</v>
      </c>
      <c r="M173" s="126">
        <v>12690</v>
      </c>
      <c r="N173" s="126">
        <v>11357.5</v>
      </c>
      <c r="O173" s="126" t="s">
        <v>511</v>
      </c>
      <c r="P173" s="127">
        <v>269</v>
      </c>
      <c r="Q173" s="129">
        <v>45816</v>
      </c>
      <c r="R173" s="139">
        <v>0.46403935185185186</v>
      </c>
    </row>
    <row r="174" spans="1:18" ht="38.25" x14ac:dyDescent="0.25">
      <c r="A174" s="125" t="s">
        <v>791</v>
      </c>
      <c r="B174">
        <v>310</v>
      </c>
      <c r="C174" s="125">
        <v>87</v>
      </c>
      <c r="D174" s="125" t="s">
        <v>726</v>
      </c>
      <c r="E174" s="125" t="s">
        <v>737</v>
      </c>
      <c r="F174" s="125" t="s">
        <v>738</v>
      </c>
      <c r="G174" s="125" t="s">
        <v>523</v>
      </c>
      <c r="H174" s="125" t="s">
        <v>782</v>
      </c>
      <c r="I174" s="125" t="s">
        <v>82</v>
      </c>
      <c r="J174" s="126">
        <v>9060</v>
      </c>
      <c r="K174" s="126">
        <v>4570</v>
      </c>
      <c r="L174" s="127">
        <v>14</v>
      </c>
      <c r="M174" s="126">
        <v>4490</v>
      </c>
      <c r="N174" s="126">
        <v>3861.4</v>
      </c>
      <c r="O174" s="126" t="s">
        <v>511</v>
      </c>
      <c r="P174" s="127">
        <v>270</v>
      </c>
      <c r="Q174" s="129">
        <v>45816</v>
      </c>
      <c r="R174" s="139">
        <v>0.53762731481481485</v>
      </c>
    </row>
    <row r="175" spans="1:18" ht="38.25" x14ac:dyDescent="0.25">
      <c r="A175" s="125" t="s">
        <v>792</v>
      </c>
      <c r="B175">
        <v>311</v>
      </c>
      <c r="C175" s="125">
        <v>88</v>
      </c>
      <c r="D175" s="125" t="s">
        <v>78</v>
      </c>
      <c r="E175" s="125" t="s">
        <v>127</v>
      </c>
      <c r="F175" s="125" t="s">
        <v>131</v>
      </c>
      <c r="G175" s="125" t="s">
        <v>523</v>
      </c>
      <c r="H175" s="125" t="s">
        <v>782</v>
      </c>
      <c r="I175" s="125" t="s">
        <v>82</v>
      </c>
      <c r="J175" s="126">
        <v>28280</v>
      </c>
      <c r="K175" s="126">
        <v>14320</v>
      </c>
      <c r="L175" s="127">
        <v>12.5</v>
      </c>
      <c r="M175" s="126">
        <v>13960</v>
      </c>
      <c r="N175" s="126">
        <v>12215</v>
      </c>
      <c r="O175" s="126" t="s">
        <v>511</v>
      </c>
      <c r="P175" s="127">
        <v>271</v>
      </c>
      <c r="Q175" s="129">
        <v>45816</v>
      </c>
      <c r="R175" s="139">
        <v>0.54973379629629626</v>
      </c>
    </row>
    <row r="176" spans="1:18" ht="38.25" x14ac:dyDescent="0.25">
      <c r="A176" s="125" t="s">
        <v>793</v>
      </c>
      <c r="B176">
        <v>313</v>
      </c>
      <c r="C176" s="125">
        <v>89</v>
      </c>
      <c r="D176" s="125" t="s">
        <v>78</v>
      </c>
      <c r="E176" s="125" t="s">
        <v>311</v>
      </c>
      <c r="F176" s="125" t="s">
        <v>315</v>
      </c>
      <c r="G176" s="125" t="s">
        <v>523</v>
      </c>
      <c r="H176" s="125" t="s">
        <v>782</v>
      </c>
      <c r="I176" s="125" t="s">
        <v>82</v>
      </c>
      <c r="J176" s="126">
        <v>28870</v>
      </c>
      <c r="K176" s="126">
        <v>14930</v>
      </c>
      <c r="L176" s="127">
        <v>11</v>
      </c>
      <c r="M176" s="126">
        <v>13940</v>
      </c>
      <c r="N176" s="126">
        <v>12406.6</v>
      </c>
      <c r="O176" s="126" t="s">
        <v>550</v>
      </c>
      <c r="P176" s="127">
        <v>272</v>
      </c>
      <c r="Q176" s="129">
        <v>45816</v>
      </c>
      <c r="R176" s="139">
        <v>0.61174768518518519</v>
      </c>
    </row>
    <row r="177" spans="1:18" ht="38.25" x14ac:dyDescent="0.25">
      <c r="A177" s="125" t="s">
        <v>794</v>
      </c>
      <c r="B177">
        <v>314</v>
      </c>
      <c r="C177" s="125">
        <v>90</v>
      </c>
      <c r="D177" s="125" t="s">
        <v>78</v>
      </c>
      <c r="E177" s="125" t="s">
        <v>133</v>
      </c>
      <c r="F177" s="125" t="s">
        <v>137</v>
      </c>
      <c r="G177" s="125" t="s">
        <v>523</v>
      </c>
      <c r="H177" s="125" t="s">
        <v>782</v>
      </c>
      <c r="I177" s="125" t="s">
        <v>82</v>
      </c>
      <c r="J177" s="126">
        <v>29020</v>
      </c>
      <c r="K177" s="126">
        <v>14980</v>
      </c>
      <c r="L177" s="127">
        <v>14</v>
      </c>
      <c r="M177" s="126">
        <v>14040</v>
      </c>
      <c r="N177" s="126">
        <v>12074.4</v>
      </c>
      <c r="O177" s="126" t="s">
        <v>550</v>
      </c>
      <c r="P177" s="127">
        <v>273</v>
      </c>
      <c r="Q177" s="129">
        <v>45816</v>
      </c>
      <c r="R177" s="139">
        <v>0.81010416666666663</v>
      </c>
    </row>
    <row r="178" spans="1:18" ht="38.25" x14ac:dyDescent="0.25">
      <c r="A178" s="125" t="s">
        <v>795</v>
      </c>
      <c r="B178">
        <v>316</v>
      </c>
      <c r="C178" s="125">
        <v>91</v>
      </c>
      <c r="D178" s="125" t="s">
        <v>726</v>
      </c>
      <c r="E178" s="125" t="s">
        <v>737</v>
      </c>
      <c r="F178" s="125" t="s">
        <v>738</v>
      </c>
      <c r="G178" s="125" t="s">
        <v>796</v>
      </c>
      <c r="H178" s="125" t="s">
        <v>782</v>
      </c>
      <c r="I178" s="125" t="s">
        <v>82</v>
      </c>
      <c r="J178" s="126">
        <v>9360</v>
      </c>
      <c r="K178" s="126">
        <v>4590</v>
      </c>
      <c r="L178" s="127">
        <v>22</v>
      </c>
      <c r="M178" s="126">
        <v>4770</v>
      </c>
      <c r="N178" s="126">
        <v>3720.6</v>
      </c>
      <c r="O178" s="126" t="s">
        <v>511</v>
      </c>
      <c r="P178" s="127">
        <v>274</v>
      </c>
      <c r="Q178" s="129">
        <v>45816</v>
      </c>
      <c r="R178" s="139">
        <v>0.81156249999999996</v>
      </c>
    </row>
    <row r="179" spans="1:18" ht="38.25" x14ac:dyDescent="0.25">
      <c r="A179" s="125" t="s">
        <v>797</v>
      </c>
      <c r="B179">
        <v>317</v>
      </c>
      <c r="C179" s="125">
        <v>92</v>
      </c>
      <c r="D179" s="125" t="s">
        <v>78</v>
      </c>
      <c r="E179" s="125" t="s">
        <v>239</v>
      </c>
      <c r="F179" s="125" t="s">
        <v>243</v>
      </c>
      <c r="G179" s="125" t="s">
        <v>523</v>
      </c>
      <c r="H179" s="125" t="s">
        <v>782</v>
      </c>
      <c r="I179" s="125" t="s">
        <v>82</v>
      </c>
      <c r="J179" s="126">
        <v>28500</v>
      </c>
      <c r="K179" s="126">
        <v>14590</v>
      </c>
      <c r="L179" s="127">
        <v>23</v>
      </c>
      <c r="M179" s="126">
        <v>13910</v>
      </c>
      <c r="N179" s="126">
        <v>10710.7</v>
      </c>
      <c r="O179" s="126" t="s">
        <v>550</v>
      </c>
      <c r="P179" s="127">
        <v>275</v>
      </c>
      <c r="Q179" s="129">
        <v>45816</v>
      </c>
      <c r="R179" s="139">
        <v>0.81412037037037033</v>
      </c>
    </row>
    <row r="180" spans="1:18" ht="38.25" x14ac:dyDescent="0.25">
      <c r="A180" s="125" t="s">
        <v>798</v>
      </c>
      <c r="B180">
        <v>318</v>
      </c>
      <c r="C180" s="125">
        <v>93</v>
      </c>
      <c r="D180" s="125" t="s">
        <v>78</v>
      </c>
      <c r="E180" s="125" t="s">
        <v>127</v>
      </c>
      <c r="F180" s="125" t="s">
        <v>799</v>
      </c>
      <c r="G180" s="125" t="s">
        <v>523</v>
      </c>
      <c r="H180" s="125" t="s">
        <v>782</v>
      </c>
      <c r="I180" s="125" t="s">
        <v>82</v>
      </c>
      <c r="J180" s="126">
        <v>25680</v>
      </c>
      <c r="K180" s="126">
        <v>14310</v>
      </c>
      <c r="L180" s="127">
        <v>14</v>
      </c>
      <c r="M180" s="126">
        <v>11370</v>
      </c>
      <c r="N180" s="126">
        <v>9778.2000000000007</v>
      </c>
      <c r="O180" s="126" t="s">
        <v>550</v>
      </c>
      <c r="P180" s="127">
        <v>276</v>
      </c>
      <c r="Q180" s="129">
        <v>45816</v>
      </c>
      <c r="R180" s="139">
        <v>0.81562500000000004</v>
      </c>
    </row>
    <row r="181" spans="1:18" ht="38.25" x14ac:dyDescent="0.25">
      <c r="A181" s="125" t="s">
        <v>800</v>
      </c>
      <c r="B181">
        <v>319</v>
      </c>
      <c r="C181" s="125">
        <v>94</v>
      </c>
      <c r="D181" s="125" t="s">
        <v>78</v>
      </c>
      <c r="E181" s="125" t="s">
        <v>737</v>
      </c>
      <c r="F181" s="125" t="s">
        <v>738</v>
      </c>
      <c r="G181" s="125" t="s">
        <v>796</v>
      </c>
      <c r="H181" s="125" t="s">
        <v>782</v>
      </c>
      <c r="I181" s="125" t="s">
        <v>82</v>
      </c>
      <c r="J181" s="126">
        <v>9380</v>
      </c>
      <c r="K181" s="126">
        <v>4590</v>
      </c>
      <c r="L181" s="127">
        <v>17.5</v>
      </c>
      <c r="M181" s="126">
        <v>4790</v>
      </c>
      <c r="N181" s="126">
        <v>3951.7</v>
      </c>
      <c r="O181" s="126" t="s">
        <v>511</v>
      </c>
      <c r="P181" s="127">
        <v>277</v>
      </c>
      <c r="Q181" s="129">
        <v>45816</v>
      </c>
      <c r="R181" s="139">
        <v>0.8193287037037037</v>
      </c>
    </row>
    <row r="182" spans="1:18" ht="38.25" x14ac:dyDescent="0.25">
      <c r="A182" s="125" t="s">
        <v>801</v>
      </c>
      <c r="B182">
        <v>320</v>
      </c>
      <c r="C182" s="125">
        <v>95</v>
      </c>
      <c r="D182" s="125" t="s">
        <v>78</v>
      </c>
      <c r="E182" s="125" t="s">
        <v>311</v>
      </c>
      <c r="F182" s="125" t="s">
        <v>315</v>
      </c>
      <c r="G182" s="125" t="s">
        <v>523</v>
      </c>
      <c r="H182" s="125" t="s">
        <v>782</v>
      </c>
      <c r="I182" s="125" t="s">
        <v>82</v>
      </c>
      <c r="J182" s="126">
        <v>28720</v>
      </c>
      <c r="K182" s="126">
        <v>14930</v>
      </c>
      <c r="L182" s="127">
        <v>8.5</v>
      </c>
      <c r="M182" s="126">
        <v>13790</v>
      </c>
      <c r="N182" s="126">
        <v>12617.8</v>
      </c>
      <c r="O182" s="126" t="s">
        <v>550</v>
      </c>
      <c r="P182" s="127">
        <v>278</v>
      </c>
      <c r="Q182" s="129">
        <v>45816</v>
      </c>
      <c r="R182" s="139">
        <v>0.86629629629629634</v>
      </c>
    </row>
    <row r="183" spans="1:18" ht="38.25" x14ac:dyDescent="0.25">
      <c r="A183" s="125" t="s">
        <v>802</v>
      </c>
      <c r="B183">
        <v>322</v>
      </c>
      <c r="C183" s="125">
        <v>97</v>
      </c>
      <c r="D183" s="125" t="s">
        <v>78</v>
      </c>
      <c r="E183" s="125" t="s">
        <v>133</v>
      </c>
      <c r="F183" s="125" t="s">
        <v>137</v>
      </c>
      <c r="G183" s="125" t="s">
        <v>754</v>
      </c>
      <c r="H183" s="125" t="s">
        <v>21</v>
      </c>
      <c r="I183" s="125" t="s">
        <v>82</v>
      </c>
      <c r="J183" s="126">
        <v>29060</v>
      </c>
      <c r="K183" s="126">
        <v>22220</v>
      </c>
      <c r="L183" s="127">
        <v>8.5</v>
      </c>
      <c r="M183" s="126">
        <v>6840</v>
      </c>
      <c r="N183" s="126">
        <v>6258.6</v>
      </c>
      <c r="O183" s="126" t="s">
        <v>550</v>
      </c>
      <c r="P183" s="127">
        <v>279</v>
      </c>
      <c r="Q183" s="129">
        <v>45816</v>
      </c>
      <c r="R183" s="139">
        <v>0.9524421296296296</v>
      </c>
    </row>
    <row r="184" spans="1:18" ht="38.25" x14ac:dyDescent="0.25">
      <c r="A184" s="125" t="s">
        <v>803</v>
      </c>
      <c r="B184">
        <v>324</v>
      </c>
      <c r="C184" s="125">
        <v>97</v>
      </c>
      <c r="D184" s="125" t="s">
        <v>78</v>
      </c>
      <c r="E184" s="125" t="s">
        <v>133</v>
      </c>
      <c r="F184" s="125" t="s">
        <v>137</v>
      </c>
      <c r="G184" s="125" t="s">
        <v>523</v>
      </c>
      <c r="H184" s="125" t="s">
        <v>782</v>
      </c>
      <c r="I184" s="125" t="s">
        <v>82</v>
      </c>
      <c r="J184" s="126">
        <v>22220</v>
      </c>
      <c r="K184" s="126">
        <v>14960</v>
      </c>
      <c r="L184" s="127">
        <v>10</v>
      </c>
      <c r="M184" s="126">
        <v>7260</v>
      </c>
      <c r="N184" s="126">
        <v>6534</v>
      </c>
      <c r="O184" s="126" t="s">
        <v>550</v>
      </c>
      <c r="P184" s="127">
        <v>280</v>
      </c>
      <c r="Q184" s="129">
        <v>45816</v>
      </c>
      <c r="R184" s="139">
        <v>0.95421296296296299</v>
      </c>
    </row>
    <row r="185" spans="1:18" ht="38.25" x14ac:dyDescent="0.25">
      <c r="A185" s="125" t="s">
        <v>804</v>
      </c>
      <c r="B185">
        <v>323</v>
      </c>
      <c r="C185" s="125">
        <v>96</v>
      </c>
      <c r="D185" s="125" t="s">
        <v>78</v>
      </c>
      <c r="E185" s="125" t="s">
        <v>239</v>
      </c>
      <c r="F185" s="125" t="s">
        <v>243</v>
      </c>
      <c r="G185" s="125" t="s">
        <v>796</v>
      </c>
      <c r="H185" s="125" t="s">
        <v>805</v>
      </c>
      <c r="I185" s="125" t="s">
        <v>82</v>
      </c>
      <c r="J185" s="126">
        <v>29740</v>
      </c>
      <c r="K185" s="126">
        <v>22640</v>
      </c>
      <c r="L185" s="127">
        <v>14.5</v>
      </c>
      <c r="M185" s="126">
        <v>7100</v>
      </c>
      <c r="N185" s="126">
        <v>6070.5</v>
      </c>
      <c r="O185" s="126" t="s">
        <v>511</v>
      </c>
      <c r="P185" s="127">
        <v>281</v>
      </c>
      <c r="Q185" s="129">
        <v>45816</v>
      </c>
      <c r="R185" s="139">
        <v>0.9915856481481482</v>
      </c>
    </row>
    <row r="186" spans="1:18" ht="38.25" x14ac:dyDescent="0.25">
      <c r="A186" s="125" t="s">
        <v>806</v>
      </c>
      <c r="B186">
        <v>326</v>
      </c>
      <c r="C186" s="125">
        <v>96</v>
      </c>
      <c r="D186" s="125" t="s">
        <v>78</v>
      </c>
      <c r="E186" s="125" t="s">
        <v>239</v>
      </c>
      <c r="F186" s="125" t="s">
        <v>243</v>
      </c>
      <c r="G186" s="125" t="s">
        <v>796</v>
      </c>
      <c r="H186" s="125" t="s">
        <v>782</v>
      </c>
      <c r="I186" s="125" t="s">
        <v>82</v>
      </c>
      <c r="J186" s="126">
        <v>22640</v>
      </c>
      <c r="K186" s="126">
        <v>14580</v>
      </c>
      <c r="L186" s="127">
        <v>14.5</v>
      </c>
      <c r="M186" s="126">
        <v>8060</v>
      </c>
      <c r="N186" s="126">
        <v>6891.3</v>
      </c>
      <c r="O186" s="126" t="s">
        <v>511</v>
      </c>
      <c r="P186" s="127">
        <v>282</v>
      </c>
      <c r="Q186" s="129">
        <v>45816</v>
      </c>
      <c r="R186" s="139">
        <v>0.99465277777777783</v>
      </c>
    </row>
    <row r="187" spans="1:18" ht="38.25" x14ac:dyDescent="0.25">
      <c r="A187" s="125" t="s">
        <v>807</v>
      </c>
      <c r="B187">
        <v>325</v>
      </c>
      <c r="C187" s="125">
        <v>98</v>
      </c>
      <c r="D187" s="125" t="s">
        <v>78</v>
      </c>
      <c r="E187" s="125" t="s">
        <v>737</v>
      </c>
      <c r="F187" s="125" t="s">
        <v>738</v>
      </c>
      <c r="G187" s="125" t="s">
        <v>796</v>
      </c>
      <c r="H187" s="125" t="s">
        <v>805</v>
      </c>
      <c r="I187" s="125" t="s">
        <v>82</v>
      </c>
      <c r="J187" s="126">
        <v>9220</v>
      </c>
      <c r="K187" s="126">
        <v>4580</v>
      </c>
      <c r="L187" s="127">
        <v>14.5</v>
      </c>
      <c r="M187" s="126">
        <v>4640</v>
      </c>
      <c r="N187" s="126">
        <v>3967.2</v>
      </c>
      <c r="O187" s="126" t="s">
        <v>511</v>
      </c>
      <c r="P187" s="127">
        <v>283</v>
      </c>
      <c r="Q187" s="129">
        <v>45816</v>
      </c>
      <c r="R187" s="139">
        <v>0.92031249999999998</v>
      </c>
    </row>
    <row r="188" spans="1:18" ht="38.25" x14ac:dyDescent="0.25">
      <c r="A188" s="125" t="s">
        <v>808</v>
      </c>
      <c r="B188">
        <v>327</v>
      </c>
      <c r="C188" s="125">
        <v>99</v>
      </c>
      <c r="D188" s="125" t="s">
        <v>78</v>
      </c>
      <c r="E188" s="125" t="s">
        <v>127</v>
      </c>
      <c r="F188" s="125" t="s">
        <v>131</v>
      </c>
      <c r="G188" s="125" t="s">
        <v>754</v>
      </c>
      <c r="H188" s="125" t="s">
        <v>21</v>
      </c>
      <c r="I188" s="125" t="s">
        <v>82</v>
      </c>
      <c r="J188" s="126">
        <v>27940</v>
      </c>
      <c r="K188" s="126">
        <v>14300</v>
      </c>
      <c r="L188" s="127">
        <v>11.5</v>
      </c>
      <c r="M188" s="126">
        <v>13640</v>
      </c>
      <c r="N188" s="126">
        <v>12071.4</v>
      </c>
      <c r="O188" s="126" t="s">
        <v>550</v>
      </c>
      <c r="P188" s="127">
        <v>284</v>
      </c>
      <c r="Q188" s="129">
        <v>45816</v>
      </c>
      <c r="R188" s="139">
        <v>0.99716435185185182</v>
      </c>
    </row>
    <row r="189" spans="1:18" ht="38.25" x14ac:dyDescent="0.25">
      <c r="A189" s="125" t="s">
        <v>809</v>
      </c>
      <c r="B189">
        <v>328</v>
      </c>
      <c r="C189" s="125">
        <v>100</v>
      </c>
      <c r="D189" s="125" t="s">
        <v>78</v>
      </c>
      <c r="E189" s="125" t="s">
        <v>311</v>
      </c>
      <c r="F189" s="125" t="s">
        <v>315</v>
      </c>
      <c r="G189" s="125" t="s">
        <v>754</v>
      </c>
      <c r="H189" s="125" t="s">
        <v>21</v>
      </c>
      <c r="I189" s="125" t="s">
        <v>82</v>
      </c>
      <c r="J189" s="126">
        <v>28390</v>
      </c>
      <c r="K189" s="126">
        <v>14920</v>
      </c>
      <c r="L189" s="127">
        <v>14.5</v>
      </c>
      <c r="M189" s="126">
        <v>13470</v>
      </c>
      <c r="N189" s="126">
        <v>11516.8</v>
      </c>
      <c r="O189" s="126" t="s">
        <v>550</v>
      </c>
      <c r="P189" s="127">
        <v>285</v>
      </c>
      <c r="Q189" s="129">
        <v>45817</v>
      </c>
      <c r="R189" s="139">
        <v>0.10606481481481482</v>
      </c>
    </row>
    <row r="190" spans="1:18" ht="38.25" x14ac:dyDescent="0.25">
      <c r="A190" s="125" t="s">
        <v>810</v>
      </c>
      <c r="B190">
        <v>329</v>
      </c>
      <c r="C190" s="125">
        <v>101</v>
      </c>
      <c r="D190" s="125" t="s">
        <v>78</v>
      </c>
      <c r="E190" s="125" t="s">
        <v>239</v>
      </c>
      <c r="F190" s="125" t="s">
        <v>243</v>
      </c>
      <c r="G190" s="125" t="s">
        <v>754</v>
      </c>
      <c r="H190" s="125" t="s">
        <v>21</v>
      </c>
      <c r="I190" s="125" t="s">
        <v>82</v>
      </c>
      <c r="J190" s="126">
        <v>28980</v>
      </c>
      <c r="K190" s="126">
        <v>20040</v>
      </c>
      <c r="L190" s="127">
        <v>26.5</v>
      </c>
      <c r="M190" s="126">
        <v>8940</v>
      </c>
      <c r="N190" s="126">
        <v>6570.9</v>
      </c>
      <c r="O190" s="126" t="s">
        <v>511</v>
      </c>
      <c r="P190" s="127">
        <v>286</v>
      </c>
      <c r="Q190" s="129">
        <v>45817</v>
      </c>
      <c r="R190" s="139">
        <v>0.19387731481481482</v>
      </c>
    </row>
    <row r="191" spans="1:18" ht="38.25" x14ac:dyDescent="0.25">
      <c r="A191" s="125" t="s">
        <v>811</v>
      </c>
      <c r="B191">
        <v>330</v>
      </c>
      <c r="C191" s="125">
        <v>101</v>
      </c>
      <c r="D191" s="125" t="s">
        <v>78</v>
      </c>
      <c r="E191" s="125" t="s">
        <v>239</v>
      </c>
      <c r="F191" s="125" t="s">
        <v>243</v>
      </c>
      <c r="G191" s="125" t="s">
        <v>796</v>
      </c>
      <c r="H191" s="125" t="s">
        <v>805</v>
      </c>
      <c r="I191" s="125" t="s">
        <v>82</v>
      </c>
      <c r="J191" s="126">
        <v>20040</v>
      </c>
      <c r="K191" s="126">
        <v>14560</v>
      </c>
      <c r="L191" s="127">
        <v>15.5</v>
      </c>
      <c r="M191" s="126">
        <v>5480</v>
      </c>
      <c r="N191" s="126">
        <v>4630.6000000000004</v>
      </c>
      <c r="O191" s="126" t="s">
        <v>511</v>
      </c>
      <c r="P191" s="127">
        <v>287</v>
      </c>
      <c r="Q191" s="129">
        <v>45817</v>
      </c>
      <c r="R191" s="139">
        <v>0.1950462962962963</v>
      </c>
    </row>
    <row r="192" spans="1:18" ht="38.25" x14ac:dyDescent="0.25">
      <c r="A192" s="125" t="s">
        <v>812</v>
      </c>
      <c r="B192">
        <v>331</v>
      </c>
      <c r="C192" s="125">
        <v>102</v>
      </c>
      <c r="D192" s="125" t="s">
        <v>78</v>
      </c>
      <c r="E192" s="125" t="s">
        <v>133</v>
      </c>
      <c r="F192" s="125" t="s">
        <v>137</v>
      </c>
      <c r="G192" s="125" t="s">
        <v>754</v>
      </c>
      <c r="H192" s="125" t="s">
        <v>21</v>
      </c>
      <c r="I192" s="125" t="s">
        <v>82</v>
      </c>
      <c r="J192" s="126">
        <v>29040</v>
      </c>
      <c r="K192" s="126">
        <v>14960</v>
      </c>
      <c r="L192" s="127">
        <v>27</v>
      </c>
      <c r="M192" s="126">
        <v>14080</v>
      </c>
      <c r="N192" s="126">
        <v>10278.4</v>
      </c>
      <c r="O192" s="126" t="s">
        <v>511</v>
      </c>
      <c r="P192" s="127">
        <v>288</v>
      </c>
      <c r="Q192" s="129">
        <v>45817</v>
      </c>
      <c r="R192" s="139">
        <v>0.23598379629629629</v>
      </c>
    </row>
    <row r="193" spans="1:18" ht="38.25" x14ac:dyDescent="0.25">
      <c r="A193" s="125" t="s">
        <v>813</v>
      </c>
      <c r="B193">
        <v>332</v>
      </c>
      <c r="C193" s="125">
        <v>103</v>
      </c>
      <c r="D193" s="125" t="s">
        <v>78</v>
      </c>
      <c r="E193" s="125" t="s">
        <v>737</v>
      </c>
      <c r="F193" s="125" t="s">
        <v>738</v>
      </c>
      <c r="G193" s="125" t="s">
        <v>754</v>
      </c>
      <c r="H193" s="125" t="s">
        <v>21</v>
      </c>
      <c r="I193" s="125" t="s">
        <v>82</v>
      </c>
      <c r="J193" s="126">
        <v>7930</v>
      </c>
      <c r="K193" s="126">
        <v>4570</v>
      </c>
      <c r="L193" s="127">
        <v>11.5</v>
      </c>
      <c r="M193" s="126">
        <v>3360</v>
      </c>
      <c r="N193" s="126">
        <v>2973.6</v>
      </c>
      <c r="O193" s="126" t="s">
        <v>511</v>
      </c>
      <c r="P193" s="127">
        <v>289</v>
      </c>
      <c r="Q193" s="129">
        <v>45817</v>
      </c>
      <c r="R193" s="139">
        <v>0.3001388888888889</v>
      </c>
    </row>
    <row r="194" spans="1:18" ht="38.25" x14ac:dyDescent="0.25">
      <c r="A194" s="125" t="s">
        <v>814</v>
      </c>
      <c r="B194">
        <v>333</v>
      </c>
      <c r="C194" s="125">
        <v>104</v>
      </c>
      <c r="D194" s="125" t="s">
        <v>78</v>
      </c>
      <c r="E194" s="125" t="s">
        <v>127</v>
      </c>
      <c r="F194" s="125" t="s">
        <v>131</v>
      </c>
      <c r="G194" s="125" t="s">
        <v>754</v>
      </c>
      <c r="H194" s="125" t="s">
        <v>21</v>
      </c>
      <c r="I194" s="125" t="s">
        <v>82</v>
      </c>
      <c r="J194" s="126">
        <v>29700</v>
      </c>
      <c r="K194" s="126">
        <v>14290</v>
      </c>
      <c r="L194" s="127">
        <v>13</v>
      </c>
      <c r="M194" s="126">
        <v>15410</v>
      </c>
      <c r="N194" s="126">
        <v>13406.7</v>
      </c>
      <c r="O194" s="126" t="s">
        <v>550</v>
      </c>
      <c r="P194" s="127">
        <v>290</v>
      </c>
      <c r="Q194" s="129">
        <v>45817</v>
      </c>
      <c r="R194" s="139">
        <v>0.34989583333333335</v>
      </c>
    </row>
    <row r="195" spans="1:18" ht="63.75" x14ac:dyDescent="0.25">
      <c r="A195" s="125" t="s">
        <v>815</v>
      </c>
      <c r="B195">
        <v>243</v>
      </c>
      <c r="C195" s="125" t="s">
        <v>842</v>
      </c>
      <c r="D195" s="125" t="s">
        <v>78</v>
      </c>
      <c r="E195" s="125" t="s">
        <v>283</v>
      </c>
      <c r="F195" s="125" t="s">
        <v>287</v>
      </c>
      <c r="G195" s="125" t="s">
        <v>523</v>
      </c>
      <c r="H195" s="125" t="s">
        <v>524</v>
      </c>
      <c r="I195" s="125" t="s">
        <v>82</v>
      </c>
      <c r="J195" s="126">
        <v>31330</v>
      </c>
      <c r="K195" s="126">
        <v>17860</v>
      </c>
      <c r="L195" s="127">
        <v>17.600000000000001</v>
      </c>
      <c r="M195" s="126">
        <v>13470</v>
      </c>
      <c r="N195" s="126">
        <v>11105.4</v>
      </c>
      <c r="O195" s="126" t="s">
        <v>511</v>
      </c>
      <c r="P195" s="127">
        <v>291</v>
      </c>
      <c r="Q195" s="129">
        <v>45814</v>
      </c>
      <c r="R195" s="139">
        <v>0.81065972222222227</v>
      </c>
    </row>
    <row r="196" spans="1:18" ht="51" x14ac:dyDescent="0.25">
      <c r="A196" s="125" t="s">
        <v>816</v>
      </c>
      <c r="B196">
        <v>247</v>
      </c>
      <c r="C196" s="125" t="s">
        <v>843</v>
      </c>
      <c r="D196" s="125" t="s">
        <v>557</v>
      </c>
      <c r="E196" s="125" t="s">
        <v>289</v>
      </c>
      <c r="F196" s="125" t="s">
        <v>293</v>
      </c>
      <c r="G196" s="125" t="s">
        <v>523</v>
      </c>
      <c r="H196" s="125" t="s">
        <v>524</v>
      </c>
      <c r="I196" s="125" t="s">
        <v>82</v>
      </c>
      <c r="J196" s="126">
        <v>30930</v>
      </c>
      <c r="K196" s="126">
        <v>16950</v>
      </c>
      <c r="L196" s="127">
        <v>17.100000000000001</v>
      </c>
      <c r="M196" s="126">
        <v>13980</v>
      </c>
      <c r="N196" s="126">
        <v>11587</v>
      </c>
      <c r="O196" s="126" t="s">
        <v>511</v>
      </c>
      <c r="P196" s="127">
        <v>292</v>
      </c>
      <c r="Q196" s="129">
        <v>45814</v>
      </c>
      <c r="R196" s="139">
        <v>0.91165509259259259</v>
      </c>
    </row>
    <row r="197" spans="1:18" ht="51" x14ac:dyDescent="0.25">
      <c r="A197" s="125" t="s">
        <v>817</v>
      </c>
      <c r="B197">
        <v>262</v>
      </c>
      <c r="C197" s="125" t="s">
        <v>844</v>
      </c>
      <c r="D197" s="125" t="s">
        <v>78</v>
      </c>
      <c r="E197" s="125" t="s">
        <v>439</v>
      </c>
      <c r="F197" s="125" t="s">
        <v>440</v>
      </c>
      <c r="G197" s="125" t="s">
        <v>523</v>
      </c>
      <c r="H197" s="125" t="s">
        <v>524</v>
      </c>
      <c r="I197" s="125" t="s">
        <v>82</v>
      </c>
      <c r="J197" s="126">
        <v>32070</v>
      </c>
      <c r="K197" s="126">
        <v>16710</v>
      </c>
      <c r="L197" s="127">
        <v>18.3</v>
      </c>
      <c r="M197" s="126">
        <v>15360</v>
      </c>
      <c r="N197" s="126">
        <v>12544.9</v>
      </c>
      <c r="O197" s="126" t="s">
        <v>511</v>
      </c>
      <c r="P197" s="127">
        <v>293</v>
      </c>
      <c r="Q197" s="129">
        <v>45814</v>
      </c>
      <c r="R197" s="139">
        <v>0.58925925925925926</v>
      </c>
    </row>
    <row r="198" spans="1:18" ht="51" x14ac:dyDescent="0.25">
      <c r="A198" s="125" t="s">
        <v>818</v>
      </c>
      <c r="B198">
        <v>264</v>
      </c>
      <c r="C198" s="125" t="s">
        <v>845</v>
      </c>
      <c r="D198" s="125" t="s">
        <v>557</v>
      </c>
      <c r="E198" s="125" t="s">
        <v>295</v>
      </c>
      <c r="F198" s="125" t="s">
        <v>299</v>
      </c>
      <c r="G198" s="125" t="s">
        <v>523</v>
      </c>
      <c r="H198" s="125" t="s">
        <v>21</v>
      </c>
      <c r="I198" s="125" t="s">
        <v>82</v>
      </c>
      <c r="J198" s="126">
        <v>30510</v>
      </c>
      <c r="K198" s="126">
        <v>17670</v>
      </c>
      <c r="L198" s="127">
        <v>16.7</v>
      </c>
      <c r="M198" s="126">
        <v>12840</v>
      </c>
      <c r="N198" s="126">
        <v>10697.5</v>
      </c>
      <c r="O198" s="126" t="s">
        <v>511</v>
      </c>
      <c r="P198" s="127">
        <v>294</v>
      </c>
      <c r="Q198" s="129">
        <v>45814</v>
      </c>
      <c r="R198" s="139">
        <v>0.6055787037037037</v>
      </c>
    </row>
    <row r="199" spans="1:18" ht="51" x14ac:dyDescent="0.25">
      <c r="A199" s="125" t="s">
        <v>819</v>
      </c>
      <c r="B199">
        <v>261</v>
      </c>
      <c r="C199" s="125" t="s">
        <v>846</v>
      </c>
      <c r="D199" s="125" t="s">
        <v>78</v>
      </c>
      <c r="E199" s="125" t="s">
        <v>442</v>
      </c>
      <c r="F199" s="125" t="s">
        <v>443</v>
      </c>
      <c r="G199" s="125" t="s">
        <v>754</v>
      </c>
      <c r="H199" s="125" t="s">
        <v>21</v>
      </c>
      <c r="I199" s="125" t="s">
        <v>82</v>
      </c>
      <c r="J199" s="126">
        <v>35150</v>
      </c>
      <c r="K199" s="126">
        <v>18810</v>
      </c>
      <c r="L199" s="127">
        <v>13.5</v>
      </c>
      <c r="M199" s="126">
        <v>16340</v>
      </c>
      <c r="N199" s="126">
        <v>14133.1</v>
      </c>
      <c r="O199" s="126" t="s">
        <v>511</v>
      </c>
      <c r="P199" s="127">
        <v>295</v>
      </c>
      <c r="Q199" s="129">
        <v>45814</v>
      </c>
      <c r="R199" s="139">
        <v>0.58744212962962961</v>
      </c>
    </row>
    <row r="200" spans="1:18" ht="38.25" x14ac:dyDescent="0.25">
      <c r="A200" s="125" t="s">
        <v>829</v>
      </c>
      <c r="B200">
        <v>337</v>
      </c>
      <c r="C200" s="125">
        <v>64</v>
      </c>
      <c r="D200" s="125" t="s">
        <v>78</v>
      </c>
      <c r="E200" s="125" t="s">
        <v>329</v>
      </c>
      <c r="F200" s="125" t="s">
        <v>333</v>
      </c>
      <c r="G200" s="125" t="s">
        <v>754</v>
      </c>
      <c r="H200" s="125" t="s">
        <v>21</v>
      </c>
      <c r="I200" s="125" t="s">
        <v>82</v>
      </c>
      <c r="J200" s="126">
        <v>23850</v>
      </c>
      <c r="K200" s="126">
        <v>14890</v>
      </c>
      <c r="L200" s="127">
        <v>16</v>
      </c>
      <c r="M200" s="126">
        <v>8960</v>
      </c>
      <c r="N200" s="126">
        <v>7526.4</v>
      </c>
      <c r="O200" s="126" t="s">
        <v>511</v>
      </c>
      <c r="P200" s="127">
        <v>296</v>
      </c>
      <c r="Q200" s="129">
        <v>45815</v>
      </c>
      <c r="R200" s="139">
        <v>0.46439814814814817</v>
      </c>
    </row>
    <row r="201" spans="1:18" ht="63.75" x14ac:dyDescent="0.25">
      <c r="A201" s="125" t="s">
        <v>835</v>
      </c>
      <c r="B201">
        <v>280</v>
      </c>
      <c r="C201" s="125" t="s">
        <v>847</v>
      </c>
      <c r="D201" s="125" t="s">
        <v>78</v>
      </c>
      <c r="E201" s="125" t="s">
        <v>514</v>
      </c>
      <c r="F201" s="125" t="s">
        <v>515</v>
      </c>
      <c r="G201" s="125" t="s">
        <v>754</v>
      </c>
      <c r="H201" s="125" t="s">
        <v>21</v>
      </c>
      <c r="I201" s="125" t="s">
        <v>82</v>
      </c>
      <c r="J201" s="126">
        <v>31050</v>
      </c>
      <c r="K201" s="126">
        <v>17130</v>
      </c>
      <c r="L201" s="127">
        <v>19</v>
      </c>
      <c r="M201" s="126">
        <v>13920</v>
      </c>
      <c r="N201" s="126">
        <v>11279.6</v>
      </c>
      <c r="O201" s="126" t="s">
        <v>511</v>
      </c>
      <c r="P201" s="127">
        <v>297</v>
      </c>
      <c r="Q201" s="129">
        <v>45815</v>
      </c>
      <c r="R201" s="139">
        <v>0.17601851851851852</v>
      </c>
    </row>
    <row r="202" spans="1:18" ht="63.75" x14ac:dyDescent="0.25">
      <c r="A202" s="125" t="s">
        <v>830</v>
      </c>
      <c r="B202">
        <v>269</v>
      </c>
      <c r="C202" s="125" t="s">
        <v>848</v>
      </c>
      <c r="D202" s="125" t="s">
        <v>78</v>
      </c>
      <c r="E202" s="125" t="s">
        <v>521</v>
      </c>
      <c r="F202" s="125" t="s">
        <v>675</v>
      </c>
      <c r="G202" s="125" t="s">
        <v>754</v>
      </c>
      <c r="H202" s="125" t="s">
        <v>21</v>
      </c>
      <c r="I202" s="125" t="s">
        <v>82</v>
      </c>
      <c r="J202" s="126">
        <v>32130</v>
      </c>
      <c r="K202" s="126">
        <v>16130</v>
      </c>
      <c r="L202" s="127">
        <v>18.899999999999999</v>
      </c>
      <c r="M202" s="126">
        <v>16000</v>
      </c>
      <c r="N202" s="126">
        <v>12975.8</v>
      </c>
      <c r="O202" s="126" t="s">
        <v>511</v>
      </c>
      <c r="P202" s="127">
        <v>298</v>
      </c>
      <c r="Q202" s="129">
        <v>45815</v>
      </c>
      <c r="R202" s="139">
        <v>0.76811342592592591</v>
      </c>
    </row>
    <row r="203" spans="1:18" ht="38.25" x14ac:dyDescent="0.25">
      <c r="A203" s="125" t="s">
        <v>834</v>
      </c>
      <c r="B203">
        <v>336</v>
      </c>
      <c r="C203" s="125">
        <v>105</v>
      </c>
      <c r="D203" s="125" t="s">
        <v>78</v>
      </c>
      <c r="E203" s="125" t="s">
        <v>212</v>
      </c>
      <c r="F203" s="125" t="s">
        <v>216</v>
      </c>
      <c r="G203" s="125" t="s">
        <v>849</v>
      </c>
      <c r="H203" s="125" t="s">
        <v>524</v>
      </c>
      <c r="I203" s="125" t="s">
        <v>82</v>
      </c>
      <c r="J203" s="126">
        <v>22920</v>
      </c>
      <c r="K203" s="126">
        <v>13920</v>
      </c>
      <c r="L203" s="127">
        <v>12</v>
      </c>
      <c r="M203" s="126">
        <v>9000</v>
      </c>
      <c r="N203" s="126">
        <v>7920</v>
      </c>
      <c r="O203" s="126" t="s">
        <v>833</v>
      </c>
      <c r="P203" s="128">
        <v>299</v>
      </c>
      <c r="Q203" s="129">
        <v>45817</v>
      </c>
      <c r="R203" s="139">
        <v>0.53057870370370375</v>
      </c>
    </row>
    <row r="204" spans="1:18" ht="38.25" x14ac:dyDescent="0.25">
      <c r="A204" s="125" t="s">
        <v>832</v>
      </c>
      <c r="B204">
        <v>338</v>
      </c>
      <c r="C204" s="125">
        <v>106</v>
      </c>
      <c r="D204" s="125" t="s">
        <v>78</v>
      </c>
      <c r="E204" s="125" t="s">
        <v>121</v>
      </c>
      <c r="F204" s="125" t="s">
        <v>125</v>
      </c>
      <c r="G204" s="125" t="s">
        <v>754</v>
      </c>
      <c r="H204" s="125" t="s">
        <v>21</v>
      </c>
      <c r="I204" s="125" t="s">
        <v>82</v>
      </c>
      <c r="J204" s="126">
        <v>27980</v>
      </c>
      <c r="K204" s="126">
        <v>14750</v>
      </c>
      <c r="L204" s="127">
        <v>16</v>
      </c>
      <c r="M204" s="126">
        <v>13230</v>
      </c>
      <c r="N204" s="126">
        <v>11113.2</v>
      </c>
      <c r="O204" s="126" t="s">
        <v>550</v>
      </c>
      <c r="P204" s="128">
        <v>300</v>
      </c>
      <c r="Q204" s="129">
        <v>45817</v>
      </c>
      <c r="R204" s="139">
        <v>0.53311342592592592</v>
      </c>
    </row>
    <row r="205" spans="1:18" ht="38.25" x14ac:dyDescent="0.25">
      <c r="A205" s="125" t="s">
        <v>831</v>
      </c>
      <c r="B205">
        <v>339</v>
      </c>
      <c r="C205" s="125">
        <v>107</v>
      </c>
      <c r="D205" s="125" t="s">
        <v>78</v>
      </c>
      <c r="E205" s="125" t="s">
        <v>79</v>
      </c>
      <c r="F205" s="125" t="s">
        <v>850</v>
      </c>
      <c r="G205" s="125" t="s">
        <v>849</v>
      </c>
      <c r="H205" s="125" t="s">
        <v>524</v>
      </c>
      <c r="I205" s="125" t="s">
        <v>82</v>
      </c>
      <c r="J205" s="126">
        <v>23280</v>
      </c>
      <c r="K205" s="126">
        <v>14180</v>
      </c>
      <c r="L205" s="127">
        <v>14.5</v>
      </c>
      <c r="M205" s="126">
        <v>9100</v>
      </c>
      <c r="N205" s="126">
        <v>7780.5</v>
      </c>
      <c r="O205" s="126" t="s">
        <v>550</v>
      </c>
      <c r="P205" s="128">
        <v>301</v>
      </c>
      <c r="Q205" s="129">
        <v>45817</v>
      </c>
      <c r="R205" s="139">
        <v>0.53510416666666671</v>
      </c>
    </row>
    <row r="206" spans="1:18" ht="38.25" x14ac:dyDescent="0.25">
      <c r="A206" s="125" t="s">
        <v>851</v>
      </c>
      <c r="B206">
        <v>340</v>
      </c>
      <c r="C206" s="125">
        <v>108</v>
      </c>
      <c r="D206" s="125" t="s">
        <v>78</v>
      </c>
      <c r="E206" s="125" t="s">
        <v>762</v>
      </c>
      <c r="F206" s="125" t="s">
        <v>763</v>
      </c>
      <c r="G206" s="125" t="s">
        <v>754</v>
      </c>
      <c r="H206" s="125" t="s">
        <v>21</v>
      </c>
      <c r="I206" s="125" t="s">
        <v>82</v>
      </c>
      <c r="J206" s="126">
        <v>9270</v>
      </c>
      <c r="K206" s="126">
        <v>4600</v>
      </c>
      <c r="L206" s="127">
        <v>20.5</v>
      </c>
      <c r="M206" s="126">
        <v>4670</v>
      </c>
      <c r="N206" s="126">
        <v>3712.6</v>
      </c>
      <c r="O206" s="126" t="s">
        <v>550</v>
      </c>
      <c r="P206" s="128">
        <v>302</v>
      </c>
      <c r="Q206" s="129">
        <v>45817</v>
      </c>
      <c r="R206" s="139">
        <v>0.53657407407407409</v>
      </c>
    </row>
    <row r="207" spans="1:18" ht="38.25" x14ac:dyDescent="0.25">
      <c r="A207" s="125" t="s">
        <v>852</v>
      </c>
      <c r="B207">
        <v>341</v>
      </c>
      <c r="C207" s="125">
        <v>109</v>
      </c>
      <c r="D207" s="125" t="s">
        <v>78</v>
      </c>
      <c r="E207" s="125" t="s">
        <v>212</v>
      </c>
      <c r="F207" s="125" t="s">
        <v>216</v>
      </c>
      <c r="G207" s="125" t="s">
        <v>849</v>
      </c>
      <c r="H207" s="125" t="s">
        <v>524</v>
      </c>
      <c r="I207" s="125" t="s">
        <v>82</v>
      </c>
      <c r="J207" s="126">
        <v>22650</v>
      </c>
      <c r="K207" s="126">
        <v>13900</v>
      </c>
      <c r="L207" s="127">
        <v>15.5</v>
      </c>
      <c r="M207" s="126">
        <v>8750</v>
      </c>
      <c r="N207" s="126">
        <v>7393.7</v>
      </c>
      <c r="O207" s="126" t="s">
        <v>833</v>
      </c>
      <c r="P207" s="128">
        <v>303</v>
      </c>
      <c r="Q207" s="129">
        <v>45817</v>
      </c>
      <c r="R207" s="139">
        <v>0.56603009259259263</v>
      </c>
    </row>
    <row r="208" spans="1:18" ht="51" x14ac:dyDescent="0.25">
      <c r="A208" s="125" t="s">
        <v>853</v>
      </c>
      <c r="C208" s="125" t="s">
        <v>854</v>
      </c>
      <c r="D208" s="125" t="s">
        <v>105</v>
      </c>
      <c r="E208" s="125" t="s">
        <v>855</v>
      </c>
      <c r="F208" s="125" t="s">
        <v>518</v>
      </c>
      <c r="G208" s="125" t="s">
        <v>365</v>
      </c>
      <c r="H208" s="125" t="s">
        <v>21</v>
      </c>
      <c r="I208" s="125" t="s">
        <v>82</v>
      </c>
      <c r="J208" s="126">
        <v>34840</v>
      </c>
      <c r="K208" s="126">
        <v>18500</v>
      </c>
      <c r="L208" s="127">
        <v>21.4</v>
      </c>
      <c r="M208" s="126">
        <v>16340</v>
      </c>
      <c r="N208" s="126">
        <v>12845.4</v>
      </c>
      <c r="O208" s="126" t="s">
        <v>511</v>
      </c>
      <c r="P208" s="128">
        <v>304</v>
      </c>
      <c r="Q208" s="129">
        <v>45814</v>
      </c>
      <c r="R208" s="139">
        <v>0.96899305555555559</v>
      </c>
    </row>
    <row r="209" spans="1:18" ht="51" x14ac:dyDescent="0.25">
      <c r="A209" s="125" t="s">
        <v>856</v>
      </c>
      <c r="C209" s="125" t="s">
        <v>857</v>
      </c>
      <c r="D209" s="125" t="s">
        <v>105</v>
      </c>
      <c r="E209" s="125" t="s">
        <v>521</v>
      </c>
      <c r="F209" s="125" t="s">
        <v>858</v>
      </c>
      <c r="G209" s="125" t="s">
        <v>365</v>
      </c>
      <c r="H209" s="125" t="s">
        <v>21</v>
      </c>
      <c r="I209" s="125" t="s">
        <v>82</v>
      </c>
      <c r="J209" s="126">
        <v>31840</v>
      </c>
      <c r="K209" s="126">
        <v>16000</v>
      </c>
      <c r="L209" s="127">
        <v>19</v>
      </c>
      <c r="M209" s="126">
        <v>15840</v>
      </c>
      <c r="N209" s="126">
        <v>12823.2</v>
      </c>
      <c r="O209" s="126" t="s">
        <v>511</v>
      </c>
      <c r="P209" s="128">
        <v>305</v>
      </c>
      <c r="Q209" s="129">
        <v>45814</v>
      </c>
      <c r="R209" s="139">
        <v>0.57127314814814811</v>
      </c>
    </row>
    <row r="210" spans="1:18" ht="38.25" x14ac:dyDescent="0.25">
      <c r="A210" s="125" t="s">
        <v>859</v>
      </c>
      <c r="B210">
        <v>343</v>
      </c>
      <c r="C210" s="125">
        <v>110</v>
      </c>
      <c r="D210" s="125" t="s">
        <v>78</v>
      </c>
      <c r="E210" s="125" t="s">
        <v>329</v>
      </c>
      <c r="F210" s="125" t="s">
        <v>333</v>
      </c>
      <c r="G210" s="125" t="s">
        <v>754</v>
      </c>
      <c r="H210" s="125" t="s">
        <v>21</v>
      </c>
      <c r="I210" s="125" t="s">
        <v>82</v>
      </c>
      <c r="J210" s="126">
        <v>28400</v>
      </c>
      <c r="K210" s="126">
        <v>14930</v>
      </c>
      <c r="L210" s="127">
        <v>15.5</v>
      </c>
      <c r="M210" s="126">
        <v>13470</v>
      </c>
      <c r="N210" s="126">
        <v>11382.1</v>
      </c>
      <c r="O210" s="126" t="s">
        <v>550</v>
      </c>
      <c r="P210" s="128">
        <v>306</v>
      </c>
      <c r="Q210" s="129">
        <v>45817</v>
      </c>
      <c r="R210" s="139">
        <v>0.69925925925925925</v>
      </c>
    </row>
    <row r="211" spans="1:18" ht="38.25" x14ac:dyDescent="0.25">
      <c r="A211" s="125" t="s">
        <v>860</v>
      </c>
      <c r="B211">
        <v>344</v>
      </c>
      <c r="C211" s="125">
        <v>111</v>
      </c>
      <c r="D211" s="125" t="s">
        <v>78</v>
      </c>
      <c r="E211" s="125" t="s">
        <v>79</v>
      </c>
      <c r="F211" s="125" t="s">
        <v>80</v>
      </c>
      <c r="G211" s="125" t="s">
        <v>849</v>
      </c>
      <c r="H211" s="125" t="s">
        <v>524</v>
      </c>
      <c r="I211" s="125" t="s">
        <v>82</v>
      </c>
      <c r="J211" s="126">
        <v>23630</v>
      </c>
      <c r="K211" s="126">
        <v>14160</v>
      </c>
      <c r="L211" s="127">
        <v>14.5</v>
      </c>
      <c r="M211" s="126">
        <v>9470</v>
      </c>
      <c r="N211" s="126">
        <v>8096.8</v>
      </c>
      <c r="O211" s="126" t="s">
        <v>550</v>
      </c>
      <c r="P211" s="128">
        <v>307</v>
      </c>
      <c r="Q211" s="129">
        <v>45817</v>
      </c>
      <c r="R211" s="139">
        <v>0.70101851851851849</v>
      </c>
    </row>
    <row r="212" spans="1:18" ht="38.25" x14ac:dyDescent="0.25">
      <c r="A212" s="125" t="s">
        <v>861</v>
      </c>
      <c r="B212">
        <v>346</v>
      </c>
      <c r="C212" s="125">
        <v>112</v>
      </c>
      <c r="D212" s="125" t="s">
        <v>78</v>
      </c>
      <c r="E212" s="125" t="s">
        <v>212</v>
      </c>
      <c r="F212" s="125" t="s">
        <v>216</v>
      </c>
      <c r="G212" s="125" t="s">
        <v>849</v>
      </c>
      <c r="H212" s="125" t="s">
        <v>524</v>
      </c>
      <c r="I212" s="125" t="s">
        <v>82</v>
      </c>
      <c r="J212" s="126">
        <v>24450</v>
      </c>
      <c r="K212" s="126">
        <v>13910</v>
      </c>
      <c r="L212" s="127">
        <v>11.5</v>
      </c>
      <c r="M212" s="126">
        <v>10540</v>
      </c>
      <c r="N212" s="126">
        <v>9327.9</v>
      </c>
      <c r="O212" s="126" t="s">
        <v>833</v>
      </c>
      <c r="P212" s="128">
        <v>308</v>
      </c>
      <c r="Q212" s="129">
        <v>45817</v>
      </c>
      <c r="R212" s="139">
        <v>0.72424768518518523</v>
      </c>
    </row>
    <row r="213" spans="1:18" ht="38.25" x14ac:dyDescent="0.25">
      <c r="A213" s="125" t="s">
        <v>862</v>
      </c>
      <c r="B213">
        <v>347</v>
      </c>
      <c r="C213" s="125">
        <v>106</v>
      </c>
      <c r="D213" s="125" t="s">
        <v>78</v>
      </c>
      <c r="E213" s="125" t="s">
        <v>121</v>
      </c>
      <c r="F213" s="125" t="s">
        <v>125</v>
      </c>
      <c r="G213" s="125" t="s">
        <v>754</v>
      </c>
      <c r="H213" s="125" t="s">
        <v>21</v>
      </c>
      <c r="I213" s="125" t="s">
        <v>82</v>
      </c>
      <c r="J213" s="126">
        <v>28260</v>
      </c>
      <c r="K213" s="126">
        <v>14720</v>
      </c>
      <c r="L213" s="127">
        <v>18.5</v>
      </c>
      <c r="M213" s="126">
        <v>13540</v>
      </c>
      <c r="N213" s="126">
        <v>11035.1</v>
      </c>
      <c r="O213" s="126" t="s">
        <v>550</v>
      </c>
      <c r="P213" s="128">
        <v>309</v>
      </c>
      <c r="Q213" s="129">
        <v>45817</v>
      </c>
      <c r="R213" s="139">
        <v>0.81312499999999999</v>
      </c>
    </row>
    <row r="214" spans="1:18" ht="38.25" x14ac:dyDescent="0.25">
      <c r="A214" s="125" t="s">
        <v>868</v>
      </c>
      <c r="B214">
        <v>348</v>
      </c>
      <c r="C214" s="125">
        <v>114</v>
      </c>
      <c r="D214" s="125" t="s">
        <v>78</v>
      </c>
      <c r="E214" s="125" t="s">
        <v>1312</v>
      </c>
      <c r="F214" s="125" t="s">
        <v>320</v>
      </c>
      <c r="G214" s="125" t="s">
        <v>771</v>
      </c>
      <c r="H214" s="125" t="s">
        <v>21</v>
      </c>
      <c r="I214" s="125" t="s">
        <v>82</v>
      </c>
      <c r="J214" s="126">
        <v>31620</v>
      </c>
      <c r="K214" s="126">
        <v>14480</v>
      </c>
      <c r="L214" s="127">
        <v>12</v>
      </c>
      <c r="M214" s="126">
        <v>17140</v>
      </c>
      <c r="N214" s="126">
        <v>15083.2</v>
      </c>
      <c r="O214" s="126" t="s">
        <v>550</v>
      </c>
      <c r="P214" s="128">
        <v>310</v>
      </c>
      <c r="Q214" s="129">
        <v>45818</v>
      </c>
      <c r="R214" s="139">
        <v>0.3074189814814815</v>
      </c>
    </row>
    <row r="215" spans="1:18" ht="38.25" x14ac:dyDescent="0.25">
      <c r="A215" s="125" t="s">
        <v>881</v>
      </c>
      <c r="B215">
        <v>349</v>
      </c>
      <c r="C215" s="125">
        <v>115</v>
      </c>
      <c r="D215" s="125" t="s">
        <v>78</v>
      </c>
      <c r="E215" s="125" t="s">
        <v>335</v>
      </c>
      <c r="F215" s="125" t="s">
        <v>339</v>
      </c>
      <c r="G215" s="125" t="s">
        <v>796</v>
      </c>
      <c r="H215" s="125" t="s">
        <v>893</v>
      </c>
      <c r="I215" s="125" t="s">
        <v>82</v>
      </c>
      <c r="J215" s="126">
        <v>32670</v>
      </c>
      <c r="K215" s="126">
        <v>14700</v>
      </c>
      <c r="L215" s="127">
        <v>16</v>
      </c>
      <c r="M215" s="126">
        <v>17970</v>
      </c>
      <c r="N215" s="126">
        <v>15094.8</v>
      </c>
      <c r="O215" s="126" t="s">
        <v>511</v>
      </c>
      <c r="P215" s="128">
        <v>311</v>
      </c>
      <c r="Q215" s="129">
        <v>45818</v>
      </c>
      <c r="R215" s="139">
        <v>0.47795138888888888</v>
      </c>
    </row>
    <row r="216" spans="1:18" ht="38.25" x14ac:dyDescent="0.25">
      <c r="A216" s="125" t="s">
        <v>877</v>
      </c>
      <c r="B216">
        <v>351</v>
      </c>
      <c r="C216" s="125">
        <v>116</v>
      </c>
      <c r="D216" s="125" t="s">
        <v>78</v>
      </c>
      <c r="E216" s="125" t="s">
        <v>1312</v>
      </c>
      <c r="F216" s="125" t="s">
        <v>320</v>
      </c>
      <c r="G216" s="125" t="s">
        <v>771</v>
      </c>
      <c r="H216" s="125" t="s">
        <v>21</v>
      </c>
      <c r="I216" s="125" t="s">
        <v>82</v>
      </c>
      <c r="J216" s="126">
        <v>24440</v>
      </c>
      <c r="K216" s="126">
        <v>14460</v>
      </c>
      <c r="L216" s="127">
        <v>8.5</v>
      </c>
      <c r="M216" s="126">
        <v>9980</v>
      </c>
      <c r="N216" s="126">
        <v>9131.7000000000007</v>
      </c>
      <c r="O216" s="126" t="s">
        <v>550</v>
      </c>
      <c r="P216" s="128">
        <v>312</v>
      </c>
      <c r="Q216" s="129">
        <v>45818</v>
      </c>
      <c r="R216" s="139">
        <v>0.49776620370370372</v>
      </c>
    </row>
    <row r="217" spans="1:18" ht="38.25" x14ac:dyDescent="0.25">
      <c r="A217" s="125" t="s">
        <v>882</v>
      </c>
      <c r="B217">
        <v>352</v>
      </c>
      <c r="C217" s="125">
        <v>117</v>
      </c>
      <c r="D217" s="125" t="s">
        <v>78</v>
      </c>
      <c r="E217" s="125" t="s">
        <v>894</v>
      </c>
      <c r="F217" s="125" t="s">
        <v>895</v>
      </c>
      <c r="G217" s="125" t="s">
        <v>796</v>
      </c>
      <c r="H217" s="125" t="s">
        <v>896</v>
      </c>
      <c r="I217" s="125" t="s">
        <v>82</v>
      </c>
      <c r="J217" s="126">
        <v>25900</v>
      </c>
      <c r="K217" s="126">
        <v>14860</v>
      </c>
      <c r="L217" s="127">
        <v>20.5</v>
      </c>
      <c r="M217" s="126">
        <v>11040</v>
      </c>
      <c r="N217" s="126">
        <v>8776.7999999999993</v>
      </c>
      <c r="O217" s="126" t="s">
        <v>511</v>
      </c>
      <c r="P217" s="128">
        <v>313</v>
      </c>
      <c r="Q217" s="129">
        <v>45818</v>
      </c>
      <c r="R217" s="139">
        <v>0.56106481481481485</v>
      </c>
    </row>
    <row r="218" spans="1:18" ht="38.25" x14ac:dyDescent="0.25">
      <c r="A218" s="125" t="s">
        <v>885</v>
      </c>
      <c r="B218">
        <v>353</v>
      </c>
      <c r="C218" s="125">
        <v>118</v>
      </c>
      <c r="D218" s="125" t="s">
        <v>78</v>
      </c>
      <c r="E218" s="125" t="s">
        <v>127</v>
      </c>
      <c r="F218" s="125" t="s">
        <v>131</v>
      </c>
      <c r="G218" s="125" t="s">
        <v>796</v>
      </c>
      <c r="H218" s="125" t="s">
        <v>897</v>
      </c>
      <c r="I218" s="125" t="s">
        <v>82</v>
      </c>
      <c r="J218" s="126">
        <v>23280</v>
      </c>
      <c r="K218" s="126">
        <v>18880</v>
      </c>
      <c r="L218" s="127">
        <v>12.5</v>
      </c>
      <c r="M218" s="126">
        <v>4400</v>
      </c>
      <c r="N218" s="126">
        <v>3850</v>
      </c>
      <c r="O218" s="126" t="s">
        <v>511</v>
      </c>
      <c r="P218" s="128">
        <v>314</v>
      </c>
      <c r="Q218" s="129">
        <v>45818</v>
      </c>
      <c r="R218" s="139">
        <v>0.57414351851851853</v>
      </c>
    </row>
    <row r="219" spans="1:18" ht="38.25" x14ac:dyDescent="0.25">
      <c r="A219" s="125" t="s">
        <v>883</v>
      </c>
      <c r="B219">
        <v>354</v>
      </c>
      <c r="C219" s="125">
        <v>118</v>
      </c>
      <c r="D219" s="125" t="s">
        <v>78</v>
      </c>
      <c r="E219" s="125" t="s">
        <v>127</v>
      </c>
      <c r="F219" s="125" t="s">
        <v>131</v>
      </c>
      <c r="G219" s="125" t="s">
        <v>796</v>
      </c>
      <c r="H219" s="125" t="s">
        <v>896</v>
      </c>
      <c r="I219" s="125" t="s">
        <v>82</v>
      </c>
      <c r="J219" s="126">
        <v>18880</v>
      </c>
      <c r="K219" s="126">
        <v>14290</v>
      </c>
      <c r="L219" s="127">
        <v>29.5</v>
      </c>
      <c r="M219" s="126">
        <v>4590</v>
      </c>
      <c r="N219" s="126">
        <v>3235.9</v>
      </c>
      <c r="O219" s="126" t="s">
        <v>511</v>
      </c>
      <c r="P219" s="128">
        <v>315</v>
      </c>
      <c r="Q219" s="129">
        <v>45818</v>
      </c>
      <c r="R219" s="139">
        <v>0.57973379629629629</v>
      </c>
    </row>
    <row r="220" spans="1:18" ht="38.25" x14ac:dyDescent="0.25">
      <c r="A220" s="125" t="s">
        <v>880</v>
      </c>
      <c r="B220">
        <v>356</v>
      </c>
      <c r="C220" s="125">
        <v>119</v>
      </c>
      <c r="D220" s="125" t="s">
        <v>78</v>
      </c>
      <c r="E220" s="125" t="s">
        <v>335</v>
      </c>
      <c r="F220" s="125" t="s">
        <v>339</v>
      </c>
      <c r="G220" s="125" t="s">
        <v>898</v>
      </c>
      <c r="H220" s="125" t="s">
        <v>747</v>
      </c>
      <c r="I220" s="125" t="s">
        <v>82</v>
      </c>
      <c r="J220" s="126">
        <v>28700</v>
      </c>
      <c r="K220" s="126">
        <v>14680</v>
      </c>
      <c r="L220" s="127">
        <v>10</v>
      </c>
      <c r="M220" s="126">
        <v>14020</v>
      </c>
      <c r="N220" s="126">
        <v>12618</v>
      </c>
      <c r="O220" s="126" t="s">
        <v>550</v>
      </c>
      <c r="P220" s="128">
        <v>316</v>
      </c>
      <c r="Q220" s="129">
        <v>45818</v>
      </c>
      <c r="R220" s="139">
        <v>0.69202546296296297</v>
      </c>
    </row>
    <row r="221" spans="1:18" ht="38.25" x14ac:dyDescent="0.25">
      <c r="A221" s="125" t="s">
        <v>887</v>
      </c>
      <c r="B221">
        <v>357</v>
      </c>
      <c r="C221" s="125">
        <v>120</v>
      </c>
      <c r="D221" s="125" t="s">
        <v>78</v>
      </c>
      <c r="E221" s="125" t="s">
        <v>1312</v>
      </c>
      <c r="F221" s="125" t="s">
        <v>320</v>
      </c>
      <c r="G221" s="125" t="s">
        <v>796</v>
      </c>
      <c r="H221" s="125" t="s">
        <v>899</v>
      </c>
      <c r="I221" s="125" t="s">
        <v>82</v>
      </c>
      <c r="J221" s="126">
        <v>25050</v>
      </c>
      <c r="K221" s="126">
        <v>20660</v>
      </c>
      <c r="L221" s="127">
        <v>29.5</v>
      </c>
      <c r="M221" s="126">
        <v>4390</v>
      </c>
      <c r="N221" s="126">
        <v>3094.9</v>
      </c>
      <c r="O221" s="126" t="s">
        <v>511</v>
      </c>
      <c r="P221" s="128">
        <v>317</v>
      </c>
      <c r="Q221" s="129">
        <v>45818</v>
      </c>
      <c r="R221" s="139">
        <v>0.79440972222222217</v>
      </c>
    </row>
    <row r="222" spans="1:18" ht="38.25" x14ac:dyDescent="0.25">
      <c r="A222" s="125" t="s">
        <v>884</v>
      </c>
      <c r="B222">
        <v>358</v>
      </c>
      <c r="C222" s="125">
        <v>120</v>
      </c>
      <c r="D222" s="125" t="s">
        <v>78</v>
      </c>
      <c r="E222" s="125" t="s">
        <v>1312</v>
      </c>
      <c r="F222" s="125" t="s">
        <v>320</v>
      </c>
      <c r="G222" s="125" t="s">
        <v>796</v>
      </c>
      <c r="H222" s="125" t="s">
        <v>900</v>
      </c>
      <c r="I222" s="125" t="s">
        <v>82</v>
      </c>
      <c r="J222" s="126">
        <v>20660</v>
      </c>
      <c r="K222" s="126">
        <v>14480</v>
      </c>
      <c r="L222" s="127">
        <v>21.5</v>
      </c>
      <c r="M222" s="126">
        <v>6180</v>
      </c>
      <c r="N222" s="126">
        <v>4851.3</v>
      </c>
      <c r="O222" s="126" t="s">
        <v>511</v>
      </c>
      <c r="P222" s="128">
        <v>318</v>
      </c>
      <c r="Q222" s="129">
        <v>45818</v>
      </c>
      <c r="R222" s="139">
        <v>0.80173611111111109</v>
      </c>
    </row>
    <row r="223" spans="1:18" ht="38.25" x14ac:dyDescent="0.25">
      <c r="A223" s="125" t="s">
        <v>873</v>
      </c>
      <c r="B223">
        <v>359</v>
      </c>
      <c r="C223" s="125">
        <v>121</v>
      </c>
      <c r="D223" s="125" t="s">
        <v>78</v>
      </c>
      <c r="E223" s="125" t="s">
        <v>894</v>
      </c>
      <c r="F223" s="125" t="s">
        <v>895</v>
      </c>
      <c r="G223" s="125" t="s">
        <v>898</v>
      </c>
      <c r="H223" s="125" t="s">
        <v>524</v>
      </c>
      <c r="I223" s="125" t="s">
        <v>82</v>
      </c>
      <c r="J223" s="126">
        <v>30340</v>
      </c>
      <c r="K223" s="126">
        <v>23450</v>
      </c>
      <c r="L223" s="127">
        <v>6.5</v>
      </c>
      <c r="M223" s="126">
        <v>6890</v>
      </c>
      <c r="N223" s="126">
        <v>6442.1</v>
      </c>
      <c r="O223" s="126" t="s">
        <v>550</v>
      </c>
      <c r="P223" s="128">
        <v>319</v>
      </c>
      <c r="Q223" s="129">
        <v>45818</v>
      </c>
      <c r="R223" s="139">
        <v>0.80744212962962958</v>
      </c>
    </row>
    <row r="224" spans="1:18" ht="38.25" x14ac:dyDescent="0.25">
      <c r="A224" s="125" t="s">
        <v>869</v>
      </c>
      <c r="B224">
        <v>361</v>
      </c>
      <c r="C224" s="125">
        <v>121</v>
      </c>
      <c r="D224" s="125" t="s">
        <v>78</v>
      </c>
      <c r="E224" s="125" t="s">
        <v>894</v>
      </c>
      <c r="F224" s="125" t="s">
        <v>895</v>
      </c>
      <c r="G224" s="125" t="s">
        <v>898</v>
      </c>
      <c r="H224" s="125" t="s">
        <v>747</v>
      </c>
      <c r="I224" s="125" t="s">
        <v>82</v>
      </c>
      <c r="J224" s="126">
        <v>23450</v>
      </c>
      <c r="K224" s="126">
        <v>14840</v>
      </c>
      <c r="L224" s="127">
        <v>8.5</v>
      </c>
      <c r="M224" s="126">
        <v>8610</v>
      </c>
      <c r="N224" s="126">
        <v>7878.1</v>
      </c>
      <c r="O224" s="126" t="s">
        <v>550</v>
      </c>
      <c r="P224" s="128">
        <v>320</v>
      </c>
      <c r="Q224" s="129">
        <v>45818</v>
      </c>
      <c r="R224" s="139">
        <v>0.81635416666666671</v>
      </c>
    </row>
    <row r="225" spans="1:18" ht="38.25" x14ac:dyDescent="0.25">
      <c r="A225" s="125" t="s">
        <v>886</v>
      </c>
      <c r="B225">
        <v>362</v>
      </c>
      <c r="C225" s="125">
        <v>28</v>
      </c>
      <c r="D225" s="125" t="s">
        <v>903</v>
      </c>
      <c r="E225" s="125" t="s">
        <v>737</v>
      </c>
      <c r="F225" s="125" t="s">
        <v>738</v>
      </c>
      <c r="G225" s="125" t="s">
        <v>957</v>
      </c>
      <c r="H225" s="125" t="s">
        <v>901</v>
      </c>
      <c r="I225" s="125" t="s">
        <v>82</v>
      </c>
      <c r="J225" s="126">
        <v>6240</v>
      </c>
      <c r="K225" s="126">
        <v>4560</v>
      </c>
      <c r="L225" s="127">
        <v>12</v>
      </c>
      <c r="M225" s="126">
        <v>1680</v>
      </c>
      <c r="N225" s="126">
        <v>1478.4</v>
      </c>
      <c r="O225" s="126" t="s">
        <v>511</v>
      </c>
      <c r="P225" s="128">
        <v>321</v>
      </c>
      <c r="Q225" s="129">
        <v>45818</v>
      </c>
      <c r="R225" s="139">
        <v>0.81973379629629628</v>
      </c>
    </row>
    <row r="226" spans="1:18" ht="38.25" x14ac:dyDescent="0.25">
      <c r="A226" s="125" t="s">
        <v>889</v>
      </c>
      <c r="B226">
        <v>363</v>
      </c>
      <c r="C226" s="125">
        <v>123</v>
      </c>
      <c r="D226" s="125" t="s">
        <v>78</v>
      </c>
      <c r="E226" s="125" t="s">
        <v>1312</v>
      </c>
      <c r="F226" s="125" t="s">
        <v>320</v>
      </c>
      <c r="G226" s="125" t="s">
        <v>796</v>
      </c>
      <c r="H226" s="125" t="s">
        <v>747</v>
      </c>
      <c r="I226" s="125" t="s">
        <v>82</v>
      </c>
      <c r="J226" s="126">
        <v>27420</v>
      </c>
      <c r="K226" s="126">
        <v>14450</v>
      </c>
      <c r="L226" s="127">
        <v>13.5</v>
      </c>
      <c r="M226" s="126">
        <v>12970</v>
      </c>
      <c r="N226" s="126">
        <v>11219</v>
      </c>
      <c r="O226" s="126" t="s">
        <v>833</v>
      </c>
      <c r="P226" s="128">
        <v>322</v>
      </c>
      <c r="Q226" s="129">
        <v>45818</v>
      </c>
      <c r="R226" s="139">
        <v>0.86835648148148148</v>
      </c>
    </row>
    <row r="227" spans="1:18" ht="38.25" x14ac:dyDescent="0.25">
      <c r="A227" s="125" t="s">
        <v>890</v>
      </c>
      <c r="B227">
        <v>364</v>
      </c>
      <c r="C227" s="125">
        <v>124</v>
      </c>
      <c r="D227" s="125" t="s">
        <v>78</v>
      </c>
      <c r="E227" s="125" t="s">
        <v>335</v>
      </c>
      <c r="F227" s="125" t="s">
        <v>339</v>
      </c>
      <c r="G227" s="125" t="s">
        <v>898</v>
      </c>
      <c r="H227" s="125" t="s">
        <v>524</v>
      </c>
      <c r="I227" s="125" t="s">
        <v>82</v>
      </c>
      <c r="J227" s="126">
        <v>28620</v>
      </c>
      <c r="K227" s="126">
        <v>14660</v>
      </c>
      <c r="L227" s="127">
        <v>13.5</v>
      </c>
      <c r="M227" s="126">
        <v>13960</v>
      </c>
      <c r="N227" s="126">
        <v>12075.4</v>
      </c>
      <c r="O227" s="126" t="s">
        <v>833</v>
      </c>
      <c r="P227" s="128">
        <v>323</v>
      </c>
      <c r="Q227" s="129">
        <v>45818</v>
      </c>
      <c r="R227" s="139">
        <v>0.99599537037037034</v>
      </c>
    </row>
    <row r="228" spans="1:18" ht="38.25" x14ac:dyDescent="0.25">
      <c r="A228" s="125" t="s">
        <v>867</v>
      </c>
      <c r="B228">
        <v>365</v>
      </c>
      <c r="C228" s="125">
        <v>125</v>
      </c>
      <c r="D228" s="125" t="s">
        <v>78</v>
      </c>
      <c r="E228" s="125" t="s">
        <v>127</v>
      </c>
      <c r="F228" s="125" t="s">
        <v>131</v>
      </c>
      <c r="G228" s="125" t="s">
        <v>796</v>
      </c>
      <c r="H228" s="125" t="s">
        <v>747</v>
      </c>
      <c r="I228" s="125" t="s">
        <v>82</v>
      </c>
      <c r="J228" s="126">
        <v>27130</v>
      </c>
      <c r="K228" s="126">
        <v>14260</v>
      </c>
      <c r="L228" s="127">
        <v>10.5</v>
      </c>
      <c r="M228" s="126">
        <v>12870</v>
      </c>
      <c r="N228" s="126">
        <v>11518.6</v>
      </c>
      <c r="O228" s="126" t="s">
        <v>550</v>
      </c>
      <c r="P228" s="128">
        <v>324</v>
      </c>
      <c r="Q228" s="129">
        <v>45818</v>
      </c>
      <c r="R228" s="139">
        <v>0.90521990740740743</v>
      </c>
    </row>
    <row r="229" spans="1:18" ht="38.25" x14ac:dyDescent="0.25">
      <c r="A229" s="125" t="s">
        <v>875</v>
      </c>
      <c r="B229">
        <v>366</v>
      </c>
      <c r="C229" s="125">
        <v>126</v>
      </c>
      <c r="D229" s="125" t="s">
        <v>78</v>
      </c>
      <c r="E229" s="125" t="s">
        <v>737</v>
      </c>
      <c r="F229" s="125" t="s">
        <v>738</v>
      </c>
      <c r="G229" s="125" t="s">
        <v>796</v>
      </c>
      <c r="H229" s="125" t="s">
        <v>747</v>
      </c>
      <c r="I229" s="125" t="s">
        <v>82</v>
      </c>
      <c r="J229" s="126">
        <v>8820</v>
      </c>
      <c r="K229" s="126">
        <v>4560</v>
      </c>
      <c r="L229" s="127">
        <v>10.5</v>
      </c>
      <c r="M229" s="126">
        <v>4260</v>
      </c>
      <c r="N229" s="126">
        <v>3812.7</v>
      </c>
      <c r="O229" s="126" t="s">
        <v>550</v>
      </c>
      <c r="P229" s="128">
        <v>325</v>
      </c>
      <c r="Q229" s="129">
        <v>45818</v>
      </c>
      <c r="R229" s="139">
        <v>0.92482638888888891</v>
      </c>
    </row>
    <row r="230" spans="1:18" ht="38.25" x14ac:dyDescent="0.25">
      <c r="A230" s="125" t="s">
        <v>891</v>
      </c>
      <c r="B230">
        <v>367</v>
      </c>
      <c r="C230" s="125">
        <v>127</v>
      </c>
      <c r="D230" s="125" t="s">
        <v>78</v>
      </c>
      <c r="E230" s="125" t="s">
        <v>894</v>
      </c>
      <c r="F230" s="125" t="s">
        <v>895</v>
      </c>
      <c r="G230" s="125" t="s">
        <v>898</v>
      </c>
      <c r="H230" s="125" t="s">
        <v>524</v>
      </c>
      <c r="I230" s="125" t="s">
        <v>82</v>
      </c>
      <c r="J230" s="126">
        <v>28410</v>
      </c>
      <c r="K230" s="126">
        <v>14850</v>
      </c>
      <c r="L230" s="127">
        <v>13.5</v>
      </c>
      <c r="M230" s="126">
        <v>13560</v>
      </c>
      <c r="N230" s="126">
        <v>11729.4</v>
      </c>
      <c r="O230" s="126" t="s">
        <v>833</v>
      </c>
      <c r="P230" s="128">
        <v>326</v>
      </c>
      <c r="Q230" s="129">
        <v>45818</v>
      </c>
      <c r="R230" s="139">
        <v>0.92878472222222219</v>
      </c>
    </row>
    <row r="231" spans="1:18" ht="38.25" x14ac:dyDescent="0.25">
      <c r="A231" s="125" t="s">
        <v>878</v>
      </c>
      <c r="B231">
        <v>368</v>
      </c>
      <c r="C231" s="125">
        <v>128</v>
      </c>
      <c r="D231" s="125" t="s">
        <v>78</v>
      </c>
      <c r="E231" s="125" t="s">
        <v>1312</v>
      </c>
      <c r="F231" s="125" t="s">
        <v>320</v>
      </c>
      <c r="G231" s="125" t="s">
        <v>796</v>
      </c>
      <c r="H231" s="125" t="s">
        <v>747</v>
      </c>
      <c r="I231" s="125" t="s">
        <v>82</v>
      </c>
      <c r="J231" s="126">
        <v>27150</v>
      </c>
      <c r="K231" s="126">
        <v>14430</v>
      </c>
      <c r="L231" s="127">
        <v>11.5</v>
      </c>
      <c r="M231" s="126">
        <v>12720</v>
      </c>
      <c r="N231" s="126">
        <v>11257.2</v>
      </c>
      <c r="O231" s="126" t="s">
        <v>550</v>
      </c>
      <c r="P231" s="128">
        <v>327</v>
      </c>
      <c r="Q231" s="129">
        <v>45818</v>
      </c>
      <c r="R231" s="139">
        <v>0.97493055555555552</v>
      </c>
    </row>
    <row r="232" spans="1:18" ht="38.25" x14ac:dyDescent="0.25">
      <c r="A232" s="125" t="s">
        <v>879</v>
      </c>
      <c r="B232">
        <v>369</v>
      </c>
      <c r="C232" s="125">
        <v>129</v>
      </c>
      <c r="D232" s="125" t="s">
        <v>78</v>
      </c>
      <c r="E232" s="125" t="s">
        <v>335</v>
      </c>
      <c r="F232" s="125" t="s">
        <v>339</v>
      </c>
      <c r="G232" s="125" t="s">
        <v>898</v>
      </c>
      <c r="H232" s="125" t="s">
        <v>524</v>
      </c>
      <c r="I232" s="125" t="s">
        <v>82</v>
      </c>
      <c r="J232" s="126">
        <v>28490</v>
      </c>
      <c r="K232" s="126">
        <v>14640</v>
      </c>
      <c r="L232" s="127">
        <v>12</v>
      </c>
      <c r="M232" s="126">
        <v>13850</v>
      </c>
      <c r="N232" s="126">
        <v>12188</v>
      </c>
      <c r="O232" s="126" t="s">
        <v>550</v>
      </c>
      <c r="P232" s="128">
        <v>328</v>
      </c>
      <c r="Q232" s="129">
        <v>45819</v>
      </c>
      <c r="R232" s="139">
        <v>0.18425925925925926</v>
      </c>
    </row>
    <row r="233" spans="1:18" ht="38.25" x14ac:dyDescent="0.25">
      <c r="A233" s="125" t="s">
        <v>876</v>
      </c>
      <c r="B233">
        <v>371</v>
      </c>
      <c r="C233" s="125">
        <v>131</v>
      </c>
      <c r="D233" s="125" t="s">
        <v>78</v>
      </c>
      <c r="E233" s="125" t="s">
        <v>737</v>
      </c>
      <c r="F233" s="125" t="s">
        <v>738</v>
      </c>
      <c r="G233" s="125" t="s">
        <v>796</v>
      </c>
      <c r="H233" s="125" t="s">
        <v>747</v>
      </c>
      <c r="I233" s="125" t="s">
        <v>82</v>
      </c>
      <c r="J233" s="126">
        <v>8840</v>
      </c>
      <c r="K233" s="126">
        <v>4550</v>
      </c>
      <c r="L233" s="127">
        <v>7</v>
      </c>
      <c r="M233" s="126">
        <v>4290</v>
      </c>
      <c r="N233" s="126">
        <v>3989.7</v>
      </c>
      <c r="O233" s="126" t="s">
        <v>550</v>
      </c>
      <c r="P233" s="128">
        <v>329</v>
      </c>
      <c r="Q233" s="129">
        <v>45819</v>
      </c>
      <c r="R233" s="139">
        <v>0.18593750000000001</v>
      </c>
    </row>
    <row r="234" spans="1:18" ht="38.25" x14ac:dyDescent="0.25">
      <c r="A234" s="125" t="s">
        <v>871</v>
      </c>
      <c r="B234">
        <v>370</v>
      </c>
      <c r="C234" s="125">
        <v>130</v>
      </c>
      <c r="D234" s="125" t="s">
        <v>78</v>
      </c>
      <c r="E234" s="125" t="s">
        <v>127</v>
      </c>
      <c r="F234" s="125" t="s">
        <v>131</v>
      </c>
      <c r="G234" s="125" t="s">
        <v>796</v>
      </c>
      <c r="H234" s="125" t="s">
        <v>747</v>
      </c>
      <c r="I234" s="125" t="s">
        <v>82</v>
      </c>
      <c r="J234" s="126">
        <v>27160</v>
      </c>
      <c r="K234" s="126">
        <v>14250</v>
      </c>
      <c r="L234" s="127">
        <v>10.5</v>
      </c>
      <c r="M234" s="126">
        <v>12910</v>
      </c>
      <c r="N234" s="126">
        <v>11554.4</v>
      </c>
      <c r="O234" s="126" t="s">
        <v>550</v>
      </c>
      <c r="P234" s="128">
        <v>330</v>
      </c>
      <c r="Q234" s="129">
        <v>45819</v>
      </c>
      <c r="R234" s="139">
        <v>0.24312500000000001</v>
      </c>
    </row>
    <row r="235" spans="1:18" ht="38.25" x14ac:dyDescent="0.25">
      <c r="A235" s="125" t="s">
        <v>866</v>
      </c>
      <c r="B235">
        <v>360</v>
      </c>
      <c r="C235" s="125">
        <v>122</v>
      </c>
      <c r="D235" s="125" t="s">
        <v>78</v>
      </c>
      <c r="E235" s="125" t="s">
        <v>127</v>
      </c>
      <c r="F235" s="125" t="s">
        <v>131</v>
      </c>
      <c r="G235" s="125" t="s">
        <v>796</v>
      </c>
      <c r="H235" s="125" t="s">
        <v>899</v>
      </c>
      <c r="I235" s="125" t="s">
        <v>82</v>
      </c>
      <c r="J235" s="126">
        <v>22670</v>
      </c>
      <c r="K235" s="126">
        <v>14280</v>
      </c>
      <c r="L235" s="127">
        <v>19</v>
      </c>
      <c r="M235" s="126">
        <v>8390</v>
      </c>
      <c r="N235" s="126">
        <v>6795.9</v>
      </c>
      <c r="O235" s="126" t="s">
        <v>511</v>
      </c>
      <c r="P235" s="128">
        <v>331</v>
      </c>
      <c r="Q235" s="129">
        <v>45818</v>
      </c>
      <c r="R235" s="139">
        <v>0.71254629629629629</v>
      </c>
    </row>
    <row r="236" spans="1:18" ht="38.25" x14ac:dyDescent="0.25">
      <c r="A236" s="125" t="s">
        <v>870</v>
      </c>
      <c r="B236">
        <v>372</v>
      </c>
      <c r="C236" s="125">
        <v>132</v>
      </c>
      <c r="D236" s="125" t="s">
        <v>78</v>
      </c>
      <c r="E236" s="125" t="s">
        <v>894</v>
      </c>
      <c r="F236" s="125" t="s">
        <v>895</v>
      </c>
      <c r="G236" s="125" t="s">
        <v>849</v>
      </c>
      <c r="H236" s="125" t="s">
        <v>524</v>
      </c>
      <c r="I236" s="125" t="s">
        <v>82</v>
      </c>
      <c r="J236" s="126">
        <v>28460</v>
      </c>
      <c r="K236" s="126">
        <v>14840</v>
      </c>
      <c r="L236" s="127">
        <v>9.5</v>
      </c>
      <c r="M236" s="126">
        <v>13620</v>
      </c>
      <c r="N236" s="126">
        <v>12326.1</v>
      </c>
      <c r="O236" s="126" t="s">
        <v>550</v>
      </c>
      <c r="P236" s="128">
        <v>332</v>
      </c>
      <c r="Q236" s="129">
        <v>45819</v>
      </c>
      <c r="R236" s="139">
        <v>0.37170138888888887</v>
      </c>
    </row>
    <row r="237" spans="1:18" ht="38.25" x14ac:dyDescent="0.25">
      <c r="A237" s="125" t="s">
        <v>874</v>
      </c>
      <c r="B237">
        <v>373</v>
      </c>
      <c r="C237" s="125">
        <v>133</v>
      </c>
      <c r="D237" s="125" t="s">
        <v>78</v>
      </c>
      <c r="E237" s="125" t="s">
        <v>335</v>
      </c>
      <c r="F237" s="125" t="s">
        <v>339</v>
      </c>
      <c r="G237" s="125" t="s">
        <v>796</v>
      </c>
      <c r="H237" s="125" t="s">
        <v>747</v>
      </c>
      <c r="I237" s="125" t="s">
        <v>82</v>
      </c>
      <c r="J237" s="126">
        <v>27930</v>
      </c>
      <c r="K237" s="126">
        <v>14640</v>
      </c>
      <c r="L237" s="127">
        <v>10</v>
      </c>
      <c r="M237" s="126">
        <v>13290</v>
      </c>
      <c r="N237" s="126">
        <v>11961</v>
      </c>
      <c r="O237" s="126" t="s">
        <v>550</v>
      </c>
      <c r="P237" s="128">
        <v>333</v>
      </c>
      <c r="Q237" s="129">
        <v>45819</v>
      </c>
      <c r="R237" s="139">
        <v>0.40662037037037035</v>
      </c>
    </row>
    <row r="238" spans="1:18" ht="38.25" x14ac:dyDescent="0.25">
      <c r="A238" s="125" t="s">
        <v>892</v>
      </c>
      <c r="B238">
        <v>375</v>
      </c>
      <c r="C238" s="125">
        <v>134</v>
      </c>
      <c r="D238" s="125" t="s">
        <v>78</v>
      </c>
      <c r="E238" s="125" t="s">
        <v>133</v>
      </c>
      <c r="F238" s="125" t="s">
        <v>137</v>
      </c>
      <c r="G238" s="125" t="s">
        <v>796</v>
      </c>
      <c r="H238" s="125" t="s">
        <v>747</v>
      </c>
      <c r="I238" s="125" t="s">
        <v>82</v>
      </c>
      <c r="J238" s="126">
        <v>25280</v>
      </c>
      <c r="K238" s="126">
        <v>14940</v>
      </c>
      <c r="L238" s="127">
        <v>5</v>
      </c>
      <c r="M238" s="126">
        <v>10340</v>
      </c>
      <c r="N238" s="126">
        <v>9823</v>
      </c>
      <c r="O238" s="126" t="s">
        <v>833</v>
      </c>
      <c r="P238" s="128">
        <v>334</v>
      </c>
      <c r="Q238" s="129">
        <v>45819</v>
      </c>
      <c r="R238" s="139">
        <v>0.49790509259259258</v>
      </c>
    </row>
    <row r="239" spans="1:18" ht="38.25" x14ac:dyDescent="0.25">
      <c r="A239" s="125" t="s">
        <v>888</v>
      </c>
      <c r="B239">
        <v>377</v>
      </c>
      <c r="C239" s="125">
        <v>135</v>
      </c>
      <c r="D239" s="125" t="s">
        <v>78</v>
      </c>
      <c r="E239" s="125" t="s">
        <v>311</v>
      </c>
      <c r="F239" s="125" t="s">
        <v>315</v>
      </c>
      <c r="G239" s="125" t="s">
        <v>796</v>
      </c>
      <c r="H239" s="125" t="s">
        <v>747</v>
      </c>
      <c r="I239" s="125" t="s">
        <v>82</v>
      </c>
      <c r="J239" s="126">
        <v>25720</v>
      </c>
      <c r="K239" s="126">
        <v>15020</v>
      </c>
      <c r="L239" s="127">
        <v>6.5</v>
      </c>
      <c r="M239" s="126">
        <v>10700</v>
      </c>
      <c r="N239" s="126">
        <v>10004.5</v>
      </c>
      <c r="O239" s="126" t="s">
        <v>833</v>
      </c>
      <c r="P239" s="128">
        <v>335</v>
      </c>
      <c r="Q239" s="129">
        <v>45819</v>
      </c>
      <c r="R239" s="139">
        <v>0.55651620370370369</v>
      </c>
    </row>
    <row r="240" spans="1:18" ht="38.25" x14ac:dyDescent="0.25">
      <c r="A240" s="125" t="s">
        <v>872</v>
      </c>
      <c r="B240">
        <v>378</v>
      </c>
      <c r="C240" s="125">
        <v>3</v>
      </c>
      <c r="D240" s="125" t="s">
        <v>903</v>
      </c>
      <c r="E240" s="125" t="s">
        <v>762</v>
      </c>
      <c r="F240" s="125" t="s">
        <v>763</v>
      </c>
      <c r="G240" s="125" t="s">
        <v>904</v>
      </c>
      <c r="H240" s="125" t="s">
        <v>901</v>
      </c>
      <c r="I240" s="125" t="s">
        <v>82</v>
      </c>
      <c r="J240" s="126">
        <v>8800</v>
      </c>
      <c r="K240" s="126">
        <v>4600</v>
      </c>
      <c r="L240" s="127">
        <v>7</v>
      </c>
      <c r="M240" s="126">
        <v>4200</v>
      </c>
      <c r="N240" s="126">
        <v>3906</v>
      </c>
      <c r="O240" s="126" t="s">
        <v>550</v>
      </c>
      <c r="P240" s="128">
        <v>336</v>
      </c>
      <c r="Q240" s="129">
        <v>45819</v>
      </c>
      <c r="R240" s="139">
        <v>0.56656249999999997</v>
      </c>
    </row>
    <row r="241" spans="1:18" ht="38.25" x14ac:dyDescent="0.25">
      <c r="A241" s="125" t="s">
        <v>937</v>
      </c>
      <c r="B241">
        <v>380</v>
      </c>
      <c r="C241" s="125">
        <v>1</v>
      </c>
      <c r="D241" s="125" t="s">
        <v>903</v>
      </c>
      <c r="E241" s="125" t="s">
        <v>1253</v>
      </c>
      <c r="F241" s="125" t="s">
        <v>270</v>
      </c>
      <c r="G241" s="125" t="s">
        <v>904</v>
      </c>
      <c r="H241" s="125" t="s">
        <v>901</v>
      </c>
      <c r="I241" s="125" t="s">
        <v>82</v>
      </c>
      <c r="J241" s="126">
        <v>27810</v>
      </c>
      <c r="K241" s="126">
        <v>14980</v>
      </c>
      <c r="L241" s="127">
        <v>9.5</v>
      </c>
      <c r="M241" s="126">
        <v>12830</v>
      </c>
      <c r="N241" s="126">
        <v>11611.1</v>
      </c>
      <c r="O241" s="126" t="s">
        <v>550</v>
      </c>
      <c r="P241" s="128">
        <v>337</v>
      </c>
      <c r="Q241" s="129">
        <v>45819</v>
      </c>
      <c r="R241" s="139">
        <v>0.69464120370370375</v>
      </c>
    </row>
    <row r="242" spans="1:18" ht="38.25" x14ac:dyDescent="0.25">
      <c r="A242" s="125" t="s">
        <v>938</v>
      </c>
      <c r="B242">
        <v>381</v>
      </c>
      <c r="C242" s="125">
        <v>2</v>
      </c>
      <c r="D242" s="125" t="s">
        <v>903</v>
      </c>
      <c r="E242" s="125" t="s">
        <v>272</v>
      </c>
      <c r="F242" s="125" t="s">
        <v>276</v>
      </c>
      <c r="G242" s="125" t="s">
        <v>904</v>
      </c>
      <c r="H242" s="125" t="s">
        <v>901</v>
      </c>
      <c r="I242" s="125" t="s">
        <v>82</v>
      </c>
      <c r="J242" s="126">
        <v>27520</v>
      </c>
      <c r="K242" s="126">
        <v>14770</v>
      </c>
      <c r="L242" s="127">
        <v>5</v>
      </c>
      <c r="M242" s="126">
        <v>12750</v>
      </c>
      <c r="N242" s="126">
        <v>12112.5</v>
      </c>
      <c r="O242" s="126" t="s">
        <v>550</v>
      </c>
      <c r="P242" s="128">
        <v>338</v>
      </c>
      <c r="Q242" s="129">
        <v>45819</v>
      </c>
      <c r="R242" s="139">
        <v>0.69574074074074077</v>
      </c>
    </row>
    <row r="243" spans="1:18" ht="38.25" x14ac:dyDescent="0.25">
      <c r="A243" s="125" t="s">
        <v>939</v>
      </c>
      <c r="B243">
        <v>382</v>
      </c>
      <c r="C243" s="125">
        <v>4</v>
      </c>
      <c r="D243" s="125" t="s">
        <v>903</v>
      </c>
      <c r="E243" s="125" t="s">
        <v>239</v>
      </c>
      <c r="F243" s="125" t="s">
        <v>243</v>
      </c>
      <c r="G243" s="125" t="s">
        <v>904</v>
      </c>
      <c r="H243" s="125" t="s">
        <v>901</v>
      </c>
      <c r="I243" s="125" t="s">
        <v>82</v>
      </c>
      <c r="J243" s="126">
        <v>27190</v>
      </c>
      <c r="K243" s="126">
        <v>14530</v>
      </c>
      <c r="L243" s="127">
        <v>8</v>
      </c>
      <c r="M243" s="126">
        <v>12660</v>
      </c>
      <c r="N243" s="126">
        <v>11647.2</v>
      </c>
      <c r="O243" s="126" t="s">
        <v>550</v>
      </c>
      <c r="P243" s="128">
        <v>339</v>
      </c>
      <c r="Q243" s="129">
        <v>45819</v>
      </c>
      <c r="R243" s="139">
        <v>0.74496527777777777</v>
      </c>
    </row>
    <row r="244" spans="1:18" ht="38.25" x14ac:dyDescent="0.25">
      <c r="A244" s="125" t="s">
        <v>940</v>
      </c>
      <c r="B244">
        <v>383</v>
      </c>
      <c r="C244" s="125">
        <v>5</v>
      </c>
      <c r="D244" s="125" t="s">
        <v>903</v>
      </c>
      <c r="E244" s="125" t="s">
        <v>121</v>
      </c>
      <c r="F244" s="125" t="s">
        <v>125</v>
      </c>
      <c r="G244" s="125" t="s">
        <v>904</v>
      </c>
      <c r="H244" s="125" t="s">
        <v>901</v>
      </c>
      <c r="I244" s="125" t="s">
        <v>82</v>
      </c>
      <c r="J244" s="126">
        <v>27620</v>
      </c>
      <c r="K244" s="126">
        <v>14630</v>
      </c>
      <c r="L244" s="127">
        <v>7</v>
      </c>
      <c r="M244" s="126">
        <v>12990</v>
      </c>
      <c r="N244" s="126">
        <v>12080.7</v>
      </c>
      <c r="O244" s="126" t="s">
        <v>550</v>
      </c>
      <c r="P244" s="128">
        <v>340</v>
      </c>
      <c r="Q244" s="129">
        <v>45819</v>
      </c>
      <c r="R244" s="139">
        <v>0.78461805555555553</v>
      </c>
    </row>
    <row r="245" spans="1:18" ht="38.25" x14ac:dyDescent="0.25">
      <c r="A245" s="125" t="s">
        <v>941</v>
      </c>
      <c r="B245">
        <v>384</v>
      </c>
      <c r="C245" s="125">
        <v>7</v>
      </c>
      <c r="D245" s="125" t="s">
        <v>903</v>
      </c>
      <c r="E245" s="125" t="s">
        <v>1461</v>
      </c>
      <c r="F245" s="125" t="s">
        <v>149</v>
      </c>
      <c r="G245" s="125">
        <v>40</v>
      </c>
      <c r="H245" s="125" t="s">
        <v>901</v>
      </c>
      <c r="I245" s="125" t="s">
        <v>82</v>
      </c>
      <c r="J245" s="126">
        <v>27430</v>
      </c>
      <c r="K245" s="126">
        <v>15070</v>
      </c>
      <c r="L245" s="127">
        <v>6</v>
      </c>
      <c r="M245" s="126">
        <v>12360</v>
      </c>
      <c r="N245" s="126">
        <v>11618.4</v>
      </c>
      <c r="O245" s="126" t="s">
        <v>550</v>
      </c>
      <c r="P245" s="128">
        <v>341</v>
      </c>
      <c r="Q245" s="129">
        <v>45819</v>
      </c>
      <c r="R245" s="139">
        <v>0.88967592592592593</v>
      </c>
    </row>
    <row r="246" spans="1:18" ht="38.25" x14ac:dyDescent="0.25">
      <c r="A246" s="125" t="s">
        <v>942</v>
      </c>
      <c r="B246">
        <v>385</v>
      </c>
      <c r="C246" s="125">
        <v>6</v>
      </c>
      <c r="D246" s="125" t="s">
        <v>903</v>
      </c>
      <c r="E246" s="125" t="s">
        <v>1151</v>
      </c>
      <c r="F246" s="125" t="s">
        <v>145</v>
      </c>
      <c r="G246" s="125">
        <v>40</v>
      </c>
      <c r="H246" s="125" t="s">
        <v>901</v>
      </c>
      <c r="I246" s="125" t="s">
        <v>82</v>
      </c>
      <c r="J246" s="126">
        <v>28580</v>
      </c>
      <c r="K246" s="126">
        <v>15740</v>
      </c>
      <c r="L246" s="127">
        <v>7</v>
      </c>
      <c r="M246" s="126">
        <v>12840</v>
      </c>
      <c r="N246" s="126">
        <v>11941.2</v>
      </c>
      <c r="O246" s="126" t="s">
        <v>550</v>
      </c>
      <c r="P246" s="128">
        <v>342</v>
      </c>
      <c r="Q246" s="129">
        <v>45819</v>
      </c>
      <c r="R246" s="139">
        <v>0.91038194444444442</v>
      </c>
    </row>
    <row r="247" spans="1:18" ht="38.25" x14ac:dyDescent="0.25">
      <c r="A247" s="125" t="s">
        <v>943</v>
      </c>
      <c r="B247">
        <v>386</v>
      </c>
      <c r="C247" s="125" t="s">
        <v>902</v>
      </c>
      <c r="D247" s="125" t="s">
        <v>903</v>
      </c>
      <c r="E247" s="125" t="s">
        <v>335</v>
      </c>
      <c r="F247" s="125" t="s">
        <v>339</v>
      </c>
      <c r="G247" s="125">
        <v>45</v>
      </c>
      <c r="H247" s="125" t="s">
        <v>909</v>
      </c>
      <c r="I247" s="125" t="s">
        <v>82</v>
      </c>
      <c r="J247" s="126">
        <v>27660</v>
      </c>
      <c r="K247" s="126">
        <v>14730</v>
      </c>
      <c r="L247" s="127">
        <v>18.5</v>
      </c>
      <c r="M247" s="126">
        <v>12930</v>
      </c>
      <c r="N247" s="126">
        <v>10537.9</v>
      </c>
      <c r="O247" s="126" t="s">
        <v>511</v>
      </c>
      <c r="P247" s="128">
        <v>343</v>
      </c>
      <c r="Q247" s="129">
        <v>45820</v>
      </c>
      <c r="R247" s="139">
        <v>3.9490740740740743E-2</v>
      </c>
    </row>
    <row r="248" spans="1:18" ht="38.25" x14ac:dyDescent="0.25">
      <c r="A248" s="125" t="s">
        <v>944</v>
      </c>
      <c r="B248">
        <v>387</v>
      </c>
      <c r="C248" s="125" t="s">
        <v>902</v>
      </c>
      <c r="D248" s="125" t="s">
        <v>903</v>
      </c>
      <c r="E248" s="125" t="s">
        <v>111</v>
      </c>
      <c r="F248" s="125" t="s">
        <v>114</v>
      </c>
      <c r="G248" s="125">
        <v>45</v>
      </c>
      <c r="H248" s="125" t="s">
        <v>909</v>
      </c>
      <c r="I248" s="125" t="s">
        <v>82</v>
      </c>
      <c r="J248" s="126">
        <v>28780</v>
      </c>
      <c r="K248" s="126">
        <v>15390</v>
      </c>
      <c r="L248" s="127">
        <v>12.5</v>
      </c>
      <c r="M248" s="126">
        <v>13390</v>
      </c>
      <c r="N248" s="126">
        <v>11716.2</v>
      </c>
      <c r="O248" s="126" t="s">
        <v>511</v>
      </c>
      <c r="P248" s="128">
        <v>344</v>
      </c>
      <c r="Q248" s="129">
        <v>45820</v>
      </c>
      <c r="R248" s="139">
        <v>9.5821759259259259E-2</v>
      </c>
    </row>
    <row r="249" spans="1:18" ht="38.25" x14ac:dyDescent="0.25">
      <c r="A249" s="125" t="s">
        <v>945</v>
      </c>
      <c r="B249">
        <v>388</v>
      </c>
      <c r="C249" s="125" t="s">
        <v>902</v>
      </c>
      <c r="D249" s="125" t="s">
        <v>903</v>
      </c>
      <c r="E249" s="125" t="s">
        <v>234</v>
      </c>
      <c r="F249" s="125" t="s">
        <v>238</v>
      </c>
      <c r="G249" s="125">
        <v>45</v>
      </c>
      <c r="H249" s="125" t="s">
        <v>909</v>
      </c>
      <c r="I249" s="125" t="s">
        <v>82</v>
      </c>
      <c r="J249" s="126">
        <v>28770</v>
      </c>
      <c r="K249" s="126">
        <v>15590</v>
      </c>
      <c r="L249" s="127">
        <v>20.5</v>
      </c>
      <c r="M249" s="126">
        <v>13180</v>
      </c>
      <c r="N249" s="126">
        <v>10478.1</v>
      </c>
      <c r="O249" s="126" t="s">
        <v>511</v>
      </c>
      <c r="P249" s="128">
        <v>345</v>
      </c>
      <c r="Q249" s="129">
        <v>45820</v>
      </c>
      <c r="R249" s="139">
        <v>0.13890046296296296</v>
      </c>
    </row>
    <row r="250" spans="1:18" ht="38.25" x14ac:dyDescent="0.25">
      <c r="A250" s="125" t="s">
        <v>946</v>
      </c>
      <c r="B250">
        <v>389</v>
      </c>
      <c r="C250" s="125" t="s">
        <v>902</v>
      </c>
      <c r="D250" s="125" t="s">
        <v>903</v>
      </c>
      <c r="E250" s="125" t="s">
        <v>1152</v>
      </c>
      <c r="F250" s="125" t="s">
        <v>119</v>
      </c>
      <c r="G250" s="125">
        <v>45</v>
      </c>
      <c r="H250" s="125" t="s">
        <v>909</v>
      </c>
      <c r="I250" s="125" t="s">
        <v>82</v>
      </c>
      <c r="J250" s="126">
        <v>34210</v>
      </c>
      <c r="K250" s="126">
        <v>21060</v>
      </c>
      <c r="L250" s="127">
        <v>16</v>
      </c>
      <c r="M250" s="126">
        <v>13150</v>
      </c>
      <c r="N250" s="126">
        <v>11046</v>
      </c>
      <c r="O250" s="126" t="s">
        <v>511</v>
      </c>
      <c r="P250" s="128">
        <v>346</v>
      </c>
      <c r="Q250" s="129">
        <v>45820</v>
      </c>
      <c r="R250" s="139">
        <v>0.23857638888888888</v>
      </c>
    </row>
    <row r="251" spans="1:18" ht="38.25" x14ac:dyDescent="0.25">
      <c r="A251" s="125" t="s">
        <v>947</v>
      </c>
      <c r="B251">
        <v>390</v>
      </c>
      <c r="C251" s="125" t="s">
        <v>902</v>
      </c>
      <c r="D251" s="125" t="s">
        <v>903</v>
      </c>
      <c r="E251" s="125" t="s">
        <v>160</v>
      </c>
      <c r="F251" s="125" t="s">
        <v>164</v>
      </c>
      <c r="G251" s="125">
        <v>45</v>
      </c>
      <c r="H251" s="125" t="s">
        <v>909</v>
      </c>
      <c r="I251" s="125" t="s">
        <v>82</v>
      </c>
      <c r="J251" s="126">
        <v>37250</v>
      </c>
      <c r="K251" s="126">
        <v>24020</v>
      </c>
      <c r="L251" s="127">
        <v>12.5</v>
      </c>
      <c r="M251" s="126">
        <v>13230</v>
      </c>
      <c r="N251" s="126">
        <v>11576.2</v>
      </c>
      <c r="O251" s="126" t="s">
        <v>511</v>
      </c>
      <c r="P251" s="128">
        <v>347</v>
      </c>
      <c r="Q251" s="129">
        <v>45820</v>
      </c>
      <c r="R251" s="139">
        <v>0.46209490740740738</v>
      </c>
    </row>
    <row r="252" spans="1:18" ht="38.25" x14ac:dyDescent="0.25">
      <c r="A252" s="125" t="s">
        <v>948</v>
      </c>
      <c r="B252">
        <v>391</v>
      </c>
      <c r="C252" s="125" t="s">
        <v>902</v>
      </c>
      <c r="D252" s="125" t="s">
        <v>903</v>
      </c>
      <c r="E252" s="125" t="s">
        <v>151</v>
      </c>
      <c r="F252" s="125" t="s">
        <v>155</v>
      </c>
      <c r="G252" s="125">
        <v>45</v>
      </c>
      <c r="H252" s="125" t="s">
        <v>909</v>
      </c>
      <c r="I252" s="125" t="s">
        <v>82</v>
      </c>
      <c r="J252" s="126">
        <v>27970</v>
      </c>
      <c r="K252" s="126">
        <v>14910</v>
      </c>
      <c r="L252" s="127">
        <v>14.5</v>
      </c>
      <c r="M252" s="126">
        <v>13060</v>
      </c>
      <c r="N252" s="126">
        <v>11166.3</v>
      </c>
      <c r="O252" s="126" t="s">
        <v>511</v>
      </c>
      <c r="P252" s="128">
        <v>348</v>
      </c>
      <c r="Q252" s="129">
        <v>45820</v>
      </c>
      <c r="R252" s="139">
        <v>0.4710185185185185</v>
      </c>
    </row>
    <row r="253" spans="1:18" ht="38.25" x14ac:dyDescent="0.25">
      <c r="A253" s="125" t="s">
        <v>949</v>
      </c>
      <c r="B253">
        <v>392</v>
      </c>
      <c r="C253" s="125" t="s">
        <v>902</v>
      </c>
      <c r="D253" s="125" t="s">
        <v>903</v>
      </c>
      <c r="E253" s="125" t="s">
        <v>347</v>
      </c>
      <c r="F253" s="125" t="s">
        <v>351</v>
      </c>
      <c r="G253" s="125">
        <v>45</v>
      </c>
      <c r="H253" s="125" t="s">
        <v>909</v>
      </c>
      <c r="I253" s="125" t="s">
        <v>82</v>
      </c>
      <c r="J253" s="126">
        <v>31920</v>
      </c>
      <c r="K253" s="126">
        <v>18730</v>
      </c>
      <c r="L253" s="127">
        <v>8.5</v>
      </c>
      <c r="M253" s="126">
        <v>13190</v>
      </c>
      <c r="N253" s="126">
        <v>12068.8</v>
      </c>
      <c r="O253" s="126" t="s">
        <v>511</v>
      </c>
      <c r="P253" s="128">
        <v>349</v>
      </c>
      <c r="Q253" s="129">
        <v>45820</v>
      </c>
      <c r="R253" s="139">
        <v>0.52567129629629628</v>
      </c>
    </row>
    <row r="254" spans="1:18" ht="38.25" x14ac:dyDescent="0.25">
      <c r="A254" s="125" t="s">
        <v>950</v>
      </c>
      <c r="B254">
        <v>393</v>
      </c>
      <c r="C254" s="125" t="s">
        <v>902</v>
      </c>
      <c r="D254" s="125" t="s">
        <v>903</v>
      </c>
      <c r="E254" s="125" t="s">
        <v>133</v>
      </c>
      <c r="F254" s="125" t="s">
        <v>137</v>
      </c>
      <c r="G254" s="125">
        <v>45</v>
      </c>
      <c r="H254" s="125" t="s">
        <v>909</v>
      </c>
      <c r="I254" s="125" t="s">
        <v>82</v>
      </c>
      <c r="J254" s="126">
        <v>28050</v>
      </c>
      <c r="K254" s="126">
        <v>14910</v>
      </c>
      <c r="L254" s="127">
        <v>14.5</v>
      </c>
      <c r="M254" s="126">
        <v>13140</v>
      </c>
      <c r="N254" s="126">
        <v>11234.7</v>
      </c>
      <c r="O254" s="126" t="s">
        <v>511</v>
      </c>
      <c r="P254" s="128">
        <v>350</v>
      </c>
      <c r="Q254" s="129">
        <v>45820</v>
      </c>
      <c r="R254" s="139">
        <v>0.56300925925925926</v>
      </c>
    </row>
    <row r="255" spans="1:18" ht="38.25" x14ac:dyDescent="0.25">
      <c r="A255" s="125" t="s">
        <v>951</v>
      </c>
      <c r="B255">
        <v>394</v>
      </c>
      <c r="C255" s="125" t="s">
        <v>902</v>
      </c>
      <c r="D255" s="125" t="s">
        <v>903</v>
      </c>
      <c r="E255" s="125" t="s">
        <v>212</v>
      </c>
      <c r="F255" s="125" t="s">
        <v>216</v>
      </c>
      <c r="G255" s="125">
        <v>45</v>
      </c>
      <c r="H255" s="125" t="s">
        <v>909</v>
      </c>
      <c r="I255" s="125" t="s">
        <v>82</v>
      </c>
      <c r="J255" s="126">
        <v>28480</v>
      </c>
      <c r="K255" s="126">
        <v>13810</v>
      </c>
      <c r="L255" s="127">
        <v>10.5</v>
      </c>
      <c r="M255" s="126">
        <v>14670</v>
      </c>
      <c r="N255" s="126">
        <v>13129.6</v>
      </c>
      <c r="O255" s="126" t="s">
        <v>511</v>
      </c>
      <c r="P255" s="128">
        <v>351</v>
      </c>
      <c r="Q255" s="129">
        <v>45820</v>
      </c>
      <c r="R255" s="139">
        <v>0.61951388888888892</v>
      </c>
    </row>
    <row r="256" spans="1:18" ht="38.25" x14ac:dyDescent="0.25">
      <c r="A256" s="125" t="s">
        <v>952</v>
      </c>
      <c r="B256">
        <v>395</v>
      </c>
      <c r="C256" s="125" t="s">
        <v>902</v>
      </c>
      <c r="D256" s="125" t="s">
        <v>903</v>
      </c>
      <c r="E256" s="125" t="s">
        <v>1253</v>
      </c>
      <c r="F256" s="125" t="s">
        <v>270</v>
      </c>
      <c r="G256" s="125">
        <v>45</v>
      </c>
      <c r="H256" s="125" t="s">
        <v>909</v>
      </c>
      <c r="I256" s="125" t="s">
        <v>82</v>
      </c>
      <c r="J256" s="126">
        <v>28580</v>
      </c>
      <c r="K256" s="126">
        <v>14940</v>
      </c>
      <c r="L256" s="127">
        <v>12</v>
      </c>
      <c r="M256" s="126">
        <v>13640</v>
      </c>
      <c r="N256" s="126">
        <v>12003.2</v>
      </c>
      <c r="O256" s="126" t="s">
        <v>511</v>
      </c>
      <c r="P256" s="128">
        <v>352</v>
      </c>
      <c r="Q256" s="129">
        <v>45820</v>
      </c>
      <c r="R256" s="139">
        <v>0.66834490740740737</v>
      </c>
    </row>
    <row r="257" spans="1:18" ht="38.25" x14ac:dyDescent="0.25">
      <c r="A257" s="125" t="s">
        <v>1044</v>
      </c>
      <c r="B257">
        <v>397</v>
      </c>
      <c r="C257" s="125" t="s">
        <v>902</v>
      </c>
      <c r="D257" s="125" t="s">
        <v>903</v>
      </c>
      <c r="E257" s="125" t="s">
        <v>272</v>
      </c>
      <c r="F257" s="125" t="s">
        <v>276</v>
      </c>
      <c r="G257" s="125">
        <v>45</v>
      </c>
      <c r="H257" s="125" t="s">
        <v>909</v>
      </c>
      <c r="I257" s="125" t="s">
        <v>82</v>
      </c>
      <c r="J257" s="126">
        <v>28480</v>
      </c>
      <c r="K257" s="126">
        <v>14720</v>
      </c>
      <c r="L257" s="127">
        <v>14.5</v>
      </c>
      <c r="M257" s="126">
        <v>13760</v>
      </c>
      <c r="N257" s="126">
        <v>11764.8</v>
      </c>
      <c r="O257" s="126" t="s">
        <v>511</v>
      </c>
      <c r="P257" s="128">
        <v>353</v>
      </c>
      <c r="Q257" s="129">
        <v>45820</v>
      </c>
      <c r="R257" s="139">
        <v>0.74318287037037034</v>
      </c>
    </row>
    <row r="258" spans="1:18" ht="38.25" x14ac:dyDescent="0.25">
      <c r="A258" s="125" t="s">
        <v>1045</v>
      </c>
      <c r="B258">
        <v>398</v>
      </c>
      <c r="C258" s="125"/>
      <c r="D258" s="125" t="s">
        <v>903</v>
      </c>
      <c r="E258" s="125" t="s">
        <v>239</v>
      </c>
      <c r="F258" s="125" t="s">
        <v>243</v>
      </c>
      <c r="G258" s="125">
        <v>45</v>
      </c>
      <c r="H258" s="125" t="s">
        <v>909</v>
      </c>
      <c r="I258" s="125" t="s">
        <v>82</v>
      </c>
      <c r="J258" s="126">
        <v>28360</v>
      </c>
      <c r="K258" s="126">
        <v>14550</v>
      </c>
      <c r="L258" s="127">
        <v>13.5</v>
      </c>
      <c r="M258" s="126">
        <v>13810</v>
      </c>
      <c r="N258" s="126">
        <v>11945.6</v>
      </c>
      <c r="O258" s="126" t="s">
        <v>511</v>
      </c>
      <c r="P258" s="128">
        <v>354</v>
      </c>
      <c r="Q258" s="129">
        <v>45820</v>
      </c>
      <c r="R258" s="139">
        <v>0.78137731481481476</v>
      </c>
    </row>
    <row r="259" spans="1:18" ht="38.25" x14ac:dyDescent="0.25">
      <c r="A259" s="125" t="s">
        <v>1046</v>
      </c>
      <c r="B259">
        <v>399</v>
      </c>
      <c r="C259" s="125" t="s">
        <v>902</v>
      </c>
      <c r="D259" s="125" t="s">
        <v>903</v>
      </c>
      <c r="E259" s="125" t="s">
        <v>121</v>
      </c>
      <c r="F259" s="125" t="s">
        <v>125</v>
      </c>
      <c r="G259" s="125">
        <v>45</v>
      </c>
      <c r="H259" s="125" t="s">
        <v>909</v>
      </c>
      <c r="I259" s="125" t="s">
        <v>82</v>
      </c>
      <c r="J259" s="126">
        <v>28180</v>
      </c>
      <c r="K259" s="126">
        <v>14660</v>
      </c>
      <c r="L259" s="127">
        <v>13</v>
      </c>
      <c r="M259" s="126">
        <v>13520</v>
      </c>
      <c r="N259" s="126">
        <v>11762.4</v>
      </c>
      <c r="O259" s="126" t="s">
        <v>511</v>
      </c>
      <c r="P259" s="128">
        <v>355</v>
      </c>
      <c r="Q259" s="129">
        <v>45820</v>
      </c>
      <c r="R259" s="139">
        <v>0.83481481481481479</v>
      </c>
    </row>
    <row r="260" spans="1:18" ht="38.25" x14ac:dyDescent="0.25">
      <c r="A260" s="125" t="s">
        <v>1047</v>
      </c>
      <c r="B260">
        <v>400</v>
      </c>
      <c r="C260" s="125" t="s">
        <v>902</v>
      </c>
      <c r="D260" s="125" t="s">
        <v>903</v>
      </c>
      <c r="E260" s="125" t="s">
        <v>1151</v>
      </c>
      <c r="F260" s="125" t="s">
        <v>145</v>
      </c>
      <c r="G260" s="125" t="s">
        <v>967</v>
      </c>
      <c r="H260" s="125" t="s">
        <v>909</v>
      </c>
      <c r="I260" s="125" t="s">
        <v>82</v>
      </c>
      <c r="J260" s="126">
        <v>29060</v>
      </c>
      <c r="K260" s="126">
        <v>15720</v>
      </c>
      <c r="L260" s="127">
        <v>11.5</v>
      </c>
      <c r="M260" s="126">
        <v>13340</v>
      </c>
      <c r="N260" s="126">
        <v>11805.9</v>
      </c>
      <c r="O260" s="126" t="s">
        <v>550</v>
      </c>
      <c r="P260" s="128">
        <v>356</v>
      </c>
      <c r="Q260" s="129">
        <v>45820</v>
      </c>
      <c r="R260" s="139">
        <v>0.888275462962963</v>
      </c>
    </row>
    <row r="261" spans="1:18" ht="38.25" x14ac:dyDescent="0.25">
      <c r="A261" s="125" t="s">
        <v>1048</v>
      </c>
      <c r="B261">
        <v>401</v>
      </c>
      <c r="C261" s="125" t="s">
        <v>902</v>
      </c>
      <c r="D261" s="125" t="s">
        <v>903</v>
      </c>
      <c r="E261" s="125" t="s">
        <v>1461</v>
      </c>
      <c r="F261" s="125" t="s">
        <v>149</v>
      </c>
      <c r="G261" s="125" t="s">
        <v>967</v>
      </c>
      <c r="H261" s="125" t="s">
        <v>909</v>
      </c>
      <c r="I261" s="125" t="s">
        <v>82</v>
      </c>
      <c r="J261" s="126">
        <v>28460</v>
      </c>
      <c r="K261" s="126">
        <v>15050</v>
      </c>
      <c r="L261" s="127">
        <v>12</v>
      </c>
      <c r="M261" s="126">
        <v>13410</v>
      </c>
      <c r="N261" s="126">
        <v>11800.8</v>
      </c>
      <c r="O261" s="126" t="s">
        <v>511</v>
      </c>
      <c r="P261" s="128">
        <v>357</v>
      </c>
      <c r="Q261" s="129">
        <v>45820</v>
      </c>
      <c r="R261" s="139">
        <v>0.94430555555555551</v>
      </c>
    </row>
    <row r="262" spans="1:18" ht="38.25" x14ac:dyDescent="0.25">
      <c r="A262" s="125" t="s">
        <v>1049</v>
      </c>
      <c r="B262">
        <v>402</v>
      </c>
      <c r="C262" s="125" t="s">
        <v>902</v>
      </c>
      <c r="D262" s="125" t="s">
        <v>903</v>
      </c>
      <c r="E262" s="125" t="s">
        <v>335</v>
      </c>
      <c r="F262" s="125" t="s">
        <v>339</v>
      </c>
      <c r="G262" s="125" t="s">
        <v>967</v>
      </c>
      <c r="H262" s="125" t="s">
        <v>909</v>
      </c>
      <c r="I262" s="125" t="s">
        <v>82</v>
      </c>
      <c r="J262" s="126">
        <v>28070</v>
      </c>
      <c r="K262" s="126">
        <v>14720</v>
      </c>
      <c r="L262" s="127">
        <v>12.5</v>
      </c>
      <c r="M262" s="126">
        <v>13350</v>
      </c>
      <c r="N262" s="126">
        <v>11681.2</v>
      </c>
      <c r="O262" s="126" t="s">
        <v>511</v>
      </c>
      <c r="P262" s="128">
        <v>358</v>
      </c>
      <c r="Q262" s="129">
        <v>45820</v>
      </c>
      <c r="R262" s="139">
        <v>0.94891203703703708</v>
      </c>
    </row>
    <row r="263" spans="1:18" ht="38.25" x14ac:dyDescent="0.25">
      <c r="A263" s="125" t="s">
        <v>1050</v>
      </c>
      <c r="B263">
        <v>403</v>
      </c>
      <c r="C263" s="125" t="s">
        <v>902</v>
      </c>
      <c r="D263" s="125" t="s">
        <v>903</v>
      </c>
      <c r="E263" s="125" t="s">
        <v>234</v>
      </c>
      <c r="F263" s="125" t="s">
        <v>238</v>
      </c>
      <c r="G263" s="125" t="s">
        <v>967</v>
      </c>
      <c r="H263" s="125" t="s">
        <v>909</v>
      </c>
      <c r="I263" s="125" t="s">
        <v>82</v>
      </c>
      <c r="J263" s="126">
        <v>28930</v>
      </c>
      <c r="K263" s="126">
        <v>15520</v>
      </c>
      <c r="L263" s="127">
        <v>12.5</v>
      </c>
      <c r="M263" s="126">
        <v>13410</v>
      </c>
      <c r="N263" s="126">
        <v>11733.7</v>
      </c>
      <c r="O263" s="126" t="s">
        <v>511</v>
      </c>
      <c r="P263" s="128">
        <v>359</v>
      </c>
      <c r="Q263" s="129">
        <v>45820</v>
      </c>
      <c r="R263" s="139">
        <v>0.90273148148148152</v>
      </c>
    </row>
    <row r="264" spans="1:18" ht="38.25" x14ac:dyDescent="0.25">
      <c r="A264" s="125" t="s">
        <v>1051</v>
      </c>
      <c r="B264">
        <v>404</v>
      </c>
      <c r="C264" s="125" t="s">
        <v>902</v>
      </c>
      <c r="D264" s="125" t="s">
        <v>903</v>
      </c>
      <c r="E264" s="125" t="s">
        <v>111</v>
      </c>
      <c r="F264" s="125" t="s">
        <v>114</v>
      </c>
      <c r="G264" s="125" t="s">
        <v>967</v>
      </c>
      <c r="H264" s="125" t="s">
        <v>909</v>
      </c>
      <c r="I264" s="125" t="s">
        <v>82</v>
      </c>
      <c r="J264" s="126">
        <v>28570</v>
      </c>
      <c r="K264" s="126">
        <v>15350</v>
      </c>
      <c r="L264" s="127">
        <v>9.5</v>
      </c>
      <c r="M264" s="126">
        <v>13220</v>
      </c>
      <c r="N264" s="126">
        <v>11964.1</v>
      </c>
      <c r="O264" s="126" t="s">
        <v>511</v>
      </c>
      <c r="P264" s="128">
        <v>360</v>
      </c>
      <c r="Q264" s="129">
        <v>45820</v>
      </c>
      <c r="R264" s="139">
        <v>0.91145833333333337</v>
      </c>
    </row>
    <row r="265" spans="1:18" ht="38.25" x14ac:dyDescent="0.25">
      <c r="A265" s="125" t="s">
        <v>1052</v>
      </c>
      <c r="B265">
        <v>406</v>
      </c>
      <c r="C265" s="125">
        <v>26</v>
      </c>
      <c r="D265" s="125" t="s">
        <v>903</v>
      </c>
      <c r="E265" s="125" t="s">
        <v>305</v>
      </c>
      <c r="F265" s="125" t="s">
        <v>309</v>
      </c>
      <c r="G265" s="125" t="s">
        <v>967</v>
      </c>
      <c r="H265" s="125" t="s">
        <v>909</v>
      </c>
      <c r="I265" s="125" t="s">
        <v>82</v>
      </c>
      <c r="J265" s="126">
        <v>27890</v>
      </c>
      <c r="K265" s="126">
        <v>14420</v>
      </c>
      <c r="L265" s="127">
        <v>13.5</v>
      </c>
      <c r="M265" s="126">
        <v>13470</v>
      </c>
      <c r="N265" s="126">
        <v>11651.5</v>
      </c>
      <c r="O265" s="126" t="s">
        <v>511</v>
      </c>
      <c r="P265" s="128">
        <v>361</v>
      </c>
      <c r="Q265" s="129">
        <v>45820</v>
      </c>
      <c r="R265" s="139">
        <v>0.14796296296296296</v>
      </c>
    </row>
    <row r="266" spans="1:18" ht="38.25" x14ac:dyDescent="0.25">
      <c r="A266" s="125" t="s">
        <v>1053</v>
      </c>
      <c r="B266">
        <v>408</v>
      </c>
      <c r="C266" s="125" t="s">
        <v>902</v>
      </c>
      <c r="D266" s="125" t="s">
        <v>903</v>
      </c>
      <c r="E266" s="125" t="s">
        <v>195</v>
      </c>
      <c r="F266" s="125" t="s">
        <v>199</v>
      </c>
      <c r="G266" s="125" t="s">
        <v>967</v>
      </c>
      <c r="H266" s="125" t="s">
        <v>909</v>
      </c>
      <c r="I266" s="125" t="s">
        <v>82</v>
      </c>
      <c r="J266" s="126">
        <v>23210</v>
      </c>
      <c r="K266" s="126">
        <v>15130</v>
      </c>
      <c r="L266" s="127">
        <v>21</v>
      </c>
      <c r="M266" s="126">
        <v>8080</v>
      </c>
      <c r="N266" s="126">
        <v>6383.2</v>
      </c>
      <c r="O266" s="126" t="s">
        <v>511</v>
      </c>
      <c r="P266" s="128">
        <v>362</v>
      </c>
      <c r="Q266" s="129">
        <v>45820</v>
      </c>
      <c r="R266" s="139">
        <v>0.21167824074074074</v>
      </c>
    </row>
    <row r="267" spans="1:18" ht="38.25" x14ac:dyDescent="0.25">
      <c r="A267" s="125" t="s">
        <v>1054</v>
      </c>
      <c r="B267">
        <v>407</v>
      </c>
      <c r="C267" s="125">
        <v>28</v>
      </c>
      <c r="D267" s="125" t="s">
        <v>903</v>
      </c>
      <c r="E267" s="125" t="s">
        <v>1312</v>
      </c>
      <c r="F267" s="125" t="s">
        <v>320</v>
      </c>
      <c r="G267" s="125" t="s">
        <v>957</v>
      </c>
      <c r="H267" s="125" t="s">
        <v>901</v>
      </c>
      <c r="I267" s="125" t="s">
        <v>82</v>
      </c>
      <c r="J267" s="126">
        <v>27530</v>
      </c>
      <c r="K267" s="126">
        <v>14450</v>
      </c>
      <c r="L267" s="127">
        <v>17</v>
      </c>
      <c r="M267" s="126">
        <v>13080</v>
      </c>
      <c r="N267" s="126">
        <v>10856.4</v>
      </c>
      <c r="O267" s="126" t="s">
        <v>511</v>
      </c>
      <c r="P267" s="128">
        <v>363</v>
      </c>
      <c r="Q267" s="129">
        <v>45821</v>
      </c>
      <c r="R267" s="139">
        <v>0.22796296296296295</v>
      </c>
    </row>
    <row r="268" spans="1:18" ht="38.25" x14ac:dyDescent="0.25">
      <c r="A268" s="125" t="s">
        <v>1055</v>
      </c>
      <c r="B268">
        <v>409</v>
      </c>
      <c r="C268" s="125">
        <v>29</v>
      </c>
      <c r="D268" s="125" t="s">
        <v>903</v>
      </c>
      <c r="E268" s="125" t="s">
        <v>894</v>
      </c>
      <c r="F268" s="125" t="s">
        <v>895</v>
      </c>
      <c r="G268" s="125" t="s">
        <v>957</v>
      </c>
      <c r="H268" s="125" t="s">
        <v>901</v>
      </c>
      <c r="I268" s="125" t="s">
        <v>82</v>
      </c>
      <c r="J268" s="126">
        <v>28900</v>
      </c>
      <c r="K268" s="126">
        <v>14890</v>
      </c>
      <c r="L268" s="127">
        <v>13.5</v>
      </c>
      <c r="M268" s="126">
        <v>14010</v>
      </c>
      <c r="N268" s="126">
        <v>12118.6</v>
      </c>
      <c r="O268" s="126" t="s">
        <v>511</v>
      </c>
      <c r="P268" s="128">
        <v>364</v>
      </c>
      <c r="Q268" s="129">
        <v>45821</v>
      </c>
      <c r="R268" s="139">
        <v>0.27960648148148148</v>
      </c>
    </row>
    <row r="269" spans="1:18" ht="38.25" x14ac:dyDescent="0.25">
      <c r="A269" s="125" t="s">
        <v>1056</v>
      </c>
      <c r="B269">
        <v>405</v>
      </c>
      <c r="C269" s="125" t="s">
        <v>902</v>
      </c>
      <c r="D269" s="125" t="s">
        <v>903</v>
      </c>
      <c r="E269" s="125" t="s">
        <v>195</v>
      </c>
      <c r="F269" s="125" t="s">
        <v>199</v>
      </c>
      <c r="G269" s="125" t="s">
        <v>957</v>
      </c>
      <c r="H269" s="125" t="s">
        <v>901</v>
      </c>
      <c r="I269" s="125" t="s">
        <v>82</v>
      </c>
      <c r="J269" s="126">
        <v>29840</v>
      </c>
      <c r="K269" s="126">
        <v>23210</v>
      </c>
      <c r="L269" s="127">
        <v>14.5</v>
      </c>
      <c r="M269" s="126">
        <v>6630</v>
      </c>
      <c r="N269" s="126">
        <v>5668.6</v>
      </c>
      <c r="O269" s="126" t="s">
        <v>511</v>
      </c>
      <c r="P269" s="128">
        <v>365</v>
      </c>
      <c r="Q269" s="129">
        <v>45820</v>
      </c>
      <c r="R269" s="139">
        <v>0.32474537037037038</v>
      </c>
    </row>
    <row r="270" spans="1:18" ht="38.25" x14ac:dyDescent="0.25">
      <c r="A270" s="125" t="s">
        <v>1057</v>
      </c>
      <c r="B270">
        <v>410</v>
      </c>
      <c r="C270" s="125">
        <v>30</v>
      </c>
      <c r="D270" s="125" t="s">
        <v>903</v>
      </c>
      <c r="E270" s="125" t="s">
        <v>1152</v>
      </c>
      <c r="F270" s="125" t="s">
        <v>119</v>
      </c>
      <c r="G270" s="125" t="s">
        <v>957</v>
      </c>
      <c r="H270" s="125" t="s">
        <v>909</v>
      </c>
      <c r="I270" s="125" t="s">
        <v>82</v>
      </c>
      <c r="J270" s="126">
        <v>36780</v>
      </c>
      <c r="K270" s="126">
        <v>20960</v>
      </c>
      <c r="L270" s="127">
        <v>14.8</v>
      </c>
      <c r="M270" s="126">
        <v>15820</v>
      </c>
      <c r="N270" s="126">
        <v>13482.7</v>
      </c>
      <c r="O270" s="126" t="s">
        <v>511</v>
      </c>
      <c r="P270" s="128">
        <v>366</v>
      </c>
      <c r="Q270" s="129">
        <v>45821</v>
      </c>
      <c r="R270" s="139">
        <v>0.43922453703703701</v>
      </c>
    </row>
    <row r="271" spans="1:18" ht="38.25" x14ac:dyDescent="0.25">
      <c r="A271" s="125" t="s">
        <v>908</v>
      </c>
      <c r="B271" s="136">
        <v>411</v>
      </c>
      <c r="C271" s="137">
        <v>31</v>
      </c>
      <c r="D271" s="125" t="s">
        <v>903</v>
      </c>
      <c r="E271" s="125" t="s">
        <v>347</v>
      </c>
      <c r="F271" s="125" t="s">
        <v>351</v>
      </c>
      <c r="G271" s="125" t="s">
        <v>422</v>
      </c>
      <c r="H271" s="125" t="s">
        <v>909</v>
      </c>
      <c r="I271" s="125" t="s">
        <v>82</v>
      </c>
      <c r="J271" s="126">
        <v>34890</v>
      </c>
      <c r="K271" s="126">
        <v>18650</v>
      </c>
      <c r="L271" s="138">
        <v>9.5</v>
      </c>
      <c r="M271" s="126">
        <v>16240</v>
      </c>
      <c r="N271" s="126">
        <v>14697.2</v>
      </c>
      <c r="O271" s="126" t="s">
        <v>511</v>
      </c>
      <c r="P271" s="127">
        <v>367</v>
      </c>
      <c r="Q271" s="129">
        <v>45821</v>
      </c>
      <c r="R271" s="139">
        <v>0.44059027777777776</v>
      </c>
    </row>
    <row r="272" spans="1:18" ht="38.25" x14ac:dyDescent="0.25">
      <c r="A272" s="125" t="s">
        <v>910</v>
      </c>
      <c r="B272" s="136">
        <v>414</v>
      </c>
      <c r="C272" s="137">
        <v>32</v>
      </c>
      <c r="D272" s="125" t="s">
        <v>903</v>
      </c>
      <c r="E272" s="125" t="s">
        <v>133</v>
      </c>
      <c r="F272" s="125" t="s">
        <v>137</v>
      </c>
      <c r="G272" s="125" t="s">
        <v>422</v>
      </c>
      <c r="H272" s="125" t="s">
        <v>909</v>
      </c>
      <c r="I272" s="125" t="s">
        <v>82</v>
      </c>
      <c r="J272" s="126">
        <v>28220</v>
      </c>
      <c r="K272" s="126">
        <v>14820</v>
      </c>
      <c r="L272" s="138">
        <v>12.5</v>
      </c>
      <c r="M272" s="126">
        <v>13400</v>
      </c>
      <c r="N272" s="126">
        <v>11725</v>
      </c>
      <c r="O272" s="126" t="s">
        <v>511</v>
      </c>
      <c r="P272" s="127">
        <v>368</v>
      </c>
      <c r="Q272" s="129">
        <v>45821</v>
      </c>
      <c r="R272" s="139">
        <v>0.51681712962962967</v>
      </c>
    </row>
    <row r="273" spans="1:18" ht="38.25" x14ac:dyDescent="0.25">
      <c r="A273" s="125" t="s">
        <v>911</v>
      </c>
      <c r="B273" s="136">
        <v>415</v>
      </c>
      <c r="C273" s="137">
        <v>34</v>
      </c>
      <c r="D273" s="125" t="s">
        <v>903</v>
      </c>
      <c r="E273" s="125" t="s">
        <v>151</v>
      </c>
      <c r="F273" s="125" t="s">
        <v>155</v>
      </c>
      <c r="G273" s="125" t="s">
        <v>422</v>
      </c>
      <c r="H273" s="125" t="s">
        <v>909</v>
      </c>
      <c r="I273" s="125" t="s">
        <v>82</v>
      </c>
      <c r="J273" s="126">
        <v>28150</v>
      </c>
      <c r="K273" s="126">
        <v>14910</v>
      </c>
      <c r="L273" s="138">
        <v>8.5</v>
      </c>
      <c r="M273" s="126">
        <v>13240</v>
      </c>
      <c r="N273" s="126">
        <v>12114.6</v>
      </c>
      <c r="O273" s="126" t="s">
        <v>511</v>
      </c>
      <c r="P273" s="127">
        <v>369</v>
      </c>
      <c r="Q273" s="129">
        <v>45821</v>
      </c>
      <c r="R273" s="139">
        <v>0.53630787037037042</v>
      </c>
    </row>
    <row r="274" spans="1:18" ht="38.25" x14ac:dyDescent="0.25">
      <c r="A274" s="125" t="s">
        <v>912</v>
      </c>
      <c r="B274" s="136">
        <v>418</v>
      </c>
      <c r="C274" s="137">
        <v>33</v>
      </c>
      <c r="D274" s="125" t="s">
        <v>903</v>
      </c>
      <c r="E274" s="125" t="s">
        <v>160</v>
      </c>
      <c r="F274" s="125" t="s">
        <v>164</v>
      </c>
      <c r="G274" s="125" t="s">
        <v>422</v>
      </c>
      <c r="H274" s="125" t="s">
        <v>909</v>
      </c>
      <c r="I274" s="125" t="s">
        <v>82</v>
      </c>
      <c r="J274" s="126">
        <v>37170</v>
      </c>
      <c r="K274" s="126">
        <v>23840</v>
      </c>
      <c r="L274" s="138">
        <v>13.5</v>
      </c>
      <c r="M274" s="126">
        <v>13330</v>
      </c>
      <c r="N274" s="126">
        <v>11530.4</v>
      </c>
      <c r="O274" s="126" t="s">
        <v>511</v>
      </c>
      <c r="P274" s="127">
        <v>370</v>
      </c>
      <c r="Q274" s="129">
        <v>45821</v>
      </c>
      <c r="R274" s="139">
        <v>0.59636574074074078</v>
      </c>
    </row>
    <row r="275" spans="1:18" ht="38.25" x14ac:dyDescent="0.25">
      <c r="A275" s="125" t="s">
        <v>913</v>
      </c>
      <c r="B275" s="136">
        <v>420</v>
      </c>
      <c r="C275" s="137" t="s">
        <v>902</v>
      </c>
      <c r="D275" s="125" t="s">
        <v>914</v>
      </c>
      <c r="E275" s="125" t="s">
        <v>762</v>
      </c>
      <c r="F275" s="125" t="s">
        <v>763</v>
      </c>
      <c r="G275" s="125">
        <v>16</v>
      </c>
      <c r="H275" s="125" t="s">
        <v>909</v>
      </c>
      <c r="I275" s="125" t="s">
        <v>82</v>
      </c>
      <c r="J275" s="126">
        <v>8910</v>
      </c>
      <c r="K275" s="126">
        <v>4610</v>
      </c>
      <c r="L275" s="138">
        <v>27.5</v>
      </c>
      <c r="M275" s="126">
        <v>4300</v>
      </c>
      <c r="N275" s="126">
        <v>3117.5</v>
      </c>
      <c r="O275" s="126" t="s">
        <v>511</v>
      </c>
      <c r="P275" s="127">
        <v>371</v>
      </c>
      <c r="Q275" s="129">
        <v>45821</v>
      </c>
      <c r="R275" s="139">
        <v>0.64423611111111112</v>
      </c>
    </row>
    <row r="276" spans="1:18" ht="38.25" x14ac:dyDescent="0.25">
      <c r="A276" s="125" t="s">
        <v>953</v>
      </c>
      <c r="B276" s="136">
        <v>421</v>
      </c>
      <c r="C276" s="137">
        <v>35</v>
      </c>
      <c r="D276" s="125" t="s">
        <v>903</v>
      </c>
      <c r="E276" s="125" t="s">
        <v>212</v>
      </c>
      <c r="F276" s="125" t="s">
        <v>216</v>
      </c>
      <c r="G276" s="125" t="s">
        <v>422</v>
      </c>
      <c r="H276" s="125" t="s">
        <v>909</v>
      </c>
      <c r="I276" s="125" t="s">
        <v>82</v>
      </c>
      <c r="J276" s="126">
        <v>28520</v>
      </c>
      <c r="K276" s="126">
        <v>13780</v>
      </c>
      <c r="L276" s="138">
        <v>23.5</v>
      </c>
      <c r="M276" s="126">
        <v>14740</v>
      </c>
      <c r="N276" s="126">
        <v>11276.1</v>
      </c>
      <c r="O276" s="126" t="s">
        <v>511</v>
      </c>
      <c r="P276" s="127">
        <v>372</v>
      </c>
      <c r="Q276" s="129">
        <v>45821</v>
      </c>
      <c r="R276" s="139">
        <v>0.64557870370370374</v>
      </c>
    </row>
    <row r="277" spans="1:18" ht="38.25" x14ac:dyDescent="0.25">
      <c r="A277" s="125" t="s">
        <v>954</v>
      </c>
      <c r="B277" s="136">
        <v>422</v>
      </c>
      <c r="C277" s="137" t="s">
        <v>902</v>
      </c>
      <c r="D277" s="125" t="s">
        <v>914</v>
      </c>
      <c r="E277" s="125" t="s">
        <v>737</v>
      </c>
      <c r="F277" s="125" t="s">
        <v>738</v>
      </c>
      <c r="G277" s="125">
        <v>16</v>
      </c>
      <c r="H277" s="125" t="s">
        <v>909</v>
      </c>
      <c r="I277" s="125" t="s">
        <v>82</v>
      </c>
      <c r="J277" s="126">
        <v>8780</v>
      </c>
      <c r="K277" s="126">
        <v>4590</v>
      </c>
      <c r="L277" s="138">
        <v>17.5</v>
      </c>
      <c r="M277" s="126">
        <v>4190</v>
      </c>
      <c r="N277" s="126">
        <v>3456.7</v>
      </c>
      <c r="O277" s="126" t="s">
        <v>511</v>
      </c>
      <c r="P277" s="127">
        <v>373</v>
      </c>
      <c r="Q277" s="129">
        <v>45821</v>
      </c>
      <c r="R277" s="139">
        <v>0.75384259259259256</v>
      </c>
    </row>
    <row r="278" spans="1:18" ht="38.25" x14ac:dyDescent="0.25">
      <c r="A278" s="125" t="s">
        <v>955</v>
      </c>
      <c r="B278" s="136">
        <v>423</v>
      </c>
      <c r="C278" s="137">
        <v>36</v>
      </c>
      <c r="D278" s="125" t="s">
        <v>903</v>
      </c>
      <c r="E278" s="125" t="s">
        <v>1253</v>
      </c>
      <c r="F278" s="125" t="s">
        <v>270</v>
      </c>
      <c r="G278" s="125" t="s">
        <v>422</v>
      </c>
      <c r="H278" s="125" t="s">
        <v>909</v>
      </c>
      <c r="I278" s="125" t="s">
        <v>82</v>
      </c>
      <c r="J278" s="126">
        <v>28660</v>
      </c>
      <c r="K278" s="126">
        <v>14850</v>
      </c>
      <c r="L278" s="138">
        <v>20.5</v>
      </c>
      <c r="M278" s="126">
        <v>13810</v>
      </c>
      <c r="N278" s="126">
        <v>10978.9</v>
      </c>
      <c r="O278" s="126" t="s">
        <v>511</v>
      </c>
      <c r="P278" s="127">
        <v>374</v>
      </c>
      <c r="Q278" s="129">
        <v>45821</v>
      </c>
      <c r="R278" s="139">
        <v>0.75537037037037036</v>
      </c>
    </row>
    <row r="279" spans="1:18" ht="38.25" x14ac:dyDescent="0.25">
      <c r="A279" s="125" t="s">
        <v>956</v>
      </c>
      <c r="B279" s="136">
        <v>424</v>
      </c>
      <c r="C279" s="137">
        <v>37</v>
      </c>
      <c r="D279" s="125" t="s">
        <v>903</v>
      </c>
      <c r="E279" s="125" t="s">
        <v>272</v>
      </c>
      <c r="F279" s="125" t="s">
        <v>276</v>
      </c>
      <c r="G279" s="125" t="s">
        <v>957</v>
      </c>
      <c r="H279" s="125" t="s">
        <v>909</v>
      </c>
      <c r="I279" s="125" t="s">
        <v>82</v>
      </c>
      <c r="J279" s="126">
        <v>28160</v>
      </c>
      <c r="K279" s="126">
        <v>14620</v>
      </c>
      <c r="L279" s="138">
        <v>13.5</v>
      </c>
      <c r="M279" s="126">
        <v>13540</v>
      </c>
      <c r="N279" s="126">
        <v>11712.1</v>
      </c>
      <c r="O279" s="126" t="s">
        <v>511</v>
      </c>
      <c r="P279" s="127">
        <v>375</v>
      </c>
      <c r="Q279" s="129">
        <v>45821</v>
      </c>
      <c r="R279" s="139">
        <v>0.76790509259259254</v>
      </c>
    </row>
    <row r="280" spans="1:18" ht="38.25" x14ac:dyDescent="0.25">
      <c r="A280" s="125" t="s">
        <v>958</v>
      </c>
      <c r="B280" s="136">
        <v>426</v>
      </c>
      <c r="C280" s="137" t="s">
        <v>902</v>
      </c>
      <c r="D280" s="125" t="s">
        <v>914</v>
      </c>
      <c r="E280" s="125" t="s">
        <v>762</v>
      </c>
      <c r="F280" s="125" t="s">
        <v>763</v>
      </c>
      <c r="G280" s="125">
        <v>16</v>
      </c>
      <c r="H280" s="125" t="s">
        <v>909</v>
      </c>
      <c r="I280" s="125" t="s">
        <v>82</v>
      </c>
      <c r="J280" s="126">
        <v>9430</v>
      </c>
      <c r="K280" s="126">
        <v>4590</v>
      </c>
      <c r="L280" s="138">
        <v>20.5</v>
      </c>
      <c r="M280" s="126">
        <v>4840</v>
      </c>
      <c r="N280" s="126">
        <v>3847.8</v>
      </c>
      <c r="O280" s="126" t="s">
        <v>511</v>
      </c>
      <c r="P280" s="127">
        <v>376</v>
      </c>
      <c r="Q280" s="129">
        <v>45821</v>
      </c>
      <c r="R280" s="139">
        <v>0.85030092592592588</v>
      </c>
    </row>
    <row r="281" spans="1:18" ht="38.25" x14ac:dyDescent="0.25">
      <c r="A281" s="125" t="s">
        <v>959</v>
      </c>
      <c r="B281" s="136">
        <v>425</v>
      </c>
      <c r="C281" s="137">
        <v>38</v>
      </c>
      <c r="D281" s="125" t="s">
        <v>903</v>
      </c>
      <c r="E281" s="125" t="s">
        <v>239</v>
      </c>
      <c r="F281" s="125" t="s">
        <v>243</v>
      </c>
      <c r="G281" s="125" t="s">
        <v>422</v>
      </c>
      <c r="H281" s="125" t="s">
        <v>909</v>
      </c>
      <c r="I281" s="125" t="s">
        <v>82</v>
      </c>
      <c r="J281" s="126">
        <v>28330</v>
      </c>
      <c r="K281" s="126">
        <v>14590</v>
      </c>
      <c r="L281" s="138">
        <v>10.5</v>
      </c>
      <c r="M281" s="126">
        <v>13740</v>
      </c>
      <c r="N281" s="126">
        <v>12297.3</v>
      </c>
      <c r="O281" s="126" t="s">
        <v>511</v>
      </c>
      <c r="P281" s="127">
        <v>377</v>
      </c>
      <c r="Q281" s="129">
        <v>45821</v>
      </c>
      <c r="R281" s="139">
        <v>0.90474537037037039</v>
      </c>
    </row>
    <row r="282" spans="1:18" ht="38.25" x14ac:dyDescent="0.25">
      <c r="A282" s="125" t="s">
        <v>960</v>
      </c>
      <c r="B282" s="136">
        <v>427</v>
      </c>
      <c r="C282" s="137" t="s">
        <v>902</v>
      </c>
      <c r="D282" s="125" t="s">
        <v>914</v>
      </c>
      <c r="E282" s="125" t="s">
        <v>737</v>
      </c>
      <c r="F282" s="125" t="s">
        <v>738</v>
      </c>
      <c r="G282" s="125">
        <v>16</v>
      </c>
      <c r="H282" s="125" t="s">
        <v>909</v>
      </c>
      <c r="I282" s="125" t="s">
        <v>82</v>
      </c>
      <c r="J282" s="126">
        <v>9160</v>
      </c>
      <c r="K282" s="126">
        <v>4560</v>
      </c>
      <c r="L282" s="138">
        <v>18.5</v>
      </c>
      <c r="M282" s="126">
        <v>4600</v>
      </c>
      <c r="N282" s="126">
        <v>3749</v>
      </c>
      <c r="O282" s="126" t="s">
        <v>511</v>
      </c>
      <c r="P282" s="127">
        <v>378</v>
      </c>
      <c r="Q282" s="129">
        <v>45821</v>
      </c>
      <c r="R282" s="139">
        <v>0.91975694444444445</v>
      </c>
    </row>
    <row r="283" spans="1:18" ht="38.25" x14ac:dyDescent="0.25">
      <c r="A283" s="125" t="s">
        <v>961</v>
      </c>
      <c r="B283" s="136">
        <v>428</v>
      </c>
      <c r="C283" s="137">
        <v>40</v>
      </c>
      <c r="D283" s="125" t="s">
        <v>903</v>
      </c>
      <c r="E283" s="125" t="s">
        <v>1461</v>
      </c>
      <c r="F283" s="125" t="s">
        <v>149</v>
      </c>
      <c r="G283" s="125" t="s">
        <v>422</v>
      </c>
      <c r="H283" s="125" t="s">
        <v>909</v>
      </c>
      <c r="I283" s="125" t="s">
        <v>82</v>
      </c>
      <c r="J283" s="126">
        <v>28610</v>
      </c>
      <c r="K283" s="126">
        <v>14940</v>
      </c>
      <c r="L283" s="138">
        <v>9</v>
      </c>
      <c r="M283" s="126">
        <v>13670</v>
      </c>
      <c r="N283" s="126">
        <v>12439.7</v>
      </c>
      <c r="O283" s="126" t="s">
        <v>550</v>
      </c>
      <c r="P283" s="127">
        <v>379</v>
      </c>
      <c r="Q283" s="129">
        <v>45821</v>
      </c>
      <c r="R283" s="139">
        <v>0.99024305555555558</v>
      </c>
    </row>
    <row r="284" spans="1:18" ht="38.25" x14ac:dyDescent="0.25">
      <c r="A284" s="125" t="s">
        <v>962</v>
      </c>
      <c r="B284" s="136">
        <v>430</v>
      </c>
      <c r="C284" s="137">
        <v>41</v>
      </c>
      <c r="D284" s="125" t="s">
        <v>903</v>
      </c>
      <c r="E284" s="125" t="s">
        <v>335</v>
      </c>
      <c r="F284" s="125" t="s">
        <v>339</v>
      </c>
      <c r="G284" s="125" t="s">
        <v>422</v>
      </c>
      <c r="H284" s="125" t="s">
        <v>909</v>
      </c>
      <c r="I284" s="125" t="s">
        <v>82</v>
      </c>
      <c r="J284" s="126">
        <v>28710</v>
      </c>
      <c r="K284" s="126">
        <v>14780</v>
      </c>
      <c r="L284" s="138">
        <v>20</v>
      </c>
      <c r="M284" s="126">
        <v>13930</v>
      </c>
      <c r="N284" s="126">
        <v>11144</v>
      </c>
      <c r="O284" s="126" t="s">
        <v>511</v>
      </c>
      <c r="P284" s="127">
        <v>380</v>
      </c>
      <c r="Q284" s="129">
        <v>45821</v>
      </c>
      <c r="R284" s="139">
        <v>0.96616898148148145</v>
      </c>
    </row>
    <row r="285" spans="1:18" ht="38.25" x14ac:dyDescent="0.25">
      <c r="A285" s="125" t="s">
        <v>963</v>
      </c>
      <c r="B285" s="136">
        <v>431</v>
      </c>
      <c r="C285" s="137" t="s">
        <v>902</v>
      </c>
      <c r="D285" s="125" t="s">
        <v>914</v>
      </c>
      <c r="E285" s="125" t="s">
        <v>762</v>
      </c>
      <c r="F285" s="125" t="s">
        <v>763</v>
      </c>
      <c r="G285" s="125">
        <v>16</v>
      </c>
      <c r="H285" s="125" t="s">
        <v>909</v>
      </c>
      <c r="I285" s="125" t="s">
        <v>82</v>
      </c>
      <c r="J285" s="126">
        <v>8810</v>
      </c>
      <c r="K285" s="126">
        <v>4590</v>
      </c>
      <c r="L285" s="138">
        <v>20.5</v>
      </c>
      <c r="M285" s="126">
        <v>4220</v>
      </c>
      <c r="N285" s="126">
        <v>3354.9</v>
      </c>
      <c r="O285" s="126" t="s">
        <v>511</v>
      </c>
      <c r="P285" s="127">
        <v>381</v>
      </c>
      <c r="Q285" s="129">
        <v>45822</v>
      </c>
      <c r="R285" s="139">
        <v>5.3726851851851852E-2</v>
      </c>
    </row>
    <row r="286" spans="1:18" ht="38.25" x14ac:dyDescent="0.25">
      <c r="A286" s="125" t="s">
        <v>964</v>
      </c>
      <c r="B286" s="136">
        <v>429</v>
      </c>
      <c r="C286" s="137">
        <v>39</v>
      </c>
      <c r="D286" s="125" t="s">
        <v>903</v>
      </c>
      <c r="E286" s="125" t="s">
        <v>1151</v>
      </c>
      <c r="F286" s="125" t="s">
        <v>145</v>
      </c>
      <c r="G286" s="125" t="s">
        <v>422</v>
      </c>
      <c r="H286" s="125" t="s">
        <v>909</v>
      </c>
      <c r="I286" s="125" t="s">
        <v>82</v>
      </c>
      <c r="J286" s="126">
        <v>29140</v>
      </c>
      <c r="K286" s="126">
        <v>15600</v>
      </c>
      <c r="L286" s="138">
        <v>9</v>
      </c>
      <c r="M286" s="126">
        <v>13540</v>
      </c>
      <c r="N286" s="126">
        <v>12321.4</v>
      </c>
      <c r="O286" s="126" t="s">
        <v>550</v>
      </c>
      <c r="P286" s="127">
        <v>382</v>
      </c>
      <c r="Q286" s="129">
        <v>45821</v>
      </c>
      <c r="R286" s="139">
        <v>0.93415509259259255</v>
      </c>
    </row>
    <row r="287" spans="1:18" ht="38.25" x14ac:dyDescent="0.25">
      <c r="A287" s="125" t="s">
        <v>965</v>
      </c>
      <c r="B287" s="136">
        <v>432</v>
      </c>
      <c r="C287" s="137">
        <v>42</v>
      </c>
      <c r="D287" s="125" t="s">
        <v>903</v>
      </c>
      <c r="E287" s="125" t="s">
        <v>121</v>
      </c>
      <c r="F287" s="125" t="s">
        <v>125</v>
      </c>
      <c r="G287" s="125" t="s">
        <v>422</v>
      </c>
      <c r="H287" s="125" t="s">
        <v>909</v>
      </c>
      <c r="I287" s="125" t="s">
        <v>82</v>
      </c>
      <c r="J287" s="126">
        <v>28150</v>
      </c>
      <c r="K287" s="126">
        <v>14560</v>
      </c>
      <c r="L287" s="138">
        <v>17.5</v>
      </c>
      <c r="M287" s="126">
        <v>13590</v>
      </c>
      <c r="N287" s="126">
        <v>11211.7</v>
      </c>
      <c r="O287" s="126" t="s">
        <v>511</v>
      </c>
      <c r="P287" s="127">
        <v>383</v>
      </c>
      <c r="Q287" s="129">
        <v>45822</v>
      </c>
      <c r="R287" s="139">
        <v>0.19540509259259259</v>
      </c>
    </row>
    <row r="288" spans="1:18" ht="38.25" x14ac:dyDescent="0.25">
      <c r="A288" s="125" t="s">
        <v>966</v>
      </c>
      <c r="B288" s="136">
        <v>433</v>
      </c>
      <c r="C288" s="137" t="s">
        <v>902</v>
      </c>
      <c r="D288" s="125" t="s">
        <v>903</v>
      </c>
      <c r="E288" s="125" t="s">
        <v>234</v>
      </c>
      <c r="F288" s="125" t="s">
        <v>238</v>
      </c>
      <c r="G288" s="125" t="s">
        <v>967</v>
      </c>
      <c r="H288" s="125" t="s">
        <v>909</v>
      </c>
      <c r="I288" s="125" t="s">
        <v>82</v>
      </c>
      <c r="J288" s="126">
        <v>28620</v>
      </c>
      <c r="K288" s="126">
        <v>15420</v>
      </c>
      <c r="L288" s="138">
        <v>19.5</v>
      </c>
      <c r="M288" s="126">
        <v>13200</v>
      </c>
      <c r="N288" s="126">
        <v>10626</v>
      </c>
      <c r="O288" s="126" t="s">
        <v>511</v>
      </c>
      <c r="P288" s="127">
        <v>384</v>
      </c>
      <c r="Q288" s="129">
        <v>45822</v>
      </c>
      <c r="R288" s="139">
        <v>0.22990740740740739</v>
      </c>
    </row>
    <row r="289" spans="1:18" ht="38.25" x14ac:dyDescent="0.25">
      <c r="A289" s="125" t="s">
        <v>968</v>
      </c>
      <c r="B289" s="136">
        <v>434</v>
      </c>
      <c r="C289" s="137" t="s">
        <v>902</v>
      </c>
      <c r="D289" s="125" t="s">
        <v>903</v>
      </c>
      <c r="E289" s="125" t="s">
        <v>329</v>
      </c>
      <c r="F289" s="125" t="s">
        <v>333</v>
      </c>
      <c r="G289" s="125">
        <v>43</v>
      </c>
      <c r="H289" s="125" t="s">
        <v>916</v>
      </c>
      <c r="I289" s="125" t="s">
        <v>82</v>
      </c>
      <c r="J289" s="126">
        <v>27970</v>
      </c>
      <c r="K289" s="126">
        <v>14950</v>
      </c>
      <c r="L289" s="138">
        <v>14.5</v>
      </c>
      <c r="M289" s="126">
        <v>13020</v>
      </c>
      <c r="N289" s="126">
        <v>11132.1</v>
      </c>
      <c r="O289" s="126" t="s">
        <v>550</v>
      </c>
      <c r="P289" s="127">
        <v>385</v>
      </c>
      <c r="Q289" s="129">
        <v>45822</v>
      </c>
      <c r="R289" s="139">
        <v>0.24932870370370369</v>
      </c>
    </row>
    <row r="290" spans="1:18" ht="38.25" x14ac:dyDescent="0.25">
      <c r="A290" s="125" t="s">
        <v>969</v>
      </c>
      <c r="B290" s="136">
        <v>440</v>
      </c>
      <c r="C290" s="137" t="s">
        <v>970</v>
      </c>
      <c r="D290" s="125" t="s">
        <v>903</v>
      </c>
      <c r="E290" s="125" t="s">
        <v>1152</v>
      </c>
      <c r="F290" s="125" t="s">
        <v>119</v>
      </c>
      <c r="G290" s="125">
        <v>43</v>
      </c>
      <c r="H290" s="125" t="s">
        <v>916</v>
      </c>
      <c r="I290" s="125" t="s">
        <v>82</v>
      </c>
      <c r="J290" s="126">
        <v>27650</v>
      </c>
      <c r="K290" s="126">
        <v>21060</v>
      </c>
      <c r="L290" s="138">
        <v>6.5</v>
      </c>
      <c r="M290" s="126">
        <v>6590</v>
      </c>
      <c r="N290" s="126">
        <v>6161.6</v>
      </c>
      <c r="O290" s="126" t="s">
        <v>550</v>
      </c>
      <c r="P290" s="127">
        <v>386</v>
      </c>
      <c r="Q290" s="129">
        <v>45822</v>
      </c>
      <c r="R290" s="139">
        <v>0.40688657407407408</v>
      </c>
    </row>
    <row r="291" spans="1:18" ht="38.25" x14ac:dyDescent="0.25">
      <c r="A291" s="125" t="s">
        <v>971</v>
      </c>
      <c r="B291" s="136">
        <v>435</v>
      </c>
      <c r="C291" s="137" t="s">
        <v>902</v>
      </c>
      <c r="D291" s="125" t="s">
        <v>903</v>
      </c>
      <c r="E291" s="125" t="s">
        <v>347</v>
      </c>
      <c r="F291" s="125" t="s">
        <v>351</v>
      </c>
      <c r="G291" s="125">
        <v>43</v>
      </c>
      <c r="H291" s="125" t="s">
        <v>916</v>
      </c>
      <c r="I291" s="125" t="s">
        <v>82</v>
      </c>
      <c r="J291" s="126">
        <v>31950</v>
      </c>
      <c r="K291" s="126">
        <v>18710</v>
      </c>
      <c r="L291" s="138">
        <v>9.5</v>
      </c>
      <c r="M291" s="126">
        <v>13240</v>
      </c>
      <c r="N291" s="126">
        <v>11982.2</v>
      </c>
      <c r="O291" s="126" t="s">
        <v>550</v>
      </c>
      <c r="P291" s="127">
        <v>387</v>
      </c>
      <c r="Q291" s="129">
        <v>45822</v>
      </c>
      <c r="R291" s="139">
        <v>0.45810185185185187</v>
      </c>
    </row>
    <row r="292" spans="1:18" ht="38.25" x14ac:dyDescent="0.25">
      <c r="A292" s="125" t="s">
        <v>972</v>
      </c>
      <c r="B292" s="136">
        <v>436</v>
      </c>
      <c r="C292" s="137" t="s">
        <v>902</v>
      </c>
      <c r="D292" s="125" t="s">
        <v>903</v>
      </c>
      <c r="E292" s="125" t="s">
        <v>311</v>
      </c>
      <c r="F292" s="125" t="s">
        <v>315</v>
      </c>
      <c r="G292" s="125">
        <v>43</v>
      </c>
      <c r="H292" s="125" t="s">
        <v>916</v>
      </c>
      <c r="I292" s="125" t="s">
        <v>82</v>
      </c>
      <c r="J292" s="126">
        <v>28170</v>
      </c>
      <c r="K292" s="126">
        <v>14970</v>
      </c>
      <c r="L292" s="138">
        <v>6.5</v>
      </c>
      <c r="M292" s="126">
        <v>13200</v>
      </c>
      <c r="N292" s="126">
        <v>12342</v>
      </c>
      <c r="O292" s="126" t="s">
        <v>550</v>
      </c>
      <c r="P292" s="127">
        <v>388</v>
      </c>
      <c r="Q292" s="129">
        <v>45822</v>
      </c>
      <c r="R292" s="139">
        <v>0.50673611111111116</v>
      </c>
    </row>
    <row r="293" spans="1:18" ht="38.25" x14ac:dyDescent="0.25">
      <c r="A293" s="125" t="s">
        <v>973</v>
      </c>
      <c r="B293" s="136">
        <v>438</v>
      </c>
      <c r="C293" s="137" t="s">
        <v>902</v>
      </c>
      <c r="D293" s="125" t="s">
        <v>903</v>
      </c>
      <c r="E293" s="125" t="s">
        <v>160</v>
      </c>
      <c r="F293" s="125" t="s">
        <v>164</v>
      </c>
      <c r="G293" s="125">
        <v>43</v>
      </c>
      <c r="H293" s="125" t="s">
        <v>916</v>
      </c>
      <c r="I293" s="125" t="s">
        <v>82</v>
      </c>
      <c r="J293" s="126">
        <v>37310</v>
      </c>
      <c r="K293" s="126">
        <v>24000</v>
      </c>
      <c r="L293" s="138">
        <v>6.5</v>
      </c>
      <c r="M293" s="126">
        <v>13310</v>
      </c>
      <c r="N293" s="126">
        <v>12444.8</v>
      </c>
      <c r="O293" s="126" t="s">
        <v>550</v>
      </c>
      <c r="P293" s="127">
        <v>389</v>
      </c>
      <c r="Q293" s="129">
        <v>45822</v>
      </c>
      <c r="R293" s="139">
        <v>0.51524305555555561</v>
      </c>
    </row>
    <row r="294" spans="1:18" ht="38.25" x14ac:dyDescent="0.25">
      <c r="A294" s="125" t="s">
        <v>974</v>
      </c>
      <c r="B294" s="136">
        <v>437</v>
      </c>
      <c r="C294" s="137" t="s">
        <v>970</v>
      </c>
      <c r="D294" s="125" t="s">
        <v>903</v>
      </c>
      <c r="E294" s="125" t="s">
        <v>1152</v>
      </c>
      <c r="F294" s="125" t="s">
        <v>119</v>
      </c>
      <c r="G294" s="125">
        <v>46</v>
      </c>
      <c r="H294" s="125" t="s">
        <v>909</v>
      </c>
      <c r="I294" s="125" t="s">
        <v>82</v>
      </c>
      <c r="J294" s="126">
        <v>34940</v>
      </c>
      <c r="K294" s="126">
        <v>27670</v>
      </c>
      <c r="L294" s="138">
        <v>18.5</v>
      </c>
      <c r="M294" s="126">
        <v>7270</v>
      </c>
      <c r="N294" s="126">
        <v>5925</v>
      </c>
      <c r="O294" s="126" t="s">
        <v>511</v>
      </c>
      <c r="P294" s="127">
        <v>390</v>
      </c>
      <c r="Q294" s="129">
        <v>45822</v>
      </c>
      <c r="R294" s="139">
        <v>0.32490740740740742</v>
      </c>
    </row>
    <row r="295" spans="1:18" ht="38.25" x14ac:dyDescent="0.25">
      <c r="A295" s="125" t="s">
        <v>975</v>
      </c>
      <c r="B295" s="136">
        <v>441</v>
      </c>
      <c r="C295" s="137" t="s">
        <v>902</v>
      </c>
      <c r="D295" s="125" t="s">
        <v>903</v>
      </c>
      <c r="E295" s="125" t="s">
        <v>151</v>
      </c>
      <c r="F295" s="125" t="s">
        <v>155</v>
      </c>
      <c r="G295" s="125">
        <v>44</v>
      </c>
      <c r="H295" s="125" t="s">
        <v>916</v>
      </c>
      <c r="I295" s="125" t="s">
        <v>82</v>
      </c>
      <c r="J295" s="126">
        <v>28140</v>
      </c>
      <c r="K295" s="126">
        <v>14940</v>
      </c>
      <c r="L295" s="138">
        <v>10.5</v>
      </c>
      <c r="M295" s="126">
        <v>13200</v>
      </c>
      <c r="N295" s="126">
        <v>11814</v>
      </c>
      <c r="O295" s="126" t="s">
        <v>550</v>
      </c>
      <c r="P295" s="127">
        <v>391</v>
      </c>
      <c r="Q295" s="129">
        <v>45822</v>
      </c>
      <c r="R295" s="139">
        <v>0.48028935185185184</v>
      </c>
    </row>
    <row r="296" spans="1:18" ht="38.25" x14ac:dyDescent="0.25">
      <c r="A296" s="125" t="s">
        <v>976</v>
      </c>
      <c r="B296" s="136">
        <v>443</v>
      </c>
      <c r="C296" s="137" t="s">
        <v>902</v>
      </c>
      <c r="D296" s="125" t="s">
        <v>914</v>
      </c>
      <c r="E296" s="125" t="s">
        <v>737</v>
      </c>
      <c r="F296" s="125" t="s">
        <v>738</v>
      </c>
      <c r="G296" s="125">
        <v>16</v>
      </c>
      <c r="H296" s="125" t="s">
        <v>909</v>
      </c>
      <c r="I296" s="125" t="s">
        <v>82</v>
      </c>
      <c r="J296" s="126">
        <v>9100</v>
      </c>
      <c r="K296" s="126">
        <v>4590</v>
      </c>
      <c r="L296" s="138">
        <v>18.5</v>
      </c>
      <c r="M296" s="126">
        <v>4510</v>
      </c>
      <c r="N296" s="126">
        <v>3675.6</v>
      </c>
      <c r="O296" s="126" t="s">
        <v>511</v>
      </c>
      <c r="P296" s="127">
        <v>392</v>
      </c>
      <c r="Q296" s="129">
        <v>45822</v>
      </c>
      <c r="R296" s="139">
        <v>0.6539814814814815</v>
      </c>
    </row>
    <row r="297" spans="1:18" ht="38.25" x14ac:dyDescent="0.25">
      <c r="A297" s="125" t="s">
        <v>977</v>
      </c>
      <c r="B297" s="136">
        <v>444</v>
      </c>
      <c r="C297" s="137" t="s">
        <v>902</v>
      </c>
      <c r="D297" s="125" t="s">
        <v>903</v>
      </c>
      <c r="E297" s="125" t="s">
        <v>212</v>
      </c>
      <c r="F297" s="125" t="s">
        <v>216</v>
      </c>
      <c r="G297" s="125">
        <v>44</v>
      </c>
      <c r="H297" s="125" t="s">
        <v>916</v>
      </c>
      <c r="I297" s="125" t="s">
        <v>82</v>
      </c>
      <c r="J297" s="126">
        <v>27130</v>
      </c>
      <c r="K297" s="126">
        <v>13770</v>
      </c>
      <c r="L297" s="138">
        <v>12</v>
      </c>
      <c r="M297" s="126">
        <v>13360</v>
      </c>
      <c r="N297" s="126">
        <v>11756.8</v>
      </c>
      <c r="O297" s="126" t="s">
        <v>550</v>
      </c>
      <c r="P297" s="127">
        <v>393</v>
      </c>
      <c r="Q297" s="129">
        <v>45822</v>
      </c>
      <c r="R297" s="139">
        <v>0.66276620370370365</v>
      </c>
    </row>
    <row r="298" spans="1:18" ht="38.25" x14ac:dyDescent="0.25">
      <c r="A298" s="125" t="s">
        <v>915</v>
      </c>
      <c r="B298" s="136">
        <v>445</v>
      </c>
      <c r="C298" s="137" t="s">
        <v>902</v>
      </c>
      <c r="D298" s="125" t="s">
        <v>903</v>
      </c>
      <c r="E298" s="125" t="s">
        <v>133</v>
      </c>
      <c r="F298" s="125" t="s">
        <v>137</v>
      </c>
      <c r="G298" s="125">
        <v>43</v>
      </c>
      <c r="H298" s="125" t="s">
        <v>916</v>
      </c>
      <c r="I298" s="125" t="s">
        <v>82</v>
      </c>
      <c r="J298" s="126">
        <v>28050</v>
      </c>
      <c r="K298" s="126">
        <v>14730</v>
      </c>
      <c r="L298" s="138">
        <v>11</v>
      </c>
      <c r="M298" s="126">
        <v>13320</v>
      </c>
      <c r="N298" s="126">
        <v>11854.8</v>
      </c>
      <c r="O298" s="126" t="s">
        <v>550</v>
      </c>
      <c r="P298" s="127">
        <v>394</v>
      </c>
      <c r="Q298" s="129">
        <v>45822</v>
      </c>
      <c r="R298" s="139">
        <v>0.67434027777777783</v>
      </c>
    </row>
    <row r="299" spans="1:18" ht="38.25" x14ac:dyDescent="0.25">
      <c r="A299" s="125" t="s">
        <v>917</v>
      </c>
      <c r="B299" s="136">
        <v>447</v>
      </c>
      <c r="C299" s="137" t="s">
        <v>902</v>
      </c>
      <c r="D299" s="125" t="s">
        <v>903</v>
      </c>
      <c r="E299" s="125" t="s">
        <v>272</v>
      </c>
      <c r="F299" s="125" t="s">
        <v>276</v>
      </c>
      <c r="G299" s="125">
        <v>43</v>
      </c>
      <c r="H299" s="125" t="s">
        <v>916</v>
      </c>
      <c r="I299" s="125" t="s">
        <v>82</v>
      </c>
      <c r="J299" s="126">
        <v>27780</v>
      </c>
      <c r="K299" s="126">
        <v>14570</v>
      </c>
      <c r="L299" s="138">
        <v>9</v>
      </c>
      <c r="M299" s="126">
        <v>13210</v>
      </c>
      <c r="N299" s="126">
        <v>12021.1</v>
      </c>
      <c r="O299" s="126" t="s">
        <v>550</v>
      </c>
      <c r="P299" s="127">
        <v>395</v>
      </c>
      <c r="Q299" s="129">
        <v>45822</v>
      </c>
      <c r="R299" s="139">
        <v>0.747650462962963</v>
      </c>
    </row>
    <row r="300" spans="1:18" ht="38.25" x14ac:dyDescent="0.25">
      <c r="A300" s="125" t="s">
        <v>918</v>
      </c>
      <c r="B300" s="136">
        <v>446</v>
      </c>
      <c r="C300" s="137" t="s">
        <v>902</v>
      </c>
      <c r="D300" s="125" t="s">
        <v>903</v>
      </c>
      <c r="E300" s="125" t="s">
        <v>1253</v>
      </c>
      <c r="F300" s="125" t="s">
        <v>270</v>
      </c>
      <c r="G300" s="125">
        <v>43</v>
      </c>
      <c r="H300" s="125" t="s">
        <v>916</v>
      </c>
      <c r="I300" s="125" t="s">
        <v>82</v>
      </c>
      <c r="J300" s="126">
        <v>27970</v>
      </c>
      <c r="K300" s="126">
        <v>14760</v>
      </c>
      <c r="L300" s="138">
        <v>11.5</v>
      </c>
      <c r="M300" s="126">
        <v>13210</v>
      </c>
      <c r="N300" s="126">
        <v>11690.8</v>
      </c>
      <c r="O300" s="126" t="s">
        <v>511</v>
      </c>
      <c r="P300" s="127">
        <v>396</v>
      </c>
      <c r="Q300" s="129">
        <v>45822</v>
      </c>
      <c r="R300" s="139">
        <v>0.78767361111111112</v>
      </c>
    </row>
    <row r="301" spans="1:18" ht="38.25" x14ac:dyDescent="0.25">
      <c r="A301" s="125" t="s">
        <v>919</v>
      </c>
      <c r="B301" s="136">
        <v>448</v>
      </c>
      <c r="C301" s="137" t="s">
        <v>902</v>
      </c>
      <c r="D301" s="125" t="s">
        <v>903</v>
      </c>
      <c r="E301" s="125" t="s">
        <v>239</v>
      </c>
      <c r="F301" s="125" t="s">
        <v>243</v>
      </c>
      <c r="G301" s="125">
        <v>43</v>
      </c>
      <c r="H301" s="125" t="s">
        <v>916</v>
      </c>
      <c r="I301" s="125" t="s">
        <v>82</v>
      </c>
      <c r="J301" s="126">
        <v>27860</v>
      </c>
      <c r="K301" s="126">
        <v>14590</v>
      </c>
      <c r="L301" s="138">
        <v>14.5</v>
      </c>
      <c r="M301" s="126">
        <v>13270</v>
      </c>
      <c r="N301" s="126">
        <v>11345.8</v>
      </c>
      <c r="O301" s="126" t="s">
        <v>550</v>
      </c>
      <c r="P301" s="127">
        <v>397</v>
      </c>
      <c r="Q301" s="129">
        <v>45822</v>
      </c>
      <c r="R301" s="139">
        <v>0.88553240740740746</v>
      </c>
    </row>
    <row r="302" spans="1:18" ht="38.25" x14ac:dyDescent="0.25">
      <c r="A302" s="125" t="s">
        <v>920</v>
      </c>
      <c r="B302" s="136">
        <v>449</v>
      </c>
      <c r="C302" s="137" t="s">
        <v>902</v>
      </c>
      <c r="D302" s="125" t="s">
        <v>903</v>
      </c>
      <c r="E302" s="125" t="s">
        <v>335</v>
      </c>
      <c r="F302" s="125" t="s">
        <v>339</v>
      </c>
      <c r="G302" s="125">
        <v>43</v>
      </c>
      <c r="H302" s="125" t="s">
        <v>916</v>
      </c>
      <c r="I302" s="125" t="s">
        <v>82</v>
      </c>
      <c r="J302" s="126">
        <v>28040</v>
      </c>
      <c r="K302" s="126">
        <v>14690</v>
      </c>
      <c r="L302" s="138">
        <v>19.5</v>
      </c>
      <c r="M302" s="126">
        <v>13350</v>
      </c>
      <c r="N302" s="126">
        <v>10746.7</v>
      </c>
      <c r="O302" s="126" t="s">
        <v>511</v>
      </c>
      <c r="P302" s="127">
        <v>398</v>
      </c>
      <c r="Q302" s="129">
        <v>45822</v>
      </c>
      <c r="R302" s="139">
        <v>0.89340277777777777</v>
      </c>
    </row>
    <row r="303" spans="1:18" ht="38.25" x14ac:dyDescent="0.25">
      <c r="A303" s="125" t="s">
        <v>921</v>
      </c>
      <c r="B303" s="136">
        <v>450</v>
      </c>
      <c r="C303" s="137" t="s">
        <v>902</v>
      </c>
      <c r="D303" s="125" t="s">
        <v>903</v>
      </c>
      <c r="E303" s="125" t="s">
        <v>1461</v>
      </c>
      <c r="F303" s="125" t="s">
        <v>149</v>
      </c>
      <c r="G303" s="125">
        <v>43</v>
      </c>
      <c r="H303" s="125" t="s">
        <v>916</v>
      </c>
      <c r="I303" s="125" t="s">
        <v>82</v>
      </c>
      <c r="J303" s="126">
        <v>28180</v>
      </c>
      <c r="K303" s="126">
        <v>14860</v>
      </c>
      <c r="L303" s="138">
        <v>11</v>
      </c>
      <c r="M303" s="126">
        <v>13320</v>
      </c>
      <c r="N303" s="126">
        <v>11854.8</v>
      </c>
      <c r="O303" s="126" t="s">
        <v>550</v>
      </c>
      <c r="P303" s="127">
        <v>399</v>
      </c>
      <c r="Q303" s="129">
        <v>45822</v>
      </c>
      <c r="R303" s="139">
        <v>0.90363425925925922</v>
      </c>
    </row>
    <row r="304" spans="1:18" ht="38.25" x14ac:dyDescent="0.25">
      <c r="A304" s="125" t="s">
        <v>922</v>
      </c>
      <c r="B304" s="136">
        <v>451</v>
      </c>
      <c r="C304" s="137" t="s">
        <v>902</v>
      </c>
      <c r="D304" s="125" t="s">
        <v>903</v>
      </c>
      <c r="E304" s="125" t="s">
        <v>1151</v>
      </c>
      <c r="F304" s="125" t="s">
        <v>145</v>
      </c>
      <c r="G304" s="125">
        <v>44</v>
      </c>
      <c r="H304" s="125" t="s">
        <v>916</v>
      </c>
      <c r="I304" s="125" t="s">
        <v>82</v>
      </c>
      <c r="J304" s="126">
        <v>29070</v>
      </c>
      <c r="K304" s="126">
        <v>15520</v>
      </c>
      <c r="L304" s="138">
        <v>10</v>
      </c>
      <c r="M304" s="126">
        <v>13550</v>
      </c>
      <c r="N304" s="126">
        <v>12195</v>
      </c>
      <c r="O304" s="126" t="s">
        <v>511</v>
      </c>
      <c r="P304" s="127">
        <v>400</v>
      </c>
      <c r="Q304" s="129">
        <v>45822</v>
      </c>
      <c r="R304" s="139">
        <v>0.97355324074074079</v>
      </c>
    </row>
    <row r="305" spans="1:18" ht="38.25" x14ac:dyDescent="0.25">
      <c r="A305" s="125" t="s">
        <v>923</v>
      </c>
      <c r="B305" s="136">
        <v>452</v>
      </c>
      <c r="C305" s="137" t="s">
        <v>902</v>
      </c>
      <c r="D305" s="125" t="s">
        <v>903</v>
      </c>
      <c r="E305" s="125" t="s">
        <v>305</v>
      </c>
      <c r="F305" s="125" t="s">
        <v>309</v>
      </c>
      <c r="G305" s="125">
        <v>43</v>
      </c>
      <c r="H305" s="125" t="s">
        <v>916</v>
      </c>
      <c r="I305" s="125" t="s">
        <v>82</v>
      </c>
      <c r="J305" s="126">
        <v>27420</v>
      </c>
      <c r="K305" s="126">
        <v>14420</v>
      </c>
      <c r="L305" s="138">
        <v>14</v>
      </c>
      <c r="M305" s="126">
        <v>13000</v>
      </c>
      <c r="N305" s="126">
        <v>11180</v>
      </c>
      <c r="O305" s="126" t="s">
        <v>550</v>
      </c>
      <c r="P305" s="127">
        <v>401</v>
      </c>
      <c r="Q305" s="129">
        <v>45822</v>
      </c>
      <c r="R305" s="139">
        <v>0.82660879629629624</v>
      </c>
    </row>
    <row r="306" spans="1:18" ht="38.25" x14ac:dyDescent="0.25">
      <c r="A306" s="125" t="s">
        <v>924</v>
      </c>
      <c r="B306" s="136">
        <v>453</v>
      </c>
      <c r="C306" s="137" t="s">
        <v>902</v>
      </c>
      <c r="D306" s="125" t="s">
        <v>903</v>
      </c>
      <c r="E306" s="125" t="s">
        <v>329</v>
      </c>
      <c r="F306" s="125" t="s">
        <v>333</v>
      </c>
      <c r="G306" s="125">
        <v>44</v>
      </c>
      <c r="H306" s="125" t="s">
        <v>916</v>
      </c>
      <c r="I306" s="125" t="s">
        <v>82</v>
      </c>
      <c r="J306" s="126">
        <v>28390</v>
      </c>
      <c r="K306" s="126">
        <v>14890</v>
      </c>
      <c r="L306" s="138">
        <v>10</v>
      </c>
      <c r="M306" s="126">
        <v>13500</v>
      </c>
      <c r="N306" s="126">
        <v>12150</v>
      </c>
      <c r="O306" s="126" t="s">
        <v>550</v>
      </c>
      <c r="P306" s="127">
        <v>402</v>
      </c>
      <c r="Q306" s="129">
        <v>45822</v>
      </c>
      <c r="R306" s="139">
        <v>0.85928240740740736</v>
      </c>
    </row>
    <row r="307" spans="1:18" ht="38.25" x14ac:dyDescent="0.25">
      <c r="A307" s="125" t="s">
        <v>925</v>
      </c>
      <c r="B307" s="136">
        <v>454</v>
      </c>
      <c r="C307" s="137" t="s">
        <v>902</v>
      </c>
      <c r="D307" s="125" t="s">
        <v>903</v>
      </c>
      <c r="E307" s="125" t="s">
        <v>121</v>
      </c>
      <c r="F307" s="125" t="s">
        <v>125</v>
      </c>
      <c r="G307" s="125">
        <v>43</v>
      </c>
      <c r="H307" s="125" t="s">
        <v>916</v>
      </c>
      <c r="I307" s="125" t="s">
        <v>82</v>
      </c>
      <c r="J307" s="126">
        <v>27550</v>
      </c>
      <c r="K307" s="126">
        <v>14700</v>
      </c>
      <c r="L307" s="138">
        <v>9</v>
      </c>
      <c r="M307" s="126">
        <v>12850</v>
      </c>
      <c r="N307" s="126">
        <v>11693.5</v>
      </c>
      <c r="O307" s="126" t="s">
        <v>550</v>
      </c>
      <c r="P307" s="127">
        <v>403</v>
      </c>
      <c r="Q307" s="129">
        <v>45822</v>
      </c>
      <c r="R307" s="139">
        <v>0.91401620370370373</v>
      </c>
    </row>
    <row r="308" spans="1:18" ht="38.25" x14ac:dyDescent="0.25">
      <c r="A308" s="125" t="s">
        <v>926</v>
      </c>
      <c r="B308" s="136">
        <v>455</v>
      </c>
      <c r="C308" s="137" t="s">
        <v>902</v>
      </c>
      <c r="D308" s="125" t="s">
        <v>903</v>
      </c>
      <c r="E308" s="125" t="s">
        <v>347</v>
      </c>
      <c r="F308" s="125" t="s">
        <v>351</v>
      </c>
      <c r="G308" s="125">
        <v>44</v>
      </c>
      <c r="H308" s="125" t="s">
        <v>916</v>
      </c>
      <c r="I308" s="125" t="s">
        <v>82</v>
      </c>
      <c r="J308" s="126">
        <v>32500</v>
      </c>
      <c r="K308" s="126">
        <v>18650</v>
      </c>
      <c r="L308" s="138">
        <v>10.5</v>
      </c>
      <c r="M308" s="126">
        <v>13850</v>
      </c>
      <c r="N308" s="126">
        <v>12395.7</v>
      </c>
      <c r="O308" s="126" t="s">
        <v>550</v>
      </c>
      <c r="P308" s="127">
        <v>404</v>
      </c>
      <c r="Q308" s="129">
        <v>45822</v>
      </c>
      <c r="R308" s="139">
        <v>0.93774305555555559</v>
      </c>
    </row>
    <row r="309" spans="1:18" ht="38.25" x14ac:dyDescent="0.25">
      <c r="A309" s="125" t="s">
        <v>927</v>
      </c>
      <c r="B309" s="136">
        <v>457</v>
      </c>
      <c r="C309" s="137" t="s">
        <v>902</v>
      </c>
      <c r="D309" s="125" t="s">
        <v>903</v>
      </c>
      <c r="E309" s="125" t="s">
        <v>311</v>
      </c>
      <c r="F309" s="125" t="s">
        <v>315</v>
      </c>
      <c r="G309" s="125">
        <v>44</v>
      </c>
      <c r="H309" s="125" t="s">
        <v>916</v>
      </c>
      <c r="I309" s="125" t="s">
        <v>82</v>
      </c>
      <c r="J309" s="126">
        <v>28590</v>
      </c>
      <c r="K309" s="126">
        <v>14990</v>
      </c>
      <c r="L309" s="138">
        <v>12.5</v>
      </c>
      <c r="M309" s="126">
        <v>13600</v>
      </c>
      <c r="N309" s="126">
        <v>11900</v>
      </c>
      <c r="O309" s="126" t="s">
        <v>550</v>
      </c>
      <c r="P309" s="127">
        <v>405</v>
      </c>
      <c r="Q309" s="129">
        <v>45823</v>
      </c>
      <c r="R309" s="139">
        <v>0.22234953703703703</v>
      </c>
    </row>
    <row r="310" spans="1:18" ht="38.25" x14ac:dyDescent="0.25">
      <c r="A310" s="125" t="s">
        <v>928</v>
      </c>
      <c r="B310" s="136">
        <v>456</v>
      </c>
      <c r="C310" s="137" t="s">
        <v>902</v>
      </c>
      <c r="D310" s="125" t="s">
        <v>903</v>
      </c>
      <c r="E310" s="125" t="s">
        <v>234</v>
      </c>
      <c r="F310" s="125" t="s">
        <v>238</v>
      </c>
      <c r="G310" s="125">
        <v>43</v>
      </c>
      <c r="H310" s="125" t="s">
        <v>916</v>
      </c>
      <c r="I310" s="125" t="s">
        <v>82</v>
      </c>
      <c r="J310" s="126">
        <v>28720</v>
      </c>
      <c r="K310" s="126">
        <v>15620</v>
      </c>
      <c r="L310" s="138">
        <v>13.5</v>
      </c>
      <c r="M310" s="126">
        <v>13100</v>
      </c>
      <c r="N310" s="126">
        <v>11331.5</v>
      </c>
      <c r="O310" s="126" t="s">
        <v>550</v>
      </c>
      <c r="P310" s="127">
        <v>406</v>
      </c>
      <c r="Q310" s="129">
        <v>45822</v>
      </c>
      <c r="R310" s="139">
        <v>0.99289351851851848</v>
      </c>
    </row>
    <row r="311" spans="1:18" ht="38.25" x14ac:dyDescent="0.25">
      <c r="A311" s="125" t="s">
        <v>929</v>
      </c>
      <c r="B311" s="136">
        <v>458</v>
      </c>
      <c r="C311" s="137" t="s">
        <v>902</v>
      </c>
      <c r="D311" s="125" t="s">
        <v>903</v>
      </c>
      <c r="E311" s="125" t="s">
        <v>262</v>
      </c>
      <c r="F311" s="125" t="s">
        <v>266</v>
      </c>
      <c r="G311" s="125">
        <v>43</v>
      </c>
      <c r="H311" s="125" t="s">
        <v>916</v>
      </c>
      <c r="I311" s="125" t="s">
        <v>82</v>
      </c>
      <c r="J311" s="126">
        <v>27660</v>
      </c>
      <c r="K311" s="126">
        <v>14660</v>
      </c>
      <c r="L311" s="138">
        <v>11</v>
      </c>
      <c r="M311" s="126">
        <v>13000</v>
      </c>
      <c r="N311" s="126">
        <v>11570</v>
      </c>
      <c r="O311" s="126" t="s">
        <v>550</v>
      </c>
      <c r="P311" s="127">
        <v>407</v>
      </c>
      <c r="Q311" s="129">
        <v>45823</v>
      </c>
      <c r="R311" s="139">
        <v>0.38423611111111111</v>
      </c>
    </row>
    <row r="312" spans="1:18" ht="38.25" x14ac:dyDescent="0.25">
      <c r="A312" s="125" t="s">
        <v>930</v>
      </c>
      <c r="B312" s="136">
        <v>459</v>
      </c>
      <c r="C312" s="137" t="s">
        <v>902</v>
      </c>
      <c r="D312" s="125" t="s">
        <v>903</v>
      </c>
      <c r="E312" s="125" t="s">
        <v>160</v>
      </c>
      <c r="F312" s="125" t="s">
        <v>164</v>
      </c>
      <c r="G312" s="125">
        <v>44</v>
      </c>
      <c r="H312" s="125" t="s">
        <v>916</v>
      </c>
      <c r="I312" s="125" t="s">
        <v>82</v>
      </c>
      <c r="J312" s="126">
        <v>37400</v>
      </c>
      <c r="K312" s="126">
        <v>23890</v>
      </c>
      <c r="L312" s="138">
        <v>8.5</v>
      </c>
      <c r="M312" s="126">
        <v>13510</v>
      </c>
      <c r="N312" s="126">
        <v>12361.6</v>
      </c>
      <c r="O312" s="126" t="s">
        <v>550</v>
      </c>
      <c r="P312" s="127">
        <v>408</v>
      </c>
      <c r="Q312" s="129">
        <v>45823</v>
      </c>
      <c r="R312" s="139">
        <v>0.55636574074074074</v>
      </c>
    </row>
    <row r="313" spans="1:18" ht="38.25" x14ac:dyDescent="0.25">
      <c r="A313" s="125" t="s">
        <v>931</v>
      </c>
      <c r="B313" s="136">
        <v>460</v>
      </c>
      <c r="C313" s="125" t="s">
        <v>902</v>
      </c>
      <c r="D313" s="125" t="s">
        <v>903</v>
      </c>
      <c r="E313" s="125" t="s">
        <v>151</v>
      </c>
      <c r="F313" s="125" t="s">
        <v>155</v>
      </c>
      <c r="G313" s="125">
        <v>43</v>
      </c>
      <c r="H313" s="125" t="s">
        <v>916</v>
      </c>
      <c r="I313" s="125" t="s">
        <v>82</v>
      </c>
      <c r="J313" s="126">
        <v>28240</v>
      </c>
      <c r="K313" s="126">
        <v>14940</v>
      </c>
      <c r="L313" s="127">
        <v>9</v>
      </c>
      <c r="M313" s="126">
        <v>13300</v>
      </c>
      <c r="N313" s="126">
        <v>12103</v>
      </c>
      <c r="O313" s="126" t="s">
        <v>550</v>
      </c>
      <c r="P313" s="127">
        <v>409</v>
      </c>
      <c r="Q313" s="129">
        <v>45823</v>
      </c>
      <c r="R313" s="139">
        <v>0.55806712962962968</v>
      </c>
    </row>
    <row r="314" spans="1:18" ht="38.25" x14ac:dyDescent="0.25">
      <c r="A314" s="125" t="s">
        <v>932</v>
      </c>
      <c r="B314" s="136">
        <v>462</v>
      </c>
      <c r="C314" s="125">
        <v>67</v>
      </c>
      <c r="D314" s="125" t="s">
        <v>903</v>
      </c>
      <c r="E314" s="125" t="s">
        <v>1152</v>
      </c>
      <c r="F314" s="125" t="s">
        <v>119</v>
      </c>
      <c r="G314" s="125">
        <v>44</v>
      </c>
      <c r="H314" s="125" t="s">
        <v>916</v>
      </c>
      <c r="I314" s="125" t="s">
        <v>82</v>
      </c>
      <c r="J314" s="126">
        <v>34370</v>
      </c>
      <c r="K314" s="126">
        <v>20950</v>
      </c>
      <c r="L314" s="127">
        <v>13</v>
      </c>
      <c r="M314" s="126">
        <v>13420</v>
      </c>
      <c r="N314" s="140">
        <v>11675.4</v>
      </c>
      <c r="O314" s="126" t="s">
        <v>550</v>
      </c>
      <c r="P314" s="127">
        <v>410</v>
      </c>
      <c r="Q314" s="129">
        <v>45823</v>
      </c>
      <c r="R314" s="139">
        <v>0.56037037037037041</v>
      </c>
    </row>
    <row r="315" spans="1:18" ht="38.25" x14ac:dyDescent="0.25">
      <c r="A315" s="125" t="s">
        <v>933</v>
      </c>
      <c r="B315" s="136">
        <v>464</v>
      </c>
      <c r="C315" s="125">
        <v>68</v>
      </c>
      <c r="D315" s="125" t="s">
        <v>903</v>
      </c>
      <c r="E315" s="125" t="s">
        <v>133</v>
      </c>
      <c r="F315" s="125" t="s">
        <v>137</v>
      </c>
      <c r="G315" s="125">
        <v>45</v>
      </c>
      <c r="H315" s="125" t="s">
        <v>916</v>
      </c>
      <c r="I315" s="125" t="s">
        <v>82</v>
      </c>
      <c r="J315" s="126">
        <v>27800</v>
      </c>
      <c r="K315" s="126">
        <v>14820</v>
      </c>
      <c r="L315" s="127">
        <v>15</v>
      </c>
      <c r="M315" s="126">
        <v>12980</v>
      </c>
      <c r="N315" s="140">
        <v>11033</v>
      </c>
      <c r="O315" s="126" t="s">
        <v>511</v>
      </c>
      <c r="P315" s="127">
        <v>411</v>
      </c>
      <c r="Q315" s="129">
        <v>45823</v>
      </c>
      <c r="R315" s="139">
        <v>0.56243055555555554</v>
      </c>
    </row>
    <row r="316" spans="1:18" ht="38.25" x14ac:dyDescent="0.25">
      <c r="A316" s="125" t="s">
        <v>934</v>
      </c>
      <c r="B316" s="136">
        <v>465</v>
      </c>
      <c r="C316" s="125">
        <v>69</v>
      </c>
      <c r="D316" s="125" t="s">
        <v>903</v>
      </c>
      <c r="E316" s="125" t="s">
        <v>1253</v>
      </c>
      <c r="F316" s="125" t="s">
        <v>270</v>
      </c>
      <c r="G316" s="125">
        <v>45</v>
      </c>
      <c r="H316" s="125" t="s">
        <v>916</v>
      </c>
      <c r="I316" s="125" t="s">
        <v>82</v>
      </c>
      <c r="J316" s="126">
        <v>28260</v>
      </c>
      <c r="K316" s="126">
        <v>14770</v>
      </c>
      <c r="L316" s="127">
        <v>14</v>
      </c>
      <c r="M316" s="126">
        <v>13490</v>
      </c>
      <c r="N316" s="140">
        <v>11601.4</v>
      </c>
      <c r="O316" s="126" t="s">
        <v>511</v>
      </c>
      <c r="P316" s="127">
        <v>412</v>
      </c>
      <c r="Q316" s="129">
        <v>45823</v>
      </c>
      <c r="R316" s="139">
        <v>0.63078703703703709</v>
      </c>
    </row>
    <row r="317" spans="1:18" ht="38.25" x14ac:dyDescent="0.25">
      <c r="A317" s="125" t="s">
        <v>935</v>
      </c>
      <c r="B317" s="136">
        <v>466</v>
      </c>
      <c r="C317" s="125">
        <v>70</v>
      </c>
      <c r="D317" s="125" t="s">
        <v>903</v>
      </c>
      <c r="E317" s="125" t="s">
        <v>272</v>
      </c>
      <c r="F317" s="125" t="s">
        <v>276</v>
      </c>
      <c r="G317" s="125">
        <v>45</v>
      </c>
      <c r="H317" s="125" t="s">
        <v>916</v>
      </c>
      <c r="I317" s="125" t="s">
        <v>82</v>
      </c>
      <c r="J317" s="126">
        <v>27760</v>
      </c>
      <c r="K317" s="126">
        <v>14670</v>
      </c>
      <c r="L317" s="127">
        <v>18</v>
      </c>
      <c r="M317" s="126">
        <v>13090</v>
      </c>
      <c r="N317" s="140">
        <v>10733.8</v>
      </c>
      <c r="O317" s="126" t="s">
        <v>511</v>
      </c>
      <c r="P317" s="127">
        <v>413</v>
      </c>
      <c r="Q317" s="129">
        <v>45823</v>
      </c>
      <c r="R317" s="139">
        <v>0.64597222222222217</v>
      </c>
    </row>
    <row r="318" spans="1:18" ht="38.25" x14ac:dyDescent="0.25">
      <c r="A318" s="125" t="s">
        <v>936</v>
      </c>
      <c r="B318" s="136">
        <v>467</v>
      </c>
      <c r="C318" s="125">
        <v>71</v>
      </c>
      <c r="D318" s="125" t="s">
        <v>903</v>
      </c>
      <c r="E318" s="125" t="s">
        <v>239</v>
      </c>
      <c r="F318" s="125" t="s">
        <v>243</v>
      </c>
      <c r="G318" s="125">
        <v>45</v>
      </c>
      <c r="H318" s="125" t="s">
        <v>916</v>
      </c>
      <c r="I318" s="125" t="s">
        <v>82</v>
      </c>
      <c r="J318" s="126">
        <v>27960</v>
      </c>
      <c r="K318" s="126">
        <v>14600</v>
      </c>
      <c r="L318" s="127">
        <v>17</v>
      </c>
      <c r="M318" s="126">
        <v>13360</v>
      </c>
      <c r="N318" s="140">
        <v>11088.8</v>
      </c>
      <c r="O318" s="126" t="s">
        <v>511</v>
      </c>
      <c r="P318" s="127">
        <v>414</v>
      </c>
      <c r="Q318" s="129">
        <v>45823</v>
      </c>
      <c r="R318" s="139">
        <v>0.65635416666666668</v>
      </c>
    </row>
    <row r="319" spans="1:18" ht="38.25" x14ac:dyDescent="0.25">
      <c r="A319" s="125" t="s">
        <v>1024</v>
      </c>
      <c r="B319" s="136">
        <v>469</v>
      </c>
      <c r="C319" s="125">
        <v>73</v>
      </c>
      <c r="D319" s="125" t="s">
        <v>903</v>
      </c>
      <c r="E319" s="125" t="s">
        <v>1151</v>
      </c>
      <c r="F319" s="125" t="s">
        <v>145</v>
      </c>
      <c r="G319" s="125">
        <v>45</v>
      </c>
      <c r="H319" s="125" t="s">
        <v>916</v>
      </c>
      <c r="I319" s="125" t="s">
        <v>82</v>
      </c>
      <c r="J319" s="126">
        <v>29200</v>
      </c>
      <c r="K319" s="126">
        <v>15610</v>
      </c>
      <c r="L319" s="127">
        <v>8.5</v>
      </c>
      <c r="M319" s="126">
        <v>13590</v>
      </c>
      <c r="N319" s="140">
        <v>12434.8</v>
      </c>
      <c r="O319" s="126" t="s">
        <v>511</v>
      </c>
      <c r="P319" s="127">
        <v>415</v>
      </c>
      <c r="Q319" s="129">
        <v>45823</v>
      </c>
      <c r="R319" s="139">
        <v>0.76820601851851855</v>
      </c>
    </row>
    <row r="320" spans="1:18" ht="38.25" x14ac:dyDescent="0.25">
      <c r="A320" s="125" t="s">
        <v>1025</v>
      </c>
      <c r="B320" s="136">
        <v>468</v>
      </c>
      <c r="C320" s="125">
        <v>72</v>
      </c>
      <c r="D320" s="125" t="s">
        <v>903</v>
      </c>
      <c r="E320" s="125" t="s">
        <v>1461</v>
      </c>
      <c r="F320" s="125" t="s">
        <v>149</v>
      </c>
      <c r="G320" s="125">
        <v>45</v>
      </c>
      <c r="H320" s="125" t="s">
        <v>916</v>
      </c>
      <c r="I320" s="125" t="s">
        <v>82</v>
      </c>
      <c r="J320" s="126">
        <v>28230</v>
      </c>
      <c r="K320" s="126">
        <v>14990</v>
      </c>
      <c r="L320" s="127">
        <v>12.5</v>
      </c>
      <c r="M320" s="126">
        <v>13240</v>
      </c>
      <c r="N320" s="140">
        <v>11585</v>
      </c>
      <c r="O320" s="126" t="s">
        <v>511</v>
      </c>
      <c r="P320" s="127">
        <v>416</v>
      </c>
      <c r="Q320" s="129">
        <v>45823</v>
      </c>
      <c r="R320" s="139">
        <v>0.77050925925925928</v>
      </c>
    </row>
    <row r="321" spans="1:18" ht="38.25" x14ac:dyDescent="0.25">
      <c r="A321" s="125" t="s">
        <v>1026</v>
      </c>
      <c r="B321" s="136">
        <v>471</v>
      </c>
      <c r="C321" s="125" t="s">
        <v>902</v>
      </c>
      <c r="D321" s="125" t="s">
        <v>903</v>
      </c>
      <c r="E321" s="125" t="s">
        <v>305</v>
      </c>
      <c r="F321" s="125" t="s">
        <v>309</v>
      </c>
      <c r="G321" s="125">
        <v>45</v>
      </c>
      <c r="H321" s="125" t="s">
        <v>916</v>
      </c>
      <c r="I321" s="125" t="s">
        <v>82</v>
      </c>
      <c r="J321" s="126">
        <v>27820</v>
      </c>
      <c r="K321" s="126">
        <v>14340</v>
      </c>
      <c r="L321" s="127">
        <v>11</v>
      </c>
      <c r="M321" s="126">
        <v>13480</v>
      </c>
      <c r="N321" s="140">
        <v>11997.2</v>
      </c>
      <c r="O321" s="126" t="s">
        <v>550</v>
      </c>
      <c r="P321" s="127">
        <v>417</v>
      </c>
      <c r="Q321" s="129">
        <v>45823</v>
      </c>
      <c r="R321" s="139">
        <v>0.83200231481481479</v>
      </c>
    </row>
    <row r="322" spans="1:18" ht="38.25" x14ac:dyDescent="0.25">
      <c r="A322" s="125" t="s">
        <v>1027</v>
      </c>
      <c r="B322" s="136">
        <v>472</v>
      </c>
      <c r="C322" s="125" t="s">
        <v>902</v>
      </c>
      <c r="D322" s="125" t="s">
        <v>903</v>
      </c>
      <c r="E322" s="125" t="s">
        <v>329</v>
      </c>
      <c r="F322" s="125" t="s">
        <v>333</v>
      </c>
      <c r="G322" s="125">
        <v>44</v>
      </c>
      <c r="H322" s="125" t="s">
        <v>916</v>
      </c>
      <c r="I322" s="125" t="s">
        <v>82</v>
      </c>
      <c r="J322" s="126">
        <v>28360</v>
      </c>
      <c r="K322" s="126">
        <v>21690</v>
      </c>
      <c r="L322" s="127">
        <v>9</v>
      </c>
      <c r="M322" s="126">
        <v>6670</v>
      </c>
      <c r="N322" s="140">
        <v>6069.7</v>
      </c>
      <c r="O322" s="126" t="s">
        <v>550</v>
      </c>
      <c r="P322" s="127">
        <v>418</v>
      </c>
      <c r="Q322" s="129">
        <v>45823</v>
      </c>
      <c r="R322" s="139">
        <v>0.88278935185185181</v>
      </c>
    </row>
    <row r="323" spans="1:18" ht="38.25" x14ac:dyDescent="0.25">
      <c r="A323" s="125" t="s">
        <v>1028</v>
      </c>
      <c r="B323" s="136">
        <v>474</v>
      </c>
      <c r="C323" s="125" t="s">
        <v>902</v>
      </c>
      <c r="D323" s="125" t="s">
        <v>903</v>
      </c>
      <c r="E323" s="125" t="s">
        <v>329</v>
      </c>
      <c r="F323" s="125" t="s">
        <v>333</v>
      </c>
      <c r="G323" s="125">
        <v>45</v>
      </c>
      <c r="H323" s="125" t="s">
        <v>916</v>
      </c>
      <c r="I323" s="125" t="s">
        <v>82</v>
      </c>
      <c r="J323" s="126">
        <v>21690</v>
      </c>
      <c r="K323" s="126">
        <v>14970</v>
      </c>
      <c r="L323" s="127">
        <v>8.5</v>
      </c>
      <c r="M323" s="126">
        <v>6720</v>
      </c>
      <c r="N323" s="140">
        <v>6148.8</v>
      </c>
      <c r="O323" s="126" t="s">
        <v>550</v>
      </c>
      <c r="P323" s="127">
        <v>419</v>
      </c>
      <c r="Q323" s="129">
        <v>45823</v>
      </c>
      <c r="R323" s="139">
        <v>0.89146990740740739</v>
      </c>
    </row>
    <row r="324" spans="1:18" ht="38.25" x14ac:dyDescent="0.25">
      <c r="A324" s="125" t="s">
        <v>1029</v>
      </c>
      <c r="B324" s="136">
        <v>473</v>
      </c>
      <c r="C324" s="125" t="s">
        <v>902</v>
      </c>
      <c r="D324" s="125" t="s">
        <v>903</v>
      </c>
      <c r="E324" s="125" t="s">
        <v>262</v>
      </c>
      <c r="F324" s="125" t="s">
        <v>266</v>
      </c>
      <c r="G324" s="125">
        <v>44</v>
      </c>
      <c r="H324" s="125" t="s">
        <v>916</v>
      </c>
      <c r="I324" s="125" t="s">
        <v>82</v>
      </c>
      <c r="J324" s="126">
        <v>28140</v>
      </c>
      <c r="K324" s="126">
        <v>14690</v>
      </c>
      <c r="L324" s="127">
        <v>8</v>
      </c>
      <c r="M324" s="126">
        <v>13450</v>
      </c>
      <c r="N324" s="140">
        <v>12374</v>
      </c>
      <c r="O324" s="126" t="s">
        <v>550</v>
      </c>
      <c r="P324" s="127">
        <v>420</v>
      </c>
      <c r="Q324" s="129">
        <v>45823</v>
      </c>
      <c r="R324" s="139">
        <v>0.97965277777777782</v>
      </c>
    </row>
    <row r="325" spans="1:18" ht="38.25" x14ac:dyDescent="0.25">
      <c r="A325" s="125" t="s">
        <v>1030</v>
      </c>
      <c r="B325" s="136">
        <v>475</v>
      </c>
      <c r="C325" s="125" t="s">
        <v>902</v>
      </c>
      <c r="D325" s="125" t="s">
        <v>903</v>
      </c>
      <c r="E325" s="125" t="s">
        <v>311</v>
      </c>
      <c r="F325" s="125" t="s">
        <v>315</v>
      </c>
      <c r="G325" s="125">
        <v>44</v>
      </c>
      <c r="H325" s="125" t="s">
        <v>916</v>
      </c>
      <c r="I325" s="125" t="s">
        <v>82</v>
      </c>
      <c r="J325" s="126">
        <v>28130</v>
      </c>
      <c r="K325" s="126">
        <v>15000</v>
      </c>
      <c r="L325" s="127">
        <v>6.5</v>
      </c>
      <c r="M325" s="126">
        <v>13130</v>
      </c>
      <c r="N325" s="140">
        <v>12276.5</v>
      </c>
      <c r="O325" s="126" t="s">
        <v>550</v>
      </c>
      <c r="P325" s="127">
        <v>421</v>
      </c>
      <c r="Q325" s="129">
        <v>45823</v>
      </c>
      <c r="R325" s="139">
        <v>0.89812499999999995</v>
      </c>
    </row>
    <row r="326" spans="1:18" ht="38.25" x14ac:dyDescent="0.25">
      <c r="A326" s="125" t="s">
        <v>1031</v>
      </c>
      <c r="B326" s="136">
        <v>476</v>
      </c>
      <c r="C326" s="125" t="s">
        <v>902</v>
      </c>
      <c r="D326" s="125" t="s">
        <v>903</v>
      </c>
      <c r="E326" s="125" t="s">
        <v>121</v>
      </c>
      <c r="F326" s="125" t="s">
        <v>125</v>
      </c>
      <c r="G326" s="125">
        <v>43</v>
      </c>
      <c r="H326" s="125" t="s">
        <v>916</v>
      </c>
      <c r="I326" s="125" t="s">
        <v>82</v>
      </c>
      <c r="J326" s="126">
        <v>27790</v>
      </c>
      <c r="K326" s="126">
        <v>14620</v>
      </c>
      <c r="L326" s="127">
        <v>7.5</v>
      </c>
      <c r="M326" s="126">
        <v>13170</v>
      </c>
      <c r="N326" s="140">
        <v>12182.2</v>
      </c>
      <c r="O326" s="126" t="s">
        <v>550</v>
      </c>
      <c r="P326" s="127">
        <v>422</v>
      </c>
      <c r="Q326" s="129">
        <v>45823</v>
      </c>
      <c r="R326" s="139">
        <v>0.91143518518518518</v>
      </c>
    </row>
    <row r="327" spans="1:18" ht="38.25" x14ac:dyDescent="0.25">
      <c r="A327" s="125" t="s">
        <v>1032</v>
      </c>
      <c r="B327" s="136">
        <v>477</v>
      </c>
      <c r="C327" s="125" t="s">
        <v>902</v>
      </c>
      <c r="D327" s="125" t="s">
        <v>903</v>
      </c>
      <c r="E327" s="125" t="s">
        <v>234</v>
      </c>
      <c r="F327" s="125" t="s">
        <v>238</v>
      </c>
      <c r="G327" s="125">
        <v>43</v>
      </c>
      <c r="H327" s="125" t="s">
        <v>916</v>
      </c>
      <c r="I327" s="125" t="s">
        <v>82</v>
      </c>
      <c r="J327" s="126">
        <v>28530</v>
      </c>
      <c r="K327" s="126">
        <v>15580</v>
      </c>
      <c r="L327" s="127">
        <v>9</v>
      </c>
      <c r="M327" s="126">
        <v>12950</v>
      </c>
      <c r="N327" s="140">
        <v>11784.5</v>
      </c>
      <c r="O327" s="126" t="s">
        <v>550</v>
      </c>
      <c r="P327" s="127">
        <v>423</v>
      </c>
      <c r="Q327" s="129">
        <v>45823</v>
      </c>
      <c r="R327" s="139">
        <v>0.94947916666666665</v>
      </c>
    </row>
    <row r="328" spans="1:18" ht="38.25" x14ac:dyDescent="0.25">
      <c r="A328" s="125" t="s">
        <v>1033</v>
      </c>
      <c r="B328" s="136">
        <v>478</v>
      </c>
      <c r="C328" s="125" t="s">
        <v>902</v>
      </c>
      <c r="D328" s="125" t="s">
        <v>903</v>
      </c>
      <c r="E328" s="125" t="s">
        <v>894</v>
      </c>
      <c r="F328" s="125" t="s">
        <v>895</v>
      </c>
      <c r="G328" s="125">
        <v>43</v>
      </c>
      <c r="H328" s="125" t="s">
        <v>916</v>
      </c>
      <c r="I328" s="125" t="s">
        <v>82</v>
      </c>
      <c r="J328" s="126">
        <v>28040</v>
      </c>
      <c r="K328" s="126">
        <v>14890</v>
      </c>
      <c r="L328" s="127">
        <v>7</v>
      </c>
      <c r="M328" s="126">
        <v>13150</v>
      </c>
      <c r="N328" s="140">
        <v>12229.5</v>
      </c>
      <c r="O328" s="126" t="s">
        <v>550</v>
      </c>
      <c r="P328" s="127">
        <v>424</v>
      </c>
      <c r="Q328" s="129">
        <v>45823</v>
      </c>
      <c r="R328" s="139">
        <v>0.9861226851851852</v>
      </c>
    </row>
    <row r="329" spans="1:18" ht="38.25" x14ac:dyDescent="0.25">
      <c r="A329" s="125" t="s">
        <v>1034</v>
      </c>
      <c r="B329" s="136">
        <v>481</v>
      </c>
      <c r="C329" s="125" t="s">
        <v>902</v>
      </c>
      <c r="D329" s="125" t="s">
        <v>903</v>
      </c>
      <c r="E329" s="125" t="s">
        <v>133</v>
      </c>
      <c r="F329" s="125" t="s">
        <v>137</v>
      </c>
      <c r="G329" s="125">
        <v>43</v>
      </c>
      <c r="H329" s="125" t="s">
        <v>916</v>
      </c>
      <c r="I329" s="125" t="s">
        <v>82</v>
      </c>
      <c r="J329" s="126">
        <v>27690</v>
      </c>
      <c r="K329" s="126">
        <v>14700</v>
      </c>
      <c r="L329" s="127">
        <v>9.5</v>
      </c>
      <c r="M329" s="126">
        <v>12990</v>
      </c>
      <c r="N329" s="140">
        <v>11755.9</v>
      </c>
      <c r="O329" s="126" t="s">
        <v>550</v>
      </c>
      <c r="P329" s="127">
        <v>425</v>
      </c>
      <c r="Q329" s="129">
        <v>45824</v>
      </c>
      <c r="R329" s="139">
        <v>0.23125000000000001</v>
      </c>
    </row>
    <row r="330" spans="1:18" ht="38.25" x14ac:dyDescent="0.25">
      <c r="A330" s="125" t="s">
        <v>1035</v>
      </c>
      <c r="B330" s="136">
        <v>479</v>
      </c>
      <c r="C330" s="125" t="s">
        <v>902</v>
      </c>
      <c r="D330" s="125" t="s">
        <v>903</v>
      </c>
      <c r="E330" s="125" t="s">
        <v>1312</v>
      </c>
      <c r="F330" s="125" t="s">
        <v>320</v>
      </c>
      <c r="G330" s="125">
        <v>43</v>
      </c>
      <c r="H330" s="125" t="s">
        <v>916</v>
      </c>
      <c r="I330" s="125" t="s">
        <v>82</v>
      </c>
      <c r="J330" s="126">
        <v>27340</v>
      </c>
      <c r="K330" s="126">
        <v>14430</v>
      </c>
      <c r="L330" s="127">
        <v>9.5</v>
      </c>
      <c r="M330" s="126">
        <v>12910</v>
      </c>
      <c r="N330" s="140">
        <v>11683.5</v>
      </c>
      <c r="O330" s="126" t="s">
        <v>550</v>
      </c>
      <c r="P330" s="127">
        <v>426</v>
      </c>
      <c r="Q330" s="129">
        <v>45824</v>
      </c>
      <c r="R330" s="139">
        <v>0.26861111111111113</v>
      </c>
    </row>
    <row r="331" spans="1:18" ht="38.25" x14ac:dyDescent="0.25">
      <c r="A331" s="125" t="s">
        <v>1036</v>
      </c>
      <c r="B331" s="136">
        <v>480</v>
      </c>
      <c r="C331" s="125" t="s">
        <v>902</v>
      </c>
      <c r="D331" s="125" t="s">
        <v>903</v>
      </c>
      <c r="E331" s="125" t="s">
        <v>151</v>
      </c>
      <c r="F331" s="125" t="s">
        <v>155</v>
      </c>
      <c r="G331" s="125">
        <v>43</v>
      </c>
      <c r="H331" s="125" t="s">
        <v>916</v>
      </c>
      <c r="I331" s="125" t="s">
        <v>82</v>
      </c>
      <c r="J331" s="126">
        <v>28260</v>
      </c>
      <c r="K331" s="126">
        <v>14930</v>
      </c>
      <c r="L331" s="127">
        <v>8.5</v>
      </c>
      <c r="M331" s="126">
        <v>13330</v>
      </c>
      <c r="N331" s="140">
        <v>12196.9</v>
      </c>
      <c r="O331" s="126" t="s">
        <v>833</v>
      </c>
      <c r="P331" s="127">
        <v>427</v>
      </c>
      <c r="Q331" s="129">
        <v>45824</v>
      </c>
      <c r="R331" s="139">
        <v>0.32556712962962964</v>
      </c>
    </row>
    <row r="332" spans="1:18" ht="38.25" x14ac:dyDescent="0.25">
      <c r="A332" s="125" t="s">
        <v>1037</v>
      </c>
      <c r="B332">
        <v>482</v>
      </c>
      <c r="C332" s="125" t="s">
        <v>902</v>
      </c>
      <c r="D332" s="125" t="s">
        <v>903</v>
      </c>
      <c r="E332" s="125" t="s">
        <v>347</v>
      </c>
      <c r="F332" s="125" t="s">
        <v>351</v>
      </c>
      <c r="G332" s="125">
        <v>43</v>
      </c>
      <c r="H332" s="125" t="s">
        <v>916</v>
      </c>
      <c r="I332" s="125" t="s">
        <v>82</v>
      </c>
      <c r="J332" s="126">
        <v>31920</v>
      </c>
      <c r="K332" s="126">
        <v>18800</v>
      </c>
      <c r="L332" s="127">
        <v>5.5</v>
      </c>
      <c r="M332" s="126">
        <v>13120</v>
      </c>
      <c r="N332" s="140">
        <v>12398.4</v>
      </c>
      <c r="O332" s="126" t="s">
        <v>833</v>
      </c>
      <c r="P332" s="127">
        <v>428</v>
      </c>
      <c r="Q332" s="129">
        <v>45824</v>
      </c>
      <c r="R332" s="139">
        <v>0.3979861111111111</v>
      </c>
    </row>
    <row r="333" spans="1:18" ht="38.25" x14ac:dyDescent="0.25">
      <c r="A333" s="125" t="s">
        <v>1038</v>
      </c>
      <c r="B333">
        <v>483</v>
      </c>
      <c r="C333" s="125" t="s">
        <v>902</v>
      </c>
      <c r="D333" s="125" t="s">
        <v>903</v>
      </c>
      <c r="E333" s="125" t="s">
        <v>160</v>
      </c>
      <c r="F333" s="125" t="s">
        <v>164</v>
      </c>
      <c r="G333" s="125">
        <v>43</v>
      </c>
      <c r="H333" s="125" t="s">
        <v>916</v>
      </c>
      <c r="I333" s="125" t="s">
        <v>82</v>
      </c>
      <c r="J333" s="126">
        <v>37340</v>
      </c>
      <c r="K333" s="126">
        <v>24030</v>
      </c>
      <c r="L333" s="127">
        <v>8</v>
      </c>
      <c r="M333" s="126">
        <v>13310</v>
      </c>
      <c r="N333" s="140">
        <v>12245.2</v>
      </c>
      <c r="O333" s="126" t="s">
        <v>833</v>
      </c>
      <c r="P333" s="127">
        <v>429</v>
      </c>
      <c r="Q333" s="129">
        <v>45824</v>
      </c>
      <c r="R333" s="139">
        <v>0.48283564814814817</v>
      </c>
    </row>
    <row r="334" spans="1:18" ht="38.25" x14ac:dyDescent="0.25">
      <c r="A334" s="125" t="s">
        <v>1039</v>
      </c>
      <c r="B334">
        <v>484</v>
      </c>
      <c r="C334" s="125" t="s">
        <v>902</v>
      </c>
      <c r="D334" s="125" t="s">
        <v>903</v>
      </c>
      <c r="E334" s="125" t="s">
        <v>335</v>
      </c>
      <c r="F334" s="125" t="s">
        <v>339</v>
      </c>
      <c r="G334" s="125" t="s">
        <v>110</v>
      </c>
      <c r="H334" s="125" t="s">
        <v>916</v>
      </c>
      <c r="I334" s="125" t="s">
        <v>82</v>
      </c>
      <c r="J334" s="126">
        <v>28270</v>
      </c>
      <c r="K334" s="126">
        <v>21420</v>
      </c>
      <c r="L334" s="127">
        <v>10.5</v>
      </c>
      <c r="M334" s="126">
        <v>6850</v>
      </c>
      <c r="N334" s="140">
        <v>6130.7</v>
      </c>
      <c r="O334" s="126" t="s">
        <v>550</v>
      </c>
      <c r="P334" s="127">
        <v>430</v>
      </c>
      <c r="Q334" s="129">
        <v>45824</v>
      </c>
      <c r="R334" s="139">
        <v>0.54222222222222227</v>
      </c>
    </row>
    <row r="335" spans="1:18" ht="38.25" x14ac:dyDescent="0.25">
      <c r="A335" s="125" t="s">
        <v>1040</v>
      </c>
      <c r="B335" s="125">
        <v>491</v>
      </c>
      <c r="C335" s="125" t="s">
        <v>902</v>
      </c>
      <c r="D335" s="125" t="s">
        <v>903</v>
      </c>
      <c r="E335" s="125" t="s">
        <v>335</v>
      </c>
      <c r="F335" s="125" t="s">
        <v>339</v>
      </c>
      <c r="G335" s="125">
        <v>43</v>
      </c>
      <c r="H335" s="125" t="s">
        <v>916</v>
      </c>
      <c r="I335" s="126" t="s">
        <v>82</v>
      </c>
      <c r="J335" s="126">
        <v>21420</v>
      </c>
      <c r="K335" s="127">
        <v>14770</v>
      </c>
      <c r="L335" s="126">
        <v>14.5</v>
      </c>
      <c r="M335" s="126">
        <v>6650</v>
      </c>
      <c r="N335" s="140">
        <v>5685.7</v>
      </c>
      <c r="O335" s="126" t="s">
        <v>550</v>
      </c>
      <c r="P335">
        <v>431</v>
      </c>
      <c r="Q335" s="129">
        <v>45824</v>
      </c>
      <c r="R335" s="139">
        <v>0.57261574074074073</v>
      </c>
    </row>
    <row r="336" spans="1:18" ht="38.25" x14ac:dyDescent="0.25">
      <c r="A336" s="125" t="s">
        <v>1041</v>
      </c>
      <c r="B336">
        <v>487</v>
      </c>
      <c r="C336" s="125" t="s">
        <v>902</v>
      </c>
      <c r="D336" s="125" t="s">
        <v>914</v>
      </c>
      <c r="E336" s="125" t="s">
        <v>737</v>
      </c>
      <c r="F336" s="125" t="s">
        <v>738</v>
      </c>
      <c r="G336" s="125">
        <v>15</v>
      </c>
      <c r="H336" s="125" t="s">
        <v>909</v>
      </c>
      <c r="I336" s="125" t="s">
        <v>82</v>
      </c>
      <c r="J336" s="126">
        <v>6630</v>
      </c>
      <c r="K336" s="126">
        <v>4560</v>
      </c>
      <c r="L336" s="127">
        <v>14.5</v>
      </c>
      <c r="M336" s="126">
        <v>2070</v>
      </c>
      <c r="N336" s="140">
        <v>1769.8</v>
      </c>
      <c r="O336" s="126" t="s">
        <v>511</v>
      </c>
      <c r="P336" s="127">
        <v>432</v>
      </c>
      <c r="Q336" s="129">
        <v>45824</v>
      </c>
      <c r="R336" s="139">
        <v>0.58489583333333328</v>
      </c>
    </row>
    <row r="337" spans="1:18" ht="38.25" x14ac:dyDescent="0.25">
      <c r="A337" s="125" t="s">
        <v>1042</v>
      </c>
      <c r="B337" s="136">
        <v>489</v>
      </c>
      <c r="C337" s="137">
        <v>87</v>
      </c>
      <c r="D337" s="125" t="s">
        <v>903</v>
      </c>
      <c r="E337" s="125" t="s">
        <v>1253</v>
      </c>
      <c r="F337" s="125" t="s">
        <v>270</v>
      </c>
      <c r="G337" s="125">
        <v>44</v>
      </c>
      <c r="H337" s="125" t="s">
        <v>916</v>
      </c>
      <c r="I337" s="125" t="s">
        <v>82</v>
      </c>
      <c r="J337" s="126">
        <v>27820</v>
      </c>
      <c r="K337" s="126">
        <v>21170</v>
      </c>
      <c r="L337" s="138">
        <v>12.5</v>
      </c>
      <c r="M337" s="126">
        <v>6650</v>
      </c>
      <c r="N337" s="140">
        <v>5818.7</v>
      </c>
      <c r="O337" s="126" t="s">
        <v>550</v>
      </c>
      <c r="P337" s="127">
        <v>434</v>
      </c>
      <c r="Q337" s="129">
        <v>45824</v>
      </c>
      <c r="R337" s="139">
        <v>0.77555555555555555</v>
      </c>
    </row>
    <row r="338" spans="1:18" ht="38.25" x14ac:dyDescent="0.25">
      <c r="A338" s="125" t="s">
        <v>1043</v>
      </c>
      <c r="B338" s="136">
        <v>490</v>
      </c>
      <c r="C338" s="141">
        <v>47</v>
      </c>
      <c r="D338" s="125" t="s">
        <v>903</v>
      </c>
      <c r="E338" s="125" t="s">
        <v>272</v>
      </c>
      <c r="F338" s="125" t="s">
        <v>276</v>
      </c>
      <c r="G338" s="125">
        <v>44</v>
      </c>
      <c r="H338" s="125" t="s">
        <v>916</v>
      </c>
      <c r="I338" s="125" t="s">
        <v>82</v>
      </c>
      <c r="J338" s="126">
        <v>27950</v>
      </c>
      <c r="K338" s="126">
        <v>14670</v>
      </c>
      <c r="L338" s="138">
        <v>10.5</v>
      </c>
      <c r="M338" s="126">
        <v>13280</v>
      </c>
      <c r="N338" s="140">
        <v>11885.6</v>
      </c>
      <c r="O338" s="126" t="s">
        <v>550</v>
      </c>
      <c r="P338" s="127">
        <v>435</v>
      </c>
      <c r="Q338" s="129">
        <v>45824</v>
      </c>
      <c r="R338" s="139">
        <v>0.77714120370370365</v>
      </c>
    </row>
    <row r="339" spans="1:18" ht="38.25" x14ac:dyDescent="0.25">
      <c r="A339" s="125" t="s">
        <v>978</v>
      </c>
      <c r="B339" s="136">
        <v>497</v>
      </c>
      <c r="C339" s="137" t="s">
        <v>902</v>
      </c>
      <c r="D339" s="125" t="s">
        <v>914</v>
      </c>
      <c r="E339" s="125" t="s">
        <v>311</v>
      </c>
      <c r="F339" s="125" t="s">
        <v>315</v>
      </c>
      <c r="G339" s="125">
        <v>16</v>
      </c>
      <c r="H339" s="125" t="s">
        <v>909</v>
      </c>
      <c r="I339" s="125" t="s">
        <v>82</v>
      </c>
      <c r="J339" s="126">
        <v>16710</v>
      </c>
      <c r="K339" s="126">
        <v>9700</v>
      </c>
      <c r="L339" s="138">
        <v>19.5</v>
      </c>
      <c r="M339" s="126">
        <v>7010</v>
      </c>
      <c r="N339" s="140">
        <v>5643</v>
      </c>
      <c r="O339" s="126" t="s">
        <v>511</v>
      </c>
      <c r="P339" s="127">
        <v>436</v>
      </c>
      <c r="Q339" s="129">
        <v>45824</v>
      </c>
      <c r="R339" s="139">
        <v>0.89483796296296292</v>
      </c>
    </row>
    <row r="340" spans="1:18" ht="38.25" x14ac:dyDescent="0.25">
      <c r="A340" s="125" t="s">
        <v>979</v>
      </c>
      <c r="B340" s="136">
        <v>503</v>
      </c>
      <c r="C340" s="137">
        <v>95</v>
      </c>
      <c r="D340" s="125" t="s">
        <v>903</v>
      </c>
      <c r="E340" s="125" t="s">
        <v>234</v>
      </c>
      <c r="F340" s="125" t="s">
        <v>238</v>
      </c>
      <c r="G340" s="125">
        <v>46</v>
      </c>
      <c r="H340" s="125" t="s">
        <v>909</v>
      </c>
      <c r="I340" s="125" t="s">
        <v>82</v>
      </c>
      <c r="J340" s="126">
        <v>29220</v>
      </c>
      <c r="K340" s="126">
        <v>15490</v>
      </c>
      <c r="L340" s="138">
        <v>15.5</v>
      </c>
      <c r="M340" s="126">
        <v>13730</v>
      </c>
      <c r="N340" s="140">
        <v>11601.8</v>
      </c>
      <c r="O340" s="126" t="s">
        <v>511</v>
      </c>
      <c r="P340" s="127">
        <v>437</v>
      </c>
      <c r="Q340" s="129">
        <v>45825</v>
      </c>
      <c r="R340" s="139">
        <v>0.12567129629629631</v>
      </c>
    </row>
    <row r="341" spans="1:18" ht="38.25" x14ac:dyDescent="0.25">
      <c r="A341" s="125" t="s">
        <v>980</v>
      </c>
      <c r="B341" s="136">
        <v>505</v>
      </c>
      <c r="C341" s="137" t="s">
        <v>902</v>
      </c>
      <c r="D341" s="125" t="s">
        <v>914</v>
      </c>
      <c r="E341" s="125" t="s">
        <v>762</v>
      </c>
      <c r="F341" s="125" t="s">
        <v>763</v>
      </c>
      <c r="G341" s="125">
        <v>16</v>
      </c>
      <c r="H341" s="125" t="s">
        <v>909</v>
      </c>
      <c r="I341" s="125" t="s">
        <v>82</v>
      </c>
      <c r="J341" s="126">
        <v>9640</v>
      </c>
      <c r="K341" s="126">
        <v>4650</v>
      </c>
      <c r="L341" s="138">
        <v>8.5</v>
      </c>
      <c r="M341" s="126">
        <v>4990</v>
      </c>
      <c r="N341" s="140">
        <v>4565.8</v>
      </c>
      <c r="O341" s="126" t="s">
        <v>511</v>
      </c>
      <c r="P341" s="127">
        <v>438</v>
      </c>
      <c r="Q341" s="129">
        <v>45825</v>
      </c>
      <c r="R341" s="139">
        <v>0.6375925925925926</v>
      </c>
    </row>
    <row r="342" spans="1:18" ht="38.25" x14ac:dyDescent="0.25">
      <c r="A342" s="125" t="s">
        <v>981</v>
      </c>
      <c r="B342" s="136">
        <v>506</v>
      </c>
      <c r="C342" s="137" t="s">
        <v>902</v>
      </c>
      <c r="D342" s="125" t="s">
        <v>903</v>
      </c>
      <c r="E342" s="125" t="s">
        <v>212</v>
      </c>
      <c r="F342" s="125" t="s">
        <v>216</v>
      </c>
      <c r="G342" s="125">
        <v>46</v>
      </c>
      <c r="H342" s="125" t="s">
        <v>909</v>
      </c>
      <c r="I342" s="125" t="s">
        <v>82</v>
      </c>
      <c r="J342" s="126">
        <v>27130</v>
      </c>
      <c r="K342" s="126">
        <v>13820</v>
      </c>
      <c r="L342" s="138">
        <v>21</v>
      </c>
      <c r="M342" s="126">
        <v>13310</v>
      </c>
      <c r="N342" s="140">
        <v>10514.9</v>
      </c>
      <c r="O342" s="126" t="s">
        <v>511</v>
      </c>
      <c r="P342" s="127">
        <v>439</v>
      </c>
      <c r="Q342" s="129">
        <v>45825</v>
      </c>
      <c r="R342" s="139">
        <v>0.65144675925925921</v>
      </c>
    </row>
    <row r="343" spans="1:18" ht="38.25" x14ac:dyDescent="0.25">
      <c r="A343" s="125" t="s">
        <v>982</v>
      </c>
      <c r="B343" s="136">
        <v>507</v>
      </c>
      <c r="C343" s="137" t="s">
        <v>902</v>
      </c>
      <c r="D343" s="125" t="s">
        <v>903</v>
      </c>
      <c r="E343" s="125" t="s">
        <v>195</v>
      </c>
      <c r="F343" s="125" t="s">
        <v>199</v>
      </c>
      <c r="G343" s="125">
        <v>46</v>
      </c>
      <c r="H343" s="125" t="s">
        <v>909</v>
      </c>
      <c r="I343" s="125" t="s">
        <v>82</v>
      </c>
      <c r="J343" s="126">
        <v>30100</v>
      </c>
      <c r="K343" s="126">
        <v>15310</v>
      </c>
      <c r="L343" s="138">
        <v>14.5</v>
      </c>
      <c r="M343" s="126">
        <v>14790</v>
      </c>
      <c r="N343" s="126">
        <v>12645.4</v>
      </c>
      <c r="O343" s="126" t="s">
        <v>511</v>
      </c>
      <c r="P343" s="127">
        <v>440</v>
      </c>
      <c r="Q343" s="129">
        <v>45825</v>
      </c>
      <c r="R343" s="139">
        <v>0.73409722222222218</v>
      </c>
    </row>
    <row r="344" spans="1:18" ht="38.25" x14ac:dyDescent="0.25">
      <c r="A344" s="125" t="s">
        <v>983</v>
      </c>
      <c r="B344" s="136">
        <v>508</v>
      </c>
      <c r="C344" s="137" t="s">
        <v>902</v>
      </c>
      <c r="D344" s="125" t="s">
        <v>914</v>
      </c>
      <c r="E344" s="125" t="s">
        <v>737</v>
      </c>
      <c r="F344" s="125" t="s">
        <v>738</v>
      </c>
      <c r="G344" s="125">
        <v>16</v>
      </c>
      <c r="H344" s="125" t="s">
        <v>909</v>
      </c>
      <c r="I344" s="125" t="s">
        <v>82</v>
      </c>
      <c r="J344" s="126">
        <v>8350</v>
      </c>
      <c r="K344" s="126">
        <v>4580</v>
      </c>
      <c r="L344" s="138">
        <v>9.5</v>
      </c>
      <c r="M344" s="126">
        <v>3770</v>
      </c>
      <c r="N344" s="126">
        <v>3411.8</v>
      </c>
      <c r="O344" s="126" t="s">
        <v>511</v>
      </c>
      <c r="P344" s="127">
        <v>441</v>
      </c>
      <c r="Q344" s="129">
        <v>45825</v>
      </c>
      <c r="R344" s="139">
        <v>0.75907407407407412</v>
      </c>
    </row>
    <row r="345" spans="1:18" ht="38.25" x14ac:dyDescent="0.25">
      <c r="A345" s="125" t="s">
        <v>984</v>
      </c>
      <c r="B345" s="136">
        <v>509</v>
      </c>
      <c r="C345" s="137" t="s">
        <v>902</v>
      </c>
      <c r="D345" s="125" t="s">
        <v>914</v>
      </c>
      <c r="E345" s="125" t="s">
        <v>762</v>
      </c>
      <c r="F345" s="125" t="s">
        <v>763</v>
      </c>
      <c r="G345" s="125">
        <v>15</v>
      </c>
      <c r="H345" s="125" t="s">
        <v>909</v>
      </c>
      <c r="I345" s="125" t="s">
        <v>82</v>
      </c>
      <c r="J345" s="126">
        <v>6950</v>
      </c>
      <c r="K345" s="126">
        <v>4600</v>
      </c>
      <c r="L345" s="138">
        <v>12.5</v>
      </c>
      <c r="M345" s="126">
        <v>2350</v>
      </c>
      <c r="N345" s="126">
        <v>2056.1999999999998</v>
      </c>
      <c r="O345" s="126" t="s">
        <v>511</v>
      </c>
      <c r="P345" s="127">
        <v>442</v>
      </c>
      <c r="Q345" s="129">
        <v>45825</v>
      </c>
      <c r="R345" s="139">
        <v>0.88232638888888892</v>
      </c>
    </row>
    <row r="346" spans="1:18" ht="38.25" x14ac:dyDescent="0.25">
      <c r="A346" s="125" t="s">
        <v>985</v>
      </c>
      <c r="B346" s="136">
        <v>510</v>
      </c>
      <c r="C346" s="137" t="s">
        <v>902</v>
      </c>
      <c r="D346" s="125" t="s">
        <v>914</v>
      </c>
      <c r="E346" s="125" t="s">
        <v>737</v>
      </c>
      <c r="F346" s="125" t="s">
        <v>738</v>
      </c>
      <c r="G346" s="125">
        <v>15</v>
      </c>
      <c r="H346" s="125" t="s">
        <v>909</v>
      </c>
      <c r="I346" s="125" t="s">
        <v>82</v>
      </c>
      <c r="J346" s="126">
        <v>9060</v>
      </c>
      <c r="K346" s="126">
        <v>4550</v>
      </c>
      <c r="L346" s="138">
        <v>20.5</v>
      </c>
      <c r="M346" s="126">
        <v>4510</v>
      </c>
      <c r="N346" s="126">
        <v>3585.4</v>
      </c>
      <c r="O346" s="126" t="s">
        <v>511</v>
      </c>
      <c r="P346" s="127">
        <v>443</v>
      </c>
      <c r="Q346" s="129">
        <v>45825</v>
      </c>
      <c r="R346" s="139">
        <v>0.94528935185185181</v>
      </c>
    </row>
    <row r="347" spans="1:18" ht="38.25" x14ac:dyDescent="0.25">
      <c r="A347" s="125" t="s">
        <v>986</v>
      </c>
      <c r="B347" s="136">
        <v>511</v>
      </c>
      <c r="C347" s="137" t="s">
        <v>902</v>
      </c>
      <c r="D347" s="125" t="s">
        <v>914</v>
      </c>
      <c r="E347" s="125" t="s">
        <v>121</v>
      </c>
      <c r="F347" s="125" t="s">
        <v>125</v>
      </c>
      <c r="G347" s="125">
        <v>15</v>
      </c>
      <c r="H347" s="125" t="s">
        <v>909</v>
      </c>
      <c r="I347" s="125" t="s">
        <v>82</v>
      </c>
      <c r="J347" s="126">
        <v>28310</v>
      </c>
      <c r="K347" s="126">
        <v>14750</v>
      </c>
      <c r="L347" s="138">
        <v>14.5</v>
      </c>
      <c r="M347" s="126">
        <v>13560</v>
      </c>
      <c r="N347" s="126">
        <v>11593.8</v>
      </c>
      <c r="O347" s="126" t="s">
        <v>511</v>
      </c>
      <c r="P347" s="127">
        <v>444</v>
      </c>
      <c r="Q347" s="129">
        <v>45825</v>
      </c>
      <c r="R347" s="139">
        <v>0.99875000000000003</v>
      </c>
    </row>
    <row r="348" spans="1:18" ht="38.25" x14ac:dyDescent="0.25">
      <c r="A348" s="125" t="s">
        <v>987</v>
      </c>
      <c r="B348" s="136">
        <v>512</v>
      </c>
      <c r="C348" s="137" t="s">
        <v>902</v>
      </c>
      <c r="D348" s="125" t="s">
        <v>914</v>
      </c>
      <c r="E348" s="125" t="s">
        <v>239</v>
      </c>
      <c r="F348" s="125" t="s">
        <v>243</v>
      </c>
      <c r="G348" s="125">
        <v>15</v>
      </c>
      <c r="H348" s="125" t="s">
        <v>909</v>
      </c>
      <c r="I348" s="125" t="s">
        <v>82</v>
      </c>
      <c r="J348" s="126">
        <v>28060</v>
      </c>
      <c r="K348" s="126">
        <v>14670</v>
      </c>
      <c r="L348" s="138">
        <v>13.5</v>
      </c>
      <c r="M348" s="126">
        <v>13390</v>
      </c>
      <c r="N348" s="126">
        <v>11582.3</v>
      </c>
      <c r="O348" s="126" t="s">
        <v>511</v>
      </c>
      <c r="P348" s="127">
        <v>445</v>
      </c>
      <c r="Q348" s="129">
        <v>45826</v>
      </c>
      <c r="R348" s="139">
        <v>0.19958333333333333</v>
      </c>
    </row>
    <row r="349" spans="1:18" ht="38.25" x14ac:dyDescent="0.25">
      <c r="A349" s="125" t="s">
        <v>988</v>
      </c>
      <c r="B349" s="136">
        <v>513</v>
      </c>
      <c r="C349" s="137" t="s">
        <v>902</v>
      </c>
      <c r="D349" s="125" t="s">
        <v>914</v>
      </c>
      <c r="E349" s="125" t="s">
        <v>244</v>
      </c>
      <c r="F349" s="125" t="s">
        <v>248</v>
      </c>
      <c r="G349" s="125">
        <v>15</v>
      </c>
      <c r="H349" s="125" t="s">
        <v>909</v>
      </c>
      <c r="I349" s="125" t="s">
        <v>82</v>
      </c>
      <c r="J349" s="126">
        <v>29120</v>
      </c>
      <c r="K349" s="126">
        <v>15650</v>
      </c>
      <c r="L349" s="138">
        <v>13.5</v>
      </c>
      <c r="M349" s="126">
        <v>13470</v>
      </c>
      <c r="N349" s="126">
        <v>11651.5</v>
      </c>
      <c r="O349" s="126" t="s">
        <v>511</v>
      </c>
      <c r="P349" s="127">
        <v>446</v>
      </c>
      <c r="Q349" s="129">
        <v>45826</v>
      </c>
      <c r="R349" s="139">
        <v>0.21400462962962963</v>
      </c>
    </row>
    <row r="350" spans="1:18" ht="38.25" x14ac:dyDescent="0.25">
      <c r="A350" s="125" t="s">
        <v>989</v>
      </c>
      <c r="B350" s="136">
        <v>514</v>
      </c>
      <c r="C350" s="137" t="s">
        <v>902</v>
      </c>
      <c r="D350" s="125" t="s">
        <v>914</v>
      </c>
      <c r="E350" s="125" t="s">
        <v>212</v>
      </c>
      <c r="F350" s="125" t="s">
        <v>216</v>
      </c>
      <c r="G350" s="125">
        <v>15</v>
      </c>
      <c r="H350" s="125" t="s">
        <v>909</v>
      </c>
      <c r="I350" s="125" t="s">
        <v>82</v>
      </c>
      <c r="J350" s="126">
        <v>27390</v>
      </c>
      <c r="K350" s="126">
        <v>13870</v>
      </c>
      <c r="L350" s="138">
        <v>12.5</v>
      </c>
      <c r="M350" s="126">
        <v>13520</v>
      </c>
      <c r="N350" s="126">
        <v>11830</v>
      </c>
      <c r="O350" s="126" t="s">
        <v>511</v>
      </c>
      <c r="P350" s="127">
        <v>447</v>
      </c>
      <c r="Q350" s="129">
        <v>45826</v>
      </c>
      <c r="R350" s="139">
        <v>0.23959490740740741</v>
      </c>
    </row>
    <row r="351" spans="1:18" ht="38.25" x14ac:dyDescent="0.25">
      <c r="A351" s="125" t="s">
        <v>990</v>
      </c>
      <c r="B351" s="136">
        <v>515</v>
      </c>
      <c r="C351" s="137" t="s">
        <v>902</v>
      </c>
      <c r="D351" s="125" t="s">
        <v>914</v>
      </c>
      <c r="E351" s="125" t="s">
        <v>160</v>
      </c>
      <c r="F351" s="125" t="s">
        <v>164</v>
      </c>
      <c r="G351" s="125">
        <v>15</v>
      </c>
      <c r="H351" s="125" t="s">
        <v>909</v>
      </c>
      <c r="I351" s="125" t="s">
        <v>82</v>
      </c>
      <c r="J351" s="126">
        <v>37650</v>
      </c>
      <c r="K351" s="126">
        <v>24170</v>
      </c>
      <c r="L351" s="138">
        <v>11.5</v>
      </c>
      <c r="M351" s="126">
        <v>13480</v>
      </c>
      <c r="N351" s="126">
        <v>11929.8</v>
      </c>
      <c r="O351" s="126" t="s">
        <v>511</v>
      </c>
      <c r="P351" s="127">
        <v>448</v>
      </c>
      <c r="Q351" s="129">
        <v>45826</v>
      </c>
      <c r="R351" s="139">
        <v>0.2900462962962963</v>
      </c>
    </row>
    <row r="352" spans="1:18" ht="38.25" x14ac:dyDescent="0.25">
      <c r="A352" s="125" t="s">
        <v>991</v>
      </c>
      <c r="B352" s="136">
        <v>498</v>
      </c>
      <c r="C352" s="137" t="s">
        <v>992</v>
      </c>
      <c r="D352" s="125" t="s">
        <v>903</v>
      </c>
      <c r="E352" s="125" t="s">
        <v>1253</v>
      </c>
      <c r="F352" s="125" t="s">
        <v>270</v>
      </c>
      <c r="G352" s="125" t="s">
        <v>110</v>
      </c>
      <c r="H352" s="125" t="s">
        <v>916</v>
      </c>
      <c r="I352" s="125" t="s">
        <v>82</v>
      </c>
      <c r="J352" s="126">
        <v>21170</v>
      </c>
      <c r="K352" s="126">
        <v>14840</v>
      </c>
      <c r="L352" s="138"/>
      <c r="M352" s="126">
        <v>6330</v>
      </c>
      <c r="N352" s="126">
        <v>6330</v>
      </c>
      <c r="O352" s="126" t="s">
        <v>833</v>
      </c>
      <c r="P352" s="127">
        <v>449</v>
      </c>
      <c r="Q352" s="129">
        <v>45824</v>
      </c>
      <c r="R352" s="139">
        <v>0.64964120370370371</v>
      </c>
    </row>
    <row r="353" spans="1:18" ht="38.25" x14ac:dyDescent="0.25">
      <c r="A353" s="125" t="s">
        <v>993</v>
      </c>
      <c r="B353" s="136">
        <v>499</v>
      </c>
      <c r="C353" s="137" t="s">
        <v>994</v>
      </c>
      <c r="D353" s="125" t="s">
        <v>903</v>
      </c>
      <c r="E353" s="125" t="s">
        <v>239</v>
      </c>
      <c r="F353" s="125" t="s">
        <v>243</v>
      </c>
      <c r="G353" s="125">
        <v>44</v>
      </c>
      <c r="H353" s="125" t="s">
        <v>916</v>
      </c>
      <c r="I353" s="125" t="s">
        <v>82</v>
      </c>
      <c r="J353" s="126">
        <v>21160</v>
      </c>
      <c r="K353" s="126">
        <v>14540</v>
      </c>
      <c r="L353" s="138"/>
      <c r="M353" s="126">
        <v>6620</v>
      </c>
      <c r="N353" s="126">
        <v>6620</v>
      </c>
      <c r="O353" s="126" t="s">
        <v>833</v>
      </c>
      <c r="P353" s="127">
        <v>450</v>
      </c>
      <c r="Q353" s="129">
        <v>45824</v>
      </c>
      <c r="R353" s="139">
        <v>0.66271990740740738</v>
      </c>
    </row>
    <row r="354" spans="1:18" ht="38.25" x14ac:dyDescent="0.25">
      <c r="A354" s="125" t="s">
        <v>995</v>
      </c>
      <c r="B354" s="136">
        <v>502</v>
      </c>
      <c r="C354" s="137" t="s">
        <v>996</v>
      </c>
      <c r="D354" s="125" t="s">
        <v>903</v>
      </c>
      <c r="E354" s="125" t="s">
        <v>1152</v>
      </c>
      <c r="F354" s="125" t="s">
        <v>119</v>
      </c>
      <c r="G354" s="125">
        <v>44</v>
      </c>
      <c r="H354" s="125" t="s">
        <v>916</v>
      </c>
      <c r="I354" s="125" t="s">
        <v>82</v>
      </c>
      <c r="J354" s="126">
        <v>27440</v>
      </c>
      <c r="K354" s="126">
        <v>21030</v>
      </c>
      <c r="L354" s="138"/>
      <c r="M354" s="126">
        <v>6410</v>
      </c>
      <c r="N354" s="126">
        <v>6410</v>
      </c>
      <c r="O354" s="126" t="s">
        <v>833</v>
      </c>
      <c r="P354" s="127">
        <v>451</v>
      </c>
      <c r="Q354" s="129">
        <v>45824</v>
      </c>
      <c r="R354" s="139">
        <v>0.80686342592592597</v>
      </c>
    </row>
    <row r="355" spans="1:18" ht="38.25" x14ac:dyDescent="0.25">
      <c r="A355" s="125" t="s">
        <v>997</v>
      </c>
      <c r="B355" s="136">
        <v>496</v>
      </c>
      <c r="C355" s="137" t="s">
        <v>998</v>
      </c>
      <c r="D355" s="125" t="s">
        <v>903</v>
      </c>
      <c r="E355" s="125" t="s">
        <v>1151</v>
      </c>
      <c r="F355" s="125" t="s">
        <v>145</v>
      </c>
      <c r="G355" s="125">
        <v>44</v>
      </c>
      <c r="H355" s="125" t="s">
        <v>916</v>
      </c>
      <c r="I355" s="125" t="s">
        <v>82</v>
      </c>
      <c r="J355" s="126">
        <v>29040</v>
      </c>
      <c r="K355" s="126">
        <v>15530</v>
      </c>
      <c r="L355" s="138"/>
      <c r="M355" s="126">
        <v>13510</v>
      </c>
      <c r="N355" s="126">
        <v>13510</v>
      </c>
      <c r="O355" s="126" t="s">
        <v>833</v>
      </c>
      <c r="P355" s="127">
        <v>452</v>
      </c>
      <c r="Q355" s="129">
        <v>45824</v>
      </c>
      <c r="R355" s="139">
        <v>0.59693287037037035</v>
      </c>
    </row>
    <row r="356" spans="1:18" ht="38.25" x14ac:dyDescent="0.25">
      <c r="A356" s="125" t="s">
        <v>999</v>
      </c>
      <c r="B356" s="136">
        <v>501</v>
      </c>
      <c r="C356" s="137" t="s">
        <v>1000</v>
      </c>
      <c r="D356" s="125" t="s">
        <v>903</v>
      </c>
      <c r="E356" s="125" t="s">
        <v>1461</v>
      </c>
      <c r="F356" s="125" t="s">
        <v>149</v>
      </c>
      <c r="G356" s="125">
        <v>44</v>
      </c>
      <c r="H356" s="125" t="s">
        <v>916</v>
      </c>
      <c r="I356" s="125" t="s">
        <v>82</v>
      </c>
      <c r="J356" s="126">
        <v>21600</v>
      </c>
      <c r="K356" s="126">
        <v>15080</v>
      </c>
      <c r="L356" s="138"/>
      <c r="M356" s="126">
        <v>6520</v>
      </c>
      <c r="N356" s="126">
        <v>6520</v>
      </c>
      <c r="O356" s="126" t="s">
        <v>833</v>
      </c>
      <c r="P356" s="127">
        <v>453</v>
      </c>
      <c r="Q356" s="129">
        <v>45824</v>
      </c>
      <c r="R356" s="139">
        <v>0.80151620370370369</v>
      </c>
    </row>
    <row r="357" spans="1:18" ht="38.25" x14ac:dyDescent="0.25">
      <c r="A357" s="125" t="s">
        <v>1001</v>
      </c>
      <c r="B357" s="136">
        <v>516</v>
      </c>
      <c r="C357" s="137" t="s">
        <v>902</v>
      </c>
      <c r="D357" s="125" t="s">
        <v>914</v>
      </c>
      <c r="E357" s="125" t="s">
        <v>151</v>
      </c>
      <c r="F357" s="125" t="s">
        <v>155</v>
      </c>
      <c r="G357" s="125">
        <v>15</v>
      </c>
      <c r="H357" s="125" t="s">
        <v>909</v>
      </c>
      <c r="I357" s="125" t="s">
        <v>82</v>
      </c>
      <c r="J357" s="126">
        <v>28510</v>
      </c>
      <c r="K357" s="126">
        <v>14990</v>
      </c>
      <c r="L357" s="138">
        <v>6.5</v>
      </c>
      <c r="M357" s="126">
        <v>13520</v>
      </c>
      <c r="N357" s="126">
        <v>12641.2</v>
      </c>
      <c r="O357" s="126" t="s">
        <v>511</v>
      </c>
      <c r="P357" s="127">
        <v>454</v>
      </c>
      <c r="Q357" s="129">
        <v>45826</v>
      </c>
      <c r="R357" s="139">
        <v>0.49033564814814817</v>
      </c>
    </row>
    <row r="358" spans="1:18" ht="38.25" x14ac:dyDescent="0.25">
      <c r="A358" s="125" t="s">
        <v>1002</v>
      </c>
      <c r="B358" s="136">
        <v>492</v>
      </c>
      <c r="C358" s="137" t="s">
        <v>902</v>
      </c>
      <c r="D358" s="125" t="s">
        <v>903</v>
      </c>
      <c r="E358" s="125" t="s">
        <v>239</v>
      </c>
      <c r="F358" s="125" t="s">
        <v>243</v>
      </c>
      <c r="G358" s="125">
        <v>44</v>
      </c>
      <c r="H358" s="125" t="s">
        <v>916</v>
      </c>
      <c r="I358" s="125" t="s">
        <v>82</v>
      </c>
      <c r="J358" s="126">
        <v>27790</v>
      </c>
      <c r="K358" s="126">
        <v>21160</v>
      </c>
      <c r="L358" s="138">
        <v>14.5</v>
      </c>
      <c r="M358" s="126">
        <v>6630</v>
      </c>
      <c r="N358" s="126">
        <v>5668.6</v>
      </c>
      <c r="O358" s="126" t="s">
        <v>550</v>
      </c>
      <c r="P358" s="127">
        <v>455</v>
      </c>
      <c r="Q358" s="129">
        <v>45824</v>
      </c>
      <c r="R358" s="139">
        <v>0.50710648148148152</v>
      </c>
    </row>
    <row r="359" spans="1:18" ht="38.25" x14ac:dyDescent="0.25">
      <c r="A359" s="125" t="s">
        <v>1003</v>
      </c>
      <c r="B359" s="136">
        <v>493</v>
      </c>
      <c r="C359" s="137">
        <v>90</v>
      </c>
      <c r="D359" s="125" t="s">
        <v>903</v>
      </c>
      <c r="E359" s="125" t="s">
        <v>1461</v>
      </c>
      <c r="F359" s="125" t="s">
        <v>149</v>
      </c>
      <c r="G359" s="125">
        <v>44</v>
      </c>
      <c r="H359" s="125" t="s">
        <v>916</v>
      </c>
      <c r="I359" s="125" t="s">
        <v>82</v>
      </c>
      <c r="J359" s="126">
        <v>28260</v>
      </c>
      <c r="K359" s="126">
        <v>21610</v>
      </c>
      <c r="L359" s="138">
        <v>7.5</v>
      </c>
      <c r="M359" s="126">
        <v>6650</v>
      </c>
      <c r="N359" s="126">
        <v>6151.2</v>
      </c>
      <c r="O359" s="126" t="s">
        <v>550</v>
      </c>
      <c r="P359" s="127">
        <v>456</v>
      </c>
      <c r="Q359" s="129">
        <v>45824</v>
      </c>
      <c r="R359" s="139">
        <v>0.54561342592592588</v>
      </c>
    </row>
    <row r="360" spans="1:18" ht="38.25" x14ac:dyDescent="0.25">
      <c r="A360" s="125" t="s">
        <v>1004</v>
      </c>
      <c r="B360" s="136">
        <v>500</v>
      </c>
      <c r="C360" s="137">
        <v>92</v>
      </c>
      <c r="D360" s="125" t="s">
        <v>903</v>
      </c>
      <c r="E360" s="125" t="s">
        <v>1152</v>
      </c>
      <c r="F360" s="125" t="s">
        <v>119</v>
      </c>
      <c r="G360" s="125">
        <v>44</v>
      </c>
      <c r="H360" s="125" t="s">
        <v>916</v>
      </c>
      <c r="I360" s="125" t="s">
        <v>82</v>
      </c>
      <c r="J360" s="126">
        <v>34230</v>
      </c>
      <c r="K360" s="126">
        <v>27490</v>
      </c>
      <c r="L360" s="138">
        <v>13.5</v>
      </c>
      <c r="M360" s="126">
        <v>6740</v>
      </c>
      <c r="N360" s="126">
        <v>5830.1</v>
      </c>
      <c r="O360" s="126" t="s">
        <v>550</v>
      </c>
      <c r="P360" s="127">
        <v>457</v>
      </c>
      <c r="Q360" s="129">
        <v>45824</v>
      </c>
      <c r="R360" s="139">
        <v>0.67192129629629627</v>
      </c>
    </row>
    <row r="361" spans="1:18" ht="38.25" x14ac:dyDescent="0.25">
      <c r="A361" s="125" t="s">
        <v>1005</v>
      </c>
      <c r="B361" s="136">
        <v>520</v>
      </c>
      <c r="C361" s="137" t="s">
        <v>902</v>
      </c>
      <c r="D361" s="125" t="s">
        <v>914</v>
      </c>
      <c r="E361" s="125" t="s">
        <v>311</v>
      </c>
      <c r="F361" s="125" t="s">
        <v>315</v>
      </c>
      <c r="G361" s="125">
        <v>15</v>
      </c>
      <c r="H361" s="125" t="s">
        <v>909</v>
      </c>
      <c r="I361" s="125" t="s">
        <v>82</v>
      </c>
      <c r="J361" s="126">
        <v>28350</v>
      </c>
      <c r="K361" s="126">
        <v>15040</v>
      </c>
      <c r="L361" s="138">
        <v>12.5</v>
      </c>
      <c r="M361" s="126">
        <v>13310</v>
      </c>
      <c r="N361" s="126">
        <v>11646.2</v>
      </c>
      <c r="O361" s="126" t="s">
        <v>511</v>
      </c>
      <c r="P361" s="127">
        <v>458</v>
      </c>
      <c r="Q361" s="129">
        <v>45826</v>
      </c>
      <c r="R361" s="139">
        <v>0.44820601851851855</v>
      </c>
    </row>
    <row r="362" spans="1:18" ht="38.25" x14ac:dyDescent="0.25">
      <c r="A362" s="125" t="s">
        <v>1006</v>
      </c>
      <c r="B362" s="136">
        <v>496</v>
      </c>
      <c r="C362" s="137" t="s">
        <v>1007</v>
      </c>
      <c r="D362" s="125" t="s">
        <v>903</v>
      </c>
      <c r="E362" s="125" t="s">
        <v>305</v>
      </c>
      <c r="F362" s="125" t="s">
        <v>309</v>
      </c>
      <c r="G362" s="125">
        <v>44</v>
      </c>
      <c r="H362" s="125" t="s">
        <v>916</v>
      </c>
      <c r="I362" s="125" t="s">
        <v>82</v>
      </c>
      <c r="J362" s="126">
        <v>27700</v>
      </c>
      <c r="K362" s="126">
        <v>14440</v>
      </c>
      <c r="L362" s="138">
        <v>12</v>
      </c>
      <c r="M362" s="126">
        <v>13260</v>
      </c>
      <c r="N362" s="126">
        <v>11669</v>
      </c>
      <c r="O362" s="126" t="s">
        <v>833</v>
      </c>
      <c r="P362" s="127">
        <v>459</v>
      </c>
      <c r="Q362" s="129">
        <v>45824</v>
      </c>
      <c r="R362" s="139">
        <v>0.61071759259259262</v>
      </c>
    </row>
    <row r="363" spans="1:18" ht="38.25" x14ac:dyDescent="0.25">
      <c r="A363" s="125" t="s">
        <v>1008</v>
      </c>
      <c r="B363">
        <v>496</v>
      </c>
      <c r="C363" s="125" t="s">
        <v>1009</v>
      </c>
      <c r="D363" s="125" t="s">
        <v>903</v>
      </c>
      <c r="E363" s="125" t="s">
        <v>329</v>
      </c>
      <c r="F363" s="125" t="s">
        <v>1010</v>
      </c>
      <c r="G363" s="125">
        <v>44</v>
      </c>
      <c r="H363" s="125" t="s">
        <v>916</v>
      </c>
      <c r="I363" s="125" t="s">
        <v>82</v>
      </c>
      <c r="J363" s="126">
        <v>28260</v>
      </c>
      <c r="K363" s="126">
        <v>15060</v>
      </c>
      <c r="L363" s="127">
        <v>12.4</v>
      </c>
      <c r="M363" s="126">
        <v>13200</v>
      </c>
      <c r="N363" s="126">
        <v>11564</v>
      </c>
      <c r="O363" s="126" t="s">
        <v>833</v>
      </c>
      <c r="P363" s="127">
        <v>460</v>
      </c>
      <c r="Q363" s="129">
        <v>45824</v>
      </c>
      <c r="R363" s="139">
        <v>0.89484953703703707</v>
      </c>
    </row>
    <row r="364" spans="1:18" ht="38.25" x14ac:dyDescent="0.25">
      <c r="A364" s="125" t="s">
        <v>1011</v>
      </c>
      <c r="B364">
        <v>496</v>
      </c>
      <c r="C364" s="125" t="s">
        <v>1012</v>
      </c>
      <c r="D364" s="125" t="s">
        <v>903</v>
      </c>
      <c r="E364" s="125" t="s">
        <v>305</v>
      </c>
      <c r="F364" s="125" t="s">
        <v>309</v>
      </c>
      <c r="G364" s="125">
        <v>44</v>
      </c>
      <c r="H364" s="125" t="s">
        <v>916</v>
      </c>
      <c r="I364" s="125" t="s">
        <v>82</v>
      </c>
      <c r="J364" s="126">
        <v>27900</v>
      </c>
      <c r="K364" s="126">
        <v>14460</v>
      </c>
      <c r="L364" s="127">
        <v>15.2</v>
      </c>
      <c r="M364" s="126">
        <v>13440</v>
      </c>
      <c r="N364" s="126">
        <v>11397</v>
      </c>
      <c r="O364" s="126" t="s">
        <v>833</v>
      </c>
      <c r="P364" s="127">
        <v>461</v>
      </c>
      <c r="Q364" s="129">
        <v>45825</v>
      </c>
      <c r="R364" s="139">
        <v>0.89486111111111111</v>
      </c>
    </row>
    <row r="365" spans="1:18" ht="38.25" x14ac:dyDescent="0.25">
      <c r="A365" s="125" t="s">
        <v>1013</v>
      </c>
      <c r="B365">
        <v>521</v>
      </c>
      <c r="C365" s="125" t="s">
        <v>902</v>
      </c>
      <c r="D365" s="125" t="s">
        <v>914</v>
      </c>
      <c r="E365" s="125" t="s">
        <v>1312</v>
      </c>
      <c r="F365" s="125" t="s">
        <v>320</v>
      </c>
      <c r="G365" s="125">
        <v>15</v>
      </c>
      <c r="H365" s="125" t="s">
        <v>909</v>
      </c>
      <c r="I365" s="125" t="s">
        <v>82</v>
      </c>
      <c r="J365" s="126">
        <v>27510</v>
      </c>
      <c r="K365" s="126">
        <v>14650</v>
      </c>
      <c r="L365" s="127">
        <v>6.5</v>
      </c>
      <c r="M365" s="126">
        <v>12860</v>
      </c>
      <c r="N365" s="126">
        <v>12024.1</v>
      </c>
      <c r="O365" s="126" t="s">
        <v>511</v>
      </c>
      <c r="P365" s="127">
        <v>462</v>
      </c>
      <c r="Q365" s="129">
        <v>45826</v>
      </c>
      <c r="R365" s="139">
        <v>0.52949074074074076</v>
      </c>
    </row>
    <row r="366" spans="1:18" ht="38.25" x14ac:dyDescent="0.25">
      <c r="A366" s="125" t="s">
        <v>1014</v>
      </c>
      <c r="B366">
        <v>496</v>
      </c>
      <c r="C366" s="125" t="s">
        <v>1015</v>
      </c>
      <c r="D366" s="125" t="s">
        <v>903</v>
      </c>
      <c r="E366" s="125" t="s">
        <v>262</v>
      </c>
      <c r="F366" s="125" t="s">
        <v>266</v>
      </c>
      <c r="G366" s="125">
        <v>44</v>
      </c>
      <c r="H366" s="125" t="s">
        <v>916</v>
      </c>
      <c r="I366" s="125" t="s">
        <v>82</v>
      </c>
      <c r="J366" s="126">
        <v>27960</v>
      </c>
      <c r="K366" s="126">
        <v>15040</v>
      </c>
      <c r="L366" s="127">
        <v>11.2</v>
      </c>
      <c r="M366" s="126">
        <v>12920</v>
      </c>
      <c r="N366" s="126">
        <v>11479</v>
      </c>
      <c r="O366" s="126" t="s">
        <v>833</v>
      </c>
      <c r="P366" s="127">
        <v>463</v>
      </c>
      <c r="Q366" s="129">
        <v>45825</v>
      </c>
      <c r="R366" s="139">
        <v>0.99876157407407407</v>
      </c>
    </row>
    <row r="367" spans="1:18" ht="38.25" x14ac:dyDescent="0.25">
      <c r="A367" s="125" t="s">
        <v>1017</v>
      </c>
      <c r="B367">
        <v>496</v>
      </c>
      <c r="C367" s="125" t="s">
        <v>1076</v>
      </c>
      <c r="D367" s="125" t="s">
        <v>903</v>
      </c>
      <c r="E367" s="125" t="s">
        <v>305</v>
      </c>
      <c r="F367" s="125" t="s">
        <v>309</v>
      </c>
      <c r="G367" s="125">
        <v>44</v>
      </c>
      <c r="H367" s="125" t="s">
        <v>916</v>
      </c>
      <c r="I367" s="125" t="s">
        <v>82</v>
      </c>
      <c r="J367" s="126">
        <v>27600</v>
      </c>
      <c r="K367" s="126">
        <v>14580</v>
      </c>
      <c r="L367" s="127">
        <v>12.4</v>
      </c>
      <c r="M367" s="126">
        <v>13020</v>
      </c>
      <c r="N367" s="126">
        <v>11406</v>
      </c>
      <c r="O367" s="126" t="s">
        <v>833</v>
      </c>
      <c r="P367" s="127" t="s">
        <v>1059</v>
      </c>
      <c r="Q367" s="129">
        <v>45825</v>
      </c>
      <c r="R367" s="139">
        <v>0.65315972222222218</v>
      </c>
    </row>
    <row r="368" spans="1:18" ht="51" x14ac:dyDescent="0.25">
      <c r="A368" s="125" t="s">
        <v>1016</v>
      </c>
      <c r="B368">
        <v>496</v>
      </c>
      <c r="C368" s="125" t="s">
        <v>1070</v>
      </c>
      <c r="D368" s="125" t="s">
        <v>903</v>
      </c>
      <c r="E368" s="125" t="s">
        <v>329</v>
      </c>
      <c r="F368" s="125" t="s">
        <v>1010</v>
      </c>
      <c r="G368" s="125">
        <v>44</v>
      </c>
      <c r="H368" s="125" t="s">
        <v>916</v>
      </c>
      <c r="I368" s="125" t="s">
        <v>82</v>
      </c>
      <c r="J368" s="126">
        <v>28340</v>
      </c>
      <c r="K368" s="126">
        <v>15100</v>
      </c>
      <c r="L368" s="127">
        <v>10.1</v>
      </c>
      <c r="M368" s="126">
        <v>13240</v>
      </c>
      <c r="N368" s="126">
        <v>11907</v>
      </c>
      <c r="O368" s="126" t="s">
        <v>833</v>
      </c>
      <c r="P368" s="127" t="s">
        <v>1060</v>
      </c>
      <c r="Q368" s="129">
        <v>45825</v>
      </c>
      <c r="R368" s="139">
        <v>0.9987731481481481</v>
      </c>
    </row>
    <row r="369" spans="1:18" ht="38.25" x14ac:dyDescent="0.25">
      <c r="A369" s="125" t="s">
        <v>1018</v>
      </c>
      <c r="B369">
        <v>496</v>
      </c>
      <c r="C369" s="125" t="s">
        <v>1077</v>
      </c>
      <c r="D369" s="125" t="s">
        <v>903</v>
      </c>
      <c r="E369" s="125" t="s">
        <v>329</v>
      </c>
      <c r="F369" s="125" t="s">
        <v>1010</v>
      </c>
      <c r="G369" s="125">
        <v>44</v>
      </c>
      <c r="H369" s="125" t="s">
        <v>916</v>
      </c>
      <c r="I369" s="125" t="s">
        <v>82</v>
      </c>
      <c r="J369" s="126">
        <v>28460</v>
      </c>
      <c r="K369" s="126">
        <v>15120</v>
      </c>
      <c r="L369" s="127">
        <v>17.7</v>
      </c>
      <c r="M369" s="126">
        <v>13340</v>
      </c>
      <c r="N369" s="126">
        <v>10979</v>
      </c>
      <c r="O369" s="126" t="s">
        <v>833</v>
      </c>
      <c r="P369" s="127" t="s">
        <v>1061</v>
      </c>
      <c r="Q369" s="129">
        <v>45825</v>
      </c>
      <c r="R369" s="139">
        <v>0.99878472222222225</v>
      </c>
    </row>
    <row r="370" spans="1:18" ht="51" x14ac:dyDescent="0.25">
      <c r="A370" s="125" t="s">
        <v>1019</v>
      </c>
      <c r="B370">
        <v>496</v>
      </c>
      <c r="C370" s="125" t="s">
        <v>1071</v>
      </c>
      <c r="D370" s="125" t="s">
        <v>903</v>
      </c>
      <c r="E370" s="125" t="s">
        <v>262</v>
      </c>
      <c r="F370" s="125" t="s">
        <v>266</v>
      </c>
      <c r="G370" s="125">
        <v>44</v>
      </c>
      <c r="H370" s="125" t="s">
        <v>916</v>
      </c>
      <c r="I370" s="125" t="s">
        <v>82</v>
      </c>
      <c r="J370" s="126">
        <v>32380</v>
      </c>
      <c r="K370" s="126">
        <v>15000</v>
      </c>
      <c r="L370" s="127">
        <v>11.4</v>
      </c>
      <c r="M370" s="126">
        <v>17380</v>
      </c>
      <c r="N370" s="126">
        <v>15396</v>
      </c>
      <c r="O370" s="126" t="s">
        <v>833</v>
      </c>
      <c r="P370" s="127" t="s">
        <v>1062</v>
      </c>
      <c r="Q370" s="129">
        <v>45825</v>
      </c>
      <c r="R370" s="139">
        <v>0.99879629629629629</v>
      </c>
    </row>
    <row r="371" spans="1:18" ht="51" x14ac:dyDescent="0.25">
      <c r="A371" s="125" t="s">
        <v>1020</v>
      </c>
      <c r="B371">
        <v>496</v>
      </c>
      <c r="C371" s="125" t="s">
        <v>1072</v>
      </c>
      <c r="D371" s="125" t="s">
        <v>903</v>
      </c>
      <c r="E371" s="125" t="s">
        <v>262</v>
      </c>
      <c r="F371" s="125" t="s">
        <v>266</v>
      </c>
      <c r="G371" s="125">
        <v>44</v>
      </c>
      <c r="H371" s="125" t="s">
        <v>916</v>
      </c>
      <c r="I371" s="125" t="s">
        <v>82</v>
      </c>
      <c r="J371" s="126">
        <v>28240</v>
      </c>
      <c r="K371" s="126">
        <v>14740</v>
      </c>
      <c r="L371" s="127">
        <v>13.8</v>
      </c>
      <c r="M371" s="126">
        <v>13500</v>
      </c>
      <c r="N371" s="126">
        <v>11634</v>
      </c>
      <c r="O371" s="126" t="s">
        <v>833</v>
      </c>
      <c r="P371" s="127" t="s">
        <v>1063</v>
      </c>
      <c r="Q371" s="129">
        <v>45825</v>
      </c>
      <c r="R371" s="139">
        <v>0.99880787037037033</v>
      </c>
    </row>
    <row r="372" spans="1:18" ht="51" x14ac:dyDescent="0.25">
      <c r="A372" s="125" t="s">
        <v>1021</v>
      </c>
      <c r="B372">
        <v>502</v>
      </c>
      <c r="C372" s="125" t="s">
        <v>1073</v>
      </c>
      <c r="D372" s="125" t="s">
        <v>903</v>
      </c>
      <c r="E372" s="125" t="s">
        <v>1022</v>
      </c>
      <c r="F372" s="125" t="s">
        <v>170</v>
      </c>
      <c r="G372" s="125">
        <v>44</v>
      </c>
      <c r="H372" s="125" t="s">
        <v>916</v>
      </c>
      <c r="I372" s="125" t="s">
        <v>82</v>
      </c>
      <c r="J372" s="126">
        <v>27900</v>
      </c>
      <c r="K372" s="126">
        <v>14940</v>
      </c>
      <c r="L372" s="127">
        <v>15.9</v>
      </c>
      <c r="M372" s="126">
        <v>12960</v>
      </c>
      <c r="N372" s="126">
        <v>10897</v>
      </c>
      <c r="O372" s="126" t="s">
        <v>833</v>
      </c>
      <c r="P372" s="127" t="s">
        <v>1064</v>
      </c>
      <c r="Q372" s="129">
        <v>45825</v>
      </c>
      <c r="R372" s="139">
        <v>0.99881944444444448</v>
      </c>
    </row>
    <row r="373" spans="1:18" ht="38.25" x14ac:dyDescent="0.25">
      <c r="A373" s="125" t="s">
        <v>1023</v>
      </c>
      <c r="B373">
        <v>523</v>
      </c>
      <c r="C373" s="125" t="s">
        <v>902</v>
      </c>
      <c r="D373" s="125" t="s">
        <v>914</v>
      </c>
      <c r="E373" s="125" t="s">
        <v>894</v>
      </c>
      <c r="F373" s="125" t="s">
        <v>895</v>
      </c>
      <c r="G373" s="125">
        <v>15</v>
      </c>
      <c r="H373" s="125" t="s">
        <v>909</v>
      </c>
      <c r="I373" s="125" t="s">
        <v>82</v>
      </c>
      <c r="J373" s="126">
        <v>28110</v>
      </c>
      <c r="K373" s="126">
        <v>15120</v>
      </c>
      <c r="L373" s="127">
        <v>13.5</v>
      </c>
      <c r="M373" s="126">
        <v>12990</v>
      </c>
      <c r="N373" s="126">
        <v>11236.3</v>
      </c>
      <c r="O373" s="126" t="s">
        <v>511</v>
      </c>
      <c r="P373" s="127" t="s">
        <v>1065</v>
      </c>
      <c r="Q373" s="129">
        <v>45826</v>
      </c>
      <c r="R373" s="139">
        <v>0.57846064814814813</v>
      </c>
    </row>
    <row r="374" spans="1:18" ht="38.25" x14ac:dyDescent="0.25">
      <c r="A374" s="125" t="s">
        <v>1078</v>
      </c>
      <c r="B374">
        <v>526</v>
      </c>
      <c r="C374" s="125" t="s">
        <v>902</v>
      </c>
      <c r="D374" s="125" t="s">
        <v>914</v>
      </c>
      <c r="E374" s="125" t="s">
        <v>121</v>
      </c>
      <c r="F374" s="125" t="s">
        <v>125</v>
      </c>
      <c r="G374" s="125">
        <v>15</v>
      </c>
      <c r="H374" s="125" t="s">
        <v>909</v>
      </c>
      <c r="I374" s="125" t="s">
        <v>82</v>
      </c>
      <c r="J374" s="126">
        <v>27760</v>
      </c>
      <c r="K374" s="126">
        <v>14690</v>
      </c>
      <c r="L374" s="127">
        <v>9.5</v>
      </c>
      <c r="M374" s="126">
        <v>13070</v>
      </c>
      <c r="N374" s="126">
        <v>11828.3</v>
      </c>
      <c r="O374" s="126" t="s">
        <v>511</v>
      </c>
      <c r="P374" s="127" t="s">
        <v>1091</v>
      </c>
      <c r="Q374" s="129">
        <v>45826</v>
      </c>
      <c r="R374" s="139">
        <v>0.65601851851851856</v>
      </c>
    </row>
    <row r="375" spans="1:18" ht="38.25" x14ac:dyDescent="0.25">
      <c r="A375" s="125" t="s">
        <v>1079</v>
      </c>
      <c r="B375">
        <v>527</v>
      </c>
      <c r="C375" s="125" t="s">
        <v>902</v>
      </c>
      <c r="D375" s="125" t="s">
        <v>914</v>
      </c>
      <c r="E375" s="125" t="s">
        <v>239</v>
      </c>
      <c r="F375" s="125" t="s">
        <v>243</v>
      </c>
      <c r="G375" s="125">
        <v>15</v>
      </c>
      <c r="H375" s="125" t="s">
        <v>909</v>
      </c>
      <c r="I375" s="125" t="s">
        <v>82</v>
      </c>
      <c r="J375" s="126">
        <v>27890</v>
      </c>
      <c r="K375" s="126">
        <v>14620</v>
      </c>
      <c r="L375" s="127">
        <v>13</v>
      </c>
      <c r="M375" s="126">
        <v>13270</v>
      </c>
      <c r="N375" s="126">
        <v>11544.9</v>
      </c>
      <c r="O375" s="126" t="s">
        <v>511</v>
      </c>
      <c r="P375" s="127" t="s">
        <v>1092</v>
      </c>
      <c r="Q375" s="129">
        <v>45826</v>
      </c>
      <c r="R375" s="139">
        <v>0.70524305555555555</v>
      </c>
    </row>
    <row r="376" spans="1:18" ht="38.25" x14ac:dyDescent="0.25">
      <c r="A376" s="125" t="s">
        <v>1080</v>
      </c>
      <c r="B376">
        <v>528</v>
      </c>
      <c r="C376" s="125" t="s">
        <v>902</v>
      </c>
      <c r="D376" s="125" t="s">
        <v>914</v>
      </c>
      <c r="E376" s="125" t="s">
        <v>244</v>
      </c>
      <c r="F376" s="125" t="s">
        <v>248</v>
      </c>
      <c r="G376" s="125">
        <v>15</v>
      </c>
      <c r="H376" s="125" t="s">
        <v>909</v>
      </c>
      <c r="I376" s="125" t="s">
        <v>82</v>
      </c>
      <c r="J376" s="126">
        <v>28770</v>
      </c>
      <c r="K376" s="126">
        <v>15560</v>
      </c>
      <c r="L376" s="127">
        <v>6.5</v>
      </c>
      <c r="M376" s="126">
        <v>13210</v>
      </c>
      <c r="N376" s="126">
        <v>12351.3</v>
      </c>
      <c r="O376" s="126" t="s">
        <v>511</v>
      </c>
      <c r="P376" s="127" t="s">
        <v>1093</v>
      </c>
      <c r="Q376" s="129">
        <v>45826</v>
      </c>
      <c r="R376" s="139">
        <v>0.8189467592592593</v>
      </c>
    </row>
    <row r="377" spans="1:18" ht="38.25" x14ac:dyDescent="0.25">
      <c r="A377" s="125" t="s">
        <v>1081</v>
      </c>
      <c r="B377">
        <v>529</v>
      </c>
      <c r="C377" s="125" t="s">
        <v>902</v>
      </c>
      <c r="D377" s="125" t="s">
        <v>914</v>
      </c>
      <c r="E377" s="125" t="s">
        <v>1152</v>
      </c>
      <c r="F377" s="125" t="s">
        <v>119</v>
      </c>
      <c r="G377" s="125">
        <v>15</v>
      </c>
      <c r="H377" s="125" t="s">
        <v>909</v>
      </c>
      <c r="I377" s="125" t="s">
        <v>82</v>
      </c>
      <c r="J377" s="126">
        <v>34270</v>
      </c>
      <c r="K377" s="126">
        <v>21010</v>
      </c>
      <c r="L377" s="127">
        <v>11.5</v>
      </c>
      <c r="M377" s="126">
        <v>13260</v>
      </c>
      <c r="N377" s="126">
        <v>11735.1</v>
      </c>
      <c r="O377" s="126" t="s">
        <v>511</v>
      </c>
      <c r="P377" s="127" t="s">
        <v>1094</v>
      </c>
      <c r="Q377" s="129">
        <v>45826</v>
      </c>
      <c r="R377" s="139">
        <v>0.83840277777777783</v>
      </c>
    </row>
    <row r="378" spans="1:18" ht="38.25" x14ac:dyDescent="0.25">
      <c r="A378" s="125" t="s">
        <v>1082</v>
      </c>
      <c r="B378">
        <v>530</v>
      </c>
      <c r="C378" s="125" t="s">
        <v>902</v>
      </c>
      <c r="D378" s="125" t="s">
        <v>914</v>
      </c>
      <c r="E378" s="125" t="s">
        <v>335</v>
      </c>
      <c r="F378" s="125" t="s">
        <v>339</v>
      </c>
      <c r="G378" s="125">
        <v>15</v>
      </c>
      <c r="H378" s="125" t="s">
        <v>909</v>
      </c>
      <c r="I378" s="125" t="s">
        <v>82</v>
      </c>
      <c r="J378" s="126">
        <v>28000</v>
      </c>
      <c r="K378" s="126">
        <v>14720</v>
      </c>
      <c r="L378" s="127">
        <v>6.5</v>
      </c>
      <c r="M378" s="126">
        <v>13280</v>
      </c>
      <c r="N378" s="126">
        <v>12416.8</v>
      </c>
      <c r="O378" s="126" t="s">
        <v>511</v>
      </c>
      <c r="P378" s="127" t="s">
        <v>1095</v>
      </c>
      <c r="Q378" s="129">
        <v>45826</v>
      </c>
      <c r="R378" s="139">
        <v>0.89393518518518522</v>
      </c>
    </row>
    <row r="379" spans="1:18" ht="38.25" x14ac:dyDescent="0.25">
      <c r="A379" s="125" t="s">
        <v>1083</v>
      </c>
      <c r="B379">
        <v>531</v>
      </c>
      <c r="C379" s="125">
        <v>54927</v>
      </c>
      <c r="D379" s="125" t="s">
        <v>914</v>
      </c>
      <c r="E379" s="125" t="s">
        <v>212</v>
      </c>
      <c r="F379" s="125" t="s">
        <v>216</v>
      </c>
      <c r="G379" s="125">
        <v>15</v>
      </c>
      <c r="H379" s="125" t="s">
        <v>909</v>
      </c>
      <c r="I379" s="125" t="s">
        <v>82</v>
      </c>
      <c r="J379" s="126">
        <v>27280</v>
      </c>
      <c r="K379" s="126">
        <v>13870</v>
      </c>
      <c r="L379" s="127">
        <v>9.5</v>
      </c>
      <c r="M379" s="126">
        <v>13410</v>
      </c>
      <c r="N379" s="126">
        <v>12136</v>
      </c>
      <c r="O379" s="126" t="s">
        <v>511</v>
      </c>
      <c r="P379" s="127" t="s">
        <v>1096</v>
      </c>
      <c r="Q379" s="129">
        <v>45826</v>
      </c>
      <c r="R379" s="139">
        <v>0.97619212962962965</v>
      </c>
    </row>
    <row r="380" spans="1:18" ht="38.25" x14ac:dyDescent="0.25">
      <c r="A380" s="125" t="s">
        <v>1084</v>
      </c>
      <c r="B380">
        <v>532</v>
      </c>
      <c r="C380" s="125">
        <v>54928</v>
      </c>
      <c r="D380" s="125" t="s">
        <v>914</v>
      </c>
      <c r="E380" s="125" t="s">
        <v>151</v>
      </c>
      <c r="F380" s="125" t="s">
        <v>155</v>
      </c>
      <c r="G380" s="125">
        <v>15</v>
      </c>
      <c r="H380" s="125" t="s">
        <v>909</v>
      </c>
      <c r="I380" s="125" t="s">
        <v>82</v>
      </c>
      <c r="J380" s="126">
        <v>28170</v>
      </c>
      <c r="K380" s="126">
        <v>14930</v>
      </c>
      <c r="L380" s="127">
        <v>7.5</v>
      </c>
      <c r="M380" s="126">
        <v>13240</v>
      </c>
      <c r="N380" s="126">
        <v>12247</v>
      </c>
      <c r="O380" s="126" t="s">
        <v>511</v>
      </c>
      <c r="P380" s="127" t="s">
        <v>1097</v>
      </c>
      <c r="Q380" s="129">
        <v>45826</v>
      </c>
      <c r="R380" s="139">
        <v>0.98538194444444449</v>
      </c>
    </row>
    <row r="381" spans="1:18" ht="38.25" x14ac:dyDescent="0.25">
      <c r="A381" s="125" t="s">
        <v>1085</v>
      </c>
      <c r="B381">
        <v>533</v>
      </c>
      <c r="C381" s="125">
        <v>54927</v>
      </c>
      <c r="D381" s="125" t="s">
        <v>914</v>
      </c>
      <c r="E381" s="125" t="s">
        <v>160</v>
      </c>
      <c r="F381" s="125" t="s">
        <v>164</v>
      </c>
      <c r="G381" s="125">
        <v>15</v>
      </c>
      <c r="H381" s="125" t="s">
        <v>909</v>
      </c>
      <c r="I381" s="125" t="s">
        <v>82</v>
      </c>
      <c r="J381" s="126">
        <v>36820</v>
      </c>
      <c r="K381" s="126">
        <v>24060</v>
      </c>
      <c r="L381" s="127">
        <v>7.5</v>
      </c>
      <c r="M381" s="126">
        <v>12760</v>
      </c>
      <c r="N381" s="126">
        <v>11803</v>
      </c>
      <c r="O381" s="126" t="s">
        <v>511</v>
      </c>
      <c r="P381" s="127" t="s">
        <v>1098</v>
      </c>
      <c r="Q381" s="129">
        <v>45826</v>
      </c>
      <c r="R381" s="139">
        <v>0.98456018518518518</v>
      </c>
    </row>
    <row r="382" spans="1:18" ht="38.25" x14ac:dyDescent="0.25">
      <c r="A382" s="125" t="s">
        <v>1086</v>
      </c>
      <c r="B382">
        <v>534</v>
      </c>
      <c r="C382" s="125">
        <v>54928</v>
      </c>
      <c r="D382" s="125" t="s">
        <v>914</v>
      </c>
      <c r="E382" s="125" t="s">
        <v>311</v>
      </c>
      <c r="F382" s="125" t="s">
        <v>315</v>
      </c>
      <c r="G382" s="125">
        <v>15</v>
      </c>
      <c r="H382" s="125" t="s">
        <v>909</v>
      </c>
      <c r="I382" s="125" t="s">
        <v>82</v>
      </c>
      <c r="J382" s="126">
        <v>27850</v>
      </c>
      <c r="K382" s="126">
        <v>15040</v>
      </c>
      <c r="L382" s="127">
        <v>6.5</v>
      </c>
      <c r="M382" s="126">
        <v>12810</v>
      </c>
      <c r="N382" s="126">
        <v>11977.3</v>
      </c>
      <c r="O382" s="126" t="s">
        <v>511</v>
      </c>
      <c r="P382" s="127" t="s">
        <v>1099</v>
      </c>
      <c r="Q382" s="129">
        <v>45827</v>
      </c>
      <c r="R382" s="139">
        <v>8.4733796296296293E-2</v>
      </c>
    </row>
    <row r="383" spans="1:18" ht="38.25" x14ac:dyDescent="0.25">
      <c r="A383" s="125" t="s">
        <v>1087</v>
      </c>
      <c r="B383">
        <v>535</v>
      </c>
      <c r="C383" s="125">
        <v>54929</v>
      </c>
      <c r="D383" s="125" t="s">
        <v>914</v>
      </c>
      <c r="E383" s="125" t="s">
        <v>121</v>
      </c>
      <c r="F383" s="125" t="s">
        <v>125</v>
      </c>
      <c r="G383" s="125">
        <v>15</v>
      </c>
      <c r="H383" s="125" t="s">
        <v>909</v>
      </c>
      <c r="I383" s="125" t="s">
        <v>82</v>
      </c>
      <c r="J383" s="126">
        <v>27380</v>
      </c>
      <c r="K383" s="126">
        <v>14650</v>
      </c>
      <c r="L383" s="127">
        <v>5.5</v>
      </c>
      <c r="M383" s="126">
        <v>12730</v>
      </c>
      <c r="N383" s="126">
        <v>12029.8</v>
      </c>
      <c r="O383" s="126" t="s">
        <v>511</v>
      </c>
      <c r="P383" s="127" t="s">
        <v>1100</v>
      </c>
      <c r="Q383" s="129">
        <v>45827</v>
      </c>
      <c r="R383" s="139">
        <v>0.11918981481481482</v>
      </c>
    </row>
    <row r="384" spans="1:18" ht="38.25" x14ac:dyDescent="0.25">
      <c r="A384" s="125" t="s">
        <v>1088</v>
      </c>
      <c r="B384">
        <v>536</v>
      </c>
      <c r="C384" s="125">
        <v>54929</v>
      </c>
      <c r="D384" s="125" t="s">
        <v>914</v>
      </c>
      <c r="E384" s="125" t="s">
        <v>239</v>
      </c>
      <c r="F384" s="125" t="s">
        <v>243</v>
      </c>
      <c r="G384" s="125">
        <v>15</v>
      </c>
      <c r="H384" s="125" t="s">
        <v>909</v>
      </c>
      <c r="I384" s="125" t="s">
        <v>82</v>
      </c>
      <c r="J384" s="126">
        <v>27650</v>
      </c>
      <c r="K384" s="126">
        <v>14660</v>
      </c>
      <c r="L384" s="127">
        <v>6.5</v>
      </c>
      <c r="M384" s="126">
        <v>12990</v>
      </c>
      <c r="N384" s="126">
        <v>12145.6</v>
      </c>
      <c r="O384" s="126" t="s">
        <v>511</v>
      </c>
      <c r="P384" s="127" t="s">
        <v>1101</v>
      </c>
      <c r="Q384" s="129">
        <v>45827</v>
      </c>
      <c r="R384" s="139">
        <v>0.15976851851851853</v>
      </c>
    </row>
    <row r="385" spans="1:18" ht="38.25" x14ac:dyDescent="0.25">
      <c r="A385" s="125" t="s">
        <v>1089</v>
      </c>
      <c r="B385">
        <v>537</v>
      </c>
      <c r="C385" s="125">
        <v>54930</v>
      </c>
      <c r="D385" s="125" t="s">
        <v>914</v>
      </c>
      <c r="E385" s="125" t="s">
        <v>894</v>
      </c>
      <c r="F385" s="125" t="s">
        <v>895</v>
      </c>
      <c r="G385" s="125">
        <v>15</v>
      </c>
      <c r="H385" s="125" t="s">
        <v>909</v>
      </c>
      <c r="I385" s="125" t="s">
        <v>82</v>
      </c>
      <c r="J385" s="126">
        <v>28680</v>
      </c>
      <c r="K385" s="126">
        <v>14980</v>
      </c>
      <c r="L385" s="127">
        <v>8.5</v>
      </c>
      <c r="M385" s="126">
        <v>13700</v>
      </c>
      <c r="N385" s="126">
        <v>12535.5</v>
      </c>
      <c r="O385" s="126" t="s">
        <v>511</v>
      </c>
      <c r="P385" s="127" t="s">
        <v>1102</v>
      </c>
      <c r="Q385" s="129">
        <v>45827</v>
      </c>
      <c r="R385" s="139">
        <v>0.22207175925925926</v>
      </c>
    </row>
    <row r="386" spans="1:18" ht="38.25" x14ac:dyDescent="0.25">
      <c r="A386" s="125" t="s">
        <v>1090</v>
      </c>
      <c r="B386">
        <v>538</v>
      </c>
      <c r="C386" s="125">
        <v>54930</v>
      </c>
      <c r="D386" s="125" t="s">
        <v>914</v>
      </c>
      <c r="E386" s="125" t="s">
        <v>1312</v>
      </c>
      <c r="F386" s="125" t="s">
        <v>320</v>
      </c>
      <c r="G386" s="125">
        <v>16</v>
      </c>
      <c r="H386" s="125" t="s">
        <v>909</v>
      </c>
      <c r="I386" s="125" t="s">
        <v>82</v>
      </c>
      <c r="J386" s="126">
        <v>27300</v>
      </c>
      <c r="K386" s="126">
        <v>14510</v>
      </c>
      <c r="L386" s="127">
        <v>6.5</v>
      </c>
      <c r="M386" s="126">
        <v>12790</v>
      </c>
      <c r="N386" s="126">
        <v>11958.6</v>
      </c>
      <c r="O386" s="126" t="s">
        <v>511</v>
      </c>
      <c r="P386" s="127" t="s">
        <v>1103</v>
      </c>
      <c r="Q386" s="129">
        <v>45827</v>
      </c>
      <c r="R386" s="139">
        <v>0.25239583333333332</v>
      </c>
    </row>
    <row r="387" spans="1:18" ht="38.25" x14ac:dyDescent="0.25">
      <c r="A387" s="125" t="s">
        <v>1104</v>
      </c>
      <c r="B387">
        <v>539</v>
      </c>
      <c r="C387" s="125">
        <v>54931</v>
      </c>
      <c r="D387" s="125" t="s">
        <v>914</v>
      </c>
      <c r="E387" s="125" t="s">
        <v>244</v>
      </c>
      <c r="F387" s="125" t="s">
        <v>248</v>
      </c>
      <c r="G387" s="125">
        <v>16</v>
      </c>
      <c r="H387" s="125" t="s">
        <v>909</v>
      </c>
      <c r="I387" s="125" t="s">
        <v>82</v>
      </c>
      <c r="J387" s="126">
        <v>28560</v>
      </c>
      <c r="K387" s="126">
        <v>15560</v>
      </c>
      <c r="L387" s="127">
        <v>8.5</v>
      </c>
      <c r="M387" s="126">
        <v>13000</v>
      </c>
      <c r="N387" s="126">
        <v>11895</v>
      </c>
      <c r="O387" s="126" t="s">
        <v>511</v>
      </c>
      <c r="P387" s="127" t="s">
        <v>1127</v>
      </c>
      <c r="Q387" s="129">
        <v>45827</v>
      </c>
      <c r="R387" s="139">
        <v>0.28281250000000002</v>
      </c>
    </row>
    <row r="388" spans="1:18" ht="38.25" x14ac:dyDescent="0.25">
      <c r="A388" s="125" t="s">
        <v>1105</v>
      </c>
      <c r="B388">
        <v>541</v>
      </c>
      <c r="C388" s="125">
        <v>54931</v>
      </c>
      <c r="D388" s="125" t="s">
        <v>914</v>
      </c>
      <c r="E388" s="125" t="s">
        <v>335</v>
      </c>
      <c r="F388" s="125" t="s">
        <v>339</v>
      </c>
      <c r="G388" s="125">
        <v>16</v>
      </c>
      <c r="H388" s="125" t="s">
        <v>909</v>
      </c>
      <c r="I388" s="125" t="s">
        <v>82</v>
      </c>
      <c r="J388" s="126">
        <v>27680</v>
      </c>
      <c r="K388" s="126">
        <v>14660</v>
      </c>
      <c r="L388" s="127">
        <v>7.5</v>
      </c>
      <c r="M388" s="126">
        <v>13020</v>
      </c>
      <c r="N388" s="126">
        <v>12043.5</v>
      </c>
      <c r="O388" s="126" t="s">
        <v>511</v>
      </c>
      <c r="P388" s="127" t="s">
        <v>1128</v>
      </c>
      <c r="Q388" s="129">
        <v>45827</v>
      </c>
      <c r="R388" s="139">
        <v>0.42246527777777776</v>
      </c>
    </row>
    <row r="389" spans="1:18" ht="38.25" x14ac:dyDescent="0.25">
      <c r="A389" s="125" t="s">
        <v>1106</v>
      </c>
      <c r="B389">
        <v>543</v>
      </c>
      <c r="C389" s="125">
        <v>54933</v>
      </c>
      <c r="D389" s="125" t="s">
        <v>914</v>
      </c>
      <c r="E389" s="125" t="s">
        <v>160</v>
      </c>
      <c r="F389" s="125" t="s">
        <v>164</v>
      </c>
      <c r="G389" s="125">
        <v>16</v>
      </c>
      <c r="H389" s="125" t="s">
        <v>909</v>
      </c>
      <c r="I389" s="125" t="s">
        <v>82</v>
      </c>
      <c r="J389" s="126">
        <v>37000</v>
      </c>
      <c r="K389" s="126">
        <v>23960</v>
      </c>
      <c r="L389" s="127">
        <v>6.5</v>
      </c>
      <c r="M389" s="126">
        <v>13040</v>
      </c>
      <c r="N389" s="126">
        <v>12192.4</v>
      </c>
      <c r="O389" s="126" t="s">
        <v>511</v>
      </c>
      <c r="P389" s="127" t="s">
        <v>1129</v>
      </c>
      <c r="Q389" s="129">
        <v>45827</v>
      </c>
      <c r="R389" s="139">
        <v>0.45484953703703701</v>
      </c>
    </row>
    <row r="390" spans="1:18" ht="38.25" x14ac:dyDescent="0.25">
      <c r="A390" s="125" t="s">
        <v>1107</v>
      </c>
      <c r="B390">
        <v>544</v>
      </c>
      <c r="C390" s="125">
        <v>54934</v>
      </c>
      <c r="D390" s="125" t="s">
        <v>914</v>
      </c>
      <c r="E390" s="125" t="s">
        <v>151</v>
      </c>
      <c r="F390" s="125" t="s">
        <v>155</v>
      </c>
      <c r="G390" s="125">
        <v>16</v>
      </c>
      <c r="H390" s="125" t="s">
        <v>909</v>
      </c>
      <c r="I390" s="125" t="s">
        <v>82</v>
      </c>
      <c r="J390" s="126">
        <v>28150</v>
      </c>
      <c r="K390" s="126">
        <v>14960</v>
      </c>
      <c r="L390" s="127">
        <v>8.5</v>
      </c>
      <c r="M390" s="126">
        <v>13190</v>
      </c>
      <c r="N390" s="126">
        <v>12068.8</v>
      </c>
      <c r="O390" s="126" t="s">
        <v>511</v>
      </c>
      <c r="P390" s="127" t="s">
        <v>1130</v>
      </c>
      <c r="Q390" s="129">
        <v>45827</v>
      </c>
      <c r="R390" s="139">
        <v>0.50878472222222226</v>
      </c>
    </row>
    <row r="391" spans="1:18" ht="38.25" x14ac:dyDescent="0.25">
      <c r="A391" s="125" t="s">
        <v>1108</v>
      </c>
      <c r="B391">
        <v>547</v>
      </c>
      <c r="C391" s="125">
        <v>54934</v>
      </c>
      <c r="D391" s="125" t="s">
        <v>914</v>
      </c>
      <c r="E391" s="125" t="s">
        <v>121</v>
      </c>
      <c r="F391" s="125" t="s">
        <v>125</v>
      </c>
      <c r="G391" s="125">
        <v>16</v>
      </c>
      <c r="H391" s="125" t="s">
        <v>909</v>
      </c>
      <c r="I391" s="125" t="s">
        <v>82</v>
      </c>
      <c r="J391" s="126">
        <v>27940</v>
      </c>
      <c r="K391" s="126">
        <v>14570</v>
      </c>
      <c r="L391" s="127">
        <v>9.5</v>
      </c>
      <c r="M391" s="126">
        <v>13370</v>
      </c>
      <c r="N391" s="126">
        <v>12099.8</v>
      </c>
      <c r="O391" s="126" t="s">
        <v>511</v>
      </c>
      <c r="P391" s="127" t="s">
        <v>1131</v>
      </c>
      <c r="Q391" s="129">
        <v>45827</v>
      </c>
      <c r="R391" s="139">
        <v>0.53642361111111114</v>
      </c>
    </row>
    <row r="392" spans="1:18" ht="38.25" x14ac:dyDescent="0.25">
      <c r="A392" s="125" t="s">
        <v>1109</v>
      </c>
      <c r="B392">
        <v>549</v>
      </c>
      <c r="C392" s="125">
        <v>54934</v>
      </c>
      <c r="D392" s="125" t="s">
        <v>914</v>
      </c>
      <c r="E392" s="125" t="s">
        <v>311</v>
      </c>
      <c r="F392" s="125" t="s">
        <v>315</v>
      </c>
      <c r="G392" s="125">
        <v>16</v>
      </c>
      <c r="H392" s="125" t="s">
        <v>909</v>
      </c>
      <c r="I392" s="125" t="s">
        <v>82</v>
      </c>
      <c r="J392" s="126">
        <v>28260</v>
      </c>
      <c r="K392" s="126">
        <v>14960</v>
      </c>
      <c r="L392" s="127">
        <v>13</v>
      </c>
      <c r="M392" s="126">
        <v>13300</v>
      </c>
      <c r="N392" s="126">
        <v>11571</v>
      </c>
      <c r="O392" s="126" t="s">
        <v>511</v>
      </c>
      <c r="P392" s="127" t="s">
        <v>1132</v>
      </c>
      <c r="Q392" s="129">
        <v>45827</v>
      </c>
      <c r="R392" s="139">
        <v>0.57442129629629635</v>
      </c>
    </row>
    <row r="393" spans="1:18" ht="38.25" x14ac:dyDescent="0.25">
      <c r="A393" s="125" t="s">
        <v>1110</v>
      </c>
      <c r="B393">
        <v>551</v>
      </c>
      <c r="C393" s="125">
        <v>54936</v>
      </c>
      <c r="D393" s="125" t="s">
        <v>914</v>
      </c>
      <c r="E393" s="125" t="s">
        <v>1152</v>
      </c>
      <c r="F393" s="125" t="s">
        <v>119</v>
      </c>
      <c r="G393" s="125">
        <v>16</v>
      </c>
      <c r="H393" s="125" t="s">
        <v>909</v>
      </c>
      <c r="I393" s="125" t="s">
        <v>82</v>
      </c>
      <c r="J393" s="126">
        <v>34460</v>
      </c>
      <c r="K393" s="126">
        <v>21030</v>
      </c>
      <c r="L393" s="127">
        <v>12.5</v>
      </c>
      <c r="M393" s="126">
        <v>13430</v>
      </c>
      <c r="N393" s="126">
        <v>11751.2</v>
      </c>
      <c r="O393" s="126" t="s">
        <v>511</v>
      </c>
      <c r="P393" s="127" t="s">
        <v>1133</v>
      </c>
      <c r="Q393" s="129">
        <v>45827</v>
      </c>
      <c r="R393" s="139">
        <v>0.7402199074074074</v>
      </c>
    </row>
    <row r="394" spans="1:18" ht="38.25" x14ac:dyDescent="0.25">
      <c r="A394" s="125" t="s">
        <v>1111</v>
      </c>
      <c r="B394">
        <v>550</v>
      </c>
      <c r="C394" s="125">
        <v>54935</v>
      </c>
      <c r="D394" s="125" t="s">
        <v>914</v>
      </c>
      <c r="E394" s="125" t="s">
        <v>239</v>
      </c>
      <c r="F394" s="125" t="s">
        <v>243</v>
      </c>
      <c r="G394" s="125">
        <v>16</v>
      </c>
      <c r="H394" s="125" t="s">
        <v>909</v>
      </c>
      <c r="I394" s="125" t="s">
        <v>82</v>
      </c>
      <c r="J394" s="126">
        <v>27940</v>
      </c>
      <c r="K394" s="126">
        <v>14590</v>
      </c>
      <c r="L394" s="127">
        <v>9.5</v>
      </c>
      <c r="M394" s="126">
        <v>13350</v>
      </c>
      <c r="N394" s="126">
        <v>12081.7</v>
      </c>
      <c r="O394" s="126" t="s">
        <v>511</v>
      </c>
      <c r="P394" s="127" t="s">
        <v>1134</v>
      </c>
      <c r="Q394" s="129">
        <v>45827</v>
      </c>
      <c r="R394" s="139">
        <v>0.76085648148148144</v>
      </c>
    </row>
    <row r="395" spans="1:18" ht="38.25" x14ac:dyDescent="0.25">
      <c r="A395" s="125" t="s">
        <v>1112</v>
      </c>
      <c r="B395">
        <v>552</v>
      </c>
      <c r="C395" s="125">
        <v>54936</v>
      </c>
      <c r="D395" s="125" t="s">
        <v>914</v>
      </c>
      <c r="E395" s="125" t="s">
        <v>212</v>
      </c>
      <c r="F395" s="125" t="s">
        <v>216</v>
      </c>
      <c r="G395" s="125">
        <v>16</v>
      </c>
      <c r="H395" s="125" t="s">
        <v>909</v>
      </c>
      <c r="I395" s="125" t="s">
        <v>82</v>
      </c>
      <c r="J395" s="126">
        <v>27200</v>
      </c>
      <c r="K395" s="126">
        <v>13800</v>
      </c>
      <c r="L395" s="127">
        <v>10.5</v>
      </c>
      <c r="M395" s="126">
        <v>13400</v>
      </c>
      <c r="N395" s="126">
        <v>11993</v>
      </c>
      <c r="O395" s="126" t="s">
        <v>511</v>
      </c>
      <c r="P395" s="127" t="s">
        <v>1135</v>
      </c>
      <c r="Q395" s="129">
        <v>45827</v>
      </c>
      <c r="R395" s="139">
        <v>0.78012731481481479</v>
      </c>
    </row>
    <row r="396" spans="1:18" ht="38.25" x14ac:dyDescent="0.25">
      <c r="A396" s="125" t="s">
        <v>1113</v>
      </c>
      <c r="B396">
        <v>553</v>
      </c>
      <c r="C396" s="125">
        <v>54937</v>
      </c>
      <c r="D396" s="125" t="s">
        <v>914</v>
      </c>
      <c r="E396" s="125" t="s">
        <v>244</v>
      </c>
      <c r="F396" s="125" t="s">
        <v>248</v>
      </c>
      <c r="G396" s="125">
        <v>16</v>
      </c>
      <c r="H396" s="125" t="s">
        <v>909</v>
      </c>
      <c r="I396" s="125" t="s">
        <v>82</v>
      </c>
      <c r="J396" s="126">
        <v>29170</v>
      </c>
      <c r="K396" s="126">
        <v>15500</v>
      </c>
      <c r="L396" s="127">
        <v>7.5</v>
      </c>
      <c r="M396" s="126">
        <v>13670</v>
      </c>
      <c r="N396" s="126">
        <v>12644.7</v>
      </c>
      <c r="O396" s="126" t="s">
        <v>511</v>
      </c>
      <c r="P396" s="127" t="s">
        <v>1136</v>
      </c>
      <c r="Q396" s="129">
        <v>45827</v>
      </c>
      <c r="R396" s="139">
        <v>0.83326388888888892</v>
      </c>
    </row>
    <row r="397" spans="1:18" ht="38.25" x14ac:dyDescent="0.25">
      <c r="A397" s="125" t="s">
        <v>1114</v>
      </c>
      <c r="B397">
        <v>555</v>
      </c>
      <c r="C397" s="125">
        <v>54937</v>
      </c>
      <c r="D397" s="125" t="s">
        <v>914</v>
      </c>
      <c r="E397" s="125" t="s">
        <v>894</v>
      </c>
      <c r="F397" s="125" t="s">
        <v>895</v>
      </c>
      <c r="G397" s="125">
        <v>16</v>
      </c>
      <c r="H397" s="125" t="s">
        <v>909</v>
      </c>
      <c r="I397" s="125" t="s">
        <v>82</v>
      </c>
      <c r="J397" s="126">
        <v>28460</v>
      </c>
      <c r="K397" s="126">
        <v>14900</v>
      </c>
      <c r="L397" s="127">
        <v>6.5</v>
      </c>
      <c r="M397" s="126">
        <v>13560</v>
      </c>
      <c r="N397" s="126">
        <v>12678.6</v>
      </c>
      <c r="O397" s="126" t="s">
        <v>511</v>
      </c>
      <c r="P397" s="127" t="s">
        <v>1137</v>
      </c>
      <c r="Q397" s="129">
        <v>45827</v>
      </c>
      <c r="R397" s="139">
        <v>0.900787037037037</v>
      </c>
    </row>
    <row r="398" spans="1:18" ht="38.25" x14ac:dyDescent="0.25">
      <c r="A398" s="125" t="s">
        <v>1115</v>
      </c>
      <c r="B398">
        <v>554</v>
      </c>
      <c r="C398" s="125">
        <v>54937</v>
      </c>
      <c r="D398" s="125" t="s">
        <v>914</v>
      </c>
      <c r="E398" s="125" t="s">
        <v>1312</v>
      </c>
      <c r="F398" s="125" t="s">
        <v>320</v>
      </c>
      <c r="G398" s="125">
        <v>16</v>
      </c>
      <c r="H398" s="125" t="s">
        <v>909</v>
      </c>
      <c r="I398" s="125" t="s">
        <v>82</v>
      </c>
      <c r="J398" s="126">
        <v>27920</v>
      </c>
      <c r="K398" s="126">
        <v>14400</v>
      </c>
      <c r="L398" s="127">
        <v>9.5</v>
      </c>
      <c r="M398" s="126">
        <v>13520</v>
      </c>
      <c r="N398" s="126">
        <v>12235.6</v>
      </c>
      <c r="O398" s="126" t="s">
        <v>511</v>
      </c>
      <c r="P398" s="127" t="s">
        <v>1138</v>
      </c>
      <c r="Q398" s="129">
        <v>45827</v>
      </c>
      <c r="R398" s="139">
        <v>0.9205092592592593</v>
      </c>
    </row>
    <row r="399" spans="1:18" ht="38.25" x14ac:dyDescent="0.25">
      <c r="A399" s="125" t="s">
        <v>1116</v>
      </c>
      <c r="B399">
        <v>556</v>
      </c>
      <c r="C399" s="125">
        <v>54938</v>
      </c>
      <c r="D399" s="125" t="s">
        <v>914</v>
      </c>
      <c r="E399" s="125" t="s">
        <v>335</v>
      </c>
      <c r="F399" s="125" t="s">
        <v>339</v>
      </c>
      <c r="G399" s="125">
        <v>16</v>
      </c>
      <c r="H399" s="125" t="s">
        <v>909</v>
      </c>
      <c r="I399" s="125" t="s">
        <v>82</v>
      </c>
      <c r="J399" s="126">
        <v>28110</v>
      </c>
      <c r="K399" s="126">
        <v>14730</v>
      </c>
      <c r="L399" s="127">
        <v>8.5</v>
      </c>
      <c r="M399" s="126">
        <v>13380</v>
      </c>
      <c r="N399" s="126">
        <v>12242.7</v>
      </c>
      <c r="O399" s="126" t="s">
        <v>511</v>
      </c>
      <c r="P399" s="127" t="s">
        <v>1139</v>
      </c>
      <c r="Q399" s="129">
        <v>45827</v>
      </c>
      <c r="R399" s="139">
        <v>0.90204861111111112</v>
      </c>
    </row>
    <row r="400" spans="1:18" ht="38.25" x14ac:dyDescent="0.25">
      <c r="A400" s="125" t="s">
        <v>1117</v>
      </c>
      <c r="B400">
        <v>557</v>
      </c>
      <c r="C400" s="125">
        <v>54938</v>
      </c>
      <c r="D400" s="125" t="s">
        <v>914</v>
      </c>
      <c r="E400" s="125" t="s">
        <v>151</v>
      </c>
      <c r="F400" s="125" t="s">
        <v>155</v>
      </c>
      <c r="G400" s="125">
        <v>16</v>
      </c>
      <c r="H400" s="125" t="s">
        <v>909</v>
      </c>
      <c r="I400" s="125" t="s">
        <v>82</v>
      </c>
      <c r="J400" s="126">
        <v>28060</v>
      </c>
      <c r="K400" s="126">
        <v>14890</v>
      </c>
      <c r="L400" s="127">
        <v>6.5</v>
      </c>
      <c r="M400" s="126">
        <v>13170</v>
      </c>
      <c r="N400" s="126">
        <v>12313.9</v>
      </c>
      <c r="O400" s="126" t="s">
        <v>550</v>
      </c>
      <c r="P400" s="127" t="s">
        <v>1140</v>
      </c>
      <c r="Q400" s="129">
        <v>45827</v>
      </c>
      <c r="R400" s="139">
        <v>0.9380208333333333</v>
      </c>
    </row>
    <row r="401" spans="1:18" ht="38.25" x14ac:dyDescent="0.25">
      <c r="A401" s="125" t="s">
        <v>1118</v>
      </c>
      <c r="B401">
        <v>559</v>
      </c>
      <c r="C401" s="125">
        <v>54939</v>
      </c>
      <c r="D401" s="125" t="s">
        <v>914</v>
      </c>
      <c r="E401" s="125" t="s">
        <v>311</v>
      </c>
      <c r="F401" s="125" t="s">
        <v>315</v>
      </c>
      <c r="G401" s="125">
        <v>16</v>
      </c>
      <c r="H401" s="125" t="s">
        <v>909</v>
      </c>
      <c r="I401" s="125" t="s">
        <v>82</v>
      </c>
      <c r="J401" s="126">
        <v>28140</v>
      </c>
      <c r="K401" s="126">
        <v>15020</v>
      </c>
      <c r="L401" s="127">
        <v>5.5</v>
      </c>
      <c r="M401" s="126">
        <v>13120</v>
      </c>
      <c r="N401" s="126">
        <v>12398.4</v>
      </c>
      <c r="O401" s="126" t="s">
        <v>550</v>
      </c>
      <c r="P401" s="127" t="s">
        <v>1141</v>
      </c>
      <c r="Q401" s="129">
        <v>45827</v>
      </c>
      <c r="R401" s="139">
        <v>0.98474537037037035</v>
      </c>
    </row>
    <row r="402" spans="1:18" ht="38.25" x14ac:dyDescent="0.25">
      <c r="A402" s="125" t="s">
        <v>1119</v>
      </c>
      <c r="B402">
        <v>558</v>
      </c>
      <c r="C402" s="125">
        <v>54939</v>
      </c>
      <c r="D402" s="125" t="s">
        <v>914</v>
      </c>
      <c r="E402" s="125" t="s">
        <v>160</v>
      </c>
      <c r="F402" s="125" t="s">
        <v>164</v>
      </c>
      <c r="G402" s="125">
        <v>16</v>
      </c>
      <c r="H402" s="125" t="s">
        <v>909</v>
      </c>
      <c r="I402" s="125" t="s">
        <v>82</v>
      </c>
      <c r="J402" s="126">
        <v>37150</v>
      </c>
      <c r="K402" s="126">
        <v>24140</v>
      </c>
      <c r="L402" s="127">
        <v>6.5</v>
      </c>
      <c r="M402" s="126">
        <v>13010</v>
      </c>
      <c r="N402" s="126">
        <v>12164.3</v>
      </c>
      <c r="O402" s="126" t="s">
        <v>550</v>
      </c>
      <c r="P402" s="127" t="s">
        <v>1142</v>
      </c>
      <c r="Q402" s="129">
        <v>45827</v>
      </c>
      <c r="R402" s="139">
        <v>0.96224537037037039</v>
      </c>
    </row>
    <row r="403" spans="1:18" ht="38.25" x14ac:dyDescent="0.25">
      <c r="A403" s="125" t="s">
        <v>1120</v>
      </c>
      <c r="B403">
        <v>561</v>
      </c>
      <c r="C403" s="125">
        <v>54940</v>
      </c>
      <c r="D403" s="125" t="s">
        <v>914</v>
      </c>
      <c r="E403" s="125" t="s">
        <v>347</v>
      </c>
      <c r="F403" s="125" t="s">
        <v>351</v>
      </c>
      <c r="G403" s="125">
        <v>16</v>
      </c>
      <c r="H403" s="125" t="s">
        <v>909</v>
      </c>
      <c r="I403" s="125" t="s">
        <v>82</v>
      </c>
      <c r="J403" s="126">
        <v>31800</v>
      </c>
      <c r="K403" s="126">
        <v>18680</v>
      </c>
      <c r="L403" s="127">
        <v>6.5</v>
      </c>
      <c r="M403" s="126">
        <v>13120</v>
      </c>
      <c r="N403" s="126">
        <v>12267.2</v>
      </c>
      <c r="O403" s="126" t="s">
        <v>550</v>
      </c>
      <c r="P403" s="127" t="s">
        <v>1143</v>
      </c>
      <c r="Q403" s="129">
        <v>45828</v>
      </c>
      <c r="R403" s="139">
        <v>0.27886574074074072</v>
      </c>
    </row>
    <row r="404" spans="1:18" ht="38.25" x14ac:dyDescent="0.25">
      <c r="A404" s="125" t="s">
        <v>1121</v>
      </c>
      <c r="B404">
        <v>560</v>
      </c>
      <c r="C404" s="125">
        <v>54940</v>
      </c>
      <c r="D404" s="125" t="s">
        <v>914</v>
      </c>
      <c r="E404" s="125" t="s">
        <v>239</v>
      </c>
      <c r="F404" s="125" t="s">
        <v>243</v>
      </c>
      <c r="G404" s="125">
        <v>16</v>
      </c>
      <c r="H404" s="125" t="s">
        <v>909</v>
      </c>
      <c r="I404" s="125" t="s">
        <v>82</v>
      </c>
      <c r="J404" s="126">
        <v>27710</v>
      </c>
      <c r="K404" s="126">
        <v>14530</v>
      </c>
      <c r="L404" s="127">
        <v>5.5</v>
      </c>
      <c r="M404" s="126">
        <v>13180</v>
      </c>
      <c r="N404" s="126">
        <v>12455.1</v>
      </c>
      <c r="O404" s="126" t="s">
        <v>550</v>
      </c>
      <c r="P404" s="127" t="s">
        <v>1144</v>
      </c>
      <c r="Q404" s="129">
        <v>45828</v>
      </c>
      <c r="R404" s="139">
        <v>0.32900462962962962</v>
      </c>
    </row>
    <row r="405" spans="1:18" ht="38.25" x14ac:dyDescent="0.25">
      <c r="A405" s="125" t="s">
        <v>1122</v>
      </c>
      <c r="B405">
        <v>562</v>
      </c>
      <c r="C405" s="125">
        <v>54941</v>
      </c>
      <c r="D405" s="125" t="s">
        <v>914</v>
      </c>
      <c r="E405" s="125" t="s">
        <v>212</v>
      </c>
      <c r="F405" s="125" t="s">
        <v>216</v>
      </c>
      <c r="G405" s="125">
        <v>16</v>
      </c>
      <c r="H405" s="125" t="s">
        <v>909</v>
      </c>
      <c r="I405" s="125" t="s">
        <v>82</v>
      </c>
      <c r="J405" s="126">
        <v>27470</v>
      </c>
      <c r="K405" s="126">
        <v>13870</v>
      </c>
      <c r="L405" s="127">
        <v>5.5</v>
      </c>
      <c r="M405" s="126">
        <v>13600</v>
      </c>
      <c r="N405" s="126">
        <v>12852</v>
      </c>
      <c r="O405" s="126" t="s">
        <v>550</v>
      </c>
      <c r="P405" s="127" t="s">
        <v>1145</v>
      </c>
      <c r="Q405" s="129">
        <v>45828</v>
      </c>
      <c r="R405" s="139">
        <v>0.33650462962962963</v>
      </c>
    </row>
    <row r="406" spans="1:18" ht="38.25" x14ac:dyDescent="0.25">
      <c r="A406" s="125" t="s">
        <v>1123</v>
      </c>
      <c r="B406">
        <v>564</v>
      </c>
      <c r="C406" s="125">
        <v>54942</v>
      </c>
      <c r="D406" s="125" t="s">
        <v>914</v>
      </c>
      <c r="E406" s="125" t="s">
        <v>1152</v>
      </c>
      <c r="F406" s="125" t="s">
        <v>119</v>
      </c>
      <c r="G406" s="125">
        <v>14</v>
      </c>
      <c r="H406" s="125" t="s">
        <v>909</v>
      </c>
      <c r="I406" s="125" t="s">
        <v>82</v>
      </c>
      <c r="J406" s="126">
        <v>34090</v>
      </c>
      <c r="K406" s="126">
        <v>21010</v>
      </c>
      <c r="L406" s="127">
        <v>5.5</v>
      </c>
      <c r="M406" s="126">
        <v>13080</v>
      </c>
      <c r="N406" s="126">
        <v>12360.6</v>
      </c>
      <c r="O406" s="126" t="s">
        <v>550</v>
      </c>
      <c r="P406" s="127" t="s">
        <v>1146</v>
      </c>
      <c r="Q406" s="129">
        <v>45828</v>
      </c>
      <c r="R406" s="139">
        <v>0.44208333333333333</v>
      </c>
    </row>
    <row r="407" spans="1:18" ht="38.25" x14ac:dyDescent="0.25">
      <c r="A407" s="125" t="s">
        <v>1124</v>
      </c>
      <c r="B407">
        <v>563</v>
      </c>
      <c r="C407" s="125">
        <v>54941</v>
      </c>
      <c r="D407" s="125" t="s">
        <v>914</v>
      </c>
      <c r="E407" s="125" t="s">
        <v>244</v>
      </c>
      <c r="F407" s="125" t="s">
        <v>248</v>
      </c>
      <c r="G407" s="125">
        <v>14</v>
      </c>
      <c r="H407" s="125" t="s">
        <v>909</v>
      </c>
      <c r="I407" s="125" t="s">
        <v>82</v>
      </c>
      <c r="J407" s="126">
        <v>28800</v>
      </c>
      <c r="K407" s="126">
        <v>15600</v>
      </c>
      <c r="L407" s="127">
        <v>5.5</v>
      </c>
      <c r="M407" s="126">
        <v>13200</v>
      </c>
      <c r="N407" s="126">
        <v>12474</v>
      </c>
      <c r="O407" s="126" t="s">
        <v>833</v>
      </c>
      <c r="P407" s="127" t="s">
        <v>1147</v>
      </c>
      <c r="Q407" s="129">
        <v>45828</v>
      </c>
      <c r="R407" s="139">
        <v>0.46825231481481483</v>
      </c>
    </row>
    <row r="408" spans="1:18" ht="38.25" x14ac:dyDescent="0.25">
      <c r="A408" s="125" t="s">
        <v>1125</v>
      </c>
      <c r="B408">
        <v>566</v>
      </c>
      <c r="C408" s="125">
        <v>54943</v>
      </c>
      <c r="D408" s="125" t="s">
        <v>914</v>
      </c>
      <c r="E408" s="125" t="s">
        <v>311</v>
      </c>
      <c r="F408" s="125" t="s">
        <v>315</v>
      </c>
      <c r="G408" s="125">
        <v>14</v>
      </c>
      <c r="H408" s="125" t="s">
        <v>909</v>
      </c>
      <c r="I408" s="125" t="s">
        <v>82</v>
      </c>
      <c r="J408" s="126">
        <v>28200</v>
      </c>
      <c r="K408" s="126">
        <v>14990</v>
      </c>
      <c r="L408" s="127">
        <v>6.5</v>
      </c>
      <c r="M408" s="126">
        <v>13210</v>
      </c>
      <c r="N408" s="126">
        <v>12351.3</v>
      </c>
      <c r="O408" s="126" t="s">
        <v>550</v>
      </c>
      <c r="P408" s="127" t="s">
        <v>1148</v>
      </c>
      <c r="Q408" s="129">
        <v>45828</v>
      </c>
      <c r="R408" s="139">
        <v>0.56064814814814812</v>
      </c>
    </row>
    <row r="409" spans="1:18" ht="38.25" x14ac:dyDescent="0.25">
      <c r="A409" s="125" t="s">
        <v>1126</v>
      </c>
      <c r="B409">
        <v>565</v>
      </c>
      <c r="C409" s="125">
        <v>54943</v>
      </c>
      <c r="D409" s="125" t="s">
        <v>914</v>
      </c>
      <c r="E409" s="125" t="s">
        <v>335</v>
      </c>
      <c r="F409" s="125" t="s">
        <v>339</v>
      </c>
      <c r="G409" s="125">
        <v>14</v>
      </c>
      <c r="H409" s="125" t="s">
        <v>909</v>
      </c>
      <c r="I409" s="125" t="s">
        <v>82</v>
      </c>
      <c r="J409" s="126">
        <v>27720</v>
      </c>
      <c r="K409" s="126">
        <v>14720</v>
      </c>
      <c r="L409" s="127">
        <v>6.5</v>
      </c>
      <c r="M409" s="126">
        <v>13000</v>
      </c>
      <c r="N409" s="126">
        <v>12155</v>
      </c>
      <c r="O409" s="126" t="s">
        <v>550</v>
      </c>
      <c r="P409" s="127" t="s">
        <v>1149</v>
      </c>
      <c r="Q409" s="129">
        <v>45828</v>
      </c>
      <c r="R409" s="139">
        <v>0.58974537037037034</v>
      </c>
    </row>
    <row r="410" spans="1:18" ht="38.25" x14ac:dyDescent="0.25">
      <c r="A410" s="125" t="s">
        <v>1170</v>
      </c>
      <c r="B410">
        <v>573</v>
      </c>
      <c r="C410" s="125">
        <v>54944</v>
      </c>
      <c r="D410" s="125" t="s">
        <v>914</v>
      </c>
      <c r="E410" s="125" t="s">
        <v>151</v>
      </c>
      <c r="F410" s="125" t="s">
        <v>155</v>
      </c>
      <c r="G410" s="125">
        <v>14</v>
      </c>
      <c r="H410" s="125" t="s">
        <v>909</v>
      </c>
      <c r="I410" s="125" t="s">
        <v>82</v>
      </c>
      <c r="J410" s="126">
        <v>27940</v>
      </c>
      <c r="K410" s="126">
        <v>14850</v>
      </c>
      <c r="L410" s="127">
        <v>6.5</v>
      </c>
      <c r="M410" s="126">
        <v>13090</v>
      </c>
      <c r="N410" s="126">
        <v>12239.1</v>
      </c>
      <c r="O410" s="126" t="s">
        <v>550</v>
      </c>
      <c r="P410" s="127" t="s">
        <v>1217</v>
      </c>
      <c r="Q410" s="129">
        <v>45828</v>
      </c>
      <c r="R410" s="139">
        <v>0.7201157407407407</v>
      </c>
    </row>
    <row r="411" spans="1:18" ht="38.25" x14ac:dyDescent="0.25">
      <c r="A411" s="125" t="s">
        <v>1171</v>
      </c>
      <c r="B411">
        <v>570</v>
      </c>
      <c r="C411" s="125">
        <v>54944</v>
      </c>
      <c r="D411" s="125" t="s">
        <v>914</v>
      </c>
      <c r="E411" s="125" t="s">
        <v>160</v>
      </c>
      <c r="F411" s="125" t="s">
        <v>164</v>
      </c>
      <c r="G411" s="125">
        <v>14</v>
      </c>
      <c r="H411" s="125" t="s">
        <v>909</v>
      </c>
      <c r="I411" s="125" t="s">
        <v>82</v>
      </c>
      <c r="J411" s="126">
        <v>37320</v>
      </c>
      <c r="K411" s="126">
        <v>24060</v>
      </c>
      <c r="L411" s="127">
        <v>4.5</v>
      </c>
      <c r="M411" s="126">
        <v>13260</v>
      </c>
      <c r="N411" s="126">
        <v>12663.3</v>
      </c>
      <c r="O411" s="126" t="s">
        <v>833</v>
      </c>
      <c r="P411" s="127" t="s">
        <v>1218</v>
      </c>
      <c r="Q411" s="129">
        <v>45828</v>
      </c>
      <c r="R411" s="139">
        <v>0.72506944444444443</v>
      </c>
    </row>
    <row r="412" spans="1:18" ht="38.25" x14ac:dyDescent="0.25">
      <c r="A412" s="125" t="s">
        <v>1172</v>
      </c>
      <c r="B412">
        <v>577</v>
      </c>
      <c r="C412" s="125">
        <v>54945</v>
      </c>
      <c r="D412" s="125" t="s">
        <v>914</v>
      </c>
      <c r="E412" s="125" t="s">
        <v>347</v>
      </c>
      <c r="F412" s="125" t="s">
        <v>351</v>
      </c>
      <c r="G412" s="125">
        <v>14</v>
      </c>
      <c r="H412" s="125" t="s">
        <v>909</v>
      </c>
      <c r="I412" s="125" t="s">
        <v>82</v>
      </c>
      <c r="J412" s="126">
        <v>31390</v>
      </c>
      <c r="K412" s="126">
        <v>18620</v>
      </c>
      <c r="L412" s="127">
        <v>5.5</v>
      </c>
      <c r="M412" s="126">
        <v>12770</v>
      </c>
      <c r="N412" s="126">
        <v>12067.6</v>
      </c>
      <c r="O412" s="126" t="s">
        <v>550</v>
      </c>
      <c r="P412" s="127" t="s">
        <v>1219</v>
      </c>
      <c r="Q412" s="129">
        <v>45828</v>
      </c>
      <c r="R412" s="139">
        <v>0.76621527777777776</v>
      </c>
    </row>
    <row r="413" spans="1:18" ht="38.25" x14ac:dyDescent="0.25">
      <c r="A413" s="125" t="s">
        <v>1173</v>
      </c>
      <c r="B413">
        <v>574</v>
      </c>
      <c r="C413" s="125">
        <v>54944</v>
      </c>
      <c r="D413" s="125" t="s">
        <v>914</v>
      </c>
      <c r="E413" s="125" t="s">
        <v>121</v>
      </c>
      <c r="F413" s="125" t="s">
        <v>125</v>
      </c>
      <c r="G413" s="125">
        <v>14</v>
      </c>
      <c r="H413" s="125" t="s">
        <v>909</v>
      </c>
      <c r="I413" s="125" t="s">
        <v>82</v>
      </c>
      <c r="J413" s="126">
        <v>27580</v>
      </c>
      <c r="K413" s="126">
        <v>14620</v>
      </c>
      <c r="L413" s="127">
        <v>3.5</v>
      </c>
      <c r="M413" s="126">
        <v>12960</v>
      </c>
      <c r="N413" s="126">
        <v>12506.4</v>
      </c>
      <c r="O413" s="126" t="s">
        <v>550</v>
      </c>
      <c r="P413" s="127" t="s">
        <v>1220</v>
      </c>
      <c r="Q413" s="129">
        <v>45828</v>
      </c>
      <c r="R413" s="139">
        <v>0.86302083333333335</v>
      </c>
    </row>
    <row r="414" spans="1:18" ht="38.25" x14ac:dyDescent="0.25">
      <c r="A414" s="125" t="s">
        <v>1174</v>
      </c>
      <c r="B414">
        <v>579</v>
      </c>
      <c r="C414" s="125">
        <v>54945</v>
      </c>
      <c r="D414" s="125" t="s">
        <v>914</v>
      </c>
      <c r="E414" s="125" t="s">
        <v>212</v>
      </c>
      <c r="F414" s="125" t="s">
        <v>216</v>
      </c>
      <c r="G414" s="125">
        <v>14</v>
      </c>
      <c r="H414" s="125" t="s">
        <v>909</v>
      </c>
      <c r="I414" s="125" t="s">
        <v>82</v>
      </c>
      <c r="J414" s="126">
        <v>26510</v>
      </c>
      <c r="K414" s="126">
        <v>13850</v>
      </c>
      <c r="L414" s="127">
        <v>6.5</v>
      </c>
      <c r="M414" s="126">
        <v>12660</v>
      </c>
      <c r="N414" s="126">
        <v>11837.1</v>
      </c>
      <c r="O414" s="126" t="s">
        <v>550</v>
      </c>
      <c r="P414" s="127" t="s">
        <v>1221</v>
      </c>
      <c r="Q414" s="129">
        <v>45828</v>
      </c>
      <c r="R414" s="139">
        <v>0.87944444444444447</v>
      </c>
    </row>
    <row r="415" spans="1:18" ht="38.25" x14ac:dyDescent="0.25">
      <c r="A415" s="125" t="s">
        <v>1175</v>
      </c>
      <c r="B415">
        <v>580</v>
      </c>
      <c r="C415" s="125">
        <v>54946</v>
      </c>
      <c r="D415" s="125" t="s">
        <v>914</v>
      </c>
      <c r="E415" s="125" t="s">
        <v>239</v>
      </c>
      <c r="F415" s="125" t="s">
        <v>243</v>
      </c>
      <c r="G415" s="125">
        <v>14</v>
      </c>
      <c r="H415" s="125" t="s">
        <v>909</v>
      </c>
      <c r="I415" s="125" t="s">
        <v>82</v>
      </c>
      <c r="J415" s="126">
        <v>27160</v>
      </c>
      <c r="K415" s="126">
        <v>14540</v>
      </c>
      <c r="L415" s="127">
        <v>7.5</v>
      </c>
      <c r="M415" s="126">
        <v>12620</v>
      </c>
      <c r="N415" s="126">
        <v>11673.5</v>
      </c>
      <c r="O415" s="126" t="s">
        <v>550</v>
      </c>
      <c r="P415" s="127" t="s">
        <v>1222</v>
      </c>
      <c r="Q415" s="129">
        <v>45828</v>
      </c>
      <c r="R415" s="139">
        <v>0.90091435185185187</v>
      </c>
    </row>
    <row r="416" spans="1:18" ht="38.25" x14ac:dyDescent="0.25">
      <c r="A416" s="125" t="s">
        <v>1176</v>
      </c>
      <c r="B416">
        <v>582</v>
      </c>
      <c r="C416" s="125">
        <v>54947</v>
      </c>
      <c r="D416" s="125" t="s">
        <v>914</v>
      </c>
      <c r="E416" s="125" t="s">
        <v>244</v>
      </c>
      <c r="F416" s="125" t="s">
        <v>248</v>
      </c>
      <c r="G416" s="125">
        <v>14</v>
      </c>
      <c r="H416" s="125" t="s">
        <v>909</v>
      </c>
      <c r="I416" s="125" t="s">
        <v>82</v>
      </c>
      <c r="J416" s="126">
        <v>28420</v>
      </c>
      <c r="K416" s="126">
        <v>15670</v>
      </c>
      <c r="L416" s="127">
        <v>7.5</v>
      </c>
      <c r="M416" s="126">
        <v>12750</v>
      </c>
      <c r="N416" s="126">
        <v>11793.7</v>
      </c>
      <c r="O416" s="126" t="s">
        <v>550</v>
      </c>
      <c r="P416" s="127" t="s">
        <v>1223</v>
      </c>
      <c r="Q416" s="129">
        <v>45828</v>
      </c>
      <c r="R416" s="139">
        <v>0.95432870370370371</v>
      </c>
    </row>
    <row r="417" spans="1:18" ht="38.25" x14ac:dyDescent="0.25">
      <c r="A417" s="125" t="s">
        <v>1177</v>
      </c>
      <c r="B417">
        <v>581</v>
      </c>
      <c r="C417" s="125">
        <v>54947</v>
      </c>
      <c r="D417" s="125" t="s">
        <v>914</v>
      </c>
      <c r="E417" s="125" t="s">
        <v>1152</v>
      </c>
      <c r="F417" s="125" t="s">
        <v>119</v>
      </c>
      <c r="G417" s="125">
        <v>14</v>
      </c>
      <c r="H417" s="125" t="s">
        <v>909</v>
      </c>
      <c r="I417" s="125" t="s">
        <v>82</v>
      </c>
      <c r="J417" s="126">
        <v>33730</v>
      </c>
      <c r="K417" s="126">
        <v>21060</v>
      </c>
      <c r="L417" s="127">
        <v>5.5</v>
      </c>
      <c r="M417" s="126">
        <v>12670</v>
      </c>
      <c r="N417" s="126">
        <v>11973.1</v>
      </c>
      <c r="O417" s="126" t="s">
        <v>550</v>
      </c>
      <c r="P417" s="127" t="s">
        <v>1224</v>
      </c>
      <c r="Q417" s="129">
        <v>45828</v>
      </c>
      <c r="R417" s="139">
        <v>0.69810185185185181</v>
      </c>
    </row>
    <row r="418" spans="1:18" ht="38.25" x14ac:dyDescent="0.25">
      <c r="A418" s="125" t="s">
        <v>1153</v>
      </c>
      <c r="B418" s="136">
        <v>583</v>
      </c>
      <c r="C418" s="125">
        <v>54948</v>
      </c>
      <c r="D418" s="125" t="s">
        <v>914</v>
      </c>
      <c r="E418" s="125" t="s">
        <v>311</v>
      </c>
      <c r="F418" s="125" t="s">
        <v>315</v>
      </c>
      <c r="G418" s="125">
        <v>14</v>
      </c>
      <c r="H418" s="125" t="s">
        <v>909</v>
      </c>
      <c r="I418" s="125" t="s">
        <v>82</v>
      </c>
      <c r="J418" s="126">
        <v>28000</v>
      </c>
      <c r="K418" s="126">
        <v>15180</v>
      </c>
      <c r="L418" s="127">
        <v>8.5</v>
      </c>
      <c r="M418" s="126">
        <v>12820</v>
      </c>
      <c r="N418" s="126">
        <v>11730.3</v>
      </c>
      <c r="O418" s="126" t="s">
        <v>550</v>
      </c>
      <c r="P418" s="127" t="s">
        <v>1202</v>
      </c>
      <c r="Q418" s="129">
        <v>45828</v>
      </c>
      <c r="R418" s="139">
        <v>0.77212962962962961</v>
      </c>
    </row>
    <row r="419" spans="1:18" ht="38.25" x14ac:dyDescent="0.25">
      <c r="A419" s="125" t="s">
        <v>1154</v>
      </c>
      <c r="B419" s="136">
        <v>584</v>
      </c>
      <c r="C419" s="125">
        <v>54948</v>
      </c>
      <c r="D419" s="125" t="s">
        <v>914</v>
      </c>
      <c r="E419" s="125" t="s">
        <v>133</v>
      </c>
      <c r="F419" s="125" t="s">
        <v>137</v>
      </c>
      <c r="G419" s="125">
        <v>14</v>
      </c>
      <c r="H419" s="125" t="s">
        <v>909</v>
      </c>
      <c r="I419" s="125" t="s">
        <v>82</v>
      </c>
      <c r="J419" s="126">
        <v>28060</v>
      </c>
      <c r="K419" s="126">
        <v>15250</v>
      </c>
      <c r="L419" s="127">
        <v>8</v>
      </c>
      <c r="M419" s="126">
        <v>12810</v>
      </c>
      <c r="N419" s="126">
        <v>11785.2</v>
      </c>
      <c r="O419" s="126" t="s">
        <v>550</v>
      </c>
      <c r="P419" s="127" t="s">
        <v>1203</v>
      </c>
      <c r="Q419" s="129">
        <v>45828</v>
      </c>
      <c r="R419" s="139">
        <v>0.98644675925925929</v>
      </c>
    </row>
    <row r="420" spans="1:18" ht="38.25" x14ac:dyDescent="0.25">
      <c r="A420" s="125" t="s">
        <v>1155</v>
      </c>
      <c r="B420" s="136">
        <v>585</v>
      </c>
      <c r="C420" s="125">
        <v>54951</v>
      </c>
      <c r="D420" s="125" t="s">
        <v>914</v>
      </c>
      <c r="E420" s="125" t="s">
        <v>151</v>
      </c>
      <c r="F420" s="125" t="s">
        <v>155</v>
      </c>
      <c r="G420" s="125">
        <v>14</v>
      </c>
      <c r="H420" s="125" t="s">
        <v>909</v>
      </c>
      <c r="I420" s="125" t="s">
        <v>82</v>
      </c>
      <c r="J420" s="126">
        <v>27900</v>
      </c>
      <c r="K420" s="126">
        <v>15330</v>
      </c>
      <c r="L420" s="127">
        <v>6.5</v>
      </c>
      <c r="M420" s="126">
        <v>12570</v>
      </c>
      <c r="N420" s="126">
        <v>11752.9</v>
      </c>
      <c r="O420" s="126" t="s">
        <v>550</v>
      </c>
      <c r="P420" s="127" t="s">
        <v>1204</v>
      </c>
      <c r="Q420" s="129">
        <v>45829</v>
      </c>
      <c r="R420" s="139">
        <v>0.10186342592592593</v>
      </c>
    </row>
    <row r="421" spans="1:18" ht="38.25" x14ac:dyDescent="0.25">
      <c r="A421" s="125" t="s">
        <v>1156</v>
      </c>
      <c r="B421" s="136">
        <v>586</v>
      </c>
      <c r="C421" s="137">
        <v>54952</v>
      </c>
      <c r="D421" s="125" t="s">
        <v>914</v>
      </c>
      <c r="E421" s="125" t="s">
        <v>160</v>
      </c>
      <c r="F421" s="125" t="s">
        <v>164</v>
      </c>
      <c r="G421" s="125">
        <v>14</v>
      </c>
      <c r="H421" s="125" t="s">
        <v>909</v>
      </c>
      <c r="I421" s="125" t="s">
        <v>82</v>
      </c>
      <c r="J421" s="126">
        <v>37180</v>
      </c>
      <c r="K421" s="126">
        <v>24450</v>
      </c>
      <c r="L421" s="138">
        <v>11.5</v>
      </c>
      <c r="M421" s="126">
        <v>12730</v>
      </c>
      <c r="N421" s="126">
        <v>11266</v>
      </c>
      <c r="O421" s="126" t="s">
        <v>550</v>
      </c>
      <c r="P421" s="127" t="s">
        <v>1205</v>
      </c>
      <c r="Q421" s="129">
        <v>45829</v>
      </c>
      <c r="R421" s="139">
        <v>0.15324074074074073</v>
      </c>
    </row>
    <row r="422" spans="1:18" ht="38.25" x14ac:dyDescent="0.25">
      <c r="A422" s="125" t="s">
        <v>1157</v>
      </c>
      <c r="B422" s="136">
        <v>587</v>
      </c>
      <c r="C422" s="137">
        <v>54952</v>
      </c>
      <c r="D422" s="125" t="s">
        <v>914</v>
      </c>
      <c r="E422" s="125" t="s">
        <v>347</v>
      </c>
      <c r="F422" s="125" t="s">
        <v>351</v>
      </c>
      <c r="G422" s="125">
        <v>14</v>
      </c>
      <c r="H422" s="125" t="s">
        <v>909</v>
      </c>
      <c r="I422" s="125" t="s">
        <v>82</v>
      </c>
      <c r="J422" s="126">
        <v>31680</v>
      </c>
      <c r="K422" s="126">
        <v>18960</v>
      </c>
      <c r="L422" s="138">
        <v>10</v>
      </c>
      <c r="M422" s="126">
        <v>12720</v>
      </c>
      <c r="N422" s="126">
        <v>11448</v>
      </c>
      <c r="O422" s="126" t="s">
        <v>511</v>
      </c>
      <c r="P422" s="127" t="s">
        <v>1206</v>
      </c>
      <c r="Q422" s="129">
        <v>45829</v>
      </c>
      <c r="R422" s="139">
        <v>0.20613425925925927</v>
      </c>
    </row>
    <row r="423" spans="1:18" ht="38.25" x14ac:dyDescent="0.25">
      <c r="A423" s="125" t="s">
        <v>1158</v>
      </c>
      <c r="B423" s="136">
        <v>588</v>
      </c>
      <c r="C423" s="137">
        <v>54953</v>
      </c>
      <c r="D423" s="125" t="s">
        <v>914</v>
      </c>
      <c r="E423" s="125" t="s">
        <v>195</v>
      </c>
      <c r="F423" s="125" t="s">
        <v>199</v>
      </c>
      <c r="G423" s="125">
        <v>14</v>
      </c>
      <c r="H423" s="125" t="s">
        <v>909</v>
      </c>
      <c r="I423" s="125" t="s">
        <v>82</v>
      </c>
      <c r="J423" s="126">
        <v>28170</v>
      </c>
      <c r="K423" s="126">
        <v>15480</v>
      </c>
      <c r="L423" s="138">
        <v>8.5</v>
      </c>
      <c r="M423" s="126">
        <v>12690</v>
      </c>
      <c r="N423" s="126">
        <v>11611.3</v>
      </c>
      <c r="O423" s="126" t="s">
        <v>550</v>
      </c>
      <c r="P423" s="127" t="s">
        <v>1207</v>
      </c>
      <c r="Q423" s="129">
        <v>45829</v>
      </c>
      <c r="R423" s="139">
        <v>0.32021990740740741</v>
      </c>
    </row>
    <row r="424" spans="1:18" ht="38.25" x14ac:dyDescent="0.25">
      <c r="A424" s="125" t="s">
        <v>1159</v>
      </c>
      <c r="B424" s="136">
        <v>589</v>
      </c>
      <c r="C424" s="137">
        <v>54953</v>
      </c>
      <c r="D424" s="125" t="s">
        <v>914</v>
      </c>
      <c r="E424" s="125" t="s">
        <v>239</v>
      </c>
      <c r="F424" s="125" t="s">
        <v>243</v>
      </c>
      <c r="G424" s="125">
        <v>14</v>
      </c>
      <c r="H424" s="125" t="s">
        <v>909</v>
      </c>
      <c r="I424" s="125" t="s">
        <v>82</v>
      </c>
      <c r="J424" s="126">
        <v>27490</v>
      </c>
      <c r="K424" s="126">
        <v>14740</v>
      </c>
      <c r="L424" s="138">
        <v>8.5</v>
      </c>
      <c r="M424" s="126">
        <v>12750</v>
      </c>
      <c r="N424" s="126">
        <v>11666.2</v>
      </c>
      <c r="O424" s="126" t="s">
        <v>550</v>
      </c>
      <c r="P424" s="127" t="s">
        <v>1208</v>
      </c>
      <c r="Q424" s="129">
        <v>45829</v>
      </c>
      <c r="R424" s="139">
        <v>0.38890046296296299</v>
      </c>
    </row>
    <row r="425" spans="1:18" ht="38.25" x14ac:dyDescent="0.25">
      <c r="A425" s="125" t="s">
        <v>1160</v>
      </c>
      <c r="B425" s="136">
        <v>590</v>
      </c>
      <c r="C425" s="137">
        <v>54953</v>
      </c>
      <c r="D425" s="125" t="s">
        <v>914</v>
      </c>
      <c r="E425" s="125" t="s">
        <v>244</v>
      </c>
      <c r="F425" s="125" t="s">
        <v>248</v>
      </c>
      <c r="G425" s="125">
        <v>14</v>
      </c>
      <c r="H425" s="125" t="s">
        <v>909</v>
      </c>
      <c r="I425" s="125" t="s">
        <v>82</v>
      </c>
      <c r="J425" s="126">
        <v>28790</v>
      </c>
      <c r="K425" s="126">
        <v>15820</v>
      </c>
      <c r="L425" s="138">
        <v>10.5</v>
      </c>
      <c r="M425" s="126">
        <v>12970</v>
      </c>
      <c r="N425" s="126">
        <v>11608.1</v>
      </c>
      <c r="O425" s="126" t="s">
        <v>550</v>
      </c>
      <c r="P425" s="127" t="s">
        <v>1209</v>
      </c>
      <c r="Q425" s="129">
        <v>45829</v>
      </c>
      <c r="R425" s="139">
        <v>0.43202546296296296</v>
      </c>
    </row>
    <row r="426" spans="1:18" ht="38.25" x14ac:dyDescent="0.25">
      <c r="A426" s="125" t="s">
        <v>1161</v>
      </c>
      <c r="B426" s="136">
        <v>596</v>
      </c>
      <c r="C426" s="137">
        <v>54954</v>
      </c>
      <c r="D426" s="125" t="s">
        <v>914</v>
      </c>
      <c r="E426" s="125" t="s">
        <v>311</v>
      </c>
      <c r="F426" s="125" t="s">
        <v>315</v>
      </c>
      <c r="G426" s="125">
        <v>14</v>
      </c>
      <c r="H426" s="125" t="s">
        <v>909</v>
      </c>
      <c r="I426" s="125" t="s">
        <v>82</v>
      </c>
      <c r="J426" s="126">
        <v>28030</v>
      </c>
      <c r="K426" s="126">
        <v>15200</v>
      </c>
      <c r="L426" s="138">
        <v>5.5</v>
      </c>
      <c r="M426" s="126">
        <v>12830</v>
      </c>
      <c r="N426" s="126">
        <v>12124.3</v>
      </c>
      <c r="O426" s="126" t="s">
        <v>550</v>
      </c>
      <c r="P426" s="127" t="s">
        <v>1210</v>
      </c>
      <c r="Q426" s="129">
        <v>45829</v>
      </c>
      <c r="R426" s="139">
        <v>0.4334837962962963</v>
      </c>
    </row>
    <row r="427" spans="1:18" ht="38.25" x14ac:dyDescent="0.25">
      <c r="A427" s="125" t="s">
        <v>1162</v>
      </c>
      <c r="B427" s="136">
        <v>599</v>
      </c>
      <c r="C427" s="137">
        <v>54955</v>
      </c>
      <c r="D427" s="125" t="s">
        <v>914</v>
      </c>
      <c r="E427" s="125" t="s">
        <v>1152</v>
      </c>
      <c r="F427" s="125" t="s">
        <v>119</v>
      </c>
      <c r="G427" s="125">
        <v>14</v>
      </c>
      <c r="H427" s="125" t="s">
        <v>909</v>
      </c>
      <c r="I427" s="125" t="s">
        <v>82</v>
      </c>
      <c r="J427" s="126">
        <v>36230</v>
      </c>
      <c r="K427" s="126">
        <v>21240</v>
      </c>
      <c r="L427" s="138">
        <v>7</v>
      </c>
      <c r="M427" s="126">
        <v>14990</v>
      </c>
      <c r="N427" s="126">
        <v>13940.7</v>
      </c>
      <c r="O427" s="126" t="s">
        <v>833</v>
      </c>
      <c r="P427" s="127" t="s">
        <v>1211</v>
      </c>
      <c r="Q427" s="129">
        <v>45829</v>
      </c>
      <c r="R427" s="139">
        <v>0.5342824074074074</v>
      </c>
    </row>
    <row r="428" spans="1:18" ht="38.25" x14ac:dyDescent="0.25">
      <c r="A428" s="125" t="s">
        <v>1163</v>
      </c>
      <c r="B428" s="136">
        <v>600</v>
      </c>
      <c r="C428" s="137">
        <v>54955</v>
      </c>
      <c r="D428" s="125" t="s">
        <v>914</v>
      </c>
      <c r="E428" s="125" t="s">
        <v>133</v>
      </c>
      <c r="F428" s="125" t="s">
        <v>137</v>
      </c>
      <c r="G428" s="125">
        <v>14</v>
      </c>
      <c r="H428" s="125" t="s">
        <v>909</v>
      </c>
      <c r="I428" s="125" t="s">
        <v>82</v>
      </c>
      <c r="J428" s="126">
        <v>30090</v>
      </c>
      <c r="K428" s="126">
        <v>15100</v>
      </c>
      <c r="L428" s="138">
        <v>7.5</v>
      </c>
      <c r="M428" s="126">
        <v>14990</v>
      </c>
      <c r="N428" s="126">
        <v>13865.7</v>
      </c>
      <c r="O428" s="126" t="s">
        <v>833</v>
      </c>
      <c r="P428" s="127" t="s">
        <v>1212</v>
      </c>
      <c r="Q428" s="129">
        <v>45829</v>
      </c>
      <c r="R428" s="139">
        <v>0.67423611111111115</v>
      </c>
    </row>
    <row r="429" spans="1:18" ht="38.25" x14ac:dyDescent="0.25">
      <c r="A429" s="125" t="s">
        <v>1164</v>
      </c>
      <c r="B429" s="136">
        <v>601</v>
      </c>
      <c r="C429" s="137">
        <v>54956</v>
      </c>
      <c r="D429" s="125" t="s">
        <v>914</v>
      </c>
      <c r="E429" s="125" t="s">
        <v>151</v>
      </c>
      <c r="F429" s="125" t="s">
        <v>155</v>
      </c>
      <c r="G429" s="125">
        <v>14</v>
      </c>
      <c r="H429" s="125" t="s">
        <v>909</v>
      </c>
      <c r="I429" s="125" t="s">
        <v>82</v>
      </c>
      <c r="J429" s="126">
        <v>30360</v>
      </c>
      <c r="K429" s="126">
        <v>15060</v>
      </c>
      <c r="L429" s="138">
        <v>8.5</v>
      </c>
      <c r="M429" s="126">
        <v>15300</v>
      </c>
      <c r="N429" s="126">
        <v>13999.5</v>
      </c>
      <c r="O429" s="126" t="s">
        <v>550</v>
      </c>
      <c r="P429" s="127" t="s">
        <v>1213</v>
      </c>
      <c r="Q429" s="129">
        <v>45829</v>
      </c>
      <c r="R429" s="139">
        <v>0.67560185185185184</v>
      </c>
    </row>
    <row r="430" spans="1:18" ht="38.25" x14ac:dyDescent="0.25">
      <c r="A430" s="125" t="s">
        <v>1165</v>
      </c>
      <c r="B430" s="137">
        <v>602</v>
      </c>
      <c r="C430" s="125">
        <v>54955</v>
      </c>
      <c r="D430" s="125" t="s">
        <v>914</v>
      </c>
      <c r="E430" s="125" t="s">
        <v>160</v>
      </c>
      <c r="F430" s="125" t="s">
        <v>164</v>
      </c>
      <c r="G430" s="125">
        <v>14</v>
      </c>
      <c r="H430" s="125" t="s">
        <v>909</v>
      </c>
      <c r="I430" s="126" t="s">
        <v>82</v>
      </c>
      <c r="J430" s="126">
        <v>37830</v>
      </c>
      <c r="K430" s="138">
        <v>24220</v>
      </c>
      <c r="L430" s="126">
        <v>8.5</v>
      </c>
      <c r="M430" s="126">
        <v>13610</v>
      </c>
      <c r="N430" s="126">
        <v>12453.1</v>
      </c>
      <c r="O430" s="126" t="s">
        <v>833</v>
      </c>
      <c r="P430" t="s">
        <v>1214</v>
      </c>
      <c r="Q430" s="129">
        <v>45829</v>
      </c>
      <c r="R430" s="139">
        <v>0.67702546296296295</v>
      </c>
    </row>
    <row r="431" spans="1:18" ht="38.25" x14ac:dyDescent="0.25">
      <c r="A431" s="125" t="s">
        <v>1166</v>
      </c>
      <c r="B431" s="136">
        <v>603</v>
      </c>
      <c r="C431" s="137">
        <v>1</v>
      </c>
      <c r="D431" s="125" t="s">
        <v>1167</v>
      </c>
      <c r="E431" s="125" t="s">
        <v>1151</v>
      </c>
      <c r="F431" s="125" t="s">
        <v>145</v>
      </c>
      <c r="G431" s="125" t="s">
        <v>1168</v>
      </c>
      <c r="H431" s="125" t="s">
        <v>901</v>
      </c>
      <c r="I431" s="125" t="s">
        <v>82</v>
      </c>
      <c r="J431" s="126">
        <v>29100</v>
      </c>
      <c r="K431" s="126">
        <v>15790</v>
      </c>
      <c r="L431" s="138">
        <v>21.5</v>
      </c>
      <c r="M431" s="126">
        <v>13310</v>
      </c>
      <c r="N431" s="126">
        <v>10448.299999999999</v>
      </c>
      <c r="O431" s="126" t="s">
        <v>511</v>
      </c>
      <c r="P431" s="127" t="s">
        <v>1215</v>
      </c>
      <c r="Q431" s="129">
        <v>45830</v>
      </c>
      <c r="R431" s="139">
        <v>0.30634259259259261</v>
      </c>
    </row>
    <row r="432" spans="1:18" ht="38.25" x14ac:dyDescent="0.25">
      <c r="A432" s="125" t="s">
        <v>1169</v>
      </c>
      <c r="B432" s="136">
        <v>604</v>
      </c>
      <c r="C432" s="137">
        <v>3</v>
      </c>
      <c r="D432" s="125" t="s">
        <v>1167</v>
      </c>
      <c r="E432" s="125" t="s">
        <v>1253</v>
      </c>
      <c r="F432" s="125" t="s">
        <v>270</v>
      </c>
      <c r="G432" s="125" t="s">
        <v>1168</v>
      </c>
      <c r="H432" s="125" t="s">
        <v>901</v>
      </c>
      <c r="I432" s="125" t="s">
        <v>82</v>
      </c>
      <c r="J432" s="126">
        <v>27970</v>
      </c>
      <c r="K432" s="126">
        <v>14950</v>
      </c>
      <c r="L432" s="138">
        <v>19.5</v>
      </c>
      <c r="M432" s="126">
        <v>13020</v>
      </c>
      <c r="N432" s="126">
        <v>10481.1</v>
      </c>
      <c r="O432" s="126" t="s">
        <v>511</v>
      </c>
      <c r="P432" s="127" t="s">
        <v>1216</v>
      </c>
      <c r="Q432" s="129">
        <v>45830</v>
      </c>
      <c r="R432" s="139">
        <v>0.41056712962962966</v>
      </c>
    </row>
    <row r="433" spans="1:18" ht="38.25" x14ac:dyDescent="0.25">
      <c r="A433" s="125" t="s">
        <v>1178</v>
      </c>
      <c r="B433">
        <v>606</v>
      </c>
      <c r="C433" s="125">
        <v>2</v>
      </c>
      <c r="D433" s="125" t="s">
        <v>1167</v>
      </c>
      <c r="E433" s="125" t="s">
        <v>1461</v>
      </c>
      <c r="F433" s="125" t="s">
        <v>149</v>
      </c>
      <c r="G433" s="125" t="s">
        <v>1168</v>
      </c>
      <c r="H433" s="125" t="s">
        <v>901</v>
      </c>
      <c r="I433" s="125" t="s">
        <v>82</v>
      </c>
      <c r="J433" s="126">
        <v>27740</v>
      </c>
      <c r="K433" s="126">
        <v>15140</v>
      </c>
      <c r="L433" s="127">
        <v>24</v>
      </c>
      <c r="M433" s="126">
        <v>12600</v>
      </c>
      <c r="N433" s="126">
        <v>9576</v>
      </c>
      <c r="O433" s="126" t="s">
        <v>511</v>
      </c>
      <c r="P433" s="127" t="s">
        <v>1225</v>
      </c>
      <c r="Q433" s="129">
        <v>45830</v>
      </c>
      <c r="R433" s="139">
        <v>0.41182870370370372</v>
      </c>
    </row>
    <row r="434" spans="1:18" ht="38.25" x14ac:dyDescent="0.25">
      <c r="A434" s="125" t="s">
        <v>1179</v>
      </c>
      <c r="B434">
        <v>607</v>
      </c>
      <c r="C434" s="125">
        <v>4</v>
      </c>
      <c r="D434" s="125" t="s">
        <v>1167</v>
      </c>
      <c r="E434" s="125" t="s">
        <v>272</v>
      </c>
      <c r="F434" s="125" t="s">
        <v>276</v>
      </c>
      <c r="G434" s="125" t="s">
        <v>1168</v>
      </c>
      <c r="H434" s="125" t="s">
        <v>901</v>
      </c>
      <c r="I434" s="125" t="s">
        <v>82</v>
      </c>
      <c r="J434" s="126">
        <v>27470</v>
      </c>
      <c r="K434" s="126">
        <v>14820</v>
      </c>
      <c r="L434" s="127">
        <v>14.5</v>
      </c>
      <c r="M434" s="126">
        <v>12650</v>
      </c>
      <c r="N434" s="126">
        <v>10815.7</v>
      </c>
      <c r="O434" s="126" t="s">
        <v>511</v>
      </c>
      <c r="P434" s="127" t="s">
        <v>1226</v>
      </c>
      <c r="Q434" s="129">
        <v>45830</v>
      </c>
      <c r="R434" s="139">
        <v>0.54686342592592596</v>
      </c>
    </row>
    <row r="435" spans="1:18" ht="38.25" x14ac:dyDescent="0.25">
      <c r="A435" s="125" t="s">
        <v>1180</v>
      </c>
      <c r="B435">
        <v>608</v>
      </c>
      <c r="C435" s="125">
        <v>6</v>
      </c>
      <c r="D435" s="125" t="s">
        <v>1167</v>
      </c>
      <c r="E435" s="125" t="s">
        <v>894</v>
      </c>
      <c r="F435" s="125" t="s">
        <v>895</v>
      </c>
      <c r="G435" s="125" t="s">
        <v>1168</v>
      </c>
      <c r="H435" s="125" t="s">
        <v>901</v>
      </c>
      <c r="I435" s="125" t="s">
        <v>82</v>
      </c>
      <c r="J435" s="126">
        <v>27940</v>
      </c>
      <c r="K435" s="126">
        <v>14900</v>
      </c>
      <c r="L435" s="127">
        <v>23.5</v>
      </c>
      <c r="M435" s="126">
        <v>13040</v>
      </c>
      <c r="N435" s="126">
        <v>9975.6</v>
      </c>
      <c r="O435" s="126" t="s">
        <v>511</v>
      </c>
      <c r="P435" s="127" t="s">
        <v>1227</v>
      </c>
      <c r="Q435" s="129">
        <v>45830</v>
      </c>
      <c r="R435" s="139">
        <v>0.60159722222222223</v>
      </c>
    </row>
    <row r="436" spans="1:18" ht="38.25" x14ac:dyDescent="0.25">
      <c r="A436" s="125" t="s">
        <v>1181</v>
      </c>
      <c r="B436">
        <v>609</v>
      </c>
      <c r="C436" s="125">
        <v>5</v>
      </c>
      <c r="D436" s="125" t="s">
        <v>1167</v>
      </c>
      <c r="E436" s="125" t="s">
        <v>1312</v>
      </c>
      <c r="F436" s="125" t="s">
        <v>320</v>
      </c>
      <c r="G436" s="125" t="s">
        <v>1168</v>
      </c>
      <c r="H436" s="125" t="s">
        <v>901</v>
      </c>
      <c r="I436" s="125" t="s">
        <v>82</v>
      </c>
      <c r="J436" s="126">
        <v>27840</v>
      </c>
      <c r="K436" s="126">
        <v>14400</v>
      </c>
      <c r="L436" s="127">
        <v>20.5</v>
      </c>
      <c r="M436" s="126">
        <v>13440</v>
      </c>
      <c r="N436" s="126">
        <v>10684.8</v>
      </c>
      <c r="O436" s="126" t="s">
        <v>511</v>
      </c>
      <c r="P436" s="127" t="s">
        <v>1228</v>
      </c>
      <c r="Q436" s="129">
        <v>45830</v>
      </c>
      <c r="R436" s="139">
        <v>0.60285879629629635</v>
      </c>
    </row>
    <row r="437" spans="1:18" ht="38.25" x14ac:dyDescent="0.25">
      <c r="A437" s="125" t="s">
        <v>1182</v>
      </c>
      <c r="B437">
        <v>610</v>
      </c>
      <c r="C437" s="125">
        <v>7</v>
      </c>
      <c r="D437" s="125" t="s">
        <v>1167</v>
      </c>
      <c r="E437" s="125" t="s">
        <v>1152</v>
      </c>
      <c r="F437" s="125" t="s">
        <v>119</v>
      </c>
      <c r="G437" s="125" t="s">
        <v>1168</v>
      </c>
      <c r="H437" s="125" t="s">
        <v>901</v>
      </c>
      <c r="I437" s="125" t="s">
        <v>82</v>
      </c>
      <c r="J437" s="126">
        <v>35160</v>
      </c>
      <c r="K437" s="126">
        <v>21150</v>
      </c>
      <c r="L437" s="127">
        <v>21.5</v>
      </c>
      <c r="M437" s="126">
        <v>14010</v>
      </c>
      <c r="N437" s="126">
        <v>10997.8</v>
      </c>
      <c r="O437" s="126" t="s">
        <v>511</v>
      </c>
      <c r="P437" s="127" t="s">
        <v>1229</v>
      </c>
      <c r="Q437" s="129">
        <v>45830</v>
      </c>
      <c r="R437" s="139">
        <v>0.61366898148148152</v>
      </c>
    </row>
    <row r="438" spans="1:18" ht="38.25" x14ac:dyDescent="0.25">
      <c r="A438" s="125" t="s">
        <v>1183</v>
      </c>
      <c r="B438">
        <v>611</v>
      </c>
      <c r="C438" s="125">
        <v>8</v>
      </c>
      <c r="D438" s="125" t="s">
        <v>1167</v>
      </c>
      <c r="E438" s="125" t="s">
        <v>160</v>
      </c>
      <c r="F438" s="125" t="s">
        <v>164</v>
      </c>
      <c r="G438" s="125" t="s">
        <v>1184</v>
      </c>
      <c r="H438" s="125" t="s">
        <v>1185</v>
      </c>
      <c r="I438" s="125" t="s">
        <v>82</v>
      </c>
      <c r="J438" s="126">
        <v>38170</v>
      </c>
      <c r="K438" s="126">
        <v>24060</v>
      </c>
      <c r="L438" s="127">
        <v>15</v>
      </c>
      <c r="M438" s="126">
        <v>14110</v>
      </c>
      <c r="N438" s="126">
        <v>11993.5</v>
      </c>
      <c r="O438" s="126" t="s">
        <v>511</v>
      </c>
      <c r="P438" s="127" t="s">
        <v>1230</v>
      </c>
      <c r="Q438" s="129">
        <v>45830</v>
      </c>
      <c r="R438" s="139">
        <v>0.7563657407407407</v>
      </c>
    </row>
    <row r="439" spans="1:18" ht="38.25" x14ac:dyDescent="0.25">
      <c r="A439" s="125" t="s">
        <v>1186</v>
      </c>
      <c r="B439">
        <v>612</v>
      </c>
      <c r="C439" s="125">
        <v>9</v>
      </c>
      <c r="D439" s="125" t="s">
        <v>1167</v>
      </c>
      <c r="E439" s="125" t="s">
        <v>151</v>
      </c>
      <c r="F439" s="125" t="s">
        <v>155</v>
      </c>
      <c r="G439" s="125" t="s">
        <v>1184</v>
      </c>
      <c r="H439" s="125" t="s">
        <v>1185</v>
      </c>
      <c r="I439" s="125" t="s">
        <v>82</v>
      </c>
      <c r="J439" s="126">
        <v>29040</v>
      </c>
      <c r="K439" s="126">
        <v>14950</v>
      </c>
      <c r="L439" s="127">
        <v>15</v>
      </c>
      <c r="M439" s="126">
        <v>14090</v>
      </c>
      <c r="N439" s="126">
        <v>11976.5</v>
      </c>
      <c r="O439" s="126" t="s">
        <v>511</v>
      </c>
      <c r="P439" s="127" t="s">
        <v>1231</v>
      </c>
      <c r="Q439" s="129">
        <v>45830</v>
      </c>
      <c r="R439" s="139">
        <v>0.75806712962962963</v>
      </c>
    </row>
    <row r="440" spans="1:18" ht="38.25" x14ac:dyDescent="0.25">
      <c r="A440" s="125" t="s">
        <v>1187</v>
      </c>
      <c r="B440">
        <v>613</v>
      </c>
      <c r="C440" s="125">
        <v>10</v>
      </c>
      <c r="D440" s="125" t="s">
        <v>1167</v>
      </c>
      <c r="E440" s="125" t="s">
        <v>239</v>
      </c>
      <c r="F440" s="125" t="s">
        <v>243</v>
      </c>
      <c r="G440" s="125" t="s">
        <v>1184</v>
      </c>
      <c r="H440" s="125" t="s">
        <v>1185</v>
      </c>
      <c r="I440" s="125" t="s">
        <v>82</v>
      </c>
      <c r="J440" s="126">
        <v>28400</v>
      </c>
      <c r="K440" s="126">
        <v>14600</v>
      </c>
      <c r="L440" s="127">
        <v>23</v>
      </c>
      <c r="M440" s="126">
        <v>13800</v>
      </c>
      <c r="N440" s="126">
        <v>10626</v>
      </c>
      <c r="O440" s="126" t="s">
        <v>511</v>
      </c>
      <c r="P440" s="127" t="s">
        <v>1232</v>
      </c>
      <c r="Q440" s="129">
        <v>45830</v>
      </c>
      <c r="R440" s="139">
        <v>0.71928240740740745</v>
      </c>
    </row>
    <row r="441" spans="1:18" ht="38.25" x14ac:dyDescent="0.25">
      <c r="A441" s="125" t="s">
        <v>1188</v>
      </c>
      <c r="B441">
        <v>615</v>
      </c>
      <c r="C441" s="125">
        <v>11</v>
      </c>
      <c r="D441" s="125" t="s">
        <v>1167</v>
      </c>
      <c r="E441" s="125" t="s">
        <v>1151</v>
      </c>
      <c r="F441" s="125" t="s">
        <v>145</v>
      </c>
      <c r="G441" s="125" t="s">
        <v>1184</v>
      </c>
      <c r="H441" s="125" t="s">
        <v>1185</v>
      </c>
      <c r="I441" s="125" t="s">
        <v>82</v>
      </c>
      <c r="J441" s="126">
        <v>29840</v>
      </c>
      <c r="K441" s="126">
        <v>15720</v>
      </c>
      <c r="L441" s="127">
        <v>19</v>
      </c>
      <c r="M441" s="126">
        <v>14120</v>
      </c>
      <c r="N441" s="126">
        <v>11437.2</v>
      </c>
      <c r="O441" s="126" t="s">
        <v>511</v>
      </c>
      <c r="P441" s="127" t="s">
        <v>1233</v>
      </c>
      <c r="Q441" s="129">
        <v>45830</v>
      </c>
      <c r="R441" s="139">
        <v>0.82682870370370365</v>
      </c>
    </row>
    <row r="442" spans="1:18" ht="38.25" x14ac:dyDescent="0.25">
      <c r="A442" s="125" t="s">
        <v>1189</v>
      </c>
      <c r="B442">
        <v>616</v>
      </c>
      <c r="C442" s="125">
        <v>12</v>
      </c>
      <c r="D442" s="125" t="s">
        <v>1167</v>
      </c>
      <c r="E442" s="125" t="s">
        <v>212</v>
      </c>
      <c r="F442" s="125" t="s">
        <v>216</v>
      </c>
      <c r="G442" s="125" t="s">
        <v>1184</v>
      </c>
      <c r="H442" s="125" t="s">
        <v>1185</v>
      </c>
      <c r="I442" s="125" t="s">
        <v>82</v>
      </c>
      <c r="J442" s="126">
        <v>27720</v>
      </c>
      <c r="K442" s="126">
        <v>13850</v>
      </c>
      <c r="L442" s="127">
        <v>16</v>
      </c>
      <c r="M442" s="126">
        <v>13870</v>
      </c>
      <c r="N442" s="126">
        <v>11650.8</v>
      </c>
      <c r="O442" s="126" t="s">
        <v>511</v>
      </c>
      <c r="P442" s="127" t="s">
        <v>1234</v>
      </c>
      <c r="Q442" s="129">
        <v>45830</v>
      </c>
      <c r="R442" s="139">
        <v>0.82924768518518521</v>
      </c>
    </row>
    <row r="443" spans="1:18" ht="38.25" x14ac:dyDescent="0.25">
      <c r="A443" s="125" t="s">
        <v>1190</v>
      </c>
      <c r="B443">
        <v>617</v>
      </c>
      <c r="C443" s="125">
        <v>13</v>
      </c>
      <c r="D443" s="125" t="s">
        <v>1167</v>
      </c>
      <c r="E443" s="125" t="s">
        <v>311</v>
      </c>
      <c r="F443" s="125" t="s">
        <v>315</v>
      </c>
      <c r="G443" s="125" t="s">
        <v>1184</v>
      </c>
      <c r="H443" s="125" t="s">
        <v>1185</v>
      </c>
      <c r="I443" s="125" t="s">
        <v>82</v>
      </c>
      <c r="J443" s="126">
        <v>29210</v>
      </c>
      <c r="K443" s="126">
        <v>15070</v>
      </c>
      <c r="L443" s="127">
        <v>16.5</v>
      </c>
      <c r="M443" s="126">
        <v>14140</v>
      </c>
      <c r="N443" s="126">
        <v>11806.9</v>
      </c>
      <c r="O443" s="126" t="s">
        <v>511</v>
      </c>
      <c r="P443" s="127" t="s">
        <v>1235</v>
      </c>
      <c r="Q443" s="129">
        <v>45830</v>
      </c>
      <c r="R443" s="139">
        <v>0.88064814814814818</v>
      </c>
    </row>
    <row r="444" spans="1:18" ht="38.25" x14ac:dyDescent="0.25">
      <c r="A444" s="125" t="s">
        <v>1191</v>
      </c>
      <c r="B444">
        <v>618</v>
      </c>
      <c r="C444" s="125">
        <v>14</v>
      </c>
      <c r="D444" s="125" t="s">
        <v>1167</v>
      </c>
      <c r="E444" s="125" t="s">
        <v>1253</v>
      </c>
      <c r="F444" s="125" t="s">
        <v>270</v>
      </c>
      <c r="G444" s="125" t="s">
        <v>1184</v>
      </c>
      <c r="H444" s="125" t="s">
        <v>1185</v>
      </c>
      <c r="I444" s="125" t="s">
        <v>82</v>
      </c>
      <c r="J444" s="126">
        <v>29280</v>
      </c>
      <c r="K444" s="126">
        <v>14830</v>
      </c>
      <c r="L444" s="127">
        <v>14.5</v>
      </c>
      <c r="M444" s="126">
        <v>14450</v>
      </c>
      <c r="N444" s="126">
        <v>12354.7</v>
      </c>
      <c r="O444" s="126" t="s">
        <v>511</v>
      </c>
      <c r="P444" s="127" t="s">
        <v>1236</v>
      </c>
      <c r="Q444" s="129">
        <v>45830</v>
      </c>
      <c r="R444" s="139">
        <v>0.99789351851851849</v>
      </c>
    </row>
    <row r="445" spans="1:18" ht="38.25" x14ac:dyDescent="0.25">
      <c r="A445" s="125" t="s">
        <v>1192</v>
      </c>
      <c r="B445">
        <v>619</v>
      </c>
      <c r="C445" s="125">
        <v>15</v>
      </c>
      <c r="D445" s="125" t="s">
        <v>1167</v>
      </c>
      <c r="E445" s="125" t="s">
        <v>1461</v>
      </c>
      <c r="F445" s="125" t="s">
        <v>149</v>
      </c>
      <c r="G445" s="125" t="s">
        <v>1184</v>
      </c>
      <c r="H445" s="125" t="s">
        <v>1185</v>
      </c>
      <c r="I445" s="125" t="s">
        <v>82</v>
      </c>
      <c r="J445" s="126">
        <v>29070</v>
      </c>
      <c r="K445" s="126">
        <v>15010</v>
      </c>
      <c r="L445" s="127">
        <v>12.5</v>
      </c>
      <c r="M445" s="126">
        <v>14060</v>
      </c>
      <c r="N445" s="126">
        <v>12302.5</v>
      </c>
      <c r="O445" s="126" t="s">
        <v>511</v>
      </c>
      <c r="P445" s="127" t="s">
        <v>1237</v>
      </c>
      <c r="Q445" s="129">
        <v>45830</v>
      </c>
      <c r="R445" s="139">
        <v>0.97490740740740744</v>
      </c>
    </row>
    <row r="446" spans="1:18" ht="38.25" x14ac:dyDescent="0.25">
      <c r="A446" s="125" t="s">
        <v>1193</v>
      </c>
      <c r="B446">
        <v>620</v>
      </c>
      <c r="C446" s="125">
        <v>16</v>
      </c>
      <c r="D446" s="125" t="s">
        <v>1167</v>
      </c>
      <c r="E446" s="125" t="s">
        <v>335</v>
      </c>
      <c r="F446" s="125" t="s">
        <v>339</v>
      </c>
      <c r="G446" s="125" t="s">
        <v>1184</v>
      </c>
      <c r="H446" s="125" t="s">
        <v>1185</v>
      </c>
      <c r="I446" s="125" t="s">
        <v>82</v>
      </c>
      <c r="J446" s="126">
        <v>27990</v>
      </c>
      <c r="K446" s="126">
        <v>14700</v>
      </c>
      <c r="L446" s="127">
        <v>15</v>
      </c>
      <c r="M446" s="126">
        <v>13290</v>
      </c>
      <c r="N446" s="126">
        <v>11296.5</v>
      </c>
      <c r="O446" s="126" t="s">
        <v>511</v>
      </c>
      <c r="P446" s="127" t="s">
        <v>1238</v>
      </c>
      <c r="Q446" s="129">
        <v>45831</v>
      </c>
      <c r="R446" s="139">
        <v>9.3287037037037043E-2</v>
      </c>
    </row>
    <row r="447" spans="1:18" ht="38.25" x14ac:dyDescent="0.25">
      <c r="A447" s="125" t="s">
        <v>1194</v>
      </c>
      <c r="B447">
        <v>621</v>
      </c>
      <c r="C447" s="125">
        <v>17</v>
      </c>
      <c r="D447" s="125" t="s">
        <v>1167</v>
      </c>
      <c r="E447" s="125" t="s">
        <v>272</v>
      </c>
      <c r="F447" s="125" t="s">
        <v>276</v>
      </c>
      <c r="G447" s="125" t="s">
        <v>1184</v>
      </c>
      <c r="H447" s="125" t="s">
        <v>1185</v>
      </c>
      <c r="I447" s="125" t="s">
        <v>82</v>
      </c>
      <c r="J447" s="126">
        <v>28110</v>
      </c>
      <c r="K447" s="126">
        <v>14730</v>
      </c>
      <c r="L447" s="127">
        <v>20</v>
      </c>
      <c r="M447" s="126">
        <v>13380</v>
      </c>
      <c r="N447" s="126">
        <v>10704</v>
      </c>
      <c r="O447" s="126" t="s">
        <v>511</v>
      </c>
      <c r="P447" s="127" t="s">
        <v>1239</v>
      </c>
      <c r="Q447" s="129">
        <v>45831</v>
      </c>
      <c r="R447" s="139">
        <v>9.5208333333333339E-2</v>
      </c>
    </row>
    <row r="448" spans="1:18" ht="38.25" x14ac:dyDescent="0.25">
      <c r="A448" s="125" t="s">
        <v>1195</v>
      </c>
      <c r="B448">
        <v>622</v>
      </c>
      <c r="C448" s="125">
        <v>18</v>
      </c>
      <c r="D448" s="125" t="s">
        <v>1167</v>
      </c>
      <c r="E448" s="125" t="s">
        <v>347</v>
      </c>
      <c r="F448" s="125" t="s">
        <v>351</v>
      </c>
      <c r="G448" s="125" t="s">
        <v>1184</v>
      </c>
      <c r="H448" s="125" t="s">
        <v>1185</v>
      </c>
      <c r="I448" s="125" t="s">
        <v>82</v>
      </c>
      <c r="J448" s="126">
        <v>31970</v>
      </c>
      <c r="K448" s="126">
        <v>18740</v>
      </c>
      <c r="L448" s="127">
        <v>17</v>
      </c>
      <c r="M448" s="126">
        <v>13230</v>
      </c>
      <c r="N448" s="126">
        <v>10980.9</v>
      </c>
      <c r="O448" s="126" t="s">
        <v>511</v>
      </c>
      <c r="P448" s="127" t="s">
        <v>1240</v>
      </c>
      <c r="Q448" s="129">
        <v>45831</v>
      </c>
      <c r="R448" s="139">
        <v>0.19099537037037037</v>
      </c>
    </row>
    <row r="449" spans="1:18" ht="38.25" x14ac:dyDescent="0.25">
      <c r="A449" s="125" t="s">
        <v>1196</v>
      </c>
      <c r="B449">
        <v>623</v>
      </c>
      <c r="C449" s="125">
        <v>19</v>
      </c>
      <c r="D449" s="125" t="s">
        <v>1167</v>
      </c>
      <c r="E449" s="125" t="s">
        <v>133</v>
      </c>
      <c r="F449" s="125" t="s">
        <v>137</v>
      </c>
      <c r="G449" s="125" t="s">
        <v>1184</v>
      </c>
      <c r="H449" s="125" t="s">
        <v>1185</v>
      </c>
      <c r="I449" s="125" t="s">
        <v>82</v>
      </c>
      <c r="J449" s="126">
        <v>28090</v>
      </c>
      <c r="K449" s="126">
        <v>14860</v>
      </c>
      <c r="L449" s="127">
        <v>14</v>
      </c>
      <c r="M449" s="126">
        <v>13230</v>
      </c>
      <c r="N449" s="126">
        <v>11377.8</v>
      </c>
      <c r="O449" s="126" t="s">
        <v>511</v>
      </c>
      <c r="P449" s="127" t="s">
        <v>1241</v>
      </c>
      <c r="Q449" s="129">
        <v>45831</v>
      </c>
      <c r="R449" s="139">
        <v>0.19269675925925925</v>
      </c>
    </row>
    <row r="450" spans="1:18" ht="38.25" x14ac:dyDescent="0.25">
      <c r="A450" s="125" t="s">
        <v>1197</v>
      </c>
      <c r="B450">
        <v>624</v>
      </c>
      <c r="C450" s="125">
        <v>20</v>
      </c>
      <c r="D450" s="125" t="s">
        <v>1167</v>
      </c>
      <c r="E450" s="125" t="s">
        <v>305</v>
      </c>
      <c r="F450" s="125" t="s">
        <v>309</v>
      </c>
      <c r="G450" s="125" t="s">
        <v>1184</v>
      </c>
      <c r="H450" s="125" t="s">
        <v>1185</v>
      </c>
      <c r="I450" s="125" t="s">
        <v>82</v>
      </c>
      <c r="J450" s="126">
        <v>27740</v>
      </c>
      <c r="K450" s="126">
        <v>14420</v>
      </c>
      <c r="L450" s="127">
        <v>11.5</v>
      </c>
      <c r="M450" s="126">
        <v>13320</v>
      </c>
      <c r="N450" s="126">
        <v>11788.2</v>
      </c>
      <c r="O450" s="126" t="s">
        <v>511</v>
      </c>
      <c r="P450" s="127" t="s">
        <v>1242</v>
      </c>
      <c r="Q450" s="129">
        <v>45831</v>
      </c>
      <c r="R450" s="139">
        <v>0.2351388888888889</v>
      </c>
    </row>
    <row r="451" spans="1:18" ht="38.25" x14ac:dyDescent="0.25">
      <c r="A451" s="125" t="s">
        <v>1198</v>
      </c>
      <c r="B451">
        <v>625</v>
      </c>
      <c r="C451" s="125">
        <v>21</v>
      </c>
      <c r="D451" s="125" t="s">
        <v>1167</v>
      </c>
      <c r="E451" s="125" t="s">
        <v>329</v>
      </c>
      <c r="F451" s="125" t="s">
        <v>333</v>
      </c>
      <c r="G451" s="125" t="s">
        <v>1184</v>
      </c>
      <c r="H451" s="125" t="s">
        <v>1185</v>
      </c>
      <c r="I451" s="125" t="s">
        <v>82</v>
      </c>
      <c r="J451" s="126">
        <v>28190</v>
      </c>
      <c r="K451" s="126">
        <v>15100</v>
      </c>
      <c r="L451" s="127">
        <v>14.5</v>
      </c>
      <c r="M451" s="126">
        <v>13090</v>
      </c>
      <c r="N451" s="126">
        <v>11191.9</v>
      </c>
      <c r="O451" s="126" t="s">
        <v>511</v>
      </c>
      <c r="P451" s="127" t="s">
        <v>1243</v>
      </c>
      <c r="Q451" s="129">
        <v>45831</v>
      </c>
      <c r="R451" s="139">
        <v>0.32288194444444446</v>
      </c>
    </row>
    <row r="452" spans="1:18" ht="38.25" x14ac:dyDescent="0.25">
      <c r="A452" s="125" t="s">
        <v>1199</v>
      </c>
      <c r="B452">
        <v>626</v>
      </c>
      <c r="C452" s="125">
        <v>22</v>
      </c>
      <c r="D452" s="125" t="s">
        <v>1167</v>
      </c>
      <c r="E452" s="125" t="s">
        <v>166</v>
      </c>
      <c r="F452" s="125" t="s">
        <v>170</v>
      </c>
      <c r="G452" s="125" t="s">
        <v>1184</v>
      </c>
      <c r="H452" s="125" t="s">
        <v>1185</v>
      </c>
      <c r="I452" s="125" t="s">
        <v>82</v>
      </c>
      <c r="J452" s="126">
        <v>28370</v>
      </c>
      <c r="K452" s="126">
        <v>15120</v>
      </c>
      <c r="L452" s="127">
        <v>18.5</v>
      </c>
      <c r="M452" s="126">
        <v>13250</v>
      </c>
      <c r="N452" s="126">
        <v>10798.7</v>
      </c>
      <c r="O452" s="126" t="s">
        <v>511</v>
      </c>
      <c r="P452" s="127" t="s">
        <v>1244</v>
      </c>
      <c r="Q452" s="129">
        <v>45831</v>
      </c>
      <c r="R452" s="139">
        <v>0.37111111111111111</v>
      </c>
    </row>
    <row r="453" spans="1:18" ht="38.25" x14ac:dyDescent="0.25">
      <c r="A453" s="125" t="s">
        <v>1200</v>
      </c>
      <c r="B453">
        <v>627</v>
      </c>
      <c r="C453" s="125">
        <v>23</v>
      </c>
      <c r="D453" s="125" t="s">
        <v>1167</v>
      </c>
      <c r="E453" s="125" t="s">
        <v>1312</v>
      </c>
      <c r="F453" s="125" t="s">
        <v>320</v>
      </c>
      <c r="G453" s="125" t="s">
        <v>1184</v>
      </c>
      <c r="H453" s="125" t="s">
        <v>1185</v>
      </c>
      <c r="I453" s="125" t="s">
        <v>82</v>
      </c>
      <c r="J453" s="126">
        <v>27640</v>
      </c>
      <c r="K453" s="126">
        <v>14440</v>
      </c>
      <c r="L453" s="127">
        <v>23.5</v>
      </c>
      <c r="M453" s="126">
        <v>13200</v>
      </c>
      <c r="N453" s="126">
        <v>10098</v>
      </c>
      <c r="O453" s="126" t="s">
        <v>511</v>
      </c>
      <c r="P453" s="127" t="s">
        <v>1245</v>
      </c>
      <c r="Q453" s="129">
        <v>45831</v>
      </c>
      <c r="R453" s="139">
        <v>0.41032407407407406</v>
      </c>
    </row>
    <row r="454" spans="1:18" ht="38.25" x14ac:dyDescent="0.25">
      <c r="A454" s="125" t="s">
        <v>1201</v>
      </c>
      <c r="B454">
        <v>629</v>
      </c>
      <c r="C454" s="125">
        <v>24</v>
      </c>
      <c r="D454" s="125" t="s">
        <v>1167</v>
      </c>
      <c r="E454" s="125" t="s">
        <v>894</v>
      </c>
      <c r="F454" s="125" t="s">
        <v>895</v>
      </c>
      <c r="G454" s="125" t="s">
        <v>1184</v>
      </c>
      <c r="H454" s="125" t="s">
        <v>1185</v>
      </c>
      <c r="I454" s="125" t="s">
        <v>82</v>
      </c>
      <c r="J454" s="126">
        <v>28240</v>
      </c>
      <c r="K454" s="126">
        <v>14940</v>
      </c>
      <c r="L454" s="127">
        <v>16.5</v>
      </c>
      <c r="M454" s="126">
        <v>13300</v>
      </c>
      <c r="N454" s="126">
        <v>11105.5</v>
      </c>
      <c r="O454" s="126" t="s">
        <v>511</v>
      </c>
      <c r="P454" s="127" t="s">
        <v>1246</v>
      </c>
      <c r="Q454" s="129">
        <v>45831</v>
      </c>
      <c r="R454" s="139">
        <v>0.46172453703703703</v>
      </c>
    </row>
    <row r="455" spans="1:18" ht="38.25" x14ac:dyDescent="0.25">
      <c r="A455" s="125" t="s">
        <v>1247</v>
      </c>
      <c r="B455">
        <v>633</v>
      </c>
      <c r="C455" s="125">
        <v>25</v>
      </c>
      <c r="D455" s="125" t="s">
        <v>1167</v>
      </c>
      <c r="E455" s="125" t="s">
        <v>1151</v>
      </c>
      <c r="F455" s="125" t="s">
        <v>145</v>
      </c>
      <c r="G455" s="125" t="s">
        <v>1184</v>
      </c>
      <c r="H455" s="125" t="s">
        <v>1185</v>
      </c>
      <c r="I455" s="125" t="s">
        <v>82</v>
      </c>
      <c r="J455" s="126">
        <v>29240</v>
      </c>
      <c r="K455" s="126">
        <v>15610</v>
      </c>
      <c r="L455" s="127">
        <v>16.5</v>
      </c>
      <c r="M455" s="126">
        <v>13630</v>
      </c>
      <c r="N455" s="126">
        <v>11381</v>
      </c>
      <c r="O455" s="126" t="s">
        <v>511</v>
      </c>
      <c r="P455" s="127" t="s">
        <v>1249</v>
      </c>
      <c r="Q455" s="129">
        <v>45831</v>
      </c>
      <c r="R455" s="139">
        <v>0.55002314814814812</v>
      </c>
    </row>
    <row r="456" spans="1:18" ht="51" x14ac:dyDescent="0.25">
      <c r="A456" s="125" t="s">
        <v>1254</v>
      </c>
      <c r="B456">
        <v>496</v>
      </c>
      <c r="C456" s="125" t="s">
        <v>1277</v>
      </c>
      <c r="D456" s="125" t="s">
        <v>914</v>
      </c>
      <c r="E456" s="125" t="s">
        <v>234</v>
      </c>
      <c r="F456" s="125" t="s">
        <v>1255</v>
      </c>
      <c r="G456" s="125">
        <v>14</v>
      </c>
      <c r="H456" s="125" t="s">
        <v>909</v>
      </c>
      <c r="I456" s="125" t="s">
        <v>82</v>
      </c>
      <c r="J456" s="126">
        <v>32320</v>
      </c>
      <c r="K456" s="126">
        <v>15660</v>
      </c>
      <c r="L456" s="127">
        <v>17.5</v>
      </c>
      <c r="M456" s="126">
        <v>16660</v>
      </c>
      <c r="N456" s="126">
        <v>13744</v>
      </c>
      <c r="O456" s="126" t="s">
        <v>833</v>
      </c>
      <c r="P456" s="127" t="s">
        <v>1250</v>
      </c>
      <c r="Q456" s="129">
        <v>45828</v>
      </c>
      <c r="R456" s="139">
        <v>0.98645833333333333</v>
      </c>
    </row>
    <row r="457" spans="1:18" ht="51" x14ac:dyDescent="0.25">
      <c r="A457" s="125" t="s">
        <v>1256</v>
      </c>
      <c r="B457">
        <v>496</v>
      </c>
      <c r="C457" s="125" t="s">
        <v>1278</v>
      </c>
      <c r="D457" s="125" t="s">
        <v>914</v>
      </c>
      <c r="E457" s="125" t="s">
        <v>262</v>
      </c>
      <c r="F457" s="125" t="s">
        <v>266</v>
      </c>
      <c r="G457" s="125">
        <v>14</v>
      </c>
      <c r="H457" s="125" t="s">
        <v>909</v>
      </c>
      <c r="I457" s="125" t="s">
        <v>82</v>
      </c>
      <c r="J457" s="126">
        <v>30280</v>
      </c>
      <c r="K457" s="126">
        <v>15000</v>
      </c>
      <c r="L457" s="127">
        <v>13.8</v>
      </c>
      <c r="M457" s="126">
        <v>15280</v>
      </c>
      <c r="N457" s="126">
        <v>13168</v>
      </c>
      <c r="O457" s="126" t="s">
        <v>833</v>
      </c>
      <c r="P457" s="127" t="s">
        <v>1251</v>
      </c>
      <c r="Q457" s="129">
        <v>45828</v>
      </c>
      <c r="R457" s="139">
        <v>0.98646990740740736</v>
      </c>
    </row>
    <row r="458" spans="1:18" ht="51" x14ac:dyDescent="0.25">
      <c r="A458" s="125" t="s">
        <v>1257</v>
      </c>
      <c r="B458">
        <v>496</v>
      </c>
      <c r="C458" s="125" t="s">
        <v>1279</v>
      </c>
      <c r="D458" s="125" t="s">
        <v>914</v>
      </c>
      <c r="E458" s="125" t="s">
        <v>111</v>
      </c>
      <c r="F458" s="125" t="s">
        <v>114</v>
      </c>
      <c r="G458" s="125">
        <v>14</v>
      </c>
      <c r="H458" s="125" t="s">
        <v>909</v>
      </c>
      <c r="I458" s="125" t="s">
        <v>82</v>
      </c>
      <c r="J458" s="126">
        <v>31760</v>
      </c>
      <c r="K458" s="126">
        <v>15600</v>
      </c>
      <c r="L458" s="127">
        <v>19.899999999999999</v>
      </c>
      <c r="M458" s="126">
        <v>16160</v>
      </c>
      <c r="N458" s="126">
        <v>12949</v>
      </c>
      <c r="O458" s="126" t="s">
        <v>833</v>
      </c>
      <c r="P458" s="127" t="s">
        <v>1252</v>
      </c>
      <c r="Q458" s="129">
        <v>45828</v>
      </c>
      <c r="R458" s="139">
        <v>0.98648148148148151</v>
      </c>
    </row>
    <row r="459" spans="1:18" ht="38.25" x14ac:dyDescent="0.25">
      <c r="A459" s="125" t="s">
        <v>1258</v>
      </c>
      <c r="B459">
        <v>637</v>
      </c>
      <c r="C459" s="125">
        <v>26</v>
      </c>
      <c r="D459" s="125" t="s">
        <v>1167</v>
      </c>
      <c r="E459" s="125" t="s">
        <v>212</v>
      </c>
      <c r="F459" s="125" t="s">
        <v>216</v>
      </c>
      <c r="G459" s="125" t="s">
        <v>1184</v>
      </c>
      <c r="H459" s="125" t="s">
        <v>1185</v>
      </c>
      <c r="I459" s="125" t="s">
        <v>82</v>
      </c>
      <c r="J459" s="126">
        <v>27950</v>
      </c>
      <c r="K459" s="126">
        <v>14000</v>
      </c>
      <c r="L459" s="127">
        <v>19.5</v>
      </c>
      <c r="M459" s="126">
        <v>13950</v>
      </c>
      <c r="N459" s="126">
        <v>11229.7</v>
      </c>
      <c r="O459" s="126" t="s">
        <v>511</v>
      </c>
      <c r="P459" s="127" t="s">
        <v>1265</v>
      </c>
      <c r="Q459" s="129">
        <v>45831</v>
      </c>
      <c r="R459" s="139">
        <v>0.62234953703703699</v>
      </c>
    </row>
    <row r="460" spans="1:18" ht="38.25" x14ac:dyDescent="0.25">
      <c r="A460" s="125" t="s">
        <v>1259</v>
      </c>
      <c r="B460">
        <v>638</v>
      </c>
      <c r="C460" s="125">
        <v>28</v>
      </c>
      <c r="D460" s="125" t="s">
        <v>1167</v>
      </c>
      <c r="E460" s="125" t="s">
        <v>1152</v>
      </c>
      <c r="F460" s="125" t="s">
        <v>119</v>
      </c>
      <c r="G460" s="125" t="s">
        <v>1168</v>
      </c>
      <c r="H460" s="125" t="s">
        <v>1185</v>
      </c>
      <c r="I460" s="125" t="s">
        <v>82</v>
      </c>
      <c r="J460" s="126">
        <v>35190</v>
      </c>
      <c r="K460" s="126">
        <v>21180</v>
      </c>
      <c r="L460" s="127">
        <v>22.5</v>
      </c>
      <c r="M460" s="126">
        <v>14010</v>
      </c>
      <c r="N460" s="126">
        <v>10857.7</v>
      </c>
      <c r="O460" s="126" t="s">
        <v>511</v>
      </c>
      <c r="P460" s="127" t="s">
        <v>1266</v>
      </c>
      <c r="Q460" s="129">
        <v>45831</v>
      </c>
      <c r="R460" s="139">
        <v>0.68644675925925924</v>
      </c>
    </row>
    <row r="461" spans="1:18" ht="38.25" x14ac:dyDescent="0.25">
      <c r="A461" s="125" t="s">
        <v>1260</v>
      </c>
      <c r="B461">
        <v>639</v>
      </c>
      <c r="C461" s="125">
        <v>27</v>
      </c>
      <c r="D461" s="125" t="s">
        <v>1167</v>
      </c>
      <c r="E461" s="125" t="s">
        <v>151</v>
      </c>
      <c r="F461" s="125" t="s">
        <v>155</v>
      </c>
      <c r="G461" s="125" t="s">
        <v>1168</v>
      </c>
      <c r="H461" s="125" t="s">
        <v>1185</v>
      </c>
      <c r="I461" s="125" t="s">
        <v>82</v>
      </c>
      <c r="J461" s="126">
        <v>28910</v>
      </c>
      <c r="K461" s="126">
        <v>14960</v>
      </c>
      <c r="L461" s="127">
        <v>15</v>
      </c>
      <c r="M461" s="126">
        <v>13950</v>
      </c>
      <c r="N461" s="126">
        <v>11857.5</v>
      </c>
      <c r="O461" s="126" t="s">
        <v>511</v>
      </c>
      <c r="P461" s="127" t="s">
        <v>1267</v>
      </c>
      <c r="Q461" s="129">
        <v>45831</v>
      </c>
      <c r="R461" s="139">
        <v>0.75113425925925925</v>
      </c>
    </row>
    <row r="462" spans="1:18" ht="38.25" x14ac:dyDescent="0.25">
      <c r="A462" s="125" t="s">
        <v>1261</v>
      </c>
      <c r="B462">
        <v>640</v>
      </c>
      <c r="C462" s="125">
        <v>29</v>
      </c>
      <c r="D462" s="125" t="s">
        <v>1167</v>
      </c>
      <c r="E462" s="125" t="s">
        <v>160</v>
      </c>
      <c r="F462" s="125" t="s">
        <v>164</v>
      </c>
      <c r="G462" s="125" t="s">
        <v>1168</v>
      </c>
      <c r="H462" s="125" t="s">
        <v>1185</v>
      </c>
      <c r="I462" s="125" t="s">
        <v>82</v>
      </c>
      <c r="J462" s="126">
        <v>37910</v>
      </c>
      <c r="K462" s="126">
        <v>24140</v>
      </c>
      <c r="L462" s="127">
        <v>15.5</v>
      </c>
      <c r="M462" s="126">
        <v>13770</v>
      </c>
      <c r="N462" s="126">
        <v>11635.6</v>
      </c>
      <c r="O462" s="126" t="s">
        <v>511</v>
      </c>
      <c r="P462" s="127" t="s">
        <v>1268</v>
      </c>
      <c r="Q462" s="129">
        <v>45831</v>
      </c>
      <c r="R462" s="139">
        <v>0.81674768518518515</v>
      </c>
    </row>
    <row r="463" spans="1:18" ht="38.25" x14ac:dyDescent="0.25">
      <c r="A463" s="125" t="s">
        <v>1262</v>
      </c>
      <c r="B463">
        <v>641</v>
      </c>
      <c r="C463" s="125">
        <v>30</v>
      </c>
      <c r="D463" s="125" t="s">
        <v>1167</v>
      </c>
      <c r="E463" s="125" t="s">
        <v>311</v>
      </c>
      <c r="F463" s="125" t="s">
        <v>315</v>
      </c>
      <c r="G463" s="125" t="s">
        <v>1168</v>
      </c>
      <c r="H463" s="125" t="s">
        <v>1185</v>
      </c>
      <c r="I463" s="125" t="s">
        <v>82</v>
      </c>
      <c r="J463" s="126">
        <v>28840</v>
      </c>
      <c r="K463" s="126">
        <v>15080</v>
      </c>
      <c r="L463" s="127">
        <v>18.5</v>
      </c>
      <c r="M463" s="126">
        <v>13760</v>
      </c>
      <c r="N463" s="126">
        <v>11214.4</v>
      </c>
      <c r="O463" s="126" t="s">
        <v>511</v>
      </c>
      <c r="P463" s="127" t="s">
        <v>1269</v>
      </c>
      <c r="Q463" s="129">
        <v>45831</v>
      </c>
      <c r="R463" s="139">
        <v>0.83125000000000004</v>
      </c>
    </row>
    <row r="464" spans="1:18" ht="38.25" x14ac:dyDescent="0.25">
      <c r="A464" s="125" t="s">
        <v>1263</v>
      </c>
      <c r="B464">
        <v>642</v>
      </c>
      <c r="C464" s="125">
        <v>31</v>
      </c>
      <c r="D464" s="125" t="s">
        <v>1167</v>
      </c>
      <c r="E464" s="125" t="s">
        <v>1253</v>
      </c>
      <c r="F464" s="125" t="s">
        <v>270</v>
      </c>
      <c r="G464" s="125" t="s">
        <v>1168</v>
      </c>
      <c r="H464" s="125" t="s">
        <v>1185</v>
      </c>
      <c r="I464" s="125" t="s">
        <v>82</v>
      </c>
      <c r="J464" s="126">
        <v>28290</v>
      </c>
      <c r="K464" s="126">
        <v>14910</v>
      </c>
      <c r="L464" s="127">
        <v>18.5</v>
      </c>
      <c r="M464" s="126">
        <v>13380</v>
      </c>
      <c r="N464" s="126">
        <v>10904.7</v>
      </c>
      <c r="O464" s="126" t="s">
        <v>511</v>
      </c>
      <c r="P464" s="127" t="s">
        <v>1270</v>
      </c>
      <c r="Q464" s="129">
        <v>45831</v>
      </c>
      <c r="R464" s="139">
        <v>0.95293981481481482</v>
      </c>
    </row>
    <row r="465" spans="1:18" ht="38.25" x14ac:dyDescent="0.25">
      <c r="A465" s="125" t="s">
        <v>1264</v>
      </c>
      <c r="B465">
        <v>643</v>
      </c>
      <c r="C465" s="125">
        <v>32</v>
      </c>
      <c r="D465" s="125" t="s">
        <v>1167</v>
      </c>
      <c r="E465" s="125" t="s">
        <v>234</v>
      </c>
      <c r="F465" s="125" t="s">
        <v>238</v>
      </c>
      <c r="G465" s="125" t="s">
        <v>1168</v>
      </c>
      <c r="H465" s="125" t="s">
        <v>1185</v>
      </c>
      <c r="I465" s="125" t="s">
        <v>82</v>
      </c>
      <c r="J465" s="126">
        <v>28630</v>
      </c>
      <c r="K465" s="126">
        <v>15800</v>
      </c>
      <c r="L465" s="127">
        <v>17.5</v>
      </c>
      <c r="M465" s="126">
        <v>12830</v>
      </c>
      <c r="N465" s="126">
        <v>10584.7</v>
      </c>
      <c r="O465" s="126" t="s">
        <v>511</v>
      </c>
      <c r="P465" s="127" t="s">
        <v>1271</v>
      </c>
      <c r="Q465" s="129">
        <v>45831</v>
      </c>
      <c r="R465" s="139">
        <v>0.93208333333333337</v>
      </c>
    </row>
    <row r="466" spans="1:18" ht="38.25" x14ac:dyDescent="0.25">
      <c r="A466" s="125" t="s">
        <v>1272</v>
      </c>
      <c r="B466" s="136">
        <v>647</v>
      </c>
      <c r="C466" s="137">
        <v>33</v>
      </c>
      <c r="D466" s="125" t="s">
        <v>1167</v>
      </c>
      <c r="E466" s="125" t="s">
        <v>1461</v>
      </c>
      <c r="F466" s="125" t="s">
        <v>149</v>
      </c>
      <c r="G466" s="125" t="s">
        <v>1168</v>
      </c>
      <c r="H466" s="125" t="s">
        <v>1185</v>
      </c>
      <c r="I466" s="125" t="s">
        <v>82</v>
      </c>
      <c r="J466" s="126">
        <v>28570</v>
      </c>
      <c r="K466" s="126">
        <v>15040</v>
      </c>
      <c r="L466" s="138">
        <v>16</v>
      </c>
      <c r="M466" s="126">
        <v>13530</v>
      </c>
      <c r="N466" s="126">
        <v>11365.2</v>
      </c>
      <c r="O466" s="126" t="s">
        <v>511</v>
      </c>
      <c r="P466" s="127" t="s">
        <v>1291</v>
      </c>
      <c r="Q466" s="129">
        <v>45832</v>
      </c>
      <c r="R466" s="139">
        <v>0.81931712962962966</v>
      </c>
    </row>
    <row r="467" spans="1:18" ht="38.25" x14ac:dyDescent="0.25">
      <c r="A467" s="125" t="s">
        <v>1273</v>
      </c>
      <c r="B467" s="136">
        <v>648</v>
      </c>
      <c r="C467" s="137">
        <v>34</v>
      </c>
      <c r="D467" s="125" t="s">
        <v>1167</v>
      </c>
      <c r="E467" s="125" t="s">
        <v>335</v>
      </c>
      <c r="F467" s="125" t="s">
        <v>339</v>
      </c>
      <c r="G467" s="125" t="s">
        <v>1168</v>
      </c>
      <c r="H467" s="125" t="s">
        <v>901</v>
      </c>
      <c r="I467" s="125" t="s">
        <v>82</v>
      </c>
      <c r="J467" s="126">
        <v>28260</v>
      </c>
      <c r="K467" s="126">
        <v>21400</v>
      </c>
      <c r="L467" s="138">
        <v>14</v>
      </c>
      <c r="M467" s="126">
        <v>6860</v>
      </c>
      <c r="N467" s="126">
        <v>5899.6</v>
      </c>
      <c r="O467" s="126" t="s">
        <v>511</v>
      </c>
      <c r="P467" s="127" t="s">
        <v>1292</v>
      </c>
      <c r="Q467" s="129">
        <v>45832</v>
      </c>
      <c r="R467" s="139">
        <v>0.8492939814814815</v>
      </c>
    </row>
    <row r="468" spans="1:18" ht="38.25" x14ac:dyDescent="0.25">
      <c r="A468" s="125" t="s">
        <v>1274</v>
      </c>
      <c r="B468" s="136">
        <v>649</v>
      </c>
      <c r="C468" s="137">
        <v>34</v>
      </c>
      <c r="D468" s="125" t="s">
        <v>1167</v>
      </c>
      <c r="E468" s="125" t="s">
        <v>335</v>
      </c>
      <c r="F468" s="125" t="s">
        <v>339</v>
      </c>
      <c r="G468" s="125" t="s">
        <v>1168</v>
      </c>
      <c r="H468" s="125" t="s">
        <v>1185</v>
      </c>
      <c r="I468" s="125" t="s">
        <v>82</v>
      </c>
      <c r="J468" s="126">
        <v>21400</v>
      </c>
      <c r="K468" s="126">
        <v>14780</v>
      </c>
      <c r="L468" s="138">
        <v>12</v>
      </c>
      <c r="M468" s="126">
        <v>6620</v>
      </c>
      <c r="N468" s="126">
        <v>5825.6</v>
      </c>
      <c r="O468" s="126" t="s">
        <v>511</v>
      </c>
      <c r="P468" s="127" t="s">
        <v>1293</v>
      </c>
      <c r="Q468" s="129">
        <v>45832</v>
      </c>
      <c r="R468" s="139">
        <v>0.85091435185185182</v>
      </c>
    </row>
    <row r="469" spans="1:18" ht="38.25" x14ac:dyDescent="0.25">
      <c r="A469" s="125" t="s">
        <v>1275</v>
      </c>
      <c r="B469" s="136">
        <v>650</v>
      </c>
      <c r="C469" s="137">
        <v>35</v>
      </c>
      <c r="D469" s="125" t="s">
        <v>1167</v>
      </c>
      <c r="E469" s="125" t="s">
        <v>272</v>
      </c>
      <c r="F469" s="125" t="s">
        <v>276</v>
      </c>
      <c r="G469" s="125" t="s">
        <v>1168</v>
      </c>
      <c r="H469" s="125" t="s">
        <v>901</v>
      </c>
      <c r="I469" s="125" t="s">
        <v>82</v>
      </c>
      <c r="J469" s="126">
        <v>28550</v>
      </c>
      <c r="K469" s="126">
        <v>14990</v>
      </c>
      <c r="L469" s="138">
        <v>16.5</v>
      </c>
      <c r="M469" s="126">
        <v>13560</v>
      </c>
      <c r="N469" s="126">
        <v>11322.6</v>
      </c>
      <c r="O469" s="126" t="s">
        <v>511</v>
      </c>
      <c r="P469" s="127" t="s">
        <v>1294</v>
      </c>
      <c r="Q469" s="129">
        <v>45832</v>
      </c>
      <c r="R469" s="139">
        <v>0.87482638888888886</v>
      </c>
    </row>
    <row r="470" spans="1:18" ht="38.25" x14ac:dyDescent="0.25">
      <c r="A470" s="125" t="s">
        <v>1276</v>
      </c>
      <c r="B470" s="136">
        <v>651</v>
      </c>
      <c r="C470" s="125">
        <v>36</v>
      </c>
      <c r="D470" s="125" t="s">
        <v>1167</v>
      </c>
      <c r="E470" s="125" t="s">
        <v>239</v>
      </c>
      <c r="F470" s="125" t="s">
        <v>243</v>
      </c>
      <c r="G470" s="125" t="s">
        <v>1168</v>
      </c>
      <c r="H470" s="125" t="s">
        <v>901</v>
      </c>
      <c r="I470" s="125" t="s">
        <v>82</v>
      </c>
      <c r="J470" s="126">
        <v>28120</v>
      </c>
      <c r="K470" s="126">
        <v>14700</v>
      </c>
      <c r="L470" s="127">
        <v>15.5</v>
      </c>
      <c r="M470" s="126">
        <v>13420</v>
      </c>
      <c r="N470" s="126">
        <v>11339.9</v>
      </c>
      <c r="O470" s="126" t="s">
        <v>511</v>
      </c>
      <c r="P470" s="127" t="s">
        <v>1295</v>
      </c>
      <c r="Q470" s="129">
        <v>45832</v>
      </c>
      <c r="R470" s="139">
        <v>0.90998842592592588</v>
      </c>
    </row>
    <row r="471" spans="1:18" ht="38.25" x14ac:dyDescent="0.25">
      <c r="A471" s="125" t="s">
        <v>1280</v>
      </c>
      <c r="B471">
        <v>652</v>
      </c>
      <c r="C471" s="125">
        <v>36</v>
      </c>
      <c r="D471" s="125" t="s">
        <v>1167</v>
      </c>
      <c r="E471" s="125" t="s">
        <v>347</v>
      </c>
      <c r="F471" s="125" t="s">
        <v>351</v>
      </c>
      <c r="G471" s="125" t="s">
        <v>1168</v>
      </c>
      <c r="H471" s="125" t="s">
        <v>901</v>
      </c>
      <c r="I471" s="125" t="s">
        <v>82</v>
      </c>
      <c r="J471" s="126">
        <v>32280</v>
      </c>
      <c r="K471" s="126">
        <v>18780</v>
      </c>
      <c r="L471" s="127">
        <v>13.5</v>
      </c>
      <c r="M471" s="126">
        <v>13500</v>
      </c>
      <c r="N471" s="126">
        <v>11677.5</v>
      </c>
      <c r="O471" s="126" t="s">
        <v>511</v>
      </c>
      <c r="P471" s="127" t="s">
        <v>1296</v>
      </c>
      <c r="Q471" s="129">
        <v>45832</v>
      </c>
      <c r="R471" s="139">
        <v>0.95050925925925922</v>
      </c>
    </row>
    <row r="472" spans="1:18" ht="38.25" x14ac:dyDescent="0.25">
      <c r="A472" s="125" t="s">
        <v>1281</v>
      </c>
      <c r="B472">
        <v>653</v>
      </c>
      <c r="C472" s="125">
        <v>37</v>
      </c>
      <c r="D472" s="125" t="s">
        <v>1167</v>
      </c>
      <c r="E472" s="125" t="s">
        <v>133</v>
      </c>
      <c r="F472" s="125" t="s">
        <v>137</v>
      </c>
      <c r="G472" s="125" t="s">
        <v>1168</v>
      </c>
      <c r="H472" s="125" t="s">
        <v>901</v>
      </c>
      <c r="I472" s="125" t="s">
        <v>82</v>
      </c>
      <c r="J472" s="126">
        <v>27870</v>
      </c>
      <c r="K472" s="126">
        <v>14970</v>
      </c>
      <c r="L472" s="127">
        <v>15.5</v>
      </c>
      <c r="M472" s="126">
        <v>12900</v>
      </c>
      <c r="N472" s="126">
        <v>10900.5</v>
      </c>
      <c r="O472" s="126" t="s">
        <v>511</v>
      </c>
      <c r="P472" s="127" t="s">
        <v>1297</v>
      </c>
      <c r="Q472" s="129">
        <v>45832</v>
      </c>
      <c r="R472" s="139">
        <v>0.95622685185185186</v>
      </c>
    </row>
    <row r="473" spans="1:18" ht="38.25" x14ac:dyDescent="0.25">
      <c r="A473" s="125" t="s">
        <v>1282</v>
      </c>
      <c r="B473">
        <v>654</v>
      </c>
      <c r="C473" s="125">
        <v>38</v>
      </c>
      <c r="D473" s="125" t="s">
        <v>1167</v>
      </c>
      <c r="E473" s="125" t="s">
        <v>311</v>
      </c>
      <c r="F473" s="125" t="s">
        <v>315</v>
      </c>
      <c r="G473" s="125" t="s">
        <v>1168</v>
      </c>
      <c r="H473" s="125" t="s">
        <v>901</v>
      </c>
      <c r="I473" s="125" t="s">
        <v>82</v>
      </c>
      <c r="J473" s="126">
        <v>28890</v>
      </c>
      <c r="K473" s="126">
        <v>15200</v>
      </c>
      <c r="L473" s="127">
        <v>18</v>
      </c>
      <c r="M473" s="126">
        <v>13690</v>
      </c>
      <c r="N473" s="126">
        <v>11225.8</v>
      </c>
      <c r="O473" s="126" t="s">
        <v>511</v>
      </c>
      <c r="P473" s="127" t="s">
        <v>1298</v>
      </c>
      <c r="Q473" s="129">
        <v>45832</v>
      </c>
      <c r="R473" s="139">
        <v>0.99878472222222225</v>
      </c>
    </row>
    <row r="474" spans="1:18" ht="38.25" x14ac:dyDescent="0.25">
      <c r="A474" s="125" t="s">
        <v>1283</v>
      </c>
      <c r="B474">
        <v>655</v>
      </c>
      <c r="C474" s="125">
        <v>39</v>
      </c>
      <c r="D474" s="125" t="s">
        <v>1167</v>
      </c>
      <c r="E474" s="125" t="s">
        <v>166</v>
      </c>
      <c r="F474" s="125" t="s">
        <v>170</v>
      </c>
      <c r="G474" s="125" t="s">
        <v>1168</v>
      </c>
      <c r="H474" s="125" t="s">
        <v>901</v>
      </c>
      <c r="I474" s="125" t="s">
        <v>82</v>
      </c>
      <c r="J474" s="126">
        <v>28640</v>
      </c>
      <c r="K474" s="126">
        <v>15210</v>
      </c>
      <c r="L474" s="127">
        <v>16.5</v>
      </c>
      <c r="M474" s="126">
        <v>13430</v>
      </c>
      <c r="N474" s="126">
        <v>11214</v>
      </c>
      <c r="O474" s="126" t="s">
        <v>511</v>
      </c>
      <c r="P474" s="127" t="s">
        <v>1299</v>
      </c>
      <c r="Q474" s="129">
        <v>45833</v>
      </c>
      <c r="R474" s="139">
        <v>7.2916666666666671E-2</v>
      </c>
    </row>
    <row r="475" spans="1:18" ht="38.25" x14ac:dyDescent="0.25">
      <c r="A475" s="125" t="s">
        <v>1284</v>
      </c>
      <c r="B475">
        <v>656</v>
      </c>
      <c r="C475" s="125">
        <v>40</v>
      </c>
      <c r="D475" s="125" t="s">
        <v>1167</v>
      </c>
      <c r="E475" s="125" t="s">
        <v>329</v>
      </c>
      <c r="F475" s="125" t="s">
        <v>333</v>
      </c>
      <c r="G475" s="125" t="s">
        <v>1168</v>
      </c>
      <c r="H475" s="125" t="s">
        <v>901</v>
      </c>
      <c r="I475" s="125" t="s">
        <v>82</v>
      </c>
      <c r="J475" s="126">
        <v>28540</v>
      </c>
      <c r="K475" s="126">
        <v>15200</v>
      </c>
      <c r="L475" s="127">
        <v>17</v>
      </c>
      <c r="M475" s="126">
        <v>13340</v>
      </c>
      <c r="N475" s="126">
        <v>11072.2</v>
      </c>
      <c r="O475" s="126" t="s">
        <v>511</v>
      </c>
      <c r="P475" s="127" t="s">
        <v>1300</v>
      </c>
      <c r="Q475" s="129">
        <v>45833</v>
      </c>
      <c r="R475" s="139">
        <v>9.6423611111111113E-2</v>
      </c>
    </row>
    <row r="476" spans="1:18" ht="38.25" x14ac:dyDescent="0.25">
      <c r="A476" s="125" t="s">
        <v>1285</v>
      </c>
      <c r="B476">
        <v>657</v>
      </c>
      <c r="C476" s="125">
        <v>41</v>
      </c>
      <c r="D476" s="125" t="s">
        <v>1167</v>
      </c>
      <c r="E476" s="125" t="s">
        <v>1151</v>
      </c>
      <c r="F476" s="125" t="s">
        <v>145</v>
      </c>
      <c r="G476" s="125" t="s">
        <v>1168</v>
      </c>
      <c r="H476" s="125" t="s">
        <v>901</v>
      </c>
      <c r="I476" s="125" t="s">
        <v>82</v>
      </c>
      <c r="J476" s="126">
        <v>28910</v>
      </c>
      <c r="K476" s="126">
        <v>15730</v>
      </c>
      <c r="L476" s="127">
        <v>14.5</v>
      </c>
      <c r="M476" s="126">
        <v>13180</v>
      </c>
      <c r="N476" s="126">
        <v>11268.9</v>
      </c>
      <c r="O476" s="126" t="s">
        <v>511</v>
      </c>
      <c r="P476" s="127" t="s">
        <v>1301</v>
      </c>
      <c r="Q476" s="129">
        <v>45833</v>
      </c>
      <c r="R476" s="139">
        <v>0.14627314814814815</v>
      </c>
    </row>
    <row r="477" spans="1:18" ht="38.25" x14ac:dyDescent="0.25">
      <c r="A477" s="125" t="s">
        <v>1286</v>
      </c>
      <c r="B477">
        <v>658</v>
      </c>
      <c r="C477" s="125">
        <v>42</v>
      </c>
      <c r="D477" s="125" t="s">
        <v>1167</v>
      </c>
      <c r="E477" s="125" t="s">
        <v>1253</v>
      </c>
      <c r="F477" s="125" t="s">
        <v>270</v>
      </c>
      <c r="G477" s="125" t="s">
        <v>1168</v>
      </c>
      <c r="H477" s="125" t="s">
        <v>901</v>
      </c>
      <c r="I477" s="125" t="s">
        <v>82</v>
      </c>
      <c r="J477" s="126">
        <v>28650</v>
      </c>
      <c r="K477" s="126">
        <v>15100</v>
      </c>
      <c r="L477" s="127">
        <v>16.5</v>
      </c>
      <c r="M477" s="126">
        <v>13550</v>
      </c>
      <c r="N477" s="126">
        <v>11314.2</v>
      </c>
      <c r="O477" s="126" t="s">
        <v>511</v>
      </c>
      <c r="P477" s="127" t="s">
        <v>1302</v>
      </c>
      <c r="Q477" s="129">
        <v>45833</v>
      </c>
      <c r="R477" s="139">
        <v>0.19287037037037036</v>
      </c>
    </row>
    <row r="478" spans="1:18" ht="38.25" x14ac:dyDescent="0.25">
      <c r="A478" s="125" t="s">
        <v>1287</v>
      </c>
      <c r="B478">
        <v>659</v>
      </c>
      <c r="C478" s="125">
        <v>43</v>
      </c>
      <c r="D478" s="125" t="s">
        <v>1167</v>
      </c>
      <c r="E478" s="125" t="s">
        <v>151</v>
      </c>
      <c r="F478" s="125" t="s">
        <v>155</v>
      </c>
      <c r="G478" s="125" t="s">
        <v>1168</v>
      </c>
      <c r="H478" s="125" t="s">
        <v>901</v>
      </c>
      <c r="I478" s="125" t="s">
        <v>82</v>
      </c>
      <c r="J478" s="126">
        <v>28180</v>
      </c>
      <c r="K478" s="126">
        <v>15020</v>
      </c>
      <c r="L478" s="127">
        <v>19.5</v>
      </c>
      <c r="M478" s="126">
        <v>13160</v>
      </c>
      <c r="N478" s="126">
        <v>10593.8</v>
      </c>
      <c r="O478" s="126" t="s">
        <v>511</v>
      </c>
      <c r="P478" s="127" t="s">
        <v>1303</v>
      </c>
      <c r="Q478" s="129">
        <v>45833</v>
      </c>
      <c r="R478" s="139">
        <v>0.23186342592592593</v>
      </c>
    </row>
    <row r="479" spans="1:18" ht="38.25" x14ac:dyDescent="0.25">
      <c r="A479" s="125" t="s">
        <v>1288</v>
      </c>
      <c r="B479">
        <v>660</v>
      </c>
      <c r="C479" s="125">
        <v>44</v>
      </c>
      <c r="D479" s="125" t="s">
        <v>1167</v>
      </c>
      <c r="E479" s="125" t="s">
        <v>160</v>
      </c>
      <c r="F479" s="125" t="s">
        <v>164</v>
      </c>
      <c r="G479" s="125" t="s">
        <v>1168</v>
      </c>
      <c r="H479" s="125" t="s">
        <v>901</v>
      </c>
      <c r="I479" s="125" t="s">
        <v>82</v>
      </c>
      <c r="J479" s="126">
        <v>37380</v>
      </c>
      <c r="K479" s="126">
        <v>24270</v>
      </c>
      <c r="L479" s="127">
        <v>17.5</v>
      </c>
      <c r="M479" s="126">
        <v>13110</v>
      </c>
      <c r="N479" s="126">
        <v>10815.7</v>
      </c>
      <c r="O479" s="126" t="s">
        <v>511</v>
      </c>
      <c r="P479" s="127" t="s">
        <v>1304</v>
      </c>
      <c r="Q479" s="129">
        <v>45833</v>
      </c>
      <c r="R479" s="139">
        <v>0.31690972222222225</v>
      </c>
    </row>
    <row r="480" spans="1:18" ht="38.25" x14ac:dyDescent="0.25">
      <c r="A480" s="125" t="s">
        <v>1289</v>
      </c>
      <c r="B480">
        <v>661</v>
      </c>
      <c r="C480" s="125">
        <v>45</v>
      </c>
      <c r="D480" s="125" t="s">
        <v>1167</v>
      </c>
      <c r="E480" s="125" t="s">
        <v>1461</v>
      </c>
      <c r="F480" s="125" t="s">
        <v>149</v>
      </c>
      <c r="G480" s="125" t="s">
        <v>1168</v>
      </c>
      <c r="H480" s="125" t="s">
        <v>901</v>
      </c>
      <c r="I480" s="125" t="s">
        <v>82</v>
      </c>
      <c r="J480" s="126">
        <v>28450</v>
      </c>
      <c r="K480" s="126">
        <v>15260</v>
      </c>
      <c r="L480" s="127">
        <v>16.100000000000001</v>
      </c>
      <c r="M480" s="126">
        <v>13190</v>
      </c>
      <c r="N480" s="126">
        <v>11073</v>
      </c>
      <c r="O480" s="126" t="s">
        <v>511</v>
      </c>
      <c r="P480" s="127" t="s">
        <v>1305</v>
      </c>
      <c r="Q480" s="129">
        <v>45833</v>
      </c>
      <c r="R480" s="139">
        <v>0.3112037037037037</v>
      </c>
    </row>
    <row r="481" spans="1:18" ht="38.25" x14ac:dyDescent="0.25">
      <c r="A481" s="125" t="s">
        <v>1290</v>
      </c>
      <c r="B481">
        <v>662</v>
      </c>
      <c r="C481" s="125">
        <v>46</v>
      </c>
      <c r="D481" s="125" t="s">
        <v>1167</v>
      </c>
      <c r="E481" s="125" t="s">
        <v>272</v>
      </c>
      <c r="F481" s="125" t="s">
        <v>276</v>
      </c>
      <c r="G481" s="125" t="s">
        <v>1168</v>
      </c>
      <c r="H481" s="125" t="s">
        <v>901</v>
      </c>
      <c r="I481" s="125" t="s">
        <v>82</v>
      </c>
      <c r="J481" s="126">
        <v>28180</v>
      </c>
      <c r="K481" s="126">
        <v>14940</v>
      </c>
      <c r="L481" s="127">
        <v>14.5</v>
      </c>
      <c r="M481" s="126">
        <v>13240</v>
      </c>
      <c r="N481" s="126">
        <v>11320.2</v>
      </c>
      <c r="O481" s="126" t="s">
        <v>511</v>
      </c>
      <c r="P481" s="127" t="s">
        <v>1306</v>
      </c>
      <c r="Q481" s="129">
        <v>45833</v>
      </c>
      <c r="R481" s="139">
        <v>0.36723379629629632</v>
      </c>
    </row>
    <row r="482" spans="1:18" ht="38.25" x14ac:dyDescent="0.25">
      <c r="A482" s="125" t="s">
        <v>1313</v>
      </c>
      <c r="B482">
        <v>664</v>
      </c>
      <c r="C482" s="125">
        <v>48</v>
      </c>
      <c r="D482" s="125" t="s">
        <v>1167</v>
      </c>
      <c r="E482" s="125" t="s">
        <v>1253</v>
      </c>
      <c r="F482" s="125" t="s">
        <v>270</v>
      </c>
      <c r="G482" s="125" t="s">
        <v>1168</v>
      </c>
      <c r="H482" s="125" t="s">
        <v>901</v>
      </c>
      <c r="I482" s="125" t="s">
        <v>82</v>
      </c>
      <c r="J482" s="126">
        <v>15880</v>
      </c>
      <c r="K482" s="126">
        <v>9720</v>
      </c>
      <c r="L482" s="127">
        <v>19.5</v>
      </c>
      <c r="M482" s="126">
        <v>6160</v>
      </c>
      <c r="N482" s="126">
        <v>4958.8</v>
      </c>
      <c r="O482" s="126" t="s">
        <v>511</v>
      </c>
      <c r="P482" s="127" t="s">
        <v>1335</v>
      </c>
      <c r="Q482" s="129">
        <v>45833</v>
      </c>
      <c r="R482" s="139">
        <v>0.49915509259259261</v>
      </c>
    </row>
    <row r="483" spans="1:18" ht="38.25" x14ac:dyDescent="0.25">
      <c r="A483" s="125" t="s">
        <v>1314</v>
      </c>
      <c r="B483">
        <v>665</v>
      </c>
      <c r="C483" s="125">
        <v>47</v>
      </c>
      <c r="D483" s="125" t="s">
        <v>1167</v>
      </c>
      <c r="E483" s="125" t="s">
        <v>1151</v>
      </c>
      <c r="F483" s="125" t="s">
        <v>145</v>
      </c>
      <c r="G483" s="125" t="s">
        <v>1168</v>
      </c>
      <c r="H483" s="125" t="s">
        <v>901</v>
      </c>
      <c r="I483" s="125" t="s">
        <v>82</v>
      </c>
      <c r="J483" s="126">
        <v>28810</v>
      </c>
      <c r="K483" s="126">
        <v>15740</v>
      </c>
      <c r="L483" s="127">
        <v>16.5</v>
      </c>
      <c r="M483" s="126">
        <v>13070</v>
      </c>
      <c r="N483" s="126">
        <v>10913.4</v>
      </c>
      <c r="O483" s="126" t="s">
        <v>511</v>
      </c>
      <c r="P483" s="127" t="s">
        <v>1336</v>
      </c>
      <c r="Q483" s="129">
        <v>45833</v>
      </c>
      <c r="R483" s="139">
        <v>0.5092592592592593</v>
      </c>
    </row>
    <row r="484" spans="1:18" ht="38.25" x14ac:dyDescent="0.25">
      <c r="A484" s="125" t="s">
        <v>1315</v>
      </c>
      <c r="B484">
        <v>671</v>
      </c>
      <c r="C484" s="125">
        <v>54957</v>
      </c>
      <c r="D484" s="125" t="s">
        <v>914</v>
      </c>
      <c r="E484" s="125" t="s">
        <v>127</v>
      </c>
      <c r="F484" s="125" t="s">
        <v>131</v>
      </c>
      <c r="G484" s="125">
        <v>14</v>
      </c>
      <c r="H484" s="125" t="s">
        <v>1316</v>
      </c>
      <c r="I484" s="125" t="s">
        <v>82</v>
      </c>
      <c r="J484" s="126">
        <v>18390</v>
      </c>
      <c r="K484" s="126">
        <v>14220</v>
      </c>
      <c r="L484" s="127">
        <v>17</v>
      </c>
      <c r="M484" s="126">
        <v>4170</v>
      </c>
      <c r="N484" s="126">
        <v>3461.1</v>
      </c>
      <c r="O484" s="126" t="s">
        <v>511</v>
      </c>
      <c r="P484" s="127" t="s">
        <v>1337</v>
      </c>
      <c r="Q484" s="129">
        <v>45836</v>
      </c>
      <c r="R484" s="139">
        <v>0.36881944444444442</v>
      </c>
    </row>
    <row r="485" spans="1:18" ht="38.25" x14ac:dyDescent="0.25">
      <c r="A485" s="125" t="s">
        <v>1317</v>
      </c>
      <c r="B485">
        <v>672</v>
      </c>
      <c r="C485" s="125">
        <v>51</v>
      </c>
      <c r="D485" s="125" t="s">
        <v>1167</v>
      </c>
      <c r="E485" s="125" t="s">
        <v>894</v>
      </c>
      <c r="F485" s="125" t="s">
        <v>895</v>
      </c>
      <c r="G485" s="125" t="s">
        <v>1168</v>
      </c>
      <c r="H485" s="125" t="s">
        <v>1318</v>
      </c>
      <c r="I485" s="125" t="s">
        <v>82</v>
      </c>
      <c r="J485" s="126">
        <v>28270</v>
      </c>
      <c r="K485" s="126">
        <v>14880</v>
      </c>
      <c r="L485" s="127">
        <v>14</v>
      </c>
      <c r="M485" s="126">
        <v>13390</v>
      </c>
      <c r="N485" s="126">
        <v>11515.4</v>
      </c>
      <c r="O485" s="126" t="s">
        <v>511</v>
      </c>
      <c r="P485" s="127" t="s">
        <v>1338</v>
      </c>
      <c r="Q485" s="129">
        <v>45836</v>
      </c>
      <c r="R485" s="139">
        <v>0.58863425925925927</v>
      </c>
    </row>
    <row r="486" spans="1:18" ht="38.25" x14ac:dyDescent="0.25">
      <c r="A486" s="125" t="s">
        <v>1319</v>
      </c>
      <c r="B486">
        <v>673</v>
      </c>
      <c r="C486" s="125">
        <v>49</v>
      </c>
      <c r="D486" s="125" t="s">
        <v>1167</v>
      </c>
      <c r="E486" s="125" t="s">
        <v>311</v>
      </c>
      <c r="F486" s="125" t="s">
        <v>315</v>
      </c>
      <c r="G486" s="125" t="s">
        <v>1168</v>
      </c>
      <c r="H486" s="125" t="s">
        <v>1318</v>
      </c>
      <c r="I486" s="125" t="s">
        <v>82</v>
      </c>
      <c r="J486" s="126">
        <v>29130</v>
      </c>
      <c r="K486" s="126">
        <v>15110</v>
      </c>
      <c r="L486" s="127">
        <v>14.5</v>
      </c>
      <c r="M486" s="126">
        <v>14020</v>
      </c>
      <c r="N486" s="126">
        <v>11987.1</v>
      </c>
      <c r="O486" s="126" t="s">
        <v>511</v>
      </c>
      <c r="P486" s="127" t="s">
        <v>1339</v>
      </c>
      <c r="Q486" s="129">
        <v>45836</v>
      </c>
      <c r="R486" s="139">
        <v>0.57376157407407402</v>
      </c>
    </row>
    <row r="487" spans="1:18" ht="38.25" x14ac:dyDescent="0.25">
      <c r="A487" s="125" t="s">
        <v>1320</v>
      </c>
      <c r="B487">
        <v>675</v>
      </c>
      <c r="C487" s="125">
        <v>52</v>
      </c>
      <c r="D487" s="125" t="s">
        <v>1167</v>
      </c>
      <c r="E487" s="125" t="s">
        <v>335</v>
      </c>
      <c r="F487" s="125" t="s">
        <v>339</v>
      </c>
      <c r="G487" s="125" t="s">
        <v>1168</v>
      </c>
      <c r="H487" s="125" t="s">
        <v>909</v>
      </c>
      <c r="I487" s="125" t="s">
        <v>82</v>
      </c>
      <c r="J487" s="126">
        <v>22010</v>
      </c>
      <c r="K487" s="126">
        <v>14920</v>
      </c>
      <c r="L487" s="127">
        <v>19</v>
      </c>
      <c r="M487" s="126">
        <v>7090</v>
      </c>
      <c r="N487" s="126">
        <v>5742.9</v>
      </c>
      <c r="O487" s="126" t="s">
        <v>511</v>
      </c>
      <c r="P487" s="127" t="s">
        <v>1340</v>
      </c>
      <c r="Q487" s="129">
        <v>45836</v>
      </c>
      <c r="R487" s="139">
        <v>0.76694444444444443</v>
      </c>
    </row>
    <row r="488" spans="1:18" ht="38.25" x14ac:dyDescent="0.25">
      <c r="A488" s="125" t="s">
        <v>1322</v>
      </c>
      <c r="B488">
        <v>674</v>
      </c>
      <c r="C488" s="125">
        <v>52</v>
      </c>
      <c r="D488" s="125" t="s">
        <v>1167</v>
      </c>
      <c r="E488" s="125" t="s">
        <v>335</v>
      </c>
      <c r="F488" s="125" t="s">
        <v>339</v>
      </c>
      <c r="G488" s="125" t="s">
        <v>1168</v>
      </c>
      <c r="H488" s="125" t="s">
        <v>1318</v>
      </c>
      <c r="I488" s="125" t="s">
        <v>82</v>
      </c>
      <c r="J488" s="126">
        <v>29040</v>
      </c>
      <c r="K488" s="126">
        <v>22010</v>
      </c>
      <c r="L488" s="127">
        <v>17</v>
      </c>
      <c r="M488" s="126">
        <v>7030</v>
      </c>
      <c r="N488" s="126">
        <v>5834.9</v>
      </c>
      <c r="O488" s="126" t="s">
        <v>511</v>
      </c>
      <c r="P488" s="127" t="s">
        <v>1341</v>
      </c>
      <c r="Q488" s="129">
        <v>45836</v>
      </c>
      <c r="R488" s="139">
        <v>0.78046296296296291</v>
      </c>
    </row>
    <row r="489" spans="1:18" ht="38.25" x14ac:dyDescent="0.25">
      <c r="A489" s="125" t="s">
        <v>1323</v>
      </c>
      <c r="B489">
        <v>676</v>
      </c>
      <c r="C489" s="125">
        <v>50</v>
      </c>
      <c r="D489" s="125" t="s">
        <v>1167</v>
      </c>
      <c r="E489" s="125" t="s">
        <v>1312</v>
      </c>
      <c r="F489" s="125" t="s">
        <v>320</v>
      </c>
      <c r="G489" s="125" t="s">
        <v>1168</v>
      </c>
      <c r="H489" s="125" t="s">
        <v>909</v>
      </c>
      <c r="I489" s="125" t="s">
        <v>82</v>
      </c>
      <c r="J489" s="126">
        <v>29480</v>
      </c>
      <c r="K489" s="126">
        <v>14430</v>
      </c>
      <c r="L489" s="127">
        <v>15</v>
      </c>
      <c r="M489" s="126">
        <v>15050</v>
      </c>
      <c r="N489" s="126">
        <v>12792.5</v>
      </c>
      <c r="O489" s="126" t="s">
        <v>511</v>
      </c>
      <c r="P489" s="127" t="s">
        <v>1342</v>
      </c>
      <c r="Q489" s="129">
        <v>45836</v>
      </c>
      <c r="R489" s="139">
        <v>0.82682870370370365</v>
      </c>
    </row>
    <row r="490" spans="1:18" ht="38.25" x14ac:dyDescent="0.25">
      <c r="A490" s="125" t="s">
        <v>1324</v>
      </c>
      <c r="B490">
        <v>678</v>
      </c>
      <c r="C490" s="125">
        <v>55</v>
      </c>
      <c r="D490" s="125" t="s">
        <v>1167</v>
      </c>
      <c r="E490" s="125" t="s">
        <v>1325</v>
      </c>
      <c r="F490" s="125" t="s">
        <v>119</v>
      </c>
      <c r="G490" s="125" t="s">
        <v>1168</v>
      </c>
      <c r="H490" s="125" t="s">
        <v>909</v>
      </c>
      <c r="I490" s="125" t="s">
        <v>82</v>
      </c>
      <c r="J490" s="126">
        <v>35120</v>
      </c>
      <c r="K490" s="126">
        <v>27970</v>
      </c>
      <c r="L490" s="127">
        <v>10.5</v>
      </c>
      <c r="M490" s="126">
        <v>7150</v>
      </c>
      <c r="N490" s="126">
        <v>6399.2</v>
      </c>
      <c r="O490" s="126" t="s">
        <v>511</v>
      </c>
      <c r="P490" s="127" t="s">
        <v>1343</v>
      </c>
      <c r="Q490" s="129">
        <v>45837</v>
      </c>
      <c r="R490" s="139">
        <v>0.84834490740740742</v>
      </c>
    </row>
    <row r="491" spans="1:18" ht="38.25" x14ac:dyDescent="0.25">
      <c r="A491" s="125" t="s">
        <v>1326</v>
      </c>
      <c r="B491">
        <v>679</v>
      </c>
      <c r="C491" s="125">
        <v>55</v>
      </c>
      <c r="D491" s="125" t="s">
        <v>1167</v>
      </c>
      <c r="E491" s="125" t="s">
        <v>1325</v>
      </c>
      <c r="F491" s="125" t="s">
        <v>119</v>
      </c>
      <c r="G491" s="125" t="s">
        <v>1168</v>
      </c>
      <c r="H491" s="125" t="s">
        <v>1318</v>
      </c>
      <c r="I491" s="125" t="s">
        <v>82</v>
      </c>
      <c r="J491" s="126">
        <v>27970</v>
      </c>
      <c r="K491" s="126">
        <v>20920</v>
      </c>
      <c r="L491" s="127">
        <v>8.5</v>
      </c>
      <c r="M491" s="126">
        <v>7050</v>
      </c>
      <c r="N491" s="126">
        <v>6450.7</v>
      </c>
      <c r="O491" s="126" t="s">
        <v>511</v>
      </c>
      <c r="P491" s="127" t="s">
        <v>1344</v>
      </c>
      <c r="Q491" s="129">
        <v>45837</v>
      </c>
      <c r="R491" s="139">
        <v>0.84952546296296294</v>
      </c>
    </row>
    <row r="492" spans="1:18" ht="38.25" x14ac:dyDescent="0.25">
      <c r="A492" s="125" t="s">
        <v>1327</v>
      </c>
      <c r="B492">
        <v>680</v>
      </c>
      <c r="C492" s="125">
        <v>54</v>
      </c>
      <c r="D492" s="125" t="s">
        <v>1167</v>
      </c>
      <c r="E492" s="125" t="s">
        <v>160</v>
      </c>
      <c r="F492" s="125" t="s">
        <v>164</v>
      </c>
      <c r="G492" s="125" t="s">
        <v>1168</v>
      </c>
      <c r="H492" s="125" t="s">
        <v>1318</v>
      </c>
      <c r="I492" s="125" t="s">
        <v>82</v>
      </c>
      <c r="J492" s="126">
        <v>38080</v>
      </c>
      <c r="K492" s="126">
        <v>24150</v>
      </c>
      <c r="L492" s="127">
        <v>14</v>
      </c>
      <c r="M492" s="126">
        <v>13930</v>
      </c>
      <c r="N492" s="126">
        <v>11979.8</v>
      </c>
      <c r="O492" s="126" t="s">
        <v>511</v>
      </c>
      <c r="P492" s="127" t="s">
        <v>1345</v>
      </c>
      <c r="Q492" s="129">
        <v>45837</v>
      </c>
      <c r="R492" s="139">
        <v>0.97341435185185188</v>
      </c>
    </row>
    <row r="493" spans="1:18" ht="38.25" x14ac:dyDescent="0.25">
      <c r="A493" s="125" t="s">
        <v>1328</v>
      </c>
      <c r="B493">
        <v>681</v>
      </c>
      <c r="C493" s="125">
        <v>54958</v>
      </c>
      <c r="D493" s="125" t="s">
        <v>914</v>
      </c>
      <c r="E493" s="125" t="s">
        <v>127</v>
      </c>
      <c r="F493" s="125" t="s">
        <v>131</v>
      </c>
      <c r="G493" s="125">
        <v>14</v>
      </c>
      <c r="H493" s="125" t="s">
        <v>1316</v>
      </c>
      <c r="I493" s="125" t="s">
        <v>82</v>
      </c>
      <c r="J493" s="126">
        <v>23440</v>
      </c>
      <c r="K493" s="126">
        <v>14350</v>
      </c>
      <c r="L493" s="127">
        <v>13.5</v>
      </c>
      <c r="M493" s="126">
        <v>9090</v>
      </c>
      <c r="N493" s="126">
        <v>7862.8</v>
      </c>
      <c r="O493" s="126" t="s">
        <v>511</v>
      </c>
      <c r="P493" s="127" t="s">
        <v>1346</v>
      </c>
      <c r="Q493" s="129">
        <v>45837</v>
      </c>
      <c r="R493" s="139">
        <v>0.88487268518518514</v>
      </c>
    </row>
    <row r="494" spans="1:18" ht="38.25" x14ac:dyDescent="0.25">
      <c r="A494" s="125" t="s">
        <v>1329</v>
      </c>
      <c r="B494">
        <v>682</v>
      </c>
      <c r="C494" s="125">
        <v>57</v>
      </c>
      <c r="D494" s="125" t="s">
        <v>1167</v>
      </c>
      <c r="E494" s="125" t="s">
        <v>1461</v>
      </c>
      <c r="F494" s="125" t="s">
        <v>149</v>
      </c>
      <c r="G494" s="125" t="s">
        <v>1168</v>
      </c>
      <c r="H494" s="125" t="s">
        <v>909</v>
      </c>
      <c r="I494" s="125" t="s">
        <v>82</v>
      </c>
      <c r="J494" s="126">
        <v>28620</v>
      </c>
      <c r="K494" s="126">
        <v>14940</v>
      </c>
      <c r="L494" s="127">
        <v>15</v>
      </c>
      <c r="M494" s="126">
        <v>13680</v>
      </c>
      <c r="N494" s="126">
        <v>11628</v>
      </c>
      <c r="O494" s="126" t="s">
        <v>511</v>
      </c>
      <c r="P494" s="127" t="s">
        <v>1347</v>
      </c>
      <c r="Q494" s="129">
        <v>45837</v>
      </c>
      <c r="R494" s="139">
        <v>0.94935185185185189</v>
      </c>
    </row>
    <row r="495" spans="1:18" ht="38.25" x14ac:dyDescent="0.25">
      <c r="A495" s="125" t="s">
        <v>1330</v>
      </c>
      <c r="B495">
        <v>683</v>
      </c>
      <c r="C495" s="125">
        <v>54958</v>
      </c>
      <c r="D495" s="125" t="s">
        <v>914</v>
      </c>
      <c r="E495" s="125" t="s">
        <v>762</v>
      </c>
      <c r="F495" s="125" t="s">
        <v>763</v>
      </c>
      <c r="G495" s="125">
        <v>14</v>
      </c>
      <c r="H495" s="125" t="s">
        <v>1316</v>
      </c>
      <c r="I495" s="125" t="s">
        <v>82</v>
      </c>
      <c r="J495" s="126">
        <v>9150</v>
      </c>
      <c r="K495" s="126">
        <v>4610</v>
      </c>
      <c r="L495" s="127">
        <v>12.5</v>
      </c>
      <c r="M495" s="126">
        <v>4540</v>
      </c>
      <c r="N495" s="126">
        <v>3972.5</v>
      </c>
      <c r="O495" s="126" t="s">
        <v>511</v>
      </c>
      <c r="P495" s="127" t="s">
        <v>1348</v>
      </c>
      <c r="Q495" s="129">
        <v>45837</v>
      </c>
      <c r="R495" s="139">
        <v>0.95673611111111112</v>
      </c>
    </row>
    <row r="496" spans="1:18" ht="38.25" x14ac:dyDescent="0.25">
      <c r="A496" s="125" t="s">
        <v>1331</v>
      </c>
      <c r="B496">
        <v>684</v>
      </c>
      <c r="C496" s="125">
        <v>54953</v>
      </c>
      <c r="D496" s="125" t="s">
        <v>914</v>
      </c>
      <c r="E496" s="125" t="s">
        <v>244</v>
      </c>
      <c r="F496" s="125" t="s">
        <v>248</v>
      </c>
      <c r="G496" s="125">
        <v>14</v>
      </c>
      <c r="H496" s="125" t="s">
        <v>1316</v>
      </c>
      <c r="I496" s="125" t="s">
        <v>82</v>
      </c>
      <c r="J496" s="126">
        <v>18400</v>
      </c>
      <c r="K496" s="126">
        <v>15660</v>
      </c>
      <c r="L496" s="127">
        <v>11</v>
      </c>
      <c r="M496" s="126">
        <v>2740</v>
      </c>
      <c r="N496" s="126">
        <v>2438.6</v>
      </c>
      <c r="O496" s="126" t="s">
        <v>511</v>
      </c>
      <c r="P496" s="127" t="s">
        <v>1349</v>
      </c>
      <c r="Q496" s="129">
        <v>45838</v>
      </c>
      <c r="R496" s="139">
        <v>0.30268518518518517</v>
      </c>
    </row>
    <row r="497" spans="1:18" ht="38.25" x14ac:dyDescent="0.25">
      <c r="A497" s="125" t="s">
        <v>1332</v>
      </c>
      <c r="B497">
        <v>677</v>
      </c>
      <c r="C497" s="125">
        <v>53</v>
      </c>
      <c r="D497" s="125" t="s">
        <v>1167</v>
      </c>
      <c r="E497" s="125" t="s">
        <v>347</v>
      </c>
      <c r="F497" s="125" t="s">
        <v>351</v>
      </c>
      <c r="G497" s="125" t="s">
        <v>1168</v>
      </c>
      <c r="H497" s="125" t="s">
        <v>1318</v>
      </c>
      <c r="I497" s="125" t="s">
        <v>82</v>
      </c>
      <c r="J497" s="126">
        <v>29430</v>
      </c>
      <c r="K497" s="126">
        <v>22535</v>
      </c>
      <c r="L497" s="127">
        <v>9.5</v>
      </c>
      <c r="M497" s="126">
        <v>6895</v>
      </c>
      <c r="N497" s="126">
        <v>6240</v>
      </c>
      <c r="O497" s="126" t="s">
        <v>511</v>
      </c>
      <c r="P497" s="127" t="s">
        <v>1350</v>
      </c>
      <c r="Q497" s="129">
        <v>45837</v>
      </c>
      <c r="R497" s="139">
        <v>0.73128472222222218</v>
      </c>
    </row>
    <row r="498" spans="1:18" ht="38.25" x14ac:dyDescent="0.25">
      <c r="A498" s="125" t="s">
        <v>1333</v>
      </c>
      <c r="B498">
        <v>685</v>
      </c>
      <c r="C498" s="125">
        <v>53</v>
      </c>
      <c r="D498" s="125" t="s">
        <v>1167</v>
      </c>
      <c r="E498" s="125" t="s">
        <v>347</v>
      </c>
      <c r="F498" s="125" t="s">
        <v>351</v>
      </c>
      <c r="G498" s="125" t="s">
        <v>1168</v>
      </c>
      <c r="H498" s="125" t="s">
        <v>909</v>
      </c>
      <c r="I498" s="125" t="s">
        <v>82</v>
      </c>
      <c r="J498" s="126">
        <v>22535</v>
      </c>
      <c r="K498" s="126">
        <v>15640</v>
      </c>
      <c r="L498" s="127">
        <v>12</v>
      </c>
      <c r="M498" s="126">
        <v>6895</v>
      </c>
      <c r="N498" s="126">
        <v>6067.6</v>
      </c>
      <c r="O498" s="126" t="s">
        <v>511</v>
      </c>
      <c r="P498" s="127" t="s">
        <v>1351</v>
      </c>
      <c r="Q498" s="129">
        <v>45837</v>
      </c>
      <c r="R498" s="139">
        <v>0.57646990740740744</v>
      </c>
    </row>
    <row r="499" spans="1:18" ht="38.25" x14ac:dyDescent="0.25">
      <c r="A499" s="125" t="s">
        <v>1334</v>
      </c>
      <c r="B499">
        <v>687</v>
      </c>
      <c r="C499" s="125">
        <v>54959</v>
      </c>
      <c r="D499" s="125" t="s">
        <v>914</v>
      </c>
      <c r="E499" s="125" t="s">
        <v>262</v>
      </c>
      <c r="F499" s="125" t="s">
        <v>266</v>
      </c>
      <c r="G499" s="125">
        <v>14</v>
      </c>
      <c r="H499" s="125" t="s">
        <v>1316</v>
      </c>
      <c r="I499" s="125" t="s">
        <v>82</v>
      </c>
      <c r="J499" s="126">
        <v>23370</v>
      </c>
      <c r="K499" s="126">
        <v>14830</v>
      </c>
      <c r="L499" s="127">
        <v>10.5</v>
      </c>
      <c r="M499" s="126">
        <v>8540</v>
      </c>
      <c r="N499" s="126">
        <v>7643.3</v>
      </c>
      <c r="O499" s="126" t="s">
        <v>511</v>
      </c>
      <c r="P499" s="127" t="s">
        <v>1352</v>
      </c>
      <c r="Q499" s="129">
        <v>45838</v>
      </c>
      <c r="R499" s="139">
        <v>0.63195601851851857</v>
      </c>
    </row>
    <row r="500" spans="1:18" ht="38.25" x14ac:dyDescent="0.25">
      <c r="A500" s="125" t="s">
        <v>1359</v>
      </c>
      <c r="B500">
        <v>689</v>
      </c>
      <c r="C500" s="125">
        <v>54960</v>
      </c>
      <c r="D500" s="125" t="s">
        <v>914</v>
      </c>
      <c r="E500" s="125" t="s">
        <v>111</v>
      </c>
      <c r="F500" s="125" t="s">
        <v>114</v>
      </c>
      <c r="G500" s="125">
        <v>14</v>
      </c>
      <c r="H500" s="125" t="s">
        <v>1316</v>
      </c>
      <c r="I500" s="125" t="s">
        <v>82</v>
      </c>
      <c r="J500" s="126">
        <v>23950</v>
      </c>
      <c r="K500" s="126">
        <v>15560</v>
      </c>
      <c r="L500" s="127">
        <v>14</v>
      </c>
      <c r="M500" s="126">
        <v>8390</v>
      </c>
      <c r="N500" s="126">
        <v>7215.4</v>
      </c>
      <c r="O500" s="126" t="s">
        <v>511</v>
      </c>
      <c r="P500" s="127" t="s">
        <v>1353</v>
      </c>
      <c r="Q500" s="129">
        <v>45838</v>
      </c>
      <c r="R500" s="139">
        <v>0.55185185185185182</v>
      </c>
    </row>
    <row r="501" spans="1:18" ht="38.25" x14ac:dyDescent="0.25">
      <c r="A501" s="125" t="s">
        <v>1360</v>
      </c>
      <c r="B501">
        <v>690</v>
      </c>
      <c r="C501" s="125">
        <v>54961</v>
      </c>
      <c r="D501" s="125" t="s">
        <v>914</v>
      </c>
      <c r="E501" s="125" t="s">
        <v>79</v>
      </c>
      <c r="F501" s="125" t="s">
        <v>80</v>
      </c>
      <c r="G501" s="125">
        <v>14</v>
      </c>
      <c r="H501" s="125" t="s">
        <v>1316</v>
      </c>
      <c r="I501" s="125" t="s">
        <v>82</v>
      </c>
      <c r="J501" s="126">
        <v>22880</v>
      </c>
      <c r="K501" s="126">
        <v>14180</v>
      </c>
      <c r="L501" s="127">
        <v>15</v>
      </c>
      <c r="M501" s="126">
        <v>8700</v>
      </c>
      <c r="N501" s="126">
        <v>7395</v>
      </c>
      <c r="O501" s="126" t="s">
        <v>511</v>
      </c>
      <c r="P501" s="127" t="s">
        <v>1354</v>
      </c>
      <c r="Q501" s="129">
        <v>45838</v>
      </c>
      <c r="R501" s="139">
        <v>4.5914351851851852E-2</v>
      </c>
    </row>
    <row r="502" spans="1:18" ht="38.25" x14ac:dyDescent="0.25">
      <c r="A502" s="125" t="s">
        <v>1361</v>
      </c>
      <c r="B502">
        <v>692</v>
      </c>
      <c r="C502" s="125">
        <v>59</v>
      </c>
      <c r="D502" s="125" t="s">
        <v>1167</v>
      </c>
      <c r="E502" s="125" t="s">
        <v>212</v>
      </c>
      <c r="F502" s="125" t="s">
        <v>216</v>
      </c>
      <c r="G502" s="125" t="s">
        <v>1168</v>
      </c>
      <c r="H502" s="125" t="s">
        <v>909</v>
      </c>
      <c r="I502" s="125" t="s">
        <v>82</v>
      </c>
      <c r="J502" s="126">
        <v>27500</v>
      </c>
      <c r="K502" s="126">
        <v>13820</v>
      </c>
      <c r="L502" s="127">
        <v>13</v>
      </c>
      <c r="M502" s="126">
        <v>13680</v>
      </c>
      <c r="N502" s="126">
        <v>11901.6</v>
      </c>
      <c r="O502" s="126" t="s">
        <v>511</v>
      </c>
      <c r="P502" s="127" t="s">
        <v>1380</v>
      </c>
      <c r="Q502" s="129">
        <v>45839</v>
      </c>
      <c r="R502" s="139">
        <v>0.85253472222222226</v>
      </c>
    </row>
    <row r="503" spans="1:18" ht="38.25" x14ac:dyDescent="0.25">
      <c r="A503" s="125" t="s">
        <v>1362</v>
      </c>
      <c r="B503">
        <v>693</v>
      </c>
      <c r="C503" s="125">
        <v>58</v>
      </c>
      <c r="D503" s="125" t="s">
        <v>1167</v>
      </c>
      <c r="E503" s="125" t="s">
        <v>1253</v>
      </c>
      <c r="F503" s="125" t="s">
        <v>270</v>
      </c>
      <c r="G503" s="125" t="s">
        <v>1168</v>
      </c>
      <c r="H503" s="125" t="s">
        <v>909</v>
      </c>
      <c r="I503" s="125" t="s">
        <v>82</v>
      </c>
      <c r="J503" s="126">
        <v>28870</v>
      </c>
      <c r="K503" s="126">
        <v>14960</v>
      </c>
      <c r="L503" s="127">
        <v>9</v>
      </c>
      <c r="M503" s="126">
        <v>13910</v>
      </c>
      <c r="N503" s="126">
        <v>12658.1</v>
      </c>
      <c r="O503" s="126" t="s">
        <v>511</v>
      </c>
      <c r="P503" s="127" t="s">
        <v>1381</v>
      </c>
      <c r="Q503" s="129">
        <v>45839</v>
      </c>
      <c r="R503" s="139">
        <v>0.8352546296296296</v>
      </c>
    </row>
    <row r="504" spans="1:18" ht="38.25" x14ac:dyDescent="0.25">
      <c r="A504" s="125" t="s">
        <v>1363</v>
      </c>
      <c r="B504">
        <v>694</v>
      </c>
      <c r="C504" s="125">
        <v>56</v>
      </c>
      <c r="D504" s="125" t="s">
        <v>1167</v>
      </c>
      <c r="E504" s="125" t="s">
        <v>1151</v>
      </c>
      <c r="F504" s="125" t="s">
        <v>145</v>
      </c>
      <c r="G504" s="125" t="s">
        <v>1168</v>
      </c>
      <c r="H504" s="125" t="s">
        <v>909</v>
      </c>
      <c r="I504" s="125" t="s">
        <v>82</v>
      </c>
      <c r="J504" s="126">
        <v>29640</v>
      </c>
      <c r="K504" s="126">
        <v>15750</v>
      </c>
      <c r="L504" s="127">
        <v>16</v>
      </c>
      <c r="M504" s="126">
        <v>13890</v>
      </c>
      <c r="N504" s="126">
        <v>11667.6</v>
      </c>
      <c r="O504" s="126" t="s">
        <v>511</v>
      </c>
      <c r="P504" s="127" t="s">
        <v>1382</v>
      </c>
      <c r="Q504" s="129">
        <v>45839</v>
      </c>
      <c r="R504" s="139">
        <v>0.8686342592592593</v>
      </c>
    </row>
    <row r="505" spans="1:18" ht="38.25" x14ac:dyDescent="0.25">
      <c r="A505" s="125" t="s">
        <v>1364</v>
      </c>
      <c r="B505">
        <v>695</v>
      </c>
      <c r="C505" s="125">
        <v>60</v>
      </c>
      <c r="D505" s="125" t="s">
        <v>1167</v>
      </c>
      <c r="E505" s="125" t="s">
        <v>272</v>
      </c>
      <c r="F505" s="125" t="s">
        <v>276</v>
      </c>
      <c r="G505" s="125" t="s">
        <v>1168</v>
      </c>
      <c r="H505" s="125" t="s">
        <v>909</v>
      </c>
      <c r="I505" s="125" t="s">
        <v>82</v>
      </c>
      <c r="J505" s="126">
        <v>28640</v>
      </c>
      <c r="K505" s="126">
        <v>14780</v>
      </c>
      <c r="L505" s="127">
        <v>11</v>
      </c>
      <c r="M505" s="126">
        <v>13860</v>
      </c>
      <c r="N505" s="126">
        <v>12335.4</v>
      </c>
      <c r="O505" s="126" t="s">
        <v>511</v>
      </c>
      <c r="P505" s="127" t="s">
        <v>1383</v>
      </c>
      <c r="Q505" s="129">
        <v>45839</v>
      </c>
      <c r="R505" s="139">
        <v>0.9361342592592593</v>
      </c>
    </row>
    <row r="506" spans="1:18" ht="38.25" x14ac:dyDescent="0.25">
      <c r="A506" s="125" t="s">
        <v>1365</v>
      </c>
      <c r="B506">
        <v>696</v>
      </c>
      <c r="C506" s="125">
        <v>61</v>
      </c>
      <c r="D506" s="125" t="s">
        <v>1167</v>
      </c>
      <c r="E506" s="125" t="s">
        <v>1461</v>
      </c>
      <c r="F506" s="125" t="s">
        <v>149</v>
      </c>
      <c r="G506" s="125" t="s">
        <v>1168</v>
      </c>
      <c r="H506" s="125" t="s">
        <v>909</v>
      </c>
      <c r="I506" s="125" t="s">
        <v>82</v>
      </c>
      <c r="J506" s="126">
        <v>29000</v>
      </c>
      <c r="K506" s="126">
        <v>15150</v>
      </c>
      <c r="L506" s="127">
        <v>15</v>
      </c>
      <c r="M506" s="126">
        <v>13850</v>
      </c>
      <c r="N506" s="126">
        <v>11772.5</v>
      </c>
      <c r="O506" s="126" t="s">
        <v>511</v>
      </c>
      <c r="P506" s="127" t="s">
        <v>1384</v>
      </c>
      <c r="Q506" s="129">
        <v>45839</v>
      </c>
      <c r="R506" s="139">
        <v>0.98814814814814811</v>
      </c>
    </row>
    <row r="507" spans="1:18" ht="38.25" x14ac:dyDescent="0.25">
      <c r="A507" s="125" t="s">
        <v>1366</v>
      </c>
      <c r="B507">
        <v>697</v>
      </c>
      <c r="C507" s="125">
        <v>62</v>
      </c>
      <c r="D507" s="125" t="s">
        <v>1167</v>
      </c>
      <c r="E507" s="125" t="s">
        <v>1367</v>
      </c>
      <c r="F507" s="125" t="s">
        <v>1368</v>
      </c>
      <c r="G507" s="125" t="s">
        <v>1168</v>
      </c>
      <c r="H507" s="125" t="s">
        <v>909</v>
      </c>
      <c r="I507" s="125" t="s">
        <v>82</v>
      </c>
      <c r="J507" s="126">
        <v>28630</v>
      </c>
      <c r="K507" s="126">
        <v>14960</v>
      </c>
      <c r="L507" s="127">
        <v>15.5</v>
      </c>
      <c r="M507" s="126">
        <v>13670</v>
      </c>
      <c r="N507" s="126">
        <v>11551.1</v>
      </c>
      <c r="O507" s="126" t="s">
        <v>511</v>
      </c>
      <c r="P507" s="127" t="s">
        <v>1385</v>
      </c>
      <c r="Q507" s="129">
        <v>45840</v>
      </c>
      <c r="R507" s="139">
        <v>0.1474074074074074</v>
      </c>
    </row>
    <row r="508" spans="1:18" ht="38.25" x14ac:dyDescent="0.25">
      <c r="A508" s="125" t="s">
        <v>1369</v>
      </c>
      <c r="B508">
        <v>698</v>
      </c>
      <c r="C508" s="125">
        <v>63</v>
      </c>
      <c r="D508" s="125" t="s">
        <v>1167</v>
      </c>
      <c r="E508" s="125" t="s">
        <v>1312</v>
      </c>
      <c r="F508" s="125" t="s">
        <v>320</v>
      </c>
      <c r="G508" s="125" t="s">
        <v>1168</v>
      </c>
      <c r="H508" s="125" t="s">
        <v>909</v>
      </c>
      <c r="I508" s="125" t="s">
        <v>82</v>
      </c>
      <c r="J508" s="126">
        <v>28060</v>
      </c>
      <c r="K508" s="126">
        <v>14450</v>
      </c>
      <c r="L508" s="127">
        <v>13.5</v>
      </c>
      <c r="M508" s="126">
        <v>13610</v>
      </c>
      <c r="N508" s="126">
        <v>11772.6</v>
      </c>
      <c r="O508" s="126" t="s">
        <v>511</v>
      </c>
      <c r="P508" s="127" t="s">
        <v>1386</v>
      </c>
      <c r="Q508" s="129">
        <v>45840</v>
      </c>
      <c r="R508" s="139">
        <v>0.24778935185185186</v>
      </c>
    </row>
    <row r="509" spans="1:18" ht="38.25" x14ac:dyDescent="0.25">
      <c r="A509" s="125" t="s">
        <v>1370</v>
      </c>
      <c r="B509">
        <v>699</v>
      </c>
      <c r="C509" s="125">
        <v>64</v>
      </c>
      <c r="D509" s="125" t="s">
        <v>1167</v>
      </c>
      <c r="E509" s="125" t="s">
        <v>894</v>
      </c>
      <c r="F509" s="125" t="s">
        <v>895</v>
      </c>
      <c r="G509" s="125" t="s">
        <v>1168</v>
      </c>
      <c r="H509" s="125" t="s">
        <v>909</v>
      </c>
      <c r="I509" s="125" t="s">
        <v>82</v>
      </c>
      <c r="J509" s="126">
        <v>28320</v>
      </c>
      <c r="K509" s="126">
        <v>14900</v>
      </c>
      <c r="L509" s="127">
        <v>10.5</v>
      </c>
      <c r="M509" s="126">
        <v>13420</v>
      </c>
      <c r="N509" s="126">
        <v>12010.9</v>
      </c>
      <c r="O509" s="126" t="s">
        <v>511</v>
      </c>
      <c r="P509" s="127" t="s">
        <v>1387</v>
      </c>
      <c r="Q509" s="129">
        <v>45840</v>
      </c>
      <c r="R509" s="139">
        <v>0.38290509259259259</v>
      </c>
    </row>
    <row r="510" spans="1:18" ht="38.25" x14ac:dyDescent="0.25">
      <c r="A510" s="125" t="s">
        <v>1371</v>
      </c>
      <c r="B510">
        <v>700</v>
      </c>
      <c r="C510" s="125">
        <v>65</v>
      </c>
      <c r="D510" s="125" t="s">
        <v>1167</v>
      </c>
      <c r="E510" s="125" t="s">
        <v>335</v>
      </c>
      <c r="F510" s="125" t="s">
        <v>339</v>
      </c>
      <c r="G510" s="125" t="s">
        <v>1168</v>
      </c>
      <c r="H510" s="125" t="s">
        <v>909</v>
      </c>
      <c r="I510" s="125" t="s">
        <v>82</v>
      </c>
      <c r="J510" s="126">
        <v>28080</v>
      </c>
      <c r="K510" s="126">
        <v>14830</v>
      </c>
      <c r="L510" s="127">
        <v>14.5</v>
      </c>
      <c r="M510" s="126">
        <v>13250</v>
      </c>
      <c r="N510" s="126">
        <v>11328.7</v>
      </c>
      <c r="O510" s="126" t="s">
        <v>511</v>
      </c>
      <c r="P510" s="127" t="s">
        <v>1388</v>
      </c>
      <c r="Q510" s="129">
        <v>45840</v>
      </c>
      <c r="R510" s="139">
        <v>0.3843287037037037</v>
      </c>
    </row>
    <row r="511" spans="1:18" ht="38.25" x14ac:dyDescent="0.25">
      <c r="A511" s="125" t="s">
        <v>1372</v>
      </c>
      <c r="B511">
        <v>701</v>
      </c>
      <c r="C511" s="125">
        <v>66</v>
      </c>
      <c r="D511" s="125" t="s">
        <v>1167</v>
      </c>
      <c r="E511" s="125" t="s">
        <v>1373</v>
      </c>
      <c r="F511" s="125" t="s">
        <v>1374</v>
      </c>
      <c r="G511" s="125" t="s">
        <v>1168</v>
      </c>
      <c r="H511" s="125" t="s">
        <v>909</v>
      </c>
      <c r="I511" s="125" t="s">
        <v>82</v>
      </c>
      <c r="J511" s="126">
        <v>37610</v>
      </c>
      <c r="K511" s="126">
        <v>24100</v>
      </c>
      <c r="L511" s="127">
        <v>14.5</v>
      </c>
      <c r="M511" s="126">
        <v>13510</v>
      </c>
      <c r="N511" s="126">
        <v>11551</v>
      </c>
      <c r="O511" s="126" t="s">
        <v>511</v>
      </c>
      <c r="P511" s="127" t="s">
        <v>1389</v>
      </c>
      <c r="Q511" s="129">
        <v>45840</v>
      </c>
      <c r="R511" s="139">
        <v>0.53640046296296295</v>
      </c>
    </row>
    <row r="512" spans="1:18" ht="38.25" x14ac:dyDescent="0.25">
      <c r="A512" s="125" t="s">
        <v>1375</v>
      </c>
      <c r="B512">
        <v>702</v>
      </c>
      <c r="C512" s="125">
        <v>67</v>
      </c>
      <c r="D512" s="125" t="s">
        <v>1167</v>
      </c>
      <c r="E512" s="125" t="s">
        <v>1376</v>
      </c>
      <c r="F512" s="125" t="s">
        <v>1377</v>
      </c>
      <c r="G512" s="125" t="s">
        <v>1168</v>
      </c>
      <c r="H512" s="125" t="s">
        <v>1318</v>
      </c>
      <c r="I512" s="125" t="s">
        <v>82</v>
      </c>
      <c r="J512" s="126">
        <v>29160</v>
      </c>
      <c r="K512" s="126">
        <v>22420</v>
      </c>
      <c r="L512" s="127">
        <v>14.5</v>
      </c>
      <c r="M512" s="126">
        <v>6740</v>
      </c>
      <c r="N512" s="126">
        <v>5762.7</v>
      </c>
      <c r="O512" s="126" t="s">
        <v>511</v>
      </c>
      <c r="P512" s="127" t="s">
        <v>1390</v>
      </c>
      <c r="Q512" s="129">
        <v>45840</v>
      </c>
      <c r="R512" s="139">
        <v>0.58987268518518521</v>
      </c>
    </row>
    <row r="513" spans="1:18" ht="38.25" x14ac:dyDescent="0.25">
      <c r="A513" s="125" t="s">
        <v>1378</v>
      </c>
      <c r="B513">
        <v>705</v>
      </c>
      <c r="C513" s="125">
        <v>67</v>
      </c>
      <c r="D513" s="125" t="s">
        <v>1167</v>
      </c>
      <c r="E513" s="125" t="s">
        <v>1376</v>
      </c>
      <c r="F513" s="125" t="s">
        <v>1377</v>
      </c>
      <c r="G513" s="125" t="s">
        <v>1168</v>
      </c>
      <c r="H513" s="125" t="s">
        <v>909</v>
      </c>
      <c r="I513" s="125" t="s">
        <v>82</v>
      </c>
      <c r="J513" s="126">
        <v>22430</v>
      </c>
      <c r="K513" s="126">
        <v>15690</v>
      </c>
      <c r="L513" s="127">
        <v>10.5</v>
      </c>
      <c r="M513" s="126">
        <v>6740</v>
      </c>
      <c r="N513" s="126">
        <v>6032.3</v>
      </c>
      <c r="O513" s="126" t="s">
        <v>511</v>
      </c>
      <c r="P513" s="127" t="s">
        <v>1391</v>
      </c>
      <c r="Q513" s="129">
        <v>45840</v>
      </c>
      <c r="R513" s="139">
        <v>0.59310185185185182</v>
      </c>
    </row>
    <row r="514" spans="1:18" ht="38.25" x14ac:dyDescent="0.25">
      <c r="A514" s="125" t="s">
        <v>1379</v>
      </c>
      <c r="B514">
        <v>703</v>
      </c>
      <c r="C514" s="125">
        <v>68</v>
      </c>
      <c r="D514" s="125" t="s">
        <v>1167</v>
      </c>
      <c r="E514" s="125" t="s">
        <v>347</v>
      </c>
      <c r="F514" s="125" t="s">
        <v>351</v>
      </c>
      <c r="G514" s="125" t="s">
        <v>1168</v>
      </c>
      <c r="H514" s="125" t="s">
        <v>1318</v>
      </c>
      <c r="I514" s="125" t="s">
        <v>82</v>
      </c>
      <c r="J514" s="126">
        <v>28880</v>
      </c>
      <c r="K514" s="126">
        <v>15740</v>
      </c>
      <c r="L514" s="127">
        <v>15.5</v>
      </c>
      <c r="M514" s="126">
        <v>13140</v>
      </c>
      <c r="N514" s="126">
        <v>11103.3</v>
      </c>
      <c r="O514" s="126" t="s">
        <v>511</v>
      </c>
      <c r="P514" s="127" t="s">
        <v>1392</v>
      </c>
      <c r="Q514" s="129">
        <v>45840</v>
      </c>
      <c r="R514" s="139">
        <v>0.59577546296296291</v>
      </c>
    </row>
    <row r="515" spans="1:18" ht="38.25" x14ac:dyDescent="0.25">
      <c r="A515" s="125" t="s">
        <v>1393</v>
      </c>
      <c r="B515">
        <v>704</v>
      </c>
      <c r="C515" s="125">
        <v>69</v>
      </c>
      <c r="D515" s="125" t="s">
        <v>1167</v>
      </c>
      <c r="E515" s="125" t="s">
        <v>212</v>
      </c>
      <c r="F515" s="125" t="s">
        <v>216</v>
      </c>
      <c r="G515" s="125" t="s">
        <v>1168</v>
      </c>
      <c r="H515" s="125" t="s">
        <v>1318</v>
      </c>
      <c r="I515" s="125" t="s">
        <v>82</v>
      </c>
      <c r="J515" s="126">
        <v>27090</v>
      </c>
      <c r="K515" s="126">
        <v>13830</v>
      </c>
      <c r="L515" s="127">
        <v>12.5</v>
      </c>
      <c r="M515" s="126">
        <v>13260</v>
      </c>
      <c r="N515" s="126">
        <v>11602.5</v>
      </c>
      <c r="O515" s="126" t="s">
        <v>511</v>
      </c>
      <c r="P515" s="127" t="s">
        <v>1395</v>
      </c>
      <c r="Q515" s="129">
        <v>45840</v>
      </c>
      <c r="R515" s="139">
        <v>0.70076388888888885</v>
      </c>
    </row>
    <row r="516" spans="1:18" ht="38.25" x14ac:dyDescent="0.25">
      <c r="A516" s="125" t="s">
        <v>1394</v>
      </c>
      <c r="B516">
        <v>707</v>
      </c>
      <c r="C516" s="125">
        <v>70</v>
      </c>
      <c r="D516" s="125" t="s">
        <v>1167</v>
      </c>
      <c r="E516" s="125" t="s">
        <v>160</v>
      </c>
      <c r="F516" s="125" t="s">
        <v>164</v>
      </c>
      <c r="G516" s="125" t="s">
        <v>1168</v>
      </c>
      <c r="H516" s="125" t="s">
        <v>1318</v>
      </c>
      <c r="I516" s="125" t="s">
        <v>82</v>
      </c>
      <c r="J516" s="126">
        <v>38010</v>
      </c>
      <c r="K516" s="126">
        <v>24110</v>
      </c>
      <c r="L516" s="127">
        <v>15</v>
      </c>
      <c r="M516" s="126">
        <v>13900</v>
      </c>
      <c r="N516" s="126">
        <v>11815</v>
      </c>
      <c r="O516" s="126" t="s">
        <v>511</v>
      </c>
      <c r="P516" s="127" t="s">
        <v>1396</v>
      </c>
      <c r="Q516" s="129">
        <v>45840</v>
      </c>
      <c r="R516" s="139">
        <v>0.70305555555555554</v>
      </c>
    </row>
    <row r="517" spans="1:18" ht="38.25" x14ac:dyDescent="0.25">
      <c r="A517" s="125" t="s">
        <v>1397</v>
      </c>
      <c r="B517">
        <v>709</v>
      </c>
      <c r="C517" s="125">
        <v>71</v>
      </c>
      <c r="D517" s="125" t="s">
        <v>1167</v>
      </c>
      <c r="E517" s="125" t="s">
        <v>1253</v>
      </c>
      <c r="F517" s="125" t="s">
        <v>270</v>
      </c>
      <c r="G517" s="125" t="s">
        <v>1168</v>
      </c>
      <c r="H517" s="125" t="s">
        <v>1318</v>
      </c>
      <c r="I517" s="125" t="s">
        <v>82</v>
      </c>
      <c r="J517" s="126">
        <v>28780</v>
      </c>
      <c r="K517" s="126">
        <v>14830</v>
      </c>
      <c r="L517" s="127">
        <v>11.5</v>
      </c>
      <c r="M517" s="126">
        <v>13950</v>
      </c>
      <c r="N517" s="126">
        <v>12345.7</v>
      </c>
      <c r="O517" s="126" t="s">
        <v>511</v>
      </c>
      <c r="P517" s="127" t="s">
        <v>1411</v>
      </c>
      <c r="Q517" s="129">
        <v>45840</v>
      </c>
      <c r="R517" s="139">
        <v>0.75936342592592587</v>
      </c>
    </row>
    <row r="518" spans="1:18" ht="38.25" x14ac:dyDescent="0.25">
      <c r="A518" s="125" t="s">
        <v>1398</v>
      </c>
      <c r="B518">
        <v>710</v>
      </c>
      <c r="C518" s="125">
        <v>72</v>
      </c>
      <c r="D518" s="125" t="s">
        <v>1167</v>
      </c>
      <c r="E518" s="125" t="s">
        <v>1151</v>
      </c>
      <c r="F518" s="125" t="s">
        <v>145</v>
      </c>
      <c r="G518" s="125" t="s">
        <v>1321</v>
      </c>
      <c r="H518" s="125" t="s">
        <v>909</v>
      </c>
      <c r="I518" s="125" t="s">
        <v>82</v>
      </c>
      <c r="J518" s="126">
        <v>29430</v>
      </c>
      <c r="K518" s="126">
        <v>15580</v>
      </c>
      <c r="L518" s="127">
        <v>14</v>
      </c>
      <c r="M518" s="126">
        <v>13850</v>
      </c>
      <c r="N518" s="126">
        <v>11911</v>
      </c>
      <c r="O518" s="126" t="s">
        <v>511</v>
      </c>
      <c r="P518" s="127" t="s">
        <v>1412</v>
      </c>
      <c r="Q518" s="129">
        <v>45840</v>
      </c>
      <c r="R518" s="139">
        <v>0.84386574074074072</v>
      </c>
    </row>
    <row r="519" spans="1:18" ht="38.25" x14ac:dyDescent="0.25">
      <c r="A519" s="125" t="s">
        <v>1399</v>
      </c>
      <c r="B519">
        <v>711</v>
      </c>
      <c r="C519" s="125">
        <v>73</v>
      </c>
      <c r="D519" s="125" t="s">
        <v>1167</v>
      </c>
      <c r="E519" s="125" t="s">
        <v>272</v>
      </c>
      <c r="F519" s="125" t="s">
        <v>276</v>
      </c>
      <c r="G519" s="125" t="s">
        <v>1321</v>
      </c>
      <c r="H519" s="125" t="s">
        <v>909</v>
      </c>
      <c r="I519" s="125" t="s">
        <v>82</v>
      </c>
      <c r="J519" s="126">
        <v>28620</v>
      </c>
      <c r="K519" s="126">
        <v>14670</v>
      </c>
      <c r="L519" s="127">
        <v>17.5</v>
      </c>
      <c r="M519" s="126">
        <v>13950</v>
      </c>
      <c r="N519" s="126">
        <v>11508.7</v>
      </c>
      <c r="O519" s="126" t="s">
        <v>511</v>
      </c>
      <c r="P519" s="127" t="s">
        <v>1413</v>
      </c>
      <c r="Q519" s="129">
        <v>45840</v>
      </c>
      <c r="R519" s="139">
        <v>0.86856481481481485</v>
      </c>
    </row>
    <row r="520" spans="1:18" ht="38.25" x14ac:dyDescent="0.25">
      <c r="A520" s="125" t="s">
        <v>1400</v>
      </c>
      <c r="B520">
        <v>713</v>
      </c>
      <c r="C520" s="125">
        <v>75</v>
      </c>
      <c r="D520" s="125" t="s">
        <v>1167</v>
      </c>
      <c r="E520" s="125" t="s">
        <v>1367</v>
      </c>
      <c r="F520" s="125" t="s">
        <v>1368</v>
      </c>
      <c r="G520" s="125" t="s">
        <v>1321</v>
      </c>
      <c r="H520" s="125" t="s">
        <v>909</v>
      </c>
      <c r="I520" s="125" t="s">
        <v>82</v>
      </c>
      <c r="J520" s="126">
        <v>28960</v>
      </c>
      <c r="K520" s="126">
        <v>14850</v>
      </c>
      <c r="L520" s="127">
        <v>16</v>
      </c>
      <c r="M520" s="126">
        <v>14110</v>
      </c>
      <c r="N520" s="126">
        <v>11852.4</v>
      </c>
      <c r="O520" s="126" t="s">
        <v>511</v>
      </c>
      <c r="P520" s="127" t="s">
        <v>1414</v>
      </c>
      <c r="Q520" s="129">
        <v>45840</v>
      </c>
      <c r="R520" s="139">
        <v>0.92630787037037032</v>
      </c>
    </row>
    <row r="521" spans="1:18" ht="38.25" x14ac:dyDescent="0.25">
      <c r="A521" s="125" t="s">
        <v>1401</v>
      </c>
      <c r="B521">
        <v>712</v>
      </c>
      <c r="C521" s="125">
        <v>74</v>
      </c>
      <c r="D521" s="125" t="s">
        <v>1167</v>
      </c>
      <c r="E521" s="125" t="s">
        <v>1461</v>
      </c>
      <c r="F521" s="125" t="s">
        <v>149</v>
      </c>
      <c r="G521" s="125" t="s">
        <v>1321</v>
      </c>
      <c r="H521" s="125" t="s">
        <v>909</v>
      </c>
      <c r="I521" s="125" t="s">
        <v>82</v>
      </c>
      <c r="J521" s="126">
        <v>28980</v>
      </c>
      <c r="K521" s="126">
        <v>14970</v>
      </c>
      <c r="L521" s="127">
        <v>16.5</v>
      </c>
      <c r="M521" s="126">
        <v>14010</v>
      </c>
      <c r="N521" s="126">
        <v>11698.3</v>
      </c>
      <c r="O521" s="126" t="s">
        <v>511</v>
      </c>
      <c r="P521" s="127" t="s">
        <v>1415</v>
      </c>
      <c r="Q521" s="129">
        <v>45840</v>
      </c>
      <c r="R521" s="139">
        <v>0.95929398148148148</v>
      </c>
    </row>
    <row r="522" spans="1:18" ht="38.25" x14ac:dyDescent="0.25">
      <c r="A522" s="125" t="s">
        <v>1402</v>
      </c>
      <c r="B522">
        <v>714</v>
      </c>
      <c r="C522" s="125">
        <v>76</v>
      </c>
      <c r="D522" s="125" t="s">
        <v>1167</v>
      </c>
      <c r="E522" s="125" t="s">
        <v>335</v>
      </c>
      <c r="F522" s="125" t="s">
        <v>339</v>
      </c>
      <c r="G522" s="125" t="s">
        <v>1321</v>
      </c>
      <c r="H522" s="125" t="s">
        <v>909</v>
      </c>
      <c r="I522" s="125" t="s">
        <v>82</v>
      </c>
      <c r="J522" s="126">
        <v>28700</v>
      </c>
      <c r="K522" s="126">
        <v>14730</v>
      </c>
      <c r="L522" s="127">
        <v>15.5</v>
      </c>
      <c r="M522" s="126">
        <v>13970</v>
      </c>
      <c r="N522" s="126">
        <v>11804.6</v>
      </c>
      <c r="O522" s="126" t="s">
        <v>511</v>
      </c>
      <c r="P522" s="127" t="s">
        <v>1416</v>
      </c>
      <c r="Q522" s="129">
        <v>45840</v>
      </c>
      <c r="R522" s="139">
        <v>0.93494212962962964</v>
      </c>
    </row>
    <row r="523" spans="1:18" ht="38.25" x14ac:dyDescent="0.25">
      <c r="A523" s="125" t="s">
        <v>1403</v>
      </c>
      <c r="B523">
        <v>715</v>
      </c>
      <c r="C523" s="125">
        <v>77</v>
      </c>
      <c r="D523" s="125" t="s">
        <v>1167</v>
      </c>
      <c r="E523" s="125" t="s">
        <v>1373</v>
      </c>
      <c r="F523" s="125" t="s">
        <v>1374</v>
      </c>
      <c r="G523" s="125" t="s">
        <v>1321</v>
      </c>
      <c r="H523" s="125" t="s">
        <v>909</v>
      </c>
      <c r="I523" s="125" t="s">
        <v>82</v>
      </c>
      <c r="J523" s="126">
        <v>38160</v>
      </c>
      <c r="K523" s="126">
        <v>24320</v>
      </c>
      <c r="L523" s="127">
        <v>15</v>
      </c>
      <c r="M523" s="126">
        <v>13840</v>
      </c>
      <c r="N523" s="126">
        <v>11764</v>
      </c>
      <c r="O523" s="126" t="s">
        <v>511</v>
      </c>
      <c r="P523" s="127" t="s">
        <v>1417</v>
      </c>
      <c r="Q523" s="129">
        <v>45840</v>
      </c>
      <c r="R523" s="139">
        <v>0.97288194444444442</v>
      </c>
    </row>
    <row r="524" spans="1:18" ht="38.25" x14ac:dyDescent="0.25">
      <c r="A524" s="125" t="s">
        <v>1404</v>
      </c>
      <c r="B524">
        <v>716</v>
      </c>
      <c r="C524" s="125">
        <v>78</v>
      </c>
      <c r="D524" s="125" t="s">
        <v>1167</v>
      </c>
      <c r="E524" s="125" t="s">
        <v>1376</v>
      </c>
      <c r="F524" s="125" t="s">
        <v>1377</v>
      </c>
      <c r="G524" s="125" t="s">
        <v>1321</v>
      </c>
      <c r="H524" s="125" t="s">
        <v>909</v>
      </c>
      <c r="I524" s="125" t="s">
        <v>82</v>
      </c>
      <c r="J524" s="126">
        <v>29310</v>
      </c>
      <c r="K524" s="126">
        <v>15590</v>
      </c>
      <c r="L524" s="127">
        <v>15.5</v>
      </c>
      <c r="M524" s="126">
        <v>13720</v>
      </c>
      <c r="N524" s="126">
        <v>11593.4</v>
      </c>
      <c r="O524" s="126" t="s">
        <v>511</v>
      </c>
      <c r="P524" s="127" t="s">
        <v>1418</v>
      </c>
      <c r="Q524" s="129">
        <v>45841</v>
      </c>
      <c r="R524" s="139">
        <v>0.12347222222222222</v>
      </c>
    </row>
    <row r="525" spans="1:18" ht="38.25" x14ac:dyDescent="0.25">
      <c r="A525" s="125" t="s">
        <v>1405</v>
      </c>
      <c r="B525">
        <v>717</v>
      </c>
      <c r="C525" s="125">
        <v>79</v>
      </c>
      <c r="D525" s="125" t="s">
        <v>1167</v>
      </c>
      <c r="E525" s="125" t="s">
        <v>347</v>
      </c>
      <c r="F525" s="125" t="s">
        <v>351</v>
      </c>
      <c r="G525" s="125" t="s">
        <v>1321</v>
      </c>
      <c r="H525" s="125" t="s">
        <v>909</v>
      </c>
      <c r="I525" s="125" t="s">
        <v>82</v>
      </c>
      <c r="J525" s="126">
        <v>29240</v>
      </c>
      <c r="K525" s="126">
        <v>15810</v>
      </c>
      <c r="L525" s="127">
        <v>10.5</v>
      </c>
      <c r="M525" s="126">
        <v>13430</v>
      </c>
      <c r="N525" s="126">
        <v>12019.8</v>
      </c>
      <c r="O525" s="126" t="s">
        <v>511</v>
      </c>
      <c r="P525" s="127" t="s">
        <v>1419</v>
      </c>
      <c r="Q525" s="129">
        <v>45841</v>
      </c>
      <c r="R525" s="139">
        <v>0.16112268518518519</v>
      </c>
    </row>
    <row r="526" spans="1:18" ht="38.25" x14ac:dyDescent="0.25">
      <c r="A526" s="125" t="s">
        <v>1406</v>
      </c>
      <c r="B526">
        <v>718</v>
      </c>
      <c r="C526" s="125">
        <v>81</v>
      </c>
      <c r="D526" s="125" t="s">
        <v>1167</v>
      </c>
      <c r="E526" s="125" t="s">
        <v>1312</v>
      </c>
      <c r="F526" s="125" t="s">
        <v>320</v>
      </c>
      <c r="G526" s="125" t="s">
        <v>1321</v>
      </c>
      <c r="H526" s="125" t="s">
        <v>909</v>
      </c>
      <c r="I526" s="125" t="s">
        <v>82</v>
      </c>
      <c r="J526" s="126">
        <v>28100</v>
      </c>
      <c r="K526" s="126">
        <v>14460</v>
      </c>
      <c r="L526" s="127">
        <v>15</v>
      </c>
      <c r="M526" s="126">
        <v>13640</v>
      </c>
      <c r="N526" s="126">
        <v>11594</v>
      </c>
      <c r="O526" s="126" t="s">
        <v>511</v>
      </c>
      <c r="P526" s="127" t="s">
        <v>1420</v>
      </c>
      <c r="Q526" s="129">
        <v>45841</v>
      </c>
      <c r="R526" s="139">
        <v>0.26216435185185183</v>
      </c>
    </row>
    <row r="527" spans="1:18" ht="38.25" x14ac:dyDescent="0.25">
      <c r="A527" s="125" t="s">
        <v>1407</v>
      </c>
      <c r="B527">
        <v>719</v>
      </c>
      <c r="C527" s="125">
        <v>80</v>
      </c>
      <c r="D527" s="125" t="s">
        <v>1167</v>
      </c>
      <c r="E527" s="125" t="s">
        <v>1408</v>
      </c>
      <c r="F527" s="125" t="s">
        <v>1409</v>
      </c>
      <c r="G527" s="125" t="s">
        <v>1321</v>
      </c>
      <c r="H527" s="125" t="s">
        <v>909</v>
      </c>
      <c r="I527" s="125" t="s">
        <v>82</v>
      </c>
      <c r="J527" s="126">
        <v>29070</v>
      </c>
      <c r="K527" s="126">
        <v>15760</v>
      </c>
      <c r="L527" s="127">
        <v>15</v>
      </c>
      <c r="M527" s="126">
        <v>13310</v>
      </c>
      <c r="N527" s="126">
        <v>11313.5</v>
      </c>
      <c r="O527" s="126" t="s">
        <v>511</v>
      </c>
      <c r="P527" s="127" t="s">
        <v>1421</v>
      </c>
      <c r="Q527" s="129">
        <v>45841</v>
      </c>
      <c r="R527" s="139">
        <v>0.37564814814814818</v>
      </c>
    </row>
    <row r="528" spans="1:18" ht="38.25" x14ac:dyDescent="0.25">
      <c r="A528" s="125" t="s">
        <v>1410</v>
      </c>
      <c r="B528">
        <v>720</v>
      </c>
      <c r="C528" s="125">
        <v>82</v>
      </c>
      <c r="D528" s="125" t="s">
        <v>1167</v>
      </c>
      <c r="E528" s="125" t="s">
        <v>894</v>
      </c>
      <c r="F528" s="125" t="s">
        <v>895</v>
      </c>
      <c r="G528" s="125" t="s">
        <v>1321</v>
      </c>
      <c r="H528" s="125" t="s">
        <v>909</v>
      </c>
      <c r="I528" s="125" t="s">
        <v>82</v>
      </c>
      <c r="J528" s="126">
        <v>28500</v>
      </c>
      <c r="K528" s="126">
        <v>14870</v>
      </c>
      <c r="L528" s="127">
        <v>22</v>
      </c>
      <c r="M528" s="126">
        <v>13630</v>
      </c>
      <c r="N528" s="126">
        <v>10631.4</v>
      </c>
      <c r="O528" s="126" t="s">
        <v>511</v>
      </c>
      <c r="P528" s="127" t="s">
        <v>1422</v>
      </c>
      <c r="Q528" s="129">
        <v>45841</v>
      </c>
      <c r="R528" s="139">
        <v>0.38854166666666667</v>
      </c>
    </row>
    <row r="529" spans="1:18" ht="38.25" x14ac:dyDescent="0.25">
      <c r="A529" s="125" t="s">
        <v>1423</v>
      </c>
      <c r="B529">
        <v>721</v>
      </c>
      <c r="C529" s="125">
        <v>83</v>
      </c>
      <c r="D529" s="125" t="s">
        <v>1167</v>
      </c>
      <c r="E529" s="125" t="s">
        <v>212</v>
      </c>
      <c r="F529" s="125" t="s">
        <v>216</v>
      </c>
      <c r="G529" s="125" t="s">
        <v>1321</v>
      </c>
      <c r="H529" s="125" t="s">
        <v>909</v>
      </c>
      <c r="I529" s="125" t="s">
        <v>82</v>
      </c>
      <c r="J529" s="126">
        <v>27310</v>
      </c>
      <c r="K529" s="126">
        <v>13840</v>
      </c>
      <c r="L529" s="127">
        <v>22</v>
      </c>
      <c r="M529" s="126">
        <v>13470</v>
      </c>
      <c r="N529" s="126">
        <v>10506.6</v>
      </c>
      <c r="O529" s="126" t="s">
        <v>511</v>
      </c>
      <c r="P529" s="127" t="s">
        <v>1424</v>
      </c>
      <c r="Q529" s="129">
        <v>45841</v>
      </c>
      <c r="R529" s="139">
        <v>0.43589120370370371</v>
      </c>
    </row>
    <row r="530" spans="1:18" ht="38.25" x14ac:dyDescent="0.25">
      <c r="A530" s="125" t="s">
        <v>1425</v>
      </c>
      <c r="B530">
        <v>724</v>
      </c>
      <c r="C530" s="125">
        <v>84</v>
      </c>
      <c r="D530" s="125" t="s">
        <v>1167</v>
      </c>
      <c r="E530" s="125" t="s">
        <v>1253</v>
      </c>
      <c r="F530" s="125" t="s">
        <v>270</v>
      </c>
      <c r="G530" s="125" t="s">
        <v>1321</v>
      </c>
      <c r="H530" s="125" t="s">
        <v>909</v>
      </c>
      <c r="I530" s="125" t="s">
        <v>82</v>
      </c>
      <c r="J530" s="126">
        <v>28560</v>
      </c>
      <c r="K530" s="126">
        <v>14790</v>
      </c>
      <c r="L530" s="127">
        <v>17</v>
      </c>
      <c r="M530" s="126">
        <v>13770</v>
      </c>
      <c r="N530" s="126">
        <v>11429.1</v>
      </c>
      <c r="O530" s="126" t="s">
        <v>511</v>
      </c>
      <c r="P530" s="127" t="s">
        <v>1443</v>
      </c>
      <c r="Q530" s="129">
        <v>45841</v>
      </c>
      <c r="R530" s="139">
        <v>0.6559490740740741</v>
      </c>
    </row>
    <row r="531" spans="1:18" ht="38.25" x14ac:dyDescent="0.25">
      <c r="A531" s="125" t="s">
        <v>1426</v>
      </c>
      <c r="B531">
        <v>725</v>
      </c>
      <c r="C531" s="125">
        <v>85</v>
      </c>
      <c r="D531" s="125" t="s">
        <v>1167</v>
      </c>
      <c r="E531" s="125" t="s">
        <v>1151</v>
      </c>
      <c r="F531" s="125" t="s">
        <v>145</v>
      </c>
      <c r="G531" s="125" t="s">
        <v>1321</v>
      </c>
      <c r="H531" s="125" t="s">
        <v>909</v>
      </c>
      <c r="I531" s="125" t="s">
        <v>82</v>
      </c>
      <c r="J531" s="126">
        <v>29560</v>
      </c>
      <c r="K531" s="126">
        <v>15730</v>
      </c>
      <c r="L531" s="127">
        <v>19</v>
      </c>
      <c r="M531" s="126">
        <v>13830</v>
      </c>
      <c r="N531" s="126">
        <v>11202.3</v>
      </c>
      <c r="O531" s="126" t="s">
        <v>511</v>
      </c>
      <c r="P531" s="127" t="s">
        <v>1444</v>
      </c>
      <c r="Q531" s="129">
        <v>45841</v>
      </c>
      <c r="R531" s="139">
        <v>0.66109953703703705</v>
      </c>
    </row>
    <row r="532" spans="1:18" ht="38.25" x14ac:dyDescent="0.25">
      <c r="A532" s="125" t="s">
        <v>1427</v>
      </c>
      <c r="B532">
        <v>726</v>
      </c>
      <c r="C532" s="125">
        <v>86</v>
      </c>
      <c r="D532" s="125" t="s">
        <v>1167</v>
      </c>
      <c r="E532" s="125" t="s">
        <v>272</v>
      </c>
      <c r="F532" s="125" t="s">
        <v>276</v>
      </c>
      <c r="G532" s="125" t="s">
        <v>1321</v>
      </c>
      <c r="H532" s="125" t="s">
        <v>909</v>
      </c>
      <c r="I532" s="125" t="s">
        <v>82</v>
      </c>
      <c r="J532" s="126">
        <v>28510</v>
      </c>
      <c r="K532" s="126">
        <v>14780</v>
      </c>
      <c r="L532" s="127">
        <v>12</v>
      </c>
      <c r="M532" s="126">
        <v>13730</v>
      </c>
      <c r="N532" s="126">
        <v>12082.4</v>
      </c>
      <c r="O532" s="126" t="s">
        <v>511</v>
      </c>
      <c r="P532" s="127" t="s">
        <v>1445</v>
      </c>
      <c r="Q532" s="129">
        <v>45841</v>
      </c>
      <c r="R532" s="139">
        <v>0.74935185185185182</v>
      </c>
    </row>
    <row r="533" spans="1:18" ht="38.25" x14ac:dyDescent="0.25">
      <c r="A533" s="125" t="s">
        <v>1428</v>
      </c>
      <c r="B533">
        <v>727</v>
      </c>
      <c r="C533" s="125">
        <v>87</v>
      </c>
      <c r="D533" s="125" t="s">
        <v>1167</v>
      </c>
      <c r="E533" s="125" t="s">
        <v>1367</v>
      </c>
      <c r="F533" s="125" t="s">
        <v>1368</v>
      </c>
      <c r="G533" s="125" t="s">
        <v>1321</v>
      </c>
      <c r="H533" s="125" t="s">
        <v>909</v>
      </c>
      <c r="I533" s="125" t="s">
        <v>82</v>
      </c>
      <c r="J533" s="126">
        <v>28700</v>
      </c>
      <c r="K533" s="126">
        <v>14780</v>
      </c>
      <c r="L533" s="127">
        <v>17</v>
      </c>
      <c r="M533" s="126">
        <v>13920</v>
      </c>
      <c r="N533" s="126">
        <v>11553.6</v>
      </c>
      <c r="O533" s="126" t="s">
        <v>511</v>
      </c>
      <c r="P533" s="127" t="s">
        <v>1446</v>
      </c>
      <c r="Q533" s="129">
        <v>45841</v>
      </c>
      <c r="R533" s="139">
        <v>0.758275462962963</v>
      </c>
    </row>
    <row r="534" spans="1:18" ht="38.25" x14ac:dyDescent="0.25">
      <c r="A534" s="125" t="s">
        <v>1429</v>
      </c>
      <c r="B534">
        <v>728</v>
      </c>
      <c r="C534" s="125">
        <v>88</v>
      </c>
      <c r="D534" s="125" t="s">
        <v>1167</v>
      </c>
      <c r="E534" s="125" t="s">
        <v>160</v>
      </c>
      <c r="F534" s="125" t="s">
        <v>164</v>
      </c>
      <c r="G534" s="125" t="s">
        <v>1321</v>
      </c>
      <c r="H534" s="125" t="s">
        <v>909</v>
      </c>
      <c r="I534" s="125" t="s">
        <v>82</v>
      </c>
      <c r="J534" s="126">
        <v>37980</v>
      </c>
      <c r="K534" s="126">
        <v>24020</v>
      </c>
      <c r="L534" s="127">
        <v>14</v>
      </c>
      <c r="M534" s="126">
        <v>13960</v>
      </c>
      <c r="N534" s="126">
        <v>12005.6</v>
      </c>
      <c r="O534" s="126" t="s">
        <v>511</v>
      </c>
      <c r="P534" s="127" t="s">
        <v>1447</v>
      </c>
      <c r="Q534" s="129">
        <v>45841</v>
      </c>
      <c r="R534" s="139">
        <v>0.88517361111111115</v>
      </c>
    </row>
    <row r="535" spans="1:18" ht="38.25" x14ac:dyDescent="0.25">
      <c r="A535" s="125" t="s">
        <v>1430</v>
      </c>
      <c r="B535">
        <v>729</v>
      </c>
      <c r="C535" s="125">
        <v>89</v>
      </c>
      <c r="D535" s="125" t="s">
        <v>1167</v>
      </c>
      <c r="E535" s="125" t="s">
        <v>1461</v>
      </c>
      <c r="F535" s="125" t="s">
        <v>149</v>
      </c>
      <c r="G535" s="125" t="s">
        <v>1321</v>
      </c>
      <c r="H535" s="125" t="s">
        <v>909</v>
      </c>
      <c r="I535" s="125" t="s">
        <v>82</v>
      </c>
      <c r="J535" s="126">
        <v>28940</v>
      </c>
      <c r="K535" s="126">
        <v>14870</v>
      </c>
      <c r="L535" s="127">
        <v>12.5</v>
      </c>
      <c r="M535" s="126">
        <v>14070</v>
      </c>
      <c r="N535" s="126">
        <v>12311.2</v>
      </c>
      <c r="O535" s="126" t="s">
        <v>511</v>
      </c>
      <c r="P535" s="127" t="s">
        <v>1448</v>
      </c>
      <c r="Q535" s="129">
        <v>45841</v>
      </c>
      <c r="R535" s="139">
        <v>0.88714120370370375</v>
      </c>
    </row>
    <row r="536" spans="1:18" ht="38.25" x14ac:dyDescent="0.25">
      <c r="A536" s="125" t="s">
        <v>1431</v>
      </c>
      <c r="B536">
        <v>730</v>
      </c>
      <c r="C536" s="125">
        <v>90</v>
      </c>
      <c r="D536" s="125" t="s">
        <v>1167</v>
      </c>
      <c r="E536" s="125" t="s">
        <v>335</v>
      </c>
      <c r="F536" s="125" t="s">
        <v>339</v>
      </c>
      <c r="G536" s="125" t="s">
        <v>1321</v>
      </c>
      <c r="H536" s="125" t="s">
        <v>909</v>
      </c>
      <c r="I536" s="125" t="s">
        <v>82</v>
      </c>
      <c r="J536" s="126">
        <v>28690</v>
      </c>
      <c r="K536" s="126">
        <v>14690</v>
      </c>
      <c r="L536" s="127">
        <v>15.5</v>
      </c>
      <c r="M536" s="126">
        <v>14000</v>
      </c>
      <c r="N536" s="126">
        <v>11830</v>
      </c>
      <c r="O536" s="126" t="s">
        <v>511</v>
      </c>
      <c r="P536" s="127" t="s">
        <v>1449</v>
      </c>
      <c r="Q536" s="129">
        <v>45841</v>
      </c>
      <c r="R536" s="139">
        <v>0.91186342592592595</v>
      </c>
    </row>
    <row r="537" spans="1:18" ht="38.25" x14ac:dyDescent="0.25">
      <c r="A537" s="125" t="s">
        <v>1432</v>
      </c>
      <c r="B537">
        <v>731</v>
      </c>
      <c r="C537" s="125">
        <v>91</v>
      </c>
      <c r="D537" s="125" t="s">
        <v>1167</v>
      </c>
      <c r="E537" s="125" t="s">
        <v>1373</v>
      </c>
      <c r="F537" s="125" t="s">
        <v>1374</v>
      </c>
      <c r="G537" s="125" t="s">
        <v>1321</v>
      </c>
      <c r="H537" s="125" t="s">
        <v>909</v>
      </c>
      <c r="I537" s="125" t="s">
        <v>82</v>
      </c>
      <c r="J537" s="126">
        <v>38090</v>
      </c>
      <c r="K537" s="126">
        <v>24200</v>
      </c>
      <c r="L537" s="127">
        <v>16</v>
      </c>
      <c r="M537" s="126">
        <v>13890</v>
      </c>
      <c r="N537" s="126">
        <v>11667.6</v>
      </c>
      <c r="O537" s="126" t="s">
        <v>511</v>
      </c>
      <c r="P537" s="127" t="s">
        <v>1450</v>
      </c>
      <c r="Q537" s="129">
        <v>45841</v>
      </c>
      <c r="R537" s="139">
        <v>0.97062499999999996</v>
      </c>
    </row>
    <row r="538" spans="1:18" ht="38.25" x14ac:dyDescent="0.25">
      <c r="A538" s="125" t="s">
        <v>1433</v>
      </c>
      <c r="B538">
        <v>732</v>
      </c>
      <c r="C538" s="125">
        <v>95</v>
      </c>
      <c r="D538" s="125" t="s">
        <v>1167</v>
      </c>
      <c r="E538" s="125" t="s">
        <v>1376</v>
      </c>
      <c r="F538" s="125" t="s">
        <v>1377</v>
      </c>
      <c r="G538" s="125" t="s">
        <v>1168</v>
      </c>
      <c r="H538" s="125" t="s">
        <v>1318</v>
      </c>
      <c r="I538" s="125" t="s">
        <v>82</v>
      </c>
      <c r="J538" s="126">
        <v>29440</v>
      </c>
      <c r="K538" s="126">
        <v>21370</v>
      </c>
      <c r="L538" s="127">
        <v>11.5</v>
      </c>
      <c r="M538" s="126">
        <v>8070</v>
      </c>
      <c r="N538" s="126">
        <v>7141.9</v>
      </c>
      <c r="O538" s="126" t="s">
        <v>511</v>
      </c>
      <c r="P538" s="127" t="s">
        <v>1451</v>
      </c>
      <c r="Q538" s="129">
        <v>45842</v>
      </c>
      <c r="R538" s="139">
        <v>0.1492013888888889</v>
      </c>
    </row>
    <row r="539" spans="1:18" ht="38.25" x14ac:dyDescent="0.25">
      <c r="A539" s="125" t="s">
        <v>1434</v>
      </c>
      <c r="B539">
        <v>734</v>
      </c>
      <c r="C539" s="125">
        <v>95</v>
      </c>
      <c r="D539" s="125" t="s">
        <v>1167</v>
      </c>
      <c r="E539" s="125" t="s">
        <v>1376</v>
      </c>
      <c r="F539" s="125" t="s">
        <v>1377</v>
      </c>
      <c r="G539" s="125" t="s">
        <v>1321</v>
      </c>
      <c r="H539" s="125" t="s">
        <v>909</v>
      </c>
      <c r="I539" s="125" t="s">
        <v>82</v>
      </c>
      <c r="J539" s="126">
        <v>21370</v>
      </c>
      <c r="K539" s="126">
        <v>15690</v>
      </c>
      <c r="L539" s="127">
        <v>15.5</v>
      </c>
      <c r="M539" s="126">
        <v>5680</v>
      </c>
      <c r="N539" s="126">
        <v>4799.6000000000004</v>
      </c>
      <c r="O539" s="126" t="s">
        <v>511</v>
      </c>
      <c r="P539" s="127" t="s">
        <v>1452</v>
      </c>
      <c r="Q539" s="129">
        <v>45842</v>
      </c>
      <c r="R539" s="139">
        <v>0.15081018518518519</v>
      </c>
    </row>
    <row r="540" spans="1:18" ht="38.25" x14ac:dyDescent="0.25">
      <c r="A540" s="125" t="s">
        <v>1435</v>
      </c>
      <c r="B540">
        <v>733</v>
      </c>
      <c r="C540" s="125">
        <v>92</v>
      </c>
      <c r="D540" s="125" t="s">
        <v>1167</v>
      </c>
      <c r="E540" s="125" t="s">
        <v>1408</v>
      </c>
      <c r="F540" s="125" t="s">
        <v>1409</v>
      </c>
      <c r="G540" s="125" t="s">
        <v>1168</v>
      </c>
      <c r="H540" s="125" t="s">
        <v>1318</v>
      </c>
      <c r="I540" s="125" t="s">
        <v>82</v>
      </c>
      <c r="J540" s="126">
        <v>28830</v>
      </c>
      <c r="K540" s="126">
        <v>15620</v>
      </c>
      <c r="L540" s="127">
        <v>9.5</v>
      </c>
      <c r="M540" s="126">
        <v>13210</v>
      </c>
      <c r="N540" s="126">
        <v>11955</v>
      </c>
      <c r="O540" s="126" t="s">
        <v>511</v>
      </c>
      <c r="P540" s="127" t="s">
        <v>1453</v>
      </c>
      <c r="Q540" s="129">
        <v>45842</v>
      </c>
      <c r="R540" s="139">
        <v>0.39266203703703706</v>
      </c>
    </row>
    <row r="541" spans="1:18" ht="38.25" x14ac:dyDescent="0.25">
      <c r="A541" s="125" t="s">
        <v>1436</v>
      </c>
      <c r="B541">
        <v>735</v>
      </c>
      <c r="C541" s="125">
        <v>93</v>
      </c>
      <c r="D541" s="125" t="s">
        <v>1167</v>
      </c>
      <c r="E541" s="125" t="s">
        <v>212</v>
      </c>
      <c r="F541" s="125" t="s">
        <v>216</v>
      </c>
      <c r="G541" s="125" t="s">
        <v>1168</v>
      </c>
      <c r="H541" s="125" t="s">
        <v>1318</v>
      </c>
      <c r="I541" s="125" t="s">
        <v>82</v>
      </c>
      <c r="J541" s="126">
        <v>27020</v>
      </c>
      <c r="K541" s="126">
        <v>13850</v>
      </c>
      <c r="L541" s="127">
        <v>8.5</v>
      </c>
      <c r="M541" s="126">
        <v>13170</v>
      </c>
      <c r="N541" s="126">
        <v>12050.5</v>
      </c>
      <c r="O541" s="126" t="s">
        <v>511</v>
      </c>
      <c r="P541" s="127" t="s">
        <v>1454</v>
      </c>
      <c r="Q541" s="129">
        <v>45842</v>
      </c>
      <c r="R541" s="139">
        <v>0.40783564814814816</v>
      </c>
    </row>
    <row r="542" spans="1:18" ht="38.25" x14ac:dyDescent="0.25">
      <c r="A542" s="125" t="s">
        <v>1437</v>
      </c>
      <c r="B542">
        <v>736</v>
      </c>
      <c r="C542" s="125">
        <v>94</v>
      </c>
      <c r="D542" s="125" t="s">
        <v>1167</v>
      </c>
      <c r="E542" s="125" t="s">
        <v>111</v>
      </c>
      <c r="F542" s="125" t="s">
        <v>114</v>
      </c>
      <c r="G542" s="125" t="s">
        <v>1168</v>
      </c>
      <c r="H542" s="125" t="s">
        <v>1318</v>
      </c>
      <c r="I542" s="125" t="s">
        <v>82</v>
      </c>
      <c r="J542" s="126">
        <v>28770</v>
      </c>
      <c r="K542" s="126">
        <v>15540</v>
      </c>
      <c r="L542" s="127">
        <v>11.5</v>
      </c>
      <c r="M542" s="126">
        <v>13230</v>
      </c>
      <c r="N542" s="126">
        <v>11708.5</v>
      </c>
      <c r="O542" s="126" t="s">
        <v>511</v>
      </c>
      <c r="P542" s="127" t="s">
        <v>1455</v>
      </c>
      <c r="Q542" s="129">
        <v>45842</v>
      </c>
      <c r="R542" s="139">
        <v>0.41010416666666666</v>
      </c>
    </row>
    <row r="543" spans="1:18" ht="38.25" x14ac:dyDescent="0.25">
      <c r="A543" s="125" t="s">
        <v>1438</v>
      </c>
      <c r="B543">
        <v>738</v>
      </c>
      <c r="C543" s="125">
        <v>97</v>
      </c>
      <c r="D543" s="125" t="s">
        <v>1167</v>
      </c>
      <c r="E543" s="125" t="s">
        <v>1151</v>
      </c>
      <c r="F543" s="125" t="s">
        <v>145</v>
      </c>
      <c r="G543" s="125" t="s">
        <v>1168</v>
      </c>
      <c r="H543" s="125" t="s">
        <v>1318</v>
      </c>
      <c r="I543" s="125" t="s">
        <v>82</v>
      </c>
      <c r="J543" s="126">
        <v>28900</v>
      </c>
      <c r="K543" s="126">
        <v>15600</v>
      </c>
      <c r="L543" s="127">
        <v>10</v>
      </c>
      <c r="M543" s="126">
        <v>13300</v>
      </c>
      <c r="N543" s="126">
        <v>11970</v>
      </c>
      <c r="O543" s="126" t="s">
        <v>511</v>
      </c>
      <c r="P543" s="127" t="s">
        <v>1456</v>
      </c>
      <c r="Q543" s="129">
        <v>45842</v>
      </c>
      <c r="R543" s="139">
        <v>0.47650462962962964</v>
      </c>
    </row>
    <row r="544" spans="1:18" ht="38.25" x14ac:dyDescent="0.25">
      <c r="A544" s="125" t="s">
        <v>1439</v>
      </c>
      <c r="B544">
        <v>737</v>
      </c>
      <c r="C544" s="125">
        <v>96</v>
      </c>
      <c r="D544" s="125" t="s">
        <v>1167</v>
      </c>
      <c r="E544" s="125" t="s">
        <v>1253</v>
      </c>
      <c r="F544" s="125" t="s">
        <v>270</v>
      </c>
      <c r="G544" s="125" t="s">
        <v>1168</v>
      </c>
      <c r="H544" s="125" t="s">
        <v>1318</v>
      </c>
      <c r="I544" s="125" t="s">
        <v>82</v>
      </c>
      <c r="J544" s="126">
        <v>28050</v>
      </c>
      <c r="K544" s="126">
        <v>14900</v>
      </c>
      <c r="L544" s="127">
        <v>11.5</v>
      </c>
      <c r="M544" s="126">
        <v>13150</v>
      </c>
      <c r="N544" s="126">
        <v>11637.7</v>
      </c>
      <c r="O544" s="126" t="s">
        <v>511</v>
      </c>
      <c r="P544" s="127" t="s">
        <v>1457</v>
      </c>
      <c r="Q544" s="129">
        <v>45842</v>
      </c>
      <c r="R544" s="139">
        <v>0.50334490740740745</v>
      </c>
    </row>
    <row r="545" spans="1:18" ht="38.25" x14ac:dyDescent="0.25">
      <c r="A545" s="125" t="s">
        <v>1440</v>
      </c>
      <c r="B545">
        <v>741</v>
      </c>
      <c r="C545" s="125">
        <v>99</v>
      </c>
      <c r="D545" s="125" t="s">
        <v>1167</v>
      </c>
      <c r="E545" s="125" t="s">
        <v>1367</v>
      </c>
      <c r="F545" s="125" t="s">
        <v>1368</v>
      </c>
      <c r="G545" s="125" t="s">
        <v>1168</v>
      </c>
      <c r="H545" s="125" t="s">
        <v>1318</v>
      </c>
      <c r="I545" s="125" t="s">
        <v>82</v>
      </c>
      <c r="J545" s="126">
        <v>28060</v>
      </c>
      <c r="K545" s="126">
        <v>14960</v>
      </c>
      <c r="L545" s="127">
        <v>7.5</v>
      </c>
      <c r="M545" s="126">
        <v>13100</v>
      </c>
      <c r="N545" s="126">
        <v>12117.5</v>
      </c>
      <c r="O545" s="126" t="s">
        <v>511</v>
      </c>
      <c r="P545" s="127" t="s">
        <v>1458</v>
      </c>
      <c r="Q545" s="129">
        <v>45842</v>
      </c>
      <c r="R545" s="139">
        <v>0.57510416666666664</v>
      </c>
    </row>
    <row r="546" spans="1:18" ht="38.25" x14ac:dyDescent="0.25">
      <c r="A546" s="125" t="s">
        <v>1441</v>
      </c>
      <c r="B546">
        <v>744</v>
      </c>
      <c r="C546" s="125">
        <v>98</v>
      </c>
      <c r="D546" s="125" t="s">
        <v>1167</v>
      </c>
      <c r="E546" s="125" t="s">
        <v>272</v>
      </c>
      <c r="F546" s="125" t="s">
        <v>276</v>
      </c>
      <c r="G546" s="125" t="s">
        <v>1168</v>
      </c>
      <c r="H546" s="125" t="s">
        <v>1318</v>
      </c>
      <c r="I546" s="125" t="s">
        <v>82</v>
      </c>
      <c r="J546" s="126">
        <v>28210</v>
      </c>
      <c r="K546" s="126">
        <v>14660</v>
      </c>
      <c r="L546" s="127">
        <v>9</v>
      </c>
      <c r="M546" s="126">
        <v>13550</v>
      </c>
      <c r="N546" s="126">
        <v>12330.5</v>
      </c>
      <c r="O546" s="126" t="s">
        <v>511</v>
      </c>
      <c r="P546" s="127" t="s">
        <v>1459</v>
      </c>
      <c r="Q546" s="129">
        <v>45842</v>
      </c>
      <c r="R546" s="139">
        <v>0.63942129629629629</v>
      </c>
    </row>
    <row r="547" spans="1:18" ht="38.25" x14ac:dyDescent="0.25">
      <c r="A547" s="125" t="s">
        <v>1442</v>
      </c>
      <c r="B547">
        <v>745</v>
      </c>
      <c r="C547" s="125">
        <v>100</v>
      </c>
      <c r="D547" s="125" t="s">
        <v>1167</v>
      </c>
      <c r="E547" s="125" t="s">
        <v>1461</v>
      </c>
      <c r="F547" s="125" t="s">
        <v>149</v>
      </c>
      <c r="G547" s="125" t="s">
        <v>1321</v>
      </c>
      <c r="H547" s="125" t="s">
        <v>909</v>
      </c>
      <c r="I547" s="125" t="s">
        <v>82</v>
      </c>
      <c r="J547" s="126">
        <v>28990</v>
      </c>
      <c r="K547" s="126">
        <v>15080</v>
      </c>
      <c r="L547" s="127">
        <v>17.5</v>
      </c>
      <c r="M547" s="126">
        <v>13910</v>
      </c>
      <c r="N547" s="126">
        <v>11475.7</v>
      </c>
      <c r="O547" s="126" t="s">
        <v>511</v>
      </c>
      <c r="P547" s="127" t="s">
        <v>1460</v>
      </c>
      <c r="Q547" s="129">
        <v>45842</v>
      </c>
      <c r="R547" s="139">
        <v>0.68777777777777782</v>
      </c>
    </row>
    <row r="548" spans="1:18" ht="38.25" x14ac:dyDescent="0.25">
      <c r="A548" s="125" t="s">
        <v>1477</v>
      </c>
      <c r="B548">
        <v>746</v>
      </c>
      <c r="C548" s="125">
        <v>101</v>
      </c>
      <c r="D548" s="125" t="s">
        <v>1167</v>
      </c>
      <c r="E548" s="125" t="s">
        <v>1373</v>
      </c>
      <c r="F548" s="125" t="s">
        <v>1374</v>
      </c>
      <c r="G548" s="125" t="s">
        <v>1321</v>
      </c>
      <c r="H548" s="125" t="s">
        <v>909</v>
      </c>
      <c r="I548" s="125" t="s">
        <v>82</v>
      </c>
      <c r="J548" s="126">
        <v>37840</v>
      </c>
      <c r="K548" s="126">
        <v>24070</v>
      </c>
      <c r="L548" s="127">
        <v>12.5</v>
      </c>
      <c r="M548" s="126">
        <v>13770</v>
      </c>
      <c r="N548" s="126">
        <v>12048.7</v>
      </c>
      <c r="O548" s="126" t="s">
        <v>511</v>
      </c>
      <c r="P548" s="127" t="s">
        <v>1508</v>
      </c>
      <c r="Q548" s="129">
        <v>45842</v>
      </c>
      <c r="R548" s="139">
        <v>0.74850694444444443</v>
      </c>
    </row>
    <row r="549" spans="1:18" ht="38.25" x14ac:dyDescent="0.25">
      <c r="A549" s="125" t="s">
        <v>1478</v>
      </c>
      <c r="B549">
        <v>747</v>
      </c>
      <c r="C549" s="125">
        <v>102</v>
      </c>
      <c r="D549" s="125" t="s">
        <v>1167</v>
      </c>
      <c r="E549" s="125" t="s">
        <v>1376</v>
      </c>
      <c r="F549" s="125" t="s">
        <v>1377</v>
      </c>
      <c r="G549" s="125" t="s">
        <v>1321</v>
      </c>
      <c r="H549" s="125" t="s">
        <v>909</v>
      </c>
      <c r="I549" s="125" t="s">
        <v>82</v>
      </c>
      <c r="J549" s="126">
        <v>29440</v>
      </c>
      <c r="K549" s="126">
        <v>15570</v>
      </c>
      <c r="L549" s="127">
        <v>11.5</v>
      </c>
      <c r="M549" s="126">
        <v>13870</v>
      </c>
      <c r="N549" s="126">
        <v>12274.9</v>
      </c>
      <c r="O549" s="126" t="s">
        <v>511</v>
      </c>
      <c r="P549" s="127" t="s">
        <v>1509</v>
      </c>
      <c r="Q549" s="129">
        <v>45842</v>
      </c>
      <c r="R549" s="139">
        <v>0.80890046296296292</v>
      </c>
    </row>
    <row r="550" spans="1:18" ht="38.25" x14ac:dyDescent="0.25">
      <c r="A550" s="125" t="s">
        <v>1479</v>
      </c>
      <c r="B550">
        <v>748</v>
      </c>
      <c r="C550" s="125">
        <v>103</v>
      </c>
      <c r="D550" s="125" t="s">
        <v>1167</v>
      </c>
      <c r="E550" s="125" t="s">
        <v>1408</v>
      </c>
      <c r="F550" s="125" t="s">
        <v>1409</v>
      </c>
      <c r="G550" s="125" t="s">
        <v>1321</v>
      </c>
      <c r="H550" s="125" t="s">
        <v>909</v>
      </c>
      <c r="I550" s="125" t="s">
        <v>82</v>
      </c>
      <c r="J550" s="126">
        <v>29280</v>
      </c>
      <c r="K550" s="126">
        <v>15500</v>
      </c>
      <c r="L550" s="127">
        <v>12</v>
      </c>
      <c r="M550" s="126">
        <v>13780</v>
      </c>
      <c r="N550" s="126">
        <v>12126.4</v>
      </c>
      <c r="O550" s="126" t="s">
        <v>511</v>
      </c>
      <c r="P550" s="127" t="s">
        <v>1510</v>
      </c>
      <c r="Q550" s="129">
        <v>45842</v>
      </c>
      <c r="R550" s="139">
        <v>0.89104166666666662</v>
      </c>
    </row>
    <row r="551" spans="1:18" ht="38.25" x14ac:dyDescent="0.25">
      <c r="A551" s="125" t="s">
        <v>1480</v>
      </c>
      <c r="B551">
        <v>749</v>
      </c>
      <c r="C551" s="125">
        <v>104</v>
      </c>
      <c r="D551" s="125" t="s">
        <v>1167</v>
      </c>
      <c r="E551" s="125" t="s">
        <v>239</v>
      </c>
      <c r="F551" s="125" t="s">
        <v>243</v>
      </c>
      <c r="G551" s="125" t="s">
        <v>1321</v>
      </c>
      <c r="H551" s="125" t="s">
        <v>909</v>
      </c>
      <c r="I551" s="125" t="s">
        <v>82</v>
      </c>
      <c r="J551" s="126">
        <v>28410</v>
      </c>
      <c r="K551" s="126">
        <v>14620</v>
      </c>
      <c r="L551" s="127">
        <v>10</v>
      </c>
      <c r="M551" s="126">
        <v>13790</v>
      </c>
      <c r="N551" s="126">
        <v>12411</v>
      </c>
      <c r="O551" s="126" t="s">
        <v>511</v>
      </c>
      <c r="P551" s="127" t="s">
        <v>1511</v>
      </c>
      <c r="Q551" s="129">
        <v>45842</v>
      </c>
      <c r="R551" s="139">
        <v>0.93387731481481484</v>
      </c>
    </row>
    <row r="552" spans="1:18" ht="38.25" x14ac:dyDescent="0.25">
      <c r="A552" s="125" t="s">
        <v>1481</v>
      </c>
      <c r="B552">
        <v>750</v>
      </c>
      <c r="C552" s="125">
        <v>105</v>
      </c>
      <c r="D552" s="125" t="s">
        <v>1167</v>
      </c>
      <c r="E552" s="125" t="s">
        <v>335</v>
      </c>
      <c r="F552" s="125" t="s">
        <v>339</v>
      </c>
      <c r="G552" s="125" t="s">
        <v>1321</v>
      </c>
      <c r="H552" s="125" t="s">
        <v>909</v>
      </c>
      <c r="I552" s="125" t="s">
        <v>82</v>
      </c>
      <c r="J552" s="126">
        <v>29090</v>
      </c>
      <c r="K552" s="126">
        <v>14910</v>
      </c>
      <c r="L552" s="127">
        <v>15</v>
      </c>
      <c r="M552" s="126">
        <v>14180</v>
      </c>
      <c r="N552" s="126">
        <v>12053</v>
      </c>
      <c r="O552" s="126" t="s">
        <v>511</v>
      </c>
      <c r="P552" s="127" t="s">
        <v>1512</v>
      </c>
      <c r="Q552" s="129">
        <v>45842</v>
      </c>
      <c r="R552" s="139">
        <v>0.93775462962962963</v>
      </c>
    </row>
    <row r="553" spans="1:18" ht="38.25" x14ac:dyDescent="0.25">
      <c r="A553" s="125" t="s">
        <v>1482</v>
      </c>
      <c r="B553">
        <v>751</v>
      </c>
      <c r="C553" s="125">
        <v>106</v>
      </c>
      <c r="D553" s="125" t="s">
        <v>1167</v>
      </c>
      <c r="E553" s="125" t="s">
        <v>894</v>
      </c>
      <c r="F553" s="125" t="s">
        <v>895</v>
      </c>
      <c r="G553" s="125" t="s">
        <v>1321</v>
      </c>
      <c r="H553" s="125" t="s">
        <v>909</v>
      </c>
      <c r="I553" s="125" t="s">
        <v>82</v>
      </c>
      <c r="J553" s="126">
        <v>28430</v>
      </c>
      <c r="K553" s="126">
        <v>14870</v>
      </c>
      <c r="L553" s="127">
        <v>6.5</v>
      </c>
      <c r="M553" s="126">
        <v>13560</v>
      </c>
      <c r="N553" s="126">
        <v>12678.6</v>
      </c>
      <c r="O553" s="126" t="s">
        <v>833</v>
      </c>
      <c r="P553" s="127" t="s">
        <v>1513</v>
      </c>
      <c r="Q553" s="129">
        <v>45842</v>
      </c>
      <c r="R553" s="139">
        <v>0.89681712962962967</v>
      </c>
    </row>
    <row r="554" spans="1:18" ht="38.25" x14ac:dyDescent="0.25">
      <c r="A554" s="125" t="s">
        <v>1483</v>
      </c>
      <c r="B554">
        <v>752</v>
      </c>
      <c r="C554" s="125">
        <v>107</v>
      </c>
      <c r="D554" s="125" t="s">
        <v>1167</v>
      </c>
      <c r="E554" s="125" t="s">
        <v>347</v>
      </c>
      <c r="F554" s="125" t="s">
        <v>351</v>
      </c>
      <c r="G554" s="125" t="s">
        <v>1321</v>
      </c>
      <c r="H554" s="125" t="s">
        <v>909</v>
      </c>
      <c r="I554" s="125" t="s">
        <v>82</v>
      </c>
      <c r="J554" s="126">
        <v>26200</v>
      </c>
      <c r="K554" s="126">
        <v>15790</v>
      </c>
      <c r="L554" s="127">
        <v>10</v>
      </c>
      <c r="M554" s="126">
        <v>10410</v>
      </c>
      <c r="N554" s="126">
        <v>9369</v>
      </c>
      <c r="O554" s="126" t="s">
        <v>833</v>
      </c>
      <c r="P554" s="127" t="s">
        <v>1514</v>
      </c>
      <c r="Q554" s="129">
        <v>45842</v>
      </c>
      <c r="R554" s="139">
        <v>0.91666666666666663</v>
      </c>
    </row>
    <row r="555" spans="1:18" ht="38.25" x14ac:dyDescent="0.25">
      <c r="A555" s="125" t="s">
        <v>1484</v>
      </c>
      <c r="B555">
        <v>753</v>
      </c>
      <c r="C555" s="125">
        <v>108</v>
      </c>
      <c r="D555" s="125" t="s">
        <v>1167</v>
      </c>
      <c r="E555" s="125" t="s">
        <v>111</v>
      </c>
      <c r="F555" s="125" t="s">
        <v>114</v>
      </c>
      <c r="G555" s="125" t="s">
        <v>1485</v>
      </c>
      <c r="H555" s="125" t="s">
        <v>909</v>
      </c>
      <c r="I555" s="125" t="s">
        <v>82</v>
      </c>
      <c r="J555" s="126">
        <v>28780</v>
      </c>
      <c r="K555" s="126">
        <v>15520</v>
      </c>
      <c r="L555" s="127">
        <v>18</v>
      </c>
      <c r="M555" s="126">
        <v>13260</v>
      </c>
      <c r="N555" s="126">
        <v>10873.2</v>
      </c>
      <c r="O555" s="126" t="s">
        <v>550</v>
      </c>
      <c r="P555" s="127" t="s">
        <v>1515</v>
      </c>
      <c r="Q555" s="129">
        <v>45843</v>
      </c>
      <c r="R555" s="139">
        <v>0.25609953703703703</v>
      </c>
    </row>
    <row r="556" spans="1:18" ht="38.25" x14ac:dyDescent="0.25">
      <c r="A556" s="125" t="s">
        <v>1486</v>
      </c>
      <c r="B556">
        <v>754</v>
      </c>
      <c r="C556" s="125">
        <v>109</v>
      </c>
      <c r="D556" s="125" t="s">
        <v>1167</v>
      </c>
      <c r="E556" s="125" t="s">
        <v>1253</v>
      </c>
      <c r="F556" s="125" t="s">
        <v>270</v>
      </c>
      <c r="G556" s="125" t="s">
        <v>1485</v>
      </c>
      <c r="H556" s="125" t="s">
        <v>909</v>
      </c>
      <c r="I556" s="125" t="s">
        <v>82</v>
      </c>
      <c r="J556" s="126">
        <v>28230</v>
      </c>
      <c r="K556" s="126">
        <v>14800</v>
      </c>
      <c r="L556" s="127">
        <v>14</v>
      </c>
      <c r="M556" s="126">
        <v>13430</v>
      </c>
      <c r="N556" s="126">
        <v>11549.8</v>
      </c>
      <c r="O556" s="126" t="s">
        <v>511</v>
      </c>
      <c r="P556" s="127" t="s">
        <v>1516</v>
      </c>
      <c r="Q556" s="129">
        <v>45843</v>
      </c>
      <c r="R556" s="139">
        <v>0.33750000000000002</v>
      </c>
    </row>
    <row r="557" spans="1:18" ht="38.25" x14ac:dyDescent="0.25">
      <c r="A557" s="125" t="s">
        <v>1487</v>
      </c>
      <c r="B557">
        <v>756</v>
      </c>
      <c r="C557" s="125">
        <v>110</v>
      </c>
      <c r="D557" s="125" t="s">
        <v>1167</v>
      </c>
      <c r="E557" s="125" t="s">
        <v>1151</v>
      </c>
      <c r="F557" s="125" t="s">
        <v>145</v>
      </c>
      <c r="G557" s="125" t="s">
        <v>1485</v>
      </c>
      <c r="H557" s="125" t="s">
        <v>909</v>
      </c>
      <c r="I557" s="125" t="s">
        <v>82</v>
      </c>
      <c r="J557" s="126">
        <v>29290</v>
      </c>
      <c r="K557" s="126">
        <v>15490</v>
      </c>
      <c r="L557" s="127">
        <v>12</v>
      </c>
      <c r="M557" s="126">
        <v>13800</v>
      </c>
      <c r="N557" s="126">
        <v>12144</v>
      </c>
      <c r="O557" s="126" t="s">
        <v>511</v>
      </c>
      <c r="P557" s="127" t="s">
        <v>1517</v>
      </c>
      <c r="Q557" s="129">
        <v>45843</v>
      </c>
      <c r="R557" s="139">
        <v>0.73725694444444445</v>
      </c>
    </row>
    <row r="558" spans="1:18" ht="38.25" x14ac:dyDescent="0.25">
      <c r="A558" s="125" t="s">
        <v>1488</v>
      </c>
      <c r="B558">
        <v>757</v>
      </c>
      <c r="C558" s="125">
        <v>111</v>
      </c>
      <c r="D558" s="125" t="s">
        <v>1167</v>
      </c>
      <c r="E558" s="125" t="s">
        <v>1367</v>
      </c>
      <c r="F558" s="125" t="s">
        <v>1368</v>
      </c>
      <c r="G558" s="125" t="s">
        <v>1485</v>
      </c>
      <c r="H558" s="125" t="s">
        <v>909</v>
      </c>
      <c r="I558" s="125" t="s">
        <v>82</v>
      </c>
      <c r="J558" s="126">
        <v>28420</v>
      </c>
      <c r="K558" s="126">
        <v>14850</v>
      </c>
      <c r="L558" s="127">
        <v>17</v>
      </c>
      <c r="M558" s="126">
        <v>13570</v>
      </c>
      <c r="N558" s="126">
        <v>11263.1</v>
      </c>
      <c r="O558" s="126" t="s">
        <v>511</v>
      </c>
      <c r="P558" s="127" t="s">
        <v>1518</v>
      </c>
      <c r="Q558" s="129">
        <v>45843</v>
      </c>
      <c r="R558" s="139">
        <v>0.73836805555555551</v>
      </c>
    </row>
    <row r="559" spans="1:18" ht="38.25" x14ac:dyDescent="0.25">
      <c r="A559" s="125" t="s">
        <v>1489</v>
      </c>
      <c r="B559">
        <v>758</v>
      </c>
      <c r="C559" s="125">
        <v>112</v>
      </c>
      <c r="D559" s="125" t="s">
        <v>1167</v>
      </c>
      <c r="E559" s="125" t="s">
        <v>272</v>
      </c>
      <c r="F559" s="125" t="s">
        <v>276</v>
      </c>
      <c r="G559" s="125" t="s">
        <v>1485</v>
      </c>
      <c r="H559" s="125" t="s">
        <v>909</v>
      </c>
      <c r="I559" s="125" t="s">
        <v>82</v>
      </c>
      <c r="J559" s="126">
        <v>32110</v>
      </c>
      <c r="K559" s="126">
        <v>14780</v>
      </c>
      <c r="L559" s="127">
        <v>11.5</v>
      </c>
      <c r="M559" s="126">
        <v>17330</v>
      </c>
      <c r="N559" s="126">
        <v>15337</v>
      </c>
      <c r="O559" s="126" t="s">
        <v>511</v>
      </c>
      <c r="P559" s="127" t="s">
        <v>1519</v>
      </c>
      <c r="Q559" s="129">
        <v>45843</v>
      </c>
      <c r="R559" s="139">
        <v>0.85748842592592589</v>
      </c>
    </row>
    <row r="560" spans="1:18" ht="38.25" x14ac:dyDescent="0.25">
      <c r="A560" s="125" t="s">
        <v>1490</v>
      </c>
      <c r="B560">
        <v>759</v>
      </c>
      <c r="C560" s="125">
        <v>113</v>
      </c>
      <c r="D560" s="125" t="s">
        <v>1167</v>
      </c>
      <c r="E560" s="125" t="s">
        <v>1461</v>
      </c>
      <c r="F560" s="125" t="s">
        <v>149</v>
      </c>
      <c r="G560" s="125" t="s">
        <v>1168</v>
      </c>
      <c r="H560" s="125" t="s">
        <v>1316</v>
      </c>
      <c r="I560" s="125" t="s">
        <v>82</v>
      </c>
      <c r="J560" s="126">
        <v>28250</v>
      </c>
      <c r="K560" s="126">
        <v>14960</v>
      </c>
      <c r="L560" s="127">
        <v>7.5</v>
      </c>
      <c r="M560" s="126">
        <v>13290</v>
      </c>
      <c r="N560" s="126">
        <v>12293.2</v>
      </c>
      <c r="O560" s="126" t="s">
        <v>550</v>
      </c>
      <c r="P560" s="127" t="s">
        <v>1520</v>
      </c>
      <c r="Q560" s="129">
        <v>45843</v>
      </c>
      <c r="R560" s="139">
        <v>0.9982523148148148</v>
      </c>
    </row>
    <row r="561" spans="1:18" ht="38.25" x14ac:dyDescent="0.25">
      <c r="A561" s="125" t="s">
        <v>1491</v>
      </c>
      <c r="B561">
        <v>760</v>
      </c>
      <c r="C561" s="125">
        <v>114</v>
      </c>
      <c r="D561" s="125" t="s">
        <v>1167</v>
      </c>
      <c r="E561" s="125" t="s">
        <v>1373</v>
      </c>
      <c r="F561" s="125" t="s">
        <v>1374</v>
      </c>
      <c r="G561" s="125" t="s">
        <v>1168</v>
      </c>
      <c r="H561" s="125" t="s">
        <v>1316</v>
      </c>
      <c r="I561" s="125" t="s">
        <v>82</v>
      </c>
      <c r="J561" s="126">
        <v>37540</v>
      </c>
      <c r="K561" s="126">
        <v>24370</v>
      </c>
      <c r="L561" s="127">
        <v>5.5</v>
      </c>
      <c r="M561" s="126">
        <v>13170</v>
      </c>
      <c r="N561" s="126">
        <v>12445.6</v>
      </c>
      <c r="O561" s="126" t="s">
        <v>833</v>
      </c>
      <c r="P561" s="127" t="s">
        <v>1521</v>
      </c>
      <c r="Q561" s="129">
        <v>45844</v>
      </c>
      <c r="R561" s="139">
        <v>7.2303240740740737E-2</v>
      </c>
    </row>
    <row r="562" spans="1:18" ht="38.25" x14ac:dyDescent="0.25">
      <c r="A562" s="125" t="s">
        <v>1462</v>
      </c>
      <c r="B562" s="136">
        <v>761</v>
      </c>
      <c r="C562" s="125">
        <v>115</v>
      </c>
      <c r="D562" s="125" t="s">
        <v>1167</v>
      </c>
      <c r="E562" s="125" t="s">
        <v>1312</v>
      </c>
      <c r="F562" s="125" t="s">
        <v>320</v>
      </c>
      <c r="G562" s="125" t="s">
        <v>1168</v>
      </c>
      <c r="H562" s="125" t="s">
        <v>1316</v>
      </c>
      <c r="I562" s="125" t="s">
        <v>82</v>
      </c>
      <c r="J562" s="126">
        <v>27570</v>
      </c>
      <c r="K562" s="126">
        <v>14450</v>
      </c>
      <c r="L562" s="127">
        <v>7.5</v>
      </c>
      <c r="M562" s="126">
        <v>13120</v>
      </c>
      <c r="N562" s="126">
        <v>12136</v>
      </c>
      <c r="O562" s="126" t="s">
        <v>833</v>
      </c>
      <c r="P562" s="127" t="s">
        <v>1493</v>
      </c>
      <c r="Q562" s="129">
        <v>45844</v>
      </c>
      <c r="R562" s="139">
        <v>0.14277777777777778</v>
      </c>
    </row>
    <row r="563" spans="1:18" ht="38.25" x14ac:dyDescent="0.25">
      <c r="A563" s="125" t="s">
        <v>1463</v>
      </c>
      <c r="B563" s="136">
        <v>762</v>
      </c>
      <c r="C563" s="125">
        <v>116</v>
      </c>
      <c r="D563" s="125" t="s">
        <v>1167</v>
      </c>
      <c r="E563" s="125" t="s">
        <v>212</v>
      </c>
      <c r="F563" s="125" t="s">
        <v>216</v>
      </c>
      <c r="G563" s="125" t="s">
        <v>1168</v>
      </c>
      <c r="H563" s="125" t="s">
        <v>1316</v>
      </c>
      <c r="I563" s="125" t="s">
        <v>82</v>
      </c>
      <c r="J563" s="126">
        <v>27020</v>
      </c>
      <c r="K563" s="126">
        <v>13810</v>
      </c>
      <c r="L563" s="127">
        <v>8.5</v>
      </c>
      <c r="M563" s="126">
        <v>13210</v>
      </c>
      <c r="N563" s="126">
        <v>12087.1</v>
      </c>
      <c r="O563" s="126" t="s">
        <v>550</v>
      </c>
      <c r="P563" s="127" t="s">
        <v>1494</v>
      </c>
      <c r="Q563" s="129">
        <v>45844</v>
      </c>
      <c r="R563" s="139">
        <v>0.19968749999999999</v>
      </c>
    </row>
    <row r="564" spans="1:18" ht="38.25" x14ac:dyDescent="0.25">
      <c r="A564" s="125" t="s">
        <v>1464</v>
      </c>
      <c r="B564" s="136">
        <v>763</v>
      </c>
      <c r="C564" s="125">
        <v>117</v>
      </c>
      <c r="D564" s="125" t="s">
        <v>1167</v>
      </c>
      <c r="E564" s="125" t="s">
        <v>1376</v>
      </c>
      <c r="F564" s="125" t="s">
        <v>1377</v>
      </c>
      <c r="G564" s="125" t="s">
        <v>1168</v>
      </c>
      <c r="H564" s="125" t="s">
        <v>1316</v>
      </c>
      <c r="I564" s="125" t="s">
        <v>82</v>
      </c>
      <c r="J564" s="126">
        <v>28630</v>
      </c>
      <c r="K564" s="126">
        <v>15470</v>
      </c>
      <c r="L564" s="127">
        <v>7.5</v>
      </c>
      <c r="M564" s="126">
        <v>13160</v>
      </c>
      <c r="N564" s="126">
        <v>12173</v>
      </c>
      <c r="O564" s="126" t="s">
        <v>550</v>
      </c>
      <c r="P564" s="127" t="s">
        <v>1495</v>
      </c>
      <c r="Q564" s="129">
        <v>45844</v>
      </c>
      <c r="R564" s="139">
        <v>0.27682870370370372</v>
      </c>
    </row>
    <row r="565" spans="1:18" ht="38.25" x14ac:dyDescent="0.25">
      <c r="A565" s="125" t="s">
        <v>1465</v>
      </c>
      <c r="B565" s="136">
        <v>764</v>
      </c>
      <c r="C565" s="125">
        <v>118</v>
      </c>
      <c r="D565" s="125" t="s">
        <v>1167</v>
      </c>
      <c r="E565" s="125" t="s">
        <v>1408</v>
      </c>
      <c r="F565" s="125" t="s">
        <v>1409</v>
      </c>
      <c r="G565" s="125" t="s">
        <v>1168</v>
      </c>
      <c r="H565" s="125" t="s">
        <v>1316</v>
      </c>
      <c r="I565" s="125" t="s">
        <v>82</v>
      </c>
      <c r="J565" s="126">
        <v>28720</v>
      </c>
      <c r="K565" s="126">
        <v>15760</v>
      </c>
      <c r="L565" s="127">
        <v>8.5</v>
      </c>
      <c r="M565" s="126">
        <v>12960</v>
      </c>
      <c r="N565" s="126">
        <v>11858.4</v>
      </c>
      <c r="O565" s="126" t="s">
        <v>511</v>
      </c>
      <c r="P565" s="127" t="s">
        <v>1496</v>
      </c>
      <c r="Q565" s="129">
        <v>45844</v>
      </c>
      <c r="R565" s="139">
        <v>0.42137731481481483</v>
      </c>
    </row>
    <row r="566" spans="1:18" ht="38.25" x14ac:dyDescent="0.25">
      <c r="A566" s="125" t="s">
        <v>1466</v>
      </c>
      <c r="B566" s="136">
        <v>765</v>
      </c>
      <c r="C566" s="125">
        <v>119</v>
      </c>
      <c r="D566" s="125" t="s">
        <v>1167</v>
      </c>
      <c r="E566" s="125" t="s">
        <v>239</v>
      </c>
      <c r="F566" s="125" t="s">
        <v>243</v>
      </c>
      <c r="G566" s="125" t="s">
        <v>1168</v>
      </c>
      <c r="H566" s="125" t="s">
        <v>1316</v>
      </c>
      <c r="I566" s="125" t="s">
        <v>82</v>
      </c>
      <c r="J566" s="126">
        <v>27710</v>
      </c>
      <c r="K566" s="126">
        <v>14520</v>
      </c>
      <c r="L566" s="127">
        <v>12.5</v>
      </c>
      <c r="M566" s="126">
        <v>13190</v>
      </c>
      <c r="N566" s="126">
        <v>11541.2</v>
      </c>
      <c r="O566" s="126" t="s">
        <v>511</v>
      </c>
      <c r="P566" s="127" t="s">
        <v>1497</v>
      </c>
      <c r="Q566" s="129">
        <v>45844</v>
      </c>
      <c r="R566" s="139">
        <v>0.49300925925925926</v>
      </c>
    </row>
    <row r="567" spans="1:18" ht="38.25" x14ac:dyDescent="0.25">
      <c r="A567" s="125" t="s">
        <v>1467</v>
      </c>
      <c r="B567" s="136">
        <v>766</v>
      </c>
      <c r="C567" s="125">
        <v>120</v>
      </c>
      <c r="D567" s="125" t="s">
        <v>1167</v>
      </c>
      <c r="E567" s="125" t="s">
        <v>1253</v>
      </c>
      <c r="F567" s="125" t="s">
        <v>270</v>
      </c>
      <c r="G567" s="125" t="s">
        <v>1168</v>
      </c>
      <c r="H567" s="125" t="s">
        <v>1316</v>
      </c>
      <c r="I567" s="125" t="s">
        <v>82</v>
      </c>
      <c r="J567" s="126">
        <v>28080</v>
      </c>
      <c r="K567" s="126">
        <v>14980</v>
      </c>
      <c r="L567" s="127">
        <v>8.5</v>
      </c>
      <c r="M567" s="126">
        <v>13100</v>
      </c>
      <c r="N567" s="126">
        <v>11986.5</v>
      </c>
      <c r="O567" s="126" t="s">
        <v>511</v>
      </c>
      <c r="P567" s="127" t="s">
        <v>1498</v>
      </c>
      <c r="Q567" s="129">
        <v>45844</v>
      </c>
      <c r="R567" s="139">
        <v>0.57296296296296301</v>
      </c>
    </row>
    <row r="568" spans="1:18" ht="38.25" x14ac:dyDescent="0.25">
      <c r="A568" s="125" t="s">
        <v>1468</v>
      </c>
      <c r="B568" s="136">
        <v>767</v>
      </c>
      <c r="C568" s="125">
        <v>121</v>
      </c>
      <c r="D568" s="125" t="s">
        <v>1167</v>
      </c>
      <c r="E568" s="125" t="s">
        <v>1151</v>
      </c>
      <c r="F568" s="125" t="s">
        <v>145</v>
      </c>
      <c r="G568" s="125" t="s">
        <v>1168</v>
      </c>
      <c r="H568" s="125" t="s">
        <v>1316</v>
      </c>
      <c r="I568" s="125" t="s">
        <v>82</v>
      </c>
      <c r="J568" s="126">
        <v>29000</v>
      </c>
      <c r="K568" s="126">
        <v>15730</v>
      </c>
      <c r="L568" s="127">
        <v>12.5</v>
      </c>
      <c r="M568" s="126">
        <v>13270</v>
      </c>
      <c r="N568" s="126">
        <v>11611.2</v>
      </c>
      <c r="O568" s="126" t="s">
        <v>511</v>
      </c>
      <c r="P568" s="127" t="s">
        <v>1499</v>
      </c>
      <c r="Q568" s="129">
        <v>45844</v>
      </c>
      <c r="R568" s="139">
        <v>0.65277777777777779</v>
      </c>
    </row>
    <row r="569" spans="1:18" ht="38.25" x14ac:dyDescent="0.25">
      <c r="A569" s="125" t="s">
        <v>1469</v>
      </c>
      <c r="B569" s="136">
        <v>769</v>
      </c>
      <c r="C569" s="125">
        <v>122</v>
      </c>
      <c r="D569" s="125" t="s">
        <v>1167</v>
      </c>
      <c r="E569" s="125" t="s">
        <v>1367</v>
      </c>
      <c r="F569" s="125" t="s">
        <v>1368</v>
      </c>
      <c r="G569" s="125" t="s">
        <v>1168</v>
      </c>
      <c r="H569" s="125" t="s">
        <v>1316</v>
      </c>
      <c r="I569" s="125" t="s">
        <v>82</v>
      </c>
      <c r="J569" s="126">
        <v>28530</v>
      </c>
      <c r="K569" s="126">
        <v>15020</v>
      </c>
      <c r="L569" s="127">
        <v>9.5</v>
      </c>
      <c r="M569" s="126">
        <v>13510</v>
      </c>
      <c r="N569" s="126">
        <v>12226.5</v>
      </c>
      <c r="O569" s="126" t="s">
        <v>511</v>
      </c>
      <c r="P569" s="127" t="s">
        <v>1500</v>
      </c>
      <c r="Q569" s="129">
        <v>45844</v>
      </c>
      <c r="R569" s="139">
        <v>0.73246527777777781</v>
      </c>
    </row>
    <row r="570" spans="1:18" ht="38.25" x14ac:dyDescent="0.25">
      <c r="A570" s="125" t="s">
        <v>1470</v>
      </c>
      <c r="B570" s="136">
        <v>770</v>
      </c>
      <c r="C570" s="125">
        <v>123</v>
      </c>
      <c r="D570" s="125" t="s">
        <v>1167</v>
      </c>
      <c r="E570" s="125" t="s">
        <v>272</v>
      </c>
      <c r="F570" s="125" t="s">
        <v>276</v>
      </c>
      <c r="G570" s="125" t="s">
        <v>1168</v>
      </c>
      <c r="H570" s="125" t="s">
        <v>1316</v>
      </c>
      <c r="I570" s="125" t="s">
        <v>82</v>
      </c>
      <c r="J570" s="126">
        <v>28120</v>
      </c>
      <c r="K570" s="126">
        <v>14680</v>
      </c>
      <c r="L570" s="127">
        <v>9.5</v>
      </c>
      <c r="M570" s="126">
        <v>13440</v>
      </c>
      <c r="N570" s="126">
        <v>12163.2</v>
      </c>
      <c r="O570" s="126" t="s">
        <v>511</v>
      </c>
      <c r="P570" s="127" t="s">
        <v>1501</v>
      </c>
      <c r="Q570" s="129">
        <v>45844</v>
      </c>
      <c r="R570" s="139">
        <v>0.80709490740740741</v>
      </c>
    </row>
    <row r="571" spans="1:18" ht="38.25" x14ac:dyDescent="0.25">
      <c r="A571" s="125" t="s">
        <v>1471</v>
      </c>
      <c r="B571" s="136">
        <v>771</v>
      </c>
      <c r="C571" s="125">
        <v>124</v>
      </c>
      <c r="D571" s="125" t="s">
        <v>1167</v>
      </c>
      <c r="E571" s="125" t="s">
        <v>1461</v>
      </c>
      <c r="F571" s="125" t="s">
        <v>149</v>
      </c>
      <c r="G571" s="125" t="s">
        <v>1168</v>
      </c>
      <c r="H571" s="125" t="s">
        <v>1316</v>
      </c>
      <c r="I571" s="125" t="s">
        <v>82</v>
      </c>
      <c r="J571" s="126">
        <v>28360</v>
      </c>
      <c r="K571" s="126">
        <v>14860</v>
      </c>
      <c r="L571" s="127">
        <v>10.5</v>
      </c>
      <c r="M571" s="126">
        <v>13500</v>
      </c>
      <c r="N571" s="126">
        <v>12082.5</v>
      </c>
      <c r="O571" s="126" t="s">
        <v>511</v>
      </c>
      <c r="P571" s="127" t="s">
        <v>1502</v>
      </c>
      <c r="Q571" s="129">
        <v>45844</v>
      </c>
      <c r="R571" s="139">
        <v>0.90332175925925928</v>
      </c>
    </row>
    <row r="572" spans="1:18" ht="38.25" x14ac:dyDescent="0.25">
      <c r="A572" s="125" t="s">
        <v>1472</v>
      </c>
      <c r="B572" s="136">
        <v>772</v>
      </c>
      <c r="C572" s="125">
        <v>125</v>
      </c>
      <c r="D572" s="125" t="s">
        <v>1167</v>
      </c>
      <c r="E572" s="125" t="s">
        <v>1373</v>
      </c>
      <c r="F572" s="125" t="s">
        <v>1374</v>
      </c>
      <c r="G572" s="125" t="s">
        <v>1168</v>
      </c>
      <c r="H572" s="125" t="s">
        <v>1316</v>
      </c>
      <c r="I572" s="125" t="s">
        <v>82</v>
      </c>
      <c r="J572" s="126">
        <v>37730</v>
      </c>
      <c r="K572" s="126">
        <v>24240</v>
      </c>
      <c r="L572" s="127">
        <v>8.5</v>
      </c>
      <c r="M572" s="126">
        <v>13490</v>
      </c>
      <c r="N572" s="126">
        <v>12343.3</v>
      </c>
      <c r="O572" s="126" t="s">
        <v>511</v>
      </c>
      <c r="P572" s="127" t="s">
        <v>1503</v>
      </c>
      <c r="Q572" s="129">
        <v>45844</v>
      </c>
      <c r="R572" s="139">
        <v>0.95809027777777778</v>
      </c>
    </row>
    <row r="573" spans="1:18" ht="38.25" x14ac:dyDescent="0.25">
      <c r="A573" s="125" t="s">
        <v>1473</v>
      </c>
      <c r="B573" s="136">
        <v>773</v>
      </c>
      <c r="C573" s="125">
        <v>126</v>
      </c>
      <c r="D573" s="125" t="s">
        <v>1167</v>
      </c>
      <c r="E573" s="125" t="s">
        <v>1376</v>
      </c>
      <c r="F573" s="125" t="s">
        <v>1377</v>
      </c>
      <c r="G573" s="125" t="s">
        <v>1168</v>
      </c>
      <c r="H573" s="125" t="s">
        <v>1316</v>
      </c>
      <c r="I573" s="125" t="s">
        <v>82</v>
      </c>
      <c r="J573" s="126">
        <v>29180</v>
      </c>
      <c r="K573" s="126">
        <v>15720</v>
      </c>
      <c r="L573" s="127">
        <v>11.5</v>
      </c>
      <c r="M573" s="126">
        <v>13460</v>
      </c>
      <c r="N573" s="126">
        <v>11912.1</v>
      </c>
      <c r="O573" s="126" t="s">
        <v>511</v>
      </c>
      <c r="P573" s="127" t="s">
        <v>1504</v>
      </c>
      <c r="Q573" s="129">
        <v>45844</v>
      </c>
      <c r="R573" s="139">
        <v>0.74627314814814816</v>
      </c>
    </row>
    <row r="574" spans="1:18" ht="38.25" x14ac:dyDescent="0.25">
      <c r="A574" s="125" t="s">
        <v>1474</v>
      </c>
      <c r="B574" s="136">
        <v>774</v>
      </c>
      <c r="C574" s="125">
        <v>127</v>
      </c>
      <c r="D574" s="125" t="s">
        <v>1167</v>
      </c>
      <c r="E574" s="125" t="s">
        <v>347</v>
      </c>
      <c r="F574" s="125" t="s">
        <v>351</v>
      </c>
      <c r="G574" s="125" t="s">
        <v>1168</v>
      </c>
      <c r="H574" s="125" t="s">
        <v>1316</v>
      </c>
      <c r="I574" s="125" t="s">
        <v>82</v>
      </c>
      <c r="J574" s="126">
        <v>29370</v>
      </c>
      <c r="K574" s="126">
        <v>15700</v>
      </c>
      <c r="L574" s="127">
        <v>12.5</v>
      </c>
      <c r="M574" s="126">
        <v>13670</v>
      </c>
      <c r="N574" s="126">
        <v>11961.2</v>
      </c>
      <c r="O574" s="126" t="s">
        <v>511</v>
      </c>
      <c r="P574" s="127" t="s">
        <v>1505</v>
      </c>
      <c r="Q574" s="129">
        <v>45844</v>
      </c>
      <c r="R574" s="139">
        <v>0.78432870370370367</v>
      </c>
    </row>
    <row r="575" spans="1:18" ht="38.25" x14ac:dyDescent="0.25">
      <c r="A575" s="125" t="s">
        <v>1475</v>
      </c>
      <c r="B575" s="136">
        <v>775</v>
      </c>
      <c r="C575" s="125">
        <v>128</v>
      </c>
      <c r="D575" s="125" t="s">
        <v>1167</v>
      </c>
      <c r="E575" s="125" t="s">
        <v>1408</v>
      </c>
      <c r="F575" s="125" t="s">
        <v>1409</v>
      </c>
      <c r="G575" s="125" t="s">
        <v>1168</v>
      </c>
      <c r="H575" s="125" t="s">
        <v>1316</v>
      </c>
      <c r="I575" s="125" t="s">
        <v>82</v>
      </c>
      <c r="J575" s="126">
        <v>29300</v>
      </c>
      <c r="K575" s="126">
        <v>15640</v>
      </c>
      <c r="L575" s="127">
        <v>15</v>
      </c>
      <c r="M575" s="126">
        <v>13660</v>
      </c>
      <c r="N575" s="140">
        <v>11611</v>
      </c>
      <c r="O575" s="126" t="s">
        <v>511</v>
      </c>
      <c r="P575" s="127" t="s">
        <v>1506</v>
      </c>
      <c r="Q575" s="129">
        <v>45844</v>
      </c>
      <c r="R575" s="139">
        <v>0.86380787037037032</v>
      </c>
    </row>
    <row r="576" spans="1:18" ht="38.25" x14ac:dyDescent="0.25">
      <c r="A576" s="125" t="s">
        <v>1476</v>
      </c>
      <c r="B576" s="136">
        <v>776</v>
      </c>
      <c r="C576" s="125">
        <v>129</v>
      </c>
      <c r="D576" s="125" t="s">
        <v>1167</v>
      </c>
      <c r="E576" s="125" t="s">
        <v>160</v>
      </c>
      <c r="F576" s="125" t="s">
        <v>164</v>
      </c>
      <c r="G576" s="125" t="s">
        <v>1168</v>
      </c>
      <c r="H576" s="125" t="s">
        <v>1316</v>
      </c>
      <c r="I576" s="125" t="s">
        <v>82</v>
      </c>
      <c r="J576" s="126">
        <v>39780</v>
      </c>
      <c r="K576" s="126">
        <v>24080</v>
      </c>
      <c r="L576" s="127">
        <v>10.5</v>
      </c>
      <c r="M576" s="126">
        <v>15700</v>
      </c>
      <c r="N576" s="140">
        <v>14051.5</v>
      </c>
      <c r="O576" s="126" t="s">
        <v>511</v>
      </c>
      <c r="P576" s="127" t="s">
        <v>1507</v>
      </c>
      <c r="Q576" s="129">
        <v>45844</v>
      </c>
      <c r="R576" s="139">
        <v>0.93070601851851853</v>
      </c>
    </row>
    <row r="577" spans="1:18" ht="38.25" x14ac:dyDescent="0.25">
      <c r="A577" s="125" t="s">
        <v>1492</v>
      </c>
      <c r="B577">
        <v>777</v>
      </c>
      <c r="C577" s="125">
        <v>130</v>
      </c>
      <c r="D577" s="125" t="s">
        <v>1167</v>
      </c>
      <c r="E577" s="125" t="s">
        <v>1253</v>
      </c>
      <c r="F577" s="125" t="s">
        <v>270</v>
      </c>
      <c r="G577" s="125" t="s">
        <v>1168</v>
      </c>
      <c r="H577" s="125" t="s">
        <v>1316</v>
      </c>
      <c r="I577" s="125" t="s">
        <v>82</v>
      </c>
      <c r="J577" s="126">
        <v>25390</v>
      </c>
      <c r="K577" s="126">
        <v>14880</v>
      </c>
      <c r="L577" s="127">
        <v>12</v>
      </c>
      <c r="M577" s="126">
        <v>10510</v>
      </c>
      <c r="N577" s="126">
        <v>9248.7999999999993</v>
      </c>
      <c r="O577" s="126" t="s">
        <v>511</v>
      </c>
      <c r="P577" s="128" t="s">
        <v>1522</v>
      </c>
      <c r="Q577" s="129">
        <v>45844</v>
      </c>
      <c r="R577" s="139">
        <v>0.97613425925925923</v>
      </c>
    </row>
    <row r="578" spans="1:18" ht="38.25" x14ac:dyDescent="0.25">
      <c r="A578" s="125" t="s">
        <v>1523</v>
      </c>
      <c r="B578">
        <v>785</v>
      </c>
      <c r="C578" s="125">
        <v>131</v>
      </c>
      <c r="D578" s="125" t="s">
        <v>1167</v>
      </c>
      <c r="E578" s="125" t="s">
        <v>1151</v>
      </c>
      <c r="F578" s="125" t="s">
        <v>145</v>
      </c>
      <c r="G578" s="125" t="s">
        <v>1485</v>
      </c>
      <c r="H578" s="125" t="s">
        <v>909</v>
      </c>
      <c r="I578" s="125" t="s">
        <v>82</v>
      </c>
      <c r="J578" s="126">
        <v>29340</v>
      </c>
      <c r="K578" s="126">
        <v>15610</v>
      </c>
      <c r="L578" s="127">
        <v>7</v>
      </c>
      <c r="M578" s="126">
        <v>13730</v>
      </c>
      <c r="N578" s="126">
        <v>12768.9</v>
      </c>
      <c r="O578" s="126" t="s">
        <v>550</v>
      </c>
      <c r="P578" s="128" t="s">
        <v>1533</v>
      </c>
      <c r="Q578" s="129">
        <v>45846</v>
      </c>
      <c r="R578" s="139">
        <v>0.81940972222222219</v>
      </c>
    </row>
    <row r="579" spans="1:18" ht="38.25" x14ac:dyDescent="0.25">
      <c r="A579" s="125" t="s">
        <v>1524</v>
      </c>
      <c r="B579">
        <v>786</v>
      </c>
      <c r="C579" s="125">
        <v>132</v>
      </c>
      <c r="D579" s="125" t="s">
        <v>1167</v>
      </c>
      <c r="E579" s="125" t="s">
        <v>1367</v>
      </c>
      <c r="F579" s="125" t="s">
        <v>1368</v>
      </c>
      <c r="G579" s="125" t="s">
        <v>1485</v>
      </c>
      <c r="H579" s="125" t="s">
        <v>909</v>
      </c>
      <c r="I579" s="125" t="s">
        <v>82</v>
      </c>
      <c r="J579" s="126">
        <v>28240</v>
      </c>
      <c r="K579" s="126">
        <v>14910</v>
      </c>
      <c r="L579" s="127">
        <v>12.5</v>
      </c>
      <c r="M579" s="126">
        <v>13330</v>
      </c>
      <c r="N579" s="126">
        <v>11663.7</v>
      </c>
      <c r="O579" s="126" t="s">
        <v>511</v>
      </c>
      <c r="P579" s="128" t="s">
        <v>1534</v>
      </c>
      <c r="Q579" s="129">
        <v>45846</v>
      </c>
      <c r="R579" s="139">
        <v>0.86641203703703706</v>
      </c>
    </row>
    <row r="580" spans="1:18" ht="38.25" x14ac:dyDescent="0.25">
      <c r="A580" s="125" t="s">
        <v>1525</v>
      </c>
      <c r="B580">
        <v>787</v>
      </c>
      <c r="C580" s="125">
        <v>133</v>
      </c>
      <c r="D580" s="125" t="s">
        <v>1167</v>
      </c>
      <c r="E580" s="125" t="s">
        <v>272</v>
      </c>
      <c r="F580" s="125" t="s">
        <v>276</v>
      </c>
      <c r="G580" s="125" t="s">
        <v>1485</v>
      </c>
      <c r="H580" s="125" t="s">
        <v>909</v>
      </c>
      <c r="I580" s="125" t="s">
        <v>82</v>
      </c>
      <c r="J580" s="126">
        <v>28220</v>
      </c>
      <c r="K580" s="126">
        <v>14770</v>
      </c>
      <c r="L580" s="127">
        <v>9.5</v>
      </c>
      <c r="M580" s="126">
        <v>13450</v>
      </c>
      <c r="N580" s="126">
        <v>12172.2</v>
      </c>
      <c r="O580" s="126" t="s">
        <v>511</v>
      </c>
      <c r="P580" s="128" t="s">
        <v>1535</v>
      </c>
      <c r="Q580" s="129">
        <v>45846</v>
      </c>
      <c r="R580" s="139">
        <v>0.9163310185185185</v>
      </c>
    </row>
    <row r="581" spans="1:18" ht="38.25" x14ac:dyDescent="0.25">
      <c r="A581" s="125" t="s">
        <v>1526</v>
      </c>
      <c r="B581">
        <v>788</v>
      </c>
      <c r="C581" s="125">
        <v>134</v>
      </c>
      <c r="D581" s="125" t="s">
        <v>1167</v>
      </c>
      <c r="E581" s="125" t="s">
        <v>1461</v>
      </c>
      <c r="F581" s="125" t="s">
        <v>149</v>
      </c>
      <c r="G581" s="125" t="s">
        <v>1485</v>
      </c>
      <c r="H581" s="125" t="s">
        <v>909</v>
      </c>
      <c r="I581" s="125" t="s">
        <v>82</v>
      </c>
      <c r="J581" s="126">
        <v>27930</v>
      </c>
      <c r="K581" s="126">
        <v>15000</v>
      </c>
      <c r="L581" s="127">
        <v>15.5</v>
      </c>
      <c r="M581" s="126">
        <v>12930</v>
      </c>
      <c r="N581" s="126">
        <v>10925.8</v>
      </c>
      <c r="O581" s="126" t="s">
        <v>511</v>
      </c>
      <c r="P581" s="128" t="s">
        <v>1536</v>
      </c>
      <c r="Q581" s="129">
        <v>45847</v>
      </c>
      <c r="R581" s="139">
        <v>7.9826388888888891E-2</v>
      </c>
    </row>
    <row r="582" spans="1:18" ht="38.25" x14ac:dyDescent="0.25">
      <c r="A582" s="125" t="s">
        <v>1527</v>
      </c>
      <c r="B582">
        <v>789</v>
      </c>
      <c r="C582" s="125">
        <v>135</v>
      </c>
      <c r="D582" s="125" t="s">
        <v>1167</v>
      </c>
      <c r="E582" s="125" t="s">
        <v>1373</v>
      </c>
      <c r="F582" s="125" t="s">
        <v>1374</v>
      </c>
      <c r="G582" s="125" t="s">
        <v>1485</v>
      </c>
      <c r="H582" s="125" t="s">
        <v>909</v>
      </c>
      <c r="I582" s="125" t="s">
        <v>82</v>
      </c>
      <c r="J582" s="126">
        <v>37350</v>
      </c>
      <c r="K582" s="126">
        <v>24190</v>
      </c>
      <c r="L582" s="127">
        <v>14.5</v>
      </c>
      <c r="M582" s="126">
        <v>13160</v>
      </c>
      <c r="N582" s="126">
        <v>11251.8</v>
      </c>
      <c r="O582" s="126" t="s">
        <v>550</v>
      </c>
      <c r="P582" s="128" t="s">
        <v>1537</v>
      </c>
      <c r="Q582" s="129">
        <v>45847</v>
      </c>
      <c r="R582" s="139">
        <v>0.18655092592592593</v>
      </c>
    </row>
    <row r="583" spans="1:18" ht="38.25" x14ac:dyDescent="0.25">
      <c r="A583" s="125" t="s">
        <v>1528</v>
      </c>
      <c r="B583">
        <v>790</v>
      </c>
      <c r="C583" s="125">
        <v>137</v>
      </c>
      <c r="D583" s="125" t="s">
        <v>1167</v>
      </c>
      <c r="E583" s="125" t="s">
        <v>212</v>
      </c>
      <c r="F583" s="125" t="s">
        <v>216</v>
      </c>
      <c r="G583" s="125" t="s">
        <v>1485</v>
      </c>
      <c r="H583" s="125" t="s">
        <v>909</v>
      </c>
      <c r="I583" s="125" t="s">
        <v>82</v>
      </c>
      <c r="J583" s="126">
        <v>26940</v>
      </c>
      <c r="K583" s="126">
        <v>13810</v>
      </c>
      <c r="L583" s="127">
        <v>15.5</v>
      </c>
      <c r="M583" s="126">
        <v>13130</v>
      </c>
      <c r="N583" s="126">
        <v>11094.8</v>
      </c>
      <c r="O583" s="126" t="s">
        <v>550</v>
      </c>
      <c r="P583" s="128" t="s">
        <v>1538</v>
      </c>
      <c r="Q583" s="129">
        <v>45847</v>
      </c>
      <c r="R583" s="139">
        <v>0.18775462962962963</v>
      </c>
    </row>
    <row r="584" spans="1:18" ht="38.25" x14ac:dyDescent="0.25">
      <c r="A584" s="125" t="s">
        <v>1529</v>
      </c>
      <c r="B584">
        <v>791</v>
      </c>
      <c r="C584" s="125">
        <v>136</v>
      </c>
      <c r="D584" s="125" t="s">
        <v>1167</v>
      </c>
      <c r="E584" s="125" t="s">
        <v>239</v>
      </c>
      <c r="F584" s="125" t="s">
        <v>243</v>
      </c>
      <c r="G584" s="125" t="s">
        <v>1485</v>
      </c>
      <c r="H584" s="125" t="s">
        <v>1530</v>
      </c>
      <c r="I584" s="125" t="s">
        <v>82</v>
      </c>
      <c r="J584" s="126">
        <v>27500</v>
      </c>
      <c r="K584" s="126">
        <v>14560</v>
      </c>
      <c r="L584" s="127">
        <v>10.5</v>
      </c>
      <c r="M584" s="126">
        <v>12940</v>
      </c>
      <c r="N584" s="126">
        <v>11581.3</v>
      </c>
      <c r="O584" s="126" t="s">
        <v>550</v>
      </c>
      <c r="P584" s="128" t="s">
        <v>1539</v>
      </c>
      <c r="Q584" s="129">
        <v>45847</v>
      </c>
      <c r="R584" s="139">
        <v>0.30601851851851852</v>
      </c>
    </row>
    <row r="585" spans="1:18" ht="38.25" x14ac:dyDescent="0.25">
      <c r="A585" s="125" t="s">
        <v>1531</v>
      </c>
      <c r="B585">
        <v>792</v>
      </c>
      <c r="C585" s="125">
        <v>138</v>
      </c>
      <c r="D585" s="125" t="s">
        <v>1167</v>
      </c>
      <c r="E585" s="125" t="s">
        <v>347</v>
      </c>
      <c r="F585" s="125" t="s">
        <v>351</v>
      </c>
      <c r="G585" s="125" t="s">
        <v>1485</v>
      </c>
      <c r="H585" s="125" t="s">
        <v>1530</v>
      </c>
      <c r="I585" s="125" t="s">
        <v>82</v>
      </c>
      <c r="J585" s="126">
        <v>28780</v>
      </c>
      <c r="K585" s="126">
        <v>15730</v>
      </c>
      <c r="L585" s="127">
        <v>7.5</v>
      </c>
      <c r="M585" s="126">
        <v>13050</v>
      </c>
      <c r="N585" s="126">
        <v>12071.2</v>
      </c>
      <c r="O585" s="126" t="s">
        <v>550</v>
      </c>
      <c r="P585" s="128" t="s">
        <v>1540</v>
      </c>
      <c r="Q585" s="129">
        <v>45847</v>
      </c>
      <c r="R585" s="139">
        <v>0.41462962962962963</v>
      </c>
    </row>
    <row r="586" spans="1:18" ht="38.25" x14ac:dyDescent="0.25">
      <c r="A586" s="125" t="s">
        <v>1532</v>
      </c>
      <c r="B586">
        <v>793</v>
      </c>
      <c r="C586" s="125">
        <v>139</v>
      </c>
      <c r="D586" s="125" t="s">
        <v>1167</v>
      </c>
      <c r="E586" s="125" t="s">
        <v>1312</v>
      </c>
      <c r="F586" s="125" t="s">
        <v>320</v>
      </c>
      <c r="G586" s="125" t="s">
        <v>1485</v>
      </c>
      <c r="H586" s="125" t="s">
        <v>1530</v>
      </c>
      <c r="I586" s="125" t="s">
        <v>82</v>
      </c>
      <c r="J586" s="126">
        <v>27400</v>
      </c>
      <c r="K586" s="126">
        <v>14420</v>
      </c>
      <c r="L586" s="127">
        <v>12.5</v>
      </c>
      <c r="M586" s="126">
        <v>12980</v>
      </c>
      <c r="N586" s="126">
        <v>11357.5</v>
      </c>
      <c r="O586" s="126" t="s">
        <v>833</v>
      </c>
      <c r="P586" s="128" t="s">
        <v>1541</v>
      </c>
      <c r="Q586" s="129">
        <v>45847</v>
      </c>
      <c r="R586" s="139">
        <v>0.47650462962962964</v>
      </c>
    </row>
    <row r="587" spans="1:18" ht="38.25" x14ac:dyDescent="0.25">
      <c r="A587" s="125" t="s">
        <v>1543</v>
      </c>
      <c r="B587">
        <v>795</v>
      </c>
      <c r="C587" s="125">
        <v>140</v>
      </c>
      <c r="D587" s="125" t="s">
        <v>1167</v>
      </c>
      <c r="E587" s="125" t="s">
        <v>894</v>
      </c>
      <c r="F587" s="125" t="s">
        <v>895</v>
      </c>
      <c r="G587" s="125" t="s">
        <v>1485</v>
      </c>
      <c r="H587" s="125" t="s">
        <v>1530</v>
      </c>
      <c r="I587" s="125" t="s">
        <v>82</v>
      </c>
      <c r="J587" s="126">
        <v>28010</v>
      </c>
      <c r="K587" s="126">
        <v>14870</v>
      </c>
      <c r="L587" s="127">
        <v>8.5</v>
      </c>
      <c r="M587" s="126">
        <v>13140</v>
      </c>
      <c r="N587" s="126">
        <v>12023.1</v>
      </c>
      <c r="O587" s="126" t="s">
        <v>550</v>
      </c>
      <c r="P587" s="128" t="s">
        <v>1542</v>
      </c>
      <c r="Q587" s="129">
        <v>45847</v>
      </c>
      <c r="R587" s="139">
        <v>0.54501157407407408</v>
      </c>
    </row>
    <row r="588" spans="1:18" s="159" customFormat="1" ht="38.25" x14ac:dyDescent="0.25">
      <c r="A588" s="158" t="s">
        <v>1544</v>
      </c>
      <c r="B588" s="159">
        <v>796</v>
      </c>
      <c r="C588" s="158">
        <v>140</v>
      </c>
      <c r="D588" s="158" t="s">
        <v>1167</v>
      </c>
      <c r="E588" s="158" t="s">
        <v>1151</v>
      </c>
      <c r="F588" s="158" t="s">
        <v>145</v>
      </c>
      <c r="G588" s="158" t="s">
        <v>1485</v>
      </c>
      <c r="H588" s="158" t="s">
        <v>1530</v>
      </c>
      <c r="I588" s="158" t="s">
        <v>82</v>
      </c>
      <c r="J588" s="160">
        <v>29040</v>
      </c>
      <c r="K588" s="160">
        <v>15510</v>
      </c>
      <c r="L588" s="161">
        <v>7.5</v>
      </c>
      <c r="M588" s="160">
        <v>13530</v>
      </c>
      <c r="N588" s="160">
        <v>12515.2</v>
      </c>
      <c r="O588" s="160" t="s">
        <v>833</v>
      </c>
      <c r="P588" s="162" t="s">
        <v>1545</v>
      </c>
      <c r="Q588" s="163">
        <v>45847</v>
      </c>
      <c r="R588" s="164">
        <v>0.59075231481481483</v>
      </c>
    </row>
    <row r="589" spans="1:18" s="159" customFormat="1" ht="38.25" x14ac:dyDescent="0.25">
      <c r="A589" s="158" t="s">
        <v>1547</v>
      </c>
      <c r="B589" s="159">
        <v>799</v>
      </c>
      <c r="C589" s="158">
        <v>143</v>
      </c>
      <c r="D589" s="158" t="s">
        <v>1167</v>
      </c>
      <c r="E589" s="158" t="s">
        <v>160</v>
      </c>
      <c r="F589" s="158" t="s">
        <v>164</v>
      </c>
      <c r="G589" s="158" t="s">
        <v>1485</v>
      </c>
      <c r="H589" s="158" t="s">
        <v>1530</v>
      </c>
      <c r="I589" s="158" t="s">
        <v>82</v>
      </c>
      <c r="J589" s="160">
        <v>37250</v>
      </c>
      <c r="K589" s="160">
        <v>24060</v>
      </c>
      <c r="L589" s="161">
        <v>7.5</v>
      </c>
      <c r="M589" s="160">
        <v>13190</v>
      </c>
      <c r="N589" s="160">
        <v>12200.7</v>
      </c>
      <c r="O589" s="160" t="s">
        <v>833</v>
      </c>
      <c r="P589" s="162" t="s">
        <v>1553</v>
      </c>
      <c r="Q589" s="163">
        <v>45847</v>
      </c>
      <c r="R589" s="164">
        <v>0.75701388888888888</v>
      </c>
    </row>
    <row r="590" spans="1:18" s="159" customFormat="1" ht="38.25" x14ac:dyDescent="0.25">
      <c r="A590" s="158" t="s">
        <v>1548</v>
      </c>
      <c r="B590" s="159">
        <v>800</v>
      </c>
      <c r="C590" s="158">
        <v>144</v>
      </c>
      <c r="D590" s="158" t="s">
        <v>1167</v>
      </c>
      <c r="E590" s="158" t="s">
        <v>335</v>
      </c>
      <c r="F590" s="158" t="s">
        <v>339</v>
      </c>
      <c r="G590" s="158" t="s">
        <v>1485</v>
      </c>
      <c r="H590" s="158" t="s">
        <v>1530</v>
      </c>
      <c r="I590" s="158" t="s">
        <v>82</v>
      </c>
      <c r="J590" s="160">
        <v>27910</v>
      </c>
      <c r="K590" s="160">
        <v>15020</v>
      </c>
      <c r="L590" s="161">
        <v>9.5</v>
      </c>
      <c r="M590" s="160">
        <v>12890</v>
      </c>
      <c r="N590" s="160">
        <v>11665.4</v>
      </c>
      <c r="O590" s="160" t="s">
        <v>833</v>
      </c>
      <c r="P590" s="162" t="s">
        <v>1554</v>
      </c>
      <c r="Q590" s="163">
        <v>45847</v>
      </c>
      <c r="R590" s="164">
        <v>0.81562500000000004</v>
      </c>
    </row>
    <row r="591" spans="1:18" s="159" customFormat="1" ht="38.25" x14ac:dyDescent="0.25">
      <c r="A591" s="158" t="s">
        <v>1549</v>
      </c>
      <c r="B591" s="159">
        <v>801</v>
      </c>
      <c r="C591" s="158">
        <v>141</v>
      </c>
      <c r="D591" s="158" t="s">
        <v>1167</v>
      </c>
      <c r="E591" s="158" t="s">
        <v>1367</v>
      </c>
      <c r="F591" s="158" t="s">
        <v>1368</v>
      </c>
      <c r="G591" s="158" t="s">
        <v>1485</v>
      </c>
      <c r="H591" s="158" t="s">
        <v>1530</v>
      </c>
      <c r="I591" s="158" t="s">
        <v>82</v>
      </c>
      <c r="J591" s="160">
        <v>27130</v>
      </c>
      <c r="K591" s="160">
        <v>14830</v>
      </c>
      <c r="L591" s="161">
        <v>25.5</v>
      </c>
      <c r="M591" s="160">
        <v>12300</v>
      </c>
      <c r="N591" s="160">
        <v>9163.5</v>
      </c>
      <c r="O591" s="160" t="s">
        <v>550</v>
      </c>
      <c r="P591" s="162" t="s">
        <v>1555</v>
      </c>
      <c r="Q591" s="163">
        <v>45847</v>
      </c>
      <c r="R591" s="164">
        <v>0.94672453703703707</v>
      </c>
    </row>
    <row r="592" spans="1:18" s="159" customFormat="1" ht="38.25" x14ac:dyDescent="0.25">
      <c r="A592" s="158" t="s">
        <v>1550</v>
      </c>
      <c r="B592" s="159">
        <v>802</v>
      </c>
      <c r="C592" s="158">
        <v>147</v>
      </c>
      <c r="D592" s="158" t="s">
        <v>1167</v>
      </c>
      <c r="E592" s="158" t="s">
        <v>272</v>
      </c>
      <c r="F592" s="158" t="s">
        <v>276</v>
      </c>
      <c r="G592" s="158" t="s">
        <v>1485</v>
      </c>
      <c r="H592" s="158" t="s">
        <v>1530</v>
      </c>
      <c r="I592" s="158" t="s">
        <v>82</v>
      </c>
      <c r="J592" s="160">
        <v>26390</v>
      </c>
      <c r="K592" s="160">
        <v>14500</v>
      </c>
      <c r="L592" s="161">
        <v>11.5</v>
      </c>
      <c r="M592" s="160">
        <v>11890</v>
      </c>
      <c r="N592" s="160">
        <v>10522.6</v>
      </c>
      <c r="O592" s="160" t="s">
        <v>550</v>
      </c>
      <c r="P592" s="162" t="s">
        <v>1556</v>
      </c>
      <c r="Q592" s="163">
        <v>45848</v>
      </c>
      <c r="R592" s="164">
        <v>8.6238425925925927E-2</v>
      </c>
    </row>
    <row r="593" spans="1:18" s="159" customFormat="1" ht="38.25" x14ac:dyDescent="0.25">
      <c r="A593" s="158" t="s">
        <v>1551</v>
      </c>
      <c r="B593" s="159">
        <v>803</v>
      </c>
      <c r="C593" s="158">
        <v>145</v>
      </c>
      <c r="D593" s="158" t="s">
        <v>1167</v>
      </c>
      <c r="E593" s="158" t="s">
        <v>1461</v>
      </c>
      <c r="F593" s="158" t="s">
        <v>149</v>
      </c>
      <c r="G593" s="158" t="s">
        <v>1485</v>
      </c>
      <c r="H593" s="158" t="s">
        <v>1530</v>
      </c>
      <c r="I593" s="158" t="s">
        <v>82</v>
      </c>
      <c r="J593" s="160">
        <v>26950</v>
      </c>
      <c r="K593" s="160">
        <v>14890</v>
      </c>
      <c r="L593" s="161">
        <v>16.5</v>
      </c>
      <c r="M593" s="160">
        <v>12060</v>
      </c>
      <c r="N593" s="160">
        <v>10070.1</v>
      </c>
      <c r="O593" s="160" t="s">
        <v>833</v>
      </c>
      <c r="P593" s="162" t="s">
        <v>1557</v>
      </c>
      <c r="Q593" s="163">
        <v>45848</v>
      </c>
      <c r="R593" s="164">
        <v>0.23761574074074074</v>
      </c>
    </row>
    <row r="594" spans="1:18" s="159" customFormat="1" ht="38.25" x14ac:dyDescent="0.25">
      <c r="A594" s="158" t="s">
        <v>1552</v>
      </c>
      <c r="B594" s="159">
        <v>804</v>
      </c>
      <c r="C594" s="158">
        <v>146</v>
      </c>
      <c r="D594" s="158" t="s">
        <v>1167</v>
      </c>
      <c r="E594" s="158" t="s">
        <v>1373</v>
      </c>
      <c r="F594" s="158" t="s">
        <v>1374</v>
      </c>
      <c r="G594" s="158" t="s">
        <v>1485</v>
      </c>
      <c r="H594" s="158" t="s">
        <v>1530</v>
      </c>
      <c r="I594" s="158" t="s">
        <v>82</v>
      </c>
      <c r="J594" s="160">
        <v>38830</v>
      </c>
      <c r="K594" s="160">
        <v>24310</v>
      </c>
      <c r="L594" s="161">
        <v>26</v>
      </c>
      <c r="M594" s="160">
        <v>14520</v>
      </c>
      <c r="N594" s="160">
        <v>10744.8</v>
      </c>
      <c r="O594" s="160" t="s">
        <v>550</v>
      </c>
      <c r="P594" s="162" t="s">
        <v>1558</v>
      </c>
      <c r="Q594" s="163">
        <v>45848</v>
      </c>
      <c r="R594" s="164">
        <v>0.42233796296296294</v>
      </c>
    </row>
    <row r="595" spans="1:18" x14ac:dyDescent="0.25">
      <c r="A595" s="125"/>
      <c r="C595" s="125"/>
      <c r="D595" s="125"/>
      <c r="E595" s="125"/>
      <c r="F595" s="125"/>
      <c r="G595" s="125"/>
      <c r="H595" s="125"/>
      <c r="I595" s="125"/>
      <c r="J595" s="126"/>
      <c r="K595" s="126"/>
      <c r="L595" s="127"/>
      <c r="M595" s="126">
        <f>SUBTOTAL(109,Таблица57[Вес нетто])</f>
        <v>7098140</v>
      </c>
      <c r="N595" s="126">
        <f>SUBTOTAL(109,Таблица57[Зачетный вес])</f>
        <v>6087068.5</v>
      </c>
      <c r="O595" s="126"/>
      <c r="P595" s="12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ОТЧЕТ 2026</vt:lpstr>
      <vt:lpstr>Свод 2026</vt:lpstr>
      <vt:lpstr>Структура 2026 </vt:lpstr>
      <vt:lpstr>Подробности1</vt:lpstr>
      <vt:lpstr>Подробности2</vt:lpstr>
      <vt:lpstr>Уборка по полям 2026</vt:lpstr>
      <vt:lpstr>Данные 2026</vt:lpstr>
      <vt:lpstr>ОТЧЕТ 2025</vt:lpstr>
      <vt:lpstr>ОТЧЕТ 2024</vt:lpstr>
      <vt:lpstr>Данные 2025</vt:lpstr>
      <vt:lpstr>СВОД по полям</vt:lpstr>
      <vt:lpstr>Поступление на завод </vt:lpstr>
      <vt:lpstr>Поступление на завод по дням</vt:lpstr>
      <vt:lpstr>по дням</vt:lpstr>
      <vt:lpstr>Сев 2026</vt:lpstr>
      <vt:lpstr>Показатели по полям 2026</vt:lpstr>
      <vt:lpstr>Откл АВК и Отчета</vt:lpstr>
      <vt:lpstr>Реестр уборки 2026</vt:lpstr>
      <vt:lpstr>Реестр уборки 2025</vt:lpstr>
      <vt:lpstr>Основные показ 2023-2025</vt:lpstr>
      <vt:lpstr>Поступление дни 2023-2025</vt:lpstr>
      <vt:lpstr>Средний вал 2023-2025</vt:lpstr>
      <vt:lpstr>Уборка 2023-2025</vt:lpstr>
      <vt:lpstr>Вх конт 2023-2026</vt:lpstr>
      <vt:lpstr>Хар-ка качества 2023-2025</vt:lpstr>
      <vt:lpstr>Хар-ка сорта 2024</vt:lpstr>
      <vt:lpstr>Хар-ка сорта 2025</vt:lpstr>
      <vt:lpstr>Реестр 2024</vt:lpstr>
      <vt:lpstr>Степень зрелости 2026</vt:lpstr>
      <vt:lpstr>Степень зрелости 2025</vt:lpstr>
      <vt:lpstr>Вх контроль</vt:lpstr>
      <vt:lpstr>Реестр по входному контролю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Неезжалова Анастасия Викторовна</dc:creator>
  <cp:lastModifiedBy>Левенец Александра Викторовна</cp:lastModifiedBy>
  <cp:lastPrinted>2026-07-07T10:30:19Z</cp:lastPrinted>
  <dcterms:created xsi:type="dcterms:W3CDTF">2015-06-05T18:19:34Z</dcterms:created>
  <dcterms:modified xsi:type="dcterms:W3CDTF">2026-07-07T15:15:59Z</dcterms:modified>
</cp:coreProperties>
</file>